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06dc1c4f604f42b8" /></Relationships>
</file>

<file path=xl/workbook.xml><?xml version="1.0" encoding="utf-8"?>
<x:workbook xmlns:x="http://schemas.openxmlformats.org/spreadsheetml/2006/main">
  <x:sheets>
    <x:sheet xmlns:r="http://schemas.openxmlformats.org/officeDocument/2006/relationships" name="Overview" sheetId="1" r:id="R9c972c2b7cf14d32"/>
    <x:sheet xmlns:r="http://schemas.openxmlformats.org/officeDocument/2006/relationships" name="Title" sheetId="2" r:id="R13a53b850be343d6"/>
    <x:sheet xmlns:r="http://schemas.openxmlformats.org/officeDocument/2006/relationships" name="OGL" sheetId="3" r:id="Re7baabf57c8d4788"/>
    <x:sheet xmlns:r="http://schemas.openxmlformats.org/officeDocument/2006/relationships" name="PLAT" sheetId="4" r:id="R76d20f98167e49b2"/>
    <x:sheet xmlns:r="http://schemas.openxmlformats.org/officeDocument/2006/relationships" name="Runsheet" sheetId="5" r:id="Rf45ad52bb75e4ca7"/>
    <x:sheet xmlns:r="http://schemas.openxmlformats.org/officeDocument/2006/relationships" name="Tract 1" sheetId="6" r:id="Rde0c50bafc8b4882"/>
    <x:sheet xmlns:r="http://schemas.openxmlformats.org/officeDocument/2006/relationships" name="Tract 2" sheetId="7" r:id="Rf7d5e495c146498f"/>
    <x:sheet xmlns:r="http://schemas.openxmlformats.org/officeDocument/2006/relationships" name="Tract 3" sheetId="8" r:id="R0b0026de40b2444d"/>
    <x:sheet xmlns:r="http://schemas.openxmlformats.org/officeDocument/2006/relationships" name="Tract 4" sheetId="9" r:id="R2e0073c76af845e1"/>
    <x:sheet xmlns:r="http://schemas.openxmlformats.org/officeDocument/2006/relationships" name="Tract 5" sheetId="10" r:id="Rcba822fafbe64555"/>
    <x:sheet xmlns:r="http://schemas.openxmlformats.org/officeDocument/2006/relationships" name="Tract 6" sheetId="11" r:id="R50a9290ac2354195"/>
    <x:sheet xmlns:r="http://schemas.openxmlformats.org/officeDocument/2006/relationships" name="Tract 7" sheetId="12" r:id="R1fc07238bcc14b9f"/>
    <x:sheet xmlns:r="http://schemas.openxmlformats.org/officeDocument/2006/relationships" name="Tract 8" sheetId="13" r:id="R671bfe58bce44320"/>
    <x:sheet xmlns:r="http://schemas.openxmlformats.org/officeDocument/2006/relationships" name="Tract 9" sheetId="14" r:id="Ra596843f84754a47"/>
    <x:sheet xmlns:r="http://schemas.openxmlformats.org/officeDocument/2006/relationships" name="Tract 10" sheetId="15" r:id="Ra8899e7eb7a84e1d"/>
    <x:sheet xmlns:r="http://schemas.openxmlformats.org/officeDocument/2006/relationships" name="WI 1" sheetId="16" r:id="R4483d89294594530"/>
    <x:sheet xmlns:r="http://schemas.openxmlformats.org/officeDocument/2006/relationships" name="WI 2" sheetId="17" r:id="R7c07e5158afa4ebe"/>
    <x:sheet xmlns:r="http://schemas.openxmlformats.org/officeDocument/2006/relationships" name="Well 1" sheetId="18" r:id="R4d06b7d47fcd4ca5"/>
    <x:sheet xmlns:r="http://schemas.openxmlformats.org/officeDocument/2006/relationships" name="rawdata" sheetId="19" r:id="R2100fcac27354840"/>
    <x:sheet xmlns:r="http://schemas.openxmlformats.org/officeDocument/2006/relationships" name="Curative_Requirements" sheetId="20" r:id="Ra093fbb9c9814eaf"/>
    <x:sheet xmlns:r="http://schemas.openxmlformats.org/officeDocument/2006/relationships" name="CURATIVE_NEXT_ACTIONS" sheetId="21" r:id="R47bd8913deb24dda"/>
  </x:sheets>
</x:workbook>
</file>

<file path=xl/sharedStrings.xml><?xml version="1.0" encoding="utf-8"?>
<x:sst xmlns:x="http://schemas.openxmlformats.org/spreadsheetml/2006/main"/>
</file>

<file path=xl/styles.xml><?xml version="1.0" encoding="utf-8"?>
<x:styleSheet xmlns:x="http://schemas.openxmlformats.org/spreadsheetml/2006/main">
  <x:numFmts count="9">
    <x:numFmt numFmtId="164" formatCode="0.00000000"/>
    <x:numFmt numFmtId="165" formatCode="0.000000"/>
    <x:numFmt numFmtId="166" formatCode="#\ ???/???"/>
    <x:numFmt numFmtId="167" formatCode="0.0000"/>
    <x:numFmt numFmtId="168" formatCode="&quot;$&quot;#,##0_);[Red]\(&quot;$&quot;#,##0\)"/>
    <x:numFmt numFmtId="169" formatCode="00"/>
    <x:numFmt numFmtId="170" formatCode="0.0000000000"/>
    <x:numFmt numFmtId="171" formatCode="mm/dd/yyyy"/>
    <x:numFmt numFmtId="172" formatCode="0.000"/>
  </x:numFmts>
  <x:fonts count="73">
    <x:font>
      <x:sz val="11"/>
      <x:color theme="1"/>
      <x:name val="Calibri"/>
    </x:font>
    <x:font>
      <x:sz val="11"/>
      <x:color theme="1"/>
      <x:name val="Calibri"/>
    </x:font>
    <x:font>
      <x:sz val="11"/>
      <x:color theme="1"/>
      <x:name val="Calibri"/>
    </x:font>
    <x:font>
      <x:sz val="11"/>
      <x:color theme="1"/>
      <x:name val="Calibri"/>
    </x:font>
    <x:font>
      <x:sz val="9"/>
      <x:color theme="1"/>
      <x:name val="Arial"/>
    </x:font>
    <x:font>
      <x:sz val="10"/>
      <x:color theme="1"/>
      <x:name val="Arial"/>
    </x:font>
    <x:font>
      <x:b/>
      <x:sz val="11"/>
      <x:color theme="1"/>
      <x:name val="Calibri"/>
    </x:font>
    <x:font>
      <x:sz val="11"/>
      <x:name val="Calibri"/>
    </x:font>
    <x:font>
      <x:sz val="10"/>
      <x:name val="Verdana"/>
    </x:font>
    <x:font>
      <x:sz val="10"/>
      <x:name val="Calibri"/>
    </x:font>
    <x:font>
      <x:sz val="10"/>
      <x:name val="Verdana"/>
    </x:font>
    <x:font>
      <x:sz val="12"/>
      <x:name val="Times New Roman"/>
    </x:font>
    <x:font>
      <x:sz val="9"/>
      <x:name val="Arial"/>
    </x:font>
    <x:font>
      <x:b/>
      <x:sz val="9"/>
      <x:name val="Arial"/>
    </x:font>
    <x:font>
      <x:sz val="10"/>
      <x:name val="Arial"/>
    </x:font>
    <x:font>
      <x:b/>
      <x:sz val="10"/>
      <x:color indexed="10"/>
      <x:name val="Arial"/>
    </x:font>
    <x:font>
      <x:sz val="10"/>
      <x:name val="Wingdings 2"/>
    </x:font>
    <x:font>
      <x:sz val="10"/>
      <x:name val="Arial Narrow"/>
    </x:font>
    <x:font>
      <x:b/>
      <x:sz val="10"/>
      <x:name val="Arial"/>
    </x:font>
    <x:font>
      <x:b/>
      <x:sz val="16"/>
      <x:color indexed="10"/>
      <x:name val="Arial"/>
    </x:font>
    <x:font>
      <x:b/>
      <x:sz val="8"/>
      <x:name val="Arial Narrow"/>
    </x:font>
    <x:font>
      <x:b/>
      <x:sz val="48"/>
      <x:name val="Arial"/>
    </x:font>
    <x:font>
      <x:sz val="36"/>
      <x:color indexed="10"/>
      <x:name val="Arial"/>
    </x:font>
    <x:font>
      <x:sz val="9"/>
      <x:name val="Calibri"/>
    </x:font>
    <x:font>
      <x:sz val="11"/>
      <x:color theme="10"/>
      <x:name val="Calibri"/>
    </x:font>
    <x:font>
      <x:sz val="9"/>
      <x:color rgb="FFFF0000"/>
      <x:name val="Arial"/>
    </x:font>
    <x:font>
      <x:b/>
      <x:sz val="16"/>
      <x:color rgb="FFFF0000"/>
      <x:name val="Arial"/>
    </x:font>
    <x:font>
      <x:sz val="11"/>
      <x:color theme="1"/>
      <x:name val="Calibri"/>
    </x:font>
    <x:font>
      <x:sz val="10"/>
      <x:name val="Calibri"/>
    </x:font>
    <x:font>
      <x:sz val="14"/>
      <x:name val="Calibri"/>
    </x:font>
    <x:font>
      <x:b/>
      <x:sz val="16"/>
      <x:name val="Calibri"/>
    </x:font>
    <x:font>
      <x:b/>
      <x:sz val="14"/>
      <x:name val="Calibri"/>
    </x:font>
    <x:font>
      <x:b/>
      <x:sz val="16"/>
      <x:name val="Calibri"/>
    </x:font>
    <x:font>
      <x:sz val="8"/>
      <x:name val="Calibri"/>
    </x:font>
    <x:font>
      <x:sz val="11"/>
      <x:name val="Calibri"/>
    </x:font>
    <x:font>
      <x:b/>
      <x:sz val="10"/>
      <x:name val="Calibri"/>
    </x:font>
    <x:font>
      <x:b/>
      <x:sz val="10"/>
      <x:color theme="4" tint="0.59978"/>
      <x:name val="Calibri"/>
    </x:font>
    <x:font>
      <x:b/>
      <x:sz val="14"/>
      <x:color theme="4" tint="0.59978"/>
      <x:name val="Calibri"/>
    </x:font>
    <x:font>
      <x:b/>
      <x:sz val="9"/>
      <x:name val="Calibri"/>
    </x:font>
    <x:font>
      <x:b/>
      <x:sz val="12"/>
      <x:color theme="4" tint="0.59978"/>
      <x:name val="Arial"/>
    </x:font>
    <x:font>
      <x:b/>
      <x:sz val="12"/>
      <x:name val="Arial"/>
    </x:font>
    <x:font>
      <x:sz val="9"/>
      <x:name val="Calibri"/>
    </x:font>
    <x:font>
      <x:b/>
      <x:sz val="9"/>
      <x:name val="Calibri"/>
    </x:font>
    <x:font>
      <x:b/>
      <x:sz val="10"/>
      <x:color rgb="FF000000"/>
      <x:name val="Calibri"/>
    </x:font>
    <x:font>
      <x:i/>
      <x:sz val="9"/>
      <x:name val="Calibri"/>
    </x:font>
    <x:font>
      <x:sz val="10"/>
      <x:color rgb="FF000000"/>
      <x:name val="Calibri"/>
    </x:font>
    <x:font>
      <x:b/>
      <x:sz val="9"/>
      <x:color indexed="81"/>
      <x:name val="Tahoma"/>
    </x:font>
    <x:font>
      <x:sz val="9"/>
      <x:color indexed="81"/>
      <x:name val="Tahoma"/>
    </x:font>
    <x:font>
      <x:sz val="9"/>
      <x:color theme="1"/>
      <x:name val="Calibri"/>
    </x:font>
    <x:font>
      <x:b/>
      <x:sz val="9"/>
      <x:color theme="1"/>
      <x:name val="Calibri"/>
    </x:font>
    <x:font>
      <x:b/>
      <x:sz val="8"/>
      <x:color rgb="FF000000"/>
      <x:name val="Calibri"/>
    </x:font>
    <x:font>
      <x:b/>
      <x:sz val="9"/>
      <x:color theme="1"/>
      <x:name val="Calibri"/>
    </x:font>
    <x:font>
      <x:sz val="9"/>
      <x:name val="Arial"/>
    </x:font>
    <x:font>
      <x:sz val="9"/>
      <x:color theme="1"/>
      <x:name val="Arial"/>
    </x:font>
    <x:font>
      <x:sz val="10"/>
      <x:color theme="1"/>
      <x:name val="Calibri"/>
    </x:font>
    <x:font>
      <x:sz val="10"/>
      <x:color rgb="FF222222"/>
      <x:name val="Calibri"/>
    </x:font>
    <x:font>
      <x:sz val="9"/>
      <x:color rgb="FF000000"/>
      <x:name val="Arial"/>
    </x:font>
    <x:font>
      <x:b/>
      <x:sz val="11"/>
      <x:color rgb="FFC00000"/>
      <x:name val="Calibri"/>
    </x:font>
    <x:font>
      <x:sz val="9"/>
      <x:color theme="10"/>
      <x:name val="Arial"/>
    </x:font>
    <x:font>
      <x:sz val="9"/>
      <x:name val="Arial"/>
    </x:font>
    <x:font>
      <x:sz val="10"/>
      <x:color theme="1"/>
      <x:name val="Calibri"/>
    </x:font>
    <x:font>
      <x:sz val="10"/>
      <x:color rgb="FFC00000"/>
      <x:name val="Calibri"/>
    </x:font>
    <x:font>
      <x:sz val="10"/>
      <x:color rgb="FF222222"/>
      <x:name val="Calibri"/>
    </x:font>
    <x:font>
      <x:sz val="9"/>
      <x:color rgb="FF222222"/>
      <x:name val="Arial"/>
    </x:font>
    <x:font>
      <x:sz val="9"/>
      <x:color theme="10"/>
      <x:name val="Arial"/>
    </x:font>
    <x:font>
      <x:sz val="11"/>
      <x:color theme="10"/>
      <x:name val="Calibri"/>
    </x:font>
    <x:font>
      <x:sz val="10"/>
      <x:color rgb="FFFF0000"/>
      <x:name val="Arial"/>
    </x:font>
    <x:font>
      <x:b/>
      <x:sz val="10"/>
      <x:color theme="1"/>
      <x:name val="Arial"/>
    </x:font>
    <x:font>
      <x:sz val="9"/>
      <x:color rgb="FF000000"/>
      <x:name val="Arial"/>
    </x:font>
    <x:font>
      <x:b/>
      <x:sz val="9"/>
      <x:name val="Arial"/>
    </x:font>
    <x:font>
      <x:sz val="9"/>
      <x:color theme="1"/>
      <x:name val="Calibri"/>
    </x:font>
    <x:font>
      <x:b/>
    </x:font>
    <x:font>
      <x:i/>
    </x:font>
  </x:fonts>
  <x:fills count="25">
    <x:fill>
      <x:patternFill patternType="none"/>
    </x:fill>
    <x:fill>
      <x:patternFill patternType="gray125"/>
    </x:fill>
    <x:fill>
      <x:patternFill patternType="solid">
        <x:fgColor rgb="FFFFFF00"/>
      </x:patternFill>
    </x:fill>
    <x:fill>
      <x:patternFill patternType="solid">
        <x:fgColor theme="0" tint="-0.15"/>
      </x:patternFill>
    </x:fill>
    <x:fill>
      <x:patternFill patternType="solid">
        <x:fgColor indexed="22"/>
      </x:patternFill>
    </x:fill>
    <x:fill>
      <x:patternFill patternType="solid">
        <x:fgColor indexed="47"/>
      </x:patternFill>
    </x:fill>
    <x:fill>
      <x:patternFill patternType="solid">
        <x:fgColor indexed="41"/>
      </x:patternFill>
    </x:fill>
    <x:fill>
      <x:patternFill patternType="solid">
        <x:fgColor indexed="44"/>
      </x:patternFill>
    </x:fill>
    <x:fill>
      <x:patternFill patternType="solid">
        <x:fgColor theme="0" tint="-0.34999"/>
      </x:patternFill>
    </x:fill>
    <x:fill>
      <x:patternFill patternType="solid">
        <x:fgColor theme="8" tint="0.59999"/>
      </x:patternFill>
    </x:fill>
    <x:fill>
      <x:patternFill patternType="solid">
        <x:fgColor theme="5" tint="0.59999"/>
      </x:patternFill>
    </x:fill>
    <x:fill>
      <x:patternFill patternType="solid">
        <x:fgColor rgb="FFFFFF99"/>
      </x:patternFill>
    </x:fill>
    <x:fill>
      <x:patternFill patternType="solid">
        <x:fgColor theme="9" tint="0.39979"/>
      </x:patternFill>
    </x:fill>
    <x:fill>
      <x:patternFill patternType="mediumGray">
        <x:fgColor theme="8" tint="0.7998"/>
        <x:bgColor rgb="FFDFECF7"/>
      </x:patternFill>
    </x:fill>
    <x:fill>
      <x:patternFill patternType="solid">
        <x:fgColor rgb="FFFF9999"/>
      </x:patternFill>
    </x:fill>
    <x:fill>
      <x:patternFill patternType="solid">
        <x:fgColor theme="9" tint="0.79998"/>
      </x:patternFill>
    </x:fill>
    <x:fill>
      <x:patternFill patternType="solid">
        <x:fgColor theme="8" tint="0.59999"/>
      </x:patternFill>
    </x:fill>
    <x:fill>
      <x:patternFill patternType="solid">
        <x:fgColor rgb="FFCC99FF"/>
      </x:patternFill>
    </x:fill>
    <x:fill>
      <x:patternFill patternType="solid">
        <x:fgColor theme="7" tint="0.39979"/>
      </x:patternFill>
    </x:fill>
    <x:fill>
      <x:patternFill patternType="solid">
        <x:fgColor theme="5" tint="0.59978"/>
      </x:patternFill>
    </x:fill>
    <x:fill>
      <x:patternFill patternType="solid">
        <x:fgColor rgb="FFD8D8D8"/>
      </x:patternFill>
    </x:fill>
    <x:fill>
      <x:patternFill patternType="solid">
        <x:fgColor theme="0"/>
      </x:patternFill>
    </x:fill>
    <x:fill>
      <x:patternFill patternType="solid">
        <x:fgColor rgb="FFD9D9D9"/>
      </x:patternFill>
    </x:fill>
    <x:fill>
      <x:patternFill patternType="solid">
        <x:fgColor rgb="FFFCE4D6"/>
      </x:patternFill>
    </x:fill>
    <x:fill>
      <x:patternFill patternType="solid">
        <x:fgColor rgb="FFFFEB9C"/>
      </x:patternFill>
    </x:fill>
  </x:fills>
  <x:borders count="149">
    <x:border/>
    <x:border/>
    <x:border>
      <x:bottom style="medium">
        <x:color indexed="64"/>
      </x:bottom>
    </x:border>
    <x:border>
      <x:left style="thin">
        <x:color auto="1"/>
      </x:left>
      <x:right style="thin">
        <x:color auto="1"/>
      </x:right>
      <x:top style="thin">
        <x:color auto="1"/>
      </x:top>
      <x:bottom style="thin">
        <x:color auto="1"/>
      </x:bottom>
    </x:border>
    <x:border>
      <x:bottom style="thin">
        <x:color auto="1"/>
      </x:bottom>
    </x:border>
    <x:border>
      <x:right style="thin">
        <x:color auto="1"/>
      </x:right>
    </x:border>
    <x:border>
      <x:left style="thin">
        <x:color indexed="64"/>
      </x:left>
    </x:border>
    <x:border>
      <x:right style="thin">
        <x:color indexed="64"/>
      </x:right>
      <x:bottom style="thin">
        <x:color indexed="64"/>
      </x:bottom>
    </x:border>
    <x:border>
      <x:left style="thin">
        <x:color auto="1"/>
      </x:left>
      <x:top style="thin">
        <x:color auto="1"/>
      </x:top>
      <x:bottom style="thin">
        <x:color auto="1"/>
      </x:bottom>
    </x:border>
    <x:border>
      <x:top style="thin">
        <x:color auto="1"/>
      </x:top>
    </x:border>
    <x:border>
      <x:right style="thick">
        <x:color auto="1"/>
      </x:right>
    </x:border>
    <x:border>
      <x:left style="thin">
        <x:color auto="1"/>
      </x:left>
      <x:right style="thin">
        <x:color auto="1"/>
      </x:right>
      <x:top style="thin">
        <x:color indexed="22"/>
      </x:top>
      <x:bottom style="thin">
        <x:color indexed="22"/>
      </x:bottom>
    </x:border>
    <x:border>
      <x:left style="thin">
        <x:color indexed="55"/>
      </x:left>
      <x:right style="thin">
        <x:color indexed="55"/>
      </x:right>
      <x:bottom style="thin">
        <x:color auto="1"/>
      </x:bottom>
    </x:border>
    <x:border>
      <x:left style="thick">
        <x:color auto="1"/>
      </x:left>
      <x:right style="thin">
        <x:color indexed="55"/>
      </x:right>
      <x:bottom style="thin">
        <x:color auto="1"/>
      </x:bottom>
    </x:border>
    <x:border>
      <x:right style="thick">
        <x:color auto="1"/>
      </x:right>
      <x:bottom style="thin">
        <x:color auto="1"/>
      </x:bottom>
    </x:border>
    <x:border>
      <x:left style="thin">
        <x:color indexed="64"/>
      </x:left>
      <x:right style="thin">
        <x:color indexed="64"/>
      </x:right>
      <x:top style="thin">
        <x:color indexed="64"/>
      </x:top>
      <x:bottom style="thin">
        <x:color indexed="64"/>
      </x:bottom>
    </x:border>
    <x:border>
      <x:left style="thin">
        <x:color auto="1"/>
      </x:left>
      <x:right style="thin">
        <x:color auto="1"/>
      </x:right>
      <x:top style="double">
        <x:color auto="1"/>
      </x:top>
      <x:bottom style="thin">
        <x:color auto="1"/>
      </x:bottom>
    </x:border>
    <x:border>
      <x:left style="thin">
        <x:color auto="1"/>
      </x:left>
      <x:bottom style="thin">
        <x:color auto="1"/>
      </x:bottom>
    </x:border>
    <x:border>
      <x:left style="thin">
        <x:color indexed="55"/>
      </x:left>
      <x:right style="thin">
        <x:color indexed="55"/>
      </x:right>
      <x:bottom style="double">
        <x:color auto="1"/>
      </x:bottom>
    </x:border>
    <x:border>
      <x:left style="thick">
        <x:color auto="1"/>
      </x:left>
      <x:right style="thin">
        <x:color indexed="55"/>
      </x:right>
      <x:bottom style="double">
        <x:color auto="1"/>
      </x:bottom>
    </x:border>
    <x:border>
      <x:left style="thin">
        <x:color auto="1"/>
      </x:left>
      <x:right style="thick">
        <x:color auto="1"/>
      </x:right>
      <x:bottom style="double">
        <x:color auto="1"/>
      </x:bottom>
    </x:border>
    <x:border>
      <x:left style="thin">
        <x:color auto="1"/>
      </x:left>
      <x:right style="thin">
        <x:color auto="1"/>
      </x:right>
      <x:top style="double">
        <x:color auto="1"/>
      </x:top>
      <x:bottom style="double">
        <x:color auto="1"/>
      </x:bottom>
    </x:border>
    <x:border>
      <x:right style="thin">
        <x:color auto="1"/>
      </x:right>
      <x:top style="double">
        <x:color auto="1"/>
      </x:top>
      <x:bottom style="double">
        <x:color auto="1"/>
      </x:bottom>
    </x:border>
    <x:border>
      <x:left style="thin">
        <x:color auto="1"/>
      </x:left>
      <x:right style="thin">
        <x:color auto="1"/>
      </x:right>
      <x:bottom style="double">
        <x:color auto="1"/>
      </x:bottom>
    </x:border>
    <x:border>
      <x:left style="thin">
        <x:color auto="1"/>
      </x:left>
      <x:top style="double">
        <x:color auto="1"/>
      </x:top>
      <x:bottom style="double">
        <x:color auto="1"/>
      </x:bottom>
    </x:border>
    <x:border>
      <x:top style="double">
        <x:color auto="1"/>
      </x:top>
      <x:bottom style="double">
        <x:color auto="1"/>
      </x:bottom>
    </x:border>
    <x:border>
      <x:left style="thin">
        <x:color indexed="55"/>
      </x:left>
      <x:right style="thin">
        <x:color indexed="55"/>
      </x:right>
      <x:top style="double">
        <x:color auto="1"/>
      </x:top>
    </x:border>
    <x:border>
      <x:left style="thick">
        <x:color auto="1"/>
      </x:left>
      <x:right style="thin">
        <x:color indexed="55"/>
      </x:right>
      <x:top style="double">
        <x:color auto="1"/>
      </x:top>
    </x:border>
    <x:border>
      <x:left style="thin">
        <x:color auto="1"/>
      </x:left>
      <x:right style="thick">
        <x:color auto="1"/>
      </x:right>
    </x:border>
    <x:border>
      <x:left style="thin">
        <x:color auto="1"/>
      </x:left>
      <x:right style="thin">
        <x:color auto="1"/>
      </x:right>
    </x:border>
    <x:border>
      <x:left style="thin">
        <x:color indexed="55"/>
      </x:left>
      <x:right style="thin">
        <x:color indexed="55"/>
      </x:right>
      <x:top style="thin">
        <x:color auto="1"/>
      </x:top>
      <x:bottom style="double">
        <x:color auto="1"/>
      </x:bottom>
    </x:border>
    <x:border>
      <x:left style="thin">
        <x:color auto="1"/>
      </x:left>
      <x:right style="thick">
        <x:color auto="1"/>
      </x:right>
      <x:top style="thin">
        <x:color auto="1"/>
      </x:top>
    </x:border>
    <x:border>
      <x:left style="thin">
        <x:color auto="1"/>
      </x:left>
      <x:right style="thin">
        <x:color auto="1"/>
      </x:right>
      <x:top style="thin">
        <x:color auto="1"/>
      </x:top>
    </x:border>
    <x:border>
      <x:right style="thin">
        <x:color auto="1"/>
      </x:right>
      <x:top style="thin">
        <x:color auto="1"/>
      </x:top>
    </x:border>
    <x:border>
      <x:left style="thick">
        <x:color indexed="56"/>
      </x:left>
      <x:right style="thick">
        <x:color indexed="56"/>
      </x:right>
      <x:bottom style="thick">
        <x:color indexed="56"/>
      </x:bottom>
    </x:border>
    <x:border>
      <x:left style="thick">
        <x:color indexed="56"/>
      </x:left>
      <x:bottom style="thin">
        <x:color auto="1"/>
      </x:bottom>
    </x:border>
    <x:border>
      <x:left style="thick">
        <x:color indexed="56"/>
      </x:left>
      <x:right style="thick">
        <x:color indexed="56"/>
      </x:right>
    </x:border>
    <x:border>
      <x:left style="thick">
        <x:color indexed="56"/>
      </x:left>
    </x:border>
    <x:border>
      <x:left style="thick">
        <x:color indexed="56"/>
      </x:left>
      <x:right style="thick">
        <x:color indexed="56"/>
      </x:right>
      <x:top style="thick">
        <x:color indexed="56"/>
      </x:top>
    </x:border>
    <x:border>
      <x:left style="thin">
        <x:color indexed="55"/>
      </x:left>
      <x:right style="thin">
        <x:color indexed="55"/>
      </x:right>
      <x:top style="thin">
        <x:color auto="1"/>
      </x:top>
      <x:bottom style="double">
        <x:color auto="1"/>
      </x:bottom>
    </x:border>
    <x:border>
      <x:left style="thin">
        <x:color auto="1"/>
      </x:left>
      <x:right style="thin">
        <x:color auto="1"/>
      </x:right>
      <x:bottom style="thin">
        <x:color auto="1"/>
      </x:bottom>
    </x:border>
    <x:border>
      <x:left style="thin">
        <x:color auto="1"/>
      </x:left>
      <x:right style="thin">
        <x:color auto="1"/>
      </x:right>
      <x:top style="thin">
        <x:color indexed="22"/>
      </x:top>
      <x:bottom style="thin">
        <x:color indexed="22"/>
      </x:bottom>
    </x:border>
    <x:border>
      <x:left style="thin">
        <x:color auto="1"/>
      </x:left>
      <x:top style="thin">
        <x:color indexed="22"/>
      </x:top>
      <x:bottom style="thin">
        <x:color indexed="22"/>
      </x:bottom>
    </x:border>
    <x:border>
      <x:right style="thin">
        <x:color auto="1"/>
      </x:right>
      <x:top style="thin">
        <x:color indexed="22"/>
      </x:top>
      <x:bottom style="thin">
        <x:color indexed="22"/>
      </x:bottom>
    </x:border>
    <x:border>
      <x:left style="thin">
        <x:color auto="1"/>
      </x:left>
      <x:right style="thin">
        <x:color auto="1"/>
      </x:right>
      <x:top style="double">
        <x:color auto="1"/>
      </x:top>
    </x:border>
    <x:border>
      <x:right style="medium">
        <x:color indexed="64"/>
      </x:right>
    </x:border>
    <x:border>
      <x:top style="medium">
        <x:color indexed="64"/>
      </x:top>
    </x:border>
    <x:border>
      <x:right style="medium">
        <x:color indexed="64"/>
      </x:right>
      <x:top style="medium">
        <x:color indexed="64"/>
      </x:top>
    </x:border>
    <x:border>
      <x:right style="medium">
        <x:color indexed="64"/>
      </x:right>
      <x:bottom style="medium">
        <x:color indexed="64"/>
      </x:bottom>
    </x:border>
    <x:border>
      <x:right style="thin">
        <x:color indexed="64"/>
      </x:right>
      <x:top style="medium">
        <x:color indexed="64"/>
      </x:top>
    </x:border>
    <x:border>
      <x:right style="thin">
        <x:color indexed="64"/>
      </x:right>
      <x:bottom style="medium">
        <x:color indexed="64"/>
      </x:bottom>
    </x:border>
    <x:border>
      <x:right style="medium">
        <x:color indexed="64"/>
      </x:right>
      <x:bottom style="thin">
        <x:color indexed="64"/>
      </x:bottom>
    </x:border>
    <x:border>
      <x:left style="medium">
        <x:color auto="1"/>
      </x:left>
      <x:bottom style="thin">
        <x:color indexed="64"/>
      </x:bottom>
    </x:border>
    <x:border>
      <x:left style="thin">
        <x:color auto="1"/>
      </x:left>
      <x:top style="thin">
        <x:color auto="1"/>
      </x:top>
    </x:border>
    <x:border>
      <x:left style="thin">
        <x:color indexed="64"/>
      </x:left>
      <x:right style="thin">
        <x:color indexed="64"/>
      </x:right>
      <x:bottom style="thin">
        <x:color indexed="64"/>
      </x:bottom>
    </x:border>
    <x:border>
      <x:right style="thin">
        <x:color auto="1"/>
      </x:right>
      <x:top style="thin">
        <x:color auto="1"/>
      </x:top>
      <x:bottom style="thin">
        <x:color auto="1"/>
      </x:bottom>
    </x:border>
    <x:border>
      <x:left style="thin">
        <x:color rgb="FFBFBFBF"/>
      </x:left>
      <x:right style="thin">
        <x:color rgb="FFBFBFBF"/>
      </x:right>
      <x:top style="thin">
        <x:color rgb="FFBFBFBF"/>
      </x:top>
      <x:bottom style="thin">
        <x:color rgb="FFBFBFBF"/>
      </x:bottom>
    </x:border>
    <x:border>
      <x:left style="thin">
        <x:color indexed="64"/>
      </x:left>
      <x:right style="thin">
        <x:color indexed="64"/>
      </x:right>
      <x:top style="thin">
        <x:color indexed="64"/>
      </x:top>
      <x:bottom style="thin">
        <x:color indexed="64"/>
      </x:bottom>
    </x:border>
    <x:border>
      <x:right style="thin">
        <x:color indexed="64"/>
      </x:right>
    </x:border>
    <x:border>
      <x:bottom style="thin">
        <x:color indexed="64"/>
      </x:bottom>
    </x:border>
    <x:border>
      <x:left style="thin">
        <x:color indexed="55"/>
      </x:left>
      <x:right style="thin">
        <x:color indexed="55"/>
      </x:right>
      <x:top style="double">
        <x:color auto="1"/>
      </x:top>
      <x:bottom style="double">
        <x:color auto="1"/>
      </x:bottom>
    </x:border>
    <x:border>
      <x:left style="thin">
        <x:color indexed="55"/>
      </x:left>
    </x:border>
    <x:border>
      <x:left style="thin">
        <x:color indexed="55"/>
      </x:left>
      <x:right style="thin">
        <x:color indexed="55"/>
      </x:right>
    </x:border>
    <x:border>
      <x:left style="thick">
        <x:color auto="1"/>
      </x:left>
      <x:right style="thin">
        <x:color indexed="55"/>
      </x:right>
      <x:top style="double">
        <x:color auto="1"/>
      </x:top>
      <x:bottom style="double">
        <x:color auto="1"/>
      </x:bottom>
    </x:border>
    <x:border>
      <x:left style="thick">
        <x:color auto="1"/>
      </x:left>
    </x:border>
    <x:border>
      <x:left style="thick">
        <x:color auto="1"/>
      </x:left>
      <x:right style="thin">
        <x:color indexed="55"/>
      </x:right>
    </x:border>
    <x:border>
      <x:right style="thin">
        <x:color auto="1"/>
      </x:right>
      <x:top style="thin">
        <x:color auto="1"/>
      </x:top>
      <x:bottom style="double">
        <x:color auto="1"/>
      </x:bottom>
    </x:border>
    <x:border>
      <x:right style="thin">
        <x:color auto="1"/>
      </x:right>
      <x:bottom style="double">
        <x:color auto="1"/>
      </x:bottom>
    </x:border>
    <x:border>
      <x:left style="thin">
        <x:color auto="1"/>
      </x:left>
      <x:right style="thin">
        <x:color auto="1"/>
      </x:right>
      <x:top style="thin">
        <x:color auto="1"/>
      </x:top>
      <x:bottom style="double">
        <x:color auto="1"/>
      </x:bottom>
    </x:border>
    <x:border>
      <x:left style="thin">
        <x:color auto="1"/>
      </x:left>
    </x:border>
    <x:border>
      <x:left style="thin">
        <x:color auto="1"/>
      </x:left>
      <x:right style="thick">
        <x:color auto="1"/>
      </x:right>
      <x:top style="thin">
        <x:color auto="1"/>
      </x:top>
      <x:bottom style="double">
        <x:color auto="1"/>
      </x:bottom>
    </x:border>
    <x:border>
      <x:left style="thick">
        <x:color indexed="56"/>
      </x:left>
      <x:right style="thick">
        <x:color indexed="56"/>
      </x:right>
      <x:top style="thick">
        <x:color indexed="56"/>
      </x:top>
      <x:bottom style="thick">
        <x:color indexed="56"/>
      </x:bottom>
    </x:border>
    <x:border>
      <x:left style="thick">
        <x:color indexed="56"/>
      </x:left>
      <x:right style="thin">
        <x:color auto="1"/>
      </x:right>
    </x:border>
    <x:border>
      <x:left style="thin">
        <x:color indexed="64"/>
      </x:left>
      <x:right style="thick">
        <x:color auto="1"/>
      </x:right>
    </x:border>
    <x:border>
      <x:left style="thick">
        <x:color indexed="56"/>
      </x:left>
      <x:right style="thin">
        <x:color indexed="64"/>
      </x:right>
      <x:bottom style="thin">
        <x:color auto="1"/>
      </x:bottom>
    </x:border>
    <x:border>
      <x:right style="thin">
        <x:color indexed="64"/>
      </x:right>
      <x:bottom style="thin">
        <x:color auto="1"/>
      </x:bottom>
    </x:border>
    <x:border>
      <x:left style="thin">
        <x:color auto="1"/>
      </x:left>
      <x:right style="thin">
        <x:color auto="1"/>
      </x:right>
      <x:top style="thin">
        <x:color auto="1"/>
      </x:top>
      <x:bottom style="thin">
        <x:color indexed="64"/>
      </x:bottom>
    </x:border>
    <x:border>
      <x:left style="thin">
        <x:color auto="1"/>
      </x:left>
      <x:right style="thin">
        <x:color auto="1"/>
      </x:right>
      <x:bottom style="thin">
        <x:color indexed="64"/>
      </x:bottom>
    </x:border>
    <x:border>
      <x:left style="thin">
        <x:color indexed="64"/>
      </x:left>
      <x:right style="thin">
        <x:color indexed="64"/>
      </x:right>
    </x:border>
    <x:border/>
    <x:border>
      <x:top style="thin">
        <x:color auto="1"/>
      </x:top>
    </x:border>
    <x:border>
      <x:right style="thick">
        <x:color auto="1"/>
      </x:right>
    </x:border>
    <x:border>
      <x:left style="thin">
        <x:color auto="1"/>
      </x:left>
      <x:right style="thin">
        <x:color auto="1"/>
      </x:right>
      <x:top style="thin">
        <x:color indexed="22"/>
      </x:top>
      <x:bottom style="thin">
        <x:color indexed="22"/>
      </x:bottom>
    </x:border>
    <x:border>
      <x:left style="thin">
        <x:color indexed="64"/>
      </x:left>
    </x:border>
    <x:border>
      <x:bottom style="thin">
        <x:color auto="1"/>
      </x:bottom>
    </x:border>
    <x:border>
      <x:left style="thin">
        <x:color indexed="55"/>
      </x:left>
      <x:right style="thin">
        <x:color indexed="55"/>
      </x:right>
      <x:bottom style="thin">
        <x:color auto="1"/>
      </x:bottom>
    </x:border>
    <x:border>
      <x:left style="thick">
        <x:color auto="1"/>
      </x:left>
      <x:right style="thin">
        <x:color indexed="55"/>
      </x:right>
      <x:bottom style="thin">
        <x:color auto="1"/>
      </x:bottom>
    </x:border>
    <x:border>
      <x:right style="thick">
        <x:color auto="1"/>
      </x:right>
      <x:bottom style="thin">
        <x:color auto="1"/>
      </x:bottom>
    </x:border>
    <x:border>
      <x:left style="thin">
        <x:color indexed="64"/>
      </x:left>
      <x:right style="thin">
        <x:color indexed="64"/>
      </x:right>
      <x:top style="thin">
        <x:color indexed="64"/>
      </x:top>
      <x:bottom style="thin">
        <x:color indexed="64"/>
      </x:bottom>
    </x:border>
    <x:border>
      <x:left style="thin">
        <x:color auto="1"/>
      </x:left>
      <x:right style="thin">
        <x:color auto="1"/>
      </x:right>
      <x:top style="double">
        <x:color auto="1"/>
      </x:top>
      <x:bottom style="thin">
        <x:color auto="1"/>
      </x:bottom>
    </x:border>
    <x:border>
      <x:left style="thin">
        <x:color auto="1"/>
      </x:left>
      <x:bottom style="thin">
        <x:color auto="1"/>
      </x:bottom>
    </x:border>
    <x:border>
      <x:left style="thin">
        <x:color auto="1"/>
      </x:left>
      <x:top style="thin">
        <x:color auto="1"/>
      </x:top>
      <x:bottom style="thin">
        <x:color auto="1"/>
      </x:bottom>
    </x:border>
    <x:border>
      <x:left style="thin">
        <x:color auto="1"/>
      </x:left>
      <x:right style="thin">
        <x:color auto="1"/>
      </x:right>
      <x:top style="double">
        <x:color auto="1"/>
      </x:top>
      <x:bottom style="double">
        <x:color auto="1"/>
      </x:bottom>
    </x:border>
    <x:border>
      <x:right style="thin">
        <x:color auto="1"/>
      </x:right>
      <x:top style="double">
        <x:color auto="1"/>
      </x:top>
      <x:bottom style="double">
        <x:color auto="1"/>
      </x:bottom>
    </x:border>
    <x:border>
      <x:left style="thin">
        <x:color auto="1"/>
      </x:left>
      <x:top style="double">
        <x:color auto="1"/>
      </x:top>
      <x:bottom style="double">
        <x:color auto="1"/>
      </x:bottom>
    </x:border>
    <x:border>
      <x:top style="double">
        <x:color auto="1"/>
      </x:top>
      <x:bottom style="double">
        <x:color auto="1"/>
      </x:bottom>
    </x:border>
    <x:border>
      <x:left style="thin">
        <x:color indexed="55"/>
      </x:left>
      <x:right style="thin">
        <x:color indexed="55"/>
      </x:right>
      <x:top style="thin">
        <x:color auto="1"/>
      </x:top>
      <x:bottom style="double">
        <x:color auto="1"/>
      </x:bottom>
    </x:border>
    <x:border>
      <x:left style="thin">
        <x:color auto="1"/>
      </x:left>
      <x:right style="thin">
        <x:color auto="1"/>
      </x:right>
      <x:top style="thin">
        <x:color auto="1"/>
      </x:top>
      <x:bottom style="thin">
        <x:color auto="1"/>
      </x:bottom>
    </x:border>
    <x:border>
      <x:left style="thin">
        <x:color auto="1"/>
      </x:left>
      <x:right style="thin">
        <x:color auto="1"/>
      </x:right>
    </x:border>
    <x:border>
      <x:left style="thin">
        <x:color auto="1"/>
      </x:left>
      <x:top style="thin">
        <x:color indexed="22"/>
      </x:top>
      <x:bottom style="thin">
        <x:color indexed="22"/>
      </x:bottom>
    </x:border>
    <x:border>
      <x:right style="thin">
        <x:color auto="1"/>
      </x:right>
      <x:top style="thin">
        <x:color indexed="22"/>
      </x:top>
      <x:bottom style="thin">
        <x:color indexed="22"/>
      </x:bottom>
    </x:border>
    <x:border>
      <x:left style="thin">
        <x:color auto="1"/>
      </x:left>
      <x:right style="thin">
        <x:color auto="1"/>
      </x:right>
      <x:top style="double">
        <x:color auto="1"/>
      </x:top>
    </x:border>
    <x:border>
      <x:bottom style="medium">
        <x:color indexed="64"/>
      </x:bottom>
    </x:border>
    <x:border>
      <x:right style="medium">
        <x:color indexed="64"/>
      </x:right>
    </x:border>
    <x:border>
      <x:right style="thin">
        <x:color auto="1"/>
      </x:right>
    </x:border>
    <x:border>
      <x:top style="medium">
        <x:color indexed="64"/>
      </x:top>
    </x:border>
    <x:border>
      <x:right style="thin">
        <x:color indexed="64"/>
      </x:right>
      <x:top style="medium">
        <x:color indexed="64"/>
      </x:top>
    </x:border>
    <x:border>
      <x:right style="medium">
        <x:color indexed="64"/>
      </x:right>
      <x:top style="medium">
        <x:color indexed="64"/>
      </x:top>
    </x:border>
    <x:border>
      <x:right style="medium">
        <x:color indexed="64"/>
      </x:right>
      <x:bottom style="thin">
        <x:color indexed="64"/>
      </x:bottom>
    </x:border>
    <x:border>
      <x:right style="thin">
        <x:color indexed="64"/>
      </x:right>
      <x:bottom style="thin">
        <x:color indexed="64"/>
      </x:bottom>
    </x:border>
    <x:border>
      <x:right style="thin">
        <x:color auto="1"/>
      </x:right>
      <x:top style="thin">
        <x:color auto="1"/>
      </x:top>
    </x:border>
    <x:border>
      <x:left style="medium">
        <x:color auto="1"/>
      </x:left>
      <x:bottom style="thin">
        <x:color indexed="64"/>
      </x:bottom>
    </x:border>
    <x:border>
      <x:right style="thin">
        <x:color indexed="64"/>
      </x:right>
      <x:bottom style="medium">
        <x:color indexed="64"/>
      </x:bottom>
    </x:border>
    <x:border>
      <x:right style="medium">
        <x:color indexed="64"/>
      </x:right>
      <x:bottom style="medium">
        <x:color indexed="64"/>
      </x:bottom>
    </x:border>
    <x:border>
      <x:left style="thin">
        <x:color auto="1"/>
      </x:left>
      <x:right style="thin">
        <x:color auto="1"/>
      </x:right>
      <x:top style="thin">
        <x:color auto="1"/>
      </x:top>
    </x:border>
    <x:border>
      <x:left style="thin">
        <x:color auto="1"/>
      </x:left>
      <x:top style="thin">
        <x:color auto="1"/>
      </x:top>
    </x:border>
    <x:border>
      <x:right style="thin">
        <x:color auto="1"/>
      </x:right>
      <x:top style="thin">
        <x:color auto="1"/>
      </x:top>
      <x:bottom style="thin">
        <x:color auto="1"/>
      </x:bottom>
    </x:border>
    <x:border>
      <x:left style="thin">
        <x:color indexed="64"/>
      </x:left>
      <x:right style="thin">
        <x:color indexed="64"/>
      </x:right>
      <x:bottom style="thin">
        <x:color indexed="64"/>
      </x:bottom>
    </x:border>
    <x:border>
      <x:left style="thin">
        <x:color rgb="FFBFBFBF"/>
      </x:left>
      <x:right style="thin">
        <x:color rgb="FFBFBFBF"/>
      </x:right>
      <x:top style="thin">
        <x:color rgb="FFBFBFBF"/>
      </x:top>
      <x:bottom style="thin">
        <x:color rgb="FFBFBFBF"/>
      </x:bottom>
    </x:border>
    <x:border>
      <x:left style="thin">
        <x:color auto="1"/>
      </x:left>
      <x:right style="thin">
        <x:color auto="1"/>
      </x:right>
      <x:bottom style="double">
        <x:color auto="1"/>
      </x:bottom>
    </x:border>
    <x:border>
      <x:left style="thin">
        <x:color auto="1"/>
      </x:left>
      <x:right style="thick">
        <x:color auto="1"/>
      </x:right>
      <x:top style="thin">
        <x:color auto="1"/>
      </x:top>
    </x:border>
    <x:border>
      <x:left style="thin">
        <x:color auto="1"/>
      </x:left>
      <x:right style="thick">
        <x:color auto="1"/>
      </x:right>
    </x:border>
    <x:border>
      <x:left style="thin">
        <x:color auto="1"/>
      </x:left>
      <x:right style="thick">
        <x:color auto="1"/>
      </x:right>
      <x:bottom style="double">
        <x:color auto="1"/>
      </x:bottom>
    </x:border>
    <x:border>
      <x:left style="thick">
        <x:color indexed="56"/>
      </x:left>
      <x:right style="thick">
        <x:color indexed="56"/>
      </x:right>
      <x:top style="thick">
        <x:color indexed="56"/>
      </x:top>
    </x:border>
    <x:border>
      <x:left style="thick">
        <x:color indexed="56"/>
      </x:left>
      <x:right style="thick">
        <x:color indexed="56"/>
      </x:right>
    </x:border>
    <x:border>
      <x:left style="thick">
        <x:color indexed="56"/>
      </x:left>
      <x:right style="thick">
        <x:color indexed="56"/>
      </x:right>
      <x:bottom style="thick">
        <x:color indexed="56"/>
      </x:bottom>
    </x:border>
    <x:border>
      <x:left style="thick">
        <x:color indexed="56"/>
      </x:left>
    </x:border>
    <x:border>
      <x:left style="thin">
        <x:color auto="1"/>
      </x:left>
      <x:right style="thin">
        <x:color auto="1"/>
      </x:right>
      <x:bottom style="thin">
        <x:color auto="1"/>
      </x:bottom>
    </x:border>
    <x:border>
      <x:left style="thick">
        <x:color indexed="56"/>
      </x:left>
      <x:bottom style="thin">
        <x:color auto="1"/>
      </x:bottom>
    </x:border>
    <x:border>
      <x:left style="thin">
        <x:color indexed="55"/>
      </x:left>
      <x:right style="thin">
        <x:color indexed="55"/>
      </x:right>
      <x:top style="double">
        <x:color auto="1"/>
      </x:top>
    </x:border>
    <x:border>
      <x:left style="thin">
        <x:color indexed="55"/>
      </x:left>
      <x:right style="thin">
        <x:color indexed="55"/>
      </x:right>
      <x:bottom style="double">
        <x:color auto="1"/>
      </x:bottom>
    </x:border>
    <x:border>
      <x:left style="thick">
        <x:color auto="1"/>
      </x:left>
      <x:right style="thin">
        <x:color indexed="55"/>
      </x:right>
      <x:top style="double">
        <x:color auto="1"/>
      </x:top>
    </x:border>
    <x:border>
      <x:left style="thick">
        <x:color auto="1"/>
      </x:left>
      <x:right style="thin">
        <x:color indexed="55"/>
      </x:right>
      <x:bottom style="double">
        <x:color auto="1"/>
      </x:bottom>
    </x:border>
    <x:border>
      <x:right style="thin">
        <x:color indexed="64"/>
      </x:right>
    </x:border>
    <x:border>
      <x:bottom style="thin">
        <x:color indexed="64"/>
      </x:bottom>
    </x:border>
    <x:border>
      <x:left style="thick">
        <x:color indexed="56"/>
      </x:left>
      <x:right style="thick">
        <x:color indexed="56"/>
      </x:right>
      <x:top style="thick">
        <x:color indexed="56"/>
      </x:top>
      <x:bottom style="thick">
        <x:color indexed="56"/>
      </x:bottom>
    </x:border>
    <x:border>
      <x:left style="thick">
        <x:color indexed="56"/>
      </x:left>
      <x:right style="thin">
        <x:color auto="1"/>
      </x:right>
    </x:border>
    <x:border>
      <x:left style="thin">
        <x:color indexed="64"/>
      </x:left>
      <x:right style="thick">
        <x:color auto="1"/>
      </x:right>
    </x:border>
    <x:border>
      <x:left style="thick">
        <x:color indexed="56"/>
      </x:left>
      <x:right style="thin">
        <x:color indexed="64"/>
      </x:right>
      <x:bottom style="thin">
        <x:color auto="1"/>
      </x:bottom>
    </x:border>
    <x:border>
      <x:right style="thin">
        <x:color indexed="64"/>
      </x:right>
      <x:bottom style="thin">
        <x:color auto="1"/>
      </x:bottom>
    </x:border>
    <x:border>
      <x:right style="thin">
        <x:color auto="1"/>
      </x:right>
      <x:top style="thin">
        <x:color auto="1"/>
      </x:top>
      <x:bottom style="double">
        <x:color auto="1"/>
      </x:bottom>
    </x:border>
    <x:border>
      <x:left style="thin">
        <x:color auto="1"/>
      </x:left>
      <x:right style="thin">
        <x:color auto="1"/>
      </x:right>
      <x:top style="thin">
        <x:color auto="1"/>
      </x:top>
      <x:bottom style="double">
        <x:color auto="1"/>
      </x:bottom>
    </x:border>
    <x:border>
      <x:left style="thin">
        <x:color auto="1"/>
      </x:left>
      <x:right style="thick">
        <x:color auto="1"/>
      </x:right>
      <x:top style="thin">
        <x:color auto="1"/>
      </x:top>
      <x:bottom style="double">
        <x:color auto="1"/>
      </x:bottom>
    </x:border>
    <x:border>
      <x:left style="thick">
        <x:color auto="1"/>
      </x:left>
      <x:right style="thin">
        <x:color indexed="55"/>
      </x:right>
      <x:top style="double">
        <x:color auto="1"/>
      </x:top>
      <x:bottom style="double">
        <x:color auto="1"/>
      </x:bottom>
    </x:border>
    <x:border>
      <x:left style="thin">
        <x:color indexed="55"/>
      </x:left>
      <x:right style="thin">
        <x:color indexed="55"/>
      </x:right>
      <x:top style="double">
        <x:color auto="1"/>
      </x:top>
      <x:bottom style="double">
        <x:color auto="1"/>
      </x:bottom>
    </x:border>
    <x:border>
      <x:right style="thin">
        <x:color auto="1"/>
      </x:right>
      <x:bottom style="double">
        <x:color auto="1"/>
      </x:bottom>
    </x:border>
    <x:border>
      <x:left style="thin">
        <x:color auto="1"/>
      </x:left>
      <x:right style="thin">
        <x:color auto="1"/>
      </x:right>
      <x:top style="thin">
        <x:color auto="1"/>
      </x:top>
      <x:bottom style="thin">
        <x:color indexed="64"/>
      </x:bottom>
    </x:border>
    <x:border>
      <x:left style="thin">
        <x:color auto="1"/>
      </x:left>
      <x:right style="thin">
        <x:color auto="1"/>
      </x:right>
      <x:bottom style="thin">
        <x:color indexed="64"/>
      </x:bottom>
    </x:border>
    <x:border>
      <x:left style="thin">
        <x:color indexed="64"/>
      </x:left>
      <x:right style="thin">
        <x:color indexed="64"/>
      </x:right>
    </x:border>
  </x:borders>
  <x:cellStyleXfs count="11">
    <x:xf numFmtId="0" fontId="0" fillId="0" borderId="1"/>
    <x:xf numFmtId="0" fontId="3" fillId="0" borderId="1"/>
    <x:xf numFmtId="9" fontId="3" fillId="0" borderId="1"/>
    <x:xf numFmtId="0" fontId="10" fillId="0" borderId="1"/>
    <x:xf numFmtId="0" fontId="10" fillId="0" borderId="1"/>
    <x:xf numFmtId="0" fontId="11" fillId="0" borderId="1"/>
    <x:xf numFmtId="0" fontId="3" fillId="0" borderId="1"/>
    <x:xf numFmtId="0" fontId="14" fillId="0" borderId="1"/>
    <x:xf numFmtId="0" fontId="14" fillId="0" borderId="1"/>
    <x:xf numFmtId="0" fontId="24" fillId="0" borderId="1"/>
    <x:xf numFmtId="0" fontId="27" fillId="0" borderId="1"/>
  </x:cellStyleXfs>
  <x:cellXfs count="1224">
    <x:xf numFmtId="0" fontId="0" fillId="0" borderId="0" xfId="0"/>
    <x:xf numFmtId="0" fontId="5" fillId="0" borderId="1" xfId="6" applyAlignment="1">
      <x:alignment vertical="top"/>
    </x:xf>
    <x:xf numFmtId="0" fontId="5" fillId="0" borderId="1" xfId="6" applyAlignment="1">
      <x:alignment horizontal="center" vertical="top" wrapText="1"/>
    </x:xf>
    <x:xf numFmtId="0" fontId="12" fillId="0" borderId="1" xfId="6" applyAlignment="1">
      <x:alignment horizontal="left" vertical="top" wrapText="1"/>
    </x:xf>
    <x:xf numFmtId="0" fontId="12" fillId="0" borderId="1" xfId="6" applyAlignment="1">
      <x:alignment horizontal="left" vertical="center" wrapText="1"/>
    </x:xf>
    <x:xf numFmtId="14" fontId="12" fillId="0" borderId="1" xfId="6" applyAlignment="1">
      <x:alignment horizontal="center" vertical="center" wrapText="1"/>
    </x:xf>
    <x:xf numFmtId="0" fontId="12" fillId="0" borderId="1" xfId="6" applyAlignment="1">
      <x:alignment horizontal="center" vertical="center" wrapText="1"/>
    </x:xf>
    <x:xf numFmtId="14" fontId="12" fillId="0" borderId="1" xfId="6" applyAlignment="1">
      <x:alignment horizontal="center" vertical="top" wrapText="1"/>
    </x:xf>
    <x:xf numFmtId="0" fontId="12" fillId="0" borderId="1" xfId="6" applyAlignment="1">
      <x:alignment horizontal="center" vertical="top" wrapText="1"/>
    </x:xf>
    <x:xf numFmtId="14" fontId="12" fillId="0" borderId="1" xfId="6" applyAlignment="1">
      <x:alignment horizontal="left" vertical="top" wrapText="1"/>
    </x:xf>
    <x:xf numFmtId="0" fontId="12" fillId="0" borderId="1" xfId="6" applyAlignment="1">
      <x:alignment horizontal="left" wrapText="1"/>
    </x:xf>
    <x:xf numFmtId="0" fontId="12" fillId="0" borderId="1" xfId="6" applyAlignment="1">
      <x:alignment horizontal="center" wrapText="1"/>
    </x:xf>
    <x:xf numFmtId="14" fontId="12" fillId="0" borderId="1" xfId="6" applyAlignment="1">
      <x:alignment horizontal="center" wrapText="1"/>
    </x:xf>
    <x:xf numFmtId="0" fontId="14" fillId="0" borderId="1" xfId="7"/>
    <x:xf numFmtId="0" fontId="14" fillId="3" borderId="1" xfId="7"/>
    <x:xf numFmtId="164" fontId="14" fillId="0" borderId="1" xfId="7"/>
    <x:xf numFmtId="0" fontId="14" fillId="0" borderId="1" xfId="7" applyAlignment="1">
      <x:alignment horizontal="left" wrapText="1"/>
    </x:xf>
    <x:xf numFmtId="164" fontId="14" fillId="0" borderId="1" xfId="7" applyAlignment="1">
      <x:alignment horizontal="center"/>
    </x:xf>
    <x:xf numFmtId="0" fontId="14" fillId="0" borderId="1" xfId="7" applyAlignment="1">
      <x:alignment horizontal="center" wrapText="1"/>
    </x:xf>
    <x:xf numFmtId="0" fontId="14" fillId="0" borderId="1" xfId="7" applyAlignment="1">
      <x:alignment wrapText="1"/>
    </x:xf>
    <x:xf numFmtId="0" fontId="14" fillId="0" borderId="1" xfId="7" applyAlignment="1">
      <x:alignment horizontal="left" vertical="top" wrapText="1"/>
    </x:xf>
    <x:xf numFmtId="164" fontId="14" fillId="4" borderId="1" xfId="7" applyAlignment="1">
      <x:alignment vertical="top"/>
    </x:xf>
    <x:xf numFmtId="0" fontId="15" fillId="4" borderId="1" xfId="7" applyAlignment="1">
      <x:alignment horizontal="center" vertical="top"/>
    </x:xf>
    <x:xf numFmtId="164" fontId="15" fillId="4" borderId="1" xfId="7" applyAlignment="1">
      <x:alignment horizontal="left" vertical="top"/>
    </x:xf>
    <x:xf numFmtId="0" fontId="14" fillId="4" borderId="1" xfId="7" applyAlignment="1">
      <x:alignment horizontal="center" vertical="top" wrapText="1"/>
    </x:xf>
    <x:xf numFmtId="0" fontId="14" fillId="4" borderId="1" xfId="7" applyAlignment="1">
      <x:alignment vertical="top" wrapText="1"/>
    </x:xf>
    <x:xf numFmtId="0" fontId="14" fillId="0" borderId="1" xfId="7" applyAlignment="1">
      <x:alignment horizontal="right"/>
    </x:xf>
    <x:xf numFmtId="165" fontId="14" fillId="0" borderId="1" xfId="7" applyAlignment="1">
      <x:alignment horizontal="right"/>
    </x:xf>
    <x:xf numFmtId="165" fontId="14" fillId="0" borderId="1" xfId="7" applyAlignment="1">
      <x:alignment horizontal="right" vertical="top"/>
    </x:xf>
    <x:xf numFmtId="0" fontId="14" fillId="5" borderId="1" xfId="7" applyAlignment="1">
      <x:alignment horizontal="right"/>
    </x:xf>
    <x:xf numFmtId="164" fontId="14" fillId="4" borderId="9" xfId="7" applyAlignment="1">
      <x:alignment vertical="top"/>
    </x:xf>
    <x:xf numFmtId="0" fontId="15" fillId="4" borderId="9" xfId="7" applyAlignment="1">
      <x:alignment horizontal="center" vertical="top"/>
    </x:xf>
    <x:xf numFmtId="164" fontId="15" fillId="4" borderId="9" xfId="7" applyAlignment="1">
      <x:alignment horizontal="left" vertical="top"/>
    </x:xf>
    <x:xf numFmtId="0" fontId="14" fillId="4" borderId="9" xfId="7" applyAlignment="1">
      <x:alignment horizontal="center" vertical="top" wrapText="1"/>
    </x:xf>
    <x:xf numFmtId="0" fontId="14" fillId="4" borderId="9" xfId="7" applyAlignment="1">
      <x:alignment vertical="top" wrapText="1"/>
    </x:xf>
    <x:xf numFmtId="166" fontId="14" fillId="0" borderId="10" xfId="7" applyAlignment="1">
      <x:alignment horizontal="center" vertical="top"/>
    </x:xf>
    <x:xf numFmtId="164" fontId="14" fillId="6" borderId="11" xfId="7" applyAlignment="1">
      <x:alignment horizontal="right" vertical="top"/>
    </x:xf>
    <x:xf numFmtId="0" fontId="14" fillId="0" borderId="6" xfId="7" applyAlignment="1">
      <x:alignment horizontal="center" vertical="top" wrapText="1"/>
    </x:xf>
    <x:xf numFmtId="0" fontId="14" fillId="0" borderId="6" xfId="7" applyAlignment="1">
      <x:alignment horizontal="left" vertical="top" wrapText="1"/>
    </x:xf>
    <x:xf numFmtId="0" fontId="12" fillId="0" borderId="6" xfId="7" applyAlignment="1">
      <x:alignment horizontal="center" vertical="top" wrapText="1"/>
    </x:xf>
    <x:xf numFmtId="0" fontId="14" fillId="3" borderId="4" xfId="7" applyAlignment="1">
      <x:alignment horizontal="right"/>
    </x:xf>
    <x:xf numFmtId="165" fontId="14" fillId="3" borderId="12" xfId="7" applyAlignment="1">
      <x:alignment horizontal="right" vertical="top"/>
    </x:xf>
    <x:xf numFmtId="165" fontId="16" fillId="3" borderId="12" xfId="7" applyAlignment="1">
      <x:alignment horizontal="right" vertical="top"/>
    </x:xf>
    <x:xf numFmtId="165" fontId="14" fillId="3" borderId="13" xfId="7" applyAlignment="1">
      <x:alignment horizontal="right" vertical="top"/>
    </x:xf>
    <x:xf numFmtId="166" fontId="14" fillId="3" borderId="14" xfId="7" applyAlignment="1">
      <x:alignment vertical="top"/>
    </x:xf>
    <x:xf numFmtId="164" fontId="14" fillId="3" borderId="15" xfId="7" applyAlignment="1">
      <x:alignment horizontal="right" vertical="top"/>
    </x:xf>
    <x:xf numFmtId="49" fontId="14" fillId="3" borderId="16" xfId="7" applyAlignment="1">
      <x:alignment horizontal="left" vertical="top" wrapText="1"/>
    </x:xf>
    <x:xf numFmtId="0" fontId="14" fillId="3" borderId="17" xfId="7" applyAlignment="1">
      <x:alignment horizontal="center" vertical="top" wrapText="1"/>
    </x:xf>
    <x:xf numFmtId="0" fontId="14" fillId="3" borderId="8" xfId="7" applyAlignment="1">
      <x:alignment vertical="top" wrapText="1"/>
    </x:xf>
    <x:xf numFmtId="164" fontId="18" fillId="6" borderId="21" xfId="7" applyAlignment="1">
      <x:alignment horizontal="right" vertical="center"/>
    </x:xf>
    <x:xf numFmtId="0" fontId="18" fillId="6" borderId="21" xfId="7" applyAlignment="1">
      <x:alignment horizontal="center" vertical="center" wrapText="1"/>
    </x:xf>
    <x:xf numFmtId="164" fontId="18" fillId="6" borderId="22" xfId="7" applyAlignment="1">
      <x:alignment horizontal="right" vertical="center"/>
    </x:xf>
    <x:xf numFmtId="0" fontId="18" fillId="6" borderId="24" xfId="7" applyAlignment="1">
      <x:alignment horizontal="center" vertical="center" wrapText="1"/>
    </x:xf>
    <x:xf numFmtId="0" fontId="14" fillId="6" borderId="25" xfId="7" applyAlignment="1">
      <x:alignment horizontal="right"/>
    </x:xf>
    <x:xf numFmtId="0" fontId="14" fillId="3" borderId="6" xfId="7" applyAlignment="1">
      <x:alignment vertical="top" wrapText="1"/>
    </x:xf>
    <x:xf numFmtId="0" fontId="14" fillId="7" borderId="1" xfId="7" applyAlignment="1">
      <x:alignment horizontal="right"/>
    </x:xf>
    <x:xf numFmtId="14" fontId="15" fillId="3" borderId="30" xfId="7" applyAlignment="1">
      <x:alignment horizontal="center" vertical="top"/>
    </x:xf>
    <x:xf numFmtId="14" fontId="14" fillId="7" borderId="1" xfId="7" applyAlignment="1">
      <x:alignment horizontal="center" vertical="top"/>
    </x:xf>
    <x:xf numFmtId="14" fontId="14" fillId="0" borderId="1" xfId="7" applyAlignment="1">
      <x:alignment horizontal="center" vertical="top"/>
    </x:xf>
    <x:xf numFmtId="49" fontId="14" fillId="0" borderId="1" xfId="7" applyAlignment="1">
      <x:alignment horizontal="center" vertical="top"/>
    </x:xf>
    <x:xf numFmtId="14" fontId="14" fillId="8" borderId="1" xfId="7" applyAlignment="1">
      <x:alignment horizontal="center" vertical="top"/>
    </x:xf>
    <x:xf numFmtId="165" fontId="18" fillId="3" borderId="15" xfId="7" applyAlignment="1">
      <x:alignment horizontal="left"/>
    </x:xf>
    <x:xf numFmtId="49" fontId="14" fillId="7" borderId="1" xfId="7" applyAlignment="1">
      <x:alignment horizontal="center" vertical="top"/>
    </x:xf>
    <x:xf numFmtId="49" fontId="14" fillId="8" borderId="1" xfId="7" applyAlignment="1">
      <x:alignment horizontal="center" vertical="top"/>
    </x:xf>
    <x:xf numFmtId="14" fontId="15" fillId="3" borderId="39" xfId="7" applyAlignment="1">
      <x:alignment horizontal="center" vertical="top"/>
    </x:xf>
    <x:xf numFmtId="165" fontId="18" fillId="3" borderId="3" xfId="7" applyAlignment="1">
      <x:alignment horizontal="left"/>
    </x:xf>
    <x:xf numFmtId="0" fontId="12" fillId="0" borderId="1" xfId="7" applyAlignment="1">
      <x:alignment horizontal="left" vertical="top" wrapText="1"/>
    </x:xf>
    <x:xf numFmtId="0" fontId="2" fillId="0" borderId="1" xfId="6"/>
    <x:xf numFmtId="17" fontId="2" fillId="0" borderId="1" xfId="6" applyAlignment="1">
      <x:alignment horizontal="left" vertical="top"/>
    </x:xf>
    <x:xf numFmtId="14" fontId="7" fillId="0" borderId="1" xfId="6" applyAlignment="1">
      <x:alignment horizontal="left" vertical="top"/>
    </x:xf>
    <x:xf numFmtId="49" fontId="7" fillId="0" borderId="1" xfId="6" applyAlignment="1">
      <x:alignment horizontal="left" vertical="top"/>
    </x:xf>
    <x:xf numFmtId="14" fontId="7" fillId="0" borderId="1" xfId="6" applyAlignment="1">
      <x:alignment horizontal="left" vertical="top" wrapText="1"/>
    </x:xf>
    <x:xf numFmtId="0" fontId="7" fillId="0" borderId="1" xfId="6" applyAlignment="1">
      <x:alignment horizontal="left" vertical="top"/>
    </x:xf>
    <x:xf numFmtId="0" fontId="7" fillId="0" borderId="1" xfId="6" applyAlignment="1">
      <x:alignment horizontal="left" vertical="top" wrapText="1"/>
    </x:xf>
    <x:xf numFmtId="0" fontId="2" fillId="0" borderId="1" xfId="6" applyAlignment="1">
      <x:alignment horizontal="left" vertical="top"/>
    </x:xf>
    <x:xf numFmtId="14" fontId="2" fillId="0" borderId="1" xfId="6" applyAlignment="1">
      <x:alignment horizontal="left" vertical="top" wrapText="1"/>
    </x:xf>
    <x:xf numFmtId="0" fontId="2" fillId="0" borderId="1" xfId="6" applyAlignment="1">
      <x:alignment horizontal="left"/>
    </x:xf>
    <x:xf numFmtId="0" fontId="6" fillId="0" borderId="1" xfId="6" applyAlignment="1">
      <x:alignment horizontal="left"/>
    </x:xf>
    <x:xf numFmtId="165" fontId="5" fillId="0" borderId="1" xfId="6" applyAlignment="1">
      <x:alignment horizontal="center" vertical="top" wrapText="1"/>
    </x:xf>
    <x:xf numFmtId="0" fontId="23" fillId="0" borderId="6" xfId="7" applyAlignment="1">
      <x:alignment horizontal="center" vertical="top" wrapText="1"/>
    </x:xf>
    <x:xf numFmtId="165" fontId="14" fillId="0" borderId="29" xfId="7" applyAlignment="1">
      <x:alignment horizontal="right"/>
    </x:xf>
    <x:xf numFmtId="0" fontId="14" fillId="0" borderId="1" xfId="7" applyAlignment="1">
      <x:alignment horizontal="center"/>
    </x:xf>
    <x:xf numFmtId="14" fontId="7" fillId="0" borderId="1" xfId="6" applyAlignment="1">
      <x:alignment horizontal="center" vertical="top"/>
    </x:xf>
    <x:xf numFmtId="0" fontId="2" fillId="0" borderId="1" xfId="6" applyAlignment="1">
      <x:alignment horizontal="center"/>
    </x:xf>
    <x:xf numFmtId="0" fontId="6" fillId="0" borderId="1" xfId="6" applyAlignment="1">
      <x:alignment horizontal="center"/>
    </x:xf>
    <x:xf numFmtId="0" fontId="7" fillId="0" borderId="1" xfId="6" applyAlignment="1">
      <x:alignment horizontal="center" vertical="top"/>
    </x:xf>
    <x:xf numFmtId="164" fontId="14" fillId="6" borderId="41" xfId="7" applyAlignment="1">
      <x:alignment horizontal="right" vertical="top"/>
    </x:xf>
    <x:xf numFmtId="165" fontId="12" fillId="0" borderId="1" xfId="7" applyAlignment="1">
      <x:alignment horizontal="left" vertical="top"/>
    </x:xf>
    <x:xf numFmtId="0" fontId="12" fillId="0" borderId="1" xfId="7" applyAlignment="1">
      <x:alignment horizontal="left" vertical="center" wrapText="1"/>
    </x:xf>
    <x:xf numFmtId="165" fontId="12" fillId="0" borderId="1" xfId="7" applyAlignment="1">
      <x:alignment horizontal="left" vertical="top" wrapText="1"/>
    </x:xf>
    <x:xf numFmtId="164" fontId="14" fillId="6" borderId="42" xfId="7" applyAlignment="1">
      <x:alignment horizontal="right" vertical="top"/>
    </x:xf>
    <x:xf numFmtId="164" fontId="14" fillId="6" borderId="43" xfId="7" applyAlignment="1">
      <x:alignment horizontal="right" vertical="top"/>
    </x:xf>
    <x:xf numFmtId="49" fontId="14" fillId="3" borderId="44" xfId="7" applyAlignment="1">
      <x:alignment horizontal="left" vertical="top" wrapText="1"/>
    </x:xf>
    <x:xf numFmtId="0" fontId="12" fillId="0" borderId="1" xfId="0" applyAlignment="1">
      <x:alignment horizontal="left" vertical="top" wrapText="1"/>
    </x:xf>
    <x:xf numFmtId="0" fontId="5" fillId="0" borderId="1" xfId="6" applyAlignment="1">
      <x:alignment horizontal="center" vertical="center"/>
    </x:xf>
    <x:xf numFmtId="0" fontId="14" fillId="0" borderId="1" xfId="7" applyAlignment="1">
      <x:alignment horizontal="center" vertical="center"/>
    </x:xf>
    <x:xf numFmtId="49" fontId="14" fillId="0" borderId="1" xfId="7" applyAlignment="1">
      <x:alignment horizontal="center" vertical="center"/>
    </x:xf>
    <x:xf numFmtId="14" fontId="14" fillId="0" borderId="1" xfId="7" applyAlignment="1">
      <x:alignment horizontal="center" vertical="center"/>
    </x:xf>
    <x:xf numFmtId="14" fontId="15" fillId="3" borderId="39" xfId="7" applyAlignment="1">
      <x:alignment horizontal="center" vertical="center"/>
    </x:xf>
    <x:xf numFmtId="165" fontId="14" fillId="3" borderId="12" xfId="7" applyAlignment="1">
      <x:alignment horizontal="center" vertical="center"/>
    </x:xf>
    <x:xf numFmtId="165" fontId="14" fillId="0" borderId="1" xfId="7" applyAlignment="1">
      <x:alignment horizontal="center" vertical="center"/>
    </x:xf>
    <x:xf numFmtId="165" fontId="14" fillId="0" borderId="1" xfId="7" applyAlignment="1">
      <x:alignment horizontal="center" vertical="center"/>
    </x:xf>
    <x:xf numFmtId="0" fontId="14" fillId="5" borderId="1" xfId="7" applyAlignment="1">
      <x:alignment horizontal="center" vertical="center"/>
    </x:xf>
    <x:xf numFmtId="0" fontId="25" fillId="0" borderId="1" xfId="6" applyAlignment="1">
      <x:alignment horizontal="left" vertical="center" wrapText="1"/>
    </x:xf>
    <x:xf numFmtId="0" fontId="25" fillId="0" borderId="1" xfId="6" applyAlignment="1">
      <x:alignment horizontal="left" vertical="top" wrapText="1"/>
    </x:xf>
    <x:xf numFmtId="165" fontId="16" fillId="3" borderId="12" xfId="7" applyAlignment="1">
      <x:alignment horizontal="center" vertical="center"/>
    </x:xf>
    <x:xf numFmtId="0" fontId="25" fillId="0" borderId="1" xfId="6" applyAlignment="1">
      <x:alignment horizontal="center" vertical="center" wrapText="1"/>
    </x:xf>
    <x:xf numFmtId="0" fontId="14" fillId="0" borderId="1" xfId="6" applyAlignment="1">
      <x:alignment horizontal="center" vertical="center" wrapText="1"/>
    </x:xf>
    <x:xf numFmtId="14" fontId="14" fillId="0" borderId="1" xfId="6" applyAlignment="1">
      <x:alignment horizontal="center" vertical="center" wrapText="1"/>
    </x:xf>
    <x:xf numFmtId="165" fontId="25" fillId="0" borderId="1" xfId="7" applyAlignment="1">
      <x:alignment horizontal="left" vertical="top"/>
    </x:xf>
    <x:xf numFmtId="0" fontId="4" fillId="0" borderId="1" xfId="6" applyAlignment="1">
      <x:alignment vertical="top"/>
    </x:xf>
    <x:xf numFmtId="165" fontId="4" fillId="0" borderId="1" xfId="6" applyAlignment="1">
      <x:alignment vertical="top"/>
    </x:xf>
    <x:xf numFmtId="0" fontId="12" fillId="0" borderId="15" xfId="9" applyAlignment="1">
      <x:alignment vertical="top" wrapText="1"/>
    </x:xf>
    <x:xf numFmtId="0" fontId="13" fillId="0" borderId="1" xfId="6" applyAlignment="1">
      <x:alignment horizontal="center" wrapText="1"/>
    </x:xf>
    <x:xf numFmtId="0" fontId="12" fillId="0" borderId="1" xfId="6" applyAlignment="1">
      <x:alignment wrapText="1"/>
    </x:xf>
    <x:xf numFmtId="0" fontId="12" fillId="0" borderId="1" xfId="7" applyAlignment="1">
      <x:alignment horizontal="center"/>
    </x:xf>
    <x:xf numFmtId="0" fontId="12" fillId="0" borderId="1" xfId="7" applyAlignment="1">
      <x:alignment horizontal="center" vertical="center"/>
    </x:xf>
    <x:xf numFmtId="49" fontId="12" fillId="0" borderId="1" xfId="7" applyAlignment="1">
      <x:alignment horizontal="center" vertical="top"/>
    </x:xf>
    <x:xf numFmtId="49" fontId="12" fillId="0" borderId="1" xfId="7" applyAlignment="1">
      <x:alignment horizontal="center" vertical="center"/>
    </x:xf>
    <x:xf numFmtId="0" fontId="12" fillId="0" borderId="1" xfId="6" applyAlignment="1">
      <x:alignment vertical="center" wrapText="1"/>
    </x:xf>
    <x:xf numFmtId="14" fontId="12" fillId="0" borderId="1" xfId="7" applyAlignment="1">
      <x:alignment horizontal="center" vertical="center"/>
    </x:xf>
    <x:xf numFmtId="165" fontId="12" fillId="0" borderId="1" xfId="7" applyAlignment="1">
      <x:alignment horizontal="right" vertical="top"/>
    </x:xf>
    <x:xf numFmtId="165" fontId="12" fillId="0" borderId="1" xfId="7" applyAlignment="1">
      <x:alignment horizontal="right"/>
    </x:xf>
    <x:xf numFmtId="165" fontId="12" fillId="0" borderId="1" xfId="7" applyAlignment="1">
      <x:alignment horizontal="center" vertical="center"/>
    </x:xf>
    <x:xf numFmtId="165" fontId="12" fillId="0" borderId="1" xfId="7" applyAlignment="1">
      <x:alignment horizontal="center" vertical="center"/>
    </x:xf>
    <x:xf numFmtId="0" fontId="12" fillId="0" borderId="6" xfId="7" applyAlignment="1">
      <x:alignment horizontal="left" vertical="top" wrapText="1"/>
    </x:xf>
    <x:xf numFmtId="166" fontId="12" fillId="0" borderId="10" xfId="7" applyAlignment="1">
      <x:alignment horizontal="center" vertical="top"/>
    </x:xf>
    <x:xf numFmtId="165" fontId="12" fillId="0" borderId="29" xfId="7" applyAlignment="1">
      <x:alignment horizontal="right"/>
    </x:xf>
    <x:xf numFmtId="165" fontId="12" fillId="0" borderId="1" xfId="7" applyAlignment="1">
      <x:alignment horizontal="right"/>
    </x:xf>
    <x:xf numFmtId="165" fontId="12" fillId="0" borderId="1" xfId="7" applyAlignment="1">
      <x:alignment horizontal="right" vertical="top"/>
    </x:xf>
    <x:xf numFmtId="0" fontId="12" fillId="0" borderId="15" xfId="6" applyAlignment="1">
      <x:alignment horizontal="center" vertical="center" wrapText="1"/>
    </x:xf>
    <x:xf numFmtId="14" fontId="12" fillId="0" borderId="15" xfId="6" applyAlignment="1">
      <x:alignment horizontal="center" vertical="center" wrapText="1"/>
    </x:xf>
    <x:xf numFmtId="0" fontId="12" fillId="0" borderId="15" xfId="6" applyAlignment="1">
      <x:alignment horizontal="left" vertical="center" wrapText="1"/>
    </x:xf>
    <x:xf numFmtId="0" fontId="12" fillId="0" borderId="15" xfId="6" applyAlignment="1">
      <x:alignment wrapText="1"/>
    </x:xf>
    <x:xf numFmtId="0" fontId="28" fillId="0" borderId="1" xfId="10"/>
    <x:xf numFmtId="0" fontId="29" fillId="0" borderId="1" xfId="10"/>
    <x:xf numFmtId="0" fontId="30" fillId="0" borderId="1" xfId="10" applyAlignment="1">
      <x:alignment horizontal="center"/>
    </x:xf>
    <x:xf numFmtId="0" fontId="30" fillId="0" borderId="1" xfId="10" applyAlignment="1">
      <x:alignment vertical="center"/>
    </x:xf>
    <x:xf numFmtId="0" fontId="31" fillId="0" borderId="1" xfId="10"/>
    <x:xf numFmtId="0" fontId="30" fillId="0" borderId="1" xfId="10"/>
    <x:xf numFmtId="0" fontId="30" fillId="0" borderId="1" xfId="10" applyAlignment="1">
      <x:alignment horizontal="center"/>
    </x:xf>
    <x:xf numFmtId="0" fontId="32" fillId="0" borderId="1" xfId="10"/>
    <x:xf numFmtId="0" fontId="31" fillId="0" borderId="2" xfId="10"/>
    <x:xf numFmtId="0" fontId="33" fillId="0" borderId="2" xfId="10" applyAlignment="1">
      <x:alignment wrapText="1"/>
    </x:xf>
    <x:xf numFmtId="0" fontId="33" fillId="0" borderId="1" xfId="10" applyAlignment="1">
      <x:alignment wrapText="1"/>
    </x:xf>
    <x:xf numFmtId="0" fontId="28" fillId="0" borderId="45" xfId="10"/>
    <x:xf numFmtId="0" fontId="34" fillId="9" borderId="1" xfId="10" applyAlignment="1">
      <x:alignment vertical="center"/>
    </x:xf>
    <x:xf numFmtId="0" fontId="34" fillId="9" borderId="5" xfId="10" applyAlignment="1">
      <x:alignment vertical="center"/>
    </x:xf>
    <x:xf numFmtId="0" fontId="34" fillId="10" borderId="46" xfId="10" applyAlignment="1">
      <x:alignment vertical="center"/>
    </x:xf>
    <x:xf numFmtId="0" fontId="35" fillId="10" borderId="49" xfId="10" applyAlignment="1">
      <x:alignment vertical="center"/>
    </x:xf>
    <x:xf numFmtId="0" fontId="35" fillId="11" borderId="46" xfId="10" applyAlignment="1">
      <x:alignment vertical="center"/>
    </x:xf>
    <x:xf numFmtId="0" fontId="35" fillId="11" borderId="49" xfId="10" applyAlignment="1">
      <x:alignment vertical="center"/>
    </x:xf>
    <x:xf numFmtId="0" fontId="35" fillId="12" borderId="46" xfId="10" applyAlignment="1">
      <x:alignment vertical="center"/>
    </x:xf>
    <x:xf numFmtId="0" fontId="35" fillId="12" borderId="47" xfId="10" applyAlignment="1">
      <x:alignment vertical="center"/>
    </x:xf>
    <x:xf numFmtId="0" fontId="34" fillId="10" borderId="1" xfId="10" applyAlignment="1">
      <x:alignment horizontal="right" vertical="center"/>
    </x:xf>
    <x:xf numFmtId="0" fontId="34" fillId="10" borderId="1" xfId="10" applyAlignment="1">
      <x:alignment vertical="center"/>
    </x:xf>
    <x:xf numFmtId="0" fontId="35" fillId="10" borderId="5" xfId="10" applyAlignment="1">
      <x:alignment vertical="center"/>
    </x:xf>
    <x:xf numFmtId="0" fontId="36" fillId="11" borderId="1" xfId="10" applyAlignment="1">
      <x:alignment vertical="center"/>
    </x:xf>
    <x:xf numFmtId="0" fontId="35" fillId="11" borderId="1" xfId="10" applyAlignment="1">
      <x:alignment vertical="center"/>
    </x:xf>
    <x:xf numFmtId="0" fontId="35" fillId="11" borderId="5" xfId="10" applyAlignment="1">
      <x:alignment vertical="center"/>
    </x:xf>
    <x:xf numFmtId="0" fontId="35" fillId="12" borderId="1" xfId="10" applyAlignment="1">
      <x:alignment vertical="center"/>
    </x:xf>
    <x:xf numFmtId="0" fontId="35" fillId="12" borderId="45" xfId="10" applyAlignment="1">
      <x:alignment vertical="center"/>
    </x:xf>
    <x:xf numFmtId="0" fontId="34" fillId="9" borderId="1" xfId="10" applyAlignment="1">
      <x:alignment horizontal="center" vertical="center"/>
    </x:xf>
    <x:xf numFmtId="3" fontId="34" fillId="10" borderId="1" xfId="10" applyAlignment="1">
      <x:alignment vertical="center"/>
    </x:xf>
    <x:xf numFmtId="0" fontId="37" fillId="11" borderId="1" xfId="10" applyAlignment="1">
      <x:alignment vertical="center"/>
    </x:xf>
    <x:xf numFmtId="0" fontId="38" fillId="12" borderId="1" xfId="10" applyAlignment="1">
      <x:alignment vertical="center"/>
    </x:xf>
    <x:xf numFmtId="0" fontId="31" fillId="12" borderId="1" xfId="10" applyAlignment="1">
      <x:alignment vertical="center"/>
    </x:xf>
    <x:xf numFmtId="0" fontId="35" fillId="9" borderId="1" xfId="10" applyAlignment="1">
      <x:alignment horizontal="center" vertical="center"/>
    </x:xf>
    <x:xf numFmtId="0" fontId="31" fillId="11" borderId="1" xfId="10" applyAlignment="1">
      <x:alignment vertical="center"/>
    </x:xf>
    <x:xf numFmtId="0" fontId="34" fillId="9" borderId="4" xfId="10" applyAlignment="1">
      <x:alignment horizontal="center" vertical="center"/>
    </x:xf>
    <x:xf numFmtId="0" fontId="34" fillId="9" borderId="4" xfId="10" applyAlignment="1">
      <x:alignment vertical="center"/>
    </x:xf>
    <x:xf numFmtId="0" fontId="35" fillId="12" borderId="17" xfId="10" applyAlignment="1">
      <x:alignment vertical="center"/>
    </x:xf>
    <x:xf numFmtId="0" fontId="35" fillId="12" borderId="4" xfId="10" applyAlignment="1">
      <x:alignment vertical="center"/>
    </x:xf>
    <x:xf numFmtId="0" fontId="31" fillId="12" borderId="4" xfId="10" applyAlignment="1">
      <x:alignment vertical="center"/>
    </x:xf>
    <x:xf numFmtId="0" fontId="35" fillId="12" borderId="51" xfId="10" applyAlignment="1">
      <x:alignment vertical="center"/>
    </x:xf>
    <x:xf numFmtId="0" fontId="34" fillId="10" borderId="1" xfId="10" applyAlignment="1">
      <x:alignment horizontal="center" vertical="center"/>
    </x:xf>
    <x:xf numFmtId="0" fontId="36" fillId="13" borderId="1" xfId="10" applyAlignment="1">
      <x:alignment vertical="center"/>
    </x:xf>
    <x:xf numFmtId="0" fontId="39" fillId="13" borderId="1" xfId="10" applyAlignment="1">
      <x:alignment vertical="center"/>
    </x:xf>
    <x:xf numFmtId="0" fontId="40" fillId="13" borderId="1" xfId="10" applyAlignment="1">
      <x:alignment vertical="center"/>
    </x:xf>
    <x:xf numFmtId="0" fontId="35" fillId="13" borderId="1" xfId="10" applyAlignment="1">
      <x:alignment vertical="center"/>
    </x:xf>
    <x:xf numFmtId="0" fontId="35" fillId="13" borderId="5" xfId="10" applyAlignment="1">
      <x:alignment vertical="center"/>
    </x:xf>
    <x:xf numFmtId="0" fontId="36" fillId="14" borderId="1" xfId="10" applyAlignment="1">
      <x:alignment vertical="center"/>
    </x:xf>
    <x:xf numFmtId="0" fontId="39" fillId="14" borderId="1" xfId="10" applyAlignment="1">
      <x:alignment vertical="center"/>
    </x:xf>
    <x:xf numFmtId="0" fontId="40" fillId="14" borderId="1" xfId="10" applyAlignment="1">
      <x:alignment vertical="center"/>
    </x:xf>
    <x:xf numFmtId="0" fontId="35" fillId="14" borderId="1" xfId="10" applyAlignment="1">
      <x:alignment vertical="center"/>
    </x:xf>
    <x:xf numFmtId="0" fontId="35" fillId="14" borderId="45" xfId="10" applyAlignment="1">
      <x:alignment vertical="center"/>
    </x:xf>
    <x:xf numFmtId="0" fontId="35" fillId="10" borderId="1" xfId="10" applyAlignment="1">
      <x:alignment vertical="center"/>
    </x:xf>
    <x:xf numFmtId="0" fontId="31" fillId="10" borderId="1" xfId="10" applyAlignment="1">
      <x:alignment vertical="center"/>
    </x:xf>
    <x:xf numFmtId="0" fontId="37" fillId="13" borderId="1" xfId="10" applyAlignment="1">
      <x:alignment vertical="center"/>
    </x:xf>
    <x:xf numFmtId="0" fontId="37" fillId="14" borderId="1" xfId="10" applyAlignment="1">
      <x:alignment vertical="center"/>
    </x:xf>
    <x:xf numFmtId="0" fontId="31" fillId="13" borderId="1" xfId="10" applyAlignment="1">
      <x:alignment vertical="center"/>
    </x:xf>
    <x:xf numFmtId="0" fontId="31" fillId="14" borderId="1" xfId="10" applyAlignment="1">
      <x:alignment vertical="center"/>
    </x:xf>
    <x:xf numFmtId="0" fontId="35" fillId="0" borderId="1" xfId="10" applyAlignment="1">
      <x:alignment wrapText="1"/>
    </x:xf>
    <x:xf numFmtId="0" fontId="28" fillId="10" borderId="4" xfId="10" applyAlignment="1">
      <x:alignment vertical="center"/>
    </x:xf>
    <x:xf numFmtId="0" fontId="28" fillId="10" borderId="7" xfId="10" applyAlignment="1">
      <x:alignment vertical="center"/>
    </x:xf>
    <x:xf numFmtId="0" fontId="35" fillId="11" borderId="4" xfId="10" applyAlignment="1">
      <x:alignment vertical="center"/>
    </x:xf>
    <x:xf numFmtId="0" fontId="31" fillId="11" borderId="4" xfId="10" applyAlignment="1">
      <x:alignment vertical="center"/>
    </x:xf>
    <x:xf numFmtId="0" fontId="31" fillId="11" borderId="7" xfId="10" applyAlignment="1">
      <x:alignment vertical="center"/>
    </x:xf>
    <x:xf numFmtId="0" fontId="35" fillId="14" borderId="4" xfId="10" applyAlignment="1">
      <x:alignment vertical="center"/>
    </x:xf>
    <x:xf numFmtId="0" fontId="31" fillId="14" borderId="4" xfId="10" applyAlignment="1">
      <x:alignment vertical="center"/>
    </x:xf>
    <x:xf numFmtId="0" fontId="31" fillId="14" borderId="51" xfId="10" applyAlignment="1">
      <x:alignment vertical="center"/>
    </x:xf>
    <x:xf numFmtId="0" fontId="35" fillId="15" borderId="1" xfId="10" applyAlignment="1">
      <x:alignment vertical="center"/>
    </x:xf>
    <x:xf numFmtId="0" fontId="35" fillId="15" borderId="33" xfId="10" applyAlignment="1">
      <x:alignment vertical="center"/>
    </x:xf>
    <x:xf numFmtId="0" fontId="36" fillId="16" borderId="1" xfId="10" applyAlignment="1">
      <x:alignment vertical="center"/>
    </x:xf>
    <x:xf numFmtId="0" fontId="39" fillId="16" borderId="1" xfId="10" applyAlignment="1">
      <x:alignment vertical="center"/>
    </x:xf>
    <x:xf numFmtId="0" fontId="40" fillId="16" borderId="1" xfId="10" applyAlignment="1">
      <x:alignment vertical="center"/>
    </x:xf>
    <x:xf numFmtId="0" fontId="35" fillId="16" borderId="1" xfId="10" applyAlignment="1">
      <x:alignment vertical="center"/>
    </x:xf>
    <x:xf numFmtId="0" fontId="35" fillId="16" borderId="5" xfId="10" applyAlignment="1">
      <x:alignment vertical="center"/>
    </x:xf>
    <x:xf numFmtId="0" fontId="36" fillId="17" borderId="1" xfId="10" applyAlignment="1">
      <x:alignment vertical="center"/>
    </x:xf>
    <x:xf numFmtId="0" fontId="39" fillId="17" borderId="1" xfId="10" applyAlignment="1">
      <x:alignment vertical="center"/>
    </x:xf>
    <x:xf numFmtId="0" fontId="40" fillId="17" borderId="1" xfId="10" applyAlignment="1">
      <x:alignment vertical="center"/>
    </x:xf>
    <x:xf numFmtId="0" fontId="35" fillId="17" borderId="1" xfId="10" applyAlignment="1">
      <x:alignment vertical="center"/>
    </x:xf>
    <x:xf numFmtId="0" fontId="35" fillId="17" borderId="45" xfId="10" applyAlignment="1">
      <x:alignment vertical="center"/>
    </x:xf>
    <x:xf numFmtId="0" fontId="35" fillId="15" borderId="5" xfId="10" applyAlignment="1">
      <x:alignment vertical="center"/>
    </x:xf>
    <x:xf numFmtId="0" fontId="37" fillId="16" borderId="1" xfId="10" applyAlignment="1">
      <x:alignment vertical="center"/>
    </x:xf>
    <x:xf numFmtId="0" fontId="37" fillId="17" borderId="1" xfId="10" applyAlignment="1">
      <x:alignment vertical="center"/>
    </x:xf>
    <x:xf numFmtId="0" fontId="35" fillId="15" borderId="52" xfId="10" applyAlignment="1">
      <x:alignment vertical="center"/>
    </x:xf>
    <x:xf numFmtId="0" fontId="35" fillId="15" borderId="4" xfId="10" applyAlignment="1">
      <x:alignment vertical="center"/>
    </x:xf>
    <x:xf numFmtId="0" fontId="35" fillId="15" borderId="7" xfId="10" applyAlignment="1">
      <x:alignment vertical="center"/>
    </x:xf>
    <x:xf numFmtId="0" fontId="31" fillId="16" borderId="4" xfId="10" applyAlignment="1">
      <x:alignment vertical="center"/>
    </x:xf>
    <x:xf numFmtId="0" fontId="35" fillId="16" borderId="4" xfId="10" applyAlignment="1">
      <x:alignment vertical="center"/>
    </x:xf>
    <x:xf numFmtId="0" fontId="35" fillId="16" borderId="7" xfId="10" applyAlignment="1">
      <x:alignment vertical="center"/>
    </x:xf>
    <x:xf numFmtId="0" fontId="31" fillId="17" borderId="1" xfId="10" applyAlignment="1">
      <x:alignment vertical="center"/>
    </x:xf>
    <x:xf numFmtId="0" fontId="35" fillId="18" borderId="1" xfId="10" applyAlignment="1">
      <x:alignment vertical="center"/>
    </x:xf>
    <x:xf numFmtId="0" fontId="35" fillId="18" borderId="9" xfId="10" applyAlignment="1">
      <x:alignment vertical="center"/>
    </x:xf>
    <x:xf numFmtId="0" fontId="35" fillId="18" borderId="5" xfId="10" applyAlignment="1">
      <x:alignment vertical="center"/>
    </x:xf>
    <x:xf numFmtId="0" fontId="35" fillId="18" borderId="4" xfId="10" applyAlignment="1">
      <x:alignment vertical="center"/>
    </x:xf>
    <x:xf numFmtId="0" fontId="41" fillId="18" borderId="4" xfId="10"/>
    <x:xf numFmtId="0" fontId="31" fillId="18" borderId="4" xfId="10" applyAlignment="1">
      <x:alignment vertical="center"/>
    </x:xf>
    <x:xf numFmtId="0" fontId="31" fillId="18" borderId="7" xfId="10" applyAlignment="1">
      <x:alignment vertical="center"/>
    </x:xf>
    <x:xf numFmtId="0" fontId="35" fillId="17" borderId="4" xfId="10" applyAlignment="1">
      <x:alignment vertical="center"/>
    </x:xf>
    <x:xf numFmtId="0" fontId="31" fillId="17" borderId="4" xfId="10" applyAlignment="1">
      <x:alignment vertical="center"/>
    </x:xf>
    <x:xf numFmtId="0" fontId="31" fillId="17" borderId="51" xfId="10" applyAlignment="1">
      <x:alignment vertical="center"/>
    </x:xf>
    <x:xf numFmtId="0" fontId="36" fillId="19" borderId="1" xfId="10" applyAlignment="1">
      <x:alignment vertical="center"/>
    </x:xf>
    <x:xf numFmtId="0" fontId="39" fillId="19" borderId="1" xfId="10" applyAlignment="1">
      <x:alignment vertical="center"/>
    </x:xf>
    <x:xf numFmtId="0" fontId="40" fillId="19" borderId="1" xfId="10" applyAlignment="1">
      <x:alignment vertical="center"/>
    </x:xf>
    <x:xf numFmtId="0" fontId="35" fillId="19" borderId="1" xfId="10" applyAlignment="1">
      <x:alignment vertical="center"/>
    </x:xf>
    <x:xf numFmtId="0" fontId="35" fillId="19" borderId="5" xfId="10" applyAlignment="1">
      <x:alignment vertical="center"/>
    </x:xf>
    <x:xf numFmtId="0" fontId="35" fillId="13" borderId="45" xfId="10" applyAlignment="1">
      <x:alignment vertical="center"/>
    </x:xf>
    <x:xf numFmtId="0" fontId="37" fillId="19" borderId="1" xfId="10" applyAlignment="1">
      <x:alignment vertical="center"/>
    </x:xf>
    <x:xf numFmtId="0" fontId="31" fillId="19" borderId="1" xfId="10" applyAlignment="1">
      <x:alignment vertical="center"/>
    </x:xf>
    <x:xf numFmtId="0" fontId="31" fillId="18" borderId="1" xfId="10" applyAlignment="1">
      <x:alignment vertical="center"/>
    </x:xf>
    <x:xf numFmtId="0" fontId="31" fillId="18" borderId="5" xfId="10" applyAlignment="1">
      <x:alignment vertical="center"/>
    </x:xf>
    <x:xf numFmtId="0" fontId="35" fillId="18" borderId="2" xfId="10" applyAlignment="1">
      <x:alignment vertical="center"/>
    </x:xf>
    <x:xf numFmtId="0" fontId="41" fillId="18" borderId="2" xfId="10"/>
    <x:xf numFmtId="0" fontId="31" fillId="18" borderId="2" xfId="10" applyAlignment="1">
      <x:alignment vertical="center"/>
    </x:xf>
    <x:xf numFmtId="0" fontId="31" fillId="18" borderId="50" xfId="10" applyAlignment="1">
      <x:alignment vertical="center"/>
    </x:xf>
    <x:xf numFmtId="0" fontId="35" fillId="19" borderId="4" xfId="10" applyAlignment="1">
      <x:alignment vertical="center"/>
    </x:xf>
    <x:xf numFmtId="0" fontId="31" fillId="19" borderId="4" xfId="10" applyAlignment="1">
      <x:alignment vertical="center"/>
    </x:xf>
    <x:xf numFmtId="0" fontId="31" fillId="19" borderId="7" xfId="10" applyAlignment="1">
      <x:alignment vertical="center"/>
    </x:xf>
    <x:xf numFmtId="0" fontId="35" fillId="13" borderId="2" xfId="10" applyAlignment="1">
      <x:alignment vertical="center"/>
    </x:xf>
    <x:xf numFmtId="0" fontId="31" fillId="13" borderId="2" xfId="10" applyAlignment="1">
      <x:alignment vertical="center"/>
    </x:xf>
    <x:xf numFmtId="0" fontId="31" fillId="13" borderId="48" xfId="10" applyAlignment="1">
      <x:alignment vertical="center"/>
    </x:xf>
    <x:xf numFmtId="0" fontId="35" fillId="0" borderId="1" xfId="10"/>
    <x:xf numFmtId="0" fontId="35" fillId="0" borderId="5" xfId="10"/>
    <x:xf numFmtId="0" fontId="42" fillId="0" borderId="1" xfId="10" applyAlignment="1">
      <x:alignment horizontal="left"/>
    </x:xf>
    <x:xf numFmtId="0" fontId="28" fillId="0" borderId="1" xfId="10"/>
    <x:xf numFmtId="0" fontId="35" fillId="0" borderId="1" xfId="10" applyAlignment="1">
      <x:alignment horizontal="left"/>
    </x:xf>
    <x:xf numFmtId="0" fontId="28" fillId="0" borderId="1" xfId="10" applyAlignment="1">
      <x:alignment horizontal="center"/>
    </x:xf>
    <x:xf numFmtId="0" fontId="28" fillId="0" borderId="1" xfId="10" applyAlignment="1">
      <x:alignment vertical="center" wrapText="1"/>
    </x:xf>
    <x:xf numFmtId="0" fontId="45" fillId="0" borderId="1" xfId="10"/>
    <x:xf numFmtId="0" fontId="27" fillId="0" borderId="1" xfId="10"/>
    <x:xf numFmtId="0" fontId="48" fillId="0" borderId="1" xfId="10" applyAlignment="1">
      <x:alignment vertical="top" wrapText="1"/>
    </x:xf>
    <x:xf numFmtId="0" fontId="48" fillId="0" borderId="1" xfId="10"/>
    <x:xf numFmtId="167" fontId="48" fillId="0" borderId="1" xfId="10"/>
    <x:xf numFmtId="14" fontId="48" fillId="0" borderId="1" xfId="10"/>
    <x:xf numFmtId="0" fontId="48" fillId="0" borderId="1" xfId="10" applyAlignment="1">
      <x:alignment horizontal="right" vertical="top"/>
    </x:xf>
    <x:xf numFmtId="167" fontId="0" fillId="0" borderId="0" xfId="0"/>
    <x:xf numFmtId="0" fontId="51" fillId="0" borderId="1" xfId="10" applyAlignment="1">
      <x:alignment horizontal="right" vertical="top"/>
    </x:xf>
    <x:xf numFmtId="4" fontId="48" fillId="0" borderId="1" xfId="10" applyAlignment="1">
      <x:alignment horizontal="left" vertical="top"/>
    </x:xf>
    <x:xf numFmtId="0" fontId="48" fillId="0" borderId="1" xfId="10" applyAlignment="1">
      <x:alignment horizontal="left" vertical="top"/>
    </x:xf>
    <x:xf numFmtId="14" fontId="48" fillId="0" borderId="1" xfId="10" applyAlignment="1">
      <x:alignment horizontal="left" vertical="top"/>
    </x:xf>
    <x:xf numFmtId="167" fontId="48" fillId="0" borderId="1" xfId="10" applyAlignment="1">
      <x:alignment horizontal="left" vertical="top"/>
    </x:xf>
    <x:xf numFmtId="0" fontId="51" fillId="20" borderId="32" xfId="10" applyAlignment="1">
      <x:alignment horizontal="center" vertical="top"/>
    </x:xf>
    <x:xf numFmtId="4" fontId="51" fillId="20" borderId="32" xfId="10" applyAlignment="1">
      <x:alignment horizontal="center"/>
    </x:xf>
    <x:xf numFmtId="0" fontId="51" fillId="20" borderId="32" xfId="10" applyAlignment="1">
      <x:alignment horizontal="center"/>
    </x:xf>
    <x:xf numFmtId="167" fontId="51" fillId="20" borderId="32" xfId="10" applyAlignment="1">
      <x:alignment horizontal="center"/>
    </x:xf>
    <x:xf numFmtId="14" fontId="51" fillId="20" borderId="32" xfId="10" applyAlignment="1">
      <x:alignment horizontal="center"/>
    </x:xf>
    <x:xf numFmtId="0" fontId="52" fillId="0" borderId="32" xfId="10" applyAlignment="1">
      <x:alignment horizontal="left" vertical="top" wrapText="1"/>
    </x:xf>
    <x:xf numFmtId="0" fontId="51" fillId="11" borderId="53" xfId="10" applyAlignment="1">
      <x:alignment horizontal="right" vertical="top"/>
    </x:xf>
    <x:xf numFmtId="164" fontId="51" fillId="11" borderId="32" xfId="10" applyAlignment="1">
      <x:alignment horizontal="right"/>
    </x:xf>
    <x:xf numFmtId="0" fontId="51" fillId="11" borderId="8" xfId="10" applyAlignment="1">
      <x:alignment horizontal="right" vertical="top"/>
    </x:xf>
    <x:xf numFmtId="164" fontId="48" fillId="0" borderId="1" xfId="10" applyAlignment="1">
      <x:alignment horizontal="left" vertical="top"/>
    </x:xf>
    <x:xf numFmtId="164" fontId="51" fillId="20" borderId="32" xfId="10" applyAlignment="1">
      <x:alignment horizontal="center"/>
    </x:xf>
    <x:xf numFmtId="0" fontId="48" fillId="0" borderId="1" xfId="10" applyAlignment="1">
      <x:alignment wrapText="1"/>
    </x:xf>
    <x:xf numFmtId="0" fontId="51" fillId="11" borderId="6" xfId="10" applyAlignment="1">
      <x:alignment horizontal="right" vertical="top"/>
    </x:xf>
    <x:xf numFmtId="0" fontId="48" fillId="0" borderId="55" xfId="10"/>
    <x:xf numFmtId="0" fontId="13" fillId="0" borderId="32" xfId="10" applyAlignment="1">
      <x:alignment horizontal="left" vertical="top" wrapText="1"/>
    </x:xf>
    <x:xf numFmtId="0" fontId="49" fillId="0" borderId="1" xfId="10" applyAlignment="1">
      <x:alignment horizontal="left" vertical="top"/>
    </x:xf>
    <x:xf numFmtId="0" fontId="51" fillId="0" borderId="1" xfId="10" applyAlignment="1">
      <x:alignment horizontal="left" vertical="top"/>
    </x:xf>
    <x:xf numFmtId="0" fontId="57" fillId="0" borderId="1" xfId="10" applyAlignment="1">
      <x:alignment wrapText="1"/>
    </x:xf>
    <x:xf numFmtId="164" fontId="0" fillId="0" borderId="0" xfId="0"/>
    <x:xf numFmtId="0" fontId="48" fillId="0" borderId="1" xfId="10" applyAlignment="1">
      <x:alignment vertical="top"/>
    </x:xf>
    <x:xf numFmtId="0" fontId="52" fillId="0" borderId="15" xfId="10" applyAlignment="1">
      <x:alignment wrapText="1"/>
    </x:xf>
    <x:xf numFmtId="0" fontId="52" fillId="0" borderId="54" xfId="10" applyAlignment="1">
      <x:alignment wrapText="1"/>
    </x:xf>
    <x:xf numFmtId="165" fontId="16" fillId="3" borderId="12" xfId="7" applyAlignment="1">
      <x:alignment horizontal="center" vertical="top"/>
    </x:xf>
    <x:xf numFmtId="165" fontId="14" fillId="3" borderId="12" xfId="7" applyAlignment="1">
      <x:alignment horizontal="center" vertical="top"/>
    </x:xf>
    <x:xf numFmtId="165" fontId="12" fillId="0" borderId="1" xfId="7" applyAlignment="1">
      <x:alignment horizontal="center" vertical="top"/>
    </x:xf>
    <x:xf numFmtId="165" fontId="12" fillId="0" borderId="1" xfId="7" applyAlignment="1">
      <x:alignment horizontal="center"/>
    </x:xf>
    <x:xf numFmtId="165" fontId="14" fillId="0" borderId="1" xfId="7" applyAlignment="1">
      <x:alignment horizontal="center" vertical="top"/>
    </x:xf>
    <x:xf numFmtId="165" fontId="12" fillId="0" borderId="1" xfId="7" applyAlignment="1">
      <x:alignment horizontal="center"/>
    </x:xf>
    <x:xf numFmtId="165" fontId="12" fillId="0" borderId="1" xfId="7" applyAlignment="1">
      <x:alignment horizontal="center" vertical="top"/>
    </x:xf>
    <x:xf numFmtId="165" fontId="14" fillId="0" borderId="1" xfId="7" applyAlignment="1">
      <x:alignment horizontal="center"/>
    </x:xf>
    <x:xf numFmtId="0" fontId="14" fillId="5" borderId="1" xfId="7" applyAlignment="1">
      <x:alignment horizontal="center"/>
    </x:xf>
    <x:xf numFmtId="165" fontId="4" fillId="0" borderId="56" xfId="0" applyAlignment="1">
      <x:alignment wrapText="1"/>
    </x:xf>
    <x:xf numFmtId="165" fontId="12" fillId="0" borderId="1" xfId="7" applyAlignment="1">
      <x:alignment horizontal="right" vertical="top" wrapText="1"/>
    </x:xf>
    <x:xf numFmtId="166" fontId="14" fillId="0" borderId="10" xfId="7" applyAlignment="1">
      <x:alignment horizontal="center" vertical="top" wrapText="1"/>
    </x:xf>
    <x:xf numFmtId="0" fontId="25" fillId="0" borderId="56" xfId="0" applyAlignment="1">
      <x:alignment horizontal="left" wrapText="1"/>
    </x:xf>
    <x:xf numFmtId="165" fontId="14" fillId="0" borderId="1" xfId="7" applyAlignment="1">
      <x:alignment horizontal="right" wrapText="1"/>
    </x:xf>
    <x:xf numFmtId="167" fontId="5" fillId="0" borderId="1" xfId="6" applyAlignment="1">
      <x:alignment horizontal="center" vertical="top" wrapText="1"/>
    </x:xf>
    <x:xf numFmtId="14" fontId="5" fillId="0" borderId="1" xfId="6" applyAlignment="1">
      <x:alignment horizontal="center" vertical="top" wrapText="1"/>
    </x:xf>
    <x:xf numFmtId="0" fontId="4" fillId="0" borderId="57" xfId="6" applyAlignment="1">
      <x:alignment horizontal="center" vertical="center"/>
    </x:xf>
    <x:xf numFmtId="0" fontId="4" fillId="0" borderId="57" xfId="6" applyAlignment="1">
      <x:alignment horizontal="center" vertical="center" wrapText="1"/>
    </x:xf>
    <x:xf numFmtId="0" fontId="12" fillId="0" borderId="57" xfId="6" applyAlignment="1">
      <x:alignment horizontal="center" vertical="center" wrapText="1"/>
    </x:xf>
    <x:xf numFmtId="14" fontId="12" fillId="0" borderId="57" xfId="6" applyAlignment="1">
      <x:alignment horizontal="center" vertical="center" wrapText="1"/>
    </x:xf>
    <x:xf numFmtId="14" fontId="12" fillId="0" borderId="57" xfId="6" applyAlignment="1">
      <x:alignment horizontal="left" vertical="center" wrapText="1"/>
    </x:xf>
    <x:xf numFmtId="0" fontId="12" fillId="0" borderId="57" xfId="6" applyAlignment="1">
      <x:alignment horizontal="left" vertical="center" wrapText="1"/>
    </x:xf>
    <x:xf numFmtId="14" fontId="4" fillId="0" borderId="57" xfId="6" applyAlignment="1">
      <x:alignment horizontal="center" vertical="center" wrapText="1"/>
    </x:xf>
    <x:xf numFmtId="165" fontId="4" fillId="0" borderId="57" xfId="6" applyAlignment="1">
      <x:alignment horizontal="center" vertical="center" wrapText="1"/>
    </x:xf>
    <x:xf numFmtId="167" fontId="4" fillId="0" borderId="57" xfId="6" applyAlignment="1">
      <x:alignment horizontal="center" vertical="center" wrapText="1"/>
    </x:xf>
    <x:xf numFmtId="0" fontId="4" fillId="0" borderId="57" xfId="6" applyAlignment="1">
      <x:alignment horizontal="left" vertical="center" wrapText="1"/>
    </x:xf>
    <x:xf numFmtId="16" fontId="4" fillId="0" borderId="57" xfId="6" applyAlignment="1">
      <x:alignment horizontal="center" vertical="center" wrapText="1"/>
    </x:xf>
    <x:xf numFmtId="167" fontId="4" fillId="0" borderId="57" xfId="6" applyAlignment="1">
      <x:alignment horizontal="center" vertical="center" wrapText="1"/>
    </x:xf>
    <x:xf numFmtId="0" fontId="5" fillId="0" borderId="57" xfId="6" applyAlignment="1">
      <x:alignment vertical="top"/>
    </x:xf>
    <x:xf numFmtId="0" fontId="5" fillId="0" borderId="57" xfId="6" applyAlignment="1">
      <x:alignment horizontal="center" vertical="top" wrapText="1"/>
    </x:xf>
    <x:xf numFmtId="14" fontId="5" fillId="0" borderId="57" xfId="6" applyAlignment="1">
      <x:alignment horizontal="center" vertical="top" wrapText="1"/>
    </x:xf>
    <x:xf numFmtId="165" fontId="5" fillId="0" borderId="57" xfId="6" applyAlignment="1">
      <x:alignment horizontal="center" vertical="top" wrapText="1"/>
    </x:xf>
    <x:xf numFmtId="167" fontId="5" fillId="0" borderId="57" xfId="6" applyAlignment="1">
      <x:alignment horizontal="center" vertical="top" wrapText="1"/>
    </x:xf>
    <x:xf numFmtId="0" fontId="24" fillId="0" borderId="15" xfId="9" applyAlignment="1">
      <x:alignment horizontal="left"/>
    </x:xf>
    <x:xf numFmtId="0" fontId="24" fillId="0" borderId="15" xfId="9" applyAlignment="1">
      <x:alignment horizontal="left" vertical="top"/>
    </x:xf>
    <x:xf numFmtId="0" fontId="25" fillId="2" borderId="1" xfId="6" applyAlignment="1">
      <x:alignment horizontal="left" vertical="center" wrapText="1"/>
    </x:xf>
    <x:xf numFmtId="0" fontId="25" fillId="2" borderId="1" xfId="6" applyAlignment="1">
      <x:alignment horizontal="left" vertical="top" wrapText="1"/>
    </x:xf>
    <x:xf numFmtId="0" fontId="12" fillId="2" borderId="1" xfId="6" applyAlignment="1">
      <x:alignment horizontal="left" vertical="center" wrapText="1"/>
    </x:xf>
    <x:xf numFmtId="0" fontId="25" fillId="2" borderId="56" xfId="0" applyAlignment="1">
      <x:alignment horizontal="left" wrapText="1"/>
    </x:xf>
    <x:xf numFmtId="0" fontId="12" fillId="2" borderId="1" xfId="6" applyAlignment="1">
      <x:alignment horizontal="left" vertical="top" wrapText="1"/>
    </x:xf>
    <x:xf numFmtId="0" fontId="14" fillId="2" borderId="1" xfId="7" applyAlignment="1">
      <x:alignment horizontal="left" vertical="top" wrapText="1"/>
    </x:xf>
    <x:xf numFmtId="0" fontId="12" fillId="2" borderId="1" xfId="7" applyAlignment="1">
      <x:alignment horizontal="left" vertical="top" wrapText="1"/>
    </x:xf>
    <x:xf numFmtId="0" fontId="28" fillId="10" borderId="52" xfId="10" applyAlignment="1">
      <x:alignment vertical="center"/>
    </x:xf>
    <x:xf numFmtId="0" fontId="35" fillId="0" borderId="57" xfId="10" applyAlignment="1">
      <x:alignment horizontal="center"/>
    </x:xf>
    <x:xf numFmtId="0" fontId="52" fillId="0" borderId="57" xfId="10" applyAlignment="1">
      <x:alignment horizontal="left" vertical="top" wrapText="1"/>
    </x:xf>
    <x:xf numFmtId="0" fontId="53" fillId="0" borderId="57" xfId="10" applyAlignment="1">
      <x:alignment horizontal="center" vertical="top" wrapText="1"/>
    </x:xf>
    <x:xf numFmtId="167" fontId="53" fillId="0" borderId="57" xfId="10" applyAlignment="1">
      <x:alignment horizontal="center" vertical="top" wrapText="1"/>
    </x:xf>
    <x:xf numFmtId="14" fontId="53" fillId="0" borderId="57" xfId="10" applyAlignment="1">
      <x:alignment horizontal="center" vertical="top" wrapText="1"/>
    </x:xf>
    <x:xf numFmtId="0" fontId="9" fillId="0" borderId="57" xfId="10" applyAlignment="1">
      <x:alignment horizontal="left" vertical="top" wrapText="1"/>
    </x:xf>
    <x:xf numFmtId="0" fontId="54" fillId="0" borderId="57" xfId="10" applyAlignment="1">
      <x:alignment horizontal="center" vertical="top" wrapText="1"/>
    </x:xf>
    <x:xf numFmtId="167" fontId="54" fillId="0" borderId="57" xfId="10" applyAlignment="1">
      <x:alignment horizontal="center" vertical="top" wrapText="1"/>
    </x:xf>
    <x:xf numFmtId="14" fontId="54" fillId="0" borderId="57" xfId="10" applyAlignment="1">
      <x:alignment horizontal="center" vertical="top" wrapText="1"/>
    </x:xf>
    <x:xf numFmtId="0" fontId="55" fillId="0" borderId="57" xfId="10" applyAlignment="1">
      <x:alignment horizontal="left" vertical="top" wrapText="1"/>
    </x:xf>
    <x:xf numFmtId="1" fontId="54" fillId="0" borderId="57" xfId="10" applyAlignment="1">
      <x:alignment horizontal="center" vertical="top" wrapText="1"/>
    </x:xf>
    <x:xf numFmtId="164" fontId="51" fillId="11" borderId="57" xfId="10" applyAlignment="1">
      <x:alignment horizontal="right"/>
    </x:xf>
    <x:xf numFmtId="0" fontId="4" fillId="0" borderId="57" xfId="10" applyAlignment="1">
      <x:alignment horizontal="center" vertical="top" wrapText="1"/>
    </x:xf>
    <x:xf numFmtId="0" fontId="4" fillId="0" borderId="57" xfId="10" applyAlignment="1">
      <x:alignment horizontal="left" vertical="top" wrapText="1"/>
    </x:xf>
    <x:xf numFmtId="0" fontId="51" fillId="20" borderId="57" xfId="10" applyAlignment="1">
      <x:alignment horizontal="center"/>
    </x:xf>
    <x:xf numFmtId="0" fontId="53" fillId="0" borderId="57" xfId="10" applyAlignment="1">
      <x:alignment horizontal="left" vertical="top" wrapText="1"/>
    </x:xf>
    <x:xf numFmtId="167" fontId="48" fillId="0" borderId="57" xfId="10"/>
    <x:xf numFmtId="14" fontId="48" fillId="0" borderId="57" xfId="10"/>
    <x:xf numFmtId="0" fontId="12" fillId="0" borderId="57" xfId="10" applyAlignment="1">
      <x:alignment horizontal="left" vertical="top" wrapText="1"/>
    </x:xf>
    <x:xf numFmtId="167" fontId="4" fillId="0" borderId="57" xfId="10" applyAlignment="1">
      <x:alignment horizontal="center" vertical="top" wrapText="1"/>
    </x:xf>
    <x:xf numFmtId="0" fontId="56" fillId="0" borderId="57" xfId="10" applyAlignment="1">
      <x:alignment horizontal="center" vertical="top" wrapText="1"/>
    </x:xf>
    <x:xf numFmtId="0" fontId="51" fillId="20" borderId="57" xfId="10" applyAlignment="1">
      <x:alignment horizontal="center" vertical="top"/>
    </x:xf>
    <x:xf numFmtId="167" fontId="51" fillId="20" borderId="57" xfId="10" applyAlignment="1">
      <x:alignment horizontal="center"/>
    </x:xf>
    <x:xf numFmtId="14" fontId="51" fillId="20" borderId="57" xfId="10" applyAlignment="1">
      <x:alignment horizontal="center"/>
    </x:xf>
    <x:xf numFmtId="14" fontId="52" fillId="0" borderId="57" xfId="10" applyAlignment="1">
      <x:alignment horizontal="left" vertical="top" wrapText="1"/>
    </x:xf>
    <x:xf numFmtId="164" fontId="52" fillId="0" borderId="57" xfId="10" applyAlignment="1">
      <x:alignment horizontal="right" vertical="top" wrapText="1"/>
    </x:xf>
    <x:xf numFmtId="164" fontId="53" fillId="0" borderId="57" xfId="10" applyAlignment="1">
      <x:alignment horizontal="left" vertical="top" wrapText="1"/>
    </x:xf>
    <x:xf numFmtId="164" fontId="52" fillId="21" borderId="32" xfId="10" applyAlignment="1">
      <x:alignment horizontal="right" vertical="top"/>
    </x:xf>
    <x:xf numFmtId="4" fontId="48" fillId="0" borderId="1" xfId="10"/>
    <x:xf numFmtId="14" fontId="53" fillId="0" borderId="32" xfId="10" applyAlignment="1">
      <x:alignment horizontal="center" vertical="top" wrapText="1"/>
    </x:xf>
    <x:xf numFmtId="0" fontId="34" fillId="0" borderId="57" xfId="10" applyAlignment="1">
      <x:alignment horizontal="left" vertical="top" wrapText="1"/>
    </x:xf>
    <x:xf numFmtId="167" fontId="34" fillId="0" borderId="57" xfId="10" applyAlignment="1">
      <x:alignment horizontal="center" vertical="top" wrapText="1"/>
    </x:xf>
    <x:xf numFmtId="14" fontId="34" fillId="0" borderId="57" xfId="10" applyAlignment="1">
      <x:alignment horizontal="left" vertical="top" wrapText="1"/>
    </x:xf>
    <x:xf numFmtId="165" fontId="14" fillId="0" borderId="1" xfId="7" applyAlignment="1">
      <x:alignment horizontal="left"/>
    </x:xf>
    <x:xf numFmtId="0" fontId="59" fillId="0" borderId="15" xfId="10" applyAlignment="1">
      <x:alignment wrapText="1"/>
    </x:xf>
    <x:xf numFmtId="165" fontId="25" fillId="0" borderId="1" xfId="7" applyAlignment="1">
      <x:alignment horizontal="left" vertical="top" wrapText="1"/>
    </x:xf>
    <x:xf numFmtId="0" fontId="25" fillId="0" borderId="1" xfId="7" applyAlignment="1">
      <x:alignment horizontal="left" vertical="top" wrapText="1"/>
    </x:xf>
    <x:xf numFmtId="0" fontId="66" fillId="0" borderId="1" xfId="7" applyAlignment="1">
      <x:alignment horizontal="left" vertical="top" wrapText="1"/>
    </x:xf>
    <x:xf numFmtId="0" fontId="66" fillId="2" borderId="1" xfId="7" applyAlignment="1">
      <x:alignment horizontal="left" vertical="top" wrapText="1"/>
    </x:xf>
    <x:xf numFmtId="0" fontId="52" fillId="0" borderId="53" xfId="10" applyAlignment="1">
      <x:alignment horizontal="left" vertical="top" wrapText="1"/>
    </x:xf>
    <x:xf numFmtId="0" fontId="48" fillId="0" borderId="1" xfId="10" applyAlignment="1">
      <x:alignment horizontal="left" vertical="top" wrapText="1"/>
    </x:xf>
    <x:xf numFmtId="0" fontId="51" fillId="20" borderId="32" xfId="10" applyAlignment="1">
      <x:alignment horizontal="center" wrapText="1"/>
    </x:xf>
    <x:xf numFmtId="0" fontId="51" fillId="20" borderId="57" xfId="10" applyAlignment="1">
      <x:alignment horizontal="center" wrapText="1"/>
    </x:xf>
    <x:xf numFmtId="0" fontId="48" fillId="0" borderId="57" xfId="10" applyAlignment="1">
      <x:alignment wrapText="1"/>
    </x:xf>
    <x:xf numFmtId="0" fontId="14" fillId="0" borderId="29" xfId="7" applyAlignment="1">
      <x:alignment horizontal="right" wrapText="1"/>
    </x:xf>
    <x:xf numFmtId="0" fontId="12" fillId="0" borderId="15" xfId="9" applyAlignment="1">
      <x:alignment horizontal="left" vertical="top" wrapText="1"/>
    </x:xf>
    <x:xf numFmtId="4" fontId="52" fillId="0" borderId="32" xfId="10" applyAlignment="1">
      <x:alignment horizontal="right" vertical="top"/>
    </x:xf>
    <x:xf numFmtId="4" fontId="52" fillId="0" borderId="57" xfId="10" applyAlignment="1">
      <x:alignment horizontal="right" vertical="top"/>
    </x:xf>
    <x:xf numFmtId="4" fontId="51" fillId="11" borderId="32" xfId="10" applyAlignment="1">
      <x:alignment horizontal="right"/>
    </x:xf>
    <x:xf numFmtId="4" fontId="51" fillId="11" borderId="57" xfId="10"/>
    <x:xf numFmtId="4" fontId="51" fillId="0" borderId="1" xfId="10"/>
    <x:xf numFmtId="4" fontId="9" fillId="0" borderId="57" xfId="10" applyAlignment="1">
      <x:alignment horizontal="right" vertical="top"/>
    </x:xf>
    <x:xf numFmtId="4" fontId="51" fillId="11" borderId="57" xfId="10" applyAlignment="1">
      <x:alignment horizontal="right"/>
    </x:xf>
    <x:xf numFmtId="4" fontId="12" fillId="0" borderId="57" xfId="10" applyAlignment="1">
      <x:alignment horizontal="right" vertical="top"/>
    </x:xf>
    <x:xf numFmtId="4" fontId="53" fillId="0" borderId="57" xfId="10" applyAlignment="1">
      <x:alignment horizontal="right" vertical="top" wrapText="1"/>
    </x:xf>
    <x:xf numFmtId="4" fontId="4" fillId="0" borderId="57" xfId="10" applyAlignment="1">
      <x:alignment horizontal="right" vertical="top" wrapText="1"/>
    </x:xf>
    <x:xf numFmtId="4" fontId="12" fillId="0" borderId="32" xfId="10" applyAlignment="1">
      <x:alignment horizontal="right" vertical="top"/>
    </x:xf>
    <x:xf numFmtId="4" fontId="53" fillId="0" borderId="32" xfId="10" applyAlignment="1">
      <x:alignment horizontal="right" vertical="top" wrapText="1"/>
    </x:xf>
    <x:xf numFmtId="4" fontId="51" fillId="11" borderId="29" xfId="10" applyAlignment="1">
      <x:alignment horizontal="right"/>
    </x:xf>
    <x:xf numFmtId="4" fontId="51" fillId="20" borderId="57" xfId="10" applyAlignment="1">
      <x:alignment horizontal="center"/>
    </x:xf>
    <x:xf numFmtId="4" fontId="4" fillId="0" borderId="32" xfId="10" applyAlignment="1">
      <x:alignment horizontal="right" vertical="top" wrapText="1"/>
    </x:xf>
    <x:xf numFmtId="0" fontId="67" fillId="22" borderId="57" xfId="6" applyAlignment="1">
      <x:alignment horizontal="center" vertical="center"/>
    </x:xf>
    <x:xf numFmtId="0" fontId="67" fillId="22" borderId="57" xfId="6" applyAlignment="1">
      <x:alignment horizontal="center" vertical="center" wrapText="1"/>
    </x:xf>
    <x:xf numFmtId="14" fontId="67" fillId="22" borderId="57" xfId="6" applyAlignment="1">
      <x:alignment horizontal="center" vertical="center" wrapText="1"/>
    </x:xf>
    <x:xf numFmtId="165" fontId="67" fillId="22" borderId="57" xfId="6" applyAlignment="1">
      <x:alignment horizontal="center" vertical="center" wrapText="1"/>
    </x:xf>
    <x:xf numFmtId="167" fontId="67" fillId="22" borderId="57" xfId="6" applyAlignment="1">
      <x:alignment horizontal="center" vertical="center" wrapText="1"/>
    </x:xf>
    <x:xf numFmtId="0" fontId="67" fillId="22" borderId="1" xfId="6" applyAlignment="1">
      <x:alignment horizontal="center" vertical="center"/>
    </x:xf>
    <x:xf numFmtId="0" fontId="13" fillId="22" borderId="15" xfId="6" applyAlignment="1">
      <x:alignment horizontal="center" vertical="center" wrapText="1"/>
    </x:xf>
    <x:xf numFmtId="14" fontId="13" fillId="22" borderId="15" xfId="6" applyAlignment="1">
      <x:alignment horizontal="center" vertical="center" wrapText="1"/>
    </x:xf>
    <x:xf numFmtId="0" fontId="13" fillId="22" borderId="15" xfId="6" applyAlignment="1">
      <x:alignment horizontal="left" vertical="center" wrapText="1"/>
    </x:xf>
    <x:xf numFmtId="168" fontId="13" fillId="22" borderId="15" xfId="6" applyAlignment="1">
      <x:alignment horizontal="left" vertical="center" wrapText="1"/>
    </x:xf>
    <x:xf numFmtId="0" fontId="13" fillId="22" borderId="1" xfId="6" applyAlignment="1">
      <x:alignment horizontal="center" wrapText="1"/>
    </x:xf>
    <x:xf numFmtId="0" fontId="25" fillId="23" borderId="1" xfId="6" applyAlignment="1">
      <x:alignment horizontal="left" vertical="center" wrapText="1"/>
    </x:xf>
    <x:xf numFmtId="164" fontId="14" fillId="23" borderId="11" xfId="7" applyAlignment="1">
      <x:alignment horizontal="right" vertical="top"/>
    </x:xf>
    <x:xf numFmtId="0" fontId="25" fillId="23" borderId="1" xfId="6" applyAlignment="1">
      <x:alignment horizontal="left" vertical="top" wrapText="1"/>
    </x:xf>
    <x:xf numFmtId="164" fontId="14" fillId="23" borderId="41" xfId="7" applyAlignment="1">
      <x:alignment horizontal="right" vertical="top"/>
    </x:xf>
    <x:xf numFmtId="165" fontId="25" fillId="23" borderId="1" xfId="7" applyAlignment="1">
      <x:alignment horizontal="left" vertical="top"/>
    </x:xf>
    <x:xf numFmtId="165" fontId="25" fillId="23" borderId="1" xfId="7" applyAlignment="1">
      <x:alignment horizontal="left" vertical="top" wrapText="1"/>
    </x:xf>
    <x:xf numFmtId="0" fontId="25" fillId="23" borderId="1" xfId="7" applyAlignment="1">
      <x:alignment horizontal="left" vertical="top" wrapText="1"/>
    </x:xf>
    <x:xf numFmtId="0" fontId="25" fillId="23" borderId="1" xfId="7" applyAlignment="1">
      <x:alignment horizontal="left" vertical="center" wrapText="1"/>
    </x:xf>
    <x:xf numFmtId="0" fontId="12" fillId="23" borderId="1" xfId="7" applyAlignment="1">
      <x:alignment horizontal="left" vertical="top" wrapText="1"/>
    </x:xf>
    <x:xf numFmtId="0" fontId="66" fillId="23" borderId="1" xfId="7" applyAlignment="1">
      <x:alignment horizontal="left" vertical="top" wrapText="1"/>
    </x:xf>
    <x:xf numFmtId="0" fontId="14" fillId="23" borderId="1" xfId="7" applyAlignment="1">
      <x:alignment horizontal="left" vertical="top" wrapText="1"/>
    </x:xf>
    <x:xf numFmtId="0" fontId="12" fillId="23" borderId="1" xfId="6" applyAlignment="1">
      <x:alignment horizontal="left" vertical="center" wrapText="1"/>
    </x:xf>
    <x:xf numFmtId="0" fontId="12" fillId="23" borderId="1" xfId="6" applyAlignment="1">
      <x:alignment horizontal="left" vertical="top" wrapText="1"/>
    </x:xf>
    <x:xf numFmtId="165" fontId="12" fillId="23" borderId="1" xfId="7" applyAlignment="1">
      <x:alignment horizontal="left" vertical="top"/>
    </x:xf>
    <x:xf numFmtId="0" fontId="12" fillId="23" borderId="1" xfId="7" applyAlignment="1">
      <x:alignment horizontal="left" vertical="center" wrapText="1"/>
    </x:xf>
    <x:xf numFmtId="165" fontId="12" fillId="23" borderId="1" xfId="7" applyAlignment="1">
      <x:alignment horizontal="left" vertical="top" wrapText="1"/>
    </x:xf>
    <x:xf numFmtId="4" fontId="68" fillId="0" borderId="57" xfId="10" applyAlignment="1">
      <x:alignment horizontal="right" vertical="top"/>
    </x:xf>
    <x:xf numFmtId="14" fontId="68" fillId="0" borderId="57" xfId="10" applyAlignment="1">
      <x:alignment horizontal="center" vertical="top" wrapText="1"/>
    </x:xf>
    <x:xf numFmtId="0" fontId="68" fillId="0" borderId="57" xfId="10" applyAlignment="1">
      <x:alignment horizontal="center" vertical="top" wrapText="1"/>
    </x:xf>
    <x:xf numFmtId="0" fontId="48" fillId="0" borderId="1" xfId="10" applyAlignment="1">
      <x:alignment horizontal="right" wrapText="1"/>
    </x:xf>
    <x:xf numFmtId="0" fontId="50" fillId="0" borderId="1" xfId="10" applyAlignment="1">
      <x:alignment horizontal="left" vertical="top"/>
    </x:xf>
    <x:xf numFmtId="164" fontId="52" fillId="0" borderId="32" xfId="10" applyAlignment="1">
      <x:alignment horizontal="right" vertical="top" wrapText="1"/>
    </x:xf>
    <x:xf numFmtId="0" fontId="12" fillId="0" borderId="32" xfId="10" applyAlignment="1">
      <x:alignment horizontal="left" vertical="top" wrapText="1"/>
    </x:xf>
    <x:xf numFmtId="0" fontId="69" fillId="0" borderId="32" xfId="10" applyAlignment="1">
      <x:alignment horizontal="left" vertical="top" wrapText="1"/>
    </x:xf>
    <x:xf numFmtId="0" fontId="13" fillId="0" borderId="53" xfId="10" applyAlignment="1">
      <x:alignment horizontal="left" vertical="top" wrapText="1"/>
    </x:xf>
    <x:xf numFmtId="4" fontId="48" fillId="0" borderId="1" xfId="10" applyAlignment="1">
      <x:alignment horizontal="left" vertical="top"/>
    </x:xf>
    <x:xf numFmtId="4" fontId="48" fillId="0" borderId="1" xfId="10" applyAlignment="1">
      <x:alignment horizontal="left" vertical="top" wrapText="1"/>
    </x:xf>
    <x:xf numFmtId="0" fontId="49" fillId="0" borderId="1" xfId="10" applyAlignment="1">
      <x:alignment horizontal="left" vertical="center"/>
    </x:xf>
    <x:xf numFmtId="0" fontId="41" fillId="0" borderId="1" xfId="10" applyAlignment="1">
      <x:alignment horizontal="justify" vertical="top" wrapText="1"/>
    </x:xf>
    <x:xf numFmtId="0" fontId="44" fillId="0" borderId="1" xfId="10" applyAlignment="1">
      <x:alignment horizontal="justify" vertical="top" wrapText="1"/>
    </x:xf>
    <x:xf numFmtId="0" fontId="43" fillId="0" borderId="1" xfId="10" applyAlignment="1">
      <x:alignment horizontal="left"/>
    </x:xf>
    <x:xf numFmtId="0" fontId="28" fillId="0" borderId="1" xfId="10" applyAlignment="1">
      <x:alignment horizontal="left"/>
    </x:xf>
    <x:xf numFmtId="49" fontId="35" fillId="0" borderId="4" xfId="10" applyAlignment="1">
      <x:alignment horizontal="center"/>
    </x:xf>
    <x:xf numFmtId="0" fontId="43" fillId="0" borderId="1" xfId="10" applyAlignment="1">
      <x:alignment horizontal="center" vertical="top"/>
    </x:xf>
    <x:xf numFmtId="0" fontId="30" fillId="0" borderId="1" xfId="10" applyAlignment="1">
      <x:alignment horizontal="center"/>
    </x:xf>
    <x:xf numFmtId="0" fontId="30" fillId="0" borderId="4" xfId="10" applyAlignment="1">
      <x:alignment horizontal="center"/>
    </x:xf>
    <x:xf numFmtId="0" fontId="32" fillId="0" borderId="1" xfId="10" applyAlignment="1">
      <x:alignment horizontal="center"/>
    </x:xf>
    <x:xf numFmtId="0" fontId="35" fillId="13" borderId="1" xfId="10" applyAlignment="1">
      <x:alignment horizontal="center" vertical="center"/>
    </x:xf>
    <x:xf numFmtId="0" fontId="34" fillId="9" borderId="1" xfId="10" applyAlignment="1">
      <x:alignment horizontal="center" vertical="center"/>
    </x:xf>
    <x:xf numFmtId="0" fontId="34" fillId="9" borderId="5" xfId="10" applyAlignment="1">
      <x:alignment horizontal="center" vertical="center"/>
    </x:xf>
    <x:xf numFmtId="0" fontId="35" fillId="9" borderId="1" xfId="10" applyAlignment="1">
      <x:alignment horizontal="center" vertical="center"/>
    </x:xf>
    <x:xf numFmtId="0" fontId="35" fillId="9" borderId="5" xfId="10" applyAlignment="1">
      <x:alignment horizontal="center" vertical="center"/>
    </x:xf>
    <x:xf numFmtId="0" fontId="35" fillId="9" borderId="4" xfId="10" applyAlignment="1">
      <x:alignment horizontal="center" vertical="center"/>
    </x:xf>
    <x:xf numFmtId="0" fontId="35" fillId="9" borderId="7" xfId="10" applyAlignment="1">
      <x:alignment horizontal="center" vertical="center"/>
    </x:xf>
    <x:xf numFmtId="0" fontId="35" fillId="11" borderId="1" xfId="10" applyAlignment="1">
      <x:alignment horizontal="center" vertical="center"/>
    </x:xf>
    <x:xf numFmtId="0" fontId="35" fillId="10" borderId="1" xfId="10" applyAlignment="1">
      <x:alignment horizontal="center" vertical="center"/>
    </x:xf>
    <x:xf numFmtId="0" fontId="35" fillId="14" borderId="1" xfId="10" applyAlignment="1">
      <x:alignment horizontal="center" vertical="center"/>
    </x:xf>
    <x:xf numFmtId="0" fontId="35" fillId="15" borderId="1" xfId="10" applyAlignment="1">
      <x:alignment horizontal="center" vertical="center"/>
    </x:xf>
    <x:xf numFmtId="0" fontId="28" fillId="0" borderId="1" xfId="10" applyAlignment="1">
      <x:alignment horizontal="center"/>
    </x:xf>
    <x:xf numFmtId="0" fontId="30" fillId="0" borderId="4" xfId="10" applyAlignment="1">
      <x:alignment horizontal="center" vertical="center"/>
    </x:xf>
    <x:xf numFmtId="169" fontId="30" fillId="0" borderId="4" xfId="10" applyAlignment="1">
      <x:alignment horizontal="center"/>
    </x:xf>
    <x:xf numFmtId="0" fontId="30" fillId="0" borderId="4" xfId="10" applyAlignment="1">
      <x:alignment horizontal="center"/>
    </x:xf>
    <x:xf numFmtId="0" fontId="35" fillId="17" borderId="1" xfId="10" applyAlignment="1">
      <x:alignment horizontal="center" vertical="center"/>
    </x:xf>
    <x:xf numFmtId="0" fontId="35" fillId="18" borderId="1" xfId="10" applyAlignment="1">
      <x:alignment horizontal="center" vertical="center"/>
    </x:xf>
    <x:xf numFmtId="0" fontId="35" fillId="19" borderId="1" xfId="10" applyAlignment="1">
      <x:alignment horizontal="center" vertical="center"/>
    </x:xf>
    <x:xf numFmtId="14" fontId="18" fillId="0" borderId="4" xfId="7" applyAlignment="1">
      <x:alignment horizontal="right" vertical="top"/>
    </x:xf>
    <x:xf numFmtId="0" fontId="14" fillId="0" borderId="14" xfId="7" applyAlignment="1">
      <x:alignment horizontal="right" vertical="top"/>
    </x:xf>
    <x:xf numFmtId="49" fontId="20" fillId="6" borderId="33" xfId="7" applyAlignment="1">
      <x:alignment horizontal="center" vertical="center"/>
    </x:xf>
    <x:xf numFmtId="0" fontId="14" fillId="0" borderId="29" xfId="7" applyAlignment="1">
      <x:alignment horizontal="center" vertical="center"/>
    </x:xf>
    <x:xf numFmtId="0" fontId="14" fillId="0" borderId="23" xfId="7" applyAlignment="1">
      <x:alignment horizontal="center" vertical="center"/>
    </x:xf>
    <x:xf numFmtId="164" fontId="18" fillId="3" borderId="32" xfId="7" applyAlignment="1">
      <x:alignment horizontal="center" vertical="center"/>
    </x:xf>
    <x:xf numFmtId="164" fontId="18" fillId="3" borderId="23" xfId="7" applyAlignment="1">
      <x:alignment horizontal="center" vertical="center"/>
    </x:xf>
    <x:xf numFmtId="0" fontId="19" fillId="0" borderId="32" xfId="7" applyAlignment="1">
      <x:alignment horizontal="center" vertical="center"/>
    </x:xf>
    <x:xf numFmtId="0" fontId="19" fillId="0" borderId="23" xfId="7" applyAlignment="1">
      <x:alignment horizontal="center" vertical="center"/>
    </x:xf>
    <x:xf numFmtId="49" fontId="20" fillId="6" borderId="31" xfId="7" applyAlignment="1">
      <x:alignment horizontal="center" vertical="center"/>
    </x:xf>
    <x:xf numFmtId="0" fontId="17" fillId="0" borderId="28" xfId="7"/>
    <x:xf numFmtId="0" fontId="17" fillId="0" borderId="20" xfId="7"/>
    <x:xf numFmtId="164" fontId="18" fillId="0" borderId="1" xfId="7" applyAlignment="1">
      <x:alignment horizontal="right"/>
    </x:xf>
    <x:xf numFmtId="49" fontId="21" fillId="0" borderId="38" xfId="7" applyAlignment="1">
      <x:alignment horizontal="center" vertical="center" wrapText="1"/>
    </x:xf>
    <x:xf numFmtId="0" fontId="21" fillId="0" borderId="36" xfId="7" applyAlignment="1">
      <x:alignment wrapText="1"/>
    </x:xf>
    <x:xf numFmtId="0" fontId="21" fillId="0" borderId="34" xfId="7" applyAlignment="1">
      <x:alignment wrapText="1"/>
    </x:xf>
    <x:xf numFmtId="49" fontId="18" fillId="0" borderId="37" xfId="7" applyAlignment="1">
      <x:alignment horizontal="right" vertical="top"/>
    </x:xf>
    <x:xf numFmtId="0" fontId="14" fillId="0" borderId="5" xfId="7" applyAlignment="1">
      <x:alignment vertical="top"/>
    </x:xf>
    <x:xf numFmtId="49" fontId="14" fillId="3" borderId="32" xfId="7" applyAlignment="1">
      <x:alignment horizontal="left" vertical="top" wrapText="1"/>
    </x:xf>
    <x:xf numFmtId="49" fontId="14" fillId="3" borderId="29" xfId="7" applyAlignment="1">
      <x:alignment horizontal="left" vertical="top" wrapText="1"/>
    </x:xf>
    <x:xf numFmtId="49" fontId="14" fillId="3" borderId="40" xfId="7" applyAlignment="1">
      <x:alignment horizontal="left" vertical="top" wrapText="1"/>
    </x:xf>
    <x:xf numFmtId="49" fontId="18" fillId="0" borderId="1" xfId="8" applyAlignment="1">
      <x:alignment horizontal="right" vertical="top"/>
    </x:xf>
    <x:xf numFmtId="0" fontId="14" fillId="0" borderId="10" xfId="8" applyAlignment="1">
      <x:alignment horizontal="right" vertical="top"/>
    </x:xf>
    <x:xf numFmtId="49" fontId="18" fillId="0" borderId="37" xfId="7" applyAlignment="1">
      <x:alignment horizontal="right"/>
    </x:xf>
    <x:xf numFmtId="49" fontId="18" fillId="0" borderId="5" xfId="7" applyAlignment="1">
      <x:alignment horizontal="right"/>
    </x:xf>
    <x:xf numFmtId="49" fontId="18" fillId="0" borderId="6" xfId="7" applyAlignment="1">
      <x:alignment horizontal="right" vertical="top"/>
    </x:xf>
    <x:xf numFmtId="49" fontId="18" fillId="0" borderId="10" xfId="7" applyAlignment="1">
      <x:alignment horizontal="right" vertical="top"/>
    </x:xf>
    <x:xf numFmtId="0" fontId="22" fillId="0" borderId="37" xfId="7" applyAlignment="1">
      <x:alignment horizontal="center" vertical="center" wrapText="1"/>
    </x:xf>
    <x:xf numFmtId="0" fontId="14" fillId="0" borderId="5" xfId="7"/>
    <x:xf numFmtId="49" fontId="18" fillId="0" borderId="1" xfId="7" applyAlignment="1">
      <x:alignment horizontal="right" vertical="top"/>
    </x:xf>
    <x:xf numFmtId="0" fontId="14" fillId="0" borderId="10" xfId="7" applyAlignment="1">
      <x:alignment horizontal="right" vertical="top"/>
    </x:xf>
    <x:xf numFmtId="49" fontId="18" fillId="0" borderId="35" xfId="7" applyAlignment="1">
      <x:alignment horizontal="right" wrapText="1"/>
    </x:xf>
    <x:xf numFmtId="0" fontId="14" fillId="0" borderId="7" xfId="7"/>
    <x:xf numFmtId="165" fontId="14" fillId="6" borderId="26" xfId="7" applyAlignment="1">
      <x:alignment horizontal="center" vertical="center"/>
    </x:xf>
    <x:xf numFmtId="165" fontId="14" fillId="0" borderId="18" xfId="7" applyAlignment="1">
      <x:alignment horizontal="center" vertical="center"/>
    </x:xf>
    <x:xf numFmtId="165" fontId="14" fillId="6" borderId="27" xfId="7" applyAlignment="1">
      <x:alignment horizontal="right" vertical="center"/>
    </x:xf>
    <x:xf numFmtId="165" fontId="14" fillId="0" borderId="19" xfId="7" applyAlignment="1">
      <x:alignment horizontal="right" vertical="center"/>
    </x:xf>
    <x:xf numFmtId="165" fontId="14" fillId="6" borderId="26" xfId="7" applyAlignment="1">
      <x:alignment horizontal="right" vertical="center"/>
    </x:xf>
    <x:xf numFmtId="165" fontId="14" fillId="0" borderId="18" xfId="7" applyAlignment="1">
      <x:alignment horizontal="right" vertical="center"/>
    </x:xf>
    <x:xf numFmtId="170" fontId="18" fillId="3" borderId="32" xfId="7" applyAlignment="1">
      <x:alignment horizontal="center" vertical="center"/>
    </x:xf>
    <x:xf numFmtId="49" fontId="14" fillId="3" borderId="54" xfId="7" applyAlignment="1">
      <x:alignment horizontal="left" vertical="top" wrapText="1"/>
    </x:xf>
    <x:xf numFmtId="165" fontId="14" fillId="6" borderId="18" xfId="7" applyAlignment="1">
      <x:alignment horizontal="center" vertical="center"/>
    </x:xf>
    <x:xf numFmtId="0" fontId="26" fillId="0" borderId="32" xfId="7" applyAlignment="1">
      <x:alignment horizontal="center" vertical="center"/>
    </x:xf>
    <x:xf numFmtId="0" fontId="26" fillId="0" borderId="23" xfId="7" applyAlignment="1">
      <x:alignment horizontal="center" vertical="center"/>
    </x:xf>
    <x:xf numFmtId="49" fontId="14" fillId="3" borderId="15" xfId="7" applyAlignment="1">
      <x:alignment horizontal="left" vertical="top" wrapText="1"/>
    </x:xf>
    <x:xf numFmtId="49" fontId="14" fillId="3" borderId="15" xfId="7" applyAlignment="1">
      <x:alignment horizontal="left" wrapText="1"/>
    </x:xf>
    <x:xf numFmtId="164" fontId="48" fillId="0" borderId="1" xfId="10" applyAlignment="1">
      <x:alignment horizontal="left" vertical="top" wrapText="1"/>
    </x:xf>
    <x:xf numFmtId="0" fontId="70" fillId="0" borderId="1" xfId="10" applyAlignment="1">
      <x:alignment horizontal="left" vertical="top" wrapText="1"/>
    </x:xf>
    <x:xf numFmtId="0" fontId="4" fillId="0" borderId="15" xfId="0" applyAlignment="1">
      <x:alignment horizontal="center" vertical="top"/>
    </x:xf>
    <x:xf numFmtId="14" fontId="4" fillId="0" borderId="15" xfId="0" applyAlignment="1">
      <x:alignment horizontal="center" vertical="top"/>
    </x:xf>
    <x:xf numFmtId="14" fontId="12" fillId="0" borderId="15" xfId="0" applyAlignment="1">
      <x:alignment horizontal="center" vertical="top" wrapText="1"/>
    </x:xf>
    <x:xf numFmtId="0" fontId="4" fillId="0" borderId="15" xfId="0" applyAlignment="1">
      <x:alignment vertical="top" wrapText="1"/>
    </x:xf>
    <x:xf numFmtId="0" fontId="12" fillId="0" borderId="15" xfId="0" applyAlignment="1">
      <x:alignment horizontal="left" vertical="top" wrapText="1"/>
    </x:xf>
    <x:xf numFmtId="0" fontId="58" fillId="0" borderId="15" xfId="10" applyAlignment="1">
      <x:alignment horizontal="left"/>
    </x:xf>
    <x:xf numFmtId="0" fontId="12" fillId="0" borderId="15" xfId="6" applyAlignment="1">
      <x:alignment wrapText="1"/>
    </x:xf>
    <x:xf numFmtId="0" fontId="12" fillId="0" borderId="1" xfId="6" applyAlignment="1">
      <x:alignment wrapText="1"/>
    </x:xf>
    <x:xf numFmtId="0" fontId="4" fillId="0" borderId="15" xfId="0" applyAlignment="1">
      <x:alignment horizontal="left" vertical="top" wrapText="1"/>
    </x:xf>
    <x:xf numFmtId="0" fontId="12" fillId="0" borderId="15" xfId="6" applyAlignment="1">
      <x:alignment horizontal="left" vertical="top" wrapText="1"/>
    </x:xf>
    <x:xf numFmtId="0" fontId="12" fillId="0" borderId="1" xfId="6" applyAlignment="1">
      <x:alignment horizontal="left" vertical="top" wrapText="1"/>
    </x:xf>
    <x:xf numFmtId="0" fontId="12" fillId="0" borderId="15" xfId="0" applyAlignment="1">
      <x:alignment vertical="top" wrapText="1"/>
    </x:xf>
    <x:xf numFmtId="0" fontId="12" fillId="0" borderId="15" xfId="0" applyAlignment="1">
      <x:alignment horizontal="center" vertical="top"/>
    </x:xf>
    <x:xf numFmtId="14" fontId="12" fillId="0" borderId="15" xfId="0" applyAlignment="1">
      <x:alignment horizontal="center" vertical="top"/>
    </x:xf>
    <x:xf numFmtId="0" fontId="62" fillId="0" borderId="3" xfId="0" applyAlignment="1">
      <x:alignment horizontal="left" vertical="top"/>
    </x:xf>
    <x:xf numFmtId="0" fontId="62" fillId="0" borderId="3" xfId="0" applyAlignment="1">
      <x:alignment horizontal="center" vertical="top"/>
    </x:xf>
    <x:xf numFmtId="14" fontId="62" fillId="0" borderId="3" xfId="0" applyAlignment="1">
      <x:alignment horizontal="center" vertical="top"/>
    </x:xf>
    <x:xf numFmtId="0" fontId="62" fillId="0" borderId="3" xfId="0" applyAlignment="1">
      <x:alignment horizontal="left" vertical="top" wrapText="1"/>
    </x:xf>
    <x:xf numFmtId="0" fontId="0" fillId="0" borderId="3" xfId="0"/>
    <x:xf numFmtId="171" fontId="0" fillId="0" borderId="3" xfId="0"/>
    <x:xf numFmtId="0" fontId="0" fillId="0" borderId="0" xfId="0"/>
    <x:xf numFmtId="16" fontId="4" fillId="0" borderId="15" xfId="0" applyAlignment="1">
      <x:alignment horizontal="center" vertical="top"/>
    </x:xf>
    <x:xf numFmtId="0" fontId="4" fillId="0" borderId="15" xfId="0" applyAlignment="1">
      <x:alignment horizontal="center" vertical="center"/>
    </x:xf>
    <x:xf numFmtId="0" fontId="12" fillId="0" borderId="15" xfId="6" applyAlignment="1">
      <x:alignment horizontal="center" vertical="center" wrapText="1"/>
    </x:xf>
    <x:xf numFmtId="14" fontId="12" fillId="0" borderId="15" xfId="6" applyAlignment="1">
      <x:alignment horizontal="center" vertical="center" wrapText="1"/>
    </x:xf>
    <x:xf numFmtId="0" fontId="12" fillId="0" borderId="15" xfId="6" applyAlignment="1">
      <x:alignment horizontal="left" vertical="center" wrapText="1"/>
    </x:xf>
    <x:xf numFmtId="0" fontId="58" fillId="0" borderId="15" xfId="10"/>
    <x:xf numFmtId="0" fontId="58" fillId="0" borderId="15" xfId="10" applyAlignment="1">
      <x:alignment horizontal="left" vertical="top"/>
    </x:xf>
    <x:xf numFmtId="0" fontId="60" fillId="0" borderId="3" xfId="0" applyAlignment="1">
      <x:alignment vertical="top"/>
    </x:xf>
    <x:xf numFmtId="0" fontId="62" fillId="0" borderId="3" xfId="6" applyAlignment="1">
      <x:alignment horizontal="left" vertical="top"/>
    </x:xf>
    <x:xf numFmtId="0" fontId="63" fillId="0" borderId="3" xfId="10" applyAlignment="1">
      <x:alignment horizontal="left" vertical="top"/>
    </x:xf>
    <x:xf numFmtId="14" fontId="63" fillId="0" borderId="3" xfId="10" applyAlignment="1">
      <x:alignment horizontal="center" vertical="top"/>
    </x:xf>
    <x:xf numFmtId="0" fontId="64" fillId="0" borderId="3" xfId="10" applyAlignment="1">
      <x:alignment horizontal="left"/>
    </x:xf>
    <x:xf numFmtId="165" fontId="63" fillId="0" borderId="3" xfId="10" applyAlignment="1">
      <x:alignment horizontal="left" vertical="top"/>
    </x:xf>
    <x:xf numFmtId="1" fontId="63" fillId="0" borderId="3" xfId="10" applyAlignment="1">
      <x:alignment horizontal="left" vertical="top"/>
    </x:xf>
    <x:xf numFmtId="167" fontId="63" fillId="0" borderId="3" xfId="10" applyAlignment="1">
      <x:alignment horizontal="left" vertical="top"/>
    </x:xf>
    <x:xf numFmtId="172" fontId="63" fillId="0" borderId="3" xfId="10" applyAlignment="1">
      <x:alignment horizontal="left" vertical="top"/>
    </x:xf>
    <x:xf numFmtId="0" fontId="12" fillId="0" borderId="3" xfId="10" applyAlignment="1">
      <x:alignment horizontal="left" vertical="top"/>
    </x:xf>
    <x:xf numFmtId="165" fontId="63" fillId="0" borderId="3" xfId="10" applyAlignment="1">
      <x:alignment horizontal="right" vertical="top"/>
    </x:xf>
    <x:xf numFmtId="0" fontId="63" fillId="0" borderId="3" xfId="0" applyAlignment="1">
      <x:alignment horizontal="left" vertical="top"/>
    </x:xf>
    <x:xf numFmtId="171" fontId="63" fillId="0" borderId="3" xfId="0" applyAlignment="1">
      <x:alignment horizontal="center" vertical="top"/>
    </x:xf>
    <x:xf numFmtId="0" fontId="64" fillId="0" borderId="3" xfId="0" applyAlignment="1">
      <x:alignment horizontal="left"/>
    </x:xf>
    <x:xf numFmtId="165" fontId="63" fillId="0" borderId="3" xfId="0" applyAlignment="1">
      <x:alignment horizontal="left" vertical="top"/>
    </x:xf>
    <x:xf numFmtId="1" fontId="63" fillId="0" borderId="3" xfId="0" applyAlignment="1">
      <x:alignment horizontal="left" vertical="top"/>
    </x:xf>
    <x:xf numFmtId="167" fontId="63" fillId="0" borderId="3" xfId="0" applyAlignment="1">
      <x:alignment horizontal="left" vertical="top"/>
    </x:xf>
    <x:xf numFmtId="172" fontId="63" fillId="0" borderId="3" xfId="0" applyAlignment="1">
      <x:alignment horizontal="left" vertical="top"/>
    </x:xf>
    <x:xf numFmtId="0" fontId="12" fillId="0" borderId="3" xfId="0" applyAlignment="1">
      <x:alignment horizontal="left" vertical="top"/>
    </x:xf>
    <x:xf numFmtId="0" fontId="65" fillId="0" borderId="3" xfId="0" applyAlignment="1">
      <x:alignment horizontal="left"/>
    </x:xf>
    <x:xf numFmtId="165" fontId="63" fillId="0" borderId="3" xfId="0" applyAlignment="1">
      <x:alignment horizontal="right" vertical="top"/>
    </x:xf>
    <x:xf numFmtId="0" fontId="65" fillId="0" borderId="3" xfId="0" applyAlignment="1">
      <x:alignment horizontal="left" vertical="top"/>
    </x:xf>
    <x:xf numFmtId="49" fontId="63" fillId="0" borderId="3" xfId="0" applyAlignment="1">
      <x:alignment horizontal="left" vertical="top"/>
    </x:xf>
    <x:xf numFmtId="0" fontId="64" fillId="0" borderId="3" xfId="0" applyAlignment="1">
      <x:alignment horizontal="left" vertical="top"/>
    </x:xf>
    <x:xf numFmtId="0" fontId="0" fillId="0" borderId="3" xfId="0"/>
    <x:xf numFmtId="171" fontId="60" fillId="0" borderId="3" xfId="0"/>
    <x:xf numFmtId="0" fontId="60" fillId="0" borderId="3" xfId="0"/>
    <x:xf numFmtId="0" fontId="61" fillId="0" borderId="3" xfId="0"/>
    <x:xf numFmtId="0" fontId="0" fillId="0" borderId="0" xfId="0"/>
    <x:xf numFmtId="14" fontId="0" fillId="0" borderId="3" xfId="0"/>
    <x:xf numFmtId="14" fontId="60" fillId="0" borderId="3" xfId="0"/>
    <x:xf numFmtId="0" fontId="62" fillId="0" borderId="3" xfId="9" applyAlignment="1">
      <x:alignment horizontal="left" vertical="top"/>
    </x:xf>
    <x:xf numFmtId="171" fontId="0" fillId="0" borderId="3" xfId="0"/>
    <x:xf numFmtId="0" fontId="4" fillId="0" borderId="3" xfId="10"/>
    <x:xf numFmtId="0" fontId="12" fillId="0" borderId="3" xfId="10"/>
    <x:xf numFmtId="0" fontId="56" fillId="0" borderId="3" xfId="10"/>
    <x:xf numFmtId="0" fontId="4" fillId="0" borderId="3" xfId="0"/>
    <x:xf numFmtId="0" fontId="12" fillId="0" borderId="3" xfId="0"/>
    <x:xf numFmtId="0" fontId="64" fillId="0" borderId="3" xfId="0"/>
    <x:xf numFmtId="0" fontId="56" fillId="0" borderId="3" xfId="0"/>
    <x:xf numFmtId="0" fontId="7" fillId="0" borderId="1" xfId="6" applyAlignment="1">
      <x:alignment horizontal="left" wrapText="1"/>
    </x:xf>
    <x:xf numFmtId="14" fontId="7" fillId="0" borderId="1" xfId="6" applyAlignment="1">
      <x:alignment horizontal="left" wrapText="1"/>
    </x:xf>
    <x:xf numFmtId="0" fontId="1" fillId="0" borderId="1" xfId="6" applyAlignment="1">
      <x:alignment horizontal="left" wrapText="1"/>
    </x:xf>
    <x:xf numFmtId="0" fontId="2" fillId="0" borderId="1" xfId="6" applyAlignment="1">
      <x:alignment wrapText="1"/>
    </x:xf>
    <x:xf numFmtId="49" fontId="7" fillId="0" borderId="1" xfId="6" applyAlignment="1">
      <x:alignment horizontal="left" wrapText="1"/>
    </x:xf>
    <x:xf numFmtId="0" fontId="7" fillId="0" borderId="1" xfId="6" applyAlignment="1">
      <x:alignment horizontal="center" wrapText="1"/>
    </x:xf>
    <x:xf numFmtId="14" fontId="2" fillId="0" borderId="1" xfId="6" applyAlignment="1">
      <x:alignment horizontal="left" wrapText="1"/>
    </x:xf>
    <x:xf numFmtId="0" fontId="6" fillId="0" borderId="1" xfId="6" applyAlignment="1">
      <x:alignment horizontal="left" wrapText="1"/>
    </x:xf>
    <x:xf numFmtId="0" fontId="0" fillId="0" borderId="4" xfId="0"/>
    <x:xf numFmtId="169" fontId="30" fillId="0" borderId="4" xfId="10" applyAlignment="1">
      <x:alignment horizontal="center"/>
    </x:xf>
    <x:xf numFmtId="0" fontId="0" fillId="0" borderId="4" xfId="0"/>
    <x:xf numFmtId="0" fontId="0" fillId="0" borderId="0" xfId="0"/>
    <x:xf numFmtId="0" fontId="0" fillId="0" borderId="5" xfId="0"/>
    <x:xf numFmtId="0" fontId="0" fillId="0" borderId="58" xfId="0"/>
    <x:xf numFmtId="0" fontId="0" fillId="0" borderId="59" xfId="0"/>
    <x:xf numFmtId="0" fontId="0" fillId="0" borderId="7" xfId="0"/>
    <x:xf numFmtId="167" fontId="48" fillId="0" borderId="1" xfId="10"/>
    <x:xf numFmtId="167" fontId="0" fillId="0" borderId="0" xfId="0"/>
    <x:xf numFmtId="167" fontId="48" fillId="0" borderId="1" xfId="10" applyAlignment="1">
      <x:alignment horizontal="left" vertical="top"/>
    </x:xf>
    <x:xf numFmtId="167" fontId="51" fillId="20" borderId="32" xfId="10" applyAlignment="1">
      <x:alignment horizontal="center"/>
    </x:xf>
    <x:xf numFmtId="167" fontId="53" fillId="0" borderId="57" xfId="10" applyAlignment="1">
      <x:alignment horizontal="center" vertical="top" wrapText="1"/>
    </x:xf>
    <x:xf numFmtId="167" fontId="54" fillId="0" borderId="57" xfId="10" applyAlignment="1">
      <x:alignment horizontal="center" vertical="top" wrapText="1"/>
    </x:xf>
    <x:xf numFmtId="167" fontId="4" fillId="0" borderId="57" xfId="10" applyAlignment="1">
      <x:alignment horizontal="center" vertical="top" wrapText="1"/>
    </x:xf>
    <x:xf numFmtId="167" fontId="51" fillId="20" borderId="57" xfId="10" applyAlignment="1">
      <x:alignment horizontal="center"/>
    </x:xf>
    <x:xf numFmtId="167" fontId="48" fillId="0" borderId="57" xfId="10"/>
    <x:xf numFmtId="167" fontId="34" fillId="0" borderId="57" xfId="10" applyAlignment="1">
      <x:alignment horizontal="center" vertical="top" wrapText="1"/>
    </x:xf>
    <x:xf numFmtId="167" fontId="5" fillId="0" borderId="1" xfId="6" applyAlignment="1">
      <x:alignment horizontal="center" vertical="top" wrapText="1"/>
    </x:xf>
    <x:xf numFmtId="167" fontId="67" fillId="22" borderId="57" xfId="6" applyAlignment="1">
      <x:alignment horizontal="center" vertical="center" wrapText="1"/>
    </x:xf>
    <x:xf numFmtId="167" fontId="4" fillId="0" borderId="57" xfId="6" applyAlignment="1">
      <x:alignment horizontal="center" vertical="center" wrapText="1"/>
    </x:xf>
    <x:xf numFmtId="167" fontId="4" fillId="0" borderId="57" xfId="6" applyAlignment="1">
      <x:alignment horizontal="center" vertical="center" wrapText="1"/>
    </x:xf>
    <x:xf numFmtId="167" fontId="5" fillId="0" borderId="57" xfId="6" applyAlignment="1">
      <x:alignment horizontal="center" vertical="top" wrapText="1"/>
    </x:xf>
    <x:xf numFmtId="168" fontId="13" fillId="22" borderId="15" xfId="6" applyAlignment="1">
      <x:alignment horizontal="left" vertical="center" wrapText="1"/>
    </x:xf>
    <x:xf numFmtId="171" fontId="0" fillId="0" borderId="3" xfId="0"/>
    <x:xf numFmtId="49" fontId="21" fillId="0" borderId="71" xfId="7" applyAlignment="1">
      <x:alignment horizontal="center" vertical="center" wrapText="1"/>
    </x:xf>
    <x:xf numFmtId="49" fontId="18" fillId="0" borderId="72" xfId="7" applyAlignment="1">
      <x:alignment horizontal="right" vertical="top"/>
    </x:xf>
    <x:xf numFmtId="49" fontId="14" fillId="3" borderId="3" xfId="7" applyAlignment="1">
      <x:alignment horizontal="left" vertical="top" wrapText="1"/>
    </x:xf>
    <x:xf numFmtId="49" fontId="18" fillId="0" borderId="10" xfId="8" applyAlignment="1">
      <x:alignment horizontal="right" vertical="top"/>
    </x:xf>
    <x:xf numFmtId="0" fontId="0" fillId="0" borderId="10" xfId="0"/>
    <x:xf numFmtId="0" fontId="0" fillId="0" borderId="36" xfId="0"/>
    <x:xf numFmtId="49" fontId="18" fillId="0" borderId="72" xfId="7" applyAlignment="1">
      <x:alignment horizontal="right"/>
    </x:xf>
    <x:xf numFmtId="0" fontId="0" fillId="0" borderId="29" xfId="0"/>
    <x:xf numFmtId="49" fontId="18" fillId="0" borderId="73" xfId="7" applyAlignment="1">
      <x:alignment horizontal="right" vertical="top"/>
    </x:xf>
    <x:xf numFmtId="0" fontId="22" fillId="0" borderId="72" xfId="7" applyAlignment="1">
      <x:alignment horizontal="center" vertical="center" wrapText="1"/>
    </x:xf>
    <x:xf numFmtId="0" fontId="0" fillId="0" borderId="40" xfId="0"/>
    <x:xf numFmtId="49" fontId="18" fillId="0" borderId="74" xfId="7" applyAlignment="1">
      <x:alignment horizontal="right" wrapText="1"/>
    </x:xf>
    <x:xf numFmtId="0" fontId="0" fillId="0" borderId="75" xfId="0"/>
    <x:xf numFmtId="14" fontId="18" fillId="0" borderId="14" xfId="7" applyAlignment="1">
      <x:alignment horizontal="right" vertical="top"/>
    </x:xf>
    <x:xf numFmtId="0" fontId="0" fillId="0" borderId="14" xfId="0"/>
    <x:xf numFmtId="0" fontId="0" fillId="0" borderId="34" xfId="0"/>
    <x:xf numFmtId="49" fontId="20" fillId="6" borderId="66" xfId="7" applyAlignment="1">
      <x:alignment horizontal="center" vertical="center"/>
    </x:xf>
    <x:xf numFmtId="164" fontId="18" fillId="3" borderId="68" xfId="7" applyAlignment="1">
      <x:alignment horizontal="center" vertical="center"/>
    </x:xf>
    <x:xf numFmtId="0" fontId="19" fillId="0" borderId="68" xfId="7" applyAlignment="1">
      <x:alignment horizontal="center" vertical="center"/>
    </x:xf>
    <x:xf numFmtId="49" fontId="20" fillId="6" borderId="70" xfId="7" applyAlignment="1">
      <x:alignment horizontal="center" vertical="center"/>
    </x:xf>
    <x:xf numFmtId="0" fontId="0" fillId="0" borderId="23" xfId="0"/>
    <x:xf numFmtId="0" fontId="0" fillId="0" borderId="28" xfId="0"/>
    <x:xf numFmtId="165" fontId="14" fillId="6" borderId="63" xfId="7" applyAlignment="1">
      <x:alignment horizontal="right" vertical="center"/>
    </x:xf>
    <x:xf numFmtId="165" fontId="14" fillId="6" borderId="60" xfId="7" applyAlignment="1">
      <x:alignment horizontal="right" vertical="center"/>
    </x:xf>
    <x:xf numFmtId="165" fontId="14" fillId="6" borderId="60" xfId="7" applyAlignment="1">
      <x:alignment horizontal="center" vertical="center"/>
    </x:xf>
    <x:xf numFmtId="0" fontId="0" fillId="0" borderId="67" xfId="0"/>
    <x:xf numFmtId="0" fontId="0" fillId="0" borderId="20" xfId="0"/>
    <x:xf numFmtId="0" fontId="0" fillId="0" borderId="19" xfId="0"/>
    <x:xf numFmtId="0" fontId="0" fillId="0" borderId="18" xfId="0"/>
    <x:xf numFmtId="49" fontId="14" fillId="3" borderId="76" xfId="7" applyAlignment="1">
      <x:alignment horizontal="left" vertical="top" wrapText="1"/>
    </x:xf>
    <x:xf numFmtId="0" fontId="0" fillId="0" borderId="77" xfId="0"/>
    <x:xf numFmtId="170" fontId="18" fillId="3" borderId="68" xfId="7" applyAlignment="1">
      <x:alignment horizontal="center" vertical="center"/>
    </x:xf>
    <x:xf numFmtId="49" fontId="14" fillId="3" borderId="57" xfId="7" applyAlignment="1">
      <x:alignment horizontal="left" vertical="top" wrapText="1"/>
    </x:xf>
    <x:xf numFmtId="0" fontId="0" fillId="0" borderId="78" xfId="0"/>
    <x:xf numFmtId="0" fontId="0" fillId="0" borderId="54" xfId="0"/>
    <x:xf numFmtId="0" fontId="26" fillId="0" borderId="68" xfId="7" applyAlignment="1">
      <x:alignment horizontal="center" vertical="center"/>
    </x:xf>
    <x:xf numFmtId="171" fontId="60" fillId="0" borderId="3" xfId="0"/>
    <x:xf numFmtId="167" fontId="63" fillId="0" borderId="3" xfId="10" applyAlignment="1">
      <x:alignment horizontal="left" vertical="top"/>
    </x:xf>
    <x:xf numFmtId="172" fontId="63" fillId="0" borderId="3" xfId="10" applyAlignment="1">
      <x:alignment horizontal="left" vertical="top"/>
    </x:xf>
    <x:xf numFmtId="171" fontId="63" fillId="0" borderId="3" xfId="0" applyAlignment="1">
      <x:alignment horizontal="center" vertical="top"/>
    </x:xf>
    <x:xf numFmtId="167" fontId="63" fillId="0" borderId="3" xfId="0" applyAlignment="1">
      <x:alignment horizontal="left" vertical="top"/>
    </x:xf>
    <x:xf numFmtId="172" fontId="63" fillId="0" borderId="3" xfId="0" applyAlignment="1">
      <x:alignment horizontal="left" vertical="top"/>
    </x:xf>
    <x:xf numFmtId="0" fontId="71" fillId="0" borderId="1" xfId="10" applyAlignment="1">
      <x:alignment horizontal="left" vertical="center"/>
    </x:xf>
    <x:xf numFmtId="0" fontId="72" fillId="0" borderId="1" xfId="10" applyAlignment="1">
      <x:alignment horizontal="right" wrapText="1"/>
    </x:xf>
    <x:xf numFmtId="0" fontId="52" fillId="24" borderId="32" xfId="10" applyAlignment="1">
      <x:alignment horizontal="left" vertical="top" wrapText="1"/>
    </x:xf>
    <x:xf numFmtId="0" fontId="9" fillId="24" borderId="57" xfId="10" applyAlignment="1">
      <x:alignment horizontal="left" vertical="top" wrapText="1"/>
    </x:xf>
    <x:xf numFmtId="0" fontId="52" fillId="24" borderId="57" xfId="10" applyAlignment="1">
      <x:alignment horizontal="left" vertical="top" wrapText="1"/>
    </x:xf>
    <x:xf numFmtId="0" fontId="12" fillId="24" borderId="57" xfId="10" applyAlignment="1">
      <x:alignment horizontal="left" vertical="top" wrapText="1"/>
    </x:xf>
    <x:xf numFmtId="0" fontId="12" fillId="24" borderId="1" xfId="6" applyAlignment="1">
      <x:alignment horizontal="left" vertical="top" wrapText="1"/>
    </x:xf>
    <x:xf numFmtId="0" fontId="25" fillId="24" borderId="1" xfId="6" applyAlignment="1">
      <x:alignment horizontal="left" vertical="top" wrapText="1"/>
    </x:xf>
    <x:xf numFmtId="14" fontId="12" fillId="24" borderId="1" xfId="6" applyAlignment="1">
      <x:alignment horizontal="left" vertical="top" wrapText="1"/>
    </x:xf>
    <x:xf numFmtId="0" fontId="12" fillId="24" borderId="1" xfId="0" applyAlignment="1">
      <x:alignment horizontal="left" vertical="top" wrapText="1"/>
    </x:xf>
    <x:xf numFmtId="0" fontId="0" fillId="0" borderId="79" xfId="0" applyNumberFormat="1" applyFont="1" applyFill="1" applyBorder="1"/>
    <x:xf numFmtId="0" fontId="5" fillId="0" borderId="79" xfId="0" applyNumberFormat="1" applyFont="1" applyFill="1" applyBorder="1" applyAlignment="1">
      <x:alignment vertical="top"/>
    </x:xf>
    <x:xf numFmtId="0" fontId="5" fillId="0" borderId="79" xfId="0" applyNumberFormat="1" applyFont="1" applyFill="1" applyBorder="1" applyAlignment="1">
      <x:alignment horizontal="center" vertical="top" wrapText="1"/>
    </x:xf>
    <x:xf numFmtId="0" fontId="12" fillId="0" borderId="79" xfId="0" applyNumberFormat="1" applyFont="1" applyFill="1" applyBorder="1" applyAlignment="1">
      <x:alignment horizontal="left" vertical="top" wrapText="1"/>
    </x:xf>
    <x:xf numFmtId="0" fontId="12" fillId="0" borderId="79" xfId="0" applyNumberFormat="1" applyFont="1" applyFill="1" applyBorder="1" applyAlignment="1">
      <x:alignment horizontal="left" vertical="center" wrapText="1"/>
    </x:xf>
    <x:xf numFmtId="14" fontId="12" fillId="0" borderId="79" xfId="0" applyNumberFormat="1" applyFont="1" applyFill="1" applyBorder="1" applyAlignment="1">
      <x:alignment horizontal="center" vertical="center" wrapText="1"/>
    </x:xf>
    <x:xf numFmtId="0" fontId="12" fillId="0" borderId="79" xfId="0" applyNumberFormat="1" applyFont="1" applyFill="1" applyBorder="1" applyAlignment="1">
      <x:alignment horizontal="center" vertical="center" wrapText="1"/>
    </x:xf>
    <x:xf numFmtId="14" fontId="12" fillId="0" borderId="79" xfId="0" applyNumberFormat="1" applyFont="1" applyFill="1" applyBorder="1" applyAlignment="1">
      <x:alignment horizontal="center" vertical="top" wrapText="1"/>
    </x:xf>
    <x:xf numFmtId="0" fontId="12" fillId="0" borderId="79" xfId="0" applyNumberFormat="1" applyFont="1" applyFill="1" applyBorder="1" applyAlignment="1">
      <x:alignment horizontal="center" vertical="top" wrapText="1"/>
    </x:xf>
    <x:xf numFmtId="14" fontId="12" fillId="0" borderId="79" xfId="0" applyNumberFormat="1" applyFont="1" applyFill="1" applyBorder="1" applyAlignment="1">
      <x:alignment horizontal="left" vertical="top" wrapText="1"/>
    </x:xf>
    <x:xf numFmtId="0" fontId="12" fillId="0" borderId="79" xfId="0" applyNumberFormat="1" applyFont="1" applyFill="1" applyBorder="1" applyAlignment="1">
      <x:alignment horizontal="left" wrapText="1"/>
    </x:xf>
    <x:xf numFmtId="0" fontId="12" fillId="0" borderId="79" xfId="0" applyNumberFormat="1" applyFont="1" applyFill="1" applyBorder="1" applyAlignment="1">
      <x:alignment horizontal="center" wrapText="1"/>
    </x:xf>
    <x:xf numFmtId="14" fontId="12" fillId="0" borderId="79" xfId="0" applyNumberFormat="1" applyFont="1" applyFill="1" applyBorder="1" applyAlignment="1">
      <x:alignment horizontal="center" wrapText="1"/>
    </x:xf>
    <x:xf numFmtId="0" fontId="14" fillId="0" borderId="79" xfId="0" applyNumberFormat="1" applyFont="1" applyFill="1" applyBorder="1"/>
    <x:xf numFmtId="0" fontId="14" fillId="3" borderId="79" xfId="0" applyNumberFormat="1" applyFont="1" applyFill="1" applyBorder="1"/>
    <x:xf numFmtId="164" fontId="14" fillId="0" borderId="79" xfId="0" applyNumberFormat="1" applyFont="1" applyFill="1" applyBorder="1"/>
    <x:xf numFmtId="0" fontId="14" fillId="0" borderId="79" xfId="0" applyNumberFormat="1" applyFont="1" applyFill="1" applyBorder="1" applyAlignment="1">
      <x:alignment horizontal="left" wrapText="1"/>
    </x:xf>
    <x:xf numFmtId="164" fontId="14" fillId="0" borderId="79" xfId="0" applyNumberFormat="1" applyFont="1" applyFill="1" applyBorder="1" applyAlignment="1">
      <x:alignment horizontal="center"/>
    </x:xf>
    <x:xf numFmtId="0" fontId="14" fillId="0" borderId="79" xfId="0" applyNumberFormat="1" applyFont="1" applyFill="1" applyBorder="1" applyAlignment="1">
      <x:alignment horizontal="center" wrapText="1"/>
    </x:xf>
    <x:xf numFmtId="0" fontId="14" fillId="0" borderId="79" xfId="0" applyNumberFormat="1" applyFont="1" applyFill="1" applyBorder="1" applyAlignment="1">
      <x:alignment wrapText="1"/>
    </x:xf>
    <x:xf numFmtId="0" fontId="14" fillId="0" borderId="79" xfId="0" applyNumberFormat="1" applyFont="1" applyFill="1" applyBorder="1" applyAlignment="1">
      <x:alignment horizontal="left" vertical="top" wrapText="1"/>
    </x:xf>
    <x:xf numFmtId="164" fontId="14" fillId="4" borderId="79" xfId="0" applyNumberFormat="1" applyFont="1" applyFill="1" applyBorder="1" applyAlignment="1">
      <x:alignment vertical="top"/>
    </x:xf>
    <x:xf numFmtId="0" fontId="15" fillId="4" borderId="79" xfId="0" applyNumberFormat="1" applyFont="1" applyFill="1" applyBorder="1" applyAlignment="1">
      <x:alignment horizontal="center" vertical="top"/>
    </x:xf>
    <x:xf numFmtId="164" fontId="15" fillId="4" borderId="79" xfId="0" applyNumberFormat="1" applyFont="1" applyFill="1" applyBorder="1" applyAlignment="1">
      <x:alignment horizontal="left" vertical="top"/>
    </x:xf>
    <x:xf numFmtId="0" fontId="14" fillId="4" borderId="79" xfId="0" applyNumberFormat="1" applyFont="1" applyFill="1" applyBorder="1" applyAlignment="1">
      <x:alignment horizontal="center" vertical="top" wrapText="1"/>
    </x:xf>
    <x:xf numFmtId="0" fontId="14" fillId="4" borderId="79" xfId="0" applyNumberFormat="1" applyFont="1" applyFill="1" applyBorder="1" applyAlignment="1">
      <x:alignment vertical="top" wrapText="1"/>
    </x:xf>
    <x:xf numFmtId="0" fontId="14" fillId="0" borderId="79" xfId="0" applyNumberFormat="1" applyFont="1" applyFill="1" applyBorder="1" applyAlignment="1">
      <x:alignment horizontal="right"/>
    </x:xf>
    <x:xf numFmtId="165" fontId="14" fillId="0" borderId="79" xfId="0" applyNumberFormat="1" applyFont="1" applyFill="1" applyBorder="1" applyAlignment="1">
      <x:alignment horizontal="right"/>
    </x:xf>
    <x:xf numFmtId="165" fontId="14" fillId="0" borderId="79" xfId="0" applyNumberFormat="1" applyFont="1" applyFill="1" applyBorder="1" applyAlignment="1">
      <x:alignment horizontal="right" vertical="top"/>
    </x:xf>
    <x:xf numFmtId="0" fontId="14" fillId="5" borderId="79" xfId="0" applyNumberFormat="1" applyFont="1" applyFill="1" applyBorder="1" applyAlignment="1">
      <x:alignment horizontal="right"/>
    </x:xf>
    <x:xf numFmtId="164" fontId="14" fillId="4" borderId="80" xfId="0" applyNumberFormat="1" applyFont="1" applyFill="1" applyBorder="1" applyAlignment="1">
      <x:alignment vertical="top"/>
    </x:xf>
    <x:xf numFmtId="0" fontId="15" fillId="4" borderId="80" xfId="0" applyNumberFormat="1" applyFont="1" applyFill="1" applyBorder="1" applyAlignment="1">
      <x:alignment horizontal="center" vertical="top"/>
    </x:xf>
    <x:xf numFmtId="164" fontId="15" fillId="4" borderId="80" xfId="0" applyNumberFormat="1" applyFont="1" applyFill="1" applyBorder="1" applyAlignment="1">
      <x:alignment horizontal="left" vertical="top"/>
    </x:xf>
    <x:xf numFmtId="0" fontId="14" fillId="4" borderId="80" xfId="0" applyNumberFormat="1" applyFont="1" applyFill="1" applyBorder="1" applyAlignment="1">
      <x:alignment horizontal="center" vertical="top" wrapText="1"/>
    </x:xf>
    <x:xf numFmtId="0" fontId="14" fillId="4" borderId="80" xfId="0" applyNumberFormat="1" applyFont="1" applyFill="1" applyBorder="1" applyAlignment="1">
      <x:alignment vertical="top" wrapText="1"/>
    </x:xf>
    <x:xf numFmtId="166" fontId="14" fillId="0" borderId="81" xfId="0" applyNumberFormat="1" applyFont="1" applyFill="1" applyBorder="1" applyAlignment="1">
      <x:alignment horizontal="center" vertical="top"/>
    </x:xf>
    <x:xf numFmtId="164" fontId="14" fillId="6" borderId="82" xfId="0" applyNumberFormat="1" applyFont="1" applyFill="1" applyBorder="1" applyAlignment="1">
      <x:alignment horizontal="right" vertical="top"/>
    </x:xf>
    <x:xf numFmtId="0" fontId="14" fillId="0" borderId="83" xfId="0" applyNumberFormat="1" applyFont="1" applyFill="1" applyBorder="1" applyAlignment="1">
      <x:alignment horizontal="center" vertical="top" wrapText="1"/>
    </x:xf>
    <x:xf numFmtId="0" fontId="14" fillId="0" borderId="83" xfId="0" applyNumberFormat="1" applyFont="1" applyFill="1" applyBorder="1" applyAlignment="1">
      <x:alignment horizontal="left" vertical="top" wrapText="1"/>
    </x:xf>
    <x:xf numFmtId="0" fontId="12" fillId="0" borderId="83" xfId="0" applyNumberFormat="1" applyFont="1" applyFill="1" applyBorder="1" applyAlignment="1">
      <x:alignment horizontal="center" vertical="top" wrapText="1"/>
    </x:xf>
    <x:xf numFmtId="0" fontId="14" fillId="3" borderId="84" xfId="0" applyNumberFormat="1" applyFont="1" applyFill="1" applyBorder="1" applyAlignment="1">
      <x:alignment horizontal="right"/>
    </x:xf>
    <x:xf numFmtId="165" fontId="14" fillId="3" borderId="85" xfId="0" applyNumberFormat="1" applyFont="1" applyFill="1" applyBorder="1" applyAlignment="1">
      <x:alignment horizontal="right" vertical="top"/>
    </x:xf>
    <x:xf numFmtId="165" fontId="16" fillId="3" borderId="85" xfId="0" applyNumberFormat="1" applyFont="1" applyFill="1" applyBorder="1" applyAlignment="1">
      <x:alignment horizontal="right" vertical="top"/>
    </x:xf>
    <x:xf numFmtId="165" fontId="14" fillId="3" borderId="86" xfId="0" applyNumberFormat="1" applyFont="1" applyFill="1" applyBorder="1" applyAlignment="1">
      <x:alignment horizontal="right" vertical="top"/>
    </x:xf>
    <x:xf numFmtId="166" fontId="14" fillId="3" borderId="87" xfId="0" applyNumberFormat="1" applyFont="1" applyFill="1" applyBorder="1" applyAlignment="1">
      <x:alignment vertical="top"/>
    </x:xf>
    <x:xf numFmtId="164" fontId="14" fillId="3" borderId="88" xfId="0" applyNumberFormat="1" applyFont="1" applyFill="1" applyBorder="1" applyAlignment="1">
      <x:alignment horizontal="right" vertical="top"/>
    </x:xf>
    <x:xf numFmtId="49" fontId="14" fillId="3" borderId="89" xfId="0" applyNumberFormat="1" applyFont="1" applyFill="1" applyBorder="1" applyAlignment="1">
      <x:alignment horizontal="left" vertical="top" wrapText="1"/>
    </x:xf>
    <x:xf numFmtId="0" fontId="14" fillId="3" borderId="90" xfId="0" applyNumberFormat="1" applyFont="1" applyFill="1" applyBorder="1" applyAlignment="1">
      <x:alignment horizontal="center" vertical="top" wrapText="1"/>
    </x:xf>
    <x:xf numFmtId="0" fontId="14" fillId="3" borderId="91" xfId="0" applyNumberFormat="1" applyFont="1" applyFill="1" applyBorder="1" applyAlignment="1">
      <x:alignment vertical="top" wrapText="1"/>
    </x:xf>
    <x:xf numFmtId="164" fontId="18" fillId="6" borderId="92" xfId="0" applyNumberFormat="1" applyFont="1" applyFill="1" applyBorder="1" applyAlignment="1">
      <x:alignment horizontal="right" vertical="center"/>
    </x:xf>
    <x:xf numFmtId="0" fontId="18" fillId="6" borderId="92" xfId="0" applyNumberFormat="1" applyFont="1" applyFill="1" applyBorder="1" applyAlignment="1">
      <x:alignment horizontal="center" vertical="center" wrapText="1"/>
    </x:xf>
    <x:xf numFmtId="164" fontId="18" fillId="6" borderId="93" xfId="0" applyNumberFormat="1" applyFont="1" applyFill="1" applyBorder="1" applyAlignment="1">
      <x:alignment horizontal="right" vertical="center"/>
    </x:xf>
    <x:xf numFmtId="0" fontId="18" fillId="6" borderId="94" xfId="0" applyNumberFormat="1" applyFont="1" applyFill="1" applyBorder="1" applyAlignment="1">
      <x:alignment horizontal="center" vertical="center" wrapText="1"/>
    </x:xf>
    <x:xf numFmtId="0" fontId="14" fillId="6" borderId="95" xfId="0" applyNumberFormat="1" applyFont="1" applyFill="1" applyBorder="1" applyAlignment="1">
      <x:alignment horizontal="right"/>
    </x:xf>
    <x:xf numFmtId="0" fontId="14" fillId="3" borderId="83" xfId="0" applyNumberFormat="1" applyFont="1" applyFill="1" applyBorder="1" applyAlignment="1">
      <x:alignment vertical="top" wrapText="1"/>
    </x:xf>
    <x:xf numFmtId="0" fontId="14" fillId="7" borderId="79" xfId="0" applyNumberFormat="1" applyFont="1" applyFill="1" applyBorder="1" applyAlignment="1">
      <x:alignment horizontal="right"/>
    </x:xf>
    <x:xf numFmtId="14" fontId="15" fillId="3" borderId="96" xfId="0" applyNumberFormat="1" applyFont="1" applyFill="1" applyBorder="1" applyAlignment="1">
      <x:alignment horizontal="center" vertical="top"/>
    </x:xf>
    <x:xf numFmtId="14" fontId="14" fillId="7" borderId="79" xfId="0" applyNumberFormat="1" applyFont="1" applyFill="1" applyBorder="1" applyAlignment="1">
      <x:alignment horizontal="center" vertical="top"/>
    </x:xf>
    <x:xf numFmtId="14" fontId="14" fillId="0" borderId="79" xfId="0" applyNumberFormat="1" applyFont="1" applyFill="1" applyBorder="1" applyAlignment="1">
      <x:alignment horizontal="center" vertical="top"/>
    </x:xf>
    <x:xf numFmtId="49" fontId="14" fillId="0" borderId="79" xfId="0" applyNumberFormat="1" applyFont="1" applyFill="1" applyBorder="1" applyAlignment="1">
      <x:alignment horizontal="center" vertical="top"/>
    </x:xf>
    <x:xf numFmtId="14" fontId="14" fillId="8" borderId="79" xfId="0" applyNumberFormat="1" applyFont="1" applyFill="1" applyBorder="1" applyAlignment="1">
      <x:alignment horizontal="center" vertical="top"/>
    </x:xf>
    <x:xf numFmtId="165" fontId="18" fillId="3" borderId="88" xfId="0" applyNumberFormat="1" applyFont="1" applyFill="1" applyBorder="1" applyAlignment="1">
      <x:alignment horizontal="left"/>
    </x:xf>
    <x:xf numFmtId="49" fontId="14" fillId="7" borderId="79" xfId="0" applyNumberFormat="1" applyFont="1" applyFill="1" applyBorder="1" applyAlignment="1">
      <x:alignment horizontal="center" vertical="top"/>
    </x:xf>
    <x:xf numFmtId="49" fontId="14" fillId="8" borderId="79" xfId="0" applyNumberFormat="1" applyFont="1" applyFill="1" applyBorder="1" applyAlignment="1">
      <x:alignment horizontal="center" vertical="top"/>
    </x:xf>
    <x:xf numFmtId="165" fontId="18" fillId="3" borderId="97" xfId="0" applyNumberFormat="1" applyFont="1" applyFill="1" applyBorder="1" applyAlignment="1">
      <x:alignment horizontal="left"/>
    </x:xf>
    <x:xf numFmtId="17" fontId="0" fillId="0" borderId="79" xfId="0" applyNumberFormat="1" applyFont="1" applyFill="1" applyBorder="1" applyAlignment="1">
      <x:alignment horizontal="left" vertical="top"/>
    </x:xf>
    <x:xf numFmtId="14" fontId="7" fillId="0" borderId="79" xfId="0" applyNumberFormat="1" applyFont="1" applyFill="1" applyBorder="1" applyAlignment="1">
      <x:alignment horizontal="left" vertical="top"/>
    </x:xf>
    <x:xf numFmtId="49" fontId="7" fillId="0" borderId="79" xfId="0" applyNumberFormat="1" applyFont="1" applyFill="1" applyBorder="1" applyAlignment="1">
      <x:alignment horizontal="left" vertical="top"/>
    </x:xf>
    <x:xf numFmtId="14" fontId="7" fillId="0" borderId="79" xfId="0" applyNumberFormat="1" applyFont="1" applyFill="1" applyBorder="1" applyAlignment="1">
      <x:alignment horizontal="left" vertical="top" wrapText="1"/>
    </x:xf>
    <x:xf numFmtId="0" fontId="7" fillId="0" borderId="79" xfId="0" applyNumberFormat="1" applyFont="1" applyFill="1" applyBorder="1" applyAlignment="1">
      <x:alignment horizontal="left" vertical="top"/>
    </x:xf>
    <x:xf numFmtId="0" fontId="7" fillId="0" borderId="79" xfId="0" applyNumberFormat="1" applyFont="1" applyFill="1" applyBorder="1" applyAlignment="1">
      <x:alignment horizontal="left" vertical="top" wrapText="1"/>
    </x:xf>
    <x:xf numFmtId="0" fontId="0" fillId="0" borderId="79" xfId="0" applyNumberFormat="1" applyFont="1" applyFill="1" applyBorder="1" applyAlignment="1">
      <x:alignment horizontal="left" vertical="top"/>
    </x:xf>
    <x:xf numFmtId="14" fontId="0" fillId="0" borderId="79" xfId="0" applyNumberFormat="1" applyFont="1" applyFill="1" applyBorder="1" applyAlignment="1">
      <x:alignment horizontal="left" vertical="top" wrapText="1"/>
    </x:xf>
    <x:xf numFmtId="0" fontId="0" fillId="0" borderId="79" xfId="0" applyNumberFormat="1" applyFont="1" applyFill="1" applyBorder="1" applyAlignment="1">
      <x:alignment horizontal="left"/>
    </x:xf>
    <x:xf numFmtId="0" fontId="6" fillId="0" borderId="79" xfId="0" applyNumberFormat="1" applyFont="1" applyFill="1" applyBorder="1" applyAlignment="1">
      <x:alignment horizontal="left"/>
    </x:xf>
    <x:xf numFmtId="165" fontId="5" fillId="0" borderId="79" xfId="0" applyNumberFormat="1" applyFont="1" applyFill="1" applyBorder="1" applyAlignment="1">
      <x:alignment horizontal="center" vertical="top" wrapText="1"/>
    </x:xf>
    <x:xf numFmtId="0" fontId="23" fillId="0" borderId="83" xfId="0" applyNumberFormat="1" applyFont="1" applyFill="1" applyBorder="1" applyAlignment="1">
      <x:alignment horizontal="center" vertical="top" wrapText="1"/>
    </x:xf>
    <x:xf numFmtId="165" fontId="14" fillId="0" borderId="98" xfId="0" applyNumberFormat="1" applyFont="1" applyFill="1" applyBorder="1" applyAlignment="1">
      <x:alignment horizontal="right"/>
    </x:xf>
    <x:xf numFmtId="0" fontId="14" fillId="0" borderId="79" xfId="0" applyNumberFormat="1" applyFont="1" applyFill="1" applyBorder="1" applyAlignment="1">
      <x:alignment horizontal="center"/>
    </x:xf>
    <x:xf numFmtId="14" fontId="7" fillId="0" borderId="79" xfId="0" applyNumberFormat="1" applyFont="1" applyFill="1" applyBorder="1" applyAlignment="1">
      <x:alignment horizontal="center" vertical="top"/>
    </x:xf>
    <x:xf numFmtId="0" fontId="0" fillId="0" borderId="79" xfId="0" applyNumberFormat="1" applyFont="1" applyFill="1" applyBorder="1" applyAlignment="1">
      <x:alignment horizontal="center"/>
    </x:xf>
    <x:xf numFmtId="0" fontId="6" fillId="0" borderId="79" xfId="0" applyNumberFormat="1" applyFont="1" applyFill="1" applyBorder="1" applyAlignment="1">
      <x:alignment horizontal="center"/>
    </x:xf>
    <x:xf numFmtId="0" fontId="7" fillId="0" borderId="79" xfId="0" applyNumberFormat="1" applyFont="1" applyFill="1" applyBorder="1" applyAlignment="1">
      <x:alignment horizontal="center" vertical="top"/>
    </x:xf>
    <x:xf numFmtId="165" fontId="12" fillId="0" borderId="79" xfId="0" applyNumberFormat="1" applyFont="1" applyFill="1" applyBorder="1" applyAlignment="1">
      <x:alignment horizontal="left" vertical="top"/>
    </x:xf>
    <x:xf numFmtId="165" fontId="12" fillId="0" borderId="79" xfId="0" applyNumberFormat="1" applyFont="1" applyFill="1" applyBorder="1" applyAlignment="1">
      <x:alignment horizontal="left" vertical="top" wrapText="1"/>
    </x:xf>
    <x:xf numFmtId="164" fontId="14" fillId="6" borderId="99" xfId="0" applyNumberFormat="1" applyFont="1" applyFill="1" applyBorder="1" applyAlignment="1">
      <x:alignment horizontal="right" vertical="top"/>
    </x:xf>
    <x:xf numFmtId="164" fontId="14" fillId="6" borderId="100" xfId="0" applyNumberFormat="1" applyFont="1" applyFill="1" applyBorder="1" applyAlignment="1">
      <x:alignment horizontal="right" vertical="top"/>
    </x:xf>
    <x:xf numFmtId="49" fontId="14" fillId="3" borderId="101" xfId="0" applyNumberFormat="1" applyFont="1" applyFill="1" applyBorder="1" applyAlignment="1">
      <x:alignment horizontal="left" vertical="top" wrapText="1"/>
    </x:xf>
    <x:xf numFmtId="0" fontId="5" fillId="0" borderId="79" xfId="0" applyNumberFormat="1" applyFont="1" applyFill="1" applyBorder="1" applyAlignment="1">
      <x:alignment horizontal="center" vertical="center"/>
    </x:xf>
    <x:xf numFmtId="0" fontId="14" fillId="0" borderId="79" xfId="0" applyNumberFormat="1" applyFont="1" applyFill="1" applyBorder="1" applyAlignment="1">
      <x:alignment horizontal="center" vertical="center"/>
    </x:xf>
    <x:xf numFmtId="49" fontId="14" fillId="0" borderId="79" xfId="0" applyNumberFormat="1" applyFont="1" applyFill="1" applyBorder="1" applyAlignment="1">
      <x:alignment horizontal="center" vertical="center"/>
    </x:xf>
    <x:xf numFmtId="14" fontId="14" fillId="0" borderId="79" xfId="0" applyNumberFormat="1" applyFont="1" applyFill="1" applyBorder="1" applyAlignment="1">
      <x:alignment horizontal="center" vertical="center"/>
    </x:xf>
    <x:xf numFmtId="14" fontId="15" fillId="3" borderId="96" xfId="0" applyNumberFormat="1" applyFont="1" applyFill="1" applyBorder="1" applyAlignment="1">
      <x:alignment horizontal="center" vertical="center"/>
    </x:xf>
    <x:xf numFmtId="165" fontId="14" fillId="3" borderId="85" xfId="0" applyNumberFormat="1" applyFont="1" applyFill="1" applyBorder="1" applyAlignment="1">
      <x:alignment horizontal="center" vertical="center"/>
    </x:xf>
    <x:xf numFmtId="165" fontId="14" fillId="0" borderId="79" xfId="0" applyNumberFormat="1" applyFont="1" applyFill="1" applyBorder="1" applyAlignment="1">
      <x:alignment horizontal="center" vertical="center"/>
    </x:xf>
    <x:xf numFmtId="0" fontId="14" fillId="5" borderId="79" xfId="0" applyNumberFormat="1" applyFont="1" applyFill="1" applyBorder="1" applyAlignment="1">
      <x:alignment horizontal="center" vertical="center"/>
    </x:xf>
    <x:xf numFmtId="0" fontId="25" fillId="0" borderId="79" xfId="0" applyNumberFormat="1" applyFont="1" applyFill="1" applyBorder="1" applyAlignment="1">
      <x:alignment horizontal="left" vertical="center" wrapText="1"/>
    </x:xf>
    <x:xf numFmtId="0" fontId="25" fillId="0" borderId="79" xfId="0" applyNumberFormat="1" applyFont="1" applyFill="1" applyBorder="1" applyAlignment="1">
      <x:alignment horizontal="left" vertical="top" wrapText="1"/>
    </x:xf>
    <x:xf numFmtId="165" fontId="16" fillId="3" borderId="85" xfId="0" applyNumberFormat="1" applyFont="1" applyFill="1" applyBorder="1" applyAlignment="1">
      <x:alignment horizontal="center" vertical="center"/>
    </x:xf>
    <x:xf numFmtId="0" fontId="25" fillId="0" borderId="79" xfId="0" applyNumberFormat="1" applyFont="1" applyFill="1" applyBorder="1" applyAlignment="1">
      <x:alignment horizontal="center" vertical="center" wrapText="1"/>
    </x:xf>
    <x:xf numFmtId="0" fontId="14" fillId="0" borderId="79" xfId="0" applyNumberFormat="1" applyFont="1" applyFill="1" applyBorder="1" applyAlignment="1">
      <x:alignment horizontal="center" vertical="center" wrapText="1"/>
    </x:xf>
    <x:xf numFmtId="14" fontId="14" fillId="0" borderId="79" xfId="0" applyNumberFormat="1" applyFont="1" applyFill="1" applyBorder="1" applyAlignment="1">
      <x:alignment horizontal="center" vertical="center" wrapText="1"/>
    </x:xf>
    <x:xf numFmtId="165" fontId="25" fillId="0" borderId="79" xfId="0" applyNumberFormat="1" applyFont="1" applyFill="1" applyBorder="1" applyAlignment="1">
      <x:alignment horizontal="left" vertical="top"/>
    </x:xf>
    <x:xf numFmtId="0" fontId="4" fillId="0" borderId="79" xfId="0" applyNumberFormat="1" applyFont="1" applyFill="1" applyBorder="1" applyAlignment="1">
      <x:alignment vertical="top"/>
    </x:xf>
    <x:xf numFmtId="165" fontId="4" fillId="0" borderId="79" xfId="0" applyNumberFormat="1" applyFont="1" applyFill="1" applyBorder="1" applyAlignment="1">
      <x:alignment vertical="top"/>
    </x:xf>
    <x:xf numFmtId="0" fontId="12" fillId="0" borderId="88" xfId="0" applyNumberFormat="1" applyFont="1" applyFill="1" applyBorder="1" applyAlignment="1">
      <x:alignment vertical="top" wrapText="1"/>
    </x:xf>
    <x:xf numFmtId="0" fontId="13" fillId="0" borderId="79" xfId="0" applyNumberFormat="1" applyFont="1" applyFill="1" applyBorder="1" applyAlignment="1">
      <x:alignment horizontal="center" wrapText="1"/>
    </x:xf>
    <x:xf numFmtId="0" fontId="12" fillId="0" borderId="79" xfId="0" applyNumberFormat="1" applyFont="1" applyFill="1" applyBorder="1" applyAlignment="1">
      <x:alignment wrapText="1"/>
    </x:xf>
    <x:xf numFmtId="0" fontId="12" fillId="0" borderId="79" xfId="0" applyNumberFormat="1" applyFont="1" applyFill="1" applyBorder="1" applyAlignment="1">
      <x:alignment horizontal="center"/>
    </x:xf>
    <x:xf numFmtId="0" fontId="12" fillId="0" borderId="79" xfId="0" applyNumberFormat="1" applyFont="1" applyFill="1" applyBorder="1" applyAlignment="1">
      <x:alignment horizontal="center" vertical="center"/>
    </x:xf>
    <x:xf numFmtId="49" fontId="12" fillId="0" borderId="79" xfId="0" applyNumberFormat="1" applyFont="1" applyFill="1" applyBorder="1" applyAlignment="1">
      <x:alignment horizontal="center" vertical="top"/>
    </x:xf>
    <x:xf numFmtId="49" fontId="12" fillId="0" borderId="79" xfId="0" applyNumberFormat="1" applyFont="1" applyFill="1" applyBorder="1" applyAlignment="1">
      <x:alignment horizontal="center" vertical="center"/>
    </x:xf>
    <x:xf numFmtId="0" fontId="12" fillId="0" borderId="79" xfId="0" applyNumberFormat="1" applyFont="1" applyFill="1" applyBorder="1" applyAlignment="1">
      <x:alignment vertical="center" wrapText="1"/>
    </x:xf>
    <x:xf numFmtId="14" fontId="12" fillId="0" borderId="79" xfId="0" applyNumberFormat="1" applyFont="1" applyFill="1" applyBorder="1" applyAlignment="1">
      <x:alignment horizontal="center" vertical="center"/>
    </x:xf>
    <x:xf numFmtId="165" fontId="12" fillId="0" borderId="79" xfId="0" applyNumberFormat="1" applyFont="1" applyFill="1" applyBorder="1" applyAlignment="1">
      <x:alignment horizontal="right" vertical="top"/>
    </x:xf>
    <x:xf numFmtId="165" fontId="12" fillId="0" borderId="79" xfId="0" applyNumberFormat="1" applyFont="1" applyFill="1" applyBorder="1" applyAlignment="1">
      <x:alignment horizontal="right"/>
    </x:xf>
    <x:xf numFmtId="165" fontId="12" fillId="0" borderId="79" xfId="0" applyNumberFormat="1" applyFont="1" applyFill="1" applyBorder="1" applyAlignment="1">
      <x:alignment horizontal="center" vertical="center"/>
    </x:xf>
    <x:xf numFmtId="0" fontId="12" fillId="0" borderId="83" xfId="0" applyNumberFormat="1" applyFont="1" applyFill="1" applyBorder="1" applyAlignment="1">
      <x:alignment horizontal="left" vertical="top" wrapText="1"/>
    </x:xf>
    <x:xf numFmtId="166" fontId="12" fillId="0" borderId="81" xfId="0" applyNumberFormat="1" applyFont="1" applyFill="1" applyBorder="1" applyAlignment="1">
      <x:alignment horizontal="center" vertical="top"/>
    </x:xf>
    <x:xf numFmtId="165" fontId="12" fillId="0" borderId="98" xfId="0" applyNumberFormat="1" applyFont="1" applyFill="1" applyBorder="1" applyAlignment="1">
      <x:alignment horizontal="right"/>
    </x:xf>
    <x:xf numFmtId="0" fontId="12" fillId="0" borderId="88" xfId="0" applyNumberFormat="1" applyFont="1" applyFill="1" applyBorder="1" applyAlignment="1">
      <x:alignment horizontal="center" vertical="center" wrapText="1"/>
    </x:xf>
    <x:xf numFmtId="14" fontId="12" fillId="0" borderId="88" xfId="0" applyNumberFormat="1" applyFont="1" applyFill="1" applyBorder="1" applyAlignment="1">
      <x:alignment horizontal="center" vertical="center" wrapText="1"/>
    </x:xf>
    <x:xf numFmtId="0" fontId="12" fillId="0" borderId="88" xfId="0" applyNumberFormat="1" applyFont="1" applyFill="1" applyBorder="1" applyAlignment="1">
      <x:alignment horizontal="left" vertical="center" wrapText="1"/>
    </x:xf>
    <x:xf numFmtId="0" fontId="12" fillId="0" borderId="88" xfId="0" applyNumberFormat="1" applyFont="1" applyFill="1" applyBorder="1" applyAlignment="1">
      <x:alignment wrapText="1"/>
    </x:xf>
    <x:xf numFmtId="0" fontId="9" fillId="0" borderId="79" xfId="0" applyNumberFormat="1" applyFont="1" applyFill="1" applyBorder="1"/>
    <x:xf numFmtId="0" fontId="29" fillId="0" borderId="79" xfId="0" applyNumberFormat="1" applyFont="1" applyFill="1" applyBorder="1"/>
    <x:xf numFmtId="0" fontId="30" fillId="0" borderId="79" xfId="0" applyNumberFormat="1" applyFont="1" applyFill="1" applyBorder="1" applyAlignment="1">
      <x:alignment horizontal="center"/>
    </x:xf>
    <x:xf numFmtId="0" fontId="30" fillId="0" borderId="79" xfId="0" applyNumberFormat="1" applyFont="1" applyFill="1" applyBorder="1" applyAlignment="1">
      <x:alignment vertical="center"/>
    </x:xf>
    <x:xf numFmtId="0" fontId="31" fillId="0" borderId="79" xfId="0" applyNumberFormat="1" applyFont="1" applyFill="1" applyBorder="1"/>
    <x:xf numFmtId="0" fontId="30" fillId="0" borderId="79" xfId="0" applyNumberFormat="1" applyFont="1" applyFill="1" applyBorder="1"/>
    <x:xf numFmtId="0" fontId="31" fillId="0" borderId="102" xfId="0" applyNumberFormat="1" applyFont="1" applyFill="1" applyBorder="1"/>
    <x:xf numFmtId="0" fontId="33" fillId="0" borderId="102" xfId="0" applyNumberFormat="1" applyFont="1" applyFill="1" applyBorder="1" applyAlignment="1">
      <x:alignment wrapText="1"/>
    </x:xf>
    <x:xf numFmtId="0" fontId="33" fillId="0" borderId="79" xfId="0" applyNumberFormat="1" applyFont="1" applyFill="1" applyBorder="1" applyAlignment="1">
      <x:alignment wrapText="1"/>
    </x:xf>
    <x:xf numFmtId="0" fontId="9" fillId="0" borderId="103" xfId="0" applyNumberFormat="1" applyFont="1" applyFill="1" applyBorder="1"/>
    <x:xf numFmtId="0" fontId="7" fillId="9" borderId="79" xfId="0" applyNumberFormat="1" applyFont="1" applyFill="1" applyBorder="1" applyAlignment="1">
      <x:alignment vertical="center"/>
    </x:xf>
    <x:xf numFmtId="0" fontId="7" fillId="9" borderId="104" xfId="0" applyNumberFormat="1" applyFont="1" applyFill="1" applyBorder="1" applyAlignment="1">
      <x:alignment vertical="center"/>
    </x:xf>
    <x:xf numFmtId="0" fontId="7" fillId="10" borderId="105" xfId="0" applyNumberFormat="1" applyFont="1" applyFill="1" applyBorder="1" applyAlignment="1">
      <x:alignment vertical="center"/>
    </x:xf>
    <x:xf numFmtId="0" fontId="35" fillId="10" borderId="106" xfId="0" applyNumberFormat="1" applyFont="1" applyFill="1" applyBorder="1" applyAlignment="1">
      <x:alignment vertical="center"/>
    </x:xf>
    <x:xf numFmtId="0" fontId="35" fillId="11" borderId="105" xfId="0" applyNumberFormat="1" applyFont="1" applyFill="1" applyBorder="1" applyAlignment="1">
      <x:alignment vertical="center"/>
    </x:xf>
    <x:xf numFmtId="0" fontId="35" fillId="11" borderId="106" xfId="0" applyNumberFormat="1" applyFont="1" applyFill="1" applyBorder="1" applyAlignment="1">
      <x:alignment vertical="center"/>
    </x:xf>
    <x:xf numFmtId="0" fontId="35" fillId="12" borderId="105" xfId="0" applyNumberFormat="1" applyFont="1" applyFill="1" applyBorder="1" applyAlignment="1">
      <x:alignment vertical="center"/>
    </x:xf>
    <x:xf numFmtId="0" fontId="35" fillId="12" borderId="107" xfId="0" applyNumberFormat="1" applyFont="1" applyFill="1" applyBorder="1" applyAlignment="1">
      <x:alignment vertical="center"/>
    </x:xf>
    <x:xf numFmtId="0" fontId="7" fillId="10" borderId="79" xfId="0" applyNumberFormat="1" applyFont="1" applyFill="1" applyBorder="1" applyAlignment="1">
      <x:alignment horizontal="right" vertical="center"/>
    </x:xf>
    <x:xf numFmtId="0" fontId="7" fillId="10" borderId="79" xfId="0" applyNumberFormat="1" applyFont="1" applyFill="1" applyBorder="1" applyAlignment="1">
      <x:alignment vertical="center"/>
    </x:xf>
    <x:xf numFmtId="0" fontId="35" fillId="10" borderId="104" xfId="0" applyNumberFormat="1" applyFont="1" applyFill="1" applyBorder="1" applyAlignment="1">
      <x:alignment vertical="center"/>
    </x:xf>
    <x:xf numFmtId="0" fontId="36" fillId="11" borderId="79" xfId="0" applyNumberFormat="1" applyFont="1" applyFill="1" applyBorder="1" applyAlignment="1">
      <x:alignment vertical="center"/>
    </x:xf>
    <x:xf numFmtId="0" fontId="35" fillId="11" borderId="79" xfId="0" applyNumberFormat="1" applyFont="1" applyFill="1" applyBorder="1" applyAlignment="1">
      <x:alignment vertical="center"/>
    </x:xf>
    <x:xf numFmtId="0" fontId="35" fillId="11" borderId="104" xfId="0" applyNumberFormat="1" applyFont="1" applyFill="1" applyBorder="1" applyAlignment="1">
      <x:alignment vertical="center"/>
    </x:xf>
    <x:xf numFmtId="0" fontId="35" fillId="12" borderId="79" xfId="0" applyNumberFormat="1" applyFont="1" applyFill="1" applyBorder="1" applyAlignment="1">
      <x:alignment vertical="center"/>
    </x:xf>
    <x:xf numFmtId="0" fontId="35" fillId="12" borderId="103" xfId="0" applyNumberFormat="1" applyFont="1" applyFill="1" applyBorder="1" applyAlignment="1">
      <x:alignment vertical="center"/>
    </x:xf>
    <x:xf numFmtId="0" fontId="7" fillId="9" borderId="79" xfId="0" applyNumberFormat="1" applyFont="1" applyFill="1" applyBorder="1" applyAlignment="1">
      <x:alignment horizontal="center" vertical="center"/>
    </x:xf>
    <x:xf numFmtId="3" fontId="7" fillId="10" borderId="79" xfId="0" applyNumberFormat="1" applyFont="1" applyFill="1" applyBorder="1" applyAlignment="1">
      <x:alignment vertical="center"/>
    </x:xf>
    <x:xf numFmtId="0" fontId="37" fillId="11" borderId="79" xfId="0" applyNumberFormat="1" applyFont="1" applyFill="1" applyBorder="1" applyAlignment="1">
      <x:alignment vertical="center"/>
    </x:xf>
    <x:xf numFmtId="0" fontId="38" fillId="12" borderId="79" xfId="0" applyNumberFormat="1" applyFont="1" applyFill="1" applyBorder="1" applyAlignment="1">
      <x:alignment vertical="center"/>
    </x:xf>
    <x:xf numFmtId="0" fontId="31" fillId="12" borderId="79" xfId="0" applyNumberFormat="1" applyFont="1" applyFill="1" applyBorder="1" applyAlignment="1">
      <x:alignment vertical="center"/>
    </x:xf>
    <x:xf numFmtId="0" fontId="35" fillId="9" borderId="79" xfId="0" applyNumberFormat="1" applyFont="1" applyFill="1" applyBorder="1" applyAlignment="1">
      <x:alignment horizontal="center" vertical="center"/>
    </x:xf>
    <x:xf numFmtId="0" fontId="31" fillId="11" borderId="79" xfId="0" applyNumberFormat="1" applyFont="1" applyFill="1" applyBorder="1" applyAlignment="1">
      <x:alignment vertical="center"/>
    </x:xf>
    <x:xf numFmtId="0" fontId="7" fillId="9" borderId="84" xfId="0" applyNumberFormat="1" applyFont="1" applyFill="1" applyBorder="1" applyAlignment="1">
      <x:alignment horizontal="center" vertical="center"/>
    </x:xf>
    <x:xf numFmtId="0" fontId="7" fillId="9" borderId="84" xfId="0" applyNumberFormat="1" applyFont="1" applyFill="1" applyBorder="1" applyAlignment="1">
      <x:alignment vertical="center"/>
    </x:xf>
    <x:xf numFmtId="0" fontId="35" fillId="12" borderId="90" xfId="0" applyNumberFormat="1" applyFont="1" applyFill="1" applyBorder="1" applyAlignment="1">
      <x:alignment vertical="center"/>
    </x:xf>
    <x:xf numFmtId="0" fontId="35" fillId="12" borderId="84" xfId="0" applyNumberFormat="1" applyFont="1" applyFill="1" applyBorder="1" applyAlignment="1">
      <x:alignment vertical="center"/>
    </x:xf>
    <x:xf numFmtId="0" fontId="31" fillId="12" borderId="84" xfId="0" applyNumberFormat="1" applyFont="1" applyFill="1" applyBorder="1" applyAlignment="1">
      <x:alignment vertical="center"/>
    </x:xf>
    <x:xf numFmtId="0" fontId="35" fillId="12" borderId="108" xfId="0" applyNumberFormat="1" applyFont="1" applyFill="1" applyBorder="1" applyAlignment="1">
      <x:alignment vertical="center"/>
    </x:xf>
    <x:xf numFmtId="0" fontId="7" fillId="10" borderId="79" xfId="0" applyNumberFormat="1" applyFont="1" applyFill="1" applyBorder="1" applyAlignment="1">
      <x:alignment horizontal="center" vertical="center"/>
    </x:xf>
    <x:xf numFmtId="0" fontId="36" fillId="13" borderId="79" xfId="0" applyNumberFormat="1" applyFont="1" applyFill="1" applyBorder="1" applyAlignment="1">
      <x:alignment vertical="center"/>
    </x:xf>
    <x:xf numFmtId="0" fontId="39" fillId="13" borderId="79" xfId="0" applyNumberFormat="1" applyFont="1" applyFill="1" applyBorder="1" applyAlignment="1">
      <x:alignment vertical="center"/>
    </x:xf>
    <x:xf numFmtId="0" fontId="40" fillId="13" borderId="79" xfId="0" applyNumberFormat="1" applyFont="1" applyFill="1" applyBorder="1" applyAlignment="1">
      <x:alignment vertical="center"/>
    </x:xf>
    <x:xf numFmtId="0" fontId="35" fillId="13" borderId="79" xfId="0" applyNumberFormat="1" applyFont="1" applyFill="1" applyBorder="1" applyAlignment="1">
      <x:alignment vertical="center"/>
    </x:xf>
    <x:xf numFmtId="0" fontId="35" fillId="13" borderId="104" xfId="0" applyNumberFormat="1" applyFont="1" applyFill="1" applyBorder="1" applyAlignment="1">
      <x:alignment vertical="center"/>
    </x:xf>
    <x:xf numFmtId="0" fontId="36" fillId="14" borderId="79" xfId="0" applyNumberFormat="1" applyFont="1" applyFill="1" applyBorder="1" applyAlignment="1">
      <x:alignment vertical="center"/>
    </x:xf>
    <x:xf numFmtId="0" fontId="39" fillId="14" borderId="79" xfId="0" applyNumberFormat="1" applyFont="1" applyFill="1" applyBorder="1" applyAlignment="1">
      <x:alignment vertical="center"/>
    </x:xf>
    <x:xf numFmtId="0" fontId="40" fillId="14" borderId="79" xfId="0" applyNumberFormat="1" applyFont="1" applyFill="1" applyBorder="1" applyAlignment="1">
      <x:alignment vertical="center"/>
    </x:xf>
    <x:xf numFmtId="0" fontId="35" fillId="14" borderId="79" xfId="0" applyNumberFormat="1" applyFont="1" applyFill="1" applyBorder="1" applyAlignment="1">
      <x:alignment vertical="center"/>
    </x:xf>
    <x:xf numFmtId="0" fontId="35" fillId="14" borderId="103" xfId="0" applyNumberFormat="1" applyFont="1" applyFill="1" applyBorder="1" applyAlignment="1">
      <x:alignment vertical="center"/>
    </x:xf>
    <x:xf numFmtId="0" fontId="35" fillId="10" borderId="79" xfId="0" applyNumberFormat="1" applyFont="1" applyFill="1" applyBorder="1" applyAlignment="1">
      <x:alignment vertical="center"/>
    </x:xf>
    <x:xf numFmtId="0" fontId="31" fillId="10" borderId="79" xfId="0" applyNumberFormat="1" applyFont="1" applyFill="1" applyBorder="1" applyAlignment="1">
      <x:alignment vertical="center"/>
    </x:xf>
    <x:xf numFmtId="0" fontId="37" fillId="13" borderId="79" xfId="0" applyNumberFormat="1" applyFont="1" applyFill="1" applyBorder="1" applyAlignment="1">
      <x:alignment vertical="center"/>
    </x:xf>
    <x:xf numFmtId="0" fontId="37" fillId="14" borderId="79" xfId="0" applyNumberFormat="1" applyFont="1" applyFill="1" applyBorder="1" applyAlignment="1">
      <x:alignment vertical="center"/>
    </x:xf>
    <x:xf numFmtId="0" fontId="31" fillId="13" borderId="79" xfId="0" applyNumberFormat="1" applyFont="1" applyFill="1" applyBorder="1" applyAlignment="1">
      <x:alignment vertical="center"/>
    </x:xf>
    <x:xf numFmtId="0" fontId="31" fillId="14" borderId="79" xfId="0" applyNumberFormat="1" applyFont="1" applyFill="1" applyBorder="1" applyAlignment="1">
      <x:alignment vertical="center"/>
    </x:xf>
    <x:xf numFmtId="0" fontId="35" fillId="0" borderId="79" xfId="0" applyNumberFormat="1" applyFont="1" applyFill="1" applyBorder="1" applyAlignment="1">
      <x:alignment wrapText="1"/>
    </x:xf>
    <x:xf numFmtId="0" fontId="9" fillId="10" borderId="84" xfId="0" applyNumberFormat="1" applyFont="1" applyFill="1" applyBorder="1" applyAlignment="1">
      <x:alignment vertical="center"/>
    </x:xf>
    <x:xf numFmtId="0" fontId="9" fillId="10" borderId="109" xfId="0" applyNumberFormat="1" applyFont="1" applyFill="1" applyBorder="1" applyAlignment="1">
      <x:alignment vertical="center"/>
    </x:xf>
    <x:xf numFmtId="0" fontId="35" fillId="11" borderId="84" xfId="0" applyNumberFormat="1" applyFont="1" applyFill="1" applyBorder="1" applyAlignment="1">
      <x:alignment vertical="center"/>
    </x:xf>
    <x:xf numFmtId="0" fontId="31" fillId="11" borderId="84" xfId="0" applyNumberFormat="1" applyFont="1" applyFill="1" applyBorder="1" applyAlignment="1">
      <x:alignment vertical="center"/>
    </x:xf>
    <x:xf numFmtId="0" fontId="31" fillId="11" borderId="109" xfId="0" applyNumberFormat="1" applyFont="1" applyFill="1" applyBorder="1" applyAlignment="1">
      <x:alignment vertical="center"/>
    </x:xf>
    <x:xf numFmtId="0" fontId="35" fillId="14" borderId="84" xfId="0" applyNumberFormat="1" applyFont="1" applyFill="1" applyBorder="1" applyAlignment="1">
      <x:alignment vertical="center"/>
    </x:xf>
    <x:xf numFmtId="0" fontId="31" fillId="14" borderId="84" xfId="0" applyNumberFormat="1" applyFont="1" applyFill="1" applyBorder="1" applyAlignment="1">
      <x:alignment vertical="center"/>
    </x:xf>
    <x:xf numFmtId="0" fontId="31" fillId="14" borderId="108" xfId="0" applyNumberFormat="1" applyFont="1" applyFill="1" applyBorder="1" applyAlignment="1">
      <x:alignment vertical="center"/>
    </x:xf>
    <x:xf numFmtId="0" fontId="35" fillId="15" borderId="79" xfId="0" applyNumberFormat="1" applyFont="1" applyFill="1" applyBorder="1" applyAlignment="1">
      <x:alignment vertical="center"/>
    </x:xf>
    <x:xf numFmtId="0" fontId="35" fillId="15" borderId="110" xfId="0" applyNumberFormat="1" applyFont="1" applyFill="1" applyBorder="1" applyAlignment="1">
      <x:alignment vertical="center"/>
    </x:xf>
    <x:xf numFmtId="0" fontId="36" fillId="9" borderId="79" xfId="0" applyNumberFormat="1" applyFont="1" applyFill="1" applyBorder="1" applyAlignment="1">
      <x:alignment vertical="center"/>
    </x:xf>
    <x:xf numFmtId="0" fontId="39" fillId="9" borderId="79" xfId="0" applyNumberFormat="1" applyFont="1" applyFill="1" applyBorder="1" applyAlignment="1">
      <x:alignment vertical="center"/>
    </x:xf>
    <x:xf numFmtId="0" fontId="40" fillId="9" borderId="79" xfId="0" applyNumberFormat="1" applyFont="1" applyFill="1" applyBorder="1" applyAlignment="1">
      <x:alignment vertical="center"/>
    </x:xf>
    <x:xf numFmtId="0" fontId="35" fillId="9" borderId="79" xfId="0" applyNumberFormat="1" applyFont="1" applyFill="1" applyBorder="1" applyAlignment="1">
      <x:alignment vertical="center"/>
    </x:xf>
    <x:xf numFmtId="0" fontId="35" fillId="9" borderId="104" xfId="0" applyNumberFormat="1" applyFont="1" applyFill="1" applyBorder="1" applyAlignment="1">
      <x:alignment vertical="center"/>
    </x:xf>
    <x:xf numFmtId="0" fontId="36" fillId="17" borderId="79" xfId="0" applyNumberFormat="1" applyFont="1" applyFill="1" applyBorder="1" applyAlignment="1">
      <x:alignment vertical="center"/>
    </x:xf>
    <x:xf numFmtId="0" fontId="39" fillId="17" borderId="79" xfId="0" applyNumberFormat="1" applyFont="1" applyFill="1" applyBorder="1" applyAlignment="1">
      <x:alignment vertical="center"/>
    </x:xf>
    <x:xf numFmtId="0" fontId="40" fillId="17" borderId="79" xfId="0" applyNumberFormat="1" applyFont="1" applyFill="1" applyBorder="1" applyAlignment="1">
      <x:alignment vertical="center"/>
    </x:xf>
    <x:xf numFmtId="0" fontId="35" fillId="17" borderId="79" xfId="0" applyNumberFormat="1" applyFont="1" applyFill="1" applyBorder="1" applyAlignment="1">
      <x:alignment vertical="center"/>
    </x:xf>
    <x:xf numFmtId="0" fontId="35" fillId="17" borderId="103" xfId="0" applyNumberFormat="1" applyFont="1" applyFill="1" applyBorder="1" applyAlignment="1">
      <x:alignment vertical="center"/>
    </x:xf>
    <x:xf numFmtId="0" fontId="35" fillId="15" borderId="104" xfId="0" applyNumberFormat="1" applyFont="1" applyFill="1" applyBorder="1" applyAlignment="1">
      <x:alignment vertical="center"/>
    </x:xf>
    <x:xf numFmtId="0" fontId="37" fillId="9" borderId="79" xfId="0" applyNumberFormat="1" applyFont="1" applyFill="1" applyBorder="1" applyAlignment="1">
      <x:alignment vertical="center"/>
    </x:xf>
    <x:xf numFmtId="0" fontId="37" fillId="17" borderId="79" xfId="0" applyNumberFormat="1" applyFont="1" applyFill="1" applyBorder="1" applyAlignment="1">
      <x:alignment vertical="center"/>
    </x:xf>
    <x:xf numFmtId="0" fontId="35" fillId="15" borderId="111" xfId="0" applyNumberFormat="1" applyFont="1" applyFill="1" applyBorder="1" applyAlignment="1">
      <x:alignment vertical="center"/>
    </x:xf>
    <x:xf numFmtId="0" fontId="35" fillId="15" borderId="84" xfId="0" applyNumberFormat="1" applyFont="1" applyFill="1" applyBorder="1" applyAlignment="1">
      <x:alignment vertical="center"/>
    </x:xf>
    <x:xf numFmtId="0" fontId="35" fillId="15" borderId="109" xfId="0" applyNumberFormat="1" applyFont="1" applyFill="1" applyBorder="1" applyAlignment="1">
      <x:alignment vertical="center"/>
    </x:xf>
    <x:xf numFmtId="0" fontId="31" fillId="9" borderId="84" xfId="0" applyNumberFormat="1" applyFont="1" applyFill="1" applyBorder="1" applyAlignment="1">
      <x:alignment vertical="center"/>
    </x:xf>
    <x:xf numFmtId="0" fontId="35" fillId="9" borderId="84" xfId="0" applyNumberFormat="1" applyFont="1" applyFill="1" applyBorder="1" applyAlignment="1">
      <x:alignment vertical="center"/>
    </x:xf>
    <x:xf numFmtId="0" fontId="35" fillId="9" borderId="109" xfId="0" applyNumberFormat="1" applyFont="1" applyFill="1" applyBorder="1" applyAlignment="1">
      <x:alignment vertical="center"/>
    </x:xf>
    <x:xf numFmtId="0" fontId="31" fillId="17" borderId="79" xfId="0" applyNumberFormat="1" applyFont="1" applyFill="1" applyBorder="1" applyAlignment="1">
      <x:alignment vertical="center"/>
    </x:xf>
    <x:xf numFmtId="0" fontId="35" fillId="18" borderId="79" xfId="0" applyNumberFormat="1" applyFont="1" applyFill="1" applyBorder="1" applyAlignment="1">
      <x:alignment vertical="center"/>
    </x:xf>
    <x:xf numFmtId="0" fontId="35" fillId="18" borderId="80" xfId="0" applyNumberFormat="1" applyFont="1" applyFill="1" applyBorder="1" applyAlignment="1">
      <x:alignment vertical="center"/>
    </x:xf>
    <x:xf numFmtId="0" fontId="35" fillId="18" borderId="104" xfId="0" applyNumberFormat="1" applyFont="1" applyFill="1" applyBorder="1" applyAlignment="1">
      <x:alignment vertical="center"/>
    </x:xf>
    <x:xf numFmtId="0" fontId="35" fillId="18" borderId="84" xfId="0" applyNumberFormat="1" applyFont="1" applyFill="1" applyBorder="1" applyAlignment="1">
      <x:alignment vertical="center"/>
    </x:xf>
    <x:xf numFmtId="0" fontId="23" fillId="18" borderId="84" xfId="0" applyNumberFormat="1" applyFont="1" applyFill="1" applyBorder="1"/>
    <x:xf numFmtId="0" fontId="31" fillId="18" borderId="84" xfId="0" applyNumberFormat="1" applyFont="1" applyFill="1" applyBorder="1" applyAlignment="1">
      <x:alignment vertical="center"/>
    </x:xf>
    <x:xf numFmtId="0" fontId="31" fillId="18" borderId="109" xfId="0" applyNumberFormat="1" applyFont="1" applyFill="1" applyBorder="1" applyAlignment="1">
      <x:alignment vertical="center"/>
    </x:xf>
    <x:xf numFmtId="0" fontId="35" fillId="17" borderId="84" xfId="0" applyNumberFormat="1" applyFont="1" applyFill="1" applyBorder="1" applyAlignment="1">
      <x:alignment vertical="center"/>
    </x:xf>
    <x:xf numFmtId="0" fontId="31" fillId="17" borderId="84" xfId="0" applyNumberFormat="1" applyFont="1" applyFill="1" applyBorder="1" applyAlignment="1">
      <x:alignment vertical="center"/>
    </x:xf>
    <x:xf numFmtId="0" fontId="31" fillId="17" borderId="108" xfId="0" applyNumberFormat="1" applyFont="1" applyFill="1" applyBorder="1" applyAlignment="1">
      <x:alignment vertical="center"/>
    </x:xf>
    <x:xf numFmtId="0" fontId="36" fillId="19" borderId="79" xfId="0" applyNumberFormat="1" applyFont="1" applyFill="1" applyBorder="1" applyAlignment="1">
      <x:alignment vertical="center"/>
    </x:xf>
    <x:xf numFmtId="0" fontId="39" fillId="19" borderId="79" xfId="0" applyNumberFormat="1" applyFont="1" applyFill="1" applyBorder="1" applyAlignment="1">
      <x:alignment vertical="center"/>
    </x:xf>
    <x:xf numFmtId="0" fontId="40" fillId="19" borderId="79" xfId="0" applyNumberFormat="1" applyFont="1" applyFill="1" applyBorder="1" applyAlignment="1">
      <x:alignment vertical="center"/>
    </x:xf>
    <x:xf numFmtId="0" fontId="35" fillId="19" borderId="79" xfId="0" applyNumberFormat="1" applyFont="1" applyFill="1" applyBorder="1" applyAlignment="1">
      <x:alignment vertical="center"/>
    </x:xf>
    <x:xf numFmtId="0" fontId="35" fillId="19" borderId="104" xfId="0" applyNumberFormat="1" applyFont="1" applyFill="1" applyBorder="1" applyAlignment="1">
      <x:alignment vertical="center"/>
    </x:xf>
    <x:xf numFmtId="0" fontId="35" fillId="13" borderId="103" xfId="0" applyNumberFormat="1" applyFont="1" applyFill="1" applyBorder="1" applyAlignment="1">
      <x:alignment vertical="center"/>
    </x:xf>
    <x:xf numFmtId="0" fontId="37" fillId="19" borderId="79" xfId="0" applyNumberFormat="1" applyFont="1" applyFill="1" applyBorder="1" applyAlignment="1">
      <x:alignment vertical="center"/>
    </x:xf>
    <x:xf numFmtId="0" fontId="31" fillId="19" borderId="79" xfId="0" applyNumberFormat="1" applyFont="1" applyFill="1" applyBorder="1" applyAlignment="1">
      <x:alignment vertical="center"/>
    </x:xf>
    <x:xf numFmtId="0" fontId="31" fillId="18" borderId="79" xfId="0" applyNumberFormat="1" applyFont="1" applyFill="1" applyBorder="1" applyAlignment="1">
      <x:alignment vertical="center"/>
    </x:xf>
    <x:xf numFmtId="0" fontId="31" fillId="18" borderId="104" xfId="0" applyNumberFormat="1" applyFont="1" applyFill="1" applyBorder="1" applyAlignment="1">
      <x:alignment vertical="center"/>
    </x:xf>
    <x:xf numFmtId="0" fontId="35" fillId="18" borderId="102" xfId="0" applyNumberFormat="1" applyFont="1" applyFill="1" applyBorder="1" applyAlignment="1">
      <x:alignment vertical="center"/>
    </x:xf>
    <x:xf numFmtId="0" fontId="23" fillId="18" borderId="102" xfId="0" applyNumberFormat="1" applyFont="1" applyFill="1" applyBorder="1"/>
    <x:xf numFmtId="0" fontId="31" fillId="18" borderId="102" xfId="0" applyNumberFormat="1" applyFont="1" applyFill="1" applyBorder="1" applyAlignment="1">
      <x:alignment vertical="center"/>
    </x:xf>
    <x:xf numFmtId="0" fontId="31" fillId="18" borderId="112" xfId="0" applyNumberFormat="1" applyFont="1" applyFill="1" applyBorder="1" applyAlignment="1">
      <x:alignment vertical="center"/>
    </x:xf>
    <x:xf numFmtId="0" fontId="35" fillId="19" borderId="84" xfId="0" applyNumberFormat="1" applyFont="1" applyFill="1" applyBorder="1" applyAlignment="1">
      <x:alignment vertical="center"/>
    </x:xf>
    <x:xf numFmtId="0" fontId="31" fillId="19" borderId="84" xfId="0" applyNumberFormat="1" applyFont="1" applyFill="1" applyBorder="1" applyAlignment="1">
      <x:alignment vertical="center"/>
    </x:xf>
    <x:xf numFmtId="0" fontId="31" fillId="19" borderId="109" xfId="0" applyNumberFormat="1" applyFont="1" applyFill="1" applyBorder="1" applyAlignment="1">
      <x:alignment vertical="center"/>
    </x:xf>
    <x:xf numFmtId="0" fontId="35" fillId="13" borderId="102" xfId="0" applyNumberFormat="1" applyFont="1" applyFill="1" applyBorder="1" applyAlignment="1">
      <x:alignment vertical="center"/>
    </x:xf>
    <x:xf numFmtId="0" fontId="31" fillId="13" borderId="102" xfId="0" applyNumberFormat="1" applyFont="1" applyFill="1" applyBorder="1" applyAlignment="1">
      <x:alignment vertical="center"/>
    </x:xf>
    <x:xf numFmtId="0" fontId="31" fillId="13" borderId="113" xfId="0" applyNumberFormat="1" applyFont="1" applyFill="1" applyBorder="1" applyAlignment="1">
      <x:alignment vertical="center"/>
    </x:xf>
    <x:xf numFmtId="0" fontId="35" fillId="0" borderId="79" xfId="0" applyNumberFormat="1" applyFont="1" applyFill="1" applyBorder="1"/>
    <x:xf numFmtId="0" fontId="35" fillId="0" borderId="104" xfId="0" applyNumberFormat="1" applyFont="1" applyFill="1" applyBorder="1"/>
    <x:xf numFmtId="0" fontId="38" fillId="0" borderId="79" xfId="0" applyNumberFormat="1" applyFont="1" applyFill="1" applyBorder="1" applyAlignment="1">
      <x:alignment horizontal="left"/>
    </x:xf>
    <x:xf numFmtId="0" fontId="35" fillId="0" borderId="79" xfId="0" applyNumberFormat="1" applyFont="1" applyFill="1" applyBorder="1" applyAlignment="1">
      <x:alignment horizontal="left"/>
    </x:xf>
    <x:xf numFmtId="0" fontId="9" fillId="0" borderId="79" xfId="0" applyNumberFormat="1" applyFont="1" applyFill="1" applyBorder="1" applyAlignment="1">
      <x:alignment horizontal="center"/>
    </x:xf>
    <x:xf numFmtId="0" fontId="9" fillId="0" borderId="79" xfId="0" applyNumberFormat="1" applyFont="1" applyFill="1" applyBorder="1" applyAlignment="1">
      <x:alignment vertical="center" wrapText="1"/>
    </x:xf>
    <x:xf numFmtId="0" fontId="45" fillId="0" borderId="79" xfId="0" applyNumberFormat="1" applyFont="1" applyFill="1" applyBorder="1"/>
    <x:xf numFmtId="0" fontId="48" fillId="0" borderId="79" xfId="0" applyNumberFormat="1" applyFont="1" applyFill="1" applyBorder="1" applyAlignment="1">
      <x:alignment vertical="top" wrapText="1"/>
    </x:xf>
    <x:xf numFmtId="0" fontId="48" fillId="0" borderId="79" xfId="0" applyNumberFormat="1" applyFont="1" applyFill="1" applyBorder="1"/>
    <x:xf numFmtId="167" fontId="48" fillId="0" borderId="79" xfId="0" applyNumberFormat="1" applyFont="1" applyFill="1" applyBorder="1"/>
    <x:xf numFmtId="14" fontId="48" fillId="0" borderId="79" xfId="0" applyNumberFormat="1" applyFont="1" applyFill="1" applyBorder="1"/>
    <x:xf numFmtId="0" fontId="48" fillId="0" borderId="79" xfId="0" applyNumberFormat="1" applyFont="1" applyFill="1" applyBorder="1" applyAlignment="1">
      <x:alignment horizontal="right" vertical="top"/>
    </x:xf>
    <x:xf numFmtId="167" fontId="0" fillId="0" borderId="79" xfId="0" applyNumberFormat="1" applyFont="1" applyFill="1" applyBorder="1"/>
    <x:xf numFmtId="0" fontId="49" fillId="0" borderId="79" xfId="0" applyNumberFormat="1" applyFont="1" applyFill="1" applyBorder="1" applyAlignment="1">
      <x:alignment horizontal="right" vertical="top"/>
    </x:xf>
    <x:xf numFmtId="4" fontId="48" fillId="0" borderId="79" xfId="0" applyNumberFormat="1" applyFont="1" applyFill="1" applyBorder="1" applyAlignment="1">
      <x:alignment horizontal="left" vertical="top"/>
    </x:xf>
    <x:xf numFmtId="0" fontId="48" fillId="0" borderId="79" xfId="0" applyNumberFormat="1" applyFont="1" applyFill="1" applyBorder="1" applyAlignment="1">
      <x:alignment horizontal="left" vertical="top"/>
    </x:xf>
    <x:xf numFmtId="14" fontId="48" fillId="0" borderId="79" xfId="0" applyNumberFormat="1" applyFont="1" applyFill="1" applyBorder="1" applyAlignment="1">
      <x:alignment horizontal="left" vertical="top"/>
    </x:xf>
    <x:xf numFmtId="167" fontId="48" fillId="0" borderId="79" xfId="0" applyNumberFormat="1" applyFont="1" applyFill="1" applyBorder="1" applyAlignment="1">
      <x:alignment horizontal="left" vertical="top"/>
    </x:xf>
    <x:xf numFmtId="0" fontId="49" fillId="20" borderId="114" xfId="0" applyNumberFormat="1" applyFont="1" applyFill="1" applyBorder="1" applyAlignment="1">
      <x:alignment horizontal="center" vertical="top"/>
    </x:xf>
    <x:xf numFmtId="4" fontId="49" fillId="20" borderId="114" xfId="0" applyNumberFormat="1" applyFont="1" applyFill="1" applyBorder="1" applyAlignment="1">
      <x:alignment horizontal="center"/>
    </x:xf>
    <x:xf numFmtId="0" fontId="49" fillId="20" borderId="114" xfId="0" applyNumberFormat="1" applyFont="1" applyFill="1" applyBorder="1" applyAlignment="1">
      <x:alignment horizontal="center"/>
    </x:xf>
    <x:xf numFmtId="167" fontId="49" fillId="20" borderId="114" xfId="0" applyNumberFormat="1" applyFont="1" applyFill="1" applyBorder="1" applyAlignment="1">
      <x:alignment horizontal="center"/>
    </x:xf>
    <x:xf numFmtId="14" fontId="49" fillId="20" borderId="114" xfId="0" applyNumberFormat="1" applyFont="1" applyFill="1" applyBorder="1" applyAlignment="1">
      <x:alignment horizontal="center"/>
    </x:xf>
    <x:xf numFmtId="0" fontId="12" fillId="0" borderId="114" xfId="0" applyNumberFormat="1" applyFont="1" applyFill="1" applyBorder="1" applyAlignment="1">
      <x:alignment horizontal="left" vertical="top" wrapText="1"/>
    </x:xf>
    <x:xf numFmtId="0" fontId="49" fillId="11" borderId="115" xfId="0" applyNumberFormat="1" applyFont="1" applyFill="1" applyBorder="1" applyAlignment="1">
      <x:alignment horizontal="right" vertical="top"/>
    </x:xf>
    <x:xf numFmtId="164" fontId="49" fillId="11" borderId="114" xfId="0" applyNumberFormat="1" applyFont="1" applyFill="1" applyBorder="1" applyAlignment="1">
      <x:alignment horizontal="right"/>
    </x:xf>
    <x:xf numFmtId="0" fontId="49" fillId="11" borderId="91" xfId="0" applyNumberFormat="1" applyFont="1" applyFill="1" applyBorder="1" applyAlignment="1">
      <x:alignment horizontal="right" vertical="top"/>
    </x:xf>
    <x:xf numFmtId="164" fontId="48" fillId="0" borderId="79" xfId="0" applyNumberFormat="1" applyFont="1" applyFill="1" applyBorder="1" applyAlignment="1">
      <x:alignment horizontal="left" vertical="top"/>
    </x:xf>
    <x:xf numFmtId="164" fontId="49" fillId="20" borderId="114" xfId="0" applyNumberFormat="1" applyFont="1" applyFill="1" applyBorder="1" applyAlignment="1">
      <x:alignment horizontal="center"/>
    </x:xf>
    <x:xf numFmtId="0" fontId="48" fillId="0" borderId="79" xfId="0" applyNumberFormat="1" applyFont="1" applyFill="1" applyBorder="1" applyAlignment="1">
      <x:alignment wrapText="1"/>
    </x:xf>
    <x:xf numFmtId="0" fontId="49" fillId="11" borderId="83" xfId="0" applyNumberFormat="1" applyFont="1" applyFill="1" applyBorder="1" applyAlignment="1">
      <x:alignment horizontal="right" vertical="top"/>
    </x:xf>
    <x:xf numFmtId="0" fontId="48" fillId="0" borderId="116" xfId="0" applyNumberFormat="1" applyFont="1" applyFill="1" applyBorder="1"/>
    <x:xf numFmtId="0" fontId="13" fillId="0" borderId="114" xfId="0" applyNumberFormat="1" applyFont="1" applyFill="1" applyBorder="1" applyAlignment="1">
      <x:alignment horizontal="left" vertical="top" wrapText="1"/>
    </x:xf>
    <x:xf numFmtId="0" fontId="49" fillId="0" borderId="79" xfId="0" applyNumberFormat="1" applyFont="1" applyFill="1" applyBorder="1" applyAlignment="1">
      <x:alignment horizontal="left" vertical="top"/>
    </x:xf>
    <x:xf numFmtId="0" fontId="57" fillId="0" borderId="79" xfId="0" applyNumberFormat="1" applyFont="1" applyFill="1" applyBorder="1" applyAlignment="1">
      <x:alignment wrapText="1"/>
    </x:xf>
    <x:xf numFmtId="164" fontId="0" fillId="0" borderId="79" xfId="0" applyNumberFormat="1" applyFont="1" applyFill="1" applyBorder="1"/>
    <x:xf numFmtId="0" fontId="48" fillId="0" borderId="79" xfId="0" applyNumberFormat="1" applyFont="1" applyFill="1" applyBorder="1" applyAlignment="1">
      <x:alignment vertical="top"/>
    </x:xf>
    <x:xf numFmtId="0" fontId="12" fillId="0" borderId="117" xfId="0" applyNumberFormat="1" applyFont="1" applyFill="1" applyBorder="1" applyAlignment="1">
      <x:alignment wrapText="1"/>
    </x:xf>
    <x:xf numFmtId="165" fontId="16" fillId="3" borderId="85" xfId="0" applyNumberFormat="1" applyFont="1" applyFill="1" applyBorder="1" applyAlignment="1">
      <x:alignment horizontal="center" vertical="top"/>
    </x:xf>
    <x:xf numFmtId="165" fontId="14" fillId="3" borderId="85" xfId="0" applyNumberFormat="1" applyFont="1" applyFill="1" applyBorder="1" applyAlignment="1">
      <x:alignment horizontal="center" vertical="top"/>
    </x:xf>
    <x:xf numFmtId="165" fontId="12" fillId="0" borderId="79" xfId="0" applyNumberFormat="1" applyFont="1" applyFill="1" applyBorder="1" applyAlignment="1">
      <x:alignment horizontal="center" vertical="top"/>
    </x:xf>
    <x:xf numFmtId="165" fontId="12" fillId="0" borderId="79" xfId="0" applyNumberFormat="1" applyFont="1" applyFill="1" applyBorder="1" applyAlignment="1">
      <x:alignment horizontal="center"/>
    </x:xf>
    <x:xf numFmtId="165" fontId="14" fillId="0" borderId="79" xfId="0" applyNumberFormat="1" applyFont="1" applyFill="1" applyBorder="1" applyAlignment="1">
      <x:alignment horizontal="center" vertical="top"/>
    </x:xf>
    <x:xf numFmtId="165" fontId="14" fillId="0" borderId="79" xfId="0" applyNumberFormat="1" applyFont="1" applyFill="1" applyBorder="1" applyAlignment="1">
      <x:alignment horizontal="center"/>
    </x:xf>
    <x:xf numFmtId="0" fontId="14" fillId="5" borderId="79" xfId="0" applyNumberFormat="1" applyFont="1" applyFill="1" applyBorder="1" applyAlignment="1">
      <x:alignment horizontal="center"/>
    </x:xf>
    <x:xf numFmtId="165" fontId="4" fillId="0" borderId="118" xfId="0" applyNumberFormat="1" applyFont="1" applyFill="1" applyBorder="1" applyAlignment="1">
      <x:alignment wrapText="1"/>
    </x:xf>
    <x:xf numFmtId="165" fontId="12" fillId="0" borderId="79" xfId="0" applyNumberFormat="1" applyFont="1" applyFill="1" applyBorder="1" applyAlignment="1">
      <x:alignment horizontal="right" vertical="top" wrapText="1"/>
    </x:xf>
    <x:xf numFmtId="166" fontId="14" fillId="0" borderId="81" xfId="0" applyNumberFormat="1" applyFont="1" applyFill="1" applyBorder="1" applyAlignment="1">
      <x:alignment horizontal="center" vertical="top" wrapText="1"/>
    </x:xf>
    <x:xf numFmtId="0" fontId="25" fillId="0" borderId="118" xfId="0" applyNumberFormat="1" applyFont="1" applyFill="1" applyBorder="1" applyAlignment="1">
      <x:alignment horizontal="left" wrapText="1"/>
    </x:xf>
    <x:xf numFmtId="165" fontId="14" fillId="0" borderId="79" xfId="0" applyNumberFormat="1" applyFont="1" applyFill="1" applyBorder="1" applyAlignment="1">
      <x:alignment horizontal="right" wrapText="1"/>
    </x:xf>
    <x:xf numFmtId="167" fontId="5" fillId="0" borderId="79" xfId="0" applyNumberFormat="1" applyFont="1" applyFill="1" applyBorder="1" applyAlignment="1">
      <x:alignment horizontal="center" vertical="top" wrapText="1"/>
    </x:xf>
    <x:xf numFmtId="14" fontId="5" fillId="0" borderId="79" xfId="0" applyNumberFormat="1" applyFont="1" applyFill="1" applyBorder="1" applyAlignment="1">
      <x:alignment horizontal="center" vertical="top" wrapText="1"/>
    </x:xf>
    <x:xf numFmtId="0" fontId="4" fillId="0" borderId="88" xfId="0" applyNumberFormat="1" applyFont="1" applyFill="1" applyBorder="1" applyAlignment="1">
      <x:alignment horizontal="center" vertical="center"/>
    </x:xf>
    <x:xf numFmtId="0" fontId="4" fillId="0" borderId="88" xfId="0" applyNumberFormat="1" applyFont="1" applyFill="1" applyBorder="1" applyAlignment="1">
      <x:alignment horizontal="center" vertical="center" wrapText="1"/>
    </x:xf>
    <x:xf numFmtId="14" fontId="12" fillId="0" borderId="88" xfId="0" applyNumberFormat="1" applyFont="1" applyFill="1" applyBorder="1" applyAlignment="1">
      <x:alignment horizontal="left" vertical="center" wrapText="1"/>
    </x:xf>
    <x:xf numFmtId="14" fontId="4" fillId="0" borderId="88" xfId="0" applyNumberFormat="1" applyFont="1" applyFill="1" applyBorder="1" applyAlignment="1">
      <x:alignment horizontal="center" vertical="center" wrapText="1"/>
    </x:xf>
    <x:xf numFmtId="165" fontId="4" fillId="0" borderId="88" xfId="0" applyNumberFormat="1" applyFont="1" applyFill="1" applyBorder="1" applyAlignment="1">
      <x:alignment horizontal="center" vertical="center" wrapText="1"/>
    </x:xf>
    <x:xf numFmtId="167" fontId="4" fillId="0" borderId="88" xfId="0" applyNumberFormat="1" applyFont="1" applyFill="1" applyBorder="1" applyAlignment="1">
      <x:alignment horizontal="center" vertical="center" wrapText="1"/>
    </x:xf>
    <x:xf numFmtId="0" fontId="4" fillId="0" borderId="88" xfId="0" applyNumberFormat="1" applyFont="1" applyFill="1" applyBorder="1" applyAlignment="1">
      <x:alignment horizontal="left" vertical="center" wrapText="1"/>
    </x:xf>
    <x:xf numFmtId="16" fontId="4" fillId="0" borderId="88" xfId="0" applyNumberFormat="1" applyFont="1" applyFill="1" applyBorder="1" applyAlignment="1">
      <x:alignment horizontal="center" vertical="center" wrapText="1"/>
    </x:xf>
    <x:xf numFmtId="0" fontId="5" fillId="0" borderId="88" xfId="0" applyNumberFormat="1" applyFont="1" applyFill="1" applyBorder="1" applyAlignment="1">
      <x:alignment vertical="top"/>
    </x:xf>
    <x:xf numFmtId="0" fontId="5" fillId="0" borderId="88" xfId="0" applyNumberFormat="1" applyFont="1" applyFill="1" applyBorder="1" applyAlignment="1">
      <x:alignment horizontal="center" vertical="top" wrapText="1"/>
    </x:xf>
    <x:xf numFmtId="14" fontId="5" fillId="0" borderId="88" xfId="0" applyNumberFormat="1" applyFont="1" applyFill="1" applyBorder="1" applyAlignment="1">
      <x:alignment horizontal="center" vertical="top" wrapText="1"/>
    </x:xf>
    <x:xf numFmtId="165" fontId="5" fillId="0" borderId="88" xfId="0" applyNumberFormat="1" applyFont="1" applyFill="1" applyBorder="1" applyAlignment="1">
      <x:alignment horizontal="center" vertical="top" wrapText="1"/>
    </x:xf>
    <x:xf numFmtId="167" fontId="5" fillId="0" borderId="88" xfId="0" applyNumberFormat="1" applyFont="1" applyFill="1" applyBorder="1" applyAlignment="1">
      <x:alignment horizontal="center" vertical="top" wrapText="1"/>
    </x:xf>
    <x:xf numFmtId="0" fontId="24" fillId="0" borderId="88" xfId="0" applyNumberFormat="1" applyFont="1" applyFill="1" applyBorder="1" applyAlignment="1">
      <x:alignment horizontal="left"/>
    </x:xf>
    <x:xf numFmtId="0" fontId="24" fillId="0" borderId="88" xfId="0" applyNumberFormat="1" applyFont="1" applyFill="1" applyBorder="1" applyAlignment="1">
      <x:alignment horizontal="left" vertical="top"/>
    </x:xf>
    <x:xf numFmtId="0" fontId="25" fillId="2" borderId="79" xfId="0" applyNumberFormat="1" applyFont="1" applyFill="1" applyBorder="1" applyAlignment="1">
      <x:alignment horizontal="left" vertical="center" wrapText="1"/>
    </x:xf>
    <x:xf numFmtId="0" fontId="25" fillId="2" borderId="79" xfId="0" applyNumberFormat="1" applyFont="1" applyFill="1" applyBorder="1" applyAlignment="1">
      <x:alignment horizontal="left" vertical="top" wrapText="1"/>
    </x:xf>
    <x:xf numFmtId="0" fontId="12" fillId="2" borderId="79" xfId="0" applyNumberFormat="1" applyFont="1" applyFill="1" applyBorder="1" applyAlignment="1">
      <x:alignment horizontal="left" vertical="center" wrapText="1"/>
    </x:xf>
    <x:xf numFmtId="0" fontId="25" fillId="2" borderId="118" xfId="0" applyNumberFormat="1" applyFont="1" applyFill="1" applyBorder="1" applyAlignment="1">
      <x:alignment horizontal="left" wrapText="1"/>
    </x:xf>
    <x:xf numFmtId="0" fontId="12" fillId="2" borderId="79" xfId="0" applyNumberFormat="1" applyFont="1" applyFill="1" applyBorder="1" applyAlignment="1">
      <x:alignment horizontal="left" vertical="top" wrapText="1"/>
    </x:xf>
    <x:xf numFmtId="0" fontId="14" fillId="2" borderId="79" xfId="0" applyNumberFormat="1" applyFont="1" applyFill="1" applyBorder="1" applyAlignment="1">
      <x:alignment horizontal="left" vertical="top" wrapText="1"/>
    </x:xf>
    <x:xf numFmtId="0" fontId="9" fillId="10" borderId="111" xfId="0" applyNumberFormat="1" applyFont="1" applyFill="1" applyBorder="1" applyAlignment="1">
      <x:alignment vertical="center"/>
    </x:xf>
    <x:xf numFmtId="0" fontId="35" fillId="0" borderId="88" xfId="0" applyNumberFormat="1" applyFont="1" applyFill="1" applyBorder="1" applyAlignment="1">
      <x:alignment horizontal="center"/>
    </x:xf>
    <x:xf numFmtId="0" fontId="12" fillId="0" borderId="88" xfId="0" applyNumberFormat="1" applyFont="1" applyFill="1" applyBorder="1" applyAlignment="1">
      <x:alignment horizontal="left" vertical="top" wrapText="1"/>
    </x:xf>
    <x:xf numFmtId="0" fontId="4" fillId="0" borderId="88" xfId="0" applyNumberFormat="1" applyFont="1" applyFill="1" applyBorder="1" applyAlignment="1">
      <x:alignment horizontal="center" vertical="top" wrapText="1"/>
    </x:xf>
    <x:xf numFmtId="167" fontId="4" fillId="0" borderId="88" xfId="0" applyNumberFormat="1" applyFont="1" applyFill="1" applyBorder="1" applyAlignment="1">
      <x:alignment horizontal="center" vertical="top" wrapText="1"/>
    </x:xf>
    <x:xf numFmtId="14" fontId="4" fillId="0" borderId="88" xfId="0" applyNumberFormat="1" applyFont="1" applyFill="1" applyBorder="1" applyAlignment="1">
      <x:alignment horizontal="center" vertical="top" wrapText="1"/>
    </x:xf>
    <x:xf numFmtId="0" fontId="9" fillId="0" borderId="88" xfId="0" applyNumberFormat="1" applyFont="1" applyFill="1" applyBorder="1" applyAlignment="1">
      <x:alignment horizontal="left" vertical="top" wrapText="1"/>
    </x:xf>
    <x:xf numFmtId="0" fontId="54" fillId="0" borderId="88" xfId="0" applyNumberFormat="1" applyFont="1" applyFill="1" applyBorder="1" applyAlignment="1">
      <x:alignment horizontal="center" vertical="top" wrapText="1"/>
    </x:xf>
    <x:xf numFmtId="167" fontId="54" fillId="0" borderId="88" xfId="0" applyNumberFormat="1" applyFont="1" applyFill="1" applyBorder="1" applyAlignment="1">
      <x:alignment horizontal="center" vertical="top" wrapText="1"/>
    </x:xf>
    <x:xf numFmtId="14" fontId="54" fillId="0" borderId="88" xfId="0" applyNumberFormat="1" applyFont="1" applyFill="1" applyBorder="1" applyAlignment="1">
      <x:alignment horizontal="center" vertical="top" wrapText="1"/>
    </x:xf>
    <x:xf numFmtId="0" fontId="55" fillId="0" borderId="88" xfId="0" applyNumberFormat="1" applyFont="1" applyFill="1" applyBorder="1" applyAlignment="1">
      <x:alignment horizontal="left" vertical="top" wrapText="1"/>
    </x:xf>
    <x:xf numFmtId="1" fontId="54" fillId="0" borderId="88" xfId="0" applyNumberFormat="1" applyFont="1" applyFill="1" applyBorder="1" applyAlignment="1">
      <x:alignment horizontal="center" vertical="top" wrapText="1"/>
    </x:xf>
    <x:xf numFmtId="164" fontId="49" fillId="11" borderId="88" xfId="0" applyNumberFormat="1" applyFont="1" applyFill="1" applyBorder="1" applyAlignment="1">
      <x:alignment horizontal="right"/>
    </x:xf>
    <x:xf numFmtId="0" fontId="4" fillId="0" borderId="88" xfId="0" applyNumberFormat="1" applyFont="1" applyFill="1" applyBorder="1" applyAlignment="1">
      <x:alignment horizontal="left" vertical="top" wrapText="1"/>
    </x:xf>
    <x:xf numFmtId="0" fontId="49" fillId="20" borderId="88" xfId="0" applyNumberFormat="1" applyFont="1" applyFill="1" applyBorder="1" applyAlignment="1">
      <x:alignment horizontal="center"/>
    </x:xf>
    <x:xf numFmtId="167" fontId="48" fillId="0" borderId="88" xfId="0" applyNumberFormat="1" applyFont="1" applyFill="1" applyBorder="1"/>
    <x:xf numFmtId="14" fontId="48" fillId="0" borderId="88" xfId="0" applyNumberFormat="1" applyFont="1" applyFill="1" applyBorder="1"/>
    <x:xf numFmtId="0" fontId="56" fillId="0" borderId="88" xfId="0" applyNumberFormat="1" applyFont="1" applyFill="1" applyBorder="1" applyAlignment="1">
      <x:alignment horizontal="center" vertical="top" wrapText="1"/>
    </x:xf>
    <x:xf numFmtId="0" fontId="49" fillId="20" borderId="88" xfId="0" applyNumberFormat="1" applyFont="1" applyFill="1" applyBorder="1" applyAlignment="1">
      <x:alignment horizontal="center" vertical="top"/>
    </x:xf>
    <x:xf numFmtId="167" fontId="49" fillId="20" borderId="88" xfId="0" applyNumberFormat="1" applyFont="1" applyFill="1" applyBorder="1" applyAlignment="1">
      <x:alignment horizontal="center"/>
    </x:xf>
    <x:xf numFmtId="14" fontId="49" fillId="20" borderId="88" xfId="0" applyNumberFormat="1" applyFont="1" applyFill="1" applyBorder="1" applyAlignment="1">
      <x:alignment horizontal="center"/>
    </x:xf>
    <x:xf numFmtId="14" fontId="12" fillId="0" borderId="88" xfId="0" applyNumberFormat="1" applyFont="1" applyFill="1" applyBorder="1" applyAlignment="1">
      <x:alignment horizontal="left" vertical="top" wrapText="1"/>
    </x:xf>
    <x:xf numFmtId="164" fontId="12" fillId="0" borderId="88" xfId="0" applyNumberFormat="1" applyFont="1" applyFill="1" applyBorder="1" applyAlignment="1">
      <x:alignment horizontal="right" vertical="top" wrapText="1"/>
    </x:xf>
    <x:xf numFmtId="164" fontId="4" fillId="0" borderId="88" xfId="0" applyNumberFormat="1" applyFont="1" applyFill="1" applyBorder="1" applyAlignment="1">
      <x:alignment horizontal="left" vertical="top" wrapText="1"/>
    </x:xf>
    <x:xf numFmtId="164" fontId="12" fillId="21" borderId="114" xfId="0" applyNumberFormat="1" applyFont="1" applyFill="1" applyBorder="1" applyAlignment="1">
      <x:alignment horizontal="right" vertical="top"/>
    </x:xf>
    <x:xf numFmtId="4" fontId="48" fillId="0" borderId="79" xfId="0" applyNumberFormat="1" applyFont="1" applyFill="1" applyBorder="1"/>
    <x:xf numFmtId="14" fontId="4" fillId="0" borderId="114" xfId="0" applyNumberFormat="1" applyFont="1" applyFill="1" applyBorder="1" applyAlignment="1">
      <x:alignment horizontal="center" vertical="top" wrapText="1"/>
    </x:xf>
    <x:xf numFmtId="0" fontId="7" fillId="0" borderId="88" xfId="0" applyNumberFormat="1" applyFont="1" applyFill="1" applyBorder="1" applyAlignment="1">
      <x:alignment horizontal="left" vertical="top" wrapText="1"/>
    </x:xf>
    <x:xf numFmtId="167" fontId="7" fillId="0" borderId="88" xfId="0" applyNumberFormat="1" applyFont="1" applyFill="1" applyBorder="1" applyAlignment="1">
      <x:alignment horizontal="center" vertical="top" wrapText="1"/>
    </x:xf>
    <x:xf numFmtId="14" fontId="7" fillId="0" borderId="88" xfId="0" applyNumberFormat="1" applyFont="1" applyFill="1" applyBorder="1" applyAlignment="1">
      <x:alignment horizontal="left" vertical="top" wrapText="1"/>
    </x:xf>
    <x:xf numFmtId="165" fontId="14" fillId="0" borderId="79" xfId="0" applyNumberFormat="1" applyFont="1" applyFill="1" applyBorder="1" applyAlignment="1">
      <x:alignment horizontal="left"/>
    </x:xf>
    <x:xf numFmtId="165" fontId="25" fillId="0" borderId="79" xfId="0" applyNumberFormat="1" applyFont="1" applyFill="1" applyBorder="1" applyAlignment="1">
      <x:alignment horizontal="left" vertical="top" wrapText="1"/>
    </x:xf>
    <x:xf numFmtId="0" fontId="66" fillId="0" borderId="79" xfId="0" applyNumberFormat="1" applyFont="1" applyFill="1" applyBorder="1" applyAlignment="1">
      <x:alignment horizontal="left" vertical="top" wrapText="1"/>
    </x:xf>
    <x:xf numFmtId="0" fontId="66" fillId="2" borderId="79" xfId="0" applyNumberFormat="1" applyFont="1" applyFill="1" applyBorder="1" applyAlignment="1">
      <x:alignment horizontal="left" vertical="top" wrapText="1"/>
    </x:xf>
    <x:xf numFmtId="0" fontId="12" fillId="0" borderId="115" xfId="0" applyNumberFormat="1" applyFont="1" applyFill="1" applyBorder="1" applyAlignment="1">
      <x:alignment horizontal="left" vertical="top" wrapText="1"/>
    </x:xf>
    <x:xf numFmtId="0" fontId="48" fillId="0" borderId="79" xfId="0" applyNumberFormat="1" applyFont="1" applyFill="1" applyBorder="1" applyAlignment="1">
      <x:alignment horizontal="left" vertical="top" wrapText="1"/>
    </x:xf>
    <x:xf numFmtId="0" fontId="49" fillId="20" borderId="114" xfId="0" applyNumberFormat="1" applyFont="1" applyFill="1" applyBorder="1" applyAlignment="1">
      <x:alignment horizontal="center" wrapText="1"/>
    </x:xf>
    <x:xf numFmtId="0" fontId="49" fillId="20" borderId="88" xfId="0" applyNumberFormat="1" applyFont="1" applyFill="1" applyBorder="1" applyAlignment="1">
      <x:alignment horizontal="center" wrapText="1"/>
    </x:xf>
    <x:xf numFmtId="0" fontId="48" fillId="0" borderId="88" xfId="0" applyNumberFormat="1" applyFont="1" applyFill="1" applyBorder="1" applyAlignment="1">
      <x:alignment wrapText="1"/>
    </x:xf>
    <x:xf numFmtId="0" fontId="14" fillId="0" borderId="98" xfId="0" applyNumberFormat="1" applyFont="1" applyFill="1" applyBorder="1" applyAlignment="1">
      <x:alignment horizontal="right" wrapText="1"/>
    </x:xf>
    <x:xf numFmtId="4" fontId="12" fillId="0" borderId="114" xfId="0" applyNumberFormat="1" applyFont="1" applyFill="1" applyBorder="1" applyAlignment="1">
      <x:alignment horizontal="right" vertical="top"/>
    </x:xf>
    <x:xf numFmtId="4" fontId="12" fillId="0" borderId="88" xfId="0" applyNumberFormat="1" applyFont="1" applyFill="1" applyBorder="1" applyAlignment="1">
      <x:alignment horizontal="right" vertical="top"/>
    </x:xf>
    <x:xf numFmtId="4" fontId="49" fillId="11" borderId="114" xfId="0" applyNumberFormat="1" applyFont="1" applyFill="1" applyBorder="1" applyAlignment="1">
      <x:alignment horizontal="right"/>
    </x:xf>
    <x:xf numFmtId="4" fontId="49" fillId="11" borderId="88" xfId="0" applyNumberFormat="1" applyFont="1" applyFill="1" applyBorder="1"/>
    <x:xf numFmtId="4" fontId="49" fillId="0" borderId="79" xfId="0" applyNumberFormat="1" applyFont="1" applyFill="1" applyBorder="1"/>
    <x:xf numFmtId="4" fontId="9" fillId="0" borderId="88" xfId="0" applyNumberFormat="1" applyFont="1" applyFill="1" applyBorder="1" applyAlignment="1">
      <x:alignment horizontal="right" vertical="top"/>
    </x:xf>
    <x:xf numFmtId="4" fontId="49" fillId="11" borderId="88" xfId="0" applyNumberFormat="1" applyFont="1" applyFill="1" applyBorder="1" applyAlignment="1">
      <x:alignment horizontal="right"/>
    </x:xf>
    <x:xf numFmtId="4" fontId="4" fillId="0" borderId="88" xfId="0" applyNumberFormat="1" applyFont="1" applyFill="1" applyBorder="1" applyAlignment="1">
      <x:alignment horizontal="right" vertical="top" wrapText="1"/>
    </x:xf>
    <x:xf numFmtId="4" fontId="4" fillId="0" borderId="114" xfId="0" applyNumberFormat="1" applyFont="1" applyFill="1" applyBorder="1" applyAlignment="1">
      <x:alignment horizontal="right" vertical="top" wrapText="1"/>
    </x:xf>
    <x:xf numFmtId="4" fontId="49" fillId="11" borderId="98" xfId="0" applyNumberFormat="1" applyFont="1" applyFill="1" applyBorder="1" applyAlignment="1">
      <x:alignment horizontal="right"/>
    </x:xf>
    <x:xf numFmtId="4" fontId="49" fillId="20" borderId="88" xfId="0" applyNumberFormat="1" applyFont="1" applyFill="1" applyBorder="1" applyAlignment="1">
      <x:alignment horizontal="center"/>
    </x:xf>
    <x:xf numFmtId="0" fontId="67" fillId="22" borderId="88" xfId="0" applyNumberFormat="1" applyFont="1" applyFill="1" applyBorder="1" applyAlignment="1">
      <x:alignment horizontal="center" vertical="center"/>
    </x:xf>
    <x:xf numFmtId="0" fontId="67" fillId="22" borderId="88" xfId="0" applyNumberFormat="1" applyFont="1" applyFill="1" applyBorder="1" applyAlignment="1">
      <x:alignment horizontal="center" vertical="center" wrapText="1"/>
    </x:xf>
    <x:xf numFmtId="14" fontId="67" fillId="22" borderId="88" xfId="0" applyNumberFormat="1" applyFont="1" applyFill="1" applyBorder="1" applyAlignment="1">
      <x:alignment horizontal="center" vertical="center" wrapText="1"/>
    </x:xf>
    <x:xf numFmtId="165" fontId="67" fillId="22" borderId="88" xfId="0" applyNumberFormat="1" applyFont="1" applyFill="1" applyBorder="1" applyAlignment="1">
      <x:alignment horizontal="center" vertical="center" wrapText="1"/>
    </x:xf>
    <x:xf numFmtId="167" fontId="67" fillId="22" borderId="88" xfId="0" applyNumberFormat="1" applyFont="1" applyFill="1" applyBorder="1" applyAlignment="1">
      <x:alignment horizontal="center" vertical="center" wrapText="1"/>
    </x:xf>
    <x:xf numFmtId="0" fontId="67" fillId="22" borderId="79" xfId="0" applyNumberFormat="1" applyFont="1" applyFill="1" applyBorder="1" applyAlignment="1">
      <x:alignment horizontal="center" vertical="center"/>
    </x:xf>
    <x:xf numFmtId="0" fontId="13" fillId="22" borderId="88" xfId="0" applyNumberFormat="1" applyFont="1" applyFill="1" applyBorder="1" applyAlignment="1">
      <x:alignment horizontal="center" vertical="center" wrapText="1"/>
    </x:xf>
    <x:xf numFmtId="14" fontId="13" fillId="22" borderId="88" xfId="0" applyNumberFormat="1" applyFont="1" applyFill="1" applyBorder="1" applyAlignment="1">
      <x:alignment horizontal="center" vertical="center" wrapText="1"/>
    </x:xf>
    <x:xf numFmtId="0" fontId="13" fillId="22" borderId="88" xfId="0" applyNumberFormat="1" applyFont="1" applyFill="1" applyBorder="1" applyAlignment="1">
      <x:alignment horizontal="left" vertical="center" wrapText="1"/>
    </x:xf>
    <x:xf numFmtId="168" fontId="13" fillId="22" borderId="88" xfId="0" applyNumberFormat="1" applyFont="1" applyFill="1" applyBorder="1" applyAlignment="1">
      <x:alignment horizontal="left" vertical="center" wrapText="1"/>
    </x:xf>
    <x:xf numFmtId="0" fontId="13" fillId="22" borderId="79" xfId="0" applyNumberFormat="1" applyFont="1" applyFill="1" applyBorder="1" applyAlignment="1">
      <x:alignment horizontal="center" wrapText="1"/>
    </x:xf>
    <x:xf numFmtId="0" fontId="25" fillId="23" borderId="79" xfId="0" applyNumberFormat="1" applyFont="1" applyFill="1" applyBorder="1" applyAlignment="1">
      <x:alignment horizontal="left" vertical="center" wrapText="1"/>
    </x:xf>
    <x:xf numFmtId="164" fontId="14" fillId="23" borderId="82" xfId="0" applyNumberFormat="1" applyFont="1" applyFill="1" applyBorder="1" applyAlignment="1">
      <x:alignment horizontal="right" vertical="top"/>
    </x:xf>
    <x:xf numFmtId="0" fontId="25" fillId="23" borderId="79" xfId="0" applyNumberFormat="1" applyFont="1" applyFill="1" applyBorder="1" applyAlignment="1">
      <x:alignment horizontal="left" vertical="top" wrapText="1"/>
    </x:xf>
    <x:xf numFmtId="165" fontId="25" fillId="23" borderId="79" xfId="0" applyNumberFormat="1" applyFont="1" applyFill="1" applyBorder="1" applyAlignment="1">
      <x:alignment horizontal="left" vertical="top"/>
    </x:xf>
    <x:xf numFmtId="165" fontId="25" fillId="23" borderId="79" xfId="0" applyNumberFormat="1" applyFont="1" applyFill="1" applyBorder="1" applyAlignment="1">
      <x:alignment horizontal="left" vertical="top" wrapText="1"/>
    </x:xf>
    <x:xf numFmtId="0" fontId="12" fillId="23" borderId="79" xfId="0" applyNumberFormat="1" applyFont="1" applyFill="1" applyBorder="1" applyAlignment="1">
      <x:alignment horizontal="left" vertical="top" wrapText="1"/>
    </x:xf>
    <x:xf numFmtId="0" fontId="66" fillId="23" borderId="79" xfId="0" applyNumberFormat="1" applyFont="1" applyFill="1" applyBorder="1" applyAlignment="1">
      <x:alignment horizontal="left" vertical="top" wrapText="1"/>
    </x:xf>
    <x:xf numFmtId="0" fontId="14" fillId="23" borderId="79" xfId="0" applyNumberFormat="1" applyFont="1" applyFill="1" applyBorder="1" applyAlignment="1">
      <x:alignment horizontal="left" vertical="top" wrapText="1"/>
    </x:xf>
    <x:xf numFmtId="0" fontId="12" fillId="23" borderId="79" xfId="0" applyNumberFormat="1" applyFont="1" applyFill="1" applyBorder="1" applyAlignment="1">
      <x:alignment horizontal="left" vertical="center" wrapText="1"/>
    </x:xf>
    <x:xf numFmtId="165" fontId="12" fillId="23" borderId="79" xfId="0" applyNumberFormat="1" applyFont="1" applyFill="1" applyBorder="1" applyAlignment="1">
      <x:alignment horizontal="left" vertical="top"/>
    </x:xf>
    <x:xf numFmtId="165" fontId="12" fillId="23" borderId="79" xfId="0" applyNumberFormat="1" applyFont="1" applyFill="1" applyBorder="1" applyAlignment="1">
      <x:alignment horizontal="left" vertical="top" wrapText="1"/>
    </x:xf>
    <x:xf numFmtId="4" fontId="56" fillId="0" borderId="88" xfId="0" applyNumberFormat="1" applyFont="1" applyFill="1" applyBorder="1" applyAlignment="1">
      <x:alignment horizontal="right" vertical="top"/>
    </x:xf>
    <x:xf numFmtId="14" fontId="56" fillId="0" borderId="88" xfId="0" applyNumberFormat="1" applyFont="1" applyFill="1" applyBorder="1" applyAlignment="1">
      <x:alignment horizontal="center" vertical="top" wrapText="1"/>
    </x:xf>
    <x:xf numFmtId="0" fontId="48" fillId="0" borderId="79" xfId="0" applyNumberFormat="1" applyFont="1" applyFill="1" applyBorder="1" applyAlignment="1">
      <x:alignment horizontal="right" wrapText="1"/>
    </x:xf>
    <x:xf numFmtId="0" fontId="50" fillId="0" borderId="79" xfId="0" applyNumberFormat="1" applyFont="1" applyFill="1" applyBorder="1" applyAlignment="1">
      <x:alignment horizontal="left" vertical="top"/>
    </x:xf>
    <x:xf numFmtId="164" fontId="12" fillId="0" borderId="114" xfId="0" applyNumberFormat="1" applyFont="1" applyFill="1" applyBorder="1" applyAlignment="1">
      <x:alignment horizontal="right" vertical="top" wrapText="1"/>
    </x:xf>
    <x:xf numFmtId="0" fontId="13" fillId="0" borderId="115" xfId="0" applyNumberFormat="1" applyFont="1" applyFill="1" applyBorder="1" applyAlignment="1">
      <x:alignment horizontal="left" vertical="top" wrapText="1"/>
    </x:xf>
    <x:xf numFmtId="4" fontId="48" fillId="0" borderId="79" xfId="0" applyNumberFormat="1" applyFont="1" applyFill="1" applyBorder="1" applyAlignment="1">
      <x:alignment horizontal="left" vertical="top" wrapText="1"/>
    </x:xf>
    <x:xf numFmtId="0" fontId="49" fillId="0" borderId="79" xfId="0" applyNumberFormat="1" applyFont="1" applyFill="1" applyBorder="1" applyAlignment="1">
      <x:alignment horizontal="left" vertical="center"/>
    </x:xf>
    <x:xf numFmtId="0" fontId="23" fillId="0" borderId="79" xfId="0" applyNumberFormat="1" applyFont="1" applyFill="1" applyBorder="1" applyAlignment="1">
      <x:alignment horizontal="justify" vertical="top" wrapText="1"/>
    </x:xf>
    <x:xf numFmtId="0" fontId="44" fillId="0" borderId="79" xfId="0" applyNumberFormat="1" applyFont="1" applyFill="1" applyBorder="1" applyAlignment="1">
      <x:alignment horizontal="justify" vertical="top" wrapText="1"/>
    </x:xf>
    <x:xf numFmtId="0" fontId="43" fillId="0" borderId="79" xfId="0" applyNumberFormat="1" applyFont="1" applyFill="1" applyBorder="1" applyAlignment="1">
      <x:alignment horizontal="left"/>
    </x:xf>
    <x:xf numFmtId="0" fontId="9" fillId="0" borderId="79" xfId="0" applyNumberFormat="1" applyFont="1" applyFill="1" applyBorder="1" applyAlignment="1">
      <x:alignment horizontal="left"/>
    </x:xf>
    <x:xf numFmtId="49" fontId="35" fillId="0" borderId="84" xfId="0" applyNumberFormat="1" applyFont="1" applyFill="1" applyBorder="1" applyAlignment="1">
      <x:alignment horizontal="center"/>
    </x:xf>
    <x:xf numFmtId="0" fontId="43" fillId="0" borderId="79" xfId="0" applyNumberFormat="1" applyFont="1" applyFill="1" applyBorder="1" applyAlignment="1">
      <x:alignment horizontal="center" vertical="top"/>
    </x:xf>
    <x:xf numFmtId="0" fontId="30" fillId="0" borderId="84" xfId="0" applyNumberFormat="1" applyFont="1" applyFill="1" applyBorder="1" applyAlignment="1">
      <x:alignment horizontal="center"/>
    </x:xf>
    <x:xf numFmtId="0" fontId="35" fillId="13" borderId="79" xfId="0" applyNumberFormat="1" applyFont="1" applyFill="1" applyBorder="1" applyAlignment="1">
      <x:alignment horizontal="center" vertical="center"/>
    </x:xf>
    <x:xf numFmtId="0" fontId="7" fillId="9" borderId="104" xfId="0" applyNumberFormat="1" applyFont="1" applyFill="1" applyBorder="1" applyAlignment="1">
      <x:alignment horizontal="center" vertical="center"/>
    </x:xf>
    <x:xf numFmtId="0" fontId="35" fillId="9" borderId="104" xfId="0" applyNumberFormat="1" applyFont="1" applyFill="1" applyBorder="1" applyAlignment="1">
      <x:alignment horizontal="center" vertical="center"/>
    </x:xf>
    <x:xf numFmtId="0" fontId="35" fillId="9" borderId="84" xfId="0" applyNumberFormat="1" applyFont="1" applyFill="1" applyBorder="1" applyAlignment="1">
      <x:alignment horizontal="center" vertical="center"/>
    </x:xf>
    <x:xf numFmtId="0" fontId="35" fillId="9" borderId="109" xfId="0" applyNumberFormat="1" applyFont="1" applyFill="1" applyBorder="1" applyAlignment="1">
      <x:alignment horizontal="center" vertical="center"/>
    </x:xf>
    <x:xf numFmtId="0" fontId="35" fillId="11" borderId="79" xfId="0" applyNumberFormat="1" applyFont="1" applyFill="1" applyBorder="1" applyAlignment="1">
      <x:alignment horizontal="center" vertical="center"/>
    </x:xf>
    <x:xf numFmtId="0" fontId="35" fillId="10" borderId="79" xfId="0" applyNumberFormat="1" applyFont="1" applyFill="1" applyBorder="1" applyAlignment="1">
      <x:alignment horizontal="center" vertical="center"/>
    </x:xf>
    <x:xf numFmtId="0" fontId="35" fillId="14" borderId="79" xfId="0" applyNumberFormat="1" applyFont="1" applyFill="1" applyBorder="1" applyAlignment="1">
      <x:alignment horizontal="center" vertical="center"/>
    </x:xf>
    <x:xf numFmtId="0" fontId="35" fillId="15" borderId="79" xfId="0" applyNumberFormat="1" applyFont="1" applyFill="1" applyBorder="1" applyAlignment="1">
      <x:alignment horizontal="center" vertical="center"/>
    </x:xf>
    <x:xf numFmtId="0" fontId="30" fillId="0" borderId="84" xfId="0" applyNumberFormat="1" applyFont="1" applyFill="1" applyBorder="1" applyAlignment="1">
      <x:alignment horizontal="center" vertical="center"/>
    </x:xf>
    <x:xf numFmtId="169" fontId="30" fillId="0" borderId="84" xfId="0" applyNumberFormat="1" applyFont="1" applyFill="1" applyBorder="1" applyAlignment="1">
      <x:alignment horizontal="center"/>
    </x:xf>
    <x:xf numFmtId="0" fontId="35" fillId="17" borderId="79" xfId="0" applyNumberFormat="1" applyFont="1" applyFill="1" applyBorder="1" applyAlignment="1">
      <x:alignment horizontal="center" vertical="center"/>
    </x:xf>
    <x:xf numFmtId="0" fontId="35" fillId="18" borderId="79" xfId="0" applyNumberFormat="1" applyFont="1" applyFill="1" applyBorder="1" applyAlignment="1">
      <x:alignment horizontal="center" vertical="center"/>
    </x:xf>
    <x:xf numFmtId="0" fontId="35" fillId="19" borderId="79" xfId="0" applyNumberFormat="1" applyFont="1" applyFill="1" applyBorder="1" applyAlignment="1">
      <x:alignment horizontal="center" vertical="center"/>
    </x:xf>
    <x:xf numFmtId="14" fontId="18" fillId="0" borderId="84" xfId="0" applyNumberFormat="1" applyFont="1" applyFill="1" applyBorder="1" applyAlignment="1">
      <x:alignment horizontal="right" vertical="top"/>
    </x:xf>
    <x:xf numFmtId="0" fontId="14" fillId="0" borderId="87" xfId="0" applyNumberFormat="1" applyFont="1" applyFill="1" applyBorder="1" applyAlignment="1">
      <x:alignment horizontal="right" vertical="top"/>
    </x:xf>
    <x:xf numFmtId="49" fontId="20" fillId="6" borderId="110" xfId="0" applyNumberFormat="1" applyFont="1" applyFill="1" applyBorder="1" applyAlignment="1">
      <x:alignment horizontal="center" vertical="center"/>
    </x:xf>
    <x:xf numFmtId="0" fontId="14" fillId="0" borderId="98" xfId="0" applyNumberFormat="1" applyFont="1" applyFill="1" applyBorder="1" applyAlignment="1">
      <x:alignment horizontal="center" vertical="center"/>
    </x:xf>
    <x:xf numFmtId="0" fontId="14" fillId="0" borderId="119" xfId="0" applyNumberFormat="1" applyFont="1" applyFill="1" applyBorder="1" applyAlignment="1">
      <x:alignment horizontal="center" vertical="center"/>
    </x:xf>
    <x:xf numFmtId="164" fontId="18" fillId="3" borderId="114" xfId="0" applyNumberFormat="1" applyFont="1" applyFill="1" applyBorder="1" applyAlignment="1">
      <x:alignment horizontal="center" vertical="center"/>
    </x:xf>
    <x:xf numFmtId="164" fontId="18" fillId="3" borderId="119" xfId="0" applyNumberFormat="1" applyFont="1" applyFill="1" applyBorder="1" applyAlignment="1">
      <x:alignment horizontal="center" vertical="center"/>
    </x:xf>
    <x:xf numFmtId="0" fontId="19" fillId="0" borderId="114" xfId="0" applyNumberFormat="1" applyFont="1" applyFill="1" applyBorder="1" applyAlignment="1">
      <x:alignment horizontal="center" vertical="center"/>
    </x:xf>
    <x:xf numFmtId="0" fontId="19" fillId="0" borderId="119" xfId="0" applyNumberFormat="1" applyFont="1" applyFill="1" applyBorder="1" applyAlignment="1">
      <x:alignment horizontal="center" vertical="center"/>
    </x:xf>
    <x:xf numFmtId="49" fontId="20" fillId="6" borderId="120" xfId="0" applyNumberFormat="1" applyFont="1" applyFill="1" applyBorder="1" applyAlignment="1">
      <x:alignment horizontal="center" vertical="center"/>
    </x:xf>
    <x:xf numFmtId="0" fontId="17" fillId="0" borderId="121" xfId="0" applyNumberFormat="1" applyFont="1" applyFill="1" applyBorder="1"/>
    <x:xf numFmtId="0" fontId="17" fillId="0" borderId="122" xfId="0" applyNumberFormat="1" applyFont="1" applyFill="1" applyBorder="1"/>
    <x:xf numFmtId="164" fontId="18" fillId="0" borderId="79" xfId="0" applyNumberFormat="1" applyFont="1" applyFill="1" applyBorder="1" applyAlignment="1">
      <x:alignment horizontal="right"/>
    </x:xf>
    <x:xf numFmtId="49" fontId="21" fillId="0" borderId="123" xfId="0" applyNumberFormat="1" applyFont="1" applyFill="1" applyBorder="1" applyAlignment="1">
      <x:alignment horizontal="center" vertical="center" wrapText="1"/>
    </x:xf>
    <x:xf numFmtId="0" fontId="21" fillId="0" borderId="124" xfId="0" applyNumberFormat="1" applyFont="1" applyFill="1" applyBorder="1" applyAlignment="1">
      <x:alignment wrapText="1"/>
    </x:xf>
    <x:xf numFmtId="0" fontId="21" fillId="0" borderId="125" xfId="0" applyNumberFormat="1" applyFont="1" applyFill="1" applyBorder="1" applyAlignment="1">
      <x:alignment wrapText="1"/>
    </x:xf>
    <x:xf numFmtId="49" fontId="18" fillId="0" borderId="126" xfId="0" applyNumberFormat="1" applyFont="1" applyFill="1" applyBorder="1" applyAlignment="1">
      <x:alignment horizontal="right" vertical="top"/>
    </x:xf>
    <x:xf numFmtId="0" fontId="14" fillId="0" borderId="104" xfId="0" applyNumberFormat="1" applyFont="1" applyFill="1" applyBorder="1" applyAlignment="1">
      <x:alignment vertical="top"/>
    </x:xf>
    <x:xf numFmtId="49" fontId="14" fillId="3" borderId="114" xfId="0" applyNumberFormat="1" applyFont="1" applyFill="1" applyBorder="1" applyAlignment="1">
      <x:alignment horizontal="left" vertical="top" wrapText="1"/>
    </x:xf>
    <x:xf numFmtId="49" fontId="14" fillId="3" borderId="98" xfId="0" applyNumberFormat="1" applyFont="1" applyFill="1" applyBorder="1" applyAlignment="1">
      <x:alignment horizontal="left" vertical="top" wrapText="1"/>
    </x:xf>
    <x:xf numFmtId="49" fontId="14" fillId="3" borderId="127" xfId="0" applyNumberFormat="1" applyFont="1" applyFill="1" applyBorder="1" applyAlignment="1">
      <x:alignment horizontal="left" vertical="top" wrapText="1"/>
    </x:xf>
    <x:xf numFmtId="49" fontId="18" fillId="0" borderId="79" xfId="0" applyNumberFormat="1" applyFont="1" applyFill="1" applyBorder="1" applyAlignment="1">
      <x:alignment horizontal="right" vertical="top"/>
    </x:xf>
    <x:xf numFmtId="0" fontId="14" fillId="0" borderId="81" xfId="0" applyNumberFormat="1" applyFont="1" applyFill="1" applyBorder="1" applyAlignment="1">
      <x:alignment horizontal="right" vertical="top"/>
    </x:xf>
    <x:xf numFmtId="49" fontId="18" fillId="0" borderId="126" xfId="0" applyNumberFormat="1" applyFont="1" applyFill="1" applyBorder="1" applyAlignment="1">
      <x:alignment horizontal="right"/>
    </x:xf>
    <x:xf numFmtId="49" fontId="18" fillId="0" borderId="104" xfId="0" applyNumberFormat="1" applyFont="1" applyFill="1" applyBorder="1" applyAlignment="1">
      <x:alignment horizontal="right"/>
    </x:xf>
    <x:xf numFmtId="49" fontId="18" fillId="0" borderId="83" xfId="0" applyNumberFormat="1" applyFont="1" applyFill="1" applyBorder="1" applyAlignment="1">
      <x:alignment horizontal="right" vertical="top"/>
    </x:xf>
    <x:xf numFmtId="49" fontId="18" fillId="0" borderId="81" xfId="0" applyNumberFormat="1" applyFont="1" applyFill="1" applyBorder="1" applyAlignment="1">
      <x:alignment horizontal="right" vertical="top"/>
    </x:xf>
    <x:xf numFmtId="0" fontId="22" fillId="0" borderId="126" xfId="0" applyNumberFormat="1" applyFont="1" applyFill="1" applyBorder="1" applyAlignment="1">
      <x:alignment horizontal="center" vertical="center" wrapText="1"/>
    </x:xf>
    <x:xf numFmtId="0" fontId="14" fillId="0" borderId="104" xfId="0" applyNumberFormat="1" applyFont="1" applyFill="1" applyBorder="1"/>
    <x:xf numFmtId="49" fontId="18" fillId="0" borderId="128" xfId="0" applyNumberFormat="1" applyFont="1" applyFill="1" applyBorder="1" applyAlignment="1">
      <x:alignment horizontal="right" wrapText="1"/>
    </x:xf>
    <x:xf numFmtId="0" fontId="14" fillId="0" borderId="109" xfId="0" applyNumberFormat="1" applyFont="1" applyFill="1" applyBorder="1"/>
    <x:xf numFmtId="165" fontId="14" fillId="6" borderId="129" xfId="0" applyNumberFormat="1" applyFont="1" applyFill="1" applyBorder="1" applyAlignment="1">
      <x:alignment horizontal="center" vertical="center"/>
    </x:xf>
    <x:xf numFmtId="165" fontId="14" fillId="0" borderId="130" xfId="0" applyNumberFormat="1" applyFont="1" applyFill="1" applyBorder="1" applyAlignment="1">
      <x:alignment horizontal="center" vertical="center"/>
    </x:xf>
    <x:xf numFmtId="165" fontId="14" fillId="6" borderId="131" xfId="0" applyNumberFormat="1" applyFont="1" applyFill="1" applyBorder="1" applyAlignment="1">
      <x:alignment horizontal="right" vertical="center"/>
    </x:xf>
    <x:xf numFmtId="165" fontId="14" fillId="0" borderId="132" xfId="0" applyNumberFormat="1" applyFont="1" applyFill="1" applyBorder="1" applyAlignment="1">
      <x:alignment horizontal="right" vertical="center"/>
    </x:xf>
    <x:xf numFmtId="165" fontId="14" fillId="6" borderId="129" xfId="0" applyNumberFormat="1" applyFont="1" applyFill="1" applyBorder="1" applyAlignment="1">
      <x:alignment horizontal="right" vertical="center"/>
    </x:xf>
    <x:xf numFmtId="165" fontId="14" fillId="0" borderId="130" xfId="0" applyNumberFormat="1" applyFont="1" applyFill="1" applyBorder="1" applyAlignment="1">
      <x:alignment horizontal="right" vertical="center"/>
    </x:xf>
    <x:xf numFmtId="170" fontId="18" fillId="3" borderId="114" xfId="0" applyNumberFormat="1" applyFont="1" applyFill="1" applyBorder="1" applyAlignment="1">
      <x:alignment horizontal="center" vertical="center"/>
    </x:xf>
    <x:xf numFmtId="49" fontId="14" fillId="3" borderId="117" xfId="0" applyNumberFormat="1" applyFont="1" applyFill="1" applyBorder="1" applyAlignment="1">
      <x:alignment horizontal="left" vertical="top" wrapText="1"/>
    </x:xf>
    <x:xf numFmtId="165" fontId="14" fillId="6" borderId="130" xfId="0" applyNumberFormat="1" applyFont="1" applyFill="1" applyBorder="1" applyAlignment="1">
      <x:alignment horizontal="center" vertical="center"/>
    </x:xf>
    <x:xf numFmtId="0" fontId="26" fillId="0" borderId="114" xfId="0" applyNumberFormat="1" applyFont="1" applyFill="1" applyBorder="1" applyAlignment="1">
      <x:alignment horizontal="center" vertical="center"/>
    </x:xf>
    <x:xf numFmtId="0" fontId="26" fillId="0" borderId="119" xfId="0" applyNumberFormat="1" applyFont="1" applyFill="1" applyBorder="1" applyAlignment="1">
      <x:alignment horizontal="center" vertical="center"/>
    </x:xf>
    <x:xf numFmtId="49" fontId="14" fillId="3" borderId="88" xfId="0" applyNumberFormat="1" applyFont="1" applyFill="1" applyBorder="1" applyAlignment="1">
      <x:alignment horizontal="left" vertical="top" wrapText="1"/>
    </x:xf>
    <x:xf numFmtId="49" fontId="14" fillId="3" borderId="88" xfId="0" applyNumberFormat="1" applyFont="1" applyFill="1" applyBorder="1" applyAlignment="1">
      <x:alignment horizontal="left" wrapText="1"/>
    </x:xf>
    <x:xf numFmtId="164" fontId="48" fillId="0" borderId="79" xfId="0" applyNumberFormat="1" applyFont="1" applyFill="1" applyBorder="1" applyAlignment="1">
      <x:alignment horizontal="left" vertical="top" wrapText="1"/>
    </x:xf>
    <x:xf numFmtId="0" fontId="4" fillId="0" borderId="88" xfId="0" applyNumberFormat="1" applyFont="1" applyFill="1" applyBorder="1" applyAlignment="1">
      <x:alignment horizontal="center" vertical="top"/>
    </x:xf>
    <x:xf numFmtId="14" fontId="4" fillId="0" borderId="88" xfId="0" applyNumberFormat="1" applyFont="1" applyFill="1" applyBorder="1" applyAlignment="1">
      <x:alignment horizontal="center" vertical="top"/>
    </x:xf>
    <x:xf numFmtId="14" fontId="12" fillId="0" borderId="88" xfId="0" applyNumberFormat="1" applyFont="1" applyFill="1" applyBorder="1" applyAlignment="1">
      <x:alignment horizontal="center" vertical="top" wrapText="1"/>
    </x:xf>
    <x:xf numFmtId="0" fontId="4" fillId="0" borderId="88" xfId="0" applyNumberFormat="1" applyFont="1" applyFill="1" applyBorder="1" applyAlignment="1">
      <x:alignment vertical="top" wrapText="1"/>
    </x:xf>
    <x:xf numFmtId="0" fontId="58" fillId="0" borderId="88" xfId="0" applyNumberFormat="1" applyFont="1" applyFill="1" applyBorder="1" applyAlignment="1">
      <x:alignment horizontal="left"/>
    </x:xf>
    <x:xf numFmtId="0" fontId="12" fillId="0" borderId="88" xfId="0" applyNumberFormat="1" applyFont="1" applyFill="1" applyBorder="1" applyAlignment="1">
      <x:alignment horizontal="center" vertical="top"/>
    </x:xf>
    <x:xf numFmtId="14" fontId="12" fillId="0" borderId="88" xfId="0" applyNumberFormat="1" applyFont="1" applyFill="1" applyBorder="1" applyAlignment="1">
      <x:alignment horizontal="center" vertical="top"/>
    </x:xf>
    <x:xf numFmtId="0" fontId="55" fillId="0" borderId="97" xfId="0" applyNumberFormat="1" applyFont="1" applyFill="1" applyBorder="1" applyAlignment="1">
      <x:alignment horizontal="left" vertical="top"/>
    </x:xf>
    <x:xf numFmtId="0" fontId="55" fillId="0" borderId="97" xfId="0" applyNumberFormat="1" applyFont="1" applyFill="1" applyBorder="1" applyAlignment="1">
      <x:alignment horizontal="center" vertical="top"/>
    </x:xf>
    <x:xf numFmtId="14" fontId="55" fillId="0" borderId="97" xfId="0" applyNumberFormat="1" applyFont="1" applyFill="1" applyBorder="1" applyAlignment="1">
      <x:alignment horizontal="center" vertical="top"/>
    </x:xf>
    <x:xf numFmtId="0" fontId="55" fillId="0" borderId="97" xfId="0" applyNumberFormat="1" applyFont="1" applyFill="1" applyBorder="1" applyAlignment="1">
      <x:alignment horizontal="left" vertical="top" wrapText="1"/>
    </x:xf>
    <x:xf numFmtId="0" fontId="0" fillId="0" borderId="97" xfId="0" applyNumberFormat="1" applyFont="1" applyFill="1" applyBorder="1"/>
    <x:xf numFmtId="171" fontId="0" fillId="0" borderId="97" xfId="0" applyNumberFormat="1" applyFont="1" applyFill="1" applyBorder="1"/>
    <x:xf numFmtId="16" fontId="4" fillId="0" borderId="88" xfId="0" applyNumberFormat="1" applyFont="1" applyFill="1" applyBorder="1" applyAlignment="1">
      <x:alignment horizontal="center" vertical="top"/>
    </x:xf>
    <x:xf numFmtId="0" fontId="58" fillId="0" borderId="88" xfId="0" applyNumberFormat="1" applyFont="1" applyFill="1" applyBorder="1"/>
    <x:xf numFmtId="0" fontId="58" fillId="0" borderId="88" xfId="0" applyNumberFormat="1" applyFont="1" applyFill="1" applyBorder="1" applyAlignment="1">
      <x:alignment horizontal="left" vertical="top"/>
    </x:xf>
    <x:xf numFmtId="0" fontId="54" fillId="0" borderId="97" xfId="0" applyNumberFormat="1" applyFont="1" applyFill="1" applyBorder="1" applyAlignment="1">
      <x:alignment vertical="top"/>
    </x:xf>
    <x:xf numFmtId="0" fontId="63" fillId="0" borderId="97" xfId="0" applyNumberFormat="1" applyFont="1" applyFill="1" applyBorder="1" applyAlignment="1">
      <x:alignment horizontal="left" vertical="top"/>
    </x:xf>
    <x:xf numFmtId="14" fontId="63" fillId="0" borderId="97" xfId="0" applyNumberFormat="1" applyFont="1" applyFill="1" applyBorder="1" applyAlignment="1">
      <x:alignment horizontal="center" vertical="top"/>
    </x:xf>
    <x:xf numFmtId="0" fontId="58" fillId="0" borderId="97" xfId="0" applyNumberFormat="1" applyFont="1" applyFill="1" applyBorder="1" applyAlignment="1">
      <x:alignment horizontal="left"/>
    </x:xf>
    <x:xf numFmtId="165" fontId="63" fillId="0" borderId="97" xfId="0" applyNumberFormat="1" applyFont="1" applyFill="1" applyBorder="1" applyAlignment="1">
      <x:alignment horizontal="left" vertical="top"/>
    </x:xf>
    <x:xf numFmtId="1" fontId="63" fillId="0" borderId="97" xfId="0" applyNumberFormat="1" applyFont="1" applyFill="1" applyBorder="1" applyAlignment="1">
      <x:alignment horizontal="left" vertical="top"/>
    </x:xf>
    <x:xf numFmtId="167" fontId="63" fillId="0" borderId="97" xfId="0" applyNumberFormat="1" applyFont="1" applyFill="1" applyBorder="1" applyAlignment="1">
      <x:alignment horizontal="left" vertical="top"/>
    </x:xf>
    <x:xf numFmtId="172" fontId="63" fillId="0" borderId="97" xfId="0" applyNumberFormat="1" applyFont="1" applyFill="1" applyBorder="1" applyAlignment="1">
      <x:alignment horizontal="left" vertical="top"/>
    </x:xf>
    <x:xf numFmtId="0" fontId="12" fillId="0" borderId="97" xfId="0" applyNumberFormat="1" applyFont="1" applyFill="1" applyBorder="1" applyAlignment="1">
      <x:alignment horizontal="left" vertical="top"/>
    </x:xf>
    <x:xf numFmtId="165" fontId="63" fillId="0" borderId="97" xfId="0" applyNumberFormat="1" applyFont="1" applyFill="1" applyBorder="1" applyAlignment="1">
      <x:alignment horizontal="right" vertical="top"/>
    </x:xf>
    <x:xf numFmtId="171" fontId="63" fillId="0" borderId="97" xfId="0" applyNumberFormat="1" applyFont="1" applyFill="1" applyBorder="1" applyAlignment="1">
      <x:alignment horizontal="center" vertical="top"/>
    </x:xf>
    <x:xf numFmtId="0" fontId="24" fillId="0" borderId="97" xfId="0" applyNumberFormat="1" applyFont="1" applyFill="1" applyBorder="1" applyAlignment="1">
      <x:alignment horizontal="left"/>
    </x:xf>
    <x:xf numFmtId="0" fontId="24" fillId="0" borderId="97" xfId="0" applyNumberFormat="1" applyFont="1" applyFill="1" applyBorder="1" applyAlignment="1">
      <x:alignment horizontal="left" vertical="top"/>
    </x:xf>
    <x:xf numFmtId="49" fontId="63" fillId="0" borderId="97" xfId="0" applyNumberFormat="1" applyFont="1" applyFill="1" applyBorder="1" applyAlignment="1">
      <x:alignment horizontal="left" vertical="top"/>
    </x:xf>
    <x:xf numFmtId="0" fontId="58" fillId="0" borderId="97" xfId="0" applyNumberFormat="1" applyFont="1" applyFill="1" applyBorder="1" applyAlignment="1">
      <x:alignment horizontal="left" vertical="top"/>
    </x:xf>
    <x:xf numFmtId="171" fontId="54" fillId="0" borderId="97" xfId="0" applyNumberFormat="1" applyFont="1" applyFill="1" applyBorder="1"/>
    <x:xf numFmtId="0" fontId="54" fillId="0" borderId="97" xfId="0" applyNumberFormat="1" applyFont="1" applyFill="1" applyBorder="1"/>
    <x:xf numFmtId="0" fontId="61" fillId="0" borderId="97" xfId="0" applyNumberFormat="1" applyFont="1" applyFill="1" applyBorder="1"/>
    <x:xf numFmtId="14" fontId="0" fillId="0" borderId="97" xfId="0" applyNumberFormat="1" applyFont="1" applyFill="1" applyBorder="1"/>
    <x:xf numFmtId="14" fontId="54" fillId="0" borderId="97" xfId="0" applyNumberFormat="1" applyFont="1" applyFill="1" applyBorder="1"/>
    <x:xf numFmtId="0" fontId="4" fillId="0" borderId="97" xfId="0" applyNumberFormat="1" applyFont="1" applyFill="1" applyBorder="1"/>
    <x:xf numFmtId="0" fontId="12" fillId="0" borderId="97" xfId="0" applyNumberFormat="1" applyFont="1" applyFill="1" applyBorder="1"/>
    <x:xf numFmtId="0" fontId="56" fillId="0" borderId="97" xfId="0" applyNumberFormat="1" applyFont="1" applyFill="1" applyBorder="1"/>
    <x:xf numFmtId="0" fontId="58" fillId="0" borderId="97" xfId="0" applyNumberFormat="1" applyFont="1" applyFill="1" applyBorder="1"/>
    <x:xf numFmtId="0" fontId="7" fillId="0" borderId="79" xfId="0" applyNumberFormat="1" applyFont="1" applyFill="1" applyBorder="1" applyAlignment="1">
      <x:alignment horizontal="left" wrapText="1"/>
    </x:xf>
    <x:xf numFmtId="14" fontId="7" fillId="0" borderId="79" xfId="0" applyNumberFormat="1" applyFont="1" applyFill="1" applyBorder="1" applyAlignment="1">
      <x:alignment horizontal="left" wrapText="1"/>
    </x:xf>
    <x:xf numFmtId="0" fontId="0" fillId="0" borderId="79" xfId="0" applyNumberFormat="1" applyFont="1" applyFill="1" applyBorder="1" applyAlignment="1">
      <x:alignment horizontal="left" wrapText="1"/>
    </x:xf>
    <x:xf numFmtId="0" fontId="0" fillId="0" borderId="79" xfId="0" applyNumberFormat="1" applyFont="1" applyFill="1" applyBorder="1" applyAlignment="1">
      <x:alignment wrapText="1"/>
    </x:xf>
    <x:xf numFmtId="49" fontId="7" fillId="0" borderId="79" xfId="0" applyNumberFormat="1" applyFont="1" applyFill="1" applyBorder="1" applyAlignment="1">
      <x:alignment horizontal="left" wrapText="1"/>
    </x:xf>
    <x:xf numFmtId="0" fontId="7" fillId="0" borderId="79" xfId="0" applyNumberFormat="1" applyFont="1" applyFill="1" applyBorder="1" applyAlignment="1">
      <x:alignment horizontal="center" wrapText="1"/>
    </x:xf>
    <x:xf numFmtId="14" fontId="0" fillId="0" borderId="79" xfId="0" applyNumberFormat="1" applyFont="1" applyFill="1" applyBorder="1" applyAlignment="1">
      <x:alignment horizontal="left" wrapText="1"/>
    </x:xf>
    <x:xf numFmtId="0" fontId="6" fillId="0" borderId="79" xfId="0" applyNumberFormat="1" applyFont="1" applyFill="1" applyBorder="1" applyAlignment="1">
      <x:alignment horizontal="left" wrapText="1"/>
    </x:xf>
    <x:xf numFmtId="0" fontId="0" fillId="0" borderId="84" xfId="0" applyNumberFormat="1" applyFont="1" applyFill="1" applyBorder="1"/>
    <x:xf numFmtId="0" fontId="0" fillId="0" borderId="104" xfId="0" applyNumberFormat="1" applyFont="1" applyFill="1" applyBorder="1"/>
    <x:xf numFmtId="0" fontId="0" fillId="0" borderId="133" xfId="0" applyNumberFormat="1" applyFont="1" applyFill="1" applyBorder="1"/>
    <x:xf numFmtId="0" fontId="0" fillId="0" borderId="134" xfId="0" applyNumberFormat="1" applyFont="1" applyFill="1" applyBorder="1"/>
    <x:xf numFmtId="0" fontId="0" fillId="0" borderId="109" xfId="0" applyNumberFormat="1" applyFont="1" applyFill="1" applyBorder="1"/>
    <x:xf numFmtId="49" fontId="21" fillId="0" borderId="135" xfId="0" applyNumberFormat="1" applyFont="1" applyFill="1" applyBorder="1" applyAlignment="1">
      <x:alignment horizontal="center" vertical="center" wrapText="1"/>
    </x:xf>
    <x:xf numFmtId="49" fontId="18" fillId="0" borderId="136" xfId="0" applyNumberFormat="1" applyFont="1" applyFill="1" applyBorder="1" applyAlignment="1">
      <x:alignment horizontal="right" vertical="top"/>
    </x:xf>
    <x:xf numFmtId="49" fontId="14" fillId="3" borderId="97" xfId="0" applyNumberFormat="1" applyFont="1" applyFill="1" applyBorder="1" applyAlignment="1">
      <x:alignment horizontal="left" vertical="top" wrapText="1"/>
    </x:xf>
    <x:xf numFmtId="0" fontId="0" fillId="0" borderId="81" xfId="0" applyNumberFormat="1" applyFont="1" applyFill="1" applyBorder="1"/>
    <x:xf numFmtId="0" fontId="0" fillId="0" borderId="124" xfId="0" applyNumberFormat="1" applyFont="1" applyFill="1" applyBorder="1"/>
    <x:xf numFmtId="49" fontId="18" fillId="0" borderId="136" xfId="0" applyNumberFormat="1" applyFont="1" applyFill="1" applyBorder="1" applyAlignment="1">
      <x:alignment horizontal="right"/>
    </x:xf>
    <x:xf numFmtId="0" fontId="0" fillId="0" borderId="98" xfId="0" applyNumberFormat="1" applyFont="1" applyFill="1" applyBorder="1"/>
    <x:xf numFmtId="49" fontId="18" fillId="0" borderId="137" xfId="0" applyNumberFormat="1" applyFont="1" applyFill="1" applyBorder="1" applyAlignment="1">
      <x:alignment horizontal="right" vertical="top"/>
    </x:xf>
    <x:xf numFmtId="0" fontId="22" fillId="0" borderId="136" xfId="0" applyNumberFormat="1" applyFont="1" applyFill="1" applyBorder="1" applyAlignment="1">
      <x:alignment horizontal="center" vertical="center" wrapText="1"/>
    </x:xf>
    <x:xf numFmtId="0" fontId="0" fillId="0" borderId="127" xfId="0" applyNumberFormat="1" applyFont="1" applyFill="1" applyBorder="1"/>
    <x:xf numFmtId="49" fontId="18" fillId="0" borderId="138" xfId="0" applyNumberFormat="1" applyFont="1" applyFill="1" applyBorder="1" applyAlignment="1">
      <x:alignment horizontal="right" wrapText="1"/>
    </x:xf>
    <x:xf numFmtId="0" fontId="0" fillId="0" borderId="139" xfId="0" applyNumberFormat="1" applyFont="1" applyFill="1" applyBorder="1"/>
    <x:xf numFmtId="14" fontId="18" fillId="0" borderId="87" xfId="0" applyNumberFormat="1" applyFont="1" applyFill="1" applyBorder="1" applyAlignment="1">
      <x:alignment horizontal="right" vertical="top"/>
    </x:xf>
    <x:xf numFmtId="0" fontId="0" fillId="0" borderId="87" xfId="0" applyNumberFormat="1" applyFont="1" applyFill="1" applyBorder="1"/>
    <x:xf numFmtId="0" fontId="0" fillId="0" borderId="125" xfId="0" applyNumberFormat="1" applyFont="1" applyFill="1" applyBorder="1"/>
    <x:xf numFmtId="49" fontId="20" fillId="6" borderId="140" xfId="0" applyNumberFormat="1" applyFont="1" applyFill="1" applyBorder="1" applyAlignment="1">
      <x:alignment horizontal="center" vertical="center"/>
    </x:xf>
    <x:xf numFmtId="164" fontId="18" fillId="3" borderId="141" xfId="0" applyNumberFormat="1" applyFont="1" applyFill="1" applyBorder="1" applyAlignment="1">
      <x:alignment horizontal="center" vertical="center"/>
    </x:xf>
    <x:xf numFmtId="0" fontId="19" fillId="0" borderId="141" xfId="0" applyNumberFormat="1" applyFont="1" applyFill="1" applyBorder="1" applyAlignment="1">
      <x:alignment horizontal="center" vertical="center"/>
    </x:xf>
    <x:xf numFmtId="49" fontId="20" fillId="6" borderId="142" xfId="0" applyNumberFormat="1" applyFont="1" applyFill="1" applyBorder="1" applyAlignment="1">
      <x:alignment horizontal="center" vertical="center"/>
    </x:xf>
    <x:xf numFmtId="0" fontId="0" fillId="0" borderId="119" xfId="0" applyNumberFormat="1" applyFont="1" applyFill="1" applyBorder="1"/>
    <x:xf numFmtId="0" fontId="0" fillId="0" borderId="121" xfId="0" applyNumberFormat="1" applyFont="1" applyFill="1" applyBorder="1"/>
    <x:xf numFmtId="165" fontId="14" fillId="6" borderId="143" xfId="0" applyNumberFormat="1" applyFont="1" applyFill="1" applyBorder="1" applyAlignment="1">
      <x:alignment horizontal="right" vertical="center"/>
    </x:xf>
    <x:xf numFmtId="165" fontId="14" fillId="6" borderId="144" xfId="0" applyNumberFormat="1" applyFont="1" applyFill="1" applyBorder="1" applyAlignment="1">
      <x:alignment horizontal="right" vertical="center"/>
    </x:xf>
    <x:xf numFmtId="165" fontId="14" fillId="6" borderId="144" xfId="0" applyNumberFormat="1" applyFont="1" applyFill="1" applyBorder="1" applyAlignment="1">
      <x:alignment horizontal="center" vertical="center"/>
    </x:xf>
    <x:xf numFmtId="0" fontId="0" fillId="0" borderId="145" xfId="0" applyNumberFormat="1" applyFont="1" applyFill="1" applyBorder="1"/>
    <x:xf numFmtId="0" fontId="0" fillId="0" borderId="122" xfId="0" applyNumberFormat="1" applyFont="1" applyFill="1" applyBorder="1"/>
    <x:xf numFmtId="0" fontId="0" fillId="0" borderId="132" xfId="0" applyNumberFormat="1" applyFont="1" applyFill="1" applyBorder="1"/>
    <x:xf numFmtId="0" fontId="0" fillId="0" borderId="130" xfId="0" applyNumberFormat="1" applyFont="1" applyFill="1" applyBorder="1"/>
    <x:xf numFmtId="49" fontId="14" fillId="3" borderId="146" xfId="0" applyNumberFormat="1" applyFont="1" applyFill="1" applyBorder="1" applyAlignment="1">
      <x:alignment horizontal="left" vertical="top" wrapText="1"/>
    </x:xf>
    <x:xf numFmtId="0" fontId="0" fillId="0" borderId="147" xfId="0" applyNumberFormat="1" applyFont="1" applyFill="1" applyBorder="1"/>
    <x:xf numFmtId="170" fontId="18" fillId="3" borderId="141" xfId="0" applyNumberFormat="1" applyFont="1" applyFill="1" applyBorder="1" applyAlignment="1">
      <x:alignment horizontal="center" vertical="center"/>
    </x:xf>
    <x:xf numFmtId="0" fontId="0" fillId="0" borderId="148" xfId="0" applyNumberFormat="1" applyFont="1" applyFill="1" applyBorder="1"/>
    <x:xf numFmtId="0" fontId="0" fillId="0" borderId="117" xfId="0" applyNumberFormat="1" applyFont="1" applyFill="1" applyBorder="1"/>
    <x:xf numFmtId="0" fontId="26" fillId="0" borderId="141" xfId="0" applyNumberFormat="1" applyFont="1" applyFill="1" applyBorder="1" applyAlignment="1">
      <x:alignment horizontal="center" vertical="center"/>
    </x:xf>
    <x:xf numFmtId="0" fontId="71" fillId="0" borderId="79" xfId="0" applyNumberFormat="1" applyFont="1" applyFill="1" applyBorder="1" applyAlignment="1">
      <x:alignment horizontal="left" vertical="center"/>
    </x:xf>
    <x:xf numFmtId="0" fontId="72" fillId="0" borderId="79" xfId="0" applyNumberFormat="1" applyFont="1" applyFill="1" applyBorder="1" applyAlignment="1">
      <x:alignment horizontal="right" wrapText="1"/>
    </x:xf>
    <x:xf numFmtId="0" fontId="12" fillId="24" borderId="114" xfId="0" applyNumberFormat="1" applyFont="1" applyFill="1" applyBorder="1" applyAlignment="1">
      <x:alignment horizontal="left" vertical="top" wrapText="1"/>
    </x:xf>
    <x:xf numFmtId="0" fontId="9" fillId="24" borderId="88" xfId="0" applyNumberFormat="1" applyFont="1" applyFill="1" applyBorder="1" applyAlignment="1">
      <x:alignment horizontal="left" vertical="top" wrapText="1"/>
    </x:xf>
    <x:xf numFmtId="0" fontId="12" fillId="24" borderId="88" xfId="0" applyNumberFormat="1" applyFont="1" applyFill="1" applyBorder="1" applyAlignment="1">
      <x:alignment horizontal="left" vertical="top" wrapText="1"/>
    </x:xf>
    <x:xf numFmtId="0" fontId="12" fillId="24" borderId="79" xfId="0" applyNumberFormat="1" applyFont="1" applyFill="1" applyBorder="1" applyAlignment="1">
      <x:alignment horizontal="left" vertical="top" wrapText="1"/>
    </x:xf>
    <x:xf numFmtId="0" fontId="25" fillId="24" borderId="79" xfId="0" applyNumberFormat="1" applyFont="1" applyFill="1" applyBorder="1" applyAlignment="1">
      <x:alignment horizontal="left" vertical="top" wrapText="1"/>
    </x:xf>
    <x:xf numFmtId="14" fontId="12" fillId="24" borderId="79" xfId="0" applyNumberFormat="1" applyFont="1" applyFill="1" applyBorder="1" applyAlignment="1">
      <x:alignment horizontal="left" vertical="top" wrapText="1"/>
    </x:xf>
    <x:xf numFmtId="0" fontId="44" fillId="0" borderId="0" xfId="0" applyNumberFormat="1" applyFont="1" applyFill="1" applyBorder="1" applyAlignment="1">
      <x:alignment horizontal="justify" vertical="top" wrapText="1"/>
    </x:xf>
    <x:xf numFmtId="0" fontId="0" fillId="0" borderId="0" xfId="0" applyNumberFormat="1" applyFont="1" applyFill="1" applyBorder="1" applyAlignment="1">
      <x:alignment wrapText="1"/>
    </x:xf>
  </x:cellXfs>
  <x:cellStyles count="11">
    <x:cellStyle name="Normal" xfId="0"/>
    <x:cellStyle name="Normal 4" xfId="1"/>
    <x:cellStyle name="Percent 3" xfId="2"/>
    <x:cellStyle name="Normal 2" xfId="3"/>
    <x:cellStyle name="Normal 3" xfId="4"/>
    <x:cellStyle name="Normal 2 2" xfId="5"/>
    <x:cellStyle name="Normal 5" xfId="6"/>
    <x:cellStyle name="Normal 3 2" xfId="7"/>
    <x:cellStyle name="Normal 2 3" xfId="8"/>
    <x:cellStyle name="Hyperlink" xfId="9"/>
    <x:cellStyle name="Normal 6" xfId="10"/>
  </x:cellStyles>
  <x:dxfs count="3">
    <x:dxf>
      <x:fill>
        <x:patternFill>
          <x:bgColor rgb="FFBDD7EE"/>
        </x:patternFill>
      </x:fill>
    </x:dxf>
    <x:dxf>
      <x:fill>
        <x:patternFill>
          <x:bgColor rgb="FFC6EFCE"/>
        </x:patternFill>
      </x:fill>
    </x:dxf>
    <x:dxf>
      <x:fill>
        <x:patternFill>
          <x:bgColor rgb="FFC6EF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da1530ed6d74a75" /><Relationship Type="http://schemas.openxmlformats.org/officeDocument/2006/relationships/theme" Target="/xl/theme/theme1.xml" Id="R518cee2796c243f1" /><Relationship Type="http://schemas.openxmlformats.org/officeDocument/2006/relationships/sharedStrings" Target="/xl/sharedStrings.xml" Id="R0b2189b261c84479" /><Relationship Type="http://schemas.openxmlformats.org/officeDocument/2006/relationships/worksheet" Target="/xl/worksheets/sheet1.xml" Id="R9c972c2b7cf14d32" /><Relationship Type="http://schemas.openxmlformats.org/officeDocument/2006/relationships/worksheet" Target="/xl/worksheets/sheet2.xml" Id="R13a53b850be343d6" /><Relationship Type="http://schemas.openxmlformats.org/officeDocument/2006/relationships/worksheet" Target="/xl/worksheets/sheet3.xml" Id="Re7baabf57c8d4788" /><Relationship Type="http://schemas.openxmlformats.org/officeDocument/2006/relationships/worksheet" Target="/xl/worksheets/sheet4.xml" Id="R76d20f98167e49b2" /><Relationship Type="http://schemas.openxmlformats.org/officeDocument/2006/relationships/worksheet" Target="/xl/worksheets/sheet5.xml" Id="Rf45ad52bb75e4ca7" /><Relationship Type="http://schemas.openxmlformats.org/officeDocument/2006/relationships/worksheet" Target="/xl/worksheets/sheet6.xml" Id="Rde0c50bafc8b4882" /><Relationship Type="http://schemas.openxmlformats.org/officeDocument/2006/relationships/worksheet" Target="/xl/worksheets/sheet7.xml" Id="Rf7d5e495c146498f" /><Relationship Type="http://schemas.openxmlformats.org/officeDocument/2006/relationships/worksheet" Target="/xl/worksheets/sheet8.xml" Id="R0b0026de40b2444d" /><Relationship Type="http://schemas.openxmlformats.org/officeDocument/2006/relationships/worksheet" Target="/xl/worksheets/sheet9.xml" Id="R2e0073c76af845e1" /><Relationship Type="http://schemas.openxmlformats.org/officeDocument/2006/relationships/worksheet" Target="/xl/worksheets/sheet10.xml" Id="Rcba822fafbe64555" /><Relationship Type="http://schemas.openxmlformats.org/officeDocument/2006/relationships/worksheet" Target="/xl/worksheets/sheet11.xml" Id="R50a9290ac2354195" /><Relationship Type="http://schemas.openxmlformats.org/officeDocument/2006/relationships/worksheet" Target="/xl/worksheets/sheet12.xml" Id="R1fc07238bcc14b9f" /><Relationship Type="http://schemas.openxmlformats.org/officeDocument/2006/relationships/worksheet" Target="/xl/worksheets/sheet13.xml" Id="R671bfe58bce44320" /><Relationship Type="http://schemas.openxmlformats.org/officeDocument/2006/relationships/worksheet" Target="/xl/worksheets/sheet14.xml" Id="Ra596843f84754a47" /><Relationship Type="http://schemas.openxmlformats.org/officeDocument/2006/relationships/worksheet" Target="/xl/worksheets/sheet15.xml" Id="Ra8899e7eb7a84e1d" /><Relationship Type="http://schemas.openxmlformats.org/officeDocument/2006/relationships/worksheet" Target="/xl/worksheets/sheet16.xml" Id="R4483d89294594530" /><Relationship Type="http://schemas.openxmlformats.org/officeDocument/2006/relationships/worksheet" Target="/xl/worksheets/sheet17.xml" Id="R7c07e5158afa4ebe" /><Relationship Type="http://schemas.openxmlformats.org/officeDocument/2006/relationships/worksheet" Target="/xl/worksheets/sheet18.xml" Id="R4d06b7d47fcd4ca5" /><Relationship Type="http://schemas.openxmlformats.org/officeDocument/2006/relationships/worksheet" Target="/xl/worksheets/sheet19.xml" Id="R2100fcac27354840" /><Relationship Type="http://schemas.openxmlformats.org/officeDocument/2006/relationships/worksheet" Target="/xl/worksheets/sheet20.xml" Id="Ra093fbb9c9814eaf" /><Relationship Type="http://schemas.openxmlformats.org/officeDocument/2006/relationships/worksheet" Target="/xl/worksheets/sheet21.xml" Id="R47bd8913deb24dda" /><Relationship Type="http://schemas.microsoft.com/office/2017/10/relationships/person" Target="/xl/persons/person.xml" Id="R96f85bd064da4c3c" /></Relationships>
</file>

<file path=xl/persons/person.xml><?xml version="1.0" encoding="utf-8"?>
<xltc:personList xmlns:xltc="http://schemas.microsoft.com/office/spreadsheetml/2018/threadedcomments">
  <xltc:person displayName="cursor" id="{C6E1070F-A9E1-B722-508E-301740FC5705}"/>
  <xltc:person displayName="Ryan Gille" id="{2473F46C-E3F0-DBC9-4236-A8974AF8FC75}"/>
</xl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ColWidth="8.42578125" defaultRowHeight="12.75"/>
  <x:cols>
    <x:col min="1" max="1" width="2.42578125" style="134" customWidth="1"/>
    <x:col min="2" max="33" width="2.85546875" style="134" customWidth="1"/>
    <x:col min="34" max="34" width="2.42578125" style="134" customWidth="1"/>
    <x:col min="35" max="16384" width="8.42578125" style="134" customWidth="1"/>
  </x:cols>
  <x:sheetData>
    <x:row r="1" s="569" customFormat="1" ht="105" customHeight="1">
      <x:c r="A1" s="458" t="n"/>
    </x:row>
    <x:row r="2" s="569" customFormat="1" ht="8.25" customHeight="1">
      <x:c r="A2" s="135" t="n"/>
      <x:c r="B2" s="135" t="n"/>
      <x:c r="C2" s="135" t="n"/>
      <x:c r="D2" s="135" t="n"/>
      <x:c r="E2" s="135" t="n"/>
      <x:c r="F2" s="135" t="n"/>
      <x:c r="G2" s="135" t="n"/>
      <x:c r="H2" s="135" t="n"/>
      <x:c r="I2" s="135" t="n"/>
      <x:c r="J2" s="135" t="n"/>
      <x:c r="K2" s="135" t="n"/>
      <x:c r="L2" s="135" t="n"/>
      <x:c r="M2" s="135" t="n"/>
      <x:c r="N2" s="135" t="n"/>
      <x:c r="O2" s="135" t="n"/>
      <x:c r="P2" s="135" t="n"/>
      <x:c r="Q2" s="135" t="n"/>
      <x:c r="R2" s="135" t="n"/>
      <x:c r="S2" s="135" t="n"/>
      <x:c r="T2" s="135" t="n"/>
      <x:c r="U2" s="135" t="n"/>
      <x:c r="V2" s="135" t="n"/>
      <x:c r="W2" s="135" t="n"/>
      <x:c r="X2" s="135" t="n"/>
      <x:c r="Y2" s="135" t="n"/>
      <x:c r="Z2" s="135" t="n"/>
      <x:c r="AA2" s="135" t="n"/>
      <x:c r="AB2" s="135" t="n"/>
      <x:c r="AC2" s="135" t="n"/>
      <x:c r="AD2" s="135" t="n"/>
      <x:c r="AE2" s="135" t="n"/>
      <x:c r="AF2" s="135" t="n"/>
      <x:c r="AG2" s="135" t="n"/>
      <x:c r="AH2" s="135" t="n"/>
    </x:row>
    <x:row r="3" s="569" customFormat="1" ht="21" customHeight="1">
      <x:c r="A3" s="135" t="n"/>
      <x:c r="B3" s="135" t="n"/>
      <x:c r="D3" s="444" t="inlineStr">
        <x:is>
          <x:t xml:space="preserve">Prospect Name/Number:</x:t>
        </x:is>
      </x:c>
      <x:c r="P3" s="137" t="n"/>
      <x:c r="Q3" s="459" t="inlineStr">
        <x:is>
          <x:t xml:space="preserve">25-004</x:t>
        </x:is>
      </x:c>
      <x:c r="R3" s="589" t="n"/>
      <x:c r="S3" s="589" t="n"/>
      <x:c r="T3" s="589" t="n"/>
      <x:c r="U3" s="589" t="n"/>
      <x:c r="V3" s="589" t="n"/>
      <x:c r="W3" s="589" t="n"/>
      <x:c r="X3" s="589" t="n"/>
      <x:c r="Y3" s="589" t="n"/>
      <x:c r="Z3" s="589" t="n"/>
      <x:c r="AA3" s="589" t="n"/>
      <x:c r="AB3" s="589" t="n"/>
      <x:c r="AC3" s="589" t="n"/>
      <x:c r="AD3" s="589" t="n"/>
      <x:c r="AE3" s="589" t="n"/>
      <x:c r="AF3" s="589" t="n"/>
    </x:row>
    <x:row r="4" s="569" customFormat="1" ht="8.25" customHeight="1">
      <x:c r="A4" s="138" t="n"/>
      <x:c r="B4" s="139" t="n"/>
      <x:c r="C4" s="139" t="n"/>
      <x:c r="D4" s="139" t="n"/>
      <x:c r="E4" s="139" t="n"/>
      <x:c r="F4" s="139" t="n"/>
      <x:c r="G4" s="139" t="n"/>
      <x:c r="H4" s="139" t="n"/>
      <x:c r="I4" s="139" t="n"/>
      <x:c r="J4" s="139" t="n"/>
      <x:c r="K4" s="139" t="n"/>
      <x:c r="L4" s="139" t="n"/>
      <x:c r="M4" s="139" t="n"/>
      <x:c r="N4" s="139" t="n"/>
      <x:c r="O4" s="139" t="n"/>
      <x:c r="P4" s="139" t="n"/>
      <x:c r="Q4" s="139" t="n"/>
      <x:c r="R4" s="139" t="n"/>
      <x:c r="S4" s="139" t="n"/>
      <x:c r="T4" s="139" t="n"/>
      <x:c r="U4" s="139" t="n"/>
      <x:c r="V4" s="139" t="n"/>
      <x:c r="W4" s="139" t="n"/>
      <x:c r="X4" s="139" t="n"/>
      <x:c r="Y4" s="139" t="n"/>
      <x:c r="Z4" s="139" t="n"/>
      <x:c r="AA4" s="139" t="n"/>
      <x:c r="AB4" s="139" t="n"/>
      <x:c r="AC4" s="139" t="n"/>
      <x:c r="AD4" s="139" t="n"/>
      <x:c r="AE4" s="139" t="n"/>
      <x:c r="AF4" s="139" t="n"/>
      <x:c r="AG4" s="139" t="n"/>
      <x:c r="AH4" s="138" t="n"/>
    </x:row>
    <x:row r="5" s="569" customFormat="1" ht="21" customHeight="1">
      <x:c r="A5" s="138" t="n"/>
      <x:c r="B5" s="139" t="n"/>
      <x:c r="C5" s="444" t="inlineStr">
        <x:is>
          <x:t xml:space="preserve">Section</x:t>
        </x:is>
      </x:c>
      <x:c r="H5" s="590" t="n">
        <x:v>31</x:v>
      </x:c>
      <x:c r="I5" s="591" t="n"/>
      <x:c r="J5" s="591" t="n"/>
      <x:c r="K5" s="591" t="n"/>
      <x:c r="L5" s="444" t="inlineStr">
        <x:is>
          <x:t xml:space="preserve">Township</x:t>
        </x:is>
      </x:c>
      <x:c r="R5" s="461" t="inlineStr">
        <x:is>
          <x:t xml:space="preserve">12N</x:t>
        </x:is>
      </x:c>
      <x:c r="S5" s="591" t="n"/>
      <x:c r="T5" s="591" t="n"/>
      <x:c r="U5" s="591" t="n"/>
      <x:c r="V5" s="591" t="n"/>
      <x:c r="W5" s="591" t="n"/>
      <x:c r="X5" s="140" t="n"/>
      <x:c r="Y5" s="444" t="inlineStr">
        <x:is>
          <x:t xml:space="preserve">Range</x:t>
        </x:is>
      </x:c>
      <x:c r="AC5" s="461" t="inlineStr">
        <x:is>
          <x:t xml:space="preserve">24W</x:t>
        </x:is>
      </x:c>
      <x:c r="AD5" s="591" t="n"/>
      <x:c r="AE5" s="591" t="n"/>
      <x:c r="AF5" s="591" t="n"/>
      <x:c r="AG5" s="591" t="n"/>
      <x:c r="AH5" s="140" t="n"/>
    </x:row>
    <x:row r="6" s="569" customFormat="1" ht="8.25" customHeight="1">
      <x:c r="A6" s="138" t="n"/>
      <x:c r="B6" s="139" t="n"/>
      <x:c r="C6" s="139" t="n"/>
      <x:c r="D6" s="139" t="n"/>
      <x:c r="E6" s="139" t="n"/>
      <x:c r="F6" s="139" t="n"/>
      <x:c r="G6" s="139" t="n"/>
      <x:c r="H6" s="139" t="n"/>
      <x:c r="I6" s="139" t="n"/>
      <x:c r="J6" s="139" t="n"/>
      <x:c r="K6" s="139" t="n"/>
      <x:c r="L6" s="139" t="n"/>
      <x:c r="M6" s="139" t="n"/>
      <x:c r="N6" s="139" t="n"/>
      <x:c r="O6" s="139" t="n"/>
      <x:c r="P6" s="139" t="n"/>
      <x:c r="Q6" s="139" t="n"/>
      <x:c r="R6" s="139" t="n"/>
      <x:c r="S6" s="139" t="n"/>
      <x:c r="T6" s="139" t="n"/>
      <x:c r="U6" s="139" t="n"/>
      <x:c r="V6" s="139" t="n"/>
      <x:c r="W6" s="139" t="n"/>
      <x:c r="X6" s="139" t="n"/>
      <x:c r="Y6" s="139" t="n"/>
      <x:c r="Z6" s="139" t="n"/>
      <x:c r="AA6" s="139" t="n"/>
      <x:c r="AB6" s="139" t="n"/>
      <x:c r="AC6" s="139" t="n"/>
      <x:c r="AD6" s="139" t="n"/>
      <x:c r="AE6" s="139" t="n"/>
      <x:c r="AF6" s="139" t="n"/>
      <x:c r="AG6" s="139" t="n"/>
      <x:c r="AH6" s="138" t="n"/>
    </x:row>
    <x:row r="7" s="569" customFormat="1" ht="21" customHeight="1">
      <x:c r="A7" s="138" t="n"/>
      <x:c r="D7" s="444" t="inlineStr">
        <x:is>
          <x:t xml:space="preserve">County</x:t>
        </x:is>
      </x:c>
      <x:c r="H7" s="445" t="inlineStr">
        <x:is>
          <x:t xml:space="preserve">Roger Mills</x:t>
        </x:is>
      </x:c>
      <x:c r="I7" s="589" t="n"/>
      <x:c r="J7" s="589" t="n"/>
      <x:c r="K7" s="589" t="n"/>
      <x:c r="L7" s="589" t="n"/>
      <x:c r="M7" s="589" t="n"/>
      <x:c r="N7" s="589" t="n"/>
      <x:c r="O7" s="589" t="n"/>
      <x:c r="P7" s="444" t="n"/>
      <x:c r="Q7" s="444" t="n"/>
      <x:c r="R7" s="444" t="n"/>
      <x:c r="S7" s="444" t="n"/>
      <x:c r="T7" s="444" t="n"/>
      <x:c r="U7" s="444" t="inlineStr">
        <x:is>
          <x:t xml:space="preserve">State</x:t>
        </x:is>
      </x:c>
      <x:c r="X7" s="445" t="inlineStr">
        <x:is>
          <x:t xml:space="preserve">Oklahoma</x:t>
        </x:is>
      </x:c>
      <x:c r="Y7" s="589" t="n"/>
      <x:c r="Z7" s="589" t="n"/>
      <x:c r="AA7" s="589" t="n"/>
      <x:c r="AB7" s="589" t="n"/>
      <x:c r="AC7" s="589" t="n"/>
      <x:c r="AD7" s="589" t="n"/>
      <x:c r="AE7" s="589" t="n"/>
      <x:c r="AF7" s="589" t="n"/>
      <x:c r="AG7" s="444" t="n"/>
      <x:c r="AH7" s="444" t="n"/>
    </x:row>
    <x:row r="8" s="569" customFormat="1" ht="8.25" customHeight="1">
      <x:c r="A8" s="138" t="n"/>
      <x:c r="B8" s="138" t="n"/>
      <x:c r="C8" s="138" t="n"/>
      <x:c r="D8" s="138" t="n"/>
      <x:c r="E8" s="138" t="n"/>
      <x:c r="F8" s="138" t="n"/>
      <x:c r="G8" s="138" t="n"/>
      <x:c r="H8" s="138" t="n"/>
      <x:c r="I8" s="138" t="n"/>
      <x:c r="J8" s="138" t="n"/>
      <x:c r="K8" s="138" t="n"/>
      <x:c r="L8" s="138" t="n"/>
      <x:c r="M8" s="138" t="n"/>
      <x:c r="N8" s="138" t="n"/>
      <x:c r="O8" s="138" t="n"/>
      <x:c r="P8" s="138" t="n"/>
      <x:c r="Q8" s="138" t="n"/>
      <x:c r="R8" s="138" t="n"/>
      <x:c r="S8" s="138" t="n"/>
      <x:c r="T8" s="138" t="n"/>
      <x:c r="U8" s="138" t="n"/>
      <x:c r="V8" s="138" t="n"/>
      <x:c r="W8" s="138" t="n"/>
      <x:c r="X8" s="138" t="n"/>
      <x:c r="Y8" s="138" t="n"/>
      <x:c r="Z8" s="138" t="n"/>
      <x:c r="AA8" s="138" t="n"/>
      <x:c r="AB8" s="138" t="n"/>
      <x:c r="AC8" s="138" t="n"/>
      <x:c r="AD8" s="138" t="n"/>
      <x:c r="AE8" s="138" t="n"/>
      <x:c r="AF8" s="138" t="n"/>
      <x:c r="AG8" s="138" t="n"/>
      <x:c r="AH8" s="138" t="n"/>
    </x:row>
    <x:row r="9" s="569" customFormat="1" ht="21" customHeight="1">
      <x:c r="B9" s="446" t="inlineStr">
        <x:is>
          <x:t xml:space="preserve">Containing 637.42 acres, more or less</x:t>
        </x:is>
      </x:c>
      <x:c r="C9" s="592" t="n"/>
      <x:c r="D9" s="592" t="n"/>
      <x:c r="E9" s="592" t="n"/>
      <x:c r="F9" s="592" t="n"/>
      <x:c r="G9" s="592" t="n"/>
      <x:c r="H9" s="592" t="n"/>
      <x:c r="I9" s="592" t="n"/>
      <x:c r="J9" s="592" t="n"/>
      <x:c r="K9" s="592" t="n"/>
      <x:c r="L9" s="592" t="n"/>
      <x:c r="M9" s="592" t="n"/>
      <x:c r="N9" s="592" t="n"/>
      <x:c r="O9" s="592" t="n"/>
      <x:c r="P9" s="592" t="n"/>
      <x:c r="Q9" s="592" t="n"/>
      <x:c r="R9" s="592" t="n"/>
      <x:c r="S9" s="592" t="n"/>
      <x:c r="T9" s="592" t="n"/>
      <x:c r="U9" s="592" t="n"/>
      <x:c r="V9" s="592" t="n"/>
      <x:c r="W9" s="592" t="n"/>
      <x:c r="X9" s="592" t="n"/>
      <x:c r="Y9" s="592" t="n"/>
      <x:c r="Z9" s="592" t="n"/>
      <x:c r="AA9" s="592" t="n"/>
      <x:c r="AB9" s="592" t="n"/>
      <x:c r="AC9" s="592" t="n"/>
      <x:c r="AD9" s="592" t="n"/>
      <x:c r="AE9" s="592" t="n"/>
      <x:c r="AF9" s="592" t="n"/>
      <x:c r="AG9" s="592" t="n"/>
      <x:c r="AH9" s="141" t="n"/>
    </x:row>
    <x:row r="10" s="569" customFormat="1" ht="7.5" customHeight="1">
      <x:c r="A10" s="138" t="inlineStr">
        <x:is>
          <x:t xml:space="preserve">Report date</x:t>
        </x:is>
      </x:c>
      <x:c r="B10" s="142" t="inlineStr">
        <x:is>
          <x:t xml:space="preserve">July 3, 2026</x:t>
        </x:is>
      </x:c>
      <x:c r="C10" s="143" t="n"/>
      <x:c r="D10" s="143" t="n"/>
      <x:c r="E10" s="143" t="n"/>
      <x:c r="F10" s="143" t="n"/>
      <x:c r="G10" s="144" t="n"/>
      <x:c r="H10" s="144" t="n"/>
      <x:c r="I10" s="144" t="n"/>
      <x:c r="J10" s="144" t="n"/>
      <x:c r="K10" s="138" t="n"/>
      <x:c r="L10" s="138" t="n"/>
      <x:c r="M10" s="138" t="n"/>
      <x:c r="N10" s="138" t="n"/>
      <x:c r="O10" s="138" t="n"/>
      <x:c r="P10" s="138" t="n"/>
      <x:c r="Q10" s="138" t="n"/>
      <x:c r="R10" s="138" t="n"/>
      <x:c r="S10" s="138" t="n"/>
      <x:c r="T10" s="138" t="n"/>
      <x:c r="U10" s="138" t="n"/>
      <x:c r="V10" s="138" t="n"/>
      <x:c r="W10" s="138" t="n"/>
      <x:c r="X10" s="138" t="n"/>
      <x:c r="Y10" s="138" t="n"/>
      <x:c r="Z10" s="138" t="n"/>
      <x:c r="AA10" s="138" t="n"/>
      <x:c r="AB10" s="138" t="n"/>
      <x:c r="AC10" s="138" t="n"/>
      <x:c r="AD10" s="138" t="n"/>
      <x:c r="AE10" s="138" t="n"/>
      <x:c r="AF10" s="138" t="n"/>
      <x:c r="AG10" s="138" t="n"/>
      <x:c r="AH10" s="138" t="n"/>
    </x:row>
    <x:row r="11" s="569" customFormat="1" ht="15" customHeight="1">
      <x:c r="A11" s="145" t="inlineStr">
        <x:is>
          <x:t xml:space="preserve">Status</x:t>
        </x:is>
      </x:c>
      <x:c r="B11" s="146" t="str">
        <x:v>Cursory turn-in — open tract balances disclosed; HBP carried per client direction / OGL sheet numbers; image/OCC/OTC proof not required for this cursory update; recalculate in Excel (Ctrl+Alt+F9) before distribution</x:v>
      </x:c>
      <x:c r="C11" s="146" t="n"/>
      <x:c r="D11" s="146" t="n"/>
      <x:c r="E11" s="146" t="n"/>
      <x:c r="F11" s="147" t="n"/>
      <x:c r="G11" s="148" t="n"/>
      <x:c r="H11" s="148" t="n"/>
      <x:c r="I11" s="149" t="n"/>
      <x:c r="J11" s="150" t="n"/>
      <x:c r="K11" s="150" t="n"/>
      <x:c r="L11" s="150" t="n"/>
      <x:c r="M11" s="150" t="n"/>
      <x:c r="N11" s="150" t="n"/>
      <x:c r="O11" s="150" t="n"/>
      <x:c r="P11" s="150" t="n"/>
      <x:c r="Q11" s="151" t="n"/>
      <x:c r="R11" s="152" t="n"/>
      <x:c r="S11" s="152" t="n"/>
      <x:c r="T11" s="152" t="n"/>
      <x:c r="U11" s="152" t="n"/>
      <x:c r="V11" s="152" t="n"/>
      <x:c r="W11" s="152" t="n"/>
      <x:c r="X11" s="152" t="n"/>
      <x:c r="Y11" s="152" t="n"/>
      <x:c r="Z11" s="152" t="n"/>
      <x:c r="AA11" s="152" t="n"/>
      <x:c r="AB11" s="152" t="n"/>
      <x:c r="AC11" s="152" t="n"/>
      <x:c r="AD11" s="152" t="n"/>
      <x:c r="AE11" s="152" t="n"/>
      <x:c r="AF11" s="152" t="n"/>
      <x:c r="AG11" s="153" t="n"/>
    </x:row>
    <x:row r="12" s="569" customFormat="1" ht="15" customHeight="1">
      <x:c r="A12" s="145" t="inlineStr">
        <x:is>
          <x:t xml:space="preserve">County index</x:t>
        </x:is>
      </x:c>
      <x:c r="B12" s="146" t="inlineStr">
        <x:is>
          <x:t xml:space="preserve">12N 24W 31 Index PDF (through 05/05/2026)</x:t>
        </x:is>
      </x:c>
      <x:c r="C12" s="146" t="n"/>
      <x:c r="D12" s="146" t="n"/>
      <x:c r="E12" s="146" t="n"/>
      <x:c r="F12" s="147" t="n"/>
      <x:c r="G12" s="154" t="n"/>
      <x:c r="H12" s="155" t="n"/>
      <x:c r="I12" s="156" t="n"/>
      <x:c r="J12" s="157" t="n"/>
      <x:c r="K12" s="157" t="n"/>
      <x:c r="L12" s="157" t="n"/>
      <x:c r="M12" s="157" t="n"/>
      <x:c r="N12" s="158" t="n"/>
      <x:c r="O12" s="158" t="n"/>
      <x:c r="P12" s="158" t="n"/>
      <x:c r="Q12" s="159" t="n"/>
      <x:c r="R12" s="160" t="n"/>
      <x:c r="S12" s="160" t="n"/>
      <x:c r="T12" s="160" t="n"/>
      <x:c r="U12" s="160" t="n"/>
      <x:c r="V12" s="160" t="n"/>
      <x:c r="W12" s="160" t="n"/>
      <x:c r="X12" s="160" t="n"/>
      <x:c r="Y12" s="160" t="n"/>
      <x:c r="Z12" s="160" t="n"/>
      <x:c r="AA12" s="160" t="n"/>
      <x:c r="AB12" s="160" t="n"/>
      <x:c r="AC12" s="160" t="n"/>
      <x:c r="AD12" s="160" t="n"/>
      <x:c r="AE12" s="160" t="n"/>
      <x:c r="AF12" s="160" t="n"/>
      <x:c r="AG12" s="161" t="n"/>
    </x:row>
    <x:row r="13" s="569" customFormat="1" ht="15" customHeight="1">
      <x:c r="A13" s="145" t="inlineStr">
        <x:is>
          <x:t xml:space="preserve">Limitation</x:t>
        </x:is>
      </x:c>
      <x:c r="B13" s="448" t="inlineStr">
        <x:is>
          <x:t xml:space="preserve">Cursory package only — NOT certified title. Supported NMA and open balances shown separately.</x:t>
        </x:is>
      </x:c>
      <x:c r="C13" s="146" t="n"/>
      <x:c r="D13" s="146" t="n"/>
      <x:c r="E13" s="146" t="n"/>
      <x:c r="F13" s="147" t="n"/>
      <x:c r="G13" s="163" t="n"/>
      <x:c r="H13" s="155" t="n"/>
      <x:c r="I13" s="156" t="n"/>
      <x:c r="J13" s="157" t="n"/>
      <x:c r="K13" s="157" t="n"/>
      <x:c r="L13" s="157" t="n"/>
      <x:c r="M13" s="157" t="n"/>
      <x:c r="N13" s="158" t="n"/>
      <x:c r="O13" s="158" t="n"/>
      <x:c r="P13" s="158" t="n"/>
      <x:c r="Q13" s="159" t="n"/>
      <x:c r="R13" s="160" t="n"/>
      <x:c r="S13" s="160" t="n"/>
      <x:c r="T13" s="160" t="n"/>
      <x:c r="U13" s="160" t="n"/>
      <x:c r="V13" s="160" t="n"/>
      <x:c r="W13" s="160" t="n"/>
      <x:c r="X13" s="160" t="n"/>
      <x:c r="Y13" s="160" t="n"/>
      <x:c r="Z13" s="160" t="n"/>
      <x:c r="AA13" s="160" t="n"/>
      <x:c r="AB13" s="160" t="n"/>
      <x:c r="AC13" s="160" t="n"/>
      <x:c r="AD13" s="160" t="n"/>
      <x:c r="AE13" s="160" t="n"/>
      <x:c r="AF13" s="160" t="n"/>
      <x:c r="AG13" s="161" t="n"/>
    </x:row>
    <x:row r="14" s="569" customFormat="1" ht="15" customHeight="1">
      <x:c r="A14" s="145" t="n"/>
      <x:c r="B14" s="449" t="inlineStr">
        <x:is>
          <x:t xml:space="preserve">Tract 6</x:t>
        </x:is>
      </x:c>
      <x:c r="F14" s="593" t="n"/>
      <x:c r="G14" s="163" t="n"/>
      <x:c r="H14" s="155" t="n"/>
      <x:c r="I14" s="156" t="n"/>
      <x:c r="J14" s="164" t="n"/>
      <x:c r="K14" s="157" t="n"/>
      <x:c r="L14" s="158" t="n"/>
      <x:c r="M14" s="158" t="n"/>
      <x:c r="N14" s="158" t="n"/>
      <x:c r="O14" s="158" t="n"/>
      <x:c r="P14" s="158" t="n"/>
      <x:c r="Q14" s="159" t="n"/>
      <x:c r="R14" s="160" t="n"/>
      <x:c r="S14" s="160" t="n"/>
      <x:c r="T14" s="160" t="n"/>
      <x:c r="U14" s="160" t="n"/>
      <x:c r="V14" s="165" t="n"/>
      <x:c r="W14" s="166" t="n"/>
      <x:c r="X14" s="160" t="n"/>
      <x:c r="Y14" s="160" t="inlineStr">
        <x:is>
          <x:t xml:space="preserve">Tract 1</x:t>
        </x:is>
      </x:c>
      <x:c r="Z14" s="160" t="n"/>
      <x:c r="AA14" s="160" t="n"/>
      <x:c r="AB14" s="160" t="n"/>
      <x:c r="AC14" s="160" t="n"/>
      <x:c r="AD14" s="165" t="n"/>
      <x:c r="AE14" s="166" t="n"/>
      <x:c r="AF14" s="160" t="n"/>
      <x:c r="AG14" s="161" t="n"/>
    </x:row>
    <x:row r="15" s="569" customFormat="1" ht="15" customHeight="1">
      <x:c r="A15" s="145" t="n"/>
      <x:c r="B15" s="448" t="n"/>
      <x:c r="C15" s="146" t="n"/>
      <x:c r="D15" s="450" t="n"/>
      <x:c r="E15" s="450" t="n"/>
      <x:c r="F15" s="147" t="n"/>
      <x:c r="G15" s="163" t="n"/>
      <x:c r="H15" s="155" t="n"/>
      <x:c r="I15" s="156" t="n"/>
      <x:c r="J15" s="168" t="n"/>
      <x:c r="K15" s="168" t="n"/>
      <x:c r="L15" s="158" t="n"/>
      <x:c r="M15" s="158" t="n"/>
      <x:c r="N15" s="158" t="n"/>
      <x:c r="O15" s="158" t="n"/>
      <x:c r="P15" s="158" t="n"/>
      <x:c r="Q15" s="159" t="n"/>
      <x:c r="R15" s="160" t="n"/>
      <x:c r="S15" s="160" t="n"/>
      <x:c r="T15" s="160" t="n"/>
      <x:c r="U15" s="160" t="n"/>
      <x:c r="V15" s="166" t="n"/>
      <x:c r="W15" s="166" t="n"/>
      <x:c r="X15" s="160" t="n"/>
      <x:c r="Y15" s="160" t="n"/>
      <x:c r="Z15" s="160" t="n"/>
      <x:c r="AA15" s="160" t="n"/>
      <x:c r="AB15" s="160" t="n"/>
      <x:c r="AC15" s="160" t="n"/>
      <x:c r="AD15" s="166" t="n"/>
      <x:c r="AE15" s="166" t="n"/>
      <x:c r="AF15" s="160" t="n"/>
      <x:c r="AG15" s="161" t="n"/>
    </x:row>
    <x:row r="16" s="569" customFormat="1" ht="15" customHeight="1">
      <x:c r="A16" s="145" t="n"/>
      <x:c r="B16" s="448" t="n"/>
      <x:c r="C16" s="146" t="n"/>
      <x:c r="D16" s="146" t="n"/>
      <x:c r="E16" s="146" t="n"/>
      <x:c r="F16" s="147" t="n"/>
      <x:c r="G16" s="163" t="n"/>
      <x:c r="H16" s="155" t="n"/>
      <x:c r="I16" s="156" t="n"/>
      <x:c r="J16" s="158" t="n"/>
      <x:c r="K16" s="168" t="n"/>
      <x:c r="L16" s="158" t="n"/>
      <x:c r="M16" s="158" t="n"/>
      <x:c r="N16" s="158" t="n"/>
      <x:c r="O16" s="158" t="n"/>
      <x:c r="P16" s="158" t="n"/>
      <x:c r="Q16" s="159" t="n"/>
      <x:c r="R16" s="160" t="n"/>
      <x:c r="S16" s="160" t="n"/>
      <x:c r="T16" s="160" t="n"/>
      <x:c r="U16" s="160" t="n"/>
      <x:c r="V16" s="160" t="n"/>
      <x:c r="W16" s="160" t="n"/>
      <x:c r="X16" s="160" t="n"/>
      <x:c r="Y16" s="160" t="n"/>
      <x:c r="Z16" s="160" t="n"/>
      <x:c r="AA16" s="160" t="n"/>
      <x:c r="AB16" s="160" t="n"/>
      <x:c r="AC16" s="160" t="n"/>
      <x:c r="AD16" s="160" t="n"/>
      <x:c r="AE16" s="160" t="n"/>
      <x:c r="AF16" s="160" t="n"/>
      <x:c r="AG16" s="161" t="n"/>
    </x:row>
    <x:row r="17" s="569" customFormat="1" ht="15" customHeight="1">
      <x:c r="A17" s="145" t="n"/>
      <x:c r="B17" s="448" t="n"/>
      <x:c r="C17" s="146" t="n"/>
      <x:c r="D17" s="146" t="n"/>
      <x:c r="E17" s="453" t="n"/>
      <x:c r="F17" s="594" t="n"/>
      <x:c r="G17" s="154" t="n"/>
      <x:c r="H17" s="155" t="n"/>
      <x:c r="I17" s="156" t="n"/>
      <x:c r="J17" s="158" t="n"/>
      <x:c r="K17" s="158" t="n"/>
      <x:c r="L17" s="158" t="n"/>
      <x:c r="M17" s="158" t="n"/>
      <x:c r="N17" s="158" t="n"/>
      <x:c r="O17" s="158" t="n"/>
      <x:c r="P17" s="158" t="n"/>
      <x:c r="Q17" s="159" t="n"/>
      <x:c r="R17" s="166" t="n"/>
      <x:c r="S17" s="160" t="n"/>
      <x:c r="T17" s="160" t="n"/>
      <x:c r="U17" s="160" t="n"/>
      <x:c r="V17" s="166" t="n"/>
      <x:c r="W17" s="166" t="n"/>
      <x:c r="X17" s="166" t="n"/>
      <x:c r="Y17" s="166" t="n"/>
      <x:c r="Z17" s="160" t="n"/>
      <x:c r="AA17" s="160" t="n"/>
      <x:c r="AB17" s="160" t="n"/>
      <x:c r="AC17" s="160" t="n"/>
      <x:c r="AD17" s="166" t="n"/>
      <x:c r="AE17" s="166" t="n"/>
      <x:c r="AF17" s="166" t="n"/>
      <x:c r="AG17" s="161" t="n"/>
    </x:row>
    <x:row r="18" s="569" customFormat="1" ht="15" customHeight="1">
      <x:c r="A18" s="145" t="n"/>
      <x:c r="B18" s="169" t="n"/>
      <x:c r="C18" s="170" t="n"/>
      <x:c r="D18" s="170" t="n"/>
      <x:c r="E18" s="595" t="n"/>
      <x:c r="F18" s="596" t="n"/>
      <x:c r="G18" s="154" t="n"/>
      <x:c r="H18" s="155" t="n"/>
      <x:c r="I18" s="156" t="n"/>
      <x:c r="J18" s="158" t="n"/>
      <x:c r="K18" s="158" t="n"/>
      <x:c r="L18" s="158" t="n"/>
      <x:c r="M18" s="454" t="inlineStr">
        <x:is>
          <x:t xml:space="preserve">Tract 4</x:t>
        </x:is>
      </x:c>
      <x:c r="O18" s="158" t="n"/>
      <x:c r="P18" s="158" t="n"/>
      <x:c r="Q18" s="159" t="n"/>
      <x:c r="R18" s="171" t="n"/>
      <x:c r="S18" s="172" t="n"/>
      <x:c r="T18" s="172" t="n"/>
      <x:c r="U18" s="172" t="n"/>
      <x:c r="V18" s="172" t="n"/>
      <x:c r="W18" s="172" t="n"/>
      <x:c r="X18" s="172" t="n"/>
      <x:c r="Y18" s="172" t="n"/>
      <x:c r="Z18" s="172" t="n"/>
      <x:c r="AA18" s="172" t="n"/>
      <x:c r="AB18" s="172" t="n"/>
      <x:c r="AC18" s="172" t="n"/>
      <x:c r="AD18" s="173" t="n"/>
      <x:c r="AE18" s="173" t="n"/>
      <x:c r="AF18" s="173" t="n"/>
      <x:c r="AG18" s="174" t="n"/>
    </x:row>
    <x:row r="19" s="569" customFormat="1" ht="15" customHeight="1">
      <x:c r="A19" s="145" t="n"/>
      <x:c r="B19" s="175" t="n"/>
      <x:c r="C19" s="155" t="n"/>
      <x:c r="D19" s="155" t="n"/>
      <x:c r="E19" s="455" t="n"/>
      <x:c r="G19" s="154" t="n"/>
      <x:c r="H19" s="155" t="n"/>
      <x:c r="I19" s="156" t="n"/>
      <x:c r="J19" s="158" t="n"/>
      <x:c r="K19" s="158" t="n"/>
      <x:c r="L19" s="158" t="n"/>
      <x:c r="O19" s="158" t="n"/>
      <x:c r="P19" s="158" t="n"/>
      <x:c r="Q19" s="159" t="n"/>
      <x:c r="R19" s="176" t="n"/>
      <x:c r="S19" s="176" t="n"/>
      <x:c r="T19" s="177" t="n"/>
      <x:c r="U19" s="177" t="n"/>
      <x:c r="V19" s="178" t="n"/>
      <x:c r="W19" s="178" t="n"/>
      <x:c r="X19" s="179" t="n"/>
      <x:c r="Y19" s="180" t="n"/>
      <x:c r="Z19" s="181" t="n"/>
      <x:c r="AA19" s="181" t="n"/>
      <x:c r="AB19" s="182" t="n"/>
      <x:c r="AC19" s="182" t="n"/>
      <x:c r="AD19" s="183" t="n"/>
      <x:c r="AE19" s="183" t="n"/>
      <x:c r="AF19" s="184" t="n"/>
      <x:c r="AG19" s="185" t="n"/>
    </x:row>
    <x:row r="20" s="569" customFormat="1" ht="15" customHeight="1">
      <x:c r="A20" s="145" t="n"/>
      <x:c r="B20" s="175" t="n"/>
      <x:c r="C20" s="155" t="n"/>
      <x:c r="D20" s="155" t="n"/>
      <x:c r="G20" s="154" t="n"/>
      <x:c r="H20" s="155" t="n"/>
      <x:c r="I20" s="156" t="n"/>
      <x:c r="J20" s="158" t="n"/>
      <x:c r="K20" s="158" t="n"/>
      <x:c r="L20" s="158" t="n"/>
      <x:c r="M20" s="158" t="n"/>
      <x:c r="N20" s="158" t="n"/>
      <x:c r="O20" s="158" t="n"/>
      <x:c r="P20" s="158" t="n"/>
      <x:c r="Q20" s="159" t="n"/>
      <x:c r="R20" s="176" t="n"/>
      <x:c r="S20" s="176" t="n"/>
      <x:c r="T20" s="176" t="n"/>
      <x:c r="U20" s="176" t="n"/>
      <x:c r="V20" s="179" t="n"/>
      <x:c r="W20" s="179" t="n"/>
      <x:c r="X20" s="179" t="n"/>
      <x:c r="Y20" s="180" t="n"/>
      <x:c r="Z20" s="181" t="n"/>
      <x:c r="AA20" s="181" t="n"/>
      <x:c r="AB20" s="181" t="n"/>
      <x:c r="AC20" s="181" t="n"/>
      <x:c r="AD20" s="184" t="n"/>
      <x:c r="AE20" s="184" t="n"/>
      <x:c r="AF20" s="184" t="n"/>
      <x:c r="AG20" s="185" t="n"/>
    </x:row>
    <x:row r="21" s="569" customFormat="1" ht="15" customHeight="1">
      <x:c r="A21" s="145" t="n"/>
      <x:c r="B21" s="155" t="n"/>
      <x:c r="C21" s="155" t="n"/>
      <x:c r="D21" s="155" t="n"/>
      <x:c r="E21" s="155" t="n"/>
      <x:c r="F21" s="155" t="n"/>
      <x:c r="G21" s="155" t="n"/>
      <x:c r="H21" s="155" t="n"/>
      <x:c r="I21" s="156" t="n"/>
      <x:c r="J21" s="157" t="n"/>
      <x:c r="K21" s="157" t="n"/>
      <x:c r="L21" s="157" t="n"/>
      <x:c r="M21" s="157" t="n"/>
      <x:c r="N21" s="158" t="n"/>
      <x:c r="O21" s="158" t="n"/>
      <x:c r="P21" s="158" t="n"/>
      <x:c r="Q21" s="159" t="n"/>
      <x:c r="R21" s="176" t="n"/>
      <x:c r="S21" s="176" t="n"/>
      <x:c r="T21" s="176" t="n"/>
      <x:c r="U21" s="176" t="n"/>
      <x:c r="V21" s="179" t="n"/>
      <x:c r="W21" s="179" t="n"/>
      <x:c r="X21" s="179" t="n"/>
      <x:c r="Y21" s="180" t="n"/>
      <x:c r="Z21" s="181" t="n"/>
      <x:c r="AA21" s="181" t="n"/>
      <x:c r="AB21" s="181" t="n"/>
      <x:c r="AC21" s="181" t="n"/>
      <x:c r="AD21" s="184" t="n"/>
      <x:c r="AE21" s="184" t="n"/>
      <x:c r="AF21" s="184" t="n"/>
      <x:c r="AG21" s="185" t="n"/>
    </x:row>
    <x:row r="22" s="569" customFormat="1" ht="15" customHeight="1">
      <x:c r="A22" s="145" t="n"/>
      <x:c r="B22" s="186" t="n"/>
      <x:c r="C22" s="187" t="n"/>
      <x:c r="D22" s="187" t="n"/>
      <x:c r="E22" s="455" t="inlineStr">
        <x:is>
          <x:t xml:space="preserve">Tract 5</x:t>
        </x:is>
      </x:c>
      <x:c r="G22" s="187" t="n"/>
      <x:c r="H22" s="187" t="n"/>
      <x:c r="I22" s="156" t="n"/>
      <x:c r="J22" s="164" t="n"/>
      <x:c r="K22" s="157" t="n"/>
      <x:c r="L22" s="158" t="n"/>
      <x:c r="M22" s="454" t="n"/>
      <x:c r="O22" s="158" t="n"/>
      <x:c r="P22" s="158" t="n"/>
      <x:c r="Q22" s="159" t="n"/>
      <x:c r="R22" s="188" t="n"/>
      <x:c r="S22" s="176" t="n"/>
      <x:c r="T22" s="179" t="n"/>
      <x:c r="U22" s="447" t="n"/>
      <x:c r="W22" s="179" t="n"/>
      <x:c r="X22" s="179" t="n"/>
      <x:c r="Y22" s="180" t="n"/>
      <x:c r="Z22" s="189" t="n"/>
      <x:c r="AA22" s="181" t="n"/>
      <x:c r="AB22" s="184" t="n"/>
      <x:c r="AC22" s="456" t="inlineStr">
        <x:is>
          <x:t xml:space="preserve">Tract 3</x:t>
        </x:is>
      </x:c>
      <x:c r="AE22" s="184" t="n"/>
      <x:c r="AF22" s="184" t="n"/>
      <x:c r="AG22" s="185" t="n"/>
    </x:row>
    <x:row r="23" s="569" customFormat="1" ht="15" customHeight="1">
      <x:c r="A23" s="145" t="n"/>
      <x:c r="B23" s="186" t="n"/>
      <x:c r="C23" s="187" t="n"/>
      <x:c r="D23" s="187" t="n"/>
      <x:c r="G23" s="187" t="n"/>
      <x:c r="H23" s="187" t="n"/>
      <x:c r="I23" s="156" t="n"/>
      <x:c r="J23" s="168" t="n"/>
      <x:c r="K23" s="168" t="n"/>
      <x:c r="L23" s="158" t="n"/>
      <x:c r="O23" s="158" t="n"/>
      <x:c r="P23" s="158" t="n"/>
      <x:c r="Q23" s="159" t="n"/>
      <x:c r="R23" s="190" t="n"/>
      <x:c r="S23" s="190" t="n"/>
      <x:c r="T23" s="179" t="n"/>
      <x:c r="W23" s="179" t="n"/>
      <x:c r="X23" s="179" t="n"/>
      <x:c r="Y23" s="180" t="n"/>
      <x:c r="Z23" s="191" t="n"/>
      <x:c r="AA23" s="191" t="n"/>
      <x:c r="AB23" s="184" t="n"/>
      <x:c r="AE23" s="184" t="n"/>
      <x:c r="AF23" s="184" t="n"/>
      <x:c r="AG23" s="185" t="n"/>
      <x:c r="AH23" s="192" t="n"/>
    </x:row>
    <x:row r="24" s="569" customFormat="1" ht="15" customHeight="1">
      <x:c r="A24" s="145" t="n"/>
      <x:c r="B24" s="186" t="n"/>
      <x:c r="C24" s="186" t="n"/>
      <x:c r="D24" s="186" t="n"/>
      <x:c r="E24" s="186" t="n"/>
      <x:c r="F24" s="186" t="n"/>
      <x:c r="G24" s="186" t="n"/>
      <x:c r="H24" s="186" t="n"/>
      <x:c r="I24" s="156" t="n"/>
      <x:c r="J24" s="158" t="n"/>
      <x:c r="K24" s="168" t="n"/>
      <x:c r="L24" s="158" t="n"/>
      <x:c r="M24" s="158" t="n"/>
      <x:c r="N24" s="158" t="n"/>
      <x:c r="O24" s="158" t="n"/>
      <x:c r="P24" s="158" t="n"/>
      <x:c r="Q24" s="159" t="n"/>
      <x:c r="R24" s="179" t="n"/>
      <x:c r="S24" s="190" t="n"/>
      <x:c r="T24" s="179" t="n"/>
      <x:c r="U24" s="179" t="n"/>
      <x:c r="V24" s="179" t="n"/>
      <x:c r="W24" s="179" t="n"/>
      <x:c r="X24" s="179" t="n"/>
      <x:c r="Y24" s="180" t="n"/>
      <x:c r="Z24" s="184" t="n"/>
      <x:c r="AA24" s="191" t="n"/>
      <x:c r="AB24" s="184" t="n"/>
      <x:c r="AC24" s="184" t="n"/>
      <x:c r="AD24" s="184" t="n"/>
      <x:c r="AE24" s="184" t="n"/>
      <x:c r="AF24" s="184" t="n"/>
      <x:c r="AG24" s="185" t="n"/>
      <x:c r="AH24" s="192" t="n"/>
    </x:row>
    <x:row r="25" s="569" customFormat="1" ht="15" customHeight="1">
      <x:c r="A25" s="145" t="n"/>
      <x:c r="B25" s="186" t="n"/>
      <x:c r="C25" s="186" t="n"/>
      <x:c r="D25" s="186" t="n"/>
      <x:c r="E25" s="186" t="n"/>
      <x:c r="F25" s="186" t="n"/>
      <x:c r="G25" s="186" t="n"/>
      <x:c r="H25" s="186" t="n"/>
      <x:c r="I25" s="156" t="n"/>
      <x:c r="J25" s="158" t="n"/>
      <x:c r="K25" s="158" t="n"/>
      <x:c r="L25" s="158" t="n"/>
      <x:c r="M25" s="158" t="n"/>
      <x:c r="N25" s="158" t="n"/>
      <x:c r="O25" s="158" t="n"/>
      <x:c r="P25" s="158" t="n"/>
      <x:c r="Q25" s="159" t="n"/>
      <x:c r="R25" s="179" t="n"/>
      <x:c r="S25" s="179" t="n"/>
      <x:c r="T25" s="179" t="n"/>
      <x:c r="U25" s="179" t="n"/>
      <x:c r="V25" s="179" t="n"/>
      <x:c r="W25" s="179" t="n"/>
      <x:c r="X25" s="179" t="n"/>
      <x:c r="Y25" s="180" t="n"/>
      <x:c r="Z25" s="184" t="n"/>
      <x:c r="AA25" s="184" t="n"/>
      <x:c r="AB25" s="184" t="n"/>
      <x:c r="AC25" s="184" t="n"/>
      <x:c r="AD25" s="184" t="n"/>
      <x:c r="AE25" s="184" t="n"/>
      <x:c r="AF25" s="184" t="n"/>
      <x:c r="AG25" s="185" t="n"/>
      <x:c r="AH25" s="192" t="n"/>
    </x:row>
    <x:row r="26" s="569" customFormat="1" ht="15" customHeight="1">
      <x:c r="A26" s="145" t="n"/>
      <x:c r="B26" s="337" t="n"/>
      <x:c r="C26" s="193" t="n"/>
      <x:c r="D26" s="193" t="n"/>
      <x:c r="E26" s="193" t="n"/>
      <x:c r="F26" s="193" t="n"/>
      <x:c r="G26" s="193" t="n"/>
      <x:c r="H26" s="193" t="n"/>
      <x:c r="I26" s="194" t="n"/>
      <x:c r="J26" s="195" t="n"/>
      <x:c r="K26" s="195" t="n"/>
      <x:c r="L26" s="195" t="n"/>
      <x:c r="M26" s="195" t="n"/>
      <x:c r="N26" s="195" t="n"/>
      <x:c r="O26" s="195" t="n"/>
      <x:c r="P26" s="196" t="n"/>
      <x:c r="Q26" s="197" t="n"/>
      <x:c r="R26" s="179" t="n"/>
      <x:c r="S26" s="179" t="n"/>
      <x:c r="T26" s="179" t="n"/>
      <x:c r="U26" s="179" t="n"/>
      <x:c r="V26" s="179" t="n"/>
      <x:c r="W26" s="179" t="n"/>
      <x:c r="X26" s="179" t="n"/>
      <x:c r="Y26" s="180" t="n"/>
      <x:c r="Z26" s="198" t="n"/>
      <x:c r="AA26" s="198" t="n"/>
      <x:c r="AB26" s="198" t="n"/>
      <x:c r="AC26" s="198" t="n"/>
      <x:c r="AD26" s="198" t="n"/>
      <x:c r="AE26" s="198" t="n"/>
      <x:c r="AF26" s="199" t="n"/>
      <x:c r="AG26" s="200" t="n"/>
    </x:row>
    <x:row r="27" s="569" customFormat="1" ht="15" customHeight="1">
      <x:c r="A27" s="145" t="n"/>
      <x:c r="B27" s="201" t="n"/>
      <x:c r="C27" s="201" t="n"/>
      <x:c r="D27" s="201" t="n"/>
      <x:c r="E27" s="201" t="n"/>
      <x:c r="F27" s="201" t="n"/>
      <x:c r="G27" s="201" t="n"/>
      <x:c r="H27" s="201" t="n"/>
      <x:c r="I27" s="202" t="n"/>
      <x:c r="J27" s="203" t="n"/>
      <x:c r="K27" s="203" t="n"/>
      <x:c r="L27" s="204" t="n"/>
      <x:c r="M27" s="204" t="n"/>
      <x:c r="N27" s="205" t="n"/>
      <x:c r="O27" s="205" t="n"/>
      <x:c r="P27" s="206" t="n"/>
      <x:c r="Q27" s="207" t="n"/>
      <x:c r="R27" s="179" t="n"/>
      <x:c r="S27" s="179" t="n"/>
      <x:c r="T27" s="179" t="n"/>
      <x:c r="U27" s="179" t="n"/>
      <x:c r="V27" s="179" t="n"/>
      <x:c r="W27" s="179" t="n"/>
      <x:c r="X27" s="179" t="n"/>
      <x:c r="Y27" s="180" t="n"/>
      <x:c r="Z27" s="208" t="n"/>
      <x:c r="AA27" s="208" t="n"/>
      <x:c r="AB27" s="209" t="n"/>
      <x:c r="AC27" s="209" t="n"/>
      <x:c r="AD27" s="210" t="n"/>
      <x:c r="AE27" s="210" t="n"/>
      <x:c r="AF27" s="211" t="n"/>
      <x:c r="AG27" s="212" t="n"/>
    </x:row>
    <x:row r="28" s="569" customFormat="1" ht="15" customHeight="1">
      <x:c r="A28" s="145" t="n"/>
      <x:c r="B28" s="201" t="n"/>
      <x:c r="C28" s="201" t="n"/>
      <x:c r="D28" s="201" t="n"/>
      <x:c r="E28" s="201" t="n"/>
      <x:c r="F28" s="201" t="n"/>
      <x:c r="G28" s="201" t="n"/>
      <x:c r="H28" s="201" t="n"/>
      <x:c r="I28" s="213" t="n"/>
      <x:c r="J28" s="203" t="n"/>
      <x:c r="K28" s="203" t="n"/>
      <x:c r="L28" s="203" t="n"/>
      <x:c r="M28" s="203" t="n"/>
      <x:c r="N28" s="206" t="n"/>
      <x:c r="O28" s="206" t="n"/>
      <x:c r="P28" s="206" t="n"/>
      <x:c r="Q28" s="207" t="n"/>
      <x:c r="R28" s="176" t="n"/>
      <x:c r="S28" s="176" t="n"/>
      <x:c r="T28" s="176" t="n"/>
      <x:c r="U28" s="176" t="n"/>
      <x:c r="V28" s="179" t="n"/>
      <x:c r="W28" s="179" t="n"/>
      <x:c r="X28" s="179" t="n"/>
      <x:c r="Y28" s="180" t="n"/>
      <x:c r="Z28" s="208" t="n"/>
      <x:c r="AA28" s="208" t="n"/>
      <x:c r="AB28" s="208" t="n"/>
      <x:c r="AC28" s="208" t="n"/>
      <x:c r="AD28" s="211" t="n"/>
      <x:c r="AE28" s="211" t="n"/>
      <x:c r="AF28" s="211" t="n"/>
      <x:c r="AG28" s="212" t="n"/>
    </x:row>
    <x:row r="29" s="569" customFormat="1" ht="15" customHeight="1">
      <x:c r="A29" s="145" t="n"/>
      <x:c r="B29" s="201" t="n"/>
      <x:c r="C29" s="201" t="n"/>
      <x:c r="D29" s="457" t="inlineStr">
        <x:is>
          <x:t xml:space="preserve">Tract 8</x:t>
        </x:is>
      </x:c>
      <x:c r="H29" s="201" t="n"/>
      <x:c r="I29" s="213" t="n"/>
      <x:c r="J29" s="203" t="n"/>
      <x:c r="K29" s="203" t="n"/>
      <x:c r="L29" s="203" t="n"/>
      <x:c r="M29" s="206" t="inlineStr">
        <x:is>
          <x:t xml:space="preserve">Tract 7</x:t>
        </x:is>
      </x:c>
      <x:c r="N29" s="206" t="n"/>
      <x:c r="O29" s="206" t="n"/>
      <x:c r="P29" s="206" t="n"/>
      <x:c r="Q29" s="207" t="n"/>
      <x:c r="R29" s="176" t="n"/>
      <x:c r="S29" s="176" t="n"/>
      <x:c r="T29" s="176" t="n"/>
      <x:c r="U29" s="176" t="n"/>
      <x:c r="V29" s="179" t="n"/>
      <x:c r="W29" s="179" t="n"/>
      <x:c r="X29" s="179" t="n"/>
      <x:c r="Y29" s="180" t="n"/>
      <x:c r="Z29" s="208" t="n"/>
      <x:c r="AA29" s="208" t="n"/>
      <x:c r="AB29" s="208" t="n"/>
      <x:c r="AC29" s="208" t="n"/>
      <x:c r="AD29" s="211" t="n"/>
      <x:c r="AE29" s="211" t="n"/>
      <x:c r="AF29" s="211" t="n"/>
      <x:c r="AG29" s="212" t="n"/>
    </x:row>
    <x:row r="30" s="569" customFormat="1" ht="15" customHeight="1">
      <x:c r="A30" s="145" t="n"/>
      <x:c r="B30" s="201" t="n"/>
      <x:c r="C30" s="201" t="n"/>
      <x:c r="D30" s="457" t="n"/>
      <x:c r="H30" s="201" t="n"/>
      <x:c r="I30" s="213" t="n"/>
      <x:c r="J30" s="214" t="n"/>
      <x:c r="K30" s="203" t="n"/>
      <x:c r="L30" s="206" t="n"/>
      <x:c r="M30" s="206" t="n"/>
      <x:c r="N30" s="206" t="n"/>
      <x:c r="O30" s="206" t="n"/>
      <x:c r="P30" s="206" t="n"/>
      <x:c r="Q30" s="207" t="n"/>
      <x:c r="R30" s="188" t="n"/>
      <x:c r="S30" s="176" t="n"/>
      <x:c r="T30" s="179" t="n"/>
      <x:c r="U30" s="447" t="inlineStr">
        <x:is>
          <x:t xml:space="preserve">Tract 2</x:t>
        </x:is>
      </x:c>
      <x:c r="W30" s="179" t="n"/>
      <x:c r="X30" s="179" t="n"/>
      <x:c r="Y30" s="180" t="n"/>
      <x:c r="Z30" s="215" t="n"/>
      <x:c r="AA30" s="208" t="n"/>
      <x:c r="AB30" s="462" t="inlineStr">
        <x:is>
          <x:t xml:space="preserve">Tract 10</x:t>
        </x:is>
      </x:c>
      <x:c r="AF30" s="211" t="n"/>
      <x:c r="AG30" s="212" t="n"/>
    </x:row>
    <x:row r="31" s="569" customFormat="1" ht="15" customHeight="1">
      <x:c r="A31" s="145" t="n"/>
      <x:c r="B31" s="216" t="n"/>
      <x:c r="C31" s="217" t="n"/>
      <x:c r="D31" s="217" t="n"/>
      <x:c r="E31" s="217" t="n"/>
      <x:c r="F31" s="217" t="n"/>
      <x:c r="G31" s="217" t="n"/>
      <x:c r="H31" s="217" t="n"/>
      <x:c r="I31" s="218" t="n"/>
      <x:c r="J31" s="219" t="n"/>
      <x:c r="K31" s="219" t="n"/>
      <x:c r="L31" s="220" t="n"/>
      <x:c r="M31" s="220" t="n"/>
      <x:c r="N31" s="220" t="n"/>
      <x:c r="O31" s="220" t="n"/>
      <x:c r="P31" s="220" t="n"/>
      <x:c r="Q31" s="221" t="n"/>
      <x:c r="R31" s="190" t="n"/>
      <x:c r="S31" s="190" t="n"/>
      <x:c r="T31" s="179" t="n"/>
      <x:c r="W31" s="179" t="n"/>
      <x:c r="X31" s="179" t="n"/>
      <x:c r="Y31" s="180" t="n"/>
      <x:c r="Z31" s="222" t="n"/>
      <x:c r="AA31" s="222" t="n"/>
      <x:c r="AB31" s="211" t="n"/>
      <x:c r="AC31" s="211" t="n"/>
      <x:c r="AD31" s="211" t="n"/>
      <x:c r="AE31" s="211" t="n"/>
      <x:c r="AF31" s="211" t="n"/>
      <x:c r="AG31" s="212" t="n"/>
    </x:row>
    <x:row r="32" s="569" customFormat="1" ht="15" customHeight="1">
      <x:c r="A32" s="145" t="n"/>
      <x:c r="B32" s="223" t="n"/>
      <x:c r="C32" s="223" t="n"/>
      <x:c r="D32" s="223" t="n"/>
      <x:c r="E32" s="223" t="n"/>
      <x:c r="F32" s="223" t="n"/>
      <x:c r="G32" s="223" t="n"/>
      <x:c r="H32" s="223" t="n"/>
      <x:c r="I32" s="224" t="n"/>
      <x:c r="J32" s="223" t="n"/>
      <x:c r="K32" s="223" t="n"/>
      <x:c r="L32" s="223" t="n"/>
      <x:c r="M32" s="223" t="n"/>
      <x:c r="N32" s="223" t="n"/>
      <x:c r="O32" s="223" t="n"/>
      <x:c r="P32" s="223" t="n"/>
      <x:c r="Q32" s="225" t="n"/>
      <x:c r="R32" s="179" t="n"/>
      <x:c r="S32" s="190" t="n"/>
      <x:c r="T32" s="179" t="n"/>
      <x:c r="U32" s="179" t="n"/>
      <x:c r="V32" s="179" t="n"/>
      <x:c r="W32" s="179" t="n"/>
      <x:c r="X32" s="179" t="n"/>
      <x:c r="Y32" s="180" t="n"/>
      <x:c r="Z32" s="211" t="n"/>
      <x:c r="AA32" s="222" t="n"/>
      <x:c r="AB32" s="211" t="n"/>
      <x:c r="AC32" s="211" t="n"/>
      <x:c r="AD32" s="211" t="n"/>
      <x:c r="AE32" s="211" t="n"/>
      <x:c r="AF32" s="211" t="n"/>
      <x:c r="AG32" s="212" t="n"/>
    </x:row>
    <x:row r="33" s="569" customFormat="1" ht="15" customHeight="1">
      <x:c r="A33" s="145" t="n"/>
      <x:c r="B33" s="223" t="n"/>
      <x:c r="C33" s="223" t="n"/>
      <x:c r="D33" s="223" t="n"/>
      <x:c r="E33" s="223" t="n"/>
      <x:c r="F33" s="223" t="n"/>
      <x:c r="G33" s="223" t="n"/>
      <x:c r="H33" s="223" t="n"/>
      <x:c r="I33" s="223" t="n"/>
      <x:c r="J33" s="223" t="n"/>
      <x:c r="K33" s="223" t="n"/>
      <x:c r="L33" s="223" t="n"/>
      <x:c r="M33" s="223" t="n"/>
      <x:c r="N33" s="223" t="n"/>
      <x:c r="O33" s="223" t="n"/>
      <x:c r="P33" s="223" t="n"/>
      <x:c r="Q33" s="225" t="n"/>
      <x:c r="R33" s="179" t="n"/>
      <x:c r="S33" s="179" t="n"/>
      <x:c r="T33" s="179" t="n"/>
      <x:c r="U33" s="179" t="n"/>
      <x:c r="V33" s="179" t="n"/>
      <x:c r="W33" s="179" t="n"/>
      <x:c r="X33" s="179" t="n"/>
      <x:c r="Y33" s="180" t="n"/>
      <x:c r="Z33" s="211" t="n"/>
      <x:c r="AA33" s="211" t="n"/>
      <x:c r="AB33" s="211" t="n"/>
      <x:c r="AC33" s="211" t="n"/>
      <x:c r="AD33" s="211" t="n"/>
      <x:c r="AE33" s="211" t="n"/>
      <x:c r="AF33" s="211" t="n"/>
      <x:c r="AG33" s="212" t="n"/>
    </x:row>
    <x:row r="34" s="569" customFormat="1" ht="15" customHeight="1">
      <x:c r="A34" s="145" t="n"/>
      <x:c r="B34" s="223" t="n"/>
      <x:c r="C34" s="223" t="n"/>
      <x:c r="D34" s="223" t="n"/>
      <x:c r="E34" s="223" t="n"/>
      <x:c r="F34" s="223" t="n"/>
      <x:c r="G34" s="223" t="n"/>
      <x:c r="H34" s="223" t="n"/>
      <x:c r="I34" s="223" t="n"/>
      <x:c r="J34" s="226" t="n"/>
      <x:c r="K34" s="226" t="n"/>
      <x:c r="L34" s="227" t="n"/>
      <x:c r="M34" s="227" t="n"/>
      <x:c r="N34" s="227" t="n"/>
      <x:c r="O34" s="227" t="n"/>
      <x:c r="P34" s="228" t="n"/>
      <x:c r="Q34" s="229" t="n"/>
      <x:c r="R34" s="179" t="n"/>
      <x:c r="S34" s="179" t="n"/>
      <x:c r="T34" s="179" t="n"/>
      <x:c r="U34" s="179" t="n"/>
      <x:c r="V34" s="179" t="n"/>
      <x:c r="W34" s="179" t="n"/>
      <x:c r="X34" s="179" t="n"/>
      <x:c r="Y34" s="180" t="n"/>
      <x:c r="Z34" s="230" t="n"/>
      <x:c r="AA34" s="230" t="n"/>
      <x:c r="AB34" s="230" t="n"/>
      <x:c r="AC34" s="230" t="n"/>
      <x:c r="AD34" s="230" t="n"/>
      <x:c r="AE34" s="230" t="n"/>
      <x:c r="AF34" s="231" t="n"/>
      <x:c r="AG34" s="232" t="n"/>
    </x:row>
    <x:row r="35" s="569" customFormat="1" ht="13.5" customHeight="1">
      <x:c r="A35" s="145" t="n"/>
      <x:c r="B35" s="223" t="n"/>
      <x:c r="C35" s="223" t="n"/>
      <x:c r="D35" s="223" t="n"/>
      <x:c r="E35" s="223" t="n"/>
      <x:c r="F35" s="223" t="n"/>
      <x:c r="G35" s="223" t="n"/>
      <x:c r="H35" s="223" t="n"/>
      <x:c r="I35" s="225" t="n"/>
      <x:c r="J35" s="233" t="n"/>
      <x:c r="K35" s="233" t="n"/>
      <x:c r="L35" s="234" t="n"/>
      <x:c r="M35" s="234" t="n"/>
      <x:c r="N35" s="235" t="n"/>
      <x:c r="O35" s="235" t="n"/>
      <x:c r="P35" s="236" t="n"/>
      <x:c r="Q35" s="237" t="n"/>
      <x:c r="R35" s="179" t="n"/>
      <x:c r="S35" s="179" t="n"/>
      <x:c r="T35" s="179" t="n"/>
      <x:c r="U35" s="179" t="n"/>
      <x:c r="V35" s="179" t="n"/>
      <x:c r="W35" s="179" t="n"/>
      <x:c r="X35" s="179" t="n"/>
      <x:c r="Y35" s="179" t="n"/>
      <x:c r="Z35" s="177" t="n"/>
      <x:c r="AA35" s="177" t="n"/>
      <x:c r="AB35" s="177" t="n"/>
      <x:c r="AC35" s="177" t="n"/>
      <x:c r="AD35" s="178" t="n"/>
      <x:c r="AE35" s="178" t="n"/>
      <x:c r="AF35" s="179" t="n"/>
      <x:c r="AG35" s="238" t="n"/>
    </x:row>
    <x:row r="36" s="569" customFormat="1" ht="15" customHeight="1">
      <x:c r="A36" s="145" t="n"/>
      <x:c r="B36" s="223" t="n"/>
      <x:c r="C36" s="223" t="n"/>
      <x:c r="D36" s="463" t="inlineStr">
        <x:is>
          <x:t xml:space="preserve">Tract 9</x:t>
        </x:is>
      </x:c>
      <x:c r="H36" s="223" t="n"/>
      <x:c r="I36" s="225" t="n"/>
      <x:c r="J36" s="233" t="n"/>
      <x:c r="K36" s="233" t="n"/>
      <x:c r="L36" s="233" t="n"/>
      <x:c r="M36" s="233" t="n"/>
      <x:c r="N36" s="236" t="n"/>
      <x:c r="O36" s="236" t="n"/>
      <x:c r="P36" s="236" t="n"/>
      <x:c r="Q36" s="237" t="n"/>
      <x:c r="R36" s="176" t="n"/>
      <x:c r="S36" s="176" t="n"/>
      <x:c r="T36" s="176" t="n"/>
      <x:c r="U36" s="176" t="n"/>
      <x:c r="V36" s="179" t="n"/>
      <x:c r="W36" s="179" t="n"/>
      <x:c r="X36" s="179" t="n"/>
      <x:c r="Y36" s="179" t="n"/>
      <x:c r="Z36" s="176" t="n"/>
      <x:c r="AA36" s="176" t="n"/>
      <x:c r="AB36" s="176" t="n"/>
      <x:c r="AC36" s="176" t="n"/>
      <x:c r="AD36" s="179" t="n"/>
      <x:c r="AE36" s="179" t="n"/>
      <x:c r="AF36" s="179" t="n"/>
      <x:c r="AG36" s="238" t="n"/>
    </x:row>
    <x:row r="37" s="569" customFormat="1" ht="15" customHeight="1">
      <x:c r="A37" s="145" t="n"/>
      <x:c r="B37" s="223" t="n"/>
      <x:c r="C37" s="223" t="n"/>
      <x:c r="D37" s="223" t="n"/>
      <x:c r="E37" s="223" t="n"/>
      <x:c r="F37" s="223" t="n"/>
      <x:c r="G37" s="223" t="n"/>
      <x:c r="H37" s="223" t="n"/>
      <x:c r="I37" s="225" t="n"/>
      <x:c r="J37" s="233" t="n"/>
      <x:c r="K37" s="233" t="n"/>
      <x:c r="L37" s="233" t="n"/>
      <x:c r="M37" s="233" t="n"/>
      <x:c r="N37" s="236" t="n"/>
      <x:c r="O37" s="236" t="n"/>
      <x:c r="P37" s="236" t="n"/>
      <x:c r="Q37" s="237" t="n"/>
      <x:c r="R37" s="176" t="n"/>
      <x:c r="S37" s="176" t="n"/>
      <x:c r="T37" s="176" t="n"/>
      <x:c r="U37" s="176" t="n"/>
      <x:c r="V37" s="179" t="n"/>
      <x:c r="W37" s="179" t="n"/>
      <x:c r="X37" s="179" t="n"/>
      <x:c r="Y37" s="179" t="n"/>
      <x:c r="Z37" s="176" t="n"/>
      <x:c r="AA37" s="176" t="n"/>
      <x:c r="AB37" s="176" t="n"/>
      <x:c r="AC37" s="176" t="n"/>
      <x:c r="AD37" s="179" t="n"/>
      <x:c r="AE37" s="179" t="n"/>
      <x:c r="AF37" s="179" t="n"/>
      <x:c r="AG37" s="238" t="n"/>
    </x:row>
    <x:row r="38" s="569" customFormat="1" ht="15" customHeight="1">
      <x:c r="A38" s="145" t="n"/>
      <x:c r="B38" s="223" t="n"/>
      <x:c r="C38" s="223" t="n"/>
      <x:c r="D38" s="463" t="n"/>
      <x:c r="H38" s="223" t="n"/>
      <x:c r="I38" s="225" t="n"/>
      <x:c r="J38" s="239" t="n"/>
      <x:c r="K38" s="233" t="n"/>
      <x:c r="L38" s="236" t="n"/>
      <x:c r="M38" s="464" t="inlineStr">
        <x:is>
          <x:t xml:space="preserve">Tract 5</x:t>
        </x:is>
      </x:c>
      <x:c r="O38" s="236" t="n"/>
      <x:c r="P38" s="236" t="n"/>
      <x:c r="Q38" s="237" t="n"/>
      <x:c r="R38" s="188" t="n"/>
      <x:c r="S38" s="176" t="n"/>
      <x:c r="T38" s="179" t="n"/>
      <x:c r="U38" s="447" t="n"/>
      <x:c r="W38" s="179" t="n"/>
      <x:c r="X38" s="179" t="n"/>
      <x:c r="Y38" s="179" t="n"/>
      <x:c r="Z38" s="179" t="n"/>
      <x:c r="AA38" s="179" t="n"/>
      <x:c r="AB38" s="179" t="n"/>
      <x:c r="AC38" s="447" t="n"/>
      <x:c r="AE38" s="179" t="n"/>
      <x:c r="AF38" s="179" t="n"/>
      <x:c r="AG38" s="238" t="n"/>
    </x:row>
    <x:row r="39" s="569" customFormat="1" ht="15" customHeight="1">
      <x:c r="A39" s="145" t="n"/>
      <x:c r="B39" s="223" t="n"/>
      <x:c r="C39" s="223" t="n"/>
      <x:c r="D39" s="223" t="n"/>
      <x:c r="E39" s="223" t="n"/>
      <x:c r="F39" s="223" t="n"/>
      <x:c r="G39" s="223" t="n"/>
      <x:c r="H39" s="223" t="n"/>
      <x:c r="I39" s="225" t="n"/>
      <x:c r="J39" s="240" t="n"/>
      <x:c r="K39" s="240" t="n"/>
      <x:c r="L39" s="236" t="n"/>
      <x:c r="O39" s="236" t="n"/>
      <x:c r="P39" s="236" t="n"/>
      <x:c r="Q39" s="237" t="n"/>
      <x:c r="R39" s="190" t="n"/>
      <x:c r="S39" s="190" t="n"/>
      <x:c r="T39" s="179" t="n"/>
      <x:c r="W39" s="179" t="n"/>
      <x:c r="X39" s="179" t="n"/>
      <x:c r="Y39" s="179" t="n"/>
      <x:c r="Z39" s="179" t="n"/>
      <x:c r="AA39" s="179" t="n"/>
      <x:c r="AB39" s="179" t="n"/>
      <x:c r="AE39" s="179" t="n"/>
      <x:c r="AF39" s="179" t="n"/>
      <x:c r="AG39" s="238" t="n"/>
    </x:row>
    <x:row r="40" s="569" customFormat="1" ht="15" customHeight="1">
      <x:c r="A40" s="145" t="n"/>
      <x:c r="B40" s="223" t="n"/>
      <x:c r="C40" s="223" t="n"/>
      <x:c r="D40" s="223" t="n"/>
      <x:c r="E40" s="223" t="n"/>
      <x:c r="F40" s="223" t="n"/>
      <x:c r="G40" s="223" t="n"/>
      <x:c r="H40" s="223" t="n"/>
      <x:c r="I40" s="225" t="n"/>
      <x:c r="J40" s="236" t="n"/>
      <x:c r="K40" s="240" t="n"/>
      <x:c r="L40" s="236" t="n"/>
      <x:c r="M40" s="236" t="n"/>
      <x:c r="N40" s="236" t="n"/>
      <x:c r="O40" s="236" t="n"/>
      <x:c r="P40" s="236" t="n"/>
      <x:c r="Q40" s="237" t="n"/>
      <x:c r="R40" s="179" t="n"/>
      <x:c r="S40" s="190" t="n"/>
      <x:c r="T40" s="179" t="n"/>
      <x:c r="U40" s="179" t="n"/>
      <x:c r="V40" s="179" t="n"/>
      <x:c r="W40" s="179" t="n"/>
      <x:c r="X40" s="179" t="n"/>
      <x:c r="Y40" s="179" t="n"/>
      <x:c r="Z40" s="179" t="n"/>
      <x:c r="AA40" s="179" t="n"/>
      <x:c r="AB40" s="179" t="n"/>
      <x:c r="AC40" s="179" t="n"/>
      <x:c r="AD40" s="179" t="n"/>
      <x:c r="AE40" s="179" t="n"/>
      <x:c r="AF40" s="179" t="n"/>
      <x:c r="AG40" s="238" t="n"/>
    </x:row>
    <x:row r="41" s="569" customFormat="1" ht="15" customHeight="1">
      <x:c r="A41" s="145" t="n"/>
      <x:c r="B41" s="223" t="n"/>
      <x:c r="C41" s="223" t="n"/>
      <x:c r="D41" s="223" t="n"/>
      <x:c r="E41" s="223" t="n"/>
      <x:c r="F41" s="223" t="n"/>
      <x:c r="G41" s="223" t="n"/>
      <x:c r="H41" s="241" t="n"/>
      <x:c r="I41" s="242" t="n"/>
      <x:c r="J41" s="236" t="n"/>
      <x:c r="K41" s="236" t="n"/>
      <x:c r="L41" s="236" t="n"/>
      <x:c r="M41" s="236" t="n"/>
      <x:c r="N41" s="236" t="n"/>
      <x:c r="O41" s="236" t="n"/>
      <x:c r="P41" s="236" t="n"/>
      <x:c r="Q41" s="237" t="n"/>
      <x:c r="R41" s="179" t="n"/>
      <x:c r="S41" s="179" t="n"/>
      <x:c r="T41" s="179" t="n"/>
      <x:c r="U41" s="179" t="n"/>
      <x:c r="V41" s="179" t="n"/>
      <x:c r="W41" s="179" t="n"/>
      <x:c r="X41" s="179" t="n"/>
      <x:c r="Y41" s="179" t="n"/>
      <x:c r="Z41" s="179" t="n"/>
      <x:c r="AA41" s="179" t="n"/>
      <x:c r="AB41" s="179" t="n"/>
      <x:c r="AC41" s="179" t="n"/>
      <x:c r="AD41" s="179" t="n"/>
      <x:c r="AE41" s="179" t="n"/>
      <x:c r="AF41" s="179" t="n"/>
      <x:c r="AG41" s="238" t="n"/>
    </x:row>
    <x:row r="42" s="569" customFormat="1" ht="15" customHeight="1">
      <x:c r="A42" s="145" t="n"/>
      <x:c r="B42" s="243" t="n"/>
      <x:c r="C42" s="243" t="n"/>
      <x:c r="D42" s="244" t="n"/>
      <x:c r="E42" s="244" t="n"/>
      <x:c r="F42" s="244" t="n"/>
      <x:c r="G42" s="244" t="n"/>
      <x:c r="H42" s="245" t="n"/>
      <x:c r="I42" s="246" t="n"/>
      <x:c r="J42" s="247" t="n"/>
      <x:c r="K42" s="247" t="n"/>
      <x:c r="L42" s="247" t="n"/>
      <x:c r="M42" s="247" t="n"/>
      <x:c r="N42" s="247" t="n"/>
      <x:c r="O42" s="247" t="n"/>
      <x:c r="P42" s="248" t="n"/>
      <x:c r="Q42" s="249" t="n"/>
      <x:c r="R42" s="250" t="n"/>
      <x:c r="S42" s="250" t="n"/>
      <x:c r="T42" s="250" t="n"/>
      <x:c r="U42" s="250" t="n"/>
      <x:c r="V42" s="250" t="n"/>
      <x:c r="W42" s="250" t="n"/>
      <x:c r="X42" s="251" t="n"/>
      <x:c r="Y42" s="251" t="n"/>
      <x:c r="Z42" s="250" t="n"/>
      <x:c r="AA42" s="250" t="n"/>
      <x:c r="AB42" s="250" t="n"/>
      <x:c r="AC42" s="250" t="n"/>
      <x:c r="AD42" s="250" t="n"/>
      <x:c r="AE42" s="250" t="n"/>
      <x:c r="AF42" s="251" t="n"/>
      <x:c r="AG42" s="252" t="n"/>
    </x:row>
    <x:row r="43" s="569" customFormat="1" ht="15" customHeight="1"/>
    <x:row r="44" s="569" customFormat="1" ht="15" customHeight="1">
      <x:c r="B44" s="253" t="inlineStr">
        <x:is>
          <x:t xml:space="preserve">ATTACHMENTS:</x:t>
        </x:is>
      </x:c>
      <x:c r="C44" s="253" t="n"/>
      <x:c r="D44" s="253" t="n"/>
      <x:c r="E44" s="254" t="n"/>
      <x:c r="G44" s="338" t="n"/>
      <x:c r="I44" s="255" t="inlineStr">
        <x:is>
          <x:t xml:space="preserve">OWNERSHIP REPORT DATED:</x:t>
        </x:is>
      </x:c>
      <x:c r="J44" s="255" t="n"/>
      <x:c r="K44" s="255" t="n"/>
      <x:c r="L44" s="255" t="n"/>
      <x:c r="M44" s="255" t="n"/>
      <x:c r="N44" s="255" t="n"/>
      <x:c r="O44" s="255" t="n"/>
      <x:c r="P44" s="255" t="n"/>
      <x:c r="Q44" s="255" t="n"/>
      <x:c r="R44" s="255" t="n"/>
      <x:c r="S44" s="442" t="n"/>
      <x:c r="T44" s="591" t="n"/>
      <x:c r="U44" s="591" t="n"/>
      <x:c r="V44" s="591" t="n"/>
      <x:c r="W44" s="591" t="n"/>
      <x:c r="Y44" s="253" t="inlineStr">
        <x:is>
          <x:t xml:space="preserve">LAST ENTRY:</x:t>
        </x:is>
      </x:c>
      <x:c r="Z44" s="253" t="n"/>
      <x:c r="AA44" s="253" t="n"/>
      <x:c r="AB44" s="253" t="n"/>
      <x:c r="AC44" s="442" t="n"/>
      <x:c r="AD44" s="591" t="n"/>
      <x:c r="AE44" s="591" t="n"/>
      <x:c r="AF44" s="591" t="n"/>
      <x:c r="AG44" s="591" t="n"/>
    </x:row>
    <x:row r="45" s="569" customFormat="1" ht="12.75" customHeight="1">
      <x:c r="B45" s="253" t="n"/>
      <x:c r="G45" s="256" t="n"/>
    </x:row>
    <x:row r="46" s="569" customFormat="1" ht="15" customHeight="1">
      <x:c r="G46" s="338" t="n"/>
      <x:c r="I46" s="255" t="inlineStr">
        <x:is>
          <x:t xml:space="preserve">TITLE OPINION UPDATE DATED:</x:t>
        </x:is>
      </x:c>
      <x:c r="J46" s="255" t="n"/>
      <x:c r="K46" s="255" t="n"/>
      <x:c r="L46" s="255" t="n"/>
      <x:c r="M46" s="255" t="n"/>
      <x:c r="N46" s="255" t="n"/>
      <x:c r="O46" s="255" t="n"/>
      <x:c r="P46" s="255" t="n"/>
      <x:c r="Q46" s="255" t="n"/>
      <x:c r="R46" s="255" t="n"/>
      <x:c r="S46" s="442" t="n"/>
      <x:c r="T46" s="591" t="n"/>
      <x:c r="U46" s="591" t="n"/>
      <x:c r="V46" s="591" t="n"/>
      <x:c r="W46" s="591" t="n"/>
      <x:c r="Y46" s="253" t="inlineStr">
        <x:is>
          <x:t xml:space="preserve">LAST ENTRY:</x:t>
        </x:is>
      </x:c>
      <x:c r="Z46" s="253" t="n"/>
      <x:c r="AA46" s="253" t="n"/>
      <x:c r="AB46" s="253" t="n"/>
      <x:c r="AC46" s="442" t="n"/>
      <x:c r="AD46" s="591" t="n"/>
      <x:c r="AE46" s="591" t="n"/>
      <x:c r="AF46" s="591" t="n"/>
      <x:c r="AG46" s="591" t="n"/>
    </x:row>
    <x:row r="47" s="569" customFormat="1" ht="12.75" customHeight="1">
      <x:c r="G47" s="256" t="n"/>
      <x:c r="AD47" s="253" t="n"/>
      <x:c r="AE47" s="253" t="n"/>
      <x:c r="AF47" s="253" t="n"/>
      <x:c r="AG47" s="253" t="n"/>
    </x:row>
    <x:row r="48" s="569" customFormat="1" ht="15" customHeight="1">
      <x:c r="G48" s="338" t="inlineStr">
        <x:is>
          <x:t xml:space="preserve">x</x:t>
        </x:is>
      </x:c>
      <x:c r="I48" s="257" t="inlineStr">
        <x:is>
          <x:t xml:space="preserve">CURSORY REPORT DATED:</x:t>
        </x:is>
      </x:c>
      <x:c r="J48" s="257" t="n"/>
      <x:c r="K48" s="257" t="n"/>
      <x:c r="L48" s="257" t="n"/>
      <x:c r="M48" s="257" t="n"/>
      <x:c r="N48" s="257" t="n"/>
      <x:c r="O48" s="257" t="n"/>
      <x:c r="P48" s="257" t="n"/>
      <x:c r="Q48" s="257" t="n"/>
      <x:c r="R48" s="257" t="n"/>
      <x:c r="S48" s="442" t="inlineStr">
        <x:is>
          <x:t xml:space="preserve">7/3/2026</x:t>
        </x:is>
      </x:c>
      <x:c r="T48" s="591" t="n"/>
      <x:c r="U48" s="591" t="n"/>
      <x:c r="V48" s="591" t="n"/>
      <x:c r="W48" s="591" t="n"/>
      <x:c r="Y48" s="253" t="inlineStr">
        <x:is>
          <x:t xml:space="preserve">LAST ENTRY:</x:t>
        </x:is>
      </x:c>
      <x:c r="Z48" s="253" t="n"/>
      <x:c r="AA48" s="253" t="n"/>
      <x:c r="AB48" s="253" t="n"/>
      <x:c r="AC48" s="442" t="inlineStr">
        <x:is>
          <x:t xml:space="preserve">2704/142</x:t>
        </x:is>
      </x:c>
      <x:c r="AD48" s="591" t="n"/>
      <x:c r="AE48" s="591" t="n"/>
      <x:c r="AF48" s="591" t="n"/>
      <x:c r="AG48" s="591" t="n"/>
    </x:row>
    <x:row r="49" s="569" customFormat="1" ht="12.75" customHeight="1">
      <x:c r="G49" s="258" t="n"/>
    </x:row>
    <x:row r="50" s="569" customFormat="1" ht="15" customHeight="1">
      <x:c r="G50" s="338" t="n"/>
      <x:c r="I50" s="253" t="inlineStr">
        <x:is>
          <x:t xml:space="preserve">COUNTY CERTIFICATION DATE:</x:t>
        </x:is>
      </x:c>
      <x:c r="S50" s="442" t="n"/>
      <x:c r="T50" s="591" t="n"/>
      <x:c r="U50" s="591" t="n"/>
      <x:c r="V50" s="591" t="n"/>
      <x:c r="W50" s="591" t="n"/>
    </x:row>
    <x:row r="52" s="569" customFormat="1" ht="12.75" customHeight="1">
      <x:c r="B52" s="443" t="inlineStr">
        <x:is>
          <x:t xml:space="preserve">REMARKS:</x:t>
        </x:is>
      </x:c>
      <x:c r="F52" s="259" t="n"/>
      <x:c r="G52" s="259" t="n"/>
      <x:c r="H52" s="259" t="n"/>
      <x:c r="I52" s="259" t="n"/>
      <x:c r="J52" s="259" t="n"/>
      <x:c r="K52" s="259" t="n"/>
      <x:c r="L52" s="259" t="n"/>
      <x:c r="M52" s="259" t="n"/>
      <x:c r="N52" s="259" t="n"/>
      <x:c r="O52" s="259" t="n"/>
      <x:c r="P52" s="259" t="n"/>
      <x:c r="Q52" s="259" t="n"/>
      <x:c r="R52" s="259" t="n"/>
      <x:c r="S52" s="259" t="n"/>
      <x:c r="T52" s="259" t="n"/>
      <x:c r="U52" s="259" t="n"/>
      <x:c r="V52" s="259" t="n"/>
      <x:c r="W52" s="259" t="n"/>
      <x:c r="X52" s="259" t="n"/>
      <x:c r="Y52" s="259" t="n"/>
      <x:c r="Z52" s="259" t="n"/>
      <x:c r="AA52" s="259" t="n"/>
      <x:c r="AB52" s="259" t="n"/>
      <x:c r="AC52" s="259" t="n"/>
      <x:c r="AD52" s="259" t="n"/>
      <x:c r="AE52" s="259" t="n"/>
      <x:c r="AF52" s="259" t="n"/>
      <x:c r="AG52" s="259" t="n"/>
      <x:c r="AH52" s="259" t="n"/>
    </x:row>
    <x:row r="53" s="569" customFormat="1" ht="27" customHeight="1">
      <x:c r="B53" s="438" t="inlineStr">
        <x:is>
          <x:t xml:space="preserve">REPORT IS A CURSORY REPORT </x:t>
        </x:is>
      </x:c>
    </x:row>
    <x:row r="54" s="569" customFormat="1" ht="45" customHeight="1">
      <x:c r="B54" s="1222" t="str">
        <x:v>UPDATE 2026-07-05: Treat Alexander #1-31 / Section 31 leasehold as HBP for this cursory report per client direction. Use OGL sheet OGL numbers as controlling. Missing images/OCC/OTC pulls are optional QC, not turn-in blockers.</x:v>
      </x:c>
      <x:c r="C54" s="1223"/>
      <x:c r="D54" s="1223"/>
      <x:c r="E54" s="1223"/>
      <x:c r="F54" s="1223"/>
      <x:c r="G54" s="1223"/>
      <x:c r="H54" s="1223"/>
      <x:c r="I54" s="1223"/>
      <x:c r="J54" s="1223"/>
      <x:c r="K54" s="1223"/>
      <x:c r="L54" s="1223"/>
      <x:c r="M54" s="1223"/>
      <x:c r="N54" s="1223"/>
      <x:c r="O54" s="1223"/>
      <x:c r="P54" s="1223"/>
      <x:c r="Q54" s="1223"/>
      <x:c r="R54" s="1223"/>
      <x:c r="S54" s="1223"/>
      <x:c r="T54" s="1223"/>
      <x:c r="U54" s="1223"/>
      <x:c r="V54" s="1223"/>
      <x:c r="W54" s="1223"/>
      <x:c r="X54" s="1223"/>
      <x:c r="Y54" s="1223"/>
      <x:c r="Z54" s="1223"/>
      <x:c r="AA54" s="1223"/>
      <x:c r="AB54" s="1223"/>
      <x:c r="AC54" s="1223"/>
    </x:row>
    <x:row r="55">
      <x:c r="B55" s="134" t="inlineStr">
        <x:is>
          <x:t xml:space="preserve">INTERESTS SHOWN ARE SUBJECT TO CURATIVE REQUIREMENTS </x:t>
        </x:is>
      </x:c>
    </x:row>
    <x:row r="56" s="569" customFormat="1" ht="12.75" customHeight="1">
      <x:c r="B56" s="440" t="inlineStr">
        <x:is>
          <x:t xml:space="preserve">EXAMINER:</x:t>
        </x:is>
      </x:c>
      <x:c r="F56" s="441" t="inlineStr">
        <x:is>
          <x:t xml:space="preserve">RG</x:t>
        </x:is>
      </x:c>
      <x:c r="Q56" s="260" t="n"/>
      <x:c r="R56" s="260" t="n"/>
      <x:c r="S56" s="260" t="n"/>
      <x:c r="T56" s="260" t="n"/>
      <x:c r="U56" s="260" t="n"/>
      <x:c r="V56" s="260" t="n"/>
      <x:c r="W56" s="260" t="n"/>
      <x:c r="X56" s="260" t="n"/>
      <x:c r="Y56" s="260" t="n"/>
      <x:c r="Z56" s="260" t="n"/>
      <x:c r="AA56" s="260" t="n"/>
      <x:c r="AB56" s="260" t="n"/>
      <x:c r="AC56" s="260" t="n"/>
      <x:c r="AD56" s="260" t="n"/>
      <x:c r="AE56" s="260" t="n"/>
      <x:c r="AF56" s="260" t="n"/>
      <x:c r="AG56" s="260" t="n"/>
      <x:c r="AH56" s="260" t="n"/>
    </x:row>
  </x:sheetData>
  <x:mergeCells>
    <x:mergeCell ref="AC48:AG48"/>
    <x:mergeCell ref="AC38:AD39"/>
    <x:mergeCell ref="L5:Q5"/>
    <x:mergeCell ref="D30:G30"/>
    <x:mergeCell ref="C5:G5"/>
    <x:mergeCell ref="S44:W44"/>
    <x:mergeCell ref="S46:W46"/>
    <x:mergeCell ref="D29:G29"/>
    <x:mergeCell ref="U7:W7"/>
    <x:mergeCell ref="D38:G38"/>
    <x:mergeCell ref="H5:K5"/>
    <x:mergeCell ref="AC22:AD23"/>
    <x:mergeCell ref="M18:N19"/>
    <x:mergeCell ref="B53:AH53"/>
    <x:mergeCell ref="S48:W48"/>
    <x:mergeCell ref="AB30:AE30"/>
    <x:mergeCell ref="B14:F14"/>
    <x:mergeCell ref="D3:O3"/>
    <x:mergeCell ref="AC5:AG5"/>
    <x:mergeCell ref="Q3:AF3"/>
    <x:mergeCell ref="U22:V23"/>
    <x:mergeCell ref="M38:N39"/>
    <x:mergeCell ref="B56:E56"/>
    <x:mergeCell ref="U38:V39"/>
    <x:mergeCell ref="E22:F23"/>
    <x:mergeCell ref="D36:G36"/>
    <x:mergeCell ref="H7:O7"/>
    <x:mergeCell ref="B52:E52"/>
    <x:mergeCell ref="R5:W5"/>
    <x:mergeCell ref="A1:AH1"/>
    <x:mergeCell ref="AC44:AG44"/>
    <x:mergeCell ref="AC46:AG46"/>
    <x:mergeCell ref="Y5:AB5"/>
    <x:mergeCell ref="E17:F18"/>
    <x:mergeCell ref="U30:V31"/>
    <x:mergeCell ref="F56:P56"/>
    <x:mergeCell ref="B9:AG9"/>
    <x:mergeCell ref="E19:F20"/>
    <x:mergeCell ref="D7:G7"/>
    <x:mergeCell ref="B54:AH54"/>
    <x:mergeCell ref="S50:W50"/>
    <x:mergeCell ref="X7:AF7"/>
    <x:mergeCell ref="M22:N23"/>
  </x:mergeCells>
  <x:pageMargins left="0.7" right="0.7" top="0.75" bottom="0.75" header="0.3" footer="0.3"/>
</x:worksheet>
</file>

<file path=xl/worksheets/sheet2.xml><?xml version="1.0" encoding="utf-8"?>
<x:worksheet xmlns:x="http://schemas.openxmlformats.org/spreadsheetml/2006/main">
  <x:sheetFormatPr baseColWidth="8" defaultColWidth="21.42578125" defaultRowHeight="15"/>
  <x:cols>
    <x:col min="1" max="1" width="13.28515625" style="261" customWidth="1"/>
    <x:col min="2" max="2" width="38.5703125" style="292" customWidth="1"/>
    <x:col min="3" max="3" width="13" style="263" customWidth="1"/>
    <x:col min="4" max="4" width="15.42578125" style="263" customWidth="1"/>
    <x:col min="5" max="5" width="21.42578125" style="597" customWidth="1"/>
    <x:col min="6" max="6" width="21.42578125" style="263" customWidth="1"/>
    <x:col min="7" max="7" width="20.28515625" style="263" customWidth="1"/>
    <x:col min="8" max="16384" width="21.42578125" style="261" customWidth="1"/>
  </x:cols>
  <x:sheetData>
    <x:row r="1">
      <x:c r="B1" s="262" t="n"/>
      <x:c r="F1" s="265" t="n"/>
      <x:c r="G1" s="284" t="n"/>
    </x:row>
    <x:row r="2">
      <x:c r="B2" s="656" t="inlineStr">
        <x:is>
          <x:t xml:space="preserve">CURSORY TITLE REPORT — DATED JULY 3, 2026 — PROSPECT 25-004</x:t>
        </x:is>
      </x:c>
    </x:row>
    <x:row r="3">
      <x:c r="A3" s="266" t="n"/>
      <x:c r="B3" s="430" t="inlineStr">
        <x:is>
          <x:t xml:space="preserve">Section 31, Township 12 North, Range 24 West, Roger Mills County, Oklahoma — Containing 637.42 acres, more or less</x:t>
        </x:is>
      </x:c>
      <x:c r="E3" s="598" t="n"/>
      <x:c r="G3" s="657" t="inlineStr">
        <x:is>
          <x:t xml:space="preserve">Well: Alexander #1-31 — Operator: Martin's Resources LLC — API 35-129-22925</x:t>
        </x:is>
      </x:c>
    </x:row>
    <x:row r="4">
      <x:c r="B4" s="268" t="inlineStr">
        <x:is>
          <x:t xml:space="preserve">TRACT 1:</x:t>
        </x:is>
      </x:c>
      <x:c r="C4" s="436" t="inlineStr">
        <x:is>
          <x:t xml:space="preserve">N/2 NE/4</x:t>
        </x:is>
      </x:c>
    </x:row>
    <x:row r="5">
      <x:c r="B5" s="268" t="inlineStr">
        <x:is>
          <x:t xml:space="preserve">Containing:</x:t>
        </x:is>
      </x:c>
      <x:c r="C5" s="435" t="inlineStr">
        <x:is>
          <x:t xml:space="preserve">80 acres, more or less</x:t>
        </x:is>
      </x:c>
    </x:row>
    <x:row r="6">
      <x:c r="B6" s="268" t="n"/>
      <x:c r="C6" s="435" t="n"/>
      <x:c r="D6" s="270" t="n"/>
      <x:c r="E6" s="599" t="n"/>
      <x:c r="F6" s="271" t="n"/>
      <x:c r="G6" s="378" t="n"/>
    </x:row>
    <x:row r="7">
      <x:c r="A7" s="266" t="n"/>
      <x:c r="B7" s="273" t="inlineStr">
        <x:is>
          <x:t xml:space="preserve">Mineral Owner</x:t>
        </x:is>
      </x:c>
      <x:c r="C7" s="274" t="inlineStr">
        <x:is>
          <x:t xml:space="preserve">Net Acres</x:t>
        </x:is>
      </x:c>
      <x:c r="D7" s="275" t="inlineStr">
        <x:is>
          <x:t xml:space="preserve">OGL No.</x:t>
        </x:is>
      </x:c>
      <x:c r="E7" s="600" t="inlineStr">
        <x:is>
          <x:t xml:space="preserve">Royalty</x:t>
        </x:is>
      </x:c>
      <x:c r="F7" s="277" t="inlineStr">
        <x:is>
          <x:t xml:space="preserve">Expiration</x:t>
        </x:is>
      </x:c>
      <x:c r="G7" s="379" t="inlineStr">
        <x:is>
          <x:t xml:space="preserve">Comments</x:t>
        </x:is>
      </x:c>
    </x:row>
    <x:row r="8" s="569" customFormat="1" ht="48" customHeight="1">
      <x:c r="A8" s="266" t="n"/>
      <x:c r="B8" s="278" t="inlineStr">
        <x:is>
          <x:t xml:space="preserve">Panhandle Royalty Company
610 Coury Center
Oklahoma City, OK 73112
</x:t>
        </x:is>
      </x:c>
      <x:c r="C8" s="384" t="n">
        <x:v>20</x:v>
      </x:c>
      <x:c r="D8" s="340" t="n"/>
      <x:c r="E8" s="601" t="n"/>
      <x:c r="F8" s="342" t="n"/>
      <x:c r="G8" s="340" t="inlineStr">
        <x:is>
          <x:t xml:space="preserve">Open</x:t>
        </x:is>
      </x:c>
    </x:row>
    <x:row r="9" s="569" customFormat="1" ht="48" customHeight="1">
      <x:c r="A9" s="266" t="n"/>
      <x:c r="B9" s="658" t="inlineStr">
        <x:is>
          <x:t xml:space="preserve">First City National Bank of Midland, Trustee of the ETA-Flag Royalty Trust
c/o Wells Fargo Trustee
P.O. Box 40909
Austin, TX 78704-0016</x:t>
        </x:is>
      </x:c>
      <x:c r="C9" s="384" t="n">
        <x:v>20</x:v>
      </x:c>
      <x:c r="D9" s="340" t="n"/>
      <x:c r="E9" s="601" t="n"/>
      <x:c r="F9" s="342" t="n"/>
      <x:c r="G9" s="340" t="inlineStr">
        <x:is>
          <x:t xml:space="preserve">1/8 perpetual NPRI per NPRD Bk 981/0002 (1988-004185) — NOT mineral fee. Successor trustee curative open.</x:t>
        </x:is>
      </x:c>
    </x:row>
    <x:row r="10" s="569" customFormat="1" ht="72" customHeight="1">
      <x:c r="A10" s="266" t="n"/>
      <x:c r="B10" s="339" t="inlineStr">
        <x:is>
          <x:t xml:space="preserve">Gena W. Moore, a/k/a Gena Mitchell Williams, a/k/a Gena Williams
100 W Dogwood Street
Hobart, OK 73651</x:t>
        </x:is>
      </x:c>
      <x:c r="C10" s="385" t="n">
        <x:v>10</x:v>
      </x:c>
      <x:c r="D10" s="340" t="inlineStr">
        <x:is>
          <x:t xml:space="preserve">4, 66</x:t>
        </x:is>
      </x:c>
      <x:c r="E10" s="601" t="n">
        <x:v>0.1875</x:v>
      </x:c>
      <x:c r="F10" s="342" t="inlineStr">
        <x:is>
          <x:t xml:space="preserve">HBP,
2/11/31</x:t>
        </x:is>
      </x:c>
      <x:c r="G10" s="340" t="inlineStr">
        <x:is>
          <x:t xml:space="preserve">Base OGL 4 (Bk 1736/0592).
Top lease OGL 66 (Bk 2702/0505), 3/16, exp 02/11/2031.
</x:t>
        </x:is>
      </x:c>
    </x:row>
    <x:row r="11" s="569" customFormat="1" ht="72" customHeight="1">
      <x:c r="A11" s="266" t="n"/>
      <x:c r="B11" s="377" t="inlineStr">
        <x:is>
          <x:t xml:space="preserve">Gene G. Williams
P.O. Box 763
Hobart, OK 73564</x:t>
        </x:is>
      </x:c>
      <x:c r="C11" s="385" t="n">
        <x:v>10</x:v>
      </x:c>
      <x:c r="D11" s="340" t="inlineStr">
        <x:is>
          <x:t xml:space="preserve">4, 66</x:t>
        </x:is>
      </x:c>
      <x:c r="E11" s="601" t="n">
        <x:v>0.1875</x:v>
      </x:c>
      <x:c r="F11" s="342" t="inlineStr">
        <x:is>
          <x:t xml:space="preserve">HBP,
2/11/31</x:t>
        </x:is>
      </x:c>
      <x:c r="G11" s="340" t="inlineStr">
        <x:is>
          <x:t xml:space="preserve">Base OGL 4 (Bk 1736/0592).
Top lease OGL 66 (Bk 2702/0505), 3/16, exp 02/11/2031.
</x:t>
        </x:is>
      </x:c>
    </x:row>
    <x:row r="12" s="569" customFormat="1" ht="72" customHeight="1">
      <x:c r="A12" s="266" t="n"/>
      <x:c r="B12" s="339" t="inlineStr">
        <x:is>
          <x:t xml:space="preserve">Mitchell Buonaccorsi Living Trust U/A dated July 9, 2024
1880 Old Salem Road
Watkinsville, GA 30677</x:t>
        </x:is>
      </x:c>
      <x:c r="C12" s="385" t="n">
        <x:v>10</x:v>
      </x:c>
      <x:c r="D12" s="340" t="inlineStr">
        <x:is>
          <x:t xml:space="preserve">1, 64</x:t>
        </x:is>
      </x:c>
      <x:c r="E12" s="601" t="n">
        <x:v>0.1875</x:v>
      </x:c>
      <x:c r="F12" s="342" t="inlineStr">
        <x:is>
          <x:t xml:space="preserve">HBP,
2/23/29</x:t>
        </x:is>
      </x:c>
      <x:c r="G12" s="340" t="inlineStr">
        <x:is>
          <x:t xml:space="preserve">Base OGL 1 (Bk 1736/0594).
Top lease OGL 64 (Bk 2693/0337), 3/16, exp 02/23/2029.
</x:t>
        </x:is>
      </x:c>
    </x:row>
    <x:row r="13" s="569" customFormat="1" ht="72" customHeight="1">
      <x:c r="A13" s="266" t="n"/>
      <x:c r="B13" s="339" t="inlineStr">
        <x:is>
          <x:t xml:space="preserve">Ronald Paul Dold
753 Velma Street
Memphis, TN 38104</x:t>
        </x:is>
      </x:c>
      <x:c r="C13" s="385" t="n">
        <x:v>10</x:v>
      </x:c>
      <x:c r="D13" s="340" t="inlineStr">
        <x:is>
          <x:t xml:space="preserve">2, 65</x:t>
        </x:is>
      </x:c>
      <x:c r="E13" s="601" t="n">
        <x:v>0.1875</x:v>
      </x:c>
      <x:c r="F13" s="342" t="inlineStr">
        <x:is>
          <x:t xml:space="preserve">HBP,
3/31/29</x:t>
        </x:is>
      </x:c>
      <x:c r="G13" s="340" t="inlineStr">
        <x:is>
          <x:t xml:space="preserve">Base OGL 2 (Bk 1736/0600).
Top lease OGL 65 (Bk 2697/0524), 3/16, exp 03/31/2029.
</x:t>
        </x:is>
      </x:c>
    </x:row>
    <x:row r="14">
      <x:c r="A14" s="266" t="n"/>
      <x:c r="B14" s="279" t="inlineStr">
        <x:is>
          <x:t xml:space="preserve">REPORT TOTAL</x:t>
        </x:is>
      </x:c>
      <x:c r="C14" s="386" t="n">
        <x:f>SUM(C8:C13)</x:f>
        <x:v>80</x:v>
      </x:c>
      <x:c r="F14" s="265" t="n"/>
      <x:c r="G14" s="284" t="n"/>
    </x:row>
    <x:row r="15">
      <x:c r="B15" s="281" t="inlineStr">
        <x:is>
          <x:t xml:space="preserve">TOTAL</x:t>
        </x:is>
      </x:c>
      <x:c r="C15" s="387" t="n">
        <x:f>C14</x:f>
        <x:v>80</x:v>
      </x:c>
      <x:c r="F15" s="265" t="n"/>
      <x:c r="G15" s="284" t="n"/>
    </x:row>
    <x:row r="16">
      <x:c r="B16" s="268" t="n"/>
      <x:c r="C16" s="388" t="n"/>
      <x:c r="F16" s="265" t="n"/>
      <x:c r="G16" s="284" t="n"/>
    </x:row>
    <x:row r="17">
      <x:c r="B17" s="268" t="n"/>
      <x:c r="C17" s="388" t="n"/>
      <x:c r="F17" s="265" t="n"/>
      <x:c r="G17" s="284" t="n"/>
    </x:row>
    <x:row r="18">
      <x:c r="B18" s="268" t="inlineStr">
        <x:is>
          <x:t xml:space="preserve">TRACT 2:</x:t>
        </x:is>
      </x:c>
      <x:c r="C18" s="436" t="inlineStr">
        <x:is>
          <x:t xml:space="preserve">SW/4 NE/4, NW/4 SE/4, S/2 SE/4</x:t>
        </x:is>
      </x:c>
    </x:row>
    <x:row r="19">
      <x:c r="B19" s="268" t="inlineStr">
        <x:is>
          <x:t xml:space="preserve">Containing:</x:t>
        </x:is>
      </x:c>
      <x:c r="C19" s="435" t="inlineStr">
        <x:is>
          <x:t xml:space="preserve">160 acres, more or less</x:t>
        </x:is>
      </x:c>
    </x:row>
    <x:row r="20">
      <x:c r="B20" s="268" t="n"/>
      <x:c r="C20" s="435" t="n"/>
      <x:c r="D20" s="270" t="n"/>
      <x:c r="E20" s="599" t="n"/>
      <x:c r="F20" s="271" t="n"/>
      <x:c r="G20" s="378" t="n"/>
    </x:row>
    <x:row r="21">
      <x:c r="B21" s="273" t="inlineStr">
        <x:is>
          <x:t xml:space="preserve">Mineral Owner</x:t>
        </x:is>
      </x:c>
      <x:c r="C21" s="274" t="inlineStr">
        <x:is>
          <x:t xml:space="preserve">Net Acres</x:t>
        </x:is>
      </x:c>
      <x:c r="D21" s="275" t="inlineStr">
        <x:is>
          <x:t xml:space="preserve">OGL No.</x:t>
        </x:is>
      </x:c>
      <x:c r="E21" s="600" t="inlineStr">
        <x:is>
          <x:t xml:space="preserve">Royalty</x:t>
        </x:is>
      </x:c>
      <x:c r="F21" s="277" t="inlineStr">
        <x:is>
          <x:t xml:space="preserve">Expiration</x:t>
        </x:is>
      </x:c>
      <x:c r="G21" s="379" t="inlineStr">
        <x:is>
          <x:t xml:space="preserve">Comments</x:t>
        </x:is>
      </x:c>
    </x:row>
    <x:row r="22" s="569" customFormat="1" ht="36" customHeight="1">
      <x:c r="A22" s="266" t="n"/>
      <x:c r="B22" s="339" t="inlineStr">
        <x:is>
          <x:t xml:space="preserve">Del Monte Royalty Partners, LLC
P.O. Box 18776
Oklahoma City, OK 73154</x:t>
        </x:is>
      </x:c>
      <x:c r="C22" s="385" t="n">
        <x:v>0.75</x:v>
      </x:c>
      <x:c r="D22" s="340" t="inlineStr">
        <x:is>
          <x:t xml:space="preserve">HBP (base)</x:t>
        </x:is>
      </x:c>
      <x:c r="E22" s="601" t="n"/>
      <x:c r="F22" s="342" t="str">
        <x:v>HBP per OGL sheet / client direction; image/OCC/OTC verification not required for current cursory turn-in.</x:v>
      </x:c>
      <x:c r="G22" s="340" t="n"/>
    </x:row>
    <x:row r="23" s="569" customFormat="1" ht="36" customHeight="1">
      <x:c r="A23" s="266" t="n"/>
      <x:c r="B23" s="339" t="inlineStr">
        <x:is>
          <x:t xml:space="preserve">OKKI Industries, LLC
P.O. Box 54859
Oklahoma City, OK 73154</x:t>
        </x:is>
      </x:c>
      <x:c r="C23" s="385" t="n">
        <x:v>0.75</x:v>
      </x:c>
      <x:c r="D23" s="340" t="inlineStr">
        <x:is>
          <x:t xml:space="preserve">HBP (base)</x:t>
        </x:is>
      </x:c>
      <x:c r="E23" s="601" t="n"/>
      <x:c r="F23" s="342" t="str">
        <x:v>HBP per OGL sheet / client direction; image/OCC/OTC verification not required for current cursory turn-in.</x:v>
      </x:c>
      <x:c r="G23" s="340" t="n"/>
    </x:row>
    <x:row r="24" s="569" customFormat="1" ht="60" customHeight="1">
      <x:c r="A24" s="266" t="n"/>
      <x:c r="B24" s="339" t="inlineStr">
        <x:is>
          <x:t xml:space="preserve">Paul R. Deutsch and/or Deborah A. Deutsch
7828 NW 124th St
Kansas City, MO 64163</x:t>
        </x:is>
      </x:c>
      <x:c r="C24" s="426" t="n">
        <x:v>0.6064664485072081</x:v>
      </x:c>
      <x:c r="D24" s="340" t="n">
        <x:v>42</x:v>
      </x:c>
      <x:c r="E24" s="601" t="n">
        <x:v>0.25</x:v>
      </x:c>
      <x:c r="F24" s="427" t="str">
        <x:v>HBP per OGL sheet / client direction; image/OCC/OTC verification not required for current cursory turn-in.</x:v>
      </x:c>
      <x:c r="G24" s="428" t="inlineStr">
        <x:is>
          <x:t xml:space="preserve">Lessor on base OGL 42 (Bk 1816/0376), 1/4 royalty. Lease coverage of this interest is subject to further examination.</x:t>
        </x:is>
      </x:c>
    </x:row>
    <x:row r="25" s="569" customFormat="1" ht="48" customHeight="1">
      <x:c r="A25" s="266" t="n"/>
      <x:c r="B25" s="339" t="inlineStr">
        <x:is>
          <x:t xml:space="preserve">Cardinal Land Company, LLC, an Oklahoma limited liability company
5713 N.W. 132nd Street
Oklahoma City, OK 73142</x:t>
        </x:is>
      </x:c>
      <x:c r="C25" s="385" t="n">
        <x:v>1.5</x:v>
      </x:c>
      <x:c r="D25" s="340" t="inlineStr">
        <x:is>
          <x:t xml:space="preserve">HBP (base)</x:t>
        </x:is>
      </x:c>
      <x:c r="E25" s="601" t="n"/>
      <x:c r="F25" s="342" t="str">
        <x:v>HBP per OGL sheet / client direction; image/OCC/OTC verification not required for current cursory turn-in.</x:v>
      </x:c>
      <x:c r="G25" s="340" t="n"/>
    </x:row>
    <x:row r="26" s="569" customFormat="1" ht="36" customHeight="1">
      <x:c r="A26" s="266" t="n"/>
      <x:c r="B26" s="339" t="inlineStr">
        <x:is>
          <x:t xml:space="preserve">Longreach Energy 2, LLC
401 South Boston Avenue, Suite 1900
Tulsa, OK 74103</x:t>
        </x:is>
      </x:c>
      <x:c r="C26" s="385" t="n">
        <x:v>0.5486732126399876</x:v>
      </x:c>
      <x:c r="D26" s="340" t="inlineStr">
        <x:is>
          <x:t xml:space="preserve">HBP (base)</x:t>
        </x:is>
      </x:c>
      <x:c r="E26" s="601" t="n"/>
      <x:c r="F26" s="342" t="str">
        <x:v>HBP per OGL sheet / client direction; image/OCC/OTC verification not required for current cursory turn-in.</x:v>
      </x:c>
      <x:c r="G26" s="340" t="n"/>
    </x:row>
    <x:row r="27" s="569" customFormat="1" ht="36" customHeight="1">
      <x:c r="A27" s="266" t="n"/>
      <x:c r="B27" s="339" t="inlineStr">
        <x:is>
          <x:t xml:space="preserve">Royfin Natural Gas, LLC
401 South Boston Avenue, Suite 1900
Tulsa, OK 74103</x:t>
        </x:is>
      </x:c>
      <x:c r="C27" s="385" t="n">
        <x:v>1.28769873660214</x:v>
      </x:c>
      <x:c r="D27" s="340" t="inlineStr">
        <x:is>
          <x:t xml:space="preserve">HBP (base)</x:t>
        </x:is>
      </x:c>
      <x:c r="E27" s="601" t="n"/>
      <x:c r="F27" s="342" t="str">
        <x:v>HBP per OGL sheet / client direction; image/OCC/OTC verification not required for current cursory turn-in.</x:v>
      </x:c>
      <x:c r="G27" s="340" t="n"/>
    </x:row>
    <x:row r="28" s="569" customFormat="1" ht="76.5" customHeight="1">
      <x:c r="A28" s="266" t="n"/>
      <x:c r="B28" s="343" t="inlineStr">
        <x:is>
          <x:t xml:space="preserve">Paul M. Bain, as Trustee of the Paul M. Bain GST Tax-Exempt Trust, created under the CDB Trust dated January 10, 1994
7065 Archibald Ave.
Ste 102-457
Eastvale, CA 92880</x:t>
        </x:is>
      </x:c>
      <x:c r="C28" s="389" t="n">
        <x:v>5.410626666666667</x:v>
      </x:c>
      <x:c r="D28" s="344" t="inlineStr">
        <x:is>
          <x:t xml:space="preserve">HBP (base)</x:t>
        </x:is>
      </x:c>
      <x:c r="E28" s="602" t="n"/>
      <x:c r="F28" s="346" t="str">
        <x:v>HBP per OGL sheet / client direction; image/OCC/OTC verification not required for current cursory turn-in.</x:v>
      </x:c>
      <x:c r="G28" s="344" t="n"/>
    </x:row>
    <x:row r="29" s="569" customFormat="1" ht="89.25" customHeight="1">
      <x:c r="A29" s="266" t="n"/>
      <x:c r="B29" s="343" t="inlineStr">
        <x:is>
          <x:t xml:space="preserve">Anna T. Bain Gibson
P.O. Box 16913
Wichita, KS 67216</x:t>
        </x:is>
      </x:c>
      <x:c r="C29" s="389" t="n">
        <x:v>4.435946666666666</x:v>
      </x:c>
      <x:c r="D29" s="344" t="inlineStr">
        <x:is>
          <x:t xml:space="preserve">HBP (base)</x:t>
        </x:is>
      </x:c>
      <x:c r="E29" s="602" t="n"/>
      <x:c r="F29" s="346" t="str">
        <x:v>HBP per OGL sheet / client direction; image/OCC/OTC verification not required for current cursory turn-in.</x:v>
      </x:c>
      <x:c r="G29" s="344" t="inlineStr">
        <x:is>
          <x:t xml:space="preserve">OGL 56 (Bk 1821/0092) Gibson solo lease located; OGL 57 (Bk 1736/0496) alternate. Operative base not determined.</x:t>
        </x:is>
      </x:c>
    </x:row>
    <x:row r="30">
      <x:c r="A30" s="266" t="n"/>
      <x:c r="B30" s="659" t="inlineStr">
        <x:is>
          <x:t xml:space="preserve">Brian Herman Kortright
Address not located — mineral deeds 2011-008134, 2013-006083; Bk 2106/387, 2219/516</x:t>
        </x:is>
      </x:c>
      <x:c r="C30" s="389" t="n">
        <x:v>0.202155482835736</x:v>
      </x:c>
      <x:c r="D30" s="344" t="inlineStr">
        <x:is>
          <x:t xml:space="preserve">HBP (base)</x:t>
        </x:is>
      </x:c>
      <x:c r="E30" s="602" t="n"/>
      <x:c r="F30" s="346" t="str">
        <x:v>HBP per OGL sheet / client direction; image/OCC/OTC verification not required for current cursory turn-in.</x:v>
      </x:c>
      <x:c r="G30" s="344" t="inlineStr">
        <x:is>
          <x:t xml:space="preserve">Vesting confirmed Bk 2219/0516 &amp; 2106/0387 (Slobin → Kortright). Address not stated of record.</x:t>
        </x:is>
      </x:c>
    </x:row>
    <x:row r="31" s="569" customFormat="1" ht="51" customHeight="1">
      <x:c r="A31" s="266" t="n"/>
      <x:c r="B31" s="343" t="inlineStr">
        <x:is>
          <x:t xml:space="preserve">Eric Jansen
c/o Hasbany Insurance
254 Pleasant St.
Methuen, MA 01844</x:t>
        </x:is>
      </x:c>
      <x:c r="C31" s="389" t="n">
        <x:v>0.40416</x:v>
      </x:c>
      <x:c r="D31" s="344" t="inlineStr">
        <x:is>
          <x:t xml:space="preserve">HBP (base)</x:t>
        </x:is>
      </x:c>
      <x:c r="E31" s="602" t="n"/>
      <x:c r="F31" s="346" t="str">
        <x:v>HBP per OGL sheet / client direction; image/OCC/OTC verification not required for current cursory turn-in.</x:v>
      </x:c>
      <x:c r="G31" s="344" t="n"/>
    </x:row>
    <x:row r="32" s="569" customFormat="1" ht="63.75" customHeight="1">
      <x:c r="A32" s="266" t="n"/>
      <x:c r="B32" s="347" t="inlineStr">
        <x:is>
          <x:t xml:space="preserve">The William A. Smith and Isa May Smith Family Revocable Trust dated February 26, 2015
33839 Acme Road
Macomb, OK 74852</x:t>
        </x:is>
      </x:c>
      <x:c r="C32" s="389" t="n">
        <x:v>0</x:v>
      </x:c>
      <x:c r="D32" s="348" t="n">
        <x:v>14</x:v>
      </x:c>
      <x:c r="E32" s="602" t="n">
        <x:v>0.25</x:v>
      </x:c>
      <x:c r="F32" s="346" t="str">
        <x:v>HBP per OGL sheet / client direction; image/OCC/OTC verification not required for current cursory turn-in.</x:v>
      </x:c>
      <x:c r="G32" s="344" t="inlineStr">
        <x:is>
          <x:t xml:space="preserve">Base OGL 14 (Isa May Smith, Bk 1782/0261), 1/4 royalty, 2-yr primary term with depth clause.</x:t>
        </x:is>
      </x:c>
    </x:row>
    <x:row r="33" s="569" customFormat="1" ht="63.75" customHeight="1">
      <x:c r="A33" s="266" t="n"/>
      <x:c r="B33" s="347" t="inlineStr">
        <x:is>
          <x:t xml:space="preserve">Jesse William Fuchs and Jinkee D. Acuero Fuchs, as Trustees under the Declaration of Trust
10009 E. Franklin Rd.
Norman, OK 73026</x:t>
        </x:is>
      </x:c>
      <x:c r="C33" s="389" t="n">
        <x:v>0</x:v>
      </x:c>
      <x:c r="D33" s="344" t="inlineStr">
        <x:is>
          <x:t xml:space="preserve">—</x:t>
        </x:is>
      </x:c>
      <x:c r="E33" s="602" t="n"/>
      <x:c r="F33" s="346" t="n"/>
      <x:c r="G33" s="344" t="n"/>
    </x:row>
    <x:row r="34">
      <x:c r="A34" s="266" t="n"/>
      <x:c r="B34" s="660" t="inlineStr">
        <x:is>
          <x:t xml:space="preserve">William C. Bain
961 Country Road
Idaho Falls, ID 83402</x:t>
        </x:is>
      </x:c>
      <x:c r="C34" s="385" t="n">
        <x:v>16.17243983979181</x:v>
      </x:c>
      <x:c r="D34" s="340" t="inlineStr">
        <x:is>
          <x:t xml:space="preserve">—</x:t>
        </x:is>
      </x:c>
      <x:c r="E34" s="601" t="n"/>
      <x:c r="F34" s="342" t="n"/>
      <x:c r="G34" s="340" t="n"/>
    </x:row>
    <x:row r="35">
      <x:c r="A35" s="266" t="n"/>
      <x:c r="B35" s="660" t="inlineStr">
        <x:is>
          <x:t xml:space="preserve">Opal L. Fuchs
Address not located — mineral deed Bk 237/370; probate Bk 1583/389 (deceased)</x:t>
        </x:is>
      </x:c>
      <x:c r="C35" s="385" t="n">
        <x:v>17.55315976600502</x:v>
      </x:c>
      <x:c r="D35" s="340" t="inlineStr">
        <x:is>
          <x:t xml:space="preserve">—</x:t>
        </x:is>
      </x:c>
      <x:c r="E35" s="601" t="n"/>
      <x:c r="F35" s="342" t="n"/>
      <x:c r="G35" s="340" t="n"/>
    </x:row>
    <x:row r="36" s="569" customFormat="1" ht="36" customHeight="1">
      <x:c r="A36" s="266" t="n"/>
      <x:c r="B36" s="339" t="inlineStr">
        <x:is>
          <x:t xml:space="preserve">Carl L. Bain
1517 Twichell
Dumas, TX 79029</x:t>
        </x:is>
      </x:c>
      <x:c r="C36" s="385" t="n">
        <x:v>8.086219313429442</x:v>
      </x:c>
      <x:c r="D36" s="340" t="inlineStr">
        <x:is>
          <x:t xml:space="preserve">—</x:t>
        </x:is>
      </x:c>
      <x:c r="E36" s="601" t="n"/>
      <x:c r="F36" s="342" t="n"/>
      <x:c r="G36" s="340" t="n"/>
    </x:row>
    <x:row r="37" s="569" customFormat="1" ht="24" customHeight="1">
      <x:c r="A37" s="266" t="n"/>
      <x:c r="B37" s="660" t="inlineStr">
        <x:is>
          <x:t xml:space="preserve">William C. Bain, Jr. (presumed to be a/k/a William Cobal Bain, Jr.
961 Country Road
Idaho Falls, ID 83402</x:t>
        </x:is>
      </x:c>
      <x:c r="C37" s="385" t="n">
        <x:v>3.976600502220151e-05</x:v>
      </x:c>
      <x:c r="D37" s="340" t="inlineStr">
        <x:is>
          <x:t xml:space="preserve">—</x:t>
        </x:is>
      </x:c>
      <x:c r="E37" s="601" t="n"/>
      <x:c r="F37" s="342" t="n"/>
      <x:c r="G37" s="340" t="n"/>
    </x:row>
    <x:row r="38" s="569" customFormat="1" ht="24" customHeight="1">
      <x:c r="A38" s="266" t="n"/>
      <x:c r="B38" s="660" t="inlineStr">
        <x:is>
          <x:t xml:space="preserve">Billy W. Bain (presumed to be a/k/a Billy Wayne Bain)
229 North Chemical
Hutchinson, KS 67501</x:t>
        </x:is>
      </x:c>
      <x:c r="C38" s="385" t="n">
        <x:v>0.6065210749617722</x:v>
      </x:c>
      <x:c r="D38" s="340" t="inlineStr">
        <x:is>
          <x:t xml:space="preserve">—</x:t>
        </x:is>
      </x:c>
      <x:c r="E38" s="601" t="n"/>
      <x:c r="F38" s="342" t="n"/>
      <x:c r="G38" s="340" t="n"/>
    </x:row>
    <x:row r="39" s="569" customFormat="1" ht="36" customHeight="1">
      <x:c r="A39" s="266" t="n"/>
      <x:c r="B39" s="339" t="inlineStr">
        <x:is>
          <x:t xml:space="preserve">Juanita M. Wolff
P. O. Box 182
Sioux City, IA 51102</x:t>
        </x:is>
      </x:c>
      <x:c r="C39" s="385" t="n">
        <x:v>15.90214855901044</x:v>
      </x:c>
      <x:c r="D39" s="340" t="inlineStr">
        <x:is>
          <x:t xml:space="preserve">—</x:t>
        </x:is>
      </x:c>
      <x:c r="E39" s="601" t="n"/>
      <x:c r="F39" s="342" t="n"/>
      <x:c r="G39" s="340" t="n"/>
    </x:row>
    <x:row r="40">
      <x:c r="A40" s="266" t="n"/>
      <x:c r="B40" s="660" t="inlineStr">
        <x:is>
          <x:t xml:space="preserve">Gregory J. Winneke
14215 Cougar Creek
San Antonio, TX 78230</x:t>
        </x:is>
      </x:c>
      <x:c r="C40" s="385" t="n">
        <x:v>7.548283573598213e-05</x:v>
      </x:c>
      <x:c r="D40" s="340" t="inlineStr">
        <x:is>
          <x:t xml:space="preserve">—</x:t>
        </x:is>
      </x:c>
      <x:c r="E40" s="601" t="n"/>
      <x:c r="F40" s="342" t="n"/>
      <x:c r="G40" s="340" t="n"/>
    </x:row>
    <x:row r="41" s="569" customFormat="1" ht="36" customHeight="1">
      <x:c r="A41" s="266" t="n"/>
      <x:c r="B41" s="339" t="inlineStr">
        <x:is>
          <x:t xml:space="preserve">Lyle T. Ibeling
740 Herron Court
Waterloo, WI 53594</x:t>
        </x:is>
      </x:c>
      <x:c r="C41" s="385" t="n">
        <x:v>7.548283573601683e-05</x:v>
      </x:c>
      <x:c r="D41" s="340" t="inlineStr">
        <x:is>
          <x:t xml:space="preserve">—</x:t>
        </x:is>
      </x:c>
      <x:c r="E41" s="601" t="n"/>
      <x:c r="F41" s="342" t="n"/>
      <x:c r="G41" s="340" t="n"/>
    </x:row>
    <x:row r="42">
      <x:c r="A42" s="266" t="n"/>
      <x:c r="B42" s="660" t="inlineStr">
        <x:is>
          <x:t xml:space="preserve">Billy Wayne Bain, Trustee
P.O. Box 16913
Wichita, KS 67216</x:t>
        </x:is>
      </x:c>
      <x:c r="C42" s="385" t="n">
        <x:v>1.617692445702298</x:v>
      </x:c>
      <x:c r="D42" s="340" t="inlineStr">
        <x:is>
          <x:t xml:space="preserve">—</x:t>
        </x:is>
      </x:c>
      <x:c r="E42" s="601" t="n"/>
      <x:c r="F42" s="342" t="n"/>
      <x:c r="G42" s="340" t="n"/>
    </x:row>
    <x:row r="43">
      <x:c r="A43" s="266" t="n"/>
      <x:c r="B43" s="660" t="inlineStr">
        <x:is>
          <x:t xml:space="preserve">Jonathan E. Jensen
5673 Doschadis
Waterloo, WI 53594</x:t>
        </x:is>
      </x:c>
      <x:c r="C43" s="385" t="n">
        <x:v>7.548283573601683e-05</x:v>
      </x:c>
      <x:c r="D43" s="340" t="inlineStr">
        <x:is>
          <x:t xml:space="preserve">—</x:t>
        </x:is>
      </x:c>
      <x:c r="E43" s="601" t="n"/>
      <x:c r="F43" s="342" t="n"/>
      <x:c r="G43" s="340" t="n"/>
    </x:row>
    <x:row r="44">
      <x:c r="A44" s="266" t="n"/>
      <x:c r="B44" s="660" t="inlineStr">
        <x:is>
          <x:t xml:space="preserve">John R. Bringle
Address not located — mineral deed Bk 517/135; no mailing on index</x:t>
        </x:is>
      </x:c>
      <x:c r="C44" s="385" t="n">
        <x:v>0.202155482835736</x:v>
      </x:c>
      <x:c r="D44" s="340" t="inlineStr">
        <x:is>
          <x:t xml:space="preserve">—</x:t>
        </x:is>
      </x:c>
      <x:c r="E44" s="601" t="n"/>
      <x:c r="F44" s="342" t="n"/>
      <x:c r="G44" s="340" t="n"/>
    </x:row>
    <x:row r="45">
      <x:c r="A45" s="266" t="n"/>
      <x:c r="B45" s="660" t="inlineStr">
        <x:is>
          <x:t xml:space="preserve">James F. Menehan
1755 16th Street
Monroe, WI 53566</x:t>
        </x:is>
      </x:c>
      <x:c r="C45" s="385" t="n">
        <x:v>0.202155482835736</x:v>
      </x:c>
      <x:c r="D45" s="340" t="inlineStr">
        <x:is>
          <x:t xml:space="preserve">—</x:t>
        </x:is>
      </x:c>
      <x:c r="E45" s="601" t="n"/>
      <x:c r="F45" s="342" t="n"/>
      <x:c r="G45" s="340" t="n"/>
    </x:row>
    <x:row r="46">
      <x:c r="A46" s="266" t="n"/>
      <x:c r="B46" s="660" t="inlineStr">
        <x:is>
          <x:t xml:space="preserve">L. A. Persicke
36836 Franklin Ave.
Madera, CA 93637</x:t>
        </x:is>
      </x:c>
      <x:c r="C46" s="385" t="n">
        <x:v>0.202155482835736</x:v>
      </x:c>
      <x:c r="D46" s="340" t="inlineStr">
        <x:is>
          <x:t xml:space="preserve">—</x:t>
        </x:is>
      </x:c>
      <x:c r="E46" s="601" t="n"/>
      <x:c r="F46" s="342" t="n"/>
      <x:c r="G46" s="340" t="n"/>
    </x:row>
    <x:row r="47">
      <x:c r="A47" s="266" t="n"/>
      <x:c r="B47" s="660" t="inlineStr">
        <x:is>
          <x:t xml:space="preserve">Richard M. Heins
6333 Odana Road
Madison, WI 53716</x:t>
        </x:is>
      </x:c>
      <x:c r="C47" s="385" t="n">
        <x:v>0.4043109656714721</x:v>
      </x:c>
      <x:c r="D47" s="340" t="inlineStr">
        <x:is>
          <x:t xml:space="preserve">—</x:t>
        </x:is>
      </x:c>
      <x:c r="E47" s="601" t="n"/>
      <x:c r="F47" s="342" t="n"/>
      <x:c r="G47" s="340" t="n"/>
    </x:row>
    <x:row r="48">
      <x:c r="A48" s="266" t="n"/>
      <x:c r="B48" s="660" t="inlineStr">
        <x:is>
          <x:t xml:space="preserve">David S. Silverberry
26 W. 45th
Sioux City, IA 51101</x:t>
        </x:is>
      </x:c>
      <x:c r="C48" s="385" t="n">
        <x:v>0.4043109656714721</x:v>
      </x:c>
      <x:c r="D48" s="340" t="inlineStr">
        <x:is>
          <x:t xml:space="preserve">—</x:t>
        </x:is>
      </x:c>
      <x:c r="E48" s="601" t="n"/>
      <x:c r="F48" s="342" t="n"/>
      <x:c r="G48" s="340" t="n"/>
    </x:row>
    <x:row r="49" s="569" customFormat="1" ht="36" customHeight="1">
      <x:c r="A49" s="266" t="n"/>
      <x:c r="B49" s="339" t="inlineStr">
        <x:is>
          <x:t xml:space="preserve">Clarence C. Bain
3236 West Cactus Road
Phoenix, AZ 85029</x:t>
        </x:is>
      </x:c>
      <x:c r="C49" s="385" t="n">
        <x:v>0.8292979614631657</x:v>
      </x:c>
      <x:c r="D49" s="340" t="inlineStr">
        <x:is>
          <x:t xml:space="preserve">—</x:t>
        </x:is>
      </x:c>
      <x:c r="E49" s="601" t="n"/>
      <x:c r="F49" s="342" t="n"/>
      <x:c r="G49" s="340" t="n"/>
    </x:row>
    <x:row r="50">
      <x:c r="A50" s="266" t="n"/>
      <x:c r="B50" s="660" t="inlineStr">
        <x:is>
          <x:t xml:space="preserve">Ted L. Herbold
1755 16th Street
Monroe, WI 53566</x:t>
        </x:is>
      </x:c>
      <x:c r="C50" s="385" t="n">
        <x:v>1.01077741417868</x:v>
      </x:c>
      <x:c r="D50" s="340" t="inlineStr">
        <x:is>
          <x:t xml:space="preserve">—</x:t>
        </x:is>
      </x:c>
      <x:c r="E50" s="601" t="n"/>
      <x:c r="F50" s="342" t="n"/>
      <x:c r="G50" s="340" t="n"/>
    </x:row>
    <x:row r="51">
      <x:c r="A51" s="266" t="n"/>
      <x:c r="B51" s="660" t="inlineStr">
        <x:is>
          <x:t xml:space="preserve">Theodore L. Herbold
1755 16th Street
Monroe, WI 53566</x:t>
        </x:is>
      </x:c>
      <x:c r="C51" s="385" t="n">
        <x:v>0.4043109656714721</x:v>
      </x:c>
      <x:c r="D51" s="340" t="inlineStr">
        <x:is>
          <x:t xml:space="preserve">—</x:t>
        </x:is>
      </x:c>
      <x:c r="E51" s="601" t="n"/>
      <x:c r="F51" s="342" t="n"/>
      <x:c r="G51" s="340" t="n"/>
    </x:row>
    <x:row r="52">
      <x:c r="A52" s="266" t="n"/>
      <x:c r="B52" s="660" t="inlineStr">
        <x:is>
          <x:t xml:space="preserve">Bary Ellen Sitzman
26 W. 45th
Sioux City, IA 51101</x:t>
        </x:is>
      </x:c>
      <x:c r="C52" s="385" t="n">
        <x:v>0.202155482835736</x:v>
      </x:c>
      <x:c r="D52" s="340" t="inlineStr">
        <x:is>
          <x:t xml:space="preserve">—</x:t>
        </x:is>
      </x:c>
      <x:c r="E52" s="601" t="n"/>
      <x:c r="F52" s="342" t="n"/>
      <x:c r="G52" s="340" t="n"/>
    </x:row>
    <x:row r="53">
      <x:c r="A53" s="266" t="n"/>
      <x:c r="B53" s="660" t="inlineStr">
        <x:is>
          <x:t xml:space="preserve">William Clifton Bain
961 Country Road
Idaho Falls, ID 83402</x:t>
        </x:is>
      </x:c>
      <x:c r="C53" s="385" t="n">
        <x:v>0.113097520327453</x:v>
      </x:c>
      <x:c r="D53" s="340" t="inlineStr">
        <x:is>
          <x:t xml:space="preserve">—</x:t>
        </x:is>
      </x:c>
      <x:c r="E53" s="601" t="n"/>
      <x:c r="F53" s="342" t="n"/>
      <x:c r="G53" s="340" t="n"/>
    </x:row>
    <x:row r="54">
      <x:c r="A54" s="266" t="n"/>
      <x:c r="B54" s="660" t="inlineStr">
        <x:is>
          <x:t xml:space="preserve">Michael Lee Bain
5039 West Pea Ridge Rd.
Huntington, WV 25705</x:t>
        </x:is>
      </x:c>
      <x:c r="C54" s="385" t="n">
        <x:v>0.1130975203274528</x:v>
      </x:c>
      <x:c r="D54" s="340" t="inlineStr">
        <x:is>
          <x:t xml:space="preserve">—</x:t>
        </x:is>
      </x:c>
      <x:c r="E54" s="601" t="n"/>
      <x:c r="F54" s="342" t="n"/>
      <x:c r="G54" s="340" t="n"/>
    </x:row>
    <x:row r="55">
      <x:c r="A55" s="266" t="n"/>
      <x:c r="B55" s="660" t="inlineStr">
        <x:is>
          <x:t xml:space="preserve">Paul Milton Bain
7065 Archibald Ave., Ste 102-457
Eastvale, CA 92880</x:t>
        </x:is>
      </x:c>
      <x:c r="C55" s="385" t="n">
        <x:v>0.1130975203274528</x:v>
      </x:c>
      <x:c r="D55" s="340" t="inlineStr">
        <x:is>
          <x:t xml:space="preserve">—</x:t>
        </x:is>
      </x:c>
      <x:c r="E55" s="601" t="n"/>
      <x:c r="F55" s="342" t="n"/>
      <x:c r="G55" s="340" t="n"/>
    </x:row>
    <x:row r="56" s="569" customFormat="1" ht="36" customHeight="1">
      <x:c r="A56" s="266" t="n"/>
      <x:c r="B56" s="339" t="inlineStr">
        <x:is>
          <x:t xml:space="preserve">Carl Leon Bain
1517 Twichell
Dumas, TX 79029</x:t>
        </x:is>
      </x:c>
      <x:c r="C56" s="385" t="n">
        <x:v>1.168590522445525</x:v>
      </x:c>
      <x:c r="D56" s="340" t="inlineStr">
        <x:is>
          <x:t xml:space="preserve">—</x:t>
        </x:is>
      </x:c>
      <x:c r="E56" s="601" t="n"/>
      <x:c r="F56" s="342" t="n"/>
      <x:c r="G56" s="340" t="n"/>
    </x:row>
    <x:row r="57">
      <x:c r="A57" s="266" t="n"/>
      <x:c r="B57" s="660" t="inlineStr">
        <x:is>
          <x:t xml:space="preserve">Crystal Pallo
3236 West Cactus Road
Phoenix, AZ 85029</x:t>
        </x:is>
      </x:c>
      <x:c r="C57" s="385" t="n">
        <x:v>0.7068702035452945</x:v>
      </x:c>
      <x:c r="D57" s="340" t="inlineStr">
        <x:is>
          <x:t xml:space="preserve">—</x:t>
        </x:is>
      </x:c>
      <x:c r="E57" s="601" t="n"/>
      <x:c r="F57" s="342" t="n"/>
      <x:c r="G57" s="340" t="n"/>
    </x:row>
    <x:row r="58" s="569" customFormat="1" ht="36" customHeight="1">
      <x:c r="A58" s="266" t="n"/>
      <x:c r="B58" s="339" t="inlineStr">
        <x:is>
          <x:t xml:space="preserve">Hans W. Jensen
317 Major Way
Sun Prairie, WI 53590</x:t>
        </x:is>
      </x:c>
      <x:c r="C58" s="385" t="n">
        <x:v>9.265084917937505</x:v>
      </x:c>
      <x:c r="D58" s="340" t="inlineStr">
        <x:is>
          <x:t xml:space="preserve">—</x:t>
        </x:is>
      </x:c>
      <x:c r="E58" s="601" t="n"/>
      <x:c r="F58" s="342" t="n"/>
      <x:c r="G58" s="340" t="n"/>
    </x:row>
    <x:row r="59" s="569" customFormat="1" ht="36" customHeight="1">
      <x:c r="A59" s="266" t="n"/>
      <x:c r="B59" s="339" t="inlineStr">
        <x:is>
          <x:t xml:space="preserve">Tim E. Jensen
5673 Doschadis
Waterloo, WI 53594</x:t>
        </x:is>
      </x:c>
      <x:c r="C59" s="385" t="n">
        <x:v>7.265084917937505</x:v>
      </x:c>
      <x:c r="D59" s="340" t="inlineStr">
        <x:is>
          <x:t xml:space="preserve">—</x:t>
        </x:is>
      </x:c>
      <x:c r="E59" s="601" t="n"/>
      <x:c r="F59" s="342" t="n"/>
      <x:c r="G59" s="340" t="inlineStr">
        <x:is>
          <x:t xml:space="preserve">Mineral Deed 2019-001855, Bk 2426/0154 (Colt/Roca → Dustin Deal, LLC), eff. 10/01/2019, E/2 NW/4.</x:t>
        </x:is>
      </x:c>
    </x:row>
    <x:row r="60">
      <x:c r="A60" s="266" t="n"/>
      <x:c r="B60" s="660" t="inlineStr">
        <x:is>
          <x:t xml:space="preserve">W. C. Bain Jr., Trustee
961 Country Road
Idaho Falls, ID 83402</x:t>
        </x:is>
      </x:c>
      <x:c r="C60" s="385" t="n">
        <x:v>2.021560893021847</x:v>
      </x:c>
      <x:c r="D60" s="340" t="inlineStr">
        <x:is>
          <x:t xml:space="preserve">—</x:t>
        </x:is>
      </x:c>
      <x:c r="E60" s="601" t="n"/>
      <x:c r="F60" s="342" t="n"/>
      <x:c r="G60" s="340" t="n"/>
    </x:row>
    <x:row r="61" s="569" customFormat="1" ht="36" customHeight="1">
      <x:c r="A61" s="266" t="n"/>
      <x:c r="B61" s="339" t="inlineStr">
        <x:is>
          <x:t xml:space="preserve">William Bryant / Kathy Bryant (Tract 5 Lot 1 — NOT Tract 4 mineral)</x:t>
        </x:is>
      </x:c>
      <x:c r="C61" s="385" t="n">
        <x:v>0</x:v>
      </x:c>
      <x:c r="D61" s="340" t="inlineStr">
        <x:is>
          <x:t xml:space="preserve">—</x:t>
        </x:is>
      </x:c>
      <x:c r="E61" s="601" t="n"/>
      <x:c r="F61" s="342" t="n"/>
      <x:c r="G61" s="340" t="inlineStr">
        <x:is>
          <x:t xml:space="preserve">REMOVED from Tract 4 mineral fee — Bk 2379/0142 is surface mortgage Lot 1 only. See Tract 5 Bryant 0.74 NMA.</x:t>
        </x:is>
      </x:c>
    </x:row>
    <x:row r="62">
      <x:c r="A62" s="266" t="n"/>
      <x:c r="B62" s="660" t="inlineStr">
        <x:is>
          <x:t xml:space="preserve">Hazel Trust Hamilton
1709 SW High, Apt. #1
Topeka, KS 66604</x:t>
        </x:is>
      </x:c>
      <x:c r="C62" s="385" t="n">
        <x:v>0.6738509356008449</x:v>
      </x:c>
      <x:c r="D62" s="340" t="inlineStr">
        <x:is>
          <x:t xml:space="preserve">—</x:t>
        </x:is>
      </x:c>
      <x:c r="E62" s="601" t="n"/>
      <x:c r="F62" s="342" t="n"/>
      <x:c r="G62" s="340" t="n"/>
    </x:row>
    <x:row r="63" s="569" customFormat="1" ht="36" customHeight="1">
      <x:c r="A63" s="266" t="n"/>
      <x:c r="B63" s="339" t="inlineStr">
        <x:is>
          <x:t xml:space="preserve">Dow C. Bain and Edris O. Bain, JTWROS
961 Country Road
Idaho Falls, ID 83402</x:t>
        </x:is>
      </x:c>
      <x:c r="C63" s="385" t="n">
        <x:v>63.69864704592105</x:v>
      </x:c>
      <x:c r="D63" s="340" t="inlineStr">
        <x:is>
          <x:t xml:space="preserve">—</x:t>
        </x:is>
      </x:c>
      <x:c r="E63" s="601" t="n"/>
      <x:c r="F63" s="342" t="n"/>
      <x:c r="G63" s="340" t="inlineStr">
        <x:is>
          <x:t xml:space="preserve">Includes 2.10 NMA formerly mis-allocated to Bryant on Tract 4. Chain over-conveyance; vesting gaps remain.</x:t>
        </x:is>
      </x:c>
    </x:row>
    <x:row r="64">
      <x:c r="A64" s="266" t="n"/>
      <x:c r="B64" s="660" t="inlineStr">
        <x:is>
          <x:t xml:space="preserve">Hazel Ailene Hamilton
1709 SW High, Apt. #1
Topeka, KS 66604</x:t>
        </x:is>
      </x:c>
      <x:c r="C64" s="385" t="n">
        <x:v>0.9770100698699888</x:v>
      </x:c>
      <x:c r="D64" s="340" t="inlineStr">
        <x:is>
          <x:t xml:space="preserve">—</x:t>
        </x:is>
      </x:c>
      <x:c r="E64" s="601" t="n"/>
      <x:c r="F64" s="342" t="n"/>
      <x:c r="G64" s="340" t="inlineStr">
        <x:is>
          <x:t xml:space="preserve">Identified 16.30 NMA of 80.00; 63.70 NMA undetermined of record.</x:t>
        </x:is>
      </x:c>
    </x:row>
    <x:row r="65">
      <x:c r="A65" s="266" t="n"/>
      <x:c r="B65" s="660" t="inlineStr">
        <x:is>
          <x:t xml:space="preserve">RIVE Lind McCaul Trust
c/o Robert M. Collins
100 N. Main #608
Wichita, KS 67202</x:t>
        </x:is>
      </x:c>
      <x:c r="C65" s="385" t="n">
        <x:v>0.4331903203622914</x:v>
      </x:c>
      <x:c r="D65" s="340" t="inlineStr">
        <x:is>
          <x:t xml:space="preserve">—</x:t>
        </x:is>
      </x:c>
      <x:c r="E65" s="601" t="n"/>
      <x:c r="F65" s="342" t="n"/>
      <x:c r="G65" s="340" t="n"/>
    </x:row>
    <x:row r="66" s="569" customFormat="1" ht="36" customHeight="1">
      <x:c r="A66" s="266" t="n"/>
      <x:c r="B66" s="339" t="inlineStr">
        <x:is>
          <x:t xml:space="preserve">Dow C. Bain and Edris O. Bain Trustees
961 Country Road
Idaho Falls, ID 83402</x:t>
        </x:is>
      </x:c>
      <x:c r="C66" s="385" t="n">
        <x:v>9.737030249030287</x:v>
      </x:c>
      <x:c r="D66" s="340" t="inlineStr">
        <x:is>
          <x:t xml:space="preserve">—</x:t>
        </x:is>
      </x:c>
      <x:c r="E66" s="601" t="n"/>
      <x:c r="F66" s="342" t="n"/>
      <x:c r="G66" s="340" t="n"/>
    </x:row>
    <x:row r="67" s="569" customFormat="1" ht="48" customHeight="1">
      <x:c r="A67" s="266" t="n"/>
      <x:c r="B67" s="339" t="inlineStr">
        <x:is>
          <x:t xml:space="preserve">Jan A. Schroff Trust
c/o Robert M. Collins
100 N. Main #608
Wichita, KS 67202</x:t>
        </x:is>
      </x:c>
      <x:c r="C67" s="385" t="n">
        <x:v>0.2887935469081943</x:v>
      </x:c>
      <x:c r="D67" s="340" t="inlineStr">
        <x:is>
          <x:t xml:space="preserve">—</x:t>
        </x:is>
      </x:c>
      <x:c r="E67" s="601" t="n"/>
      <x:c r="F67" s="342" t="n"/>
      <x:c r="G67" s="340" t="n"/>
    </x:row>
    <x:row r="68">
      <x:c r="A68" s="266" t="n"/>
      <x:c r="B68" s="660" t="inlineStr">
        <x:is>
          <x:t xml:space="preserve">RIVE Lind McCaul Trust
c/o Robert M. Collins
100 N. Main #608
Wichita, KS 67202</x:t>
        </x:is>
      </x:c>
      <x:c r="C68" s="385" t="n">
        <x:v>0.2887935469081943</x:v>
      </x:c>
      <x:c r="D68" s="340" t="inlineStr">
        <x:is>
          <x:t xml:space="preserve">—</x:t>
        </x:is>
      </x:c>
      <x:c r="E68" s="601" t="n"/>
      <x:c r="F68" s="342" t="n"/>
      <x:c r="G68" s="340" t="n"/>
    </x:row>
    <x:row r="69">
      <x:c r="A69" s="266" t="n"/>
      <x:c r="B69" s="660" t="inlineStr">
        <x:is>
          <x:t xml:space="preserve">Rogene E. Williams Revocable Living Trust
c/o Robert M. Collins
100 N. Main #608
Wichita, KS 67202</x:t>
        </x:is>
      </x:c>
      <x:c r="C69" s="385" t="n">
        <x:v>0.7219838672704859</x:v>
      </x:c>
      <x:c r="D69" s="340" t="inlineStr">
        <x:is>
          <x:t xml:space="preserve">—</x:t>
        </x:is>
      </x:c>
      <x:c r="E69" s="601" t="n"/>
      <x:c r="F69" s="342" t="n"/>
      <x:c r="G69" s="340" t="n"/>
    </x:row>
    <x:row r="70" s="569" customFormat="1" ht="48" customHeight="1">
      <x:c r="A70" s="266" t="n"/>
      <x:c r="B70" s="339" t="inlineStr">
        <x:is>
          <x:t xml:space="preserve">Dwight J. Williams Revocable Trust
c/o Robert M. Collins.
100 N. Main #608
Wichita, KS 67202</x:t>
        </x:is>
      </x:c>
      <x:c r="C70" s="385" t="n">
        <x:v>0.2887935469081943</x:v>
      </x:c>
      <x:c r="D70" s="340" t="inlineStr">
        <x:is>
          <x:t xml:space="preserve">—</x:t>
        </x:is>
      </x:c>
      <x:c r="E70" s="601" t="n"/>
      <x:c r="F70" s="342" t="n"/>
      <x:c r="G70" s="340" t="n"/>
    </x:row>
    <x:row r="71" s="569" customFormat="1" ht="36" customHeight="1">
      <x:c r="A71" s="266" t="n"/>
      <x:c r="B71" s="339" t="inlineStr">
        <x:is>
          <x:t xml:space="preserve">Donald R. Bain
1905 NW 29th Avenue, #220
Portland, OR 97210-5312</x:t>
        </x:is>
      </x:c>
      <x:c r="C71" s="385" t="n">
        <x:v>2.92552</x:v>
      </x:c>
      <x:c r="D71" s="340" t="inlineStr">
        <x:is>
          <x:t xml:space="preserve">—</x:t>
        </x:is>
      </x:c>
      <x:c r="E71" s="601" t="n"/>
      <x:c r="F71" s="342" t="n"/>
      <x:c r="G71" s="340" t="n"/>
    </x:row>
    <x:row r="72" s="569" customFormat="1" ht="36" customHeight="1">
      <x:c r="A72" s="266" t="n"/>
      <x:c r="B72" s="339" t="inlineStr">
        <x:is>
          <x:t xml:space="preserve">Peggy J. Brawner
309 N. Point Road
Toronto, KS 66777-3358</x:t>
        </x:is>
      </x:c>
      <x:c r="C72" s="385" t="n">
        <x:v>1.38132</x:v>
      </x:c>
      <x:c r="D72" s="340" t="inlineStr">
        <x:is>
          <x:t xml:space="preserve">—</x:t>
        </x:is>
      </x:c>
      <x:c r="E72" s="601" t="n"/>
      <x:c r="F72" s="342" t="n"/>
      <x:c r="G72" s="340" t="n"/>
    </x:row>
    <x:row r="73" s="569" customFormat="1" ht="36" customHeight="1">
      <x:c r="A73" s="266" t="n"/>
      <x:c r="B73" s="339" t="inlineStr">
        <x:is>
          <x:t xml:space="preserve">Marilyn L. Broyles
P.O. Box 91
Red Feather Lakes, CO 80545</x:t>
        </x:is>
      </x:c>
      <x:c r="C73" s="385" t="n">
        <x:v>2.92552</x:v>
      </x:c>
      <x:c r="D73" s="340" t="inlineStr">
        <x:is>
          <x:t xml:space="preserve">—</x:t>
        </x:is>
      </x:c>
      <x:c r="E73" s="601" t="n"/>
      <x:c r="F73" s="342" t="n"/>
      <x:c r="G73" s="340" t="n"/>
    </x:row>
    <x:row r="74">
      <x:c r="A74" s="266" t="n"/>
      <x:c r="B74" s="660" t="inlineStr">
        <x:is>
          <x:t xml:space="preserve">Leona I. Degrande
5254 Alkire Street
Arvada, CO 80002-1714</x:t>
        </x:is>
      </x:c>
      <x:c r="C74" s="385" t="n">
        <x:v>3.999999999976245e-05</x:v>
      </x:c>
      <x:c r="D74" s="340" t="inlineStr">
        <x:is>
          <x:t xml:space="preserve">—</x:t>
        </x:is>
      </x:c>
      <x:c r="E74" s="601" t="n"/>
      <x:c r="F74" s="342" t="n"/>
      <x:c r="G74" s="340" t="n"/>
    </x:row>
    <x:row r="75" s="569" customFormat="1" ht="36" customHeight="1">
      <x:c r="A75" s="266" t="n"/>
      <x:c r="B75" s="339" t="inlineStr">
        <x:is>
          <x:t xml:space="preserve">Charlotte F. Willert
2833 Montana Place
Loveland, CO 80538-3427</x:t>
        </x:is>
      </x:c>
      <x:c r="C75" s="385" t="n">
        <x:v>1.38132</x:v>
      </x:c>
      <x:c r="D75" s="340" t="inlineStr">
        <x:is>
          <x:t xml:space="preserve">—</x:t>
        </x:is>
      </x:c>
      <x:c r="E75" s="601" t="n"/>
      <x:c r="F75" s="342" t="n"/>
      <x:c r="G75" s="340" t="n"/>
    </x:row>
    <x:row r="76" s="569" customFormat="1" ht="36" customHeight="1">
      <x:c r="A76" s="266" t="n"/>
      <x:c r="B76" s="339" t="inlineStr">
        <x:is>
          <x:t xml:space="preserve">Deeanne Browning
3510 West 2nd Street
Wichita, KS 67203</x:t>
        </x:is>
      </x:c>
      <x:c r="C76" s="385" t="n">
        <x:v>2.931029838991581</x:v>
      </x:c>
      <x:c r="D76" s="340" t="inlineStr">
        <x:is>
          <x:t xml:space="preserve">—</x:t>
        </x:is>
      </x:c>
      <x:c r="E76" s="601" t="n"/>
      <x:c r="F76" s="342" t="n"/>
      <x:c r="G76" s="340" t="n"/>
    </x:row>
    <x:row r="77">
      <x:c r="A77" s="266" t="n"/>
      <x:c r="B77" s="660" t="inlineStr">
        <x:is>
          <x:t xml:space="preserve">Stacy L. Smith
P. O. Box 129
Silver City, NM 88061</x:t>
        </x:is>
      </x:c>
      <x:c r="C77" s="385" t="n">
        <x:v>1.46551491949579</x:v>
      </x:c>
      <x:c r="D77" s="340" t="inlineStr">
        <x:is>
          <x:t xml:space="preserve">—</x:t>
        </x:is>
      </x:c>
      <x:c r="E77" s="601" t="n"/>
      <x:c r="F77" s="342" t="n"/>
      <x:c r="G77" s="340" t="n"/>
    </x:row>
    <x:row r="78" s="569" customFormat="1" ht="36" customHeight="1">
      <x:c r="A78" s="266" t="n"/>
      <x:c r="B78" s="339" t="inlineStr">
        <x:is>
          <x:t xml:space="preserve">Travis L. Smith
P. O. Box 129
Silver City, NM 88061</x:t>
        </x:is>
      </x:c>
      <x:c r="C78" s="385" t="n">
        <x:v>1.46551491949579</x:v>
      </x:c>
      <x:c r="D78" s="340" t="inlineStr">
        <x:is>
          <x:t xml:space="preserve">—</x:t>
        </x:is>
      </x:c>
      <x:c r="E78" s="601" t="n"/>
      <x:c r="F78" s="342" t="n"/>
      <x:c r="G78" s="340" t="n"/>
    </x:row>
    <x:row r="79" s="569" customFormat="1" ht="24" customHeight="1">
      <x:c r="A79" s="266" t="n"/>
      <x:c r="B79" s="660" t="inlineStr">
        <x:is>
          <x:t xml:space="preserve">James M. Robertson and/or Rose E. Robertson
18402 310th Street
Norman, OK 73072</x:t>
        </x:is>
      </x:c>
      <x:c r="C79" s="385" t="n">
        <x:v>0.404310965671472</x:v>
      </x:c>
      <x:c r="D79" s="340" t="inlineStr">
        <x:is>
          <x:t xml:space="preserve">—</x:t>
        </x:is>
      </x:c>
      <x:c r="E79" s="601" t="n"/>
      <x:c r="F79" s="342" t="n"/>
      <x:c r="G79" s="340" t="n"/>
    </x:row>
    <x:row r="80">
      <x:c r="A80" s="266" t="n"/>
      <x:c r="B80" s="660" t="inlineStr">
        <x:is>
          <x:t xml:space="preserve">Omega Royalty Co, LLC
P.O. Box 50264
Midland, TX 79710</x:t>
        </x:is>
      </x:c>
      <x:c r="C80" s="385" t="n">
        <x:v>0.1709620761368158</x:v>
      </x:c>
      <x:c r="D80" s="340" t="inlineStr">
        <x:is>
          <x:t xml:space="preserve">—</x:t>
        </x:is>
      </x:c>
      <x:c r="E80" s="601" t="n"/>
      <x:c r="F80" s="342" t="n"/>
      <x:c r="G80" s="340" t="n"/>
    </x:row>
    <x:row r="81">
      <x:c r="A81" s="266" t="n"/>
      <x:c r="B81" s="660" t="inlineStr">
        <x:is>
          <x:t xml:space="preserve">Mare Oil Company
P.O. Box 18776
Oklahoma City, OK 73154</x:t>
        </x:is>
      </x:c>
      <x:c r="C81" s="385" t="n">
        <x:v>6.01388</x:v>
      </x:c>
      <x:c r="D81" s="340" t="inlineStr">
        <x:is>
          <x:t xml:space="preserve">—</x:t>
        </x:is>
      </x:c>
      <x:c r="E81" s="601" t="n"/>
      <x:c r="F81" s="342" t="n"/>
      <x:c r="G81" s="340" t="n"/>
    </x:row>
    <x:row r="82">
      <x:c r="A82" s="266" t="n"/>
      <x:c r="B82" s="660" t="inlineStr">
        <x:is>
          <x:t xml:space="preserve">Geotech Production, Inc.
2401 Tee Circle, Suite 205
Norman, OK 73069</x:t>
        </x:is>
      </x:c>
      <x:c r="C82" s="385" t="n">
        <x:v>0.9181859746210613</x:v>
      </x:c>
      <x:c r="D82" s="340" t="inlineStr">
        <x:is>
          <x:t xml:space="preserve">—</x:t>
        </x:is>
      </x:c>
      <x:c r="E82" s="601" t="n"/>
      <x:c r="F82" s="342" t="n"/>
      <x:c r="G82" s="340" t="n"/>
    </x:row>
    <x:row r="83" s="569" customFormat="1" ht="24" customHeight="1">
      <x:c r="A83" s="266" t="n"/>
      <x:c r="B83" s="660" t="inlineStr">
        <x:is>
          <x:t xml:space="preserve">Terry V. Bish and Fausta J. Bish, Trustees of The Bish Family Trust
5122 Hughes Drive
Tuttle, OK 73089</x:t>
        </x:is>
      </x:c>
      <x:c r="C83" s="385" t="n">
        <x:v>2.217973333333328</x:v>
      </x:c>
      <x:c r="D83" s="340" t="inlineStr">
        <x:is>
          <x:t xml:space="preserve">—</x:t>
        </x:is>
      </x:c>
      <x:c r="E83" s="601" t="n"/>
      <x:c r="F83" s="342" t="n"/>
      <x:c r="G83" s="340" t="n"/>
    </x:row>
    <x:row r="84">
      <x:c r="A84" s="266" t="n"/>
      <x:c r="B84" s="660" t="inlineStr">
        <x:is>
          <x:t xml:space="preserve">Byron A. Hetherington Trust
c/o Robert M. Collins
100 N. Main #608
Wichita, KS 67202</x:t>
        </x:is>
      </x:c>
      <x:c r="C84" s="385" t="n">
        <x:v>1.108986666666667</x:v>
      </x:c>
      <x:c r="D84" s="340" t="inlineStr">
        <x:is>
          <x:t xml:space="preserve">—</x:t>
        </x:is>
      </x:c>
      <x:c r="E84" s="601" t="n"/>
      <x:c r="F84" s="342" t="n"/>
      <x:c r="G84" s="340" t="n"/>
    </x:row>
    <x:row r="85">
      <x:c r="A85" s="266" t="n"/>
      <x:c r="B85" s="660" t="inlineStr">
        <x:is>
          <x:t xml:space="preserve">Gloria A. Hetherington Trust
c/o Robert M. Collins
100 N. Main #608
Wichita, KS 67202</x:t>
        </x:is>
      </x:c>
      <x:c r="C85" s="385" t="n">
        <x:v>1.108986666666667</x:v>
      </x:c>
      <x:c r="D85" s="340" t="inlineStr">
        <x:is>
          <x:t xml:space="preserve">—</x:t>
        </x:is>
      </x:c>
      <x:c r="E85" s="601" t="n"/>
      <x:c r="F85" s="342" t="n"/>
      <x:c r="G85" s="340" t="n"/>
    </x:row>
    <x:row r="86">
      <x:c r="A86" s="266" t="n"/>
      <x:c r="B86" s="660" t="inlineStr">
        <x:is>
          <x:t xml:space="preserve">Joseph A. Bain
229 North Chemical
Hutchinson, KS 67501</x:t>
        </x:is>
      </x:c>
      <x:c r="C86" s="385" t="n">
        <x:v>1.435946666666666</x:v>
      </x:c>
      <x:c r="D86" s="340" t="inlineStr">
        <x:is>
          <x:t xml:space="preserve">—</x:t>
        </x:is>
      </x:c>
      <x:c r="E86" s="601" t="n"/>
      <x:c r="F86" s="342" t="n"/>
      <x:c r="G86" s="340" t="n"/>
    </x:row>
    <x:row r="87" s="569" customFormat="1" ht="36" customHeight="1">
      <x:c r="A87" s="266" t="n"/>
      <x:c r="B87" s="339" t="inlineStr">
        <x:is>
          <x:t xml:space="preserve">Darren P. McSweeney
530 Eldridge St, #P03
Lawrence, Kansas 66049</x:t>
        </x:is>
      </x:c>
      <x:c r="C87" s="385" t="n">
        <x:v>2.931029838991581</x:v>
      </x:c>
      <x:c r="D87" s="340" t="inlineStr">
        <x:is>
          <x:t xml:space="preserve">—</x:t>
        </x:is>
      </x:c>
      <x:c r="E87" s="601" t="n"/>
      <x:c r="F87" s="342" t="n"/>
      <x:c r="G87" s="340" t="n"/>
    </x:row>
    <x:row r="88">
      <x:c r="A88" s="266" t="n"/>
      <x:c r="B88" s="660" t="inlineStr">
        <x:is>
          <x:t xml:space="preserve">Michael L. Bain GST Tax-Exempt Trust
5039 West Pea Ridge Rd.
Huntington, WV 25705</x:t>
        </x:is>
      </x:c>
      <x:c r="C88" s="385" t="n">
        <x:v>5.410626666666667</x:v>
      </x:c>
      <x:c r="D88" s="340" t="inlineStr">
        <x:is>
          <x:t xml:space="preserve">—</x:t>
        </x:is>
      </x:c>
      <x:c r="E88" s="601" t="n"/>
      <x:c r="F88" s="342" t="n"/>
      <x:c r="G88" s="340" t="n"/>
    </x:row>
    <x:row r="89">
      <x:c r="A89" s="266" t="n"/>
      <x:c r="B89" s="660" t="inlineStr">
        <x:is>
          <x:t xml:space="preserve">William C. Bain GST Tax-Exempt Trust
5039 West Pea Ridge Rd.
Huntington, WV 25705</x:t>
        </x:is>
      </x:c>
      <x:c r="C89" s="385" t="n">
        <x:v>5.410626666666667</x:v>
      </x:c>
      <x:c r="D89" s="340" t="inlineStr">
        <x:is>
          <x:t xml:space="preserve">—</x:t>
        </x:is>
      </x:c>
      <x:c r="E89" s="601" t="n"/>
      <x:c r="F89" s="342" t="n"/>
      <x:c r="G89" s="340" t="n"/>
    </x:row>
    <x:row r="90">
      <x:c r="A90" s="266" t="n"/>
      <x:c r="B90" s="660" t="inlineStr">
        <x:is>
          <x:t xml:space="preserve">Brandi L. Bain
3236 West Cactus Rd.
Phoenix, AZ 85029</x:t>
        </x:is>
      </x:c>
      <x:c r="C90" s="385" t="n">
        <x:v>1.15942</x:v>
      </x:c>
      <x:c r="D90" s="340" t="inlineStr">
        <x:is>
          <x:t xml:space="preserve">—</x:t>
        </x:is>
      </x:c>
      <x:c r="E90" s="601" t="n"/>
      <x:c r="F90" s="342" t="n"/>
      <x:c r="G90" s="340" t="n"/>
    </x:row>
    <x:row r="91">
      <x:c r="A91" s="266" t="n"/>
      <x:c r="B91" s="660" t="inlineStr">
        <x:is>
          <x:t xml:space="preserve">Joseph M. Bain
23 Strathhaven Ct.
Gaithersburg, MD 20886</x:t>
        </x:is>
      </x:c>
      <x:c r="C91" s="385" t="n">
        <x:v>1.15942</x:v>
      </x:c>
      <x:c r="D91" s="340" t="inlineStr">
        <x:is>
          <x:t xml:space="preserve">—</x:t>
        </x:is>
      </x:c>
      <x:c r="E91" s="601" t="n"/>
      <x:c r="F91" s="342" t="n"/>
      <x:c r="G91" s="340" t="n"/>
    </x:row>
    <x:row r="92">
      <x:c r="A92" s="266" t="n"/>
      <x:c r="B92" s="660" t="inlineStr">
        <x:is>
          <x:t xml:space="preserve">Michelle Ibeling
740 Herron Court
Waterloo, WI 53594</x:t>
        </x:is>
      </x:c>
      <x:c r="C92" s="385" t="n">
        <x:v>0.05052</x:v>
      </x:c>
      <x:c r="D92" s="340" t="inlineStr">
        <x:is>
          <x:t xml:space="preserve">—</x:t>
        </x:is>
      </x:c>
      <x:c r="E92" s="601" t="n"/>
      <x:c r="F92" s="342" t="n"/>
      <x:c r="G92" s="340" t="n"/>
    </x:row>
    <x:row r="93">
      <x:c r="A93" s="266" t="n"/>
      <x:c r="B93" s="660" t="inlineStr">
        <x:is>
          <x:t xml:space="preserve">Joel Ibeling
740 Herron Court
Waterloo, WI 53594</x:t>
        </x:is>
      </x:c>
      <x:c r="C93" s="385" t="n">
        <x:v>0.05052</x:v>
      </x:c>
      <x:c r="D93" s="340" t="inlineStr">
        <x:is>
          <x:t xml:space="preserve">—</x:t>
        </x:is>
      </x:c>
      <x:c r="E93" s="601" t="n"/>
      <x:c r="F93" s="342" t="n"/>
      <x:c r="G93" s="340" t="inlineStr">
        <x:is>
          <x:t xml:space="preserve">Chain: Clint Roy Kirk (Bk 2682/0183) → J and A Minerals → Pine Tree (Bk 2688/0409). Lease status not determined.</x:t>
        </x:is>
      </x:c>
    </x:row>
    <x:row r="94">
      <x:c r="A94" s="266" t="n"/>
      <x:c r="B94" s="660" t="inlineStr">
        <x:is>
          <x:t xml:space="preserve">Janelle Ibeling Ness
740 Herron Court
Waterloo, WI 53594</x:t>
        </x:is>
      </x:c>
      <x:c r="C94" s="385" t="n">
        <x:v>0.05052</x:v>
      </x:c>
      <x:c r="D94" s="340" t="inlineStr">
        <x:is>
          <x:t xml:space="preserve">—</x:t>
        </x:is>
      </x:c>
      <x:c r="E94" s="601" t="n"/>
      <x:c r="F94" s="342" t="n"/>
      <x:c r="G94" s="340" t="n"/>
    </x:row>
    <x:row r="95">
      <x:c r="A95" s="266" t="n"/>
      <x:c r="B95" s="660" t="inlineStr">
        <x:is>
          <x:t xml:space="preserve">Cassandra Wynia
740 Herron Court
Waterloo, WI 53594</x:t>
        </x:is>
      </x:c>
      <x:c r="C95" s="385" t="n">
        <x:v>0.05052</x:v>
      </x:c>
      <x:c r="D95" s="340" t="inlineStr">
        <x:is>
          <x:t xml:space="preserve">—</x:t>
        </x:is>
      </x:c>
      <x:c r="E95" s="601" t="n"/>
      <x:c r="F95" s="342" t="n"/>
      <x:c r="G95" s="340" t="n"/>
    </x:row>
    <x:row r="96">
      <x:c r="B96" s="279" t="inlineStr">
        <x:is>
          <x:t xml:space="preserve">REPORT TOTAL</x:t>
        </x:is>
      </x:c>
      <x:c r="C96" s="386" t="n">
        <x:f>ROUND(SUM(C22:C95),2)</x:f>
        <x:v>221.7</x:v>
      </x:c>
      <x:c r="F96" s="265" t="n"/>
      <x:c r="G96" s="284" t="n"/>
    </x:row>
    <x:row r="97">
      <x:c r="B97" s="281" t="inlineStr">
        <x:is>
          <x:t xml:space="preserve">TOTAL</x:t>
        </x:is>
      </x:c>
      <x:c r="C97" s="390" t="n">
        <x:f>C96</x:f>
        <x:v>221.7</x:v>
      </x:c>
      <x:c r="F97" s="265" t="n"/>
      <x:c r="G97" s="284" t="n"/>
    </x:row>
    <x:row r="98">
      <x:c r="B98" s="268" t="n"/>
      <x:c r="C98" s="435" t="n"/>
      <x:c r="D98" s="270" t="n"/>
      <x:c r="E98" s="599" t="n"/>
      <x:c r="F98" s="271" t="n"/>
      <x:c r="G98" s="378" t="n"/>
    </x:row>
    <x:row r="99">
      <x:c r="B99" s="268" t="n"/>
      <x:c r="C99" s="435" t="n"/>
      <x:c r="D99" s="270" t="n"/>
      <x:c r="E99" s="599" t="n"/>
      <x:c r="F99" s="271" t="n"/>
      <x:c r="G99" s="378" t="n"/>
    </x:row>
    <x:row r="100">
      <x:c r="B100" s="268" t="inlineStr">
        <x:is>
          <x:t xml:space="preserve">TRACT 3:</x:t>
        </x:is>
      </x:c>
      <x:c r="C100" s="436" t="inlineStr">
        <x:is>
          <x:t xml:space="preserve">SE/4 NE/4</x:t>
        </x:is>
      </x:c>
    </x:row>
    <x:row r="101">
      <x:c r="B101" s="268" t="inlineStr">
        <x:is>
          <x:t xml:space="preserve">Containing:</x:t>
        </x:is>
      </x:c>
      <x:c r="C101" s="435" t="inlineStr">
        <x:is>
          <x:t xml:space="preserve">40 acres, more or less</x:t>
        </x:is>
      </x:c>
    </x:row>
    <x:row r="102">
      <x:c r="B102" s="268" t="n"/>
      <x:c r="C102" s="435" t="n"/>
      <x:c r="D102" s="270" t="n"/>
      <x:c r="E102" s="599" t="n"/>
      <x:c r="F102" s="271" t="n"/>
      <x:c r="G102" s="378" t="n"/>
    </x:row>
    <x:row r="103">
      <x:c r="A103" s="266" t="n"/>
      <x:c r="B103" s="273" t="inlineStr">
        <x:is>
          <x:t xml:space="preserve">Mineral Owner</x:t>
        </x:is>
      </x:c>
      <x:c r="C103" s="274" t="inlineStr">
        <x:is>
          <x:t xml:space="preserve">Net Acres</x:t>
        </x:is>
      </x:c>
      <x:c r="D103" s="275" t="inlineStr">
        <x:is>
          <x:t xml:space="preserve">OGL No.</x:t>
        </x:is>
      </x:c>
      <x:c r="E103" s="600" t="inlineStr">
        <x:is>
          <x:t xml:space="preserve">Royalty</x:t>
        </x:is>
      </x:c>
      <x:c r="F103" s="277" t="inlineStr">
        <x:is>
          <x:t xml:space="preserve">Expiration</x:t>
        </x:is>
      </x:c>
      <x:c r="G103" s="379" t="inlineStr">
        <x:is>
          <x:t xml:space="preserve">Comments</x:t>
        </x:is>
      </x:c>
    </x:row>
    <x:row r="104" s="569" customFormat="1" ht="60" customHeight="1">
      <x:c r="A104" s="266" t="n"/>
      <x:c r="B104" s="339" t="inlineStr">
        <x:is>
          <x:t xml:space="preserve">Gena W. Moore, a/k/a Gena Mitchell Williams, a/k/a Gena Williams
100 W Dogwood Street
Hobart, OK 73651</x:t>
        </x:is>
      </x:c>
      <x:c r="C104" s="391" t="n">
        <x:v>5.389689056401629</x:v>
      </x:c>
      <x:c r="D104" s="340" t="inlineStr">
        <x:is>
          <x:t xml:space="preserve">4, 66</x:t>
        </x:is>
      </x:c>
      <x:c r="E104" s="601" t="n">
        <x:v>0.1875</x:v>
      </x:c>
      <x:c r="F104" s="342" t="str">
        <x:v>HBP per OGL sheet / client direction; image/OCC/OTC verification not required for current cursory turn-in.</x:v>
      </x:c>
      <x:c r="G104" s="340" t="inlineStr">
        <x:is>
          <x:t xml:space="preserve">Base OGL 4 (Bk 1736/0592). Top lease OGL 66 (Bk 2702/0505), 3/16, exp 02/11/2031, subordinate.</x:t>
        </x:is>
      </x:c>
    </x:row>
    <x:row r="105" s="569" customFormat="1" ht="60" customHeight="1">
      <x:c r="A105" s="266" t="n"/>
      <x:c r="B105" s="339" t="inlineStr">
        <x:is>
          <x:t xml:space="preserve">Mitchell Buonaccorsi Living Trust U/A dated July 9, 2024
1880 Old Salem Road
Watkinsville, GA 30677</x:t>
        </x:is>
      </x:c>
      <x:c r="C105" s="391" t="n">
        <x:v>5.389689056401629</x:v>
      </x:c>
      <x:c r="D105" s="340" t="inlineStr">
        <x:is>
          <x:t xml:space="preserve">1, 64</x:t>
        </x:is>
      </x:c>
      <x:c r="E105" s="601" t="n">
        <x:v>0.1875</x:v>
      </x:c>
      <x:c r="F105" s="342" t="str">
        <x:v>HBP per OGL sheet / client direction; image/OCC/OTC verification not required for current cursory turn-in.</x:v>
      </x:c>
      <x:c r="G105" s="340" t="inlineStr">
        <x:is>
          <x:t xml:space="preserve">Base OGL 1 (Bk 1736/0594). Top lease OGL 64 (Bk 2693/0337), 3/16, exp 02/23/2029, subordinate.</x:t>
        </x:is>
      </x:c>
    </x:row>
    <x:row r="106" s="569" customFormat="1" ht="60" customHeight="1">
      <x:c r="A106" s="266" t="n"/>
      <x:c r="B106" s="339" t="inlineStr">
        <x:is>
          <x:t xml:space="preserve">Keri Lee Daigle Tucker Trust
728 Hollyhock Dr,
Lexington, KY 40511</x:t>
        </x:is>
      </x:c>
      <x:c r="C106" s="391" t="n">
        <x:v>5.389689056401629</x:v>
      </x:c>
      <x:c r="D106" s="340" t="inlineStr">
        <x:is>
          <x:t xml:space="preserve">24, 67</x:t>
        </x:is>
      </x:c>
      <x:c r="E106" s="601" t="n">
        <x:v>0.1875</x:v>
      </x:c>
      <x:c r="F106" s="342" t="str">
        <x:v>HBP per OGL sheet / client direction; image/OCC/OTC verification not required for current cursory turn-in.</x:v>
      </x:c>
      <x:c r="G106" s="340" t="inlineStr">
        <x:is>
          <x:t xml:space="preserve">Base OGL 24 (Bk 1787/0047). Top lease OGL 67 (Bk 2697/0520), 3/16, exp 02/17/2031, subordinate.</x:t>
        </x:is>
      </x:c>
    </x:row>
    <x:row r="107" s="569" customFormat="1" ht="60" customHeight="1">
      <x:c r="A107" s="266" t="n"/>
      <x:c r="B107" s="339" t="inlineStr">
        <x:is>
          <x:t xml:space="preserve">Ronald Paul Dold
753 Velma Street
Memphis, TN 38104</x:t>
        </x:is>
      </x:c>
      <x:c r="C107" s="391" t="n">
        <x:v>5.379689633291421</x:v>
      </x:c>
      <x:c r="D107" s="340" t="inlineStr">
        <x:is>
          <x:t xml:space="preserve">2, 65</x:t>
        </x:is>
      </x:c>
      <x:c r="E107" s="601" t="n">
        <x:v>0.1875</x:v>
      </x:c>
      <x:c r="F107" s="342" t="str">
        <x:v>HBP per OGL sheet / client direction; image/OCC/OTC verification not required for current cursory turn-in.</x:v>
      </x:c>
      <x:c r="G107" s="340" t="inlineStr">
        <x:is>
          <x:t xml:space="preserve">Base OGL 2 (Bk 1736/0600). Top lease OGL 65 (Bk 2697/0524), 3/16, exp 03/31/2029, subordinate.</x:t>
        </x:is>
      </x:c>
    </x:row>
    <x:row r="108" s="569" customFormat="1" ht="60" customHeight="1">
      <x:c r="A108" s="266" t="n"/>
      <x:c r="B108" s="339" t="inlineStr">
        <x:is>
          <x:t xml:space="preserve">Mark Ashley Daigle Trust
11681 E. 83rd Street N, Apt. C
Owasso, OK 74055</x:t>
        </x:is>
      </x:c>
      <x:c r="C108" s="391" t="n">
        <x:v>7.691863930920849</x:v>
      </x:c>
      <x:c r="D108" s="340" t="inlineStr">
        <x:is>
          <x:t xml:space="preserve">24, 68</x:t>
        </x:is>
      </x:c>
      <x:c r="E108" s="601" t="n">
        <x:v>0.1875</x:v>
      </x:c>
      <x:c r="F108" s="342" t="str">
        <x:v>HBP per OGL sheet / client direction; image/OCC/OTC verification not required for current cursory turn-in.</x:v>
      </x:c>
      <x:c r="G108" s="340" t="inlineStr">
        <x:is>
          <x:t xml:space="preserve">Base OGL 24 (Bk 1787/0047). Top lease OGL 68 (Bk 2693/0349), 3/16, exp 02/23/2031, subordinate.</x:t>
        </x:is>
      </x:c>
    </x:row>
    <x:row r="109" s="569" customFormat="1" ht="72" customHeight="1">
      <x:c r="A109" s="266" t="n"/>
      <x:c r="B109" s="339" t="inlineStr">
        <x:is>
          <x:t xml:space="preserve">Kevin Warner Johnson Trust
13259 Darwin Lane
Austin, TX 78729</x:t>
        </x:is>
      </x:c>
      <x:c r="C109" s="391" t="n">
        <x:v>5.379689633291421</x:v>
      </x:c>
      <x:c r="D109" s="340" t="inlineStr">
        <x:is>
          <x:t xml:space="preserve">24, 69</x:t>
        </x:is>
      </x:c>
      <x:c r="E109" s="601" t="n">
        <x:v>0.1875</x:v>
      </x:c>
      <x:c r="F109" s="342" t="str">
        <x:v>HBP per OGL sheet / client direction; image/OCC/OTC verification not required for current cursory turn-in.</x:v>
      </x:c>
      <x:c r="G109" s="340" t="inlineStr">
        <x:is>
          <x:t xml:space="preserve">Base OGL 24 (Bk 1787/0047). Top lease OGL 69 (Bk 2693/0345), 3/16, exp 02/27/2031, subordinate. Trust capacity retained.</x:t>
        </x:is>
      </x:c>
    </x:row>
    <x:row r="110" s="569" customFormat="1" ht="72" customHeight="1">
      <x:c r="A110" s="266" t="n"/>
      <x:c r="B110" s="660" t="inlineStr">
        <x:is>
          <x:t xml:space="preserve">Carrie Leeann Mitchell
1880 Old Salem Road
Watkinsville, GA 30677</x:t>
        </x:is>
      </x:c>
      <x:c r="C110" s="391" t="n">
        <x:v>5.379689633291421</x:v>
      </x:c>
      <x:c r="D110" s="340" t="inlineStr">
        <x:is>
          <x:t xml:space="preserve">1, 2</x:t>
        </x:is>
      </x:c>
      <x:c r="E110" s="601" t="n">
        <x:v>0.1875</x:v>
      </x:c>
      <x:c r="F110" s="342" t="str">
        <x:v>HBP per OGL sheet / client direction; image/OCC/OTC verification not required for current cursory turn-in.</x:v>
      </x:c>
      <x:c r="G110" s="340" t="inlineStr">
        <x:is>
          <x:t xml:space="preserve">Carrie Leeann Mitchell base OGL 1 (Bk 1736/0594); Nancy Susan Mitchell base OGL 2 (Bk 1736/0600); both 3/16.</x:t>
        </x:is>
      </x:c>
    </x:row>
    <x:row r="111">
      <x:c r="A111" s="266" t="n"/>
      <x:c r="B111" s="279" t="inlineStr">
        <x:is>
          <x:t xml:space="preserve">REPORT TOTAL</x:t>
        </x:is>
      </x:c>
      <x:c r="C111" s="386" t="n">
        <x:v>40</x:v>
      </x:c>
      <x:c r="F111" s="265" t="n"/>
      <x:c r="G111" s="284" t="n"/>
    </x:row>
    <x:row r="112">
      <x:c r="B112" s="281" t="inlineStr">
        <x:is>
          <x:t xml:space="preserve">TOTAL</x:t>
        </x:is>
      </x:c>
      <x:c r="C112" s="387" t="n">
        <x:v>40</x:v>
      </x:c>
      <x:c r="F112" s="265" t="n"/>
      <x:c r="G112" s="284" t="n"/>
    </x:row>
    <x:row r="113">
      <x:c r="B113" s="268" t="n"/>
      <x:c r="C113" s="435" t="n"/>
      <x:c r="F113" s="265" t="n"/>
      <x:c r="G113" s="284" t="n"/>
    </x:row>
    <x:row r="114">
      <x:c r="B114" s="268" t="inlineStr">
        <x:is>
          <x:t xml:space="preserve">TRACT 4:</x:t>
        </x:is>
      </x:c>
      <x:c r="C114" s="436" t="inlineStr">
        <x:is>
          <x:t xml:space="preserve">E/2 NW/4</x:t>
        </x:is>
      </x:c>
    </x:row>
    <x:row r="115">
      <x:c r="B115" s="268" t="inlineStr">
        <x:is>
          <x:t xml:space="preserve">Containing:</x:t>
        </x:is>
      </x:c>
      <x:c r="C115" s="435" t="inlineStr">
        <x:is>
          <x:t xml:space="preserve">80 acres, more or less</x:t>
        </x:is>
      </x:c>
    </x:row>
    <x:row r="116">
      <x:c r="B116" s="268" t="n"/>
      <x:c r="C116" s="435" t="n"/>
      <x:c r="D116" s="270" t="n"/>
      <x:c r="E116" s="599" t="n"/>
      <x:c r="F116" s="271" t="n"/>
      <x:c r="G116" s="378" t="n"/>
    </x:row>
    <x:row r="117">
      <x:c r="A117" s="266" t="n"/>
      <x:c r="B117" s="273" t="inlineStr">
        <x:is>
          <x:t xml:space="preserve">Mineral Owner</x:t>
        </x:is>
      </x:c>
      <x:c r="C117" s="274" t="inlineStr">
        <x:is>
          <x:t xml:space="preserve">Net Acres</x:t>
        </x:is>
      </x:c>
      <x:c r="D117" s="275" t="inlineStr">
        <x:is>
          <x:t xml:space="preserve">OGL No.</x:t>
        </x:is>
      </x:c>
      <x:c r="E117" s="600" t="inlineStr">
        <x:is>
          <x:t xml:space="preserve">Royalty</x:t>
        </x:is>
      </x:c>
      <x:c r="F117" s="277" t="inlineStr">
        <x:is>
          <x:t xml:space="preserve">Expiration</x:t>
        </x:is>
      </x:c>
      <x:c r="G117" s="379" t="inlineStr">
        <x:is>
          <x:t xml:space="preserve">Comments</x:t>
        </x:is>
      </x:c>
    </x:row>
    <x:row r="118" s="569" customFormat="1" ht="72" customHeight="1">
      <x:c r="A118" s="266" t="n"/>
      <x:c r="B118" s="278" t="inlineStr">
        <x:is>
          <x:t xml:space="preserve">Kevin Warner Johnson Trust
13259 Darwin Lane
Austin, TX 78729</x:t>
        </x:is>
      </x:c>
      <x:c r="C118" s="384" t="n">
        <x:v>10</x:v>
      </x:c>
      <x:c r="D118" s="340" t="inlineStr">
        <x:is>
          <x:t xml:space="preserve">24, 69</x:t>
        </x:is>
      </x:c>
      <x:c r="E118" s="601" t="n">
        <x:v>0.1875</x:v>
      </x:c>
      <x:c r="F118" s="342" t="str">
        <x:v>HBP per OGL sheet / client direction; image/OCC/OTC verification not required for current cursory turn-in.</x:v>
      </x:c>
      <x:c r="G118" s="340" t="inlineStr">
        <x:is>
          <x:t xml:space="preserve">Base OGL 24 (Bk 1787/0047). Top lease OGL 69 (Bk 2693/0345), 3/16, exp 02/27/2031, subordinate. Trust capacity retained.</x:t>
        </x:is>
      </x:c>
    </x:row>
    <x:row r="119" s="569" customFormat="1" ht="84" customHeight="1">
      <x:c r="A119" s="266" t="n"/>
      <x:c r="B119" s="339" t="inlineStr">
        <x:is>
          <x:t xml:space="preserve">Ronald Paul Dold
753 Velma Street
Memphis, TN 38104</x:t>
        </x:is>
      </x:c>
      <x:c r="C119" s="391" t="n">
        <x:v>0</x:v>
      </x:c>
      <x:c r="D119" s="340" t="inlineStr">
        <x:is>
          <x:t xml:space="preserve">2, 65</x:t>
        </x:is>
      </x:c>
      <x:c r="E119" s="601" t="n">
        <x:v>0.1875</x:v>
      </x:c>
      <x:c r="F119" s="342" t="inlineStr">
        <x:is>
          <x:t xml:space="preserve">HBP,
3/31/29</x:t>
        </x:is>
      </x:c>
      <x:c r="G119" s="350" t="inlineStr">
        <x:is>
          <x:t xml:space="preserve">Conveyed E/2 NW/4 interest to Silver Oak Natural Resources (see Tract 4 chain); net retained 0. Base OGL 2 (Bk 1736/0600); top lease OGL 65.</x:t>
        </x:is>
      </x:c>
    </x:row>
    <x:row r="120" s="569" customFormat="1" ht="48" customHeight="1">
      <x:c r="B120" s="339" t="inlineStr">
        <x:is>
          <x:t xml:space="preserve">Dustin Deal, LLC
11182 N. 2030 Rd.
Elk City, OK 73644</x:t>
        </x:is>
      </x:c>
      <x:c r="C120" s="392" t="n">
        <x:v>2.10135295407895</x:v>
      </x:c>
      <x:c r="D120" s="340" t="inlineStr">
        <x:is>
          <x:t xml:space="preserve">HBP (base)</x:t>
        </x:is>
      </x:c>
      <x:c r="E120" s="601" t="n"/>
      <x:c r="F120" s="342" t="str">
        <x:v>HBP per OGL sheet / client direction; image/OCC/OTC verification not required for current cursory turn-in.</x:v>
      </x:c>
      <x:c r="G120" s="340" t="inlineStr">
        <x:is>
          <x:t xml:space="preserve">Source: Mineral Deed/Assignment 2019-001855, Bk 2426/0154, eff. 10/01/2019.</x:t>
        </x:is>
      </x:c>
    </x:row>
    <x:row r="121" s="569" customFormat="1" ht="60" customHeight="1">
      <x:c r="B121" s="339" t="inlineStr">
        <x:is>
          <x:t xml:space="preserve">Calvin Wayne Kirk
Box 524
Cheyenne, Oklahoma 73628</x:t>
        </x:is>
      </x:c>
      <x:c r="C121" s="393" t="n">
        <x:v>2.1</x:v>
      </x:c>
      <x:c r="D121" s="340" t="inlineStr">
        <x:is>
          <x:t xml:space="preserve">HBP (base)</x:t>
        </x:is>
      </x:c>
      <x:c r="E121" s="601" t="n"/>
      <x:c r="F121" s="342" t="str">
        <x:v>HBP per OGL sheet / client direction; image/OCC/OTC verification not required for current cursory turn-in.</x:v>
      </x:c>
      <x:c r="G121" s="351" t="inlineStr">
        <x:is>
          <x:t xml:space="preserve">Net acres carried on a cursory basis; vesting instrument not located of record — see Curative Requirements.</x:t>
        </x:is>
      </x:c>
    </x:row>
    <x:row r="122" s="569" customFormat="1" ht="84" customHeight="1">
      <x:c r="B122" s="660" t="inlineStr">
        <x:is>
          <x:t xml:space="preserve">William Bryant / Kathy Bryant
Address not located — divorce decree 2014-004525; index through 05/05/2026</x:t>
        </x:is>
      </x:c>
      <x:c r="C122" s="393" t="n">
        <x:v>2.1</x:v>
      </x:c>
      <x:c r="D122" s="340" t="inlineStr">
        <x:is>
          <x:t xml:space="preserve">HBP (base)</x:t>
        </x:is>
      </x:c>
      <x:c r="E122" s="601" t="n"/>
      <x:c r="F122" s="342" t="str">
        <x:v>HBP per OGL sheet / client direction; image/OCC/OTC verification not required for current cursory turn-in.</x:v>
      </x:c>
      <x:c r="G122" s="351" t="inlineStr">
        <x:is>
          <x:t xml:space="preserve">Net acres carried on a cursory basis; vesting instrument not located of record — see Curative Requirements. See also William Bryant interest in Tract 5.</x:t>
        </x:is>
      </x:c>
    </x:row>
    <x:row r="123" s="569" customFormat="1" ht="108" customHeight="1">
      <x:c r="A123" s="266" t="n"/>
      <x:c r="B123" s="278" t="inlineStr">
        <x:is>
          <x:t xml:space="preserve">Silver Oak Natural Resources, LLC
5030 N. May Avenue, Suite 125
Oklahoma City, OK 73112</x:t>
        </x:is>
      </x:c>
      <x:c r="C123" s="394" t="n">
        <x:v>2.1</x:v>
      </x:c>
      <x:c r="D123" s="340" t="inlineStr">
        <x:is>
          <x:t xml:space="preserve">2, 65</x:t>
        </x:is>
      </x:c>
      <x:c r="E123" s="601" t="n">
        <x:v>0.1875</x:v>
      </x:c>
      <x:c r="F123" s="342" t="inlineStr">
        <x:is>
          <x:t xml:space="preserve">HBP,
3/31/29</x:t>
        </x:is>
      </x:c>
      <x:c r="G123" s="350" t="inlineStr">
        <x:is>
          <x:t xml:space="preserve">Successor to the Ronald Paul Dold interest in E/2 NW/4; holds subject to base OGL 2 and top lease OGL 65. Net acres carried on a cursory basis — see Curative Requirements.</x:t>
        </x:is>
      </x:c>
    </x:row>
    <x:row r="124" s="569" customFormat="1" ht="96" customHeight="1">
      <x:c r="A124" s="266" t="n"/>
      <x:c r="B124" s="434" t="inlineStr">
        <x:is>
          <x:t xml:space="preserve">Balance of E/2 NW/4 (owners undetermined of record)</x:t>
        </x:is>
      </x:c>
      <x:c r="C124" s="394" t="n">
        <x:v>61.598647</x:v>
      </x:c>
      <x:c r="D124" s="340" t="inlineStr">
        <x:is>
          <x:t xml:space="preserve">—</x:t>
        </x:is>
      </x:c>
      <x:c r="E124" s="601" t="inlineStr">
        <x:is>
          <x:t xml:space="preserve">—</x:t>
        </x:is>
      </x:c>
      <x:c r="F124" s="342" t="inlineStr">
        <x:is>
          <x:t xml:space="preserve">OPEN / VERIFY</x:t>
        </x:is>
      </x:c>
      <x:c r="G124" s="350" t="inlineStr">
        <x:is>
          <x:t xml:space="preserve">Ownership of the remaining 61.60 NMA is undetermined of record — chain of title over-conveys / vesting instruments not located; see Curative Requirements.</x:t>
        </x:is>
      </x:c>
    </x:row>
    <x:row r="125">
      <x:c r="A125" s="266" t="n"/>
      <x:c r="B125" s="279" t="inlineStr">
        <x:is>
          <x:t xml:space="preserve">REPORT TOTAL</x:t>
        </x:is>
      </x:c>
      <x:c r="C125" s="386" t="n">
        <x:f>SUM(C118:C124)</x:f>
        <x:v>79.99999995407896</x:v>
      </x:c>
      <x:c r="F125" s="265" t="n"/>
      <x:c r="G125" s="284" t="n"/>
    </x:row>
    <x:row r="126">
      <x:c r="B126" s="281" t="inlineStr">
        <x:is>
          <x:t xml:space="preserve">TOTAL</x:t>
        </x:is>
      </x:c>
      <x:c r="C126" s="387" t="n">
        <x:f>C125</x:f>
        <x:v>79.99999995407896</x:v>
      </x:c>
      <x:c r="F126" s="265" t="n"/>
      <x:c r="G126" s="284" t="n"/>
    </x:row>
    <x:row r="127">
      <x:c r="B127" s="268" t="n"/>
      <x:c r="C127" s="435" t="n"/>
      <x:c r="F127" s="265" t="n"/>
      <x:c r="G127" s="284" t="n"/>
    </x:row>
    <x:row r="128">
      <x:c r="B128" s="268" t="inlineStr">
        <x:is>
          <x:t xml:space="preserve">TRACT 5:</x:t>
        </x:is>
      </x:c>
      <x:c r="C128" s="436" t="inlineStr">
        <x:is>
          <x:t xml:space="preserve">W/2 NW/4 (Lots 1 &amp; 2) and SE/4 SW/4, less and except the South 51 acres of a 51-acre metes-and-bounds tract (west-side strip), and less and except The South 32.8 acres in a tract of land described as W. 1820 chains (72 8/10 Rods) of Lots 1 &amp; 2 ADA W 18.20 chains (or 72 8/10 Rods) of W/2 NW/4, containing 38.28 acres, more or less</x:t>
        </x:is>
      </x:c>
    </x:row>
    <x:row r="129">
      <x:c r="B129" s="268" t="inlineStr">
        <x:is>
          <x:t xml:space="preserve">Containing:</x:t>
        </x:is>
      </x:c>
      <x:c r="C129" s="435" t="inlineStr">
        <x:is>
          <x:t xml:space="preserve">38.28 acres, more or less</x:t>
        </x:is>
      </x:c>
    </x:row>
    <x:row r="130">
      <x:c r="B130" s="268" t="n"/>
      <x:c r="C130" s="435" t="n"/>
      <x:c r="F130" s="265" t="n"/>
      <x:c r="G130" s="284" t="n"/>
    </x:row>
    <x:row r="131">
      <x:c r="B131" s="273" t="inlineStr">
        <x:is>
          <x:t xml:space="preserve">Mineral Owner</x:t>
        </x:is>
      </x:c>
      <x:c r="C131" s="274" t="inlineStr">
        <x:is>
          <x:t xml:space="preserve">Net Acres</x:t>
        </x:is>
      </x:c>
      <x:c r="D131" s="275" t="inlineStr">
        <x:is>
          <x:t xml:space="preserve">OGL No.</x:t>
        </x:is>
      </x:c>
      <x:c r="E131" s="600" t="inlineStr">
        <x:is>
          <x:t xml:space="preserve">Royalty</x:t>
        </x:is>
      </x:c>
      <x:c r="F131" s="277" t="inlineStr">
        <x:is>
          <x:t xml:space="preserve">Expiration</x:t>
        </x:is>
      </x:c>
      <x:c r="G131" s="380" t="inlineStr">
        <x:is>
          <x:t xml:space="preserve">Comments</x:t>
        </x:is>
      </x:c>
    </x:row>
    <x:row r="132">
      <x:c r="B132" s="339" t="n"/>
      <x:c r="C132" s="392" t="n"/>
      <x:c r="D132" s="340" t="n"/>
      <x:c r="E132" s="601" t="n"/>
      <x:c r="F132" s="342" t="n"/>
      <x:c r="G132" s="353" t="n"/>
    </x:row>
    <x:row r="133">
      <x:c r="B133" s="660" t="inlineStr">
        <x:is>
          <x:t xml:space="preserve">William Bryant / Kathy Bryant
Address not located — divorce decree 2014-004525; index through 05/05/2026</x:t>
        </x:is>
      </x:c>
      <x:c r="C133" s="392" t="n">
        <x:v>0.738375635295881</x:v>
      </x:c>
      <x:c r="D133" s="340" t="n"/>
      <x:c r="E133" s="601" t="n"/>
      <x:c r="F133" s="342" t="str">
        <x:v>HBP per OGL sheet / client direction; image/OCC/OTC verification not required for current cursory turn-in.</x:v>
      </x:c>
      <x:c r="G133" s="353" t="n"/>
    </x:row>
    <x:row r="134" s="569" customFormat="1" ht="108" customHeight="1">
      <x:c r="B134" s="433" t="inlineStr">
        <x:is>
          <x:t xml:space="preserve">Balance of tract (owners undetermined of record)</x:t>
        </x:is>
      </x:c>
      <x:c r="C134" s="395" t="n">
        <x:v>37.54162436470412</x:v>
      </x:c>
      <x:c r="D134" s="340" t="inlineStr">
        <x:is>
          <x:t xml:space="preserve">—</x:t>
        </x:is>
      </x:c>
      <x:c r="E134" s="601" t="inlineStr">
        <x:is>
          <x:t xml:space="preserve">—</x:t>
        </x:is>
      </x:c>
      <x:c r="F134" s="342" t="inlineStr">
        <x:is>
          <x:t xml:space="preserve">OPEN / VERIFY</x:t>
        </x:is>
      </x:c>
      <x:c r="G134" s="340" t="inlineStr">
        <x:is>
          <x:t xml:space="preserve">Remaining 37.54 NMA undetermined of record — see Curative Requirements. Tract 5 chain contains unresolved conveyances; carried as balance pending curative.</x:t>
        </x:is>
      </x:c>
    </x:row>
    <x:row r="135">
      <x:c r="B135" s="279" t="inlineStr">
        <x:is>
          <x:t xml:space="preserve">REPORT TOTAL</x:t>
        </x:is>
      </x:c>
      <x:c r="C135" s="386" t="n">
        <x:v>38.28</x:v>
      </x:c>
      <x:c r="F135" s="265" t="n"/>
      <x:c r="G135" s="284" t="n"/>
    </x:row>
    <x:row r="136">
      <x:c r="B136" s="281" t="inlineStr">
        <x:is>
          <x:t xml:space="preserve">TOTAL</x:t>
        </x:is>
      </x:c>
      <x:c r="C136" s="387" t="n">
        <x:v>38.28</x:v>
      </x:c>
      <x:c r="F136" s="265" t="n"/>
      <x:c r="G136" s="284" t="n"/>
    </x:row>
    <x:row r="137">
      <x:c r="B137" s="268" t="n"/>
      <x:c r="C137" s="435" t="n"/>
      <x:c r="D137" s="270" t="n"/>
      <x:c r="E137" s="599" t="n"/>
      <x:c r="F137" s="271" t="n"/>
      <x:c r="G137" s="378" t="n"/>
    </x:row>
    <x:row r="138">
      <x:c r="B138" s="268" t="inlineStr">
        <x:is>
          <x:t xml:space="preserve">TRACT 6:</x:t>
        </x:is>
      </x:c>
      <x:c r="C138" s="436" t="inlineStr">
        <x:is>
          <x:t xml:space="preserve">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the Range line between Ranges 24 and 25, thence North on Range line 50 chains (or 200 rods) to the point of beginning, containing 91 acres, more or less, according to the Government Survey thereof, LIMITED TO the South 51 acres thereof.</x:t>
        </x:is>
      </x:c>
    </x:row>
    <x:row r="139">
      <x:c r="B139" s="268" t="inlineStr">
        <x:is>
          <x:t xml:space="preserve">Containing:</x:t>
        </x:is>
      </x:c>
      <x:c r="C139" s="435" t="inlineStr">
        <x:is>
          <x:t xml:space="preserve">51 acres, more or less</x:t>
        </x:is>
      </x:c>
    </x:row>
    <x:row r="140">
      <x:c r="B140" s="268" t="n"/>
      <x:c r="C140" s="435" t="n"/>
      <x:c r="D140" s="270" t="n"/>
      <x:c r="E140" s="599" t="n"/>
      <x:c r="F140" s="271" t="n"/>
      <x:c r="G140" s="378" t="n"/>
    </x:row>
    <x:row r="141">
      <x:c r="A141" s="266" t="n"/>
      <x:c r="B141" s="273" t="inlineStr">
        <x:is>
          <x:t xml:space="preserve">Mineral Owner</x:t>
        </x:is>
      </x:c>
      <x:c r="C141" s="274" t="inlineStr">
        <x:is>
          <x:t xml:space="preserve">Net Acres</x:t>
        </x:is>
      </x:c>
      <x:c r="D141" s="275" t="inlineStr">
        <x:is>
          <x:t xml:space="preserve">OGL No.</x:t>
        </x:is>
      </x:c>
      <x:c r="E141" s="600" t="inlineStr">
        <x:is>
          <x:t xml:space="preserve">Royalty</x:t>
        </x:is>
      </x:c>
      <x:c r="F141" s="277" t="inlineStr">
        <x:is>
          <x:t xml:space="preserve">Expiration</x:t>
        </x:is>
      </x:c>
      <x:c r="G141" s="379" t="inlineStr">
        <x:is>
          <x:t xml:space="preserve">Comments</x:t>
        </x:is>
      </x:c>
    </x:row>
    <x:row r="142" s="569" customFormat="1" ht="36" customHeight="1">
      <x:c r="B142" s="339" t="inlineStr">
        <x:is>
          <x:t xml:space="preserve">Calvin Wayne Kirk
Box 524
Cheyenne, Oklahoma 73628</x:t>
        </x:is>
      </x:c>
      <x:c r="C142" s="392" t="n">
        <x:v>2.2</x:v>
      </x:c>
      <x:c r="D142" s="340" t="inlineStr">
        <x:is>
          <x:t xml:space="preserve">HBP (base)</x:t>
        </x:is>
      </x:c>
      <x:c r="E142" s="601" t="inlineStr">
        <x:is>
          <x:t xml:space="preserve">N/A</x:t>
        </x:is>
      </x:c>
      <x:c r="F142" s="342" t="str">
        <x:v>HBP per OGL sheet / client direction; image/OCC/OTC verification not required for current cursory turn-in.</x:v>
      </x:c>
      <x:c r="G142" s="353" t="n"/>
    </x:row>
    <x:row r="143" s="569" customFormat="1" ht="96" customHeight="1">
      <x:c r="B143" s="339" t="inlineStr">
        <x:is>
          <x:t xml:space="preserve">Ella Pearl Kirk, her estate, heirs, devisees, or successors (undetermined of record)
Box 512
Cheyenne, OK 73628</x:t>
        </x:is>
      </x:c>
      <x:c r="C143" s="392" t="n">
        <x:v>48.8</x:v>
      </x:c>
      <x:c r="D143" s="340" t="inlineStr">
        <x:is>
          <x:t xml:space="preserve">—</x:t>
        </x:is>
      </x:c>
      <x:c r="E143" s="601" t="inlineStr">
        <x:is>
          <x:t xml:space="preserve">—</x:t>
        </x:is>
      </x:c>
      <x:c r="F143" s="342" t="inlineStr">
        <x:is>
          <x:t xml:space="preserve">OPEN / VERIFY</x:t>
        </x:is>
      </x:c>
      <x:c r="G143" s="353" t="inlineStr">
        <x:is>
          <x:t xml:space="preserve">Estate/succession not of record; 48.80 NMA carried pending probate or heirship documentation — see Curative Requirements. Lease status undetermined.</x:t>
        </x:is>
      </x:c>
    </x:row>
    <x:row r="144">
      <x:c r="B144" s="285" t="inlineStr">
        <x:is>
          <x:t xml:space="preserve">REPORT TOTAL</x:t>
        </x:is>
      </x:c>
      <x:c r="C144" s="396" t="n">
        <x:f>SUM(C142:C143)</x:f>
        <x:v>51</x:v>
      </x:c>
      <x:c r="F144" s="265" t="n"/>
      <x:c r="G144" s="284" t="inlineStr">
        <x:is>
          <x:t xml:space="preserve">Bk 2698/069: Martin's Empire LLC → Stride Bank TTEE (2% ORRI). Base WI Bk 2664/169 Presidio → Martin's Empire. Exhibits not examined.</x:t>
        </x:is>
      </x:c>
    </x:row>
    <x:row r="145">
      <x:c r="B145" s="281" t="inlineStr">
        <x:is>
          <x:t xml:space="preserve">TOTAL</x:t>
        </x:is>
      </x:c>
      <x:c r="C145" s="387" t="n">
        <x:f>C144</x:f>
        <x:v>51</x:v>
      </x:c>
      <x:c r="F145" s="265" t="n"/>
      <x:c r="G145" s="284" t="n"/>
    </x:row>
    <x:row r="146">
      <x:c r="B146" s="268" t="n"/>
      <x:c r="C146" s="435" t="n"/>
      <x:c r="D146" s="270" t="n"/>
      <x:c r="E146" s="599" t="n"/>
      <x:c r="F146" s="271" t="n"/>
      <x:c r="G146" s="378" t="n"/>
    </x:row>
    <x:row r="147">
      <x:c r="B147" s="268" t="inlineStr">
        <x:is>
          <x:t xml:space="preserve">TRACT 7:</x:t>
        </x:is>
      </x:c>
      <x:c r="C147" s="436" t="inlineStr">
        <x:is>
          <x:t xml:space="preserve">NE/4 SW/4</x:t>
        </x:is>
      </x:c>
    </x:row>
    <x:row r="148">
      <x:c r="B148" s="268" t="inlineStr">
        <x:is>
          <x:t xml:space="preserve">Containing:</x:t>
        </x:is>
      </x:c>
      <x:c r="C148" s="435" t="inlineStr">
        <x:is>
          <x:t xml:space="preserve">40 acres, more or less</x:t>
        </x:is>
      </x:c>
    </x:row>
    <x:row r="149">
      <x:c r="B149" s="268" t="n"/>
      <x:c r="C149" s="435" t="n"/>
      <x:c r="D149" s="270" t="n"/>
      <x:c r="E149" s="599" t="n"/>
      <x:c r="F149" s="271" t="n"/>
      <x:c r="G149" s="378" t="n"/>
    </x:row>
    <x:row r="150">
      <x:c r="B150" s="273" t="inlineStr">
        <x:is>
          <x:t xml:space="preserve">Mineral Owner</x:t>
        </x:is>
      </x:c>
      <x:c r="C150" s="397" t="inlineStr">
        <x:is>
          <x:t xml:space="preserve">Net Acres</x:t>
        </x:is>
      </x:c>
      <x:c r="D150" s="275" t="inlineStr">
        <x:is>
          <x:t xml:space="preserve">OGL No.</x:t>
        </x:is>
      </x:c>
      <x:c r="E150" s="600" t="inlineStr">
        <x:is>
          <x:t xml:space="preserve">Royalty</x:t>
        </x:is>
      </x:c>
      <x:c r="F150" s="277" t="inlineStr">
        <x:is>
          <x:t xml:space="preserve">Expiration</x:t>
        </x:is>
      </x:c>
      <x:c r="G150" s="380" t="inlineStr">
        <x:is>
          <x:t xml:space="preserve">Comments</x:t>
        </x:is>
      </x:c>
    </x:row>
    <x:row r="151" s="569" customFormat="1" ht="132" customHeight="1">
      <x:c r="A151" s="266" t="n"/>
      <x:c r="B151" s="661" t="inlineStr">
        <x:is>
          <x:t xml:space="preserve">Pine Tree Energy Partners, LLC
1700 Pacific Ave, Suite 1200
Dallas, TX 75201</x:t>
        </x:is>
      </x:c>
      <x:c r="C151" s="391" t="n">
        <x:v>1.14</x:v>
      </x:c>
      <x:c r="D151" s="350" t="inlineStr">
        <x:is>
          <x:t xml:space="preserve">—</x:t>
        </x:is>
      </x:c>
      <x:c r="E151" s="603" t="n"/>
      <x:c r="F151" s="342" t="str">
        <x:v>HBP per OGL sheet / client direction; image/OCC/OTC verification not required for current cursory turn-in.</x:v>
      </x:c>
      <x:c r="G151" s="358" t="inlineStr">
        <x:is>
          <x:t xml:space="preserve">Acquired from Clint Roy Kirk via J. and A. Minerals, LLC (Bk 2682/0183, eff. 02/09/2026) and Pine Tree Energy Partners, LLC (Bk 2688/0409, eff. 03/11/2026). Net acres carried on a cursory basis; lease status not determined of record.</x:t>
        </x:is>
      </x:c>
    </x:row>
    <x:row r="152" s="569" customFormat="1" ht="60" customHeight="1">
      <x:c r="A152" s="266" t="n"/>
      <x:c r="B152" s="661" t="inlineStr">
        <x:is>
          <x:t xml:space="preserve">Gene G. Williams
P.O. Box 763
Hobart, OK 73564</x:t>
        </x:is>
      </x:c>
      <x:c r="C152" s="391" t="n">
        <x:v>1.14</x:v>
      </x:c>
      <x:c r="D152" s="350" t="inlineStr">
        <x:is>
          <x:t xml:space="preserve">HBP (base)</x:t>
        </x:is>
      </x:c>
      <x:c r="E152" s="601" t="n"/>
      <x:c r="F152" s="342" t="str">
        <x:v>HBP per OGL sheet / client direction; image/OCC/OTC verification not required for current cursory turn-in.</x:v>
      </x:c>
      <x:c r="G152" s="350" t="inlineStr">
        <x:is>
          <x:t xml:space="preserve">Retained interest per chain. Net acres carried on a cursory basis; lease status not determined of record.</x:t>
        </x:is>
      </x:c>
    </x:row>
    <x:row r="153" s="569" customFormat="1" ht="204" customHeight="1">
      <x:c r="A153" s="266" t="n"/>
      <x:c r="B153" s="661" t="inlineStr">
        <x:is>
          <x:t xml:space="preserve">Gena Williams, Carrie Leeann Williams &amp; Nancy Susan Mitchell Williams
100 W Dogwood Street
Hobart, OK 73651</x:t>
        </x:is>
      </x:c>
      <x:c r="C153" s="391" t="n">
        <x:v>0.87</x:v>
      </x:c>
      <x:c r="D153" s="350" t="inlineStr">
        <x:is>
          <x:t xml:space="preserve">64, 65, 66</x:t>
        </x:is>
      </x:c>
      <x:c r="E153" s="603" t="n">
        <x:v>0.1875</x:v>
      </x:c>
      <x:c r="F153" s="342" t="str">
        <x:v>HBP per OGL sheet / client direction; image/OCC/OTC verification not required for current cursory turn-in.</x:v>
      </x:c>
      <x:c r="G153" s="350" t="inlineStr">
        <x:is>
          <x:t xml:space="preserve">Retained Williams-family fractions (0.25 net each per chain). Per register legals, Silver Oak top leases covering NE/4 SW/4: OGL 66 (Gena Williams), OGL 64 (Mitchell Buonaccorsi Living Trust, Carrie Leeann Mitchell), OGL 65 (Ronald Paul Dold, Nancy Susan Mitchell chain); OGLs 67-69 cover N/2 NE/4 SW/4 only. Net acres carried on a cursory basis.</x:t>
        </x:is>
      </x:c>
    </x:row>
    <x:row r="154" s="569" customFormat="1" ht="60" customHeight="1">
      <x:c r="B154" s="287" t="inlineStr">
        <x:is>
          <x:t xml:space="preserve">Balance of NE/4 SW/4 (owners undetermined of record)</x:t>
        </x:is>
      </x:c>
      <x:c r="C154" s="398" t="n">
        <x:v>36.85</x:v>
      </x:c>
      <x:c r="D154" s="340" t="n"/>
      <x:c r="E154" s="601" t="n"/>
      <x:c r="F154" s="342" t="inlineStr">
        <x:is>
          <x:t xml:space="preserve">OPEN / VERIFY</x:t>
        </x:is>
      </x:c>
      <x:c r="G154" s="351" t="inlineStr">
        <x:is>
          <x:t xml:space="preserve">Ownership of the remaining 36.85 NMA is undetermined of record — see Curative Requirements.</x:t>
        </x:is>
      </x:c>
    </x:row>
    <x:row r="155">
      <x:c r="B155" s="279" t="inlineStr">
        <x:is>
          <x:t xml:space="preserve">REPORT TOTAL</x:t>
        </x:is>
      </x:c>
      <x:c r="C155" s="386" t="n">
        <x:f>'Tract 7'!$D$5</x:f>
        <x:v>40</x:v>
      </x:c>
      <x:c r="F155" s="265" t="n"/>
      <x:c r="G155" s="284" t="n"/>
    </x:row>
    <x:row r="156">
      <x:c r="B156" s="281" t="inlineStr">
        <x:is>
          <x:t xml:space="preserve">TOTAL</x:t>
        </x:is>
      </x:c>
      <x:c r="C156" s="387" t="n">
        <x:f>C155</x:f>
        <x:v>40</x:v>
      </x:c>
      <x:c r="F156" s="265" t="n"/>
      <x:c r="G156" s="284" t="n"/>
    </x:row>
    <x:row r="157">
      <x:c r="B157" s="268" t="n"/>
      <x:c r="C157" s="435" t="n"/>
      <x:c r="D157" s="270" t="n"/>
      <x:c r="E157" s="599" t="n"/>
      <x:c r="F157" s="271" t="n"/>
      <x:c r="G157" s="378" t="n"/>
    </x:row>
    <x:row r="158" s="569" customFormat="1" ht="50.25" customHeight="1">
      <x:c r="B158" s="268" t="inlineStr">
        <x:is>
          <x:t xml:space="preserve">TRACT 8:</x:t>
        </x:is>
      </x:c>
      <x:c r="C158" s="436" t="inlineStr">
        <x:is>
          <x:t xml:space="preserve">The South 32.80 acres in a tract of land described as W. 18.20 chains (72 8/10 Rods) of Lots 1 &amp; 2 ADA W 18.20 chains (or 72 8/10 Rods) of W/2 NW/4, W 18.20 chains (or 72 8/10 Rods) of N/2 of Lot 3 ADA W 18.20 chains (or 72 8/10 Rods) of N/2 NW/4 SW/4 of 31-12N-24W</x:t>
        </x:is>
      </x:c>
    </x:row>
    <x:row r="159">
      <x:c r="B159" s="268" t="inlineStr">
        <x:is>
          <x:t xml:space="preserve">Containing:</x:t>
        </x:is>
      </x:c>
      <x:c r="C159" s="435" t="inlineStr">
        <x:is>
          <x:t xml:space="preserve">32.80 acres, more or less</x:t>
        </x:is>
      </x:c>
    </x:row>
    <x:row r="160">
      <x:c r="B160" s="268" t="n"/>
      <x:c r="C160" s="435" t="n"/>
      <x:c r="F160" s="265" t="n"/>
      <x:c r="G160" s="284" t="n"/>
    </x:row>
    <x:row r="161">
      <x:c r="B161" s="268" t="n"/>
      <x:c r="C161" s="435" t="n"/>
      <x:c r="D161" s="270" t="n"/>
      <x:c r="E161" s="599" t="n"/>
      <x:c r="F161" s="271" t="n"/>
      <x:c r="G161" s="378" t="n"/>
    </x:row>
    <x:row r="162">
      <x:c r="B162" s="273" t="inlineStr">
        <x:is>
          <x:t xml:space="preserve">Mineral Owner</x:t>
        </x:is>
      </x:c>
      <x:c r="C162" s="274" t="inlineStr">
        <x:is>
          <x:t xml:space="preserve">Net Acres</x:t>
        </x:is>
      </x:c>
      <x:c r="D162" s="275" t="inlineStr">
        <x:is>
          <x:t xml:space="preserve">OGL No.</x:t>
        </x:is>
      </x:c>
      <x:c r="E162" s="600" t="inlineStr">
        <x:is>
          <x:t xml:space="preserve">Royalty</x:t>
        </x:is>
      </x:c>
      <x:c r="F162" s="277" t="inlineStr">
        <x:is>
          <x:t xml:space="preserve">Expiration</x:t>
        </x:is>
      </x:c>
      <x:c r="G162" s="380" t="inlineStr">
        <x:is>
          <x:t xml:space="preserve">Comments</x:t>
        </x:is>
      </x:c>
    </x:row>
    <x:row r="163" s="569" customFormat="1" ht="48" customHeight="1">
      <x:c r="A163" s="266" t="n"/>
      <x:c r="B163" s="356" t="inlineStr">
        <x:is>
          <x:t xml:space="preserve">Ella Pearl Kirk
Box 512
Cheyenne, OK 73628</x:t>
        </x:is>
      </x:c>
      <x:c r="C163" s="391" t="n">
        <x:v>32.8</x:v>
      </x:c>
      <x:c r="D163" s="340" t="n">
        <x:v>62</x:v>
      </x:c>
      <x:c r="E163" s="601" t="n">
        <x:v>0.1875</x:v>
      </x:c>
      <x:c r="F163" s="342" t="str">
        <x:v>HBP per OGL sheet / client direction; image/OCC/OTC verification not required for current cursory turn-in.</x:v>
      </x:c>
      <x:c r="G163" s="340" t="inlineStr">
        <x:is>
          <x:t xml:space="preserve">Lease of record OGL 62 (Bk 1833/0218); royalty as shown per lease register.</x:t>
        </x:is>
      </x:c>
    </x:row>
    <x:row r="164">
      <x:c r="B164" s="279" t="inlineStr">
        <x:is>
          <x:t xml:space="preserve">REPORT TOTAL</x:t>
        </x:is>
      </x:c>
      <x:c r="C164" s="386" t="n">
        <x:f>SUM(C163:C163)</x:f>
        <x:v>32.8</x:v>
      </x:c>
      <x:c r="F164" s="265" t="n"/>
      <x:c r="G164" s="284" t="n"/>
    </x:row>
    <x:row r="165">
      <x:c r="B165" s="281" t="inlineStr">
        <x:is>
          <x:t xml:space="preserve">TOTAL</x:t>
        </x:is>
      </x:c>
      <x:c r="C165" s="386" t="n">
        <x:f>C164</x:f>
        <x:v>32.8</x:v>
      </x:c>
      <x:c r="F165" s="265" t="n"/>
      <x:c r="G165" s="284" t="n"/>
    </x:row>
    <x:row r="166">
      <x:c r="B166" s="268" t="n"/>
      <x:c r="C166" s="435" t="n"/>
      <x:c r="D166" s="270" t="n"/>
      <x:c r="E166" s="599" t="n"/>
      <x:c r="F166" s="271" t="n"/>
      <x:c r="G166" s="378" t="n"/>
    </x:row>
    <x:row r="167" s="569" customFormat="1" ht="48" customHeight="1">
      <x:c r="B167" s="268" t="inlineStr">
        <x:is>
          <x:t xml:space="preserve">TRACT 9:</x:t>
        </x:is>
      </x:c>
      <x:c r="C167" s="436" t="inlineStr">
        <x:is>
          <x:t xml:space="preserve">Lot 4, S/2 of Lot 3, S/2 NE/4 SW/4, less and except a tract of land described as: Beginning at the SE/corner of the SW/4; then North 946 feet; then West 2547.60 feet: then South 946 feet; then East 2547.60 feet to the point of beginning.of 31-12N-24W</x:t>
        </x:is>
      </x:c>
    </x:row>
    <x:row r="168">
      <x:c r="B168" s="268" t="inlineStr">
        <x:is>
          <x:t xml:space="preserve">Containing:</x:t>
        </x:is>
      </x:c>
      <x:c r="C168" s="435" t="inlineStr">
        <x:is>
          <x:t xml:space="preserve">75.34 acres, more or less</x:t>
        </x:is>
      </x:c>
    </x:row>
    <x:row r="169">
      <x:c r="B169" s="268" t="n"/>
      <x:c r="C169" s="435" t="n"/>
      <x:c r="D169" s="270" t="n"/>
      <x:c r="E169" s="599" t="n"/>
      <x:c r="F169" s="271" t="n"/>
      <x:c r="G169" s="378" t="n"/>
    </x:row>
    <x:row r="170">
      <x:c r="B170" s="273" t="inlineStr">
        <x:is>
          <x:t xml:space="preserve">Mineral Owner</x:t>
        </x:is>
      </x:c>
      <x:c r="C170" s="274" t="inlineStr">
        <x:is>
          <x:t xml:space="preserve">Net Acres</x:t>
        </x:is>
      </x:c>
      <x:c r="D170" s="275" t="inlineStr">
        <x:is>
          <x:t xml:space="preserve">OGL No.</x:t>
        </x:is>
      </x:c>
      <x:c r="E170" s="600" t="inlineStr">
        <x:is>
          <x:t xml:space="preserve">Royalty</x:t>
        </x:is>
      </x:c>
      <x:c r="F170" s="277" t="inlineStr">
        <x:is>
          <x:t xml:space="preserve">Expiration</x:t>
        </x:is>
      </x:c>
      <x:c r="G170" s="380" t="inlineStr">
        <x:is>
          <x:t xml:space="preserve">Comments</x:t>
        </x:is>
      </x:c>
    </x:row>
    <x:row r="171" s="569" customFormat="1" ht="168" customHeight="1">
      <x:c r="A171" s="266" t="n"/>
      <x:c r="B171" s="356" t="inlineStr">
        <x:is>
          <x:t xml:space="preserve">Ronald Paul Dold
753 Velma Street
Memphis, TN 38104</x:t>
        </x:is>
      </x:c>
      <x:c r="C171" s="391" t="n">
        <x:v>18.835</x:v>
      </x:c>
      <x:c r="D171" s="340" t="inlineStr">
        <x:is>
          <x:t xml:space="preserve">2, 65</x:t>
        </x:is>
      </x:c>
      <x:c r="E171" s="601" t="n">
        <x:v>0.1875</x:v>
      </x:c>
      <x:c r="F171" s="342" t="inlineStr">
        <x:is>
          <x:t xml:space="preserve">HBP,
3/31/29</x:t>
        </x:is>
      </x:c>
      <x:c r="G171" s="340" t="inlineStr">
        <x:is>
          <x:t xml:space="preserve">Successor in interest to Nancy Susan Mitchell, deceased, per Affidavit of Heirship 2026-002509 (Bk 2697/0517). Base OGL 2 (Bk 1736/0600); top lease OGL 65 (Bk 2697/0524), 3/16, exp 03/31/2029, subordinate. Interest subject to probate/heirship curative — see Curative Requirements.</x:t>
        </x:is>
      </x:c>
    </x:row>
    <x:row r="172" s="569" customFormat="1" ht="120" customHeight="1">
      <x:c r="A172" s="266" t="n"/>
      <x:c r="B172" s="432" t="inlineStr">
        <x:is>
          <x:t xml:space="preserve">Gena W. Moore, a/k/a Gena Mitchell Williams, a/k/a Gena Williams
100 W Dogwood Street
Hobart, OK 73651</x:t>
        </x:is>
      </x:c>
      <x:c r="C172" s="394" t="n">
        <x:v>18.835</x:v>
      </x:c>
      <x:c r="D172" s="340" t="n">
        <x:v>66</x:v>
      </x:c>
      <x:c r="E172" s="601" t="n"/>
      <x:c r="F172" s="342" t="inlineStr">
        <x:is>
          <x:t xml:space="preserve">HBP,
2/11/31</x:t>
        </x:is>
      </x:c>
      <x:c r="G172" s="340" t="inlineStr">
        <x:is>
          <x:t xml:space="preserve">Per Tract 9 chain (Kiowa Co. probate, Carrie Lou Mitchell estate — 1/4 each to Williams heirs). Top lease OGL 66 (Bk 2702/0505), 3/16, exp 02/11/2031, subordinate; operative base lease not determined of record.</x:t>
        </x:is>
      </x:c>
    </x:row>
    <x:row r="173" s="569" customFormat="1" ht="120" customHeight="1">
      <x:c r="A173" s="266" t="n"/>
      <x:c r="B173" s="432" t="inlineStr">
        <x:is>
          <x:t xml:space="preserve">Carrie Leeann Williams, a/k/a Carrie Leeann Mitchell
1880 Old Salem Road
Watkinsville, GA 30677</x:t>
        </x:is>
      </x:c>
      <x:c r="C173" s="394" t="n">
        <x:v>18.835</x:v>
      </x:c>
      <x:c r="D173" s="340" t="n">
        <x:v>64</x:v>
      </x:c>
      <x:c r="E173" s="601" t="n"/>
      <x:c r="F173" s="342" t="inlineStr">
        <x:is>
          <x:t xml:space="preserve">HBP,
2/23/29</x:t>
        </x:is>
      </x:c>
      <x:c r="G173" s="340" t="inlineStr">
        <x:is>
          <x:t xml:space="preserve">Per Tract 9 chain (Kiowa Co. probate, Carrie Lou Mitchell estate — 1/4 each to Williams heirs). Top lease OGL 64 (Bk 2693/0337), 3/16, exp 02/23/2029, subordinate; operative base lease not determined of record.</x:t>
        </x:is>
      </x:c>
    </x:row>
    <x:row r="174" s="569" customFormat="1" ht="96" customHeight="1">
      <x:c r="A174" s="266" t="n"/>
      <x:c r="B174" s="287" t="inlineStr">
        <x:is>
          <x:t xml:space="preserve">Balance of tract (owners undetermined of record)</x:t>
        </x:is>
      </x:c>
      <x:c r="C174" s="394" t="n">
        <x:v>18.835</x:v>
      </x:c>
      <x:c r="D174" s="340" t="inlineStr">
        <x:is>
          <x:t xml:space="preserve">—</x:t>
        </x:is>
      </x:c>
      <x:c r="E174" s="601" t="inlineStr">
        <x:is>
          <x:t xml:space="preserve">—</x:t>
        </x:is>
      </x:c>
      <x:c r="F174" s="342" t="inlineStr">
        <x:is>
          <x:t xml:space="preserve">OPEN / VERIFY</x:t>
        </x:is>
      </x:c>
      <x:c r="G174" s="340" t="inlineStr">
        <x:is>
          <x:t xml:space="preserve">Remaining 18.84 NMA undetermined of record — see Curative Requirements. Chain contains unresolved conveyances; carried as balance pending curative.</x:t>
        </x:is>
      </x:c>
    </x:row>
    <x:row r="175">
      <x:c r="B175" s="279" t="inlineStr">
        <x:is>
          <x:t xml:space="preserve">REPORT TOTAL</x:t>
        </x:is>
      </x:c>
      <x:c r="C175" s="386" t="n">
        <x:f>SUM(C171:C174)</x:f>
        <x:v>75.34</x:v>
      </x:c>
      <x:c r="F175" s="265" t="n"/>
      <x:c r="G175" s="284" t="n"/>
    </x:row>
    <x:row r="176">
      <x:c r="B176" s="281" t="inlineStr">
        <x:is>
          <x:t xml:space="preserve">TOTAL</x:t>
        </x:is>
      </x:c>
      <x:c r="C176" s="390" t="n">
        <x:f>C175</x:f>
        <x:v>75.34</x:v>
      </x:c>
      <x:c r="F176" s="265" t="n"/>
      <x:c r="G176" s="284" t="n"/>
    </x:row>
    <x:row r="177">
      <x:c r="B177" s="268" t="n"/>
      <x:c r="C177" s="435" t="n"/>
      <x:c r="D177" s="270" t="n"/>
      <x:c r="E177" s="599" t="n"/>
      <x:c r="F177" s="271" t="n"/>
      <x:c r="G177" s="378" t="n"/>
    </x:row>
    <x:row r="178">
      <x:c r="B178" s="268" t="inlineStr">
        <x:is>
          <x:t xml:space="preserve">TRACT 10:</x:t>
        </x:is>
      </x:c>
      <x:c r="C178" s="436" t="inlineStr">
        <x:is>
          <x:t xml:space="preserve">NE/4 SE/4</x:t>
        </x:is>
      </x:c>
    </x:row>
    <x:row r="179">
      <x:c r="B179" s="268" t="inlineStr">
        <x:is>
          <x:t xml:space="preserve">Containing:</x:t>
        </x:is>
      </x:c>
      <x:c r="C179" s="435" t="inlineStr">
        <x:is>
          <x:t xml:space="preserve">40 acres, more or less</x:t>
        </x:is>
      </x:c>
    </x:row>
    <x:row r="180">
      <x:c r="B180" s="268" t="n"/>
      <x:c r="C180" s="435" t="n"/>
      <x:c r="F180" s="265" t="n"/>
      <x:c r="G180" s="284" t="n"/>
    </x:row>
    <x:row r="181">
      <x:c r="B181" s="359" t="inlineStr">
        <x:is>
          <x:t xml:space="preserve">Mineral Owner</x:t>
        </x:is>
      </x:c>
      <x:c r="C181" s="397" t="inlineStr">
        <x:is>
          <x:t xml:space="preserve">Net Acres</x:t>
        </x:is>
      </x:c>
      <x:c r="D181" s="352" t="inlineStr">
        <x:is>
          <x:t xml:space="preserve">OGL No.</x:t>
        </x:is>
      </x:c>
      <x:c r="E181" s="604" t="inlineStr">
        <x:is>
          <x:t xml:space="preserve">Royalty</x:t>
        </x:is>
      </x:c>
      <x:c r="F181" s="361" t="inlineStr">
        <x:is>
          <x:t xml:space="preserve">Expiration</x:t>
        </x:is>
      </x:c>
      <x:c r="G181" s="380" t="inlineStr">
        <x:is>
          <x:t xml:space="preserve">Comments</x:t>
        </x:is>
      </x:c>
    </x:row>
    <x:row r="182" s="569" customFormat="1" ht="96" customHeight="1">
      <x:c r="A182" s="266" t="n"/>
      <x:c r="B182" s="339" t="inlineStr">
        <x:is>
          <x:t xml:space="preserve">Keri Lee Daigle Tucker Trust
728 Hollyhock Dr,
Lexington, KY 40511</x:t>
        </x:is>
      </x:c>
      <x:c r="C182" s="385" t="n">
        <x:v>13.31999999999996</x:v>
      </x:c>
      <x:c r="D182" s="340" t="inlineStr">
        <x:is>
          <x:t xml:space="preserve">24, 67</x:t>
        </x:is>
      </x:c>
      <x:c r="E182" s="601" t="n">
        <x:v>0.1875</x:v>
      </x:c>
      <x:c r="F182" s="342" t="inlineStr">
        <x:is>
          <x:t xml:space="preserve">HBP,
2/17/31</x:t>
        </x:is>
      </x:c>
      <x:c r="G182" s="340" t="inlineStr">
        <x:is>
          <x:t xml:space="preserve">Base OGL 24 (Bk 1787/0047, Sorenson Oil &amp; Gas Trust). Top lease OGL 67 (Bk 2697/0520), 3/16, exp 02/17/2031, subordinate. Trust capacity retained.</x:t>
        </x:is>
      </x:c>
    </x:row>
    <x:row r="183" s="569" customFormat="1" ht="96" customHeight="1">
      <x:c r="A183" s="266" t="n"/>
      <x:c r="B183" s="339" t="inlineStr">
        <x:is>
          <x:t xml:space="preserve">Mark Ashley Daigle Trust
11681 E. 83rd Street N, Apt. C
Owasso, OK 74055</x:t>
        </x:is>
      </x:c>
      <x:c r="C183" s="385" t="n">
        <x:v>13.31999999999996</x:v>
      </x:c>
      <x:c r="D183" s="340" t="inlineStr">
        <x:is>
          <x:t xml:space="preserve">24, 68</x:t>
        </x:is>
      </x:c>
      <x:c r="E183" s="601" t="n">
        <x:v>0.1875</x:v>
      </x:c>
      <x:c r="F183" s="342" t="inlineStr">
        <x:is>
          <x:t xml:space="preserve">HBP,
2/23/31</x:t>
        </x:is>
      </x:c>
      <x:c r="G183" s="340" t="inlineStr">
        <x:is>
          <x:t xml:space="preserve">Base OGL 24 (Bk 1787/0047, Sorenson Oil &amp; Gas Trust). Top lease OGL 68 (Bk 2693/0349), 3/16, exp 02/23/2031, subordinate. Trust capacity retained.</x:t>
        </x:is>
      </x:c>
    </x:row>
    <x:row r="184" s="569" customFormat="1" ht="96" customHeight="1">
      <x:c r="A184" s="266" t="n"/>
      <x:c r="B184" s="278" t="inlineStr">
        <x:is>
          <x:t xml:space="preserve">Kevin Warner Johnson Trust
13259 Darwin Lane
Austin, TX 78729</x:t>
        </x:is>
      </x:c>
      <x:c r="C184" s="384" t="n">
        <x:v>13.35999999999996</x:v>
      </x:c>
      <x:c r="D184" s="340" t="inlineStr">
        <x:is>
          <x:t xml:space="preserve">24, 69</x:t>
        </x:is>
      </x:c>
      <x:c r="E184" s="601" t="n">
        <x:v>0.1875</x:v>
      </x:c>
      <x:c r="F184" s="342" t="inlineStr">
        <x:is>
          <x:t xml:space="preserve">HBP,
2/27/31</x:t>
        </x:is>
      </x:c>
      <x:c r="G184" s="340" t="inlineStr">
        <x:is>
          <x:t xml:space="preserve">Base OGL 24 (Bk 1787/0047, Sorenson Oil &amp; Gas Trust). Top lease OGL 69 (Bk 2693/0345), 3/16, exp 02/27/2031, subordinate. Trust capacity retained.</x:t>
        </x:is>
      </x:c>
    </x:row>
    <x:row r="185">
      <x:c r="B185" s="279" t="inlineStr">
        <x:is>
          <x:t xml:space="preserve">REPORT TOTAL</x:t>
        </x:is>
      </x:c>
      <x:c r="C185" s="386" t="n">
        <x:v>40</x:v>
      </x:c>
      <x:c r="D185" s="286" t="n"/>
      <x:c r="E185" s="605" t="n"/>
      <x:c r="F185" s="355" t="n"/>
      <x:c r="G185" s="381" t="n"/>
    </x:row>
    <x:row r="186">
      <x:c r="B186" s="281" t="inlineStr">
        <x:is>
          <x:t xml:space="preserve">TOTAL</x:t>
        </x:is>
      </x:c>
      <x:c r="C186" s="387" t="n">
        <x:v>40</x:v>
      </x:c>
      <x:c r="D186" s="286" t="n"/>
      <x:c r="E186" s="605" t="n"/>
      <x:c r="F186" s="355" t="n"/>
      <x:c r="G186" s="381" t="n"/>
    </x:row>
    <x:row r="187">
      <x:c r="B187" s="268" t="n"/>
      <x:c r="C187" s="435" t="n"/>
      <x:c r="D187" s="270" t="n"/>
      <x:c r="E187" s="599" t="n"/>
      <x:c r="F187" s="271" t="n"/>
      <x:c r="G187" s="378" t="n"/>
    </x:row>
    <x:row r="188" s="569" customFormat="1" ht="39.75" customHeight="1">
      <x:c r="B188" s="288" t="inlineStr">
        <x:is>
          <x:t xml:space="preserve">Working Interest:</x:t>
        </x:is>
      </x:c>
      <x:c r="C188" s="436" t="inlineStr">
        <x:is>
          <x:t xml:space="preserve">Insofar as the Alexander #1-31 / wellbore and all-section leasehold items; exact WI/NRI not determined of record — assignment exhibits/OCC review required</x:t>
        </x:is>
      </x:c>
    </x:row>
    <x:row r="189">
      <x:c r="B189" s="268" t="n"/>
      <x:c r="C189" s="435" t="n"/>
      <x:c r="D189" s="270" t="n"/>
      <x:c r="E189" s="599" t="n"/>
      <x:c r="F189" s="271" t="n"/>
      <x:c r="G189" s="378" t="n"/>
    </x:row>
    <x:row r="190">
      <x:c r="B190" s="273" t="inlineStr">
        <x:is>
          <x:t xml:space="preserve">Owner</x:t>
        </x:is>
      </x:c>
      <x:c r="C190" s="274" t="inlineStr">
        <x:is>
          <x:t xml:space="preserve">Net Acres</x:t>
        </x:is>
      </x:c>
      <x:c r="D190" s="275" t="inlineStr">
        <x:is>
          <x:t xml:space="preserve">Base OGL's</x:t>
        </x:is>
      </x:c>
      <x:c r="E190" s="604" t="inlineStr">
        <x:is>
          <x:t xml:space="preserve">Royalty</x:t>
        </x:is>
      </x:c>
      <x:c r="F190" s="277" t="inlineStr">
        <x:is>
          <x:t xml:space="preserve">Expiration</x:t>
        </x:is>
      </x:c>
      <x:c r="G190" s="379" t="inlineStr">
        <x:is>
          <x:t xml:space="preserve">Comments</x:t>
        </x:is>
      </x:c>
    </x:row>
    <x:row r="191" s="569" customFormat="1" ht="84" customHeight="1">
      <x:c r="B191" s="339" t="inlineStr">
        <x:is>
          <x:t xml:space="preserve">Ocean Energy Resources, Inc.</x:t>
        </x:is>
      </x:c>
      <x:c r="C191" s="363" t="inlineStr">
        <x:is>
          <x:t xml:space="preserve">N/A</x:t>
        </x:is>
      </x:c>
      <x:c r="D191" s="342" t="inlineStr">
        <x:is>
          <x:t xml:space="preserve">1567/0006</x:t>
        </x:is>
      </x:c>
      <x:c r="E191" s="601" t="inlineStr">
        <x:is>
          <x:t xml:space="preserve">N/A</x:t>
        </x:is>
      </x:c>
      <x:c r="F191" s="342" t="str">
        <x:v>HBP per OGL sheet / client direction; image/OCC/OTC verification not required for current cursory turn-in.</x:v>
      </x:c>
      <x:c r="G191" s="353" t="inlineStr">
        <x:is>
          <x:t xml:space="preserve">Assignment 2007-008043 (Bk 1567/0006), from Ocean Energy, Inc.; assignee of record. Exhibits not examined; WI/NRI not determined of record.</x:t>
        </x:is>
      </x:c>
    </x:row>
    <x:row r="192" s="569" customFormat="1" ht="96" customHeight="1">
      <x:c r="B192" s="339" t="inlineStr">
        <x:is>
          <x:t xml:space="preserve">Tecolote Holdings, LLC</x:t>
        </x:is>
      </x:c>
      <x:c r="C192" s="363" t="inlineStr">
        <x:is>
          <x:t xml:space="preserve">N/A</x:t>
        </x:is>
      </x:c>
      <x:c r="D192" s="342" t="inlineStr">
        <x:is>
          <x:t xml:space="preserve">2343/0001</x:t>
        </x:is>
      </x:c>
      <x:c r="E192" s="601" t="inlineStr">
        <x:is>
          <x:t xml:space="preserve">N/A</x:t>
        </x:is>
      </x:c>
      <x:c r="F192" s="342" t="str">
        <x:v>HBP per OGL sheet / client direction; image/OCC/OTC verification not required for current cursory turn-in.</x:v>
      </x:c>
      <x:c r="G192" s="353" t="inlineStr">
        <x:is>
          <x:t xml:space="preserve">Assignment 2016-001883 (Bk 2343/0001), from Devon Energy Production Co.; assignee of record. Exhibits not examined; WI/NRI not determined of record.</x:t>
        </x:is>
      </x:c>
    </x:row>
    <x:row r="193" s="569" customFormat="1" ht="84" customHeight="1">
      <x:c r="B193" s="278" t="inlineStr">
        <x:is>
          <x:t xml:space="preserve">Templar Energy, LLC</x:t>
        </x:is>
      </x:c>
      <x:c r="C193" s="431" t="inlineStr">
        <x:is>
          <x:t xml:space="preserve">N/A</x:t>
        </x:is>
      </x:c>
      <x:c r="D193" s="342" t="inlineStr">
        <x:is>
          <x:t xml:space="preserve">2385/0072</x:t>
        </x:is>
      </x:c>
      <x:c r="E193" s="601" t="inlineStr">
        <x:is>
          <x:t xml:space="preserve">N/A</x:t>
        </x:is>
      </x:c>
      <x:c r="F193" s="342" t="str">
        <x:v>HBP per OGL sheet / client direction; image/OCC/OTC verification not required for current cursory turn-in.</x:v>
      </x:c>
      <x:c r="G193" s="353" t="inlineStr">
        <x:is>
          <x:t xml:space="preserve">Assignment 2018-000119 (Bk 2385/0072); assignee of record (Cheyenne/Hefner chain). Exhibits not examined; WI/NRI not determined of record.</x:t>
        </x:is>
      </x:c>
    </x:row>
    <x:row r="194" s="569" customFormat="1" ht="84" customHeight="1">
      <x:c r="B194" s="278" t="inlineStr">
        <x:is>
          <x:t xml:space="preserve">Cohete Rojo, LLC</x:t>
        </x:is>
      </x:c>
      <x:c r="C194" s="431" t="inlineStr">
        <x:is>
          <x:t xml:space="preserve">N/A</x:t>
        </x:is>
      </x:c>
      <x:c r="D194" s="342" t="inlineStr">
        <x:is>
          <x:t xml:space="preserve">2425/0380</x:t>
        </x:is>
      </x:c>
      <x:c r="E194" s="601" t="inlineStr">
        <x:is>
          <x:t xml:space="preserve">N/A</x:t>
        </x:is>
      </x:c>
      <x:c r="F194" s="342" t="str">
        <x:v>HBP per OGL sheet / client direction; image/OCC/OTC verification not required for current cursory turn-in.</x:v>
      </x:c>
      <x:c r="G194" s="353" t="inlineStr">
        <x:is>
          <x:t xml:space="preserve">Assignment 2019-001779 (Bk 2425/0380), from BHP Billiton Petroleum; assignee of record. Exhibits not examined; WI/NRI not determined of record.</x:t>
        </x:is>
      </x:c>
    </x:row>
    <x:row r="195" s="569" customFormat="1" ht="96" customHeight="1">
      <x:c r="B195" s="278" t="inlineStr">
        <x:is>
          <x:t xml:space="preserve">Santos J. Dominguez</x:t>
        </x:is>
      </x:c>
      <x:c r="C195" s="431" t="inlineStr">
        <x:is>
          <x:t xml:space="preserve">N/A</x:t>
        </x:is>
      </x:c>
      <x:c r="D195" s="342" t="inlineStr">
        <x:is>
          <x:t xml:space="preserve">2455/0446</x:t>
        </x:is>
      </x:c>
      <x:c r="E195" s="601" t="inlineStr">
        <x:is>
          <x:t xml:space="preserve">N/A</x:t>
        </x:is>
      </x:c>
      <x:c r="F195" s="342" t="str">
        <x:v>HBP per OGL sheet / client direction; image/OCC/OTC verification not required for current cursory turn-in.</x:v>
      </x:c>
      <x:c r="G195" s="353" t="inlineStr">
        <x:is>
          <x:t xml:space="preserve">Partial Assignment 2020-001954 (Bk 2455/0446), from Hani Tabally; assignee of record. Full instrument not examined; WI/NRI not determined of record.</x:t>
        </x:is>
      </x:c>
    </x:row>
    <x:row r="196" s="569" customFormat="1" ht="84" customHeight="1">
      <x:c r="B196" s="278" t="inlineStr">
        <x:is>
          <x:t xml:space="preserve">Cannon Field Minerals Fund, LP</x:t>
        </x:is>
      </x:c>
      <x:c r="C196" s="431" t="inlineStr">
        <x:is>
          <x:t xml:space="preserve">N/A</x:t>
        </x:is>
      </x:c>
      <x:c r="D196" s="342" t="inlineStr">
        <x:is>
          <x:t xml:space="preserve">2480/0297</x:t>
        </x:is>
      </x:c>
      <x:c r="E196" s="601" t="inlineStr">
        <x:is>
          <x:t xml:space="preserve">N/A</x:t>
        </x:is>
      </x:c>
      <x:c r="F196" s="342" t="str">
        <x:v>HBP per OGL sheet / client direction; image/OCC/OTC verification not required for current cursory turn-in.</x:v>
      </x:c>
      <x:c r="G196" s="353" t="inlineStr">
        <x:is>
          <x:t xml:space="preserve">Assignment 2021-001605 (Bk 2480/0297), from TLW Investments, LLC; assignee of record. Exhibits not examined; WI/NRI not determined of record.</x:t>
        </x:is>
      </x:c>
    </x:row>
    <x:row r="197" s="569" customFormat="1" ht="96" customHeight="1">
      <x:c r="B197" s="278" t="inlineStr">
        <x:is>
          <x:t xml:space="preserve">MNR ABS Issuer I, LLC</x:t>
        </x:is>
      </x:c>
      <x:c r="C197" s="431" t="inlineStr">
        <x:is>
          <x:t xml:space="preserve">N/A</x:t>
        </x:is>
      </x:c>
      <x:c r="D197" s="342" t="inlineStr">
        <x:is>
          <x:t xml:space="preserve">2542/0413</x:t>
        </x:is>
      </x:c>
      <x:c r="E197" s="601" t="inlineStr">
        <x:is>
          <x:t xml:space="preserve">N/A</x:t>
        </x:is>
      </x:c>
      <x:c r="F197" s="342" t="str">
        <x:v>HBP per OGL sheet / client direction; image/OCC/OTC verification not required for current cursory turn-in.</x:v>
      </x:c>
      <x:c r="G197" s="353" t="inlineStr">
        <x:is>
          <x:t xml:space="preserve">Wellbore Assignment 2023-003590 (Bk 2542/0413), from Unbridled Resources, LLC; assignee of record. Exhibits not examined; WI/NRI not determined of record.</x:t>
        </x:is>
      </x:c>
    </x:row>
    <x:row r="198" s="569" customFormat="1" ht="96" customHeight="1">
      <x:c r="B198" s="278" t="inlineStr">
        <x:is>
          <x:t xml:space="preserve">K.C. Production, LLC</x:t>
        </x:is>
      </x:c>
      <x:c r="C198" s="431" t="inlineStr">
        <x:is>
          <x:t xml:space="preserve">N/A</x:t>
        </x:is>
      </x:c>
      <x:c r="D198" s="342" t="inlineStr">
        <x:is>
          <x:t xml:space="preserve">2567/0102</x:t>
        </x:is>
      </x:c>
      <x:c r="E198" s="601" t="inlineStr">
        <x:is>
          <x:t xml:space="preserve">N/A</x:t>
        </x:is>
      </x:c>
      <x:c r="F198" s="342" t="str">
        <x:v>HBP per OGL sheet / client direction; image/OCC/OTC verification not required for current cursory turn-in.</x:v>
      </x:c>
      <x:c r="G198" s="353" t="inlineStr">
        <x:is>
          <x:t xml:space="preserve">Assignment 2024-002310 (Bk 2567/0102), from Yale Oil Association, Inc.; assignee of record. Exhibits not examined; WI/NRI not determined of record.</x:t>
        </x:is>
      </x:c>
    </x:row>
    <x:row r="199" s="569" customFormat="1" ht="120" customHeight="1">
      <x:c r="B199" s="278" t="inlineStr">
        <x:is>
          <x:t xml:space="preserve">Greg et al CDX (name as indexed — needs source review)</x:t>
        </x:is>
      </x:c>
      <x:c r="C199" s="431" t="inlineStr">
        <x:is>
          <x:t xml:space="preserve">N/A</x:t>
        </x:is>
      </x:c>
      <x:c r="D199" s="342" t="inlineStr">
        <x:is>
          <x:t xml:space="preserve">2571/0579</x:t>
        </x:is>
      </x:c>
      <x:c r="E199" s="601" t="inlineStr">
        <x:is>
          <x:t xml:space="preserve">N/A</x:t>
        </x:is>
      </x:c>
      <x:c r="F199" s="342" t="str">
        <x:v>HBP per OGL sheet / client direction; image/OCC/OTC verification not required for current cursory turn-in.</x:v>
      </x:c>
      <x:c r="G199" s="353" t="inlineStr">
        <x:is>
          <x:t xml:space="preserve">Assignment 2024-003107 (Bk 2571/0579), from Yale Oil Association, Inc.; assignee of record. Grantee name as indexed on Runsheet — needs source review. WI/NRI not determined of record.</x:t>
        </x:is>
      </x:c>
    </x:row>
    <x:row r="200" s="569" customFormat="1" ht="84" customHeight="1">
      <x:c r="B200" s="278" t="inlineStr">
        <x:is>
          <x:t xml:space="preserve">NWR Mineral Partners, LLC</x:t>
        </x:is>
      </x:c>
      <x:c r="C200" s="431" t="inlineStr">
        <x:is>
          <x:t xml:space="preserve">N/A</x:t>
        </x:is>
      </x:c>
      <x:c r="D200" s="342" t="inlineStr">
        <x:is>
          <x:t xml:space="preserve">2584/0149</x:t>
        </x:is>
      </x:c>
      <x:c r="E200" s="601" t="inlineStr">
        <x:is>
          <x:t xml:space="preserve">N/A</x:t>
        </x:is>
      </x:c>
      <x:c r="F200" s="342" t="str">
        <x:v>HBP per OGL sheet / client direction; image/OCC/OTC verification not required for current cursory turn-in.</x:v>
      </x:c>
      <x:c r="G200" s="353" t="inlineStr">
        <x:is>
          <x:t xml:space="preserve">Assignment 2024-004916 (Bk 2584/0149), from Chanas Partners, LLC; assignee of record. Exhibits not examined; WI/NRI not determined of record.</x:t>
        </x:is>
      </x:c>
    </x:row>
    <x:row r="201" s="569" customFormat="1" ht="84" customHeight="1">
      <x:c r="B201" s="278" t="inlineStr">
        <x:is>
          <x:t xml:space="preserve">Trison Holdings, LLC</x:t>
        </x:is>
      </x:c>
      <x:c r="C201" s="431" t="inlineStr">
        <x:is>
          <x:t xml:space="preserve">N/A</x:t>
        </x:is>
      </x:c>
      <x:c r="D201" s="342" t="inlineStr">
        <x:is>
          <x:t xml:space="preserve">2604/0111</x:t>
        </x:is>
      </x:c>
      <x:c r="E201" s="601" t="inlineStr">
        <x:is>
          <x:t xml:space="preserve">N/A</x:t>
        </x:is>
      </x:c>
      <x:c r="F201" s="342" t="str">
        <x:v>HBP per OGL sheet / client direction; image/OCC/OTC verification not required for current cursory turn-in.</x:v>
      </x:c>
      <x:c r="G201" s="353" t="inlineStr">
        <x:is>
          <x:t xml:space="preserve">Assignment 2024-007734 (Bk 2604/0111), from Satherlie 1989 Rev. Trust; assignee of record. Exhibits not examined; WI/NRI not determined of record.</x:t>
        </x:is>
      </x:c>
    </x:row>
    <x:row r="202" s="569" customFormat="1" ht="96" customHeight="1">
      <x:c r="B202" s="278" t="inlineStr">
        <x:is>
          <x:t xml:space="preserve">Stride Bank, Trustee of the Umbrella Trust</x:t>
        </x:is>
      </x:c>
      <x:c r="C202" s="431" t="inlineStr">
        <x:is>
          <x:t xml:space="preserve">N/A</x:t>
        </x:is>
      </x:c>
      <x:c r="D202" s="342" t="inlineStr">
        <x:is>
          <x:t xml:space="preserve">2698/0069</x:t>
        </x:is>
      </x:c>
      <x:c r="E202" s="601" t="inlineStr">
        <x:is>
          <x:t xml:space="preserve">N/A</x:t>
        </x:is>
      </x:c>
      <x:c r="F202" s="342" t="str">
        <x:v>HBP per OGL sheet / client direction; image/OCC/OTC verification not required for current cursory turn-in.</x:v>
      </x:c>
      <x:c r="G202" s="353" t="inlineStr">
        <x:is>
          <x:t xml:space="preserve">Wellbore Assignment 2026-002547 (Bk 2698/0069), from Presidio Finance, LLC; assignee of record. Exhibits not examined; WI/NRI not determined of record.</x:t>
        </x:is>
      </x:c>
    </x:row>
    <x:row r="203">
      <x:c r="B203" s="278" t="n"/>
      <x:c r="C203" s="365" t="n"/>
      <x:c r="D203" s="340" t="n"/>
      <x:c r="E203" s="601" t="n"/>
      <x:c r="F203" s="342" t="n"/>
      <x:c r="G203" s="353" t="n"/>
    </x:row>
    <x:row r="204">
      <x:c r="B204" s="279" t="inlineStr">
        <x:is>
          <x:t xml:space="preserve">REPORT TOTAL</x:t>
        </x:is>
      </x:c>
      <x:c r="C204" s="280" t="inlineStr">
        <x:is>
          <x:t xml:space="preserve">N/A</x:t>
        </x:is>
      </x:c>
      <x:c r="F204" s="265" t="n"/>
      <x:c r="G204" s="284" t="n"/>
    </x:row>
    <x:row r="205">
      <x:c r="B205" s="281" t="inlineStr">
        <x:is>
          <x:t xml:space="preserve">TOTAL</x:t>
        </x:is>
      </x:c>
      <x:c r="C205" s="349" t="inlineStr">
        <x:is>
          <x:t xml:space="preserve">N/A</x:t>
        </x:is>
      </x:c>
      <x:c r="D205" s="366" t="n"/>
      <x:c r="F205" s="265" t="n"/>
      <x:c r="G205" s="284" t="n"/>
    </x:row>
    <x:row r="206">
      <x:c r="B206" s="268" t="n"/>
      <x:c r="C206" s="282" t="n"/>
      <x:c r="D206" s="270" t="n"/>
      <x:c r="E206" s="599" t="n"/>
      <x:c r="F206" s="271" t="n"/>
      <x:c r="G206" s="378" t="n"/>
    </x:row>
    <x:row r="207">
      <x:c r="B207" s="268" t="n"/>
      <x:c r="C207" s="282" t="n"/>
      <x:c r="D207" s="270" t="n"/>
      <x:c r="E207" s="599" t="n"/>
      <x:c r="F207" s="271" t="n"/>
      <x:c r="G207" s="378" t="n"/>
    </x:row>
    <x:row r="208" s="569" customFormat="1" ht="42" customHeight="1">
      <x:c r="B208" s="288" t="inlineStr">
        <x:is>
          <x:t xml:space="preserve">Working Interest:</x:t>
        </x:is>
      </x:c>
      <x:c r="C208" s="511" t="inlineStr">
        <x:is>
          <x:t xml:space="preserve">Insofar as the deep-rights leasehold on the 637.42-acre all-section basis — exact WI/NRI not determined of record; assignment exhibits/OCC review required</x:t>
        </x:is>
      </x:c>
    </x:row>
    <x:row r="209">
      <x:c r="B209" s="268" t="n"/>
      <x:c r="C209" s="282" t="n"/>
      <x:c r="D209" s="270" t="n"/>
      <x:c r="E209" s="599" t="n"/>
      <x:c r="F209" s="271" t="n"/>
      <x:c r="G209" s="378" t="n"/>
    </x:row>
    <x:row r="210">
      <x:c r="B210" s="273" t="inlineStr">
        <x:is>
          <x:t xml:space="preserve">Owner</x:t>
        </x:is>
      </x:c>
      <x:c r="C210" s="283" t="inlineStr">
        <x:is>
          <x:t xml:space="preserve">Net Acres</x:t>
        </x:is>
      </x:c>
      <x:c r="D210" s="275" t="inlineStr">
        <x:is>
          <x:t xml:space="preserve">Base OGL's</x:t>
        </x:is>
      </x:c>
      <x:c r="E210" s="604" t="inlineStr">
        <x:is>
          <x:t xml:space="preserve">Royalty</x:t>
        </x:is>
      </x:c>
      <x:c r="F210" s="277" t="inlineStr">
        <x:is>
          <x:t xml:space="preserve">Expiration</x:t>
        </x:is>
      </x:c>
      <x:c r="G210" s="379" t="inlineStr">
        <x:is>
          <x:t xml:space="preserve">Comments</x:t>
        </x:is>
      </x:c>
    </x:row>
    <x:row r="211" s="569" customFormat="1" ht="390" customHeight="1">
      <x:c r="B211" s="362" t="inlineStr">
        <x:is>
          <x:t xml:space="preserve">Silver Oak Natural Resources, LLC
5030 N. May Avenue, Suite 125
Oklahoma City, OK 73112</x:t>
        </x:is>
      </x:c>
      <x:c r="C211" s="384" t="n">
        <x:f>SUM(OGL!P65:P70)</x:f>
        <x:v>114.182308</x:v>
      </x:c>
      <x:c r="D211" s="368" t="inlineStr">
        <x:is>
          <x:t xml:space="preserve">64, 65, 66, 67, 68, 69</x:t>
        </x:is>
      </x:c>
      <x:c r="E211" s="606" t="n">
        <x:v>0.1875</x:v>
      </x:c>
      <x:c r="F211" s="370" t="inlineStr">
        <x:is>
          <x:t xml:space="preserve">Top leases, 3-to-5-yr primaries, exps 2029-2031</x:t>
        </x:is>
      </x:c>
      <x:c r="G211" s="368" t="inlineStr">
        <x:is>
          <x:t xml:space="preserve">Six Silver Oak top leases paired with prior/base leases: 66/2702/0505 (prior 1736/0592); 67/2697/0520 (prior 1787/0047); 68/2693/0349 (prior 1787/0047); 64/2693/0337 (prior 1736/0594); 69/2693/0345 (prior 1736/0600); 65/2697/0524 (prior 1736/0600). All are subordinate/springing pending base lease termination/HBP/release proof. Net acres shown = 114.18 NMA top-lease coverage per lease register (OGLs 66-69); register shows 0 NMA for OGLs 64-65 — see WI 2 chain.</x:t>
        </x:is>
      </x:c>
    </x:row>
    <x:row r="212" s="569" customFormat="1" ht="132" customHeight="1">
      <x:c r="B212" s="339" t="inlineStr">
        <x:is>
          <x:t xml:space="preserve">Alexander #1-31 / wellbore chain</x:t>
        </x:is>
      </x:c>
      <x:c r="C212" s="363" t="inlineStr">
        <x:is>
          <x:t xml:space="preserve">N/A</x:t>
        </x:is>
      </x:c>
      <x:c r="D212" s="367" t="inlineStr">
        <x:is>
          <x:t xml:space="preserve">OGLs 1-30</x:t>
        </x:is>
      </x:c>
      <x:c r="E212" s="601" t="inlineStr">
        <x:is>
          <x:t xml:space="preserve">N/A</x:t>
        </x:is>
      </x:c>
      <x:c r="F212" s="367" t="str">
        <x:v>HBP per OGL sheet / client direction; image/OCC/OTC verification not required for current cursory turn-in.</x:v>
      </x:c>
      <x:c r="G212" s="353" t="inlineStr">
        <x:is>
          <x:t xml:space="preserve">Alexander #1-31 (API 35-129-22925) shown of record under Martin's Resources LLC. Held-by-production status not confirmed from available source materials; subject to OCC well-file, production, pooling, and release confirmation.</x:t>
        </x:is>
      </x:c>
    </x:row>
    <x:row r="213" s="569" customFormat="1" ht="48" customHeight="1">
      <x:c r="B213" s="339" t="inlineStr">
        <x:is>
          <x:t xml:space="preserve">Mortgage/lien burden chain</x:t>
        </x:is>
      </x:c>
      <x:c r="C213" s="363" t="inlineStr">
        <x:is>
          <x:t xml:space="preserve">N/A</x:t>
        </x:is>
      </x:c>
      <x:c r="D213" s="342" t="inlineStr">
        <x:is>
          <x:t xml:space="preserve">2356/0001, 2356/0200, 2357/0001, 2357/0474</x:t>
        </x:is>
      </x:c>
      <x:c r="E213" s="601" t="inlineStr">
        <x:is>
          <x:t xml:space="preserve">N/A</x:t>
        </x:is>
      </x:c>
      <x:c r="F213" s="342" t="inlineStr">
        <x:is>
          <x:t xml:space="preserve">Open until matched to releases</x:t>
        </x:is>
      </x:c>
      <x:c r="G213" s="353" t="inlineStr">
        <x:is>
          <x:t xml:space="preserve">Mortgage/lien burdens of record not yet matched to releases of record.</x:t>
        </x:is>
      </x:c>
    </x:row>
    <x:row r="214">
      <x:c r="B214" s="278" t="n"/>
      <x:c r="C214" s="365" t="n"/>
      <x:c r="D214" s="340" t="n"/>
      <x:c r="E214" s="601" t="n"/>
      <x:c r="F214" s="342" t="n"/>
      <x:c r="G214" s="364" t="n"/>
    </x:row>
    <x:row r="215">
      <x:c r="B215" s="279" t="inlineStr">
        <x:is>
          <x:t xml:space="preserve">REPORT TOTAL</x:t>
        </x:is>
      </x:c>
      <x:c r="C215" s="280" t="inlineStr">
        <x:is>
          <x:t xml:space="preserve">N/A</x:t>
        </x:is>
      </x:c>
      <x:c r="F215" s="265" t="n"/>
      <x:c r="G215" s="284" t="n"/>
    </x:row>
    <x:row r="216">
      <x:c r="B216" s="281" t="inlineStr">
        <x:is>
          <x:t xml:space="preserve">TOTAL</x:t>
        </x:is>
      </x:c>
      <x:c r="C216" s="349" t="inlineStr">
        <x:is>
          <x:t xml:space="preserve">N/A</x:t>
        </x:is>
      </x:c>
      <x:c r="F216" s="265" t="n"/>
      <x:c r="G216" s="284" t="n"/>
    </x:row>
    <x:row r="217">
      <x:c r="B217" s="268" t="n"/>
      <x:c r="C217" s="282" t="n"/>
      <x:c r="D217" s="270" t="n"/>
      <x:c r="E217" s="599" t="n"/>
      <x:c r="F217" s="271" t="n"/>
      <x:c r="G217" s="378" t="n"/>
    </x:row>
    <x:row r="218">
      <x:c r="B218" s="289" t="inlineStr">
        <x:is>
          <x:t xml:space="preserve">Note</x:t>
        </x:is>
      </x:c>
      <x:c r="C218" s="282" t="n"/>
      <x:c r="D218" s="270" t="n"/>
      <x:c r="E218" s="599" t="n"/>
      <x:c r="F218" s="271" t="n"/>
      <x:c r="G218" s="378" t="n"/>
    </x:row>
    <x:row r="219" s="569" customFormat="1" ht="57.75" customHeight="1">
      <x:c r="B219" s="512" t="inlineStr">
        <x:is>
          <x:t xml:space="preserve">Prepared on a cursory basis. Interests shown are subject to the notations in each tract block and to the accompanying Curative Requirements schedule. Base leases are shown as held by production per well data of record; production, spacing, and held-by-production status have not been independently confirmed, and top leases remain subordinate to prior leases of record.</x:t>
        </x:is>
      </x:c>
    </x:row>
    <x:row r="220">
      <x:c r="A220" s="290" t="n"/>
      <x:c r="C220" s="291" t="n"/>
      <x:c r="E220" s="598" t="n"/>
    </x:row>
  </x:sheetData>
  <x:mergeCells>
    <x:mergeCell ref="B2:G2"/>
    <x:mergeCell ref="C179:G179"/>
    <x:mergeCell ref="C5:G5"/>
    <x:mergeCell ref="C128:G128"/>
    <x:mergeCell ref="C4:G4"/>
    <x:mergeCell ref="C147:G147"/>
    <x:mergeCell ref="C100:G100"/>
    <x:mergeCell ref="C168:G168"/>
    <x:mergeCell ref="C129:G129"/>
    <x:mergeCell ref="C167:G167"/>
    <x:mergeCell ref="C114:G114"/>
    <x:mergeCell ref="C148:G148"/>
    <x:mergeCell ref="C188:G188"/>
    <x:mergeCell ref="C139:G139"/>
    <x:mergeCell ref="C115:G115"/>
    <x:mergeCell ref="C138:G138"/>
    <x:mergeCell ref="C178:G178"/>
    <x:mergeCell ref="C159:G159"/>
    <x:mergeCell ref="C158:G158"/>
    <x:mergeCell ref="C19:G19"/>
    <x:mergeCell ref="C208:G208"/>
    <x:mergeCell ref="B219:G219"/>
    <x:mergeCell ref="C18:G18"/>
    <x:mergeCell ref="C101:G101"/>
  </x:mergeCells>
  <x:pageMargins left="0.7" right="0.7" top="0.75" bottom="0.75" header="0.3" footer="0.3"/>
</x:worksheet>
</file>

<file path=xl/worksheets/sheet3.xml><?xml version="1.0" encoding="utf-8"?>
<x:worksheet xmlns:x="http://schemas.openxmlformats.org/spreadsheetml/2006/main">
  <x:sheetFormatPr baseColWidth="8" defaultColWidth="9.140625" defaultRowHeight="12.75"/>
  <x:cols>
    <x:col min="1" max="1" width="6.85546875" style="1" customWidth="1"/>
    <x:col min="2" max="2" width="11.42578125" style="1" customWidth="1"/>
    <x:col min="3" max="3" width="7.5703125" style="2" customWidth="1"/>
    <x:col min="4" max="4" width="15.42578125" style="2" customWidth="1"/>
    <x:col min="5" max="5" width="8.7109375" style="2" customWidth="1"/>
    <x:col min="6" max="7" width="10.28515625" style="310" customWidth="1"/>
    <x:col min="8" max="8" width="23.140625" style="2" customWidth="1"/>
    <x:col min="9" max="9" width="26" style="2" customWidth="1"/>
    <x:col min="10" max="10" width="44.140625" style="2" customWidth="1"/>
    <x:col min="11" max="11" width="36" style="2" customWidth="1"/>
    <x:col min="12" max="12" width="9.85546875" style="2" customWidth="1"/>
    <x:col min="13" max="13" width="7.7109375" style="2" customWidth="1"/>
    <x:col min="14" max="14" width="15" style="2" customWidth="1"/>
    <x:col min="15" max="15" width="10.28515625" style="310" customWidth="1"/>
    <x:col min="16" max="16" width="10.42578125" style="78" customWidth="1"/>
    <x:col min="17" max="17" width="7.28515625" style="607" customWidth="1"/>
    <x:col min="18" max="21" width="6.85546875" style="2" hidden="1" customWidth="1"/>
    <x:col min="22" max="22" width="12.140625" style="2" customWidth="1"/>
    <x:col min="23" max="23" width="14.5703125" style="2" customWidth="1"/>
    <x:col min="24" max="24" width="11.42578125" style="2" customWidth="1"/>
    <x:col min="25" max="25" width="9.7109375" style="2" customWidth="1"/>
    <x:col min="26" max="26" width="10.5703125" style="1" customWidth="1"/>
    <x:col min="27" max="27" width="9.140625" style="1" customWidth="1"/>
    <x:col min="28" max="28" width="6.85546875" style="1" customWidth="1"/>
    <x:col min="29" max="16384" width="9.140625" style="1" customWidth="1"/>
  </x:cols>
  <x:sheetData>
    <x:row r="1" s="94" customFormat="1" ht="38.25" customHeight="1">
      <x:c r="A1" s="399" t="inlineStr">
        <x:is>
          <x:t xml:space="preserve">OGL #</x:t>
        </x:is>
      </x:c>
      <x:c r="B1" s="399" t="inlineStr">
        <x:is>
          <x:t xml:space="preserve">LH</x:t>
        </x:is>
      </x:c>
      <x:c r="C1" s="400" t="inlineStr">
        <x:is>
          <x:t xml:space="preserve">Image #</x:t>
        </x:is>
      </x:c>
      <x:c r="D1" s="400" t="inlineStr">
        <x:is>
          <x:t xml:space="preserve">Instrument</x:t>
        </x:is>
      </x:c>
      <x:c r="E1" s="400" t="inlineStr">
        <x:is>
          <x:t xml:space="preserve">Bk./Pg.</x:t>
        </x:is>
      </x:c>
      <x:c r="F1" s="401" t="inlineStr">
        <x:is>
          <x:t xml:space="preserve">Execution
Date</x:t>
        </x:is>
      </x:c>
      <x:c r="G1" s="401" t="inlineStr">
        <x:is>
          <x:t xml:space="preserve">Filing
Date</x:t>
        </x:is>
      </x:c>
      <x:c r="H1" s="400" t="inlineStr">
        <x:is>
          <x:t xml:space="preserve">Grantor</x:t>
        </x:is>
      </x:c>
      <x:c r="I1" s="400" t="inlineStr">
        <x:is>
          <x:t xml:space="preserve">Grantee</x:t>
        </x:is>
      </x:c>
      <x:c r="J1" s="400" t="inlineStr">
        <x:is>
          <x:t xml:space="preserve">Legal
Description</x:t>
        </x:is>
      </x:c>
      <x:c r="K1" s="400" t="inlineStr">
        <x:is>
          <x:t xml:space="preserve">Misc. Notes</x:t>
        </x:is>
      </x:c>
      <x:c r="L1" s="400" t="inlineStr">
        <x:is>
          <x:t xml:space="preserve">Term</x:t>
        </x:is>
      </x:c>
      <x:c r="M1" s="400" t="inlineStr">
        <x:is>
          <x:t xml:space="preserve">Gross Acres</x:t>
        </x:is>
      </x:c>
      <x:c r="N1" s="400" t="inlineStr">
        <x:is>
          <x:t xml:space="preserve">Tracts</x:t>
        </x:is>
      </x:c>
      <x:c r="O1" s="401" t="inlineStr">
        <x:is>
          <x:t xml:space="preserve">Exp Date</x:t>
        </x:is>
      </x:c>
      <x:c r="P1" s="402" t="inlineStr">
        <x:is>
          <x:t xml:space="preserve">Net Mineral
Acres</x:t>
        </x:is>
      </x:c>
      <x:c r="Q1" s="608" t="inlineStr">
        <x:is>
          <x:t xml:space="preserve">Royalty</x:t>
        </x:is>
      </x:c>
      <x:c r="R1" s="400" t="n"/>
      <x:c r="S1" s="400" t="n"/>
      <x:c r="T1" s="400" t="n"/>
      <x:c r="U1" s="400" t="n"/>
      <x:c r="V1" s="400" t="inlineStr">
        <x:is>
          <x:t xml:space="preserve">Depth Clause</x:t>
        </x:is>
      </x:c>
      <x:c r="W1" s="400" t="inlineStr">
        <x:is>
          <x:t xml:space="preserve">Option to Extend</x:t>
        </x:is>
      </x:c>
      <x:c r="X1" s="400" t="inlineStr">
        <x:is>
          <x:t xml:space="preserve">No Warranty Clause</x:t>
        </x:is>
      </x:c>
      <x:c r="Y1" s="400" t="inlineStr">
        <x:is>
          <x:t xml:space="preserve">Top Lease Clause</x:t>
        </x:is>
      </x:c>
      <x:c r="Z1" s="404" t="n"/>
      <x:c r="AA1" s="404" t="n"/>
      <x:c r="AB1" s="404" t="n"/>
    </x:row>
    <x:row r="2" s="110" customFormat="1" ht="36" customHeight="1">
      <x:c r="A2" s="311" t="n">
        <x:v>1</x:v>
      </x:c>
      <x:c r="B2" s="311" t="inlineStr">
        <x:is>
          <x:t xml:space="preserve">HBP</x:t>
        </x:is>
      </x:c>
      <x:c r="C2" s="312" t="inlineStr">
        <x:is>
          <x:t xml:space="preserve">N/A</x:t>
        </x:is>
      </x:c>
      <x:c r="D2" s="313" t="inlineStr">
        <x:is>
          <x:t xml:space="preserve">Oil and Gas Lease</x:t>
        </x:is>
      </x:c>
      <x:c r="E2" s="313" t="inlineStr">
        <x:is>
          <x:t xml:space="preserve">1736/594</x:t>
        </x:is>
      </x:c>
      <x:c r="F2" s="314" t="n">
        <x:v>38000</x:v>
      </x:c>
      <x:c r="G2" s="314" t="n">
        <x:v>38029</x:v>
      </x:c>
      <x:c r="H2" s="315" t="inlineStr">
        <x:is>
          <x:t xml:space="preserve">Carrie Leeann Mitchell</x:t>
        </x:is>
      </x:c>
      <x:c r="I2" s="316" t="inlineStr">
        <x:is>
          <x:t xml:space="preserve">R. Michael Lortz</x:t>
        </x:is>
      </x:c>
      <x:c r="J2" s="316" t="inlineStr">
        <x:is>
          <x:t xml:space="preserve">E/2 NW/4, N/2 NE/4, N/2 NE/4 SW/4, Lot 4, NE/4 SE/4, S/2 NE/4 SW/4, SE/4 NE/4, SE/4 SW/4 of 31-12N-24W</x:t>
        </x:is>
      </x:c>
      <x:c r="K2" s="316" t="inlineStr">
        <x:is>
          <x:t xml:space="preserve">375.335 gross acres
3 yrs
3/16ths royalty</x:t>
        </x:is>
      </x:c>
      <x:c r="L2" s="312" t="inlineStr">
        <x:is>
          <x:t xml:space="preserve">3 years</x:t>
        </x:is>
      </x:c>
      <x:c r="M2" s="312" t="n">
        <x:v>375.335</x:v>
      </x:c>
      <x:c r="N2" s="312" t="inlineStr">
        <x:is>
          <x:t xml:space="preserve">All (1-8)</x:t>
        </x:is>
      </x:c>
      <x:c r="O2" s="317" t="n">
        <x:v>39096</x:v>
      </x:c>
      <x:c r="P2" s="318" t="n">
        <x:v>28.08</x:v>
      </x:c>
      <x:c r="Q2" s="609" t="n">
        <x:v>0.1875</x:v>
      </x:c>
      <x:c r="R2" s="312" t="inlineStr">
        <x:is>
          <x:t xml:space="preserve">No</x:t>
        </x:is>
      </x:c>
      <x:c r="S2" s="312" t="inlineStr">
        <x:is>
          <x:t xml:space="preserve">No</x:t>
        </x:is>
      </x:c>
      <x:c r="T2" s="312" t="inlineStr">
        <x:is>
          <x:t xml:space="preserve">No</x:t>
        </x:is>
      </x:c>
      <x:c r="U2" s="312" t="inlineStr">
        <x:is>
          <x:t xml:space="preserve">No</x:t>
        </x:is>
      </x:c>
      <x:c r="V2" s="312" t="inlineStr">
        <x:is>
          <x:t xml:space="preserve">No</x:t>
        </x:is>
      </x:c>
      <x:c r="W2" s="312" t="inlineStr">
        <x:is>
          <x:t xml:space="preserve">No</x:t>
        </x:is>
      </x:c>
      <x:c r="X2" s="312" t="inlineStr">
        <x:is>
          <x:t xml:space="preserve">No</x:t>
        </x:is>
      </x:c>
      <x:c r="Y2" s="312" t="inlineStr">
        <x:is>
          <x:t xml:space="preserve">No</x:t>
        </x:is>
      </x:c>
      <x:c r="Z2" s="111" t="n"/>
    </x:row>
    <x:row r="3" s="110" customFormat="1" ht="36" customHeight="1">
      <x:c r="A3" s="311" t="n">
        <x:v>2</x:v>
      </x:c>
      <x:c r="B3" s="311" t="inlineStr">
        <x:is>
          <x:t xml:space="preserve">HBP</x:t>
        </x:is>
      </x:c>
      <x:c r="C3" s="312" t="inlineStr">
        <x:is>
          <x:t xml:space="preserve">N/A</x:t>
        </x:is>
      </x:c>
      <x:c r="D3" s="313" t="inlineStr">
        <x:is>
          <x:t xml:space="preserve">Oil and Gas Lease</x:t>
        </x:is>
      </x:c>
      <x:c r="E3" s="313" t="inlineStr">
        <x:is>
          <x:t xml:space="preserve">1736/600</x:t>
        </x:is>
      </x:c>
      <x:c r="F3" s="314" t="n">
        <x:v>38000</x:v>
      </x:c>
      <x:c r="G3" s="314" t="n">
        <x:v>38029</x:v>
      </x:c>
      <x:c r="H3" s="315" t="inlineStr">
        <x:is>
          <x:t xml:space="preserve">Nancy Susan Mitchell</x:t>
        </x:is>
      </x:c>
      <x:c r="I3" s="316" t="inlineStr">
        <x:is>
          <x:t xml:space="preserve">R. Michael Lortz</x:t>
        </x:is>
      </x:c>
      <x:c r="J3" s="316" t="inlineStr">
        <x:is>
          <x:t xml:space="preserve">E/2 NW/4, N/2 NE/4, N/2 NE/4 SW/4, Lot 4, NE/4 SE/4, S/2 NE/4 SW/4, SE/4 NE/4, SE/4 SW/4 of 31-12N-24W</x:t>
        </x:is>
      </x:c>
      <x:c r="K3" s="316" t="inlineStr">
        <x:is>
          <x:t xml:space="preserve">375.335 gross acres
3 yrs
3/16ths royalty</x:t>
        </x:is>
      </x:c>
      <x:c r="L3" s="312" t="inlineStr">
        <x:is>
          <x:t xml:space="preserve">3 years</x:t>
        </x:is>
      </x:c>
      <x:c r="M3" s="312" t="n">
        <x:v>375.335</x:v>
      </x:c>
      <x:c r="N3" s="312" t="inlineStr">
        <x:is>
          <x:t xml:space="preserve">All (1-8)</x:t>
        </x:is>
      </x:c>
      <x:c r="O3" s="317" t="n">
        <x:v>39096</x:v>
      </x:c>
      <x:c r="P3" s="318" t="n">
        <x:v>100.17</x:v>
      </x:c>
      <x:c r="Q3" s="609" t="n">
        <x:v>0.1875</x:v>
      </x:c>
      <x:c r="R3" s="312" t="inlineStr">
        <x:is>
          <x:t xml:space="preserve">No</x:t>
        </x:is>
      </x:c>
      <x:c r="S3" s="312" t="inlineStr">
        <x:is>
          <x:t xml:space="preserve">No</x:t>
        </x:is>
      </x:c>
      <x:c r="T3" s="312" t="inlineStr">
        <x:is>
          <x:t xml:space="preserve">No</x:t>
        </x:is>
      </x:c>
      <x:c r="U3" s="312" t="inlineStr">
        <x:is>
          <x:t xml:space="preserve">No</x:t>
        </x:is>
      </x:c>
      <x:c r="V3" s="312" t="inlineStr">
        <x:is>
          <x:t xml:space="preserve">No</x:t>
        </x:is>
      </x:c>
      <x:c r="W3" s="312" t="inlineStr">
        <x:is>
          <x:t xml:space="preserve">No</x:t>
        </x:is>
      </x:c>
      <x:c r="X3" s="312" t="inlineStr">
        <x:is>
          <x:t xml:space="preserve">No</x:t>
        </x:is>
      </x:c>
      <x:c r="Y3" s="312" t="inlineStr">
        <x:is>
          <x:t xml:space="preserve">No</x:t>
        </x:is>
      </x:c>
    </x:row>
    <x:row r="4" s="110" customFormat="1" ht="36" customHeight="1">
      <x:c r="A4" s="311" t="n">
        <x:v>3</x:v>
      </x:c>
      <x:c r="B4" s="311" t="inlineStr">
        <x:is>
          <x:t xml:space="preserve">HBP</x:t>
        </x:is>
      </x:c>
      <x:c r="C4" s="312" t="inlineStr">
        <x:is>
          <x:t xml:space="preserve">N/A</x:t>
        </x:is>
      </x:c>
      <x:c r="D4" s="313" t="inlineStr">
        <x:is>
          <x:t xml:space="preserve">Oil and Gas Lease</x:t>
        </x:is>
      </x:c>
      <x:c r="E4" s="313" t="inlineStr">
        <x:is>
          <x:t xml:space="preserve">1736/602</x:t>
        </x:is>
      </x:c>
      <x:c r="F4" s="314" t="n">
        <x:v>38000</x:v>
      </x:c>
      <x:c r="G4" s="314" t="n">
        <x:v>38029</x:v>
      </x:c>
      <x:c r="H4" s="316" t="inlineStr">
        <x:is>
          <x:t xml:space="preserve">Gena W. Moore</x:t>
        </x:is>
      </x:c>
      <x:c r="I4" s="316" t="inlineStr">
        <x:is>
          <x:t xml:space="preserve">R. Michael Lortz</x:t>
        </x:is>
      </x:c>
      <x:c r="J4" s="316" t="inlineStr">
        <x:is>
          <x:t xml:space="preserve">E/2 NW/4, N/2 NE/4, N/2 NE/4 SW/4, Lot 4, NE/4 SE/4, S/2 NE/4 SW/4, SE/4 NE/4, SE/4 SW/4 of 31-12N-24W</x:t>
        </x:is>
      </x:c>
      <x:c r="K4" s="316" t="inlineStr">
        <x:is>
          <x:t xml:space="preserve">375.335 gross acres
3 yrs
3/16ths royalty</x:t>
        </x:is>
      </x:c>
      <x:c r="L4" s="312" t="inlineStr">
        <x:is>
          <x:t xml:space="preserve">3 years</x:t>
        </x:is>
      </x:c>
      <x:c r="M4" s="312" t="n">
        <x:v>375.335</x:v>
      </x:c>
      <x:c r="N4" s="312" t="inlineStr">
        <x:is>
          <x:t xml:space="preserve">All (1-8)</x:t>
        </x:is>
      </x:c>
      <x:c r="O4" s="317" t="n">
        <x:v>39096</x:v>
      </x:c>
      <x:c r="P4" s="318" t="n">
        <x:v>45.39</x:v>
      </x:c>
      <x:c r="Q4" s="609" t="n">
        <x:v>0.1875</x:v>
      </x:c>
      <x:c r="R4" s="312" t="inlineStr">
        <x:is>
          <x:t xml:space="preserve">No</x:t>
        </x:is>
      </x:c>
      <x:c r="S4" s="312" t="inlineStr">
        <x:is>
          <x:t xml:space="preserve">No</x:t>
        </x:is>
      </x:c>
      <x:c r="T4" s="312" t="inlineStr">
        <x:is>
          <x:t xml:space="preserve">No</x:t>
        </x:is>
      </x:c>
      <x:c r="U4" s="312" t="inlineStr">
        <x:is>
          <x:t xml:space="preserve">No</x:t>
        </x:is>
      </x:c>
      <x:c r="V4" s="312" t="inlineStr">
        <x:is>
          <x:t xml:space="preserve">No</x:t>
        </x:is>
      </x:c>
      <x:c r="W4" s="312" t="inlineStr">
        <x:is>
          <x:t xml:space="preserve">No</x:t>
        </x:is>
      </x:c>
      <x:c r="X4" s="312" t="inlineStr">
        <x:is>
          <x:t xml:space="preserve">No</x:t>
        </x:is>
      </x:c>
      <x:c r="Y4" s="312" t="inlineStr">
        <x:is>
          <x:t xml:space="preserve">No</x:t>
        </x:is>
      </x:c>
    </x:row>
    <x:row r="5" s="110" customFormat="1" ht="36" customHeight="1">
      <x:c r="A5" s="311" t="n">
        <x:v>4</x:v>
      </x:c>
      <x:c r="B5" s="311" t="inlineStr">
        <x:is>
          <x:t xml:space="preserve">HBP</x:t>
        </x:is>
      </x:c>
      <x:c r="C5" s="312" t="inlineStr">
        <x:is>
          <x:t xml:space="preserve">N/A</x:t>
        </x:is>
      </x:c>
      <x:c r="D5" s="313" t="inlineStr">
        <x:is>
          <x:t xml:space="preserve">Oil and Gas Lease</x:t>
        </x:is>
      </x:c>
      <x:c r="E5" s="313" t="inlineStr">
        <x:is>
          <x:t xml:space="preserve">1736/592</x:t>
        </x:is>
      </x:c>
      <x:c r="F5" s="314" t="n">
        <x:v>38000</x:v>
      </x:c>
      <x:c r="G5" s="314" t="n">
        <x:v>38029</x:v>
      </x:c>
      <x:c r="H5" s="316" t="inlineStr">
        <x:is>
          <x:t xml:space="preserve">Nancy Mitchell Williams</x:t>
        </x:is>
      </x:c>
      <x:c r="I5" s="316" t="inlineStr">
        <x:is>
          <x:t xml:space="preserve">R. Michael Lortz</x:t>
        </x:is>
      </x:c>
      <x:c r="J5" s="316" t="inlineStr">
        <x:is>
          <x:t xml:space="preserve">E/2 NW/4, N/2 NE/4, N/2 NE/4 SW/4, Lot 4, NE/4 SE/4, S/2 NE/4 SW/4, SE/4 NE/4, SE/4 SW/4 of 31-12N-24W</x:t>
        </x:is>
      </x:c>
      <x:c r="K5" s="316" t="inlineStr">
        <x:is>
          <x:t xml:space="preserve">375.335 gross acres
3 yrs
3/16ths royalty</x:t>
        </x:is>
      </x:c>
      <x:c r="L5" s="312" t="inlineStr">
        <x:is>
          <x:t xml:space="preserve">3 years</x:t>
        </x:is>
      </x:c>
      <x:c r="M5" s="312" t="n">
        <x:v>375.335</x:v>
      </x:c>
      <x:c r="N5" s="312" t="inlineStr">
        <x:is>
          <x:t xml:space="preserve">All (1-8)</x:t>
        </x:is>
      </x:c>
      <x:c r="O5" s="317" t="n">
        <x:v>39096</x:v>
      </x:c>
      <x:c r="P5" s="318" t="n">
        <x:v>45.39</x:v>
      </x:c>
      <x:c r="Q5" s="609" t="n">
        <x:v>0.1875</x:v>
      </x:c>
      <x:c r="R5" s="312" t="inlineStr">
        <x:is>
          <x:t xml:space="preserve">No</x:t>
        </x:is>
      </x:c>
      <x:c r="S5" s="312" t="inlineStr">
        <x:is>
          <x:t xml:space="preserve">No</x:t>
        </x:is>
      </x:c>
      <x:c r="T5" s="312" t="inlineStr">
        <x:is>
          <x:t xml:space="preserve">No</x:t>
        </x:is>
      </x:c>
      <x:c r="U5" s="312" t="inlineStr">
        <x:is>
          <x:t xml:space="preserve">No</x:t>
        </x:is>
      </x:c>
      <x:c r="V5" s="312" t="inlineStr">
        <x:is>
          <x:t xml:space="preserve">No</x:t>
        </x:is>
      </x:c>
      <x:c r="W5" s="312" t="inlineStr">
        <x:is>
          <x:t xml:space="preserve">No</x:t>
        </x:is>
      </x:c>
      <x:c r="X5" s="312" t="inlineStr">
        <x:is>
          <x:t xml:space="preserve">No</x:t>
        </x:is>
      </x:c>
      <x:c r="Y5" s="312" t="inlineStr">
        <x:is>
          <x:t xml:space="preserve">No</x:t>
        </x:is>
      </x:c>
    </x:row>
    <x:row r="6" s="110" customFormat="1" ht="36" customHeight="1">
      <x:c r="A6" s="311" t="n">
        <x:v>5</x:v>
      </x:c>
      <x:c r="B6" s="311" t="inlineStr">
        <x:is>
          <x:t xml:space="preserve">HBP</x:t>
        </x:is>
      </x:c>
      <x:c r="C6" s="312" t="inlineStr">
        <x:is>
          <x:t xml:space="preserve">N/A</x:t>
        </x:is>
      </x:c>
      <x:c r="D6" s="313" t="inlineStr">
        <x:is>
          <x:t xml:space="preserve">Oil and Gas Lease</x:t>
        </x:is>
      </x:c>
      <x:c r="E6" s="313" t="inlineStr">
        <x:is>
          <x:t xml:space="preserve">1736/193</x:t>
        </x:is>
      </x:c>
      <x:c r="F6" s="314" t="n">
        <x:v>38002</x:v>
      </x:c>
      <x:c r="G6" s="314" t="n">
        <x:v>38020</x:v>
      </x:c>
      <x:c r="H6" s="316" t="inlineStr">
        <x:is>
          <x:t xml:space="preserve">Wilda E. Jensen</x:t>
        </x:is>
      </x:c>
      <x:c r="I6" s="316" t="inlineStr">
        <x:is>
          <x:t xml:space="preserve">R. Michael Lortz</x:t>
        </x:is>
      </x:c>
      <x:c r="J6" s="316" t="inlineStr">
        <x:is>
          <x:t xml:space="preserve">NW/4 SE/4, S/2 SE/4, SW/4 NE/4 of 31-12N-24W</x:t>
        </x:is>
      </x:c>
      <x:c r="K6" s="316" t="inlineStr">
        <x:is>
          <x:t xml:space="preserve">160 gross acres
3 yrs
3/16ths royalty</x:t>
        </x:is>
      </x:c>
      <x:c r="L6" s="312" t="inlineStr">
        <x:is>
          <x:t xml:space="preserve">3 years</x:t>
        </x:is>
      </x:c>
      <x:c r="M6" s="312" t="n">
        <x:v>160</x:v>
      </x:c>
      <x:c r="N6" s="312" t="n">
        <x:v>2</x:v>
      </x:c>
      <x:c r="O6" s="317" t="n">
        <x:v>39098</x:v>
      </x:c>
      <x:c r="P6" s="318" t="n">
        <x:v>10.53016983587501</x:v>
      </x:c>
      <x:c r="Q6" s="609" t="n">
        <x:v>0.1875</x:v>
      </x:c>
      <x:c r="R6" s="312" t="inlineStr">
        <x:is>
          <x:t xml:space="preserve">No</x:t>
        </x:is>
      </x:c>
      <x:c r="S6" s="312" t="inlineStr">
        <x:is>
          <x:t xml:space="preserve">No</x:t>
        </x:is>
      </x:c>
      <x:c r="T6" s="312" t="inlineStr">
        <x:is>
          <x:t xml:space="preserve">No</x:t>
        </x:is>
      </x:c>
      <x:c r="U6" s="312" t="inlineStr">
        <x:is>
          <x:t xml:space="preserve">No</x:t>
        </x:is>
      </x:c>
      <x:c r="V6" s="312" t="inlineStr">
        <x:is>
          <x:t xml:space="preserve">No</x:t>
        </x:is>
      </x:c>
      <x:c r="W6" s="312" t="inlineStr">
        <x:is>
          <x:t xml:space="preserve">No</x:t>
        </x:is>
      </x:c>
      <x:c r="X6" s="312" t="inlineStr">
        <x:is>
          <x:t xml:space="preserve">No</x:t>
        </x:is>
      </x:c>
      <x:c r="Y6" s="312" t="inlineStr">
        <x:is>
          <x:t xml:space="preserve">No</x:t>
        </x:is>
      </x:c>
      <x:c r="Z6" s="111" t="n"/>
    </x:row>
    <x:row r="7" s="110" customFormat="1" ht="36" customHeight="1">
      <x:c r="A7" s="311" t="n">
        <x:v>6</x:v>
      </x:c>
      <x:c r="B7" s="311" t="inlineStr">
        <x:is>
          <x:t xml:space="preserve">HBP</x:t>
        </x:is>
      </x:c>
      <x:c r="C7" s="312" t="inlineStr">
        <x:is>
          <x:t xml:space="preserve">N/A</x:t>
        </x:is>
      </x:c>
      <x:c r="D7" s="313" t="inlineStr">
        <x:is>
          <x:t xml:space="preserve">Oil and Gas Lease</x:t>
        </x:is>
      </x:c>
      <x:c r="E7" s="313" t="inlineStr">
        <x:is>
          <x:t xml:space="preserve">1736/598</x:t>
        </x:is>
      </x:c>
      <x:c r="F7" s="314" t="n">
        <x:v>38002</x:v>
      </x:c>
      <x:c r="G7" s="314" t="n">
        <x:v>38029</x:v>
      </x:c>
      <x:c r="H7" s="316" t="inlineStr">
        <x:is>
          <x:t xml:space="preserve">Dow C. Bain, et ux</x:t>
        </x:is>
      </x:c>
      <x:c r="I7" s="316" t="inlineStr">
        <x:is>
          <x:t xml:space="preserve">R. Michael Lortz</x:t>
        </x:is>
      </x:c>
      <x:c r="J7" s="316" t="inlineStr">
        <x:is>
          <x:t xml:space="preserve">NW/4 SE/4, S/2 SE/4, SW/4 NE/4 of 31-12N-24W</x:t>
        </x:is>
      </x:c>
      <x:c r="K7" s="316" t="inlineStr">
        <x:is>
          <x:t xml:space="preserve">160 gross acres
3 yrs
3/16ths royalty</x:t>
        </x:is>
      </x:c>
      <x:c r="L7" s="312" t="inlineStr">
        <x:is>
          <x:t xml:space="preserve">3 years</x:t>
        </x:is>
      </x:c>
      <x:c r="M7" s="312" t="n">
        <x:v>160</x:v>
      </x:c>
      <x:c r="N7" s="312" t="n">
        <x:v>2</x:v>
      </x:c>
      <x:c r="O7" s="317" t="n">
        <x:v>39098</x:v>
      </x:c>
      <x:c r="P7" s="318" t="n">
        <x:v>9.737030249030287</x:v>
      </x:c>
      <x:c r="Q7" s="609" t="n">
        <x:v>0.1875</x:v>
      </x:c>
      <x:c r="R7" s="312" t="inlineStr">
        <x:is>
          <x:t xml:space="preserve">No</x:t>
        </x:is>
      </x:c>
      <x:c r="S7" s="312" t="inlineStr">
        <x:is>
          <x:t xml:space="preserve">No</x:t>
        </x:is>
      </x:c>
      <x:c r="T7" s="312" t="inlineStr">
        <x:is>
          <x:t xml:space="preserve">No</x:t>
        </x:is>
      </x:c>
      <x:c r="U7" s="312" t="inlineStr">
        <x:is>
          <x:t xml:space="preserve">No</x:t>
        </x:is>
      </x:c>
      <x:c r="V7" s="312" t="inlineStr">
        <x:is>
          <x:t xml:space="preserve">No</x:t>
        </x:is>
      </x:c>
      <x:c r="W7" s="312" t="inlineStr">
        <x:is>
          <x:t xml:space="preserve">No</x:t>
        </x:is>
      </x:c>
      <x:c r="X7" s="312" t="inlineStr">
        <x:is>
          <x:t xml:space="preserve">No</x:t>
        </x:is>
      </x:c>
      <x:c r="Y7" s="312" t="inlineStr">
        <x:is>
          <x:t xml:space="preserve">No</x:t>
        </x:is>
      </x:c>
      <x:c r="Z7" s="111" t="n"/>
    </x:row>
    <x:row r="8" s="110" customFormat="1" ht="36" customHeight="1">
      <x:c r="A8" s="311" t="n">
        <x:v>7</x:v>
      </x:c>
      <x:c r="B8" s="311" t="inlineStr">
        <x:is>
          <x:t xml:space="preserve">HBP</x:t>
        </x:is>
      </x:c>
      <x:c r="C8" s="312" t="inlineStr">
        <x:is>
          <x:t xml:space="preserve">N/A</x:t>
        </x:is>
      </x:c>
      <x:c r="D8" s="313" t="inlineStr">
        <x:is>
          <x:t xml:space="preserve">Oil and Gas Lease</x:t>
        </x:is>
      </x:c>
      <x:c r="E8" s="313" t="inlineStr">
        <x:is>
          <x:t xml:space="preserve">1824/181</x:t>
        </x:is>
      </x:c>
      <x:c r="F8" s="314" t="n">
        <x:v>38002</x:v>
      </x:c>
      <x:c r="G8" s="314" t="n">
        <x:v>38762</x:v>
      </x:c>
      <x:c r="H8" s="316" t="inlineStr">
        <x:is>
          <x:t xml:space="preserve">Wilda E. Jensen</x:t>
        </x:is>
      </x:c>
      <x:c r="I8" s="316" t="inlineStr">
        <x:is>
          <x:t xml:space="preserve">R. Michael Lortz</x:t>
        </x:is>
      </x:c>
      <x:c r="J8" s="316" t="inlineStr">
        <x:is>
          <x:t xml:space="preserve">NW/4 SE/4, S/2 SE/4, SW/4 NE/4 of 31-12N-24W</x:t>
        </x:is>
      </x:c>
      <x:c r="K8" s="316" t="inlineStr">
        <x:is>
          <x:t xml:space="preserve">160 gross acres
3 yrs
3/16ths royalty</x:t>
        </x:is>
      </x:c>
      <x:c r="L8" s="312" t="inlineStr">
        <x:is>
          <x:t xml:space="preserve">3 years</x:t>
        </x:is>
      </x:c>
      <x:c r="M8" s="312" t="n">
        <x:v>160</x:v>
      </x:c>
      <x:c r="N8" s="312" t="n">
        <x:v>2</x:v>
      </x:c>
      <x:c r="O8" s="317" t="n">
        <x:v>39098</x:v>
      </x:c>
      <x:c r="P8" s="318" t="n">
        <x:v>10.53016983587501</x:v>
      </x:c>
      <x:c r="Q8" s="609" t="n">
        <x:v>0.1875</x:v>
      </x:c>
      <x:c r="R8" s="312" t="inlineStr">
        <x:is>
          <x:t xml:space="preserve">No</x:t>
        </x:is>
      </x:c>
      <x:c r="S8" s="312" t="inlineStr">
        <x:is>
          <x:t xml:space="preserve">No</x:t>
        </x:is>
      </x:c>
      <x:c r="T8" s="312" t="inlineStr">
        <x:is>
          <x:t xml:space="preserve">No</x:t>
        </x:is>
      </x:c>
      <x:c r="U8" s="312" t="inlineStr">
        <x:is>
          <x:t xml:space="preserve">No</x:t>
        </x:is>
      </x:c>
      <x:c r="V8" s="312" t="inlineStr">
        <x:is>
          <x:t xml:space="preserve">No</x:t>
        </x:is>
      </x:c>
      <x:c r="W8" s="312" t="inlineStr">
        <x:is>
          <x:t xml:space="preserve">No</x:t>
        </x:is>
      </x:c>
      <x:c r="X8" s="312" t="inlineStr">
        <x:is>
          <x:t xml:space="preserve">No</x:t>
        </x:is>
      </x:c>
      <x:c r="Y8" s="312" t="inlineStr">
        <x:is>
          <x:t xml:space="preserve">No</x:t>
        </x:is>
      </x:c>
      <x:c r="Z8" s="111" t="n"/>
    </x:row>
    <x:row r="9" s="110" customFormat="1" ht="36" customHeight="1">
      <x:c r="A9" s="311" t="n">
        <x:v>8</x:v>
      </x:c>
      <x:c r="B9" s="311" t="inlineStr">
        <x:is>
          <x:t xml:space="preserve">HBP</x:t>
        </x:is>
      </x:c>
      <x:c r="C9" s="312" t="inlineStr">
        <x:is>
          <x:t xml:space="preserve">N/A</x:t>
        </x:is>
      </x:c>
      <x:c r="D9" s="313" t="inlineStr">
        <x:is>
          <x:t xml:space="preserve">Oil and Gas Lease</x:t>
        </x:is>
      </x:c>
      <x:c r="E9" s="313" t="inlineStr">
        <x:is>
          <x:t xml:space="preserve">1736/485</x:t>
        </x:is>
      </x:c>
      <x:c r="F9" s="314" t="n">
        <x:v>38020</x:v>
      </x:c>
      <x:c r="G9" s="314" t="n">
        <x:v>38027</x:v>
      </x:c>
      <x:c r="H9" s="316" t="inlineStr">
        <x:is>
          <x:t xml:space="preserve">L. E. Thurman</x:t>
        </x:is>
      </x:c>
      <x:c r="I9" s="316" t="inlineStr">
        <x:is>
          <x:t xml:space="preserve">R. Michael Lortz</x:t>
        </x:is>
      </x:c>
      <x:c r="J9" s="316" t="inlineStr">
        <x:is>
          <x:t xml:space="preserve">E/2 NW/4, N/2 NE/4 SW/4, NE/4 SE/4, SE/4 NE/4 of 31-12N-24W</x:t>
        </x:is>
      </x:c>
      <x:c r="K9" s="316" t="inlineStr">
        <x:is>
          <x:t xml:space="preserve">180 gross acres
3 yrs
3/16ths royalty</x:t>
        </x:is>
      </x:c>
      <x:c r="L9" s="312" t="inlineStr">
        <x:is>
          <x:t xml:space="preserve">3 years</x:t>
        </x:is>
      </x:c>
      <x:c r="M9" s="312" t="n">
        <x:v>180</x:v>
      </x:c>
      <x:c r="N9" s="312" t="inlineStr">
        <x:is>
          <x:t xml:space="preserve">1, 3, 4, 7, 8</x:t>
        </x:is>
      </x:c>
      <x:c r="O9" s="317" t="n">
        <x:v>39116</x:v>
      </x:c>
      <x:c r="P9" s="318" t="n">
        <x:v>0</x:v>
      </x:c>
      <x:c r="Q9" s="609" t="n">
        <x:v>0.1875</x:v>
      </x:c>
      <x:c r="R9" s="312" t="inlineStr">
        <x:is>
          <x:t xml:space="preserve">No</x:t>
        </x:is>
      </x:c>
      <x:c r="S9" s="312" t="inlineStr">
        <x:is>
          <x:t xml:space="preserve">No</x:t>
        </x:is>
      </x:c>
      <x:c r="T9" s="312" t="inlineStr">
        <x:is>
          <x:t xml:space="preserve">No</x:t>
        </x:is>
      </x:c>
      <x:c r="U9" s="312" t="inlineStr">
        <x:is>
          <x:t xml:space="preserve">No</x:t>
        </x:is>
      </x:c>
      <x:c r="V9" s="312" t="inlineStr">
        <x:is>
          <x:t xml:space="preserve">No</x:t>
        </x:is>
      </x:c>
      <x:c r="W9" s="312" t="inlineStr">
        <x:is>
          <x:t xml:space="preserve">No</x:t>
        </x:is>
      </x:c>
      <x:c r="X9" s="312" t="inlineStr">
        <x:is>
          <x:t xml:space="preserve">No</x:t>
        </x:is>
      </x:c>
      <x:c r="Y9" s="312" t="inlineStr">
        <x:is>
          <x:t xml:space="preserve">No</x:t>
        </x:is>
      </x:c>
    </x:row>
    <x:row r="10" s="110" customFormat="1" ht="24" customHeight="1">
      <x:c r="A10" s="311" t="n">
        <x:v>9</x:v>
      </x:c>
      <x:c r="B10" s="311" t="inlineStr">
        <x:is>
          <x:t xml:space="preserve">HBP</x:t>
        </x:is>
      </x:c>
      <x:c r="C10" s="312" t="inlineStr">
        <x:is>
          <x:t xml:space="preserve">N/A</x:t>
        </x:is>
      </x:c>
      <x:c r="D10" s="313" t="inlineStr">
        <x:is>
          <x:t xml:space="preserve">Oil and Gas Lease</x:t>
        </x:is>
      </x:c>
      <x:c r="E10" s="313" t="inlineStr">
        <x:is>
          <x:t xml:space="preserve">1736/197</x:t>
        </x:is>
      </x:c>
      <x:c r="F10" s="314" t="n">
        <x:v>38016</x:v>
      </x:c>
      <x:c r="G10" s="314" t="n">
        <x:v>38020</x:v>
      </x:c>
      <x:c r="H10" s="316" t="inlineStr">
        <x:is>
          <x:t xml:space="preserve">A. C. Campbell</x:t>
        </x:is>
      </x:c>
      <x:c r="I10" s="316" t="inlineStr">
        <x:is>
          <x:t xml:space="preserve">R. Michael Lortz</x:t>
        </x:is>
      </x:c>
      <x:c r="J10" s="316" t="inlineStr">
        <x:is>
          <x:t xml:space="preserve">S/2 NE/4 SW/4, Lot 4, SE/4 SW/4, Lot 3 of 31-12N-24W</x:t>
        </x:is>
      </x:c>
      <x:c r="K10" s="316" t="inlineStr">
        <x:is>
          <x:t xml:space="preserve">115.335 gross acres
3/16ths royalty</x:t>
        </x:is>
      </x:c>
      <x:c r="L10" s="312" t="inlineStr">
        <x:is>
          <x:t xml:space="preserve">3 years</x:t>
        </x:is>
      </x:c>
      <x:c r="M10" s="312" t="n">
        <x:v>115.335</x:v>
      </x:c>
      <x:c r="N10" s="312" t="inlineStr">
        <x:is>
          <x:t xml:space="preserve">2, 3, 5, 6, 7</x:t>
        </x:is>
      </x:c>
      <x:c r="O10" s="317" t="n">
        <x:v>39116</x:v>
      </x:c>
      <x:c r="P10" s="318" t="n">
        <x:v>9.850876369543263</x:v>
      </x:c>
      <x:c r="Q10" s="609" t="n">
        <x:v>0.1875</x:v>
      </x:c>
      <x:c r="R10" s="312" t="inlineStr">
        <x:is>
          <x:t xml:space="preserve">No</x:t>
        </x:is>
      </x:c>
      <x:c r="S10" s="312" t="inlineStr">
        <x:is>
          <x:t xml:space="preserve">No</x:t>
        </x:is>
      </x:c>
      <x:c r="T10" s="312" t="inlineStr">
        <x:is>
          <x:t xml:space="preserve">No</x:t>
        </x:is>
      </x:c>
      <x:c r="U10" s="312" t="inlineStr">
        <x:is>
          <x:t xml:space="preserve">No</x:t>
        </x:is>
      </x:c>
      <x:c r="V10" s="312" t="inlineStr">
        <x:is>
          <x:t xml:space="preserve">No</x:t>
        </x:is>
      </x:c>
      <x:c r="W10" s="312" t="inlineStr">
        <x:is>
          <x:t xml:space="preserve">No</x:t>
        </x:is>
      </x:c>
      <x:c r="X10" s="312" t="inlineStr">
        <x:is>
          <x:t xml:space="preserve">No</x:t>
        </x:is>
      </x:c>
      <x:c r="Y10" s="312" t="inlineStr">
        <x:is>
          <x:t xml:space="preserve">No</x:t>
        </x:is>
      </x:c>
    </x:row>
    <x:row r="11" s="110" customFormat="1" ht="36" customHeight="1">
      <x:c r="A11" s="311" t="n">
        <x:v>10</x:v>
      </x:c>
      <x:c r="B11" s="311" t="inlineStr">
        <x:is>
          <x:t xml:space="preserve">HBP</x:t>
        </x:is>
      </x:c>
      <x:c r="C11" s="312" t="inlineStr">
        <x:is>
          <x:t xml:space="preserve">N/A</x:t>
        </x:is>
      </x:c>
      <x:c r="D11" s="313" t="inlineStr">
        <x:is>
          <x:t xml:space="preserve">Oil and Gas Lease</x:t>
        </x:is>
      </x:c>
      <x:c r="E11" s="313" t="inlineStr">
        <x:is>
          <x:t xml:space="preserve">1736/473</x:t>
        </x:is>
      </x:c>
      <x:c r="F11" s="314" t="n">
        <x:v>38026</x:v>
      </x:c>
      <x:c r="G11" s="314" t="n">
        <x:v>38027</x:v>
      </x:c>
      <x:c r="H11" s="316" t="inlineStr">
        <x:is>
          <x:t xml:space="preserve">Charles Allen Atha</x:t>
        </x:is>
      </x:c>
      <x:c r="I11" s="316" t="inlineStr">
        <x:is>
          <x:t xml:space="preserve">R. Michael Lortz</x:t>
        </x:is>
      </x:c>
      <x:c r="J11" s="316" t="inlineStr">
        <x:is>
          <x:t xml:space="preserve">Lots 1 and 2, N/2 of Lot 3 of 31-12N-24W</x:t>
        </x:is>
      </x:c>
      <x:c r="K11" s="316" t="inlineStr">
        <x:is>
          <x:t xml:space="preserve">92.135 gross acres
3 yrs
3/16ths royalty</x:t>
        </x:is>
      </x:c>
      <x:c r="L11" s="312" t="inlineStr">
        <x:is>
          <x:t xml:space="preserve">3 years</x:t>
        </x:is>
      </x:c>
      <x:c r="M11" s="312" t="n">
        <x:v>92.13500000000001</x:v>
      </x:c>
      <x:c r="N11" s="312" t="inlineStr">
        <x:is>
          <x:t xml:space="preserve">5, 6</x:t>
        </x:is>
      </x:c>
      <x:c r="O11" s="317" t="n">
        <x:v>39122</x:v>
      </x:c>
      <x:c r="P11" s="318" t="n">
        <x:v>8.34</x:v>
      </x:c>
      <x:c r="Q11" s="609" t="n">
        <x:v>0.1875</x:v>
      </x:c>
      <x:c r="R11" s="312" t="inlineStr">
        <x:is>
          <x:t xml:space="preserve">No</x:t>
        </x:is>
      </x:c>
      <x:c r="S11" s="312" t="inlineStr">
        <x:is>
          <x:t xml:space="preserve">F</x:t>
        </x:is>
      </x:c>
      <x:c r="T11" s="312" t="inlineStr">
        <x:is>
          <x:t xml:space="preserve">No</x:t>
        </x:is>
      </x:c>
      <x:c r="U11" s="312" t="inlineStr">
        <x:is>
          <x:t xml:space="preserve">No</x:t>
        </x:is>
      </x:c>
      <x:c r="V11" s="312" t="inlineStr">
        <x:is>
          <x:t xml:space="preserve">No</x:t>
        </x:is>
      </x:c>
      <x:c r="W11" s="312" t="inlineStr">
        <x:is>
          <x:t xml:space="preserve">No</x:t>
        </x:is>
      </x:c>
      <x:c r="X11" s="312" t="inlineStr">
        <x:is>
          <x:t xml:space="preserve">No</x:t>
        </x:is>
      </x:c>
      <x:c r="Y11" s="312" t="inlineStr">
        <x:is>
          <x:t xml:space="preserve">No</x:t>
        </x:is>
      </x:c>
    </x:row>
    <x:row r="12" s="110" customFormat="1" ht="36" customHeight="1">
      <x:c r="A12" s="311" t="n">
        <x:v>11</x:v>
      </x:c>
      <x:c r="B12" s="311" t="inlineStr">
        <x:is>
          <x:t xml:space="preserve">HBP</x:t>
        </x:is>
      </x:c>
      <x:c r="C12" s="312" t="inlineStr">
        <x:is>
          <x:t xml:space="preserve">N/A</x:t>
        </x:is>
      </x:c>
      <x:c r="D12" s="313" t="inlineStr">
        <x:is>
          <x:t xml:space="preserve">Oil and Gas Lease</x:t>
        </x:is>
      </x:c>
      <x:c r="E12" s="313" t="inlineStr">
        <x:is>
          <x:t xml:space="preserve">1736/588</x:t>
        </x:is>
      </x:c>
      <x:c r="F12" s="314" t="n">
        <x:v>38007</x:v>
      </x:c>
      <x:c r="G12" s="314" t="n">
        <x:v>38029</x:v>
      </x:c>
      <x:c r="H12" s="316" t="inlineStr">
        <x:is>
          <x:t xml:space="preserve">Clarence C. Bain</x:t>
        </x:is>
      </x:c>
      <x:c r="I12" s="316" t="inlineStr">
        <x:is>
          <x:t xml:space="preserve">R. Michael Lortz</x:t>
        </x:is>
      </x:c>
      <x:c r="J12" s="316" t="inlineStr">
        <x:is>
          <x:t xml:space="preserve">NW/4 SE/4, S/2 SE/4, SW/4 NE/4 of 31-12N-24W</x:t>
        </x:is>
      </x:c>
      <x:c r="K12" s="316" t="inlineStr">
        <x:is>
          <x:t xml:space="preserve">160 gross acres
3 yrs
3/16ths royalty</x:t>
        </x:is>
      </x:c>
      <x:c r="L12" s="312" t="inlineStr">
        <x:is>
          <x:t xml:space="preserve">3 years</x:t>
        </x:is>
      </x:c>
      <x:c r="M12" s="312" t="n">
        <x:v>160</x:v>
      </x:c>
      <x:c r="N12" s="312" t="n">
        <x:v>2</x:v>
      </x:c>
      <x:c r="O12" s="317" t="n">
        <x:v>39103</x:v>
      </x:c>
      <x:c r="P12" s="318" t="n">
        <x:v>7.411618279909535</x:v>
      </x:c>
      <x:c r="Q12" s="609" t="n">
        <x:v>0.1875</x:v>
      </x:c>
      <x:c r="R12" s="312" t="inlineStr">
        <x:is>
          <x:t xml:space="preserve">No</x:t>
        </x:is>
      </x:c>
      <x:c r="S12" s="312" t="inlineStr">
        <x:is>
          <x:t xml:space="preserve">F</x:t>
        </x:is>
      </x:c>
      <x:c r="T12" s="312" t="inlineStr">
        <x:is>
          <x:t xml:space="preserve">No</x:t>
        </x:is>
      </x:c>
      <x:c r="U12" s="312" t="inlineStr">
        <x:is>
          <x:t xml:space="preserve">No</x:t>
        </x:is>
      </x:c>
      <x:c r="V12" s="312" t="inlineStr">
        <x:is>
          <x:t xml:space="preserve">No</x:t>
        </x:is>
      </x:c>
      <x:c r="W12" s="312" t="inlineStr">
        <x:is>
          <x:t xml:space="preserve">No</x:t>
        </x:is>
      </x:c>
      <x:c r="X12" s="312" t="inlineStr">
        <x:is>
          <x:t xml:space="preserve">No</x:t>
        </x:is>
      </x:c>
      <x:c r="Y12" s="312" t="inlineStr">
        <x:is>
          <x:t xml:space="preserve">No</x:t>
        </x:is>
      </x:c>
    </x:row>
    <x:row r="13" s="110" customFormat="1" ht="36" customHeight="1">
      <x:c r="A13" s="311" t="n">
        <x:v>12</x:v>
      </x:c>
      <x:c r="B13" s="311" t="inlineStr">
        <x:is>
          <x:t xml:space="preserve">HBP</x:t>
        </x:is>
      </x:c>
      <x:c r="C13" s="312" t="inlineStr">
        <x:is>
          <x:t xml:space="preserve">N/A</x:t>
        </x:is>
      </x:c>
      <x:c r="D13" s="313" t="inlineStr">
        <x:is>
          <x:t xml:space="preserve">Oil and Gas Lease</x:t>
        </x:is>
      </x:c>
      <x:c r="E13" s="313" t="inlineStr">
        <x:is>
          <x:t xml:space="preserve">1737/580</x:t>
        </x:is>
      </x:c>
      <x:c r="F13" s="314" t="n">
        <x:v>38032</x:v>
      </x:c>
      <x:c r="G13" s="314" t="n">
        <x:v>38040</x:v>
      </x:c>
      <x:c r="H13" s="316" t="inlineStr">
        <x:is>
          <x:t xml:space="preserve">Sandra Lorrain York</x:t>
        </x:is>
      </x:c>
      <x:c r="I13" s="316" t="inlineStr">
        <x:is>
          <x:t xml:space="preserve">Kodiak Production Company</x:t>
        </x:is>
      </x:c>
      <x:c r="J13" s="316" t="inlineStr">
        <x:is>
          <x:t xml:space="preserve">Lots 1 and 2, N/2 of Lot 3 of 31-12N-24W</x:t>
        </x:is>
      </x:c>
      <x:c r="K13" s="316" t="inlineStr">
        <x:is>
          <x:t xml:space="preserve">92.0850 gross acres
3 years
3/16ths royalty</x:t>
        </x:is>
      </x:c>
      <x:c r="L13" s="312" t="inlineStr">
        <x:is>
          <x:t xml:space="preserve">3 years</x:t>
        </x:is>
      </x:c>
      <x:c r="M13" s="312" t="n">
        <x:v>92.08499999999999</x:v>
      </x:c>
      <x:c r="N13" s="312" t="inlineStr">
        <x:is>
          <x:t xml:space="preserve">All (1-8)</x:t>
        </x:is>
      </x:c>
      <x:c r="O13" s="317" t="n">
        <x:v>39128</x:v>
      </x:c>
      <x:c r="P13" s="318" t="n">
        <x:v>0</x:v>
      </x:c>
      <x:c r="Q13" s="609" t="n">
        <x:v>0.1875</x:v>
      </x:c>
      <x:c r="R13" s="312" t="inlineStr">
        <x:is>
          <x:t xml:space="preserve">No</x:t>
        </x:is>
      </x:c>
      <x:c r="S13" s="312" t="inlineStr">
        <x:is>
          <x:t xml:space="preserve">No</x:t>
        </x:is>
      </x:c>
      <x:c r="T13" s="312" t="inlineStr">
        <x:is>
          <x:t xml:space="preserve">No</x:t>
        </x:is>
      </x:c>
      <x:c r="U13" s="312" t="inlineStr">
        <x:is>
          <x:t xml:space="preserve">No</x:t>
        </x:is>
      </x:c>
      <x:c r="V13" s="312" t="inlineStr">
        <x:is>
          <x:t xml:space="preserve">No</x:t>
        </x:is>
      </x:c>
      <x:c r="W13" s="312" t="inlineStr">
        <x:is>
          <x:t xml:space="preserve">No</x:t>
        </x:is>
      </x:c>
      <x:c r="X13" s="312" t="inlineStr">
        <x:is>
          <x:t xml:space="preserve">No</x:t>
        </x:is>
      </x:c>
      <x:c r="Y13" s="312" t="inlineStr">
        <x:is>
          <x:t xml:space="preserve">No</x:t>
        </x:is>
      </x:c>
    </x:row>
    <x:row r="14" s="110" customFormat="1" ht="120" customHeight="1">
      <x:c r="A14" s="311" t="n">
        <x:v>13</x:v>
      </x:c>
      <x:c r="B14" s="311" t="inlineStr">
        <x:is>
          <x:t xml:space="preserve">HBP</x:t>
        </x:is>
      </x:c>
      <x:c r="C14" s="312" t="inlineStr">
        <x:is>
          <x:t xml:space="preserve">N/A</x:t>
        </x:is>
      </x:c>
      <x:c r="D14" s="313" t="inlineStr">
        <x:is>
          <x:t xml:space="preserve">Oil and Gas Lease</x:t>
        </x:is>
      </x:c>
      <x:c r="E14" s="313" t="inlineStr">
        <x:is>
          <x:t xml:space="preserve">1780/409</x:t>
        </x:is>
      </x:c>
      <x:c r="F14" s="314" t="n">
        <x:v>38407</x:v>
      </x:c>
      <x:c r="G14" s="314" t="n">
        <x:v>38420</x:v>
      </x:c>
      <x:c r="H14" s="316" t="inlineStr">
        <x:is>
          <x:t xml:space="preserve">Jesse W. Fuchs</x:t>
        </x:is>
      </x:c>
      <x:c r="I14" s="316" t="inlineStr">
        <x:is>
          <x:t xml:space="preserve">N/g Discovery, LLC</x:t>
        </x:is>
      </x:c>
      <x:c r="J14" s="316" t="inlineStr">
        <x:is>
          <x:t xml:space="preserve">NW/4 SE/4, S/2 SE/4, SW/4 NE/4 of 31-12N-24W</x:t>
        </x:is>
      </x:c>
      <x:c r="K14" s="316" t="inlineStr">
        <x:is>
          <x:t xml:space="preserve">160 gross acres
2 yrs
1/4th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x:t>
        </x:is>
      </x:c>
      <x:c r="L14" s="312" t="inlineStr">
        <x:is>
          <x:t xml:space="preserve">2 years</x:t>
        </x:is>
      </x:c>
      <x:c r="M14" s="312" t="n">
        <x:v>160</x:v>
      </x:c>
      <x:c r="N14" s="312" t="n">
        <x:v>2</x:v>
      </x:c>
      <x:c r="O14" s="317" t="n">
        <x:v>39137</x:v>
      </x:c>
      <x:c r="P14" s="318" t="n">
        <x:v>0</x:v>
      </x:c>
      <x:c r="Q14" s="609" t="n">
        <x:v>0.25</x:v>
      </x:c>
      <x:c r="R14" s="312" t="inlineStr">
        <x:is>
          <x:t xml:space="preserve">Yes</x:t>
        </x:is>
      </x:c>
      <x:c r="S14" s="312" t="inlineStr">
        <x:is>
          <x:t xml:space="preserve">No</x:t>
        </x:is>
      </x:c>
      <x:c r="T14" s="312" t="inlineStr">
        <x:is>
          <x:t xml:space="preserve">No</x:t>
        </x:is>
      </x:c>
      <x:c r="U14" s="312" t="inlineStr">
        <x:is>
          <x:t xml:space="preserve">No</x:t>
        </x:is>
      </x:c>
      <x:c r="V14" s="312" t="inlineStr">
        <x:is>
          <x:t xml:space="preserve">Yes</x:t>
        </x:is>
      </x:c>
      <x:c r="W14" s="312" t="inlineStr">
        <x:is>
          <x:t xml:space="preserve">No</x:t>
        </x:is>
      </x:c>
      <x:c r="X14" s="312" t="inlineStr">
        <x:is>
          <x:t xml:space="preserve">No</x:t>
        </x:is>
      </x:c>
      <x:c r="Y14" s="312" t="inlineStr">
        <x:is>
          <x:t xml:space="preserve">No</x:t>
        </x:is>
      </x:c>
    </x:row>
    <x:row r="15" s="110" customFormat="1" ht="120" customHeight="1">
      <x:c r="A15" s="311" t="n">
        <x:v>14</x:v>
      </x:c>
      <x:c r="B15" s="311" t="inlineStr">
        <x:is>
          <x:t xml:space="preserve">HBP</x:t>
        </x:is>
      </x:c>
      <x:c r="C15" s="312" t="inlineStr">
        <x:is>
          <x:t xml:space="preserve">N/A</x:t>
        </x:is>
      </x:c>
      <x:c r="D15" s="313" t="inlineStr">
        <x:is>
          <x:t xml:space="preserve">Oil and Gas Lease</x:t>
        </x:is>
      </x:c>
      <x:c r="E15" s="313" t="inlineStr">
        <x:is>
          <x:t xml:space="preserve">1782/261</x:t>
        </x:is>
      </x:c>
      <x:c r="F15" s="314" t="n">
        <x:v>38408</x:v>
      </x:c>
      <x:c r="G15" s="314" t="n">
        <x:v>38432</x:v>
      </x:c>
      <x:c r="H15" s="316" t="inlineStr">
        <x:is>
          <x:t xml:space="preserve">Isa May Smith</x:t>
        </x:is>
      </x:c>
      <x:c r="I15" s="316" t="inlineStr">
        <x:is>
          <x:t xml:space="preserve">N/g Discovery, LLC</x:t>
        </x:is>
      </x:c>
      <x:c r="J15" s="316" t="inlineStr">
        <x:is>
          <x:t xml:space="preserve">NW/4 SE/4, S/2 SE/4, SW/4 NE/4 of 31-12N-24W</x:t>
        </x:is>
      </x:c>
      <x:c r="K15" s="316" t="inlineStr">
        <x:is>
          <x:t xml:space="preserve">160 gross acres
2 yrs
1/4th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x:t>
        </x:is>
      </x:c>
      <x:c r="L15" s="312" t="inlineStr">
        <x:is>
          <x:t xml:space="preserve">2 years</x:t>
        </x:is>
      </x:c>
      <x:c r="M15" s="312" t="n">
        <x:v>160</x:v>
      </x:c>
      <x:c r="N15" s="312" t="n">
        <x:v>2</x:v>
      </x:c>
      <x:c r="O15" s="317" t="n">
        <x:v>39138</x:v>
      </x:c>
      <x:c r="P15" s="318" t="n">
        <x:v>0</x:v>
      </x:c>
      <x:c r="Q15" s="609" t="n">
        <x:v>0.25</x:v>
      </x:c>
      <x:c r="R15" s="312" t="inlineStr">
        <x:is>
          <x:t xml:space="preserve">Yes</x:t>
        </x:is>
      </x:c>
      <x:c r="S15" s="312" t="inlineStr">
        <x:is>
          <x:t xml:space="preserve">No</x:t>
        </x:is>
      </x:c>
      <x:c r="T15" s="312" t="inlineStr">
        <x:is>
          <x:t xml:space="preserve">No</x:t>
        </x:is>
      </x:c>
      <x:c r="U15" s="312" t="inlineStr">
        <x:is>
          <x:t xml:space="preserve">No</x:t>
        </x:is>
      </x:c>
      <x:c r="V15" s="312" t="inlineStr">
        <x:is>
          <x:t xml:space="preserve">Yes</x:t>
        </x:is>
      </x:c>
      <x:c r="W15" s="312" t="inlineStr">
        <x:is>
          <x:t xml:space="preserve">No</x:t>
        </x:is>
      </x:c>
      <x:c r="X15" s="312" t="inlineStr">
        <x:is>
          <x:t xml:space="preserve">No</x:t>
        </x:is>
      </x:c>
      <x:c r="Y15" s="312" t="inlineStr">
        <x:is>
          <x:t xml:space="preserve">No</x:t>
        </x:is>
      </x:c>
    </x:row>
    <x:row r="16" s="110" customFormat="1" ht="120" customHeight="1">
      <x:c r="A16" s="311" t="n">
        <x:v>15</x:v>
      </x:c>
      <x:c r="B16" s="311" t="inlineStr">
        <x:is>
          <x:t xml:space="preserve">HBP</x:t>
        </x:is>
      </x:c>
      <x:c r="C16" s="312" t="inlineStr">
        <x:is>
          <x:t xml:space="preserve">N/A</x:t>
        </x:is>
      </x:c>
      <x:c r="D16" s="312" t="inlineStr">
        <x:is>
          <x:t xml:space="preserve">Oil and Gas Lease</x:t>
        </x:is>
      </x:c>
      <x:c r="E16" s="312" t="inlineStr">
        <x:is>
          <x:t xml:space="preserve">1781/204</x:t>
        </x:is>
      </x:c>
      <x:c r="F16" s="317" t="n">
        <x:v>38412</x:v>
      </x:c>
      <x:c r="G16" s="317" t="n">
        <x:v>38426</x:v>
      </x:c>
      <x:c r="H16" s="320" t="inlineStr">
        <x:is>
          <x:t xml:space="preserve">Raymond M. Fuchs</x:t>
        </x:is>
      </x:c>
      <x:c r="I16" s="320" t="inlineStr">
        <x:is>
          <x:t xml:space="preserve">N/g Discovery, LLC</x:t>
        </x:is>
      </x:c>
      <x:c r="J16" s="320" t="inlineStr">
        <x:is>
          <x:t xml:space="preserve">NW/4 SE/4, S/2 SE/4, SW/4 NE/4 of 31-12N-24W</x:t>
        </x:is>
      </x:c>
      <x:c r="K16" s="320" t="inlineStr">
        <x:is>
          <x:t xml:space="preserve">160 gross acres
2 yrs
3/16ths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x:t>
        </x:is>
      </x:c>
      <x:c r="L16" s="312" t="inlineStr">
        <x:is>
          <x:t xml:space="preserve">2 years</x:t>
        </x:is>
      </x:c>
      <x:c r="M16" s="312" t="n">
        <x:v>160</x:v>
      </x:c>
      <x:c r="N16" s="321" t="n">
        <x:v>2</x:v>
      </x:c>
      <x:c r="O16" s="317" t="n">
        <x:v>39142</x:v>
      </x:c>
      <x:c r="P16" s="318" t="n">
        <x:v>0</x:v>
      </x:c>
      <x:c r="Q16" s="610" t="n">
        <x:v>0.1875</x:v>
      </x:c>
      <x:c r="R16" s="312" t="inlineStr">
        <x:is>
          <x:t xml:space="preserve">Yes</x:t>
        </x:is>
      </x:c>
      <x:c r="S16" s="312" t="inlineStr">
        <x:is>
          <x:t xml:space="preserve">No</x:t>
        </x:is>
      </x:c>
      <x:c r="T16" s="312" t="inlineStr">
        <x:is>
          <x:t xml:space="preserve">No</x:t>
        </x:is>
      </x:c>
      <x:c r="U16" s="312" t="inlineStr">
        <x:is>
          <x:t xml:space="preserve">No</x:t>
        </x:is>
      </x:c>
      <x:c r="V16" s="312" t="inlineStr">
        <x:is>
          <x:t xml:space="preserve">Yes</x:t>
        </x:is>
      </x:c>
      <x:c r="W16" s="312" t="inlineStr">
        <x:is>
          <x:t xml:space="preserve">No</x:t>
        </x:is>
      </x:c>
      <x:c r="X16" s="312" t="inlineStr">
        <x:is>
          <x:t xml:space="preserve">No</x:t>
        </x:is>
      </x:c>
      <x:c r="Y16" s="312" t="inlineStr">
        <x:is>
          <x:t xml:space="preserve">No</x:t>
        </x:is>
      </x:c>
    </x:row>
    <x:row r="17" s="110" customFormat="1" ht="120" customHeight="1">
      <x:c r="A17" s="311" t="n">
        <x:v>16</x:v>
      </x:c>
      <x:c r="B17" s="311" t="inlineStr">
        <x:is>
          <x:t xml:space="preserve">HBP</x:t>
        </x:is>
      </x:c>
      <x:c r="C17" s="312" t="inlineStr">
        <x:is>
          <x:t xml:space="preserve">N/A</x:t>
        </x:is>
      </x:c>
      <x:c r="D17" s="312" t="inlineStr">
        <x:is>
          <x:t xml:space="preserve">Oil and Gas Lease</x:t>
        </x:is>
      </x:c>
      <x:c r="E17" s="312" t="inlineStr">
        <x:is>
          <x:t xml:space="preserve">1782/267</x:t>
        </x:is>
      </x:c>
      <x:c r="F17" s="317" t="n">
        <x:v>38412</x:v>
      </x:c>
      <x:c r="G17" s="317" t="n">
        <x:v>38432</x:v>
      </x:c>
      <x:c r="H17" s="320" t="inlineStr">
        <x:is>
          <x:t xml:space="preserve">Mark J. Fuchs</x:t>
        </x:is>
      </x:c>
      <x:c r="I17" s="320" t="inlineStr">
        <x:is>
          <x:t xml:space="preserve">N/g Discovery, LLC</x:t>
        </x:is>
      </x:c>
      <x:c r="J17" s="320" t="inlineStr">
        <x:is>
          <x:t xml:space="preserve">NW/4 SE/4, S/2 SE/4, SW/4 NE/4 of 31-12N-24W</x:t>
        </x:is>
      </x:c>
      <x:c r="K17" s="320" t="inlineStr">
        <x:is>
          <x:t xml:space="preserve">160 gross acres
2 yrs
1/4th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x:t>
        </x:is>
      </x:c>
      <x:c r="L17" s="312" t="inlineStr">
        <x:is>
          <x:t xml:space="preserve">2 years</x:t>
        </x:is>
      </x:c>
      <x:c r="M17" s="312" t="n">
        <x:v>160</x:v>
      </x:c>
      <x:c r="N17" s="312" t="n">
        <x:v>2</x:v>
      </x:c>
      <x:c r="O17" s="317" t="n">
        <x:v>39142</x:v>
      </x:c>
      <x:c r="P17" s="318" t="n">
        <x:v>0</x:v>
      </x:c>
      <x:c r="Q17" s="610" t="n">
        <x:v>0.25</x:v>
      </x:c>
      <x:c r="R17" s="312" t="inlineStr">
        <x:is>
          <x:t xml:space="preserve">Yes</x:t>
        </x:is>
      </x:c>
      <x:c r="S17" s="312" t="inlineStr">
        <x:is>
          <x:t xml:space="preserve">No</x:t>
        </x:is>
      </x:c>
      <x:c r="T17" s="312" t="inlineStr">
        <x:is>
          <x:t xml:space="preserve">No</x:t>
        </x:is>
      </x:c>
      <x:c r="U17" s="312" t="inlineStr">
        <x:is>
          <x:t xml:space="preserve">No</x:t>
        </x:is>
      </x:c>
      <x:c r="V17" s="312" t="inlineStr">
        <x:is>
          <x:t xml:space="preserve">Yes</x:t>
        </x:is>
      </x:c>
      <x:c r="W17" s="312" t="inlineStr">
        <x:is>
          <x:t xml:space="preserve">No</x:t>
        </x:is>
      </x:c>
      <x:c r="X17" s="312" t="inlineStr">
        <x:is>
          <x:t xml:space="preserve">No</x:t>
        </x:is>
      </x:c>
      <x:c r="Y17" s="312" t="inlineStr">
        <x:is>
          <x:t xml:space="preserve">No</x:t>
        </x:is>
      </x:c>
    </x:row>
    <x:row r="18" s="110" customFormat="1" ht="36" customHeight="1">
      <x:c r="A18" s="311" t="n">
        <x:v>17</x:v>
      </x:c>
      <x:c r="B18" s="311" t="inlineStr">
        <x:is>
          <x:t xml:space="preserve">HBP</x:t>
        </x:is>
      </x:c>
      <x:c r="C18" s="312" t="inlineStr">
        <x:is>
          <x:t xml:space="preserve">N/A</x:t>
        </x:is>
      </x:c>
      <x:c r="D18" s="312" t="inlineStr">
        <x:is>
          <x:t xml:space="preserve">Oil and Gas Lease</x:t>
        </x:is>
      </x:c>
      <x:c r="E18" s="312" t="inlineStr">
        <x:is>
          <x:t xml:space="preserve">1738/479</x:t>
        </x:is>
      </x:c>
      <x:c r="F18" s="317" t="n">
        <x:v>38023</x:v>
      </x:c>
      <x:c r="G18" s="317" t="n">
        <x:v>38049</x:v>
      </x:c>
      <x:c r="H18" s="320" t="inlineStr">
        <x:is>
          <x:t xml:space="preserve">Lola F. Richards</x:t>
        </x:is>
      </x:c>
      <x:c r="I18" s="320" t="inlineStr">
        <x:is>
          <x:t xml:space="preserve">R. Michael Lortz</x:t>
        </x:is>
      </x:c>
      <x:c r="J18" s="320" t="inlineStr">
        <x:is>
          <x:t xml:space="preserve">NW/4 SE/4, S/2 SE/4, SW/4 NE/4 of 31-12N-24W</x:t>
        </x:is>
      </x:c>
      <x:c r="K18" s="320" t="inlineStr">
        <x:is>
          <x:t xml:space="preserve">160 gross acres
3 yrs
3/16ths royalty</x:t>
        </x:is>
      </x:c>
      <x:c r="L18" s="312" t="inlineStr">
        <x:is>
          <x:t xml:space="preserve">3 years</x:t>
        </x:is>
      </x:c>
      <x:c r="M18" s="312" t="n">
        <x:v>160</x:v>
      </x:c>
      <x:c r="N18" s="312" t="n">
        <x:v>2</x:v>
      </x:c>
      <x:c r="O18" s="317" t="n">
        <x:v>39119</x:v>
      </x:c>
      <x:c r="P18" s="318" t="n">
        <x:v>0</x:v>
      </x:c>
      <x:c r="Q18" s="610" t="n">
        <x:v>0.1875</x:v>
      </x:c>
      <x:c r="R18" s="312" t="inlineStr">
        <x:is>
          <x:t xml:space="preserve">No</x:t>
        </x:is>
      </x:c>
      <x:c r="S18" s="312" t="inlineStr">
        <x:is>
          <x:t xml:space="preserve">F</x:t>
        </x:is>
      </x:c>
      <x:c r="T18" s="312" t="inlineStr">
        <x:is>
          <x:t xml:space="preserve">No</x:t>
        </x:is>
      </x:c>
      <x:c r="U18" s="312" t="inlineStr">
        <x:is>
          <x:t xml:space="preserve">No</x:t>
        </x:is>
      </x:c>
      <x:c r="V18" s="312" t="inlineStr">
        <x:is>
          <x:t xml:space="preserve">No</x:t>
        </x:is>
      </x:c>
      <x:c r="W18" s="312" t="inlineStr">
        <x:is>
          <x:t xml:space="preserve">No</x:t>
        </x:is>
      </x:c>
      <x:c r="X18" s="312" t="inlineStr">
        <x:is>
          <x:t xml:space="preserve">No</x:t>
        </x:is>
      </x:c>
      <x:c r="Y18" s="312" t="inlineStr">
        <x:is>
          <x:t xml:space="preserve">No</x:t>
        </x:is>
      </x:c>
    </x:row>
    <x:row r="19" s="110" customFormat="1" ht="36" customHeight="1">
      <x:c r="A19" s="311" t="n">
        <x:v>18</x:v>
      </x:c>
      <x:c r="B19" s="311" t="inlineStr">
        <x:is>
          <x:t xml:space="preserve">HBP</x:t>
        </x:is>
      </x:c>
      <x:c r="C19" s="312" t="inlineStr">
        <x:is>
          <x:t xml:space="preserve">N/A</x:t>
        </x:is>
      </x:c>
      <x:c r="D19" s="312" t="inlineStr">
        <x:is>
          <x:t xml:space="preserve">Oil and Gas Lease</x:t>
        </x:is>
      </x:c>
      <x:c r="E19" s="312" t="inlineStr">
        <x:is>
          <x:t xml:space="preserve">1764/122</x:t>
        </x:is>
      </x:c>
      <x:c r="F19" s="317" t="n">
        <x:v>38251</x:v>
      </x:c>
      <x:c r="G19" s="317" t="n">
        <x:v>38272</x:v>
      </x:c>
      <x:c r="H19" s="320" t="inlineStr">
        <x:is>
          <x:t xml:space="preserve">Farrell E. Hamilton</x:t>
        </x:is>
      </x:c>
      <x:c r="I19" s="320" t="inlineStr">
        <x:is>
          <x:t xml:space="preserve">R. Michael Lortz</x:t>
        </x:is>
      </x:c>
      <x:c r="J19" s="320" t="inlineStr">
        <x:is>
          <x:t xml:space="preserve">NW/4 SE/4, S/2 SE/4, SW/4 NE/4 of 31-12N-24W</x:t>
        </x:is>
      </x:c>
      <x:c r="K19" s="320" t="inlineStr">
        <x:is>
          <x:t xml:space="preserve">160 gross acres
3 yrs
3/16ths royalty</x:t>
        </x:is>
      </x:c>
      <x:c r="L19" s="312" t="inlineStr">
        <x:is>
          <x:t xml:space="preserve">3 years</x:t>
        </x:is>
      </x:c>
      <x:c r="M19" s="312" t="n">
        <x:v>160</x:v>
      </x:c>
      <x:c r="N19" s="312" t="n">
        <x:v>2</x:v>
      </x:c>
      <x:c r="O19" s="317" t="n">
        <x:v>39346</x:v>
      </x:c>
      <x:c r="P19" s="318" t="n">
        <x:v>0</x:v>
      </x:c>
      <x:c r="Q19" s="610" t="n">
        <x:v>0.1875</x:v>
      </x:c>
      <x:c r="R19" s="312" t="inlineStr">
        <x:is>
          <x:t xml:space="preserve">No</x:t>
        </x:is>
      </x:c>
      <x:c r="S19" s="312" t="inlineStr">
        <x:is>
          <x:t xml:space="preserve">No</x:t>
        </x:is>
      </x:c>
      <x:c r="T19" s="312" t="inlineStr">
        <x:is>
          <x:t xml:space="preserve">No</x:t>
        </x:is>
      </x:c>
      <x:c r="U19" s="312" t="inlineStr">
        <x:is>
          <x:t xml:space="preserve">No</x:t>
        </x:is>
      </x:c>
      <x:c r="V19" s="312" t="inlineStr">
        <x:is>
          <x:t xml:space="preserve">No</x:t>
        </x:is>
      </x:c>
      <x:c r="W19" s="312" t="inlineStr">
        <x:is>
          <x:t xml:space="preserve">No</x:t>
        </x:is>
      </x:c>
      <x:c r="X19" s="312" t="inlineStr">
        <x:is>
          <x:t xml:space="preserve">No</x:t>
        </x:is>
      </x:c>
      <x:c r="Y19" s="312" t="inlineStr">
        <x:is>
          <x:t xml:space="preserve">No</x:t>
        </x:is>
      </x:c>
    </x:row>
    <x:row r="20" s="110" customFormat="1" ht="36" customHeight="1">
      <x:c r="A20" s="311" t="n">
        <x:v>19</x:v>
      </x:c>
      <x:c r="B20" s="311" t="inlineStr">
        <x:is>
          <x:t xml:space="preserve">HBP</x:t>
        </x:is>
      </x:c>
      <x:c r="C20" s="312" t="inlineStr">
        <x:is>
          <x:t xml:space="preserve">N/A</x:t>
        </x:is>
      </x:c>
      <x:c r="D20" s="312" t="inlineStr">
        <x:is>
          <x:t xml:space="preserve">Oil and Gas Lease</x:t>
        </x:is>
      </x:c>
      <x:c r="E20" s="312" t="inlineStr">
        <x:is>
          <x:t xml:space="preserve">1764/124</x:t>
        </x:is>
      </x:c>
      <x:c r="F20" s="317" t="n">
        <x:v>38251</x:v>
      </x:c>
      <x:c r="G20" s="317" t="n">
        <x:v>38272</x:v>
      </x:c>
      <x:c r="H20" s="320" t="inlineStr">
        <x:is>
          <x:t xml:space="preserve">Deeanne Browning</x:t>
        </x:is>
      </x:c>
      <x:c r="I20" s="320" t="inlineStr">
        <x:is>
          <x:t xml:space="preserve">R. Michael Lortz</x:t>
        </x:is>
      </x:c>
      <x:c r="J20" s="320" t="inlineStr">
        <x:is>
          <x:t xml:space="preserve">NW/4 SE/4, S/2 SE/4, SW/4 NE/4 of 31-12N-24W</x:t>
        </x:is>
      </x:c>
      <x:c r="K20" s="320" t="inlineStr">
        <x:is>
          <x:t xml:space="preserve">160 gross acres
3 yrs
3/16ths royalty</x:t>
        </x:is>
      </x:c>
      <x:c r="L20" s="312" t="inlineStr">
        <x:is>
          <x:t xml:space="preserve">3 years</x:t>
        </x:is>
      </x:c>
      <x:c r="M20" s="312" t="n">
        <x:v>160</x:v>
      </x:c>
      <x:c r="N20" s="312" t="n">
        <x:v>2</x:v>
      </x:c>
      <x:c r="O20" s="317" t="n">
        <x:v>39346</x:v>
      </x:c>
      <x:c r="P20" s="318" t="n">
        <x:v>2.931029838991581</x:v>
      </x:c>
      <x:c r="Q20" s="610" t="n">
        <x:v>0.1875</x:v>
      </x:c>
      <x:c r="R20" s="312" t="inlineStr">
        <x:is>
          <x:t xml:space="preserve">No</x:t>
        </x:is>
      </x:c>
      <x:c r="S20" s="312" t="inlineStr">
        <x:is>
          <x:t xml:space="preserve">No</x:t>
        </x:is>
      </x:c>
      <x:c r="T20" s="312" t="inlineStr">
        <x:is>
          <x:t xml:space="preserve">No</x:t>
        </x:is>
      </x:c>
      <x:c r="U20" s="312" t="inlineStr">
        <x:is>
          <x:t xml:space="preserve">No</x:t>
        </x:is>
      </x:c>
      <x:c r="V20" s="312" t="inlineStr">
        <x:is>
          <x:t xml:space="preserve">No</x:t>
        </x:is>
      </x:c>
      <x:c r="W20" s="312" t="inlineStr">
        <x:is>
          <x:t xml:space="preserve">No</x:t>
        </x:is>
      </x:c>
      <x:c r="X20" s="312" t="inlineStr">
        <x:is>
          <x:t xml:space="preserve">No</x:t>
        </x:is>
      </x:c>
      <x:c r="Y20" s="312" t="inlineStr">
        <x:is>
          <x:t xml:space="preserve">No</x:t>
        </x:is>
      </x:c>
    </x:row>
    <x:row r="21" s="569" customFormat="1" ht="38.25" customHeight="1">
      <x:c r="A21" s="323" t="n">
        <x:v>20</x:v>
      </x:c>
      <x:c r="B21" s="323" t="inlineStr">
        <x:is>
          <x:t xml:space="preserve">HBP</x:t>
        </x:is>
      </x:c>
      <x:c r="C21" s="324" t="inlineStr">
        <x:is>
          <x:t xml:space="preserve">N/A</x:t>
        </x:is>
      </x:c>
      <x:c r="D21" s="324" t="inlineStr">
        <x:is>
          <x:t xml:space="preserve">Oil and Gas Lease</x:t>
        </x:is>
      </x:c>
      <x:c r="E21" s="324" t="inlineStr">
        <x:is>
          <x:t xml:space="preserve">1764/128</x:t>
        </x:is>
      </x:c>
      <x:c r="F21" s="325" t="n">
        <x:v>38251</x:v>
      </x:c>
      <x:c r="G21" s="325" t="n">
        <x:v>38272</x:v>
      </x:c>
      <x:c r="H21" s="324" t="inlineStr">
        <x:is>
          <x:t xml:space="preserve">Travis L. Smith</x:t>
        </x:is>
      </x:c>
      <x:c r="I21" s="324" t="inlineStr">
        <x:is>
          <x:t xml:space="preserve">R. Michael Lortz</x:t>
        </x:is>
      </x:c>
      <x:c r="J21" s="324" t="inlineStr">
        <x:is>
          <x:t xml:space="preserve">NW/4 SE/4, S/2 SE/4, SW/4 NE/4 of 31-12N-24W</x:t>
        </x:is>
      </x:c>
      <x:c r="K21" s="324" t="inlineStr">
        <x:is>
          <x:t xml:space="preserve">160 gross acres
3 yrs
3/16ths royalty</x:t>
        </x:is>
      </x:c>
      <x:c r="L21" s="324" t="inlineStr">
        <x:is>
          <x:t xml:space="preserve">3 years</x:t>
        </x:is>
      </x:c>
      <x:c r="M21" s="324" t="n">
        <x:v>160</x:v>
      </x:c>
      <x:c r="N21" s="324" t="inlineStr">
        <x:is>
          <x:t xml:space="preserve">2, 5</x:t>
        </x:is>
      </x:c>
      <x:c r="O21" s="325" t="n">
        <x:v>39346</x:v>
      </x:c>
      <x:c r="P21" s="326" t="n">
        <x:v>1.46551491949579</x:v>
      </x:c>
      <x:c r="Q21" s="611" t="n">
        <x:v>0.1875</x:v>
      </x:c>
      <x:c r="R21" s="324" t="inlineStr">
        <x:is>
          <x:t xml:space="preserve">No</x:t>
        </x:is>
      </x:c>
      <x:c r="S21" s="324" t="inlineStr">
        <x:is>
          <x:t xml:space="preserve">No</x:t>
        </x:is>
      </x:c>
      <x:c r="T21" s="324" t="inlineStr">
        <x:is>
          <x:t xml:space="preserve">No</x:t>
        </x:is>
      </x:c>
      <x:c r="U21" s="324" t="inlineStr">
        <x:is>
          <x:t xml:space="preserve">No</x:t>
        </x:is>
      </x:c>
      <x:c r="V21" s="324" t="inlineStr">
        <x:is>
          <x:t xml:space="preserve">No</x:t>
        </x:is>
      </x:c>
      <x:c r="W21" s="324" t="inlineStr">
        <x:is>
          <x:t xml:space="preserve">No</x:t>
        </x:is>
      </x:c>
      <x:c r="X21" s="324" t="inlineStr">
        <x:is>
          <x:t xml:space="preserve">No</x:t>
        </x:is>
      </x:c>
      <x:c r="Y21" s="324" t="inlineStr">
        <x:is>
          <x:t xml:space="preserve">No</x:t>
        </x:is>
      </x:c>
    </x:row>
    <x:row r="22" s="569" customFormat="1" ht="38.25" customHeight="1">
      <x:c r="A22" s="323" t="n">
        <x:v>21</x:v>
      </x:c>
      <x:c r="B22" s="323" t="inlineStr">
        <x:is>
          <x:t xml:space="preserve">HBP</x:t>
        </x:is>
      </x:c>
      <x:c r="C22" s="324" t="inlineStr">
        <x:is>
          <x:t xml:space="preserve">N/A</x:t>
        </x:is>
      </x:c>
      <x:c r="D22" s="324" t="inlineStr">
        <x:is>
          <x:t xml:space="preserve">Oil and Gas Lease</x:t>
        </x:is>
      </x:c>
      <x:c r="E22" s="324" t="inlineStr">
        <x:is>
          <x:t xml:space="preserve">1785/274</x:t>
        </x:is>
      </x:c>
      <x:c r="F22" s="325" t="n">
        <x:v>38419</x:v>
      </x:c>
      <x:c r="G22" s="325" t="n">
        <x:v>38457</x:v>
      </x:c>
      <x:c r="H22" s="324" t="inlineStr">
        <x:is>
          <x:t xml:space="preserve">Joe Devenas, Jr.</x:t>
        </x:is>
      </x:c>
      <x:c r="I22" s="324" t="inlineStr">
        <x:is>
          <x:t xml:space="preserve">EOG Resources, Inc.</x:t>
        </x:is>
      </x:c>
      <x:c r="J22" s="324" t="inlineStr">
        <x:is>
          <x:t xml:space="preserve">SE/4 SW/4 of 31-12N-24W</x:t>
        </x:is>
      </x:c>
      <x:c r="K22" s="324" t="inlineStr">
        <x:is>
          <x:t xml:space="preserve">40 gross acres
3 yrs
3/16ths royalty</x:t>
        </x:is>
      </x:c>
      <x:c r="L22" s="324" t="inlineStr">
        <x:is>
          <x:t xml:space="preserve">3 years</x:t>
        </x:is>
      </x:c>
      <x:c r="M22" s="324" t="n">
        <x:v>40</x:v>
      </x:c>
      <x:c r="N22" s="324" t="n">
        <x:v>5</x:v>
      </x:c>
      <x:c r="O22" s="325" t="n">
        <x:v>39515</x:v>
      </x:c>
      <x:c r="P22" s="326" t="n">
        <x:v>6.379999999999974</x:v>
      </x:c>
      <x:c r="Q22" s="611" t="n">
        <x:v>0.1875</x:v>
      </x:c>
      <x:c r="R22" s="324" t="inlineStr">
        <x:is>
          <x:t xml:space="preserve">No</x:t>
        </x:is>
      </x:c>
      <x:c r="S22" s="324" t="inlineStr">
        <x:is>
          <x:t xml:space="preserve">No</x:t>
        </x:is>
      </x:c>
      <x:c r="T22" s="324" t="inlineStr">
        <x:is>
          <x:t xml:space="preserve">No</x:t>
        </x:is>
      </x:c>
      <x:c r="U22" s="324" t="inlineStr">
        <x:is>
          <x:t xml:space="preserve">No</x:t>
        </x:is>
      </x:c>
      <x:c r="V22" s="324" t="inlineStr">
        <x:is>
          <x:t xml:space="preserve">No</x:t>
        </x:is>
      </x:c>
      <x:c r="W22" s="324" t="inlineStr">
        <x:is>
          <x:t xml:space="preserve">No</x:t>
        </x:is>
      </x:c>
      <x:c r="X22" s="324" t="inlineStr">
        <x:is>
          <x:t xml:space="preserve">No</x:t>
        </x:is>
      </x:c>
      <x:c r="Y22" s="324" t="inlineStr">
        <x:is>
          <x:t xml:space="preserve">No</x:t>
        </x:is>
      </x:c>
    </x:row>
    <x:row r="23" s="569" customFormat="1" ht="38.25" customHeight="1">
      <x:c r="A23" s="323" t="n">
        <x:v>22</x:v>
      </x:c>
      <x:c r="B23" s="323" t="inlineStr">
        <x:is>
          <x:t xml:space="preserve">HBP</x:t>
        </x:is>
      </x:c>
      <x:c r="C23" s="324" t="inlineStr">
        <x:is>
          <x:t xml:space="preserve">N/A</x:t>
        </x:is>
      </x:c>
      <x:c r="D23" s="324" t="inlineStr">
        <x:is>
          <x:t xml:space="preserve">Oil and Gas Lease</x:t>
        </x:is>
      </x:c>
      <x:c r="E23" s="324" t="inlineStr">
        <x:is>
          <x:t xml:space="preserve">1785/278</x:t>
        </x:is>
      </x:c>
      <x:c r="F23" s="325" t="n">
        <x:v>38419</x:v>
      </x:c>
      <x:c r="G23" s="325" t="n">
        <x:v>38457</x:v>
      </x:c>
      <x:c r="H23" s="324" t="inlineStr">
        <x:is>
          <x:t xml:space="preserve">Joseph Devenas</x:t>
        </x:is>
      </x:c>
      <x:c r="I23" s="324" t="inlineStr">
        <x:is>
          <x:t xml:space="preserve">EOG Resources, Inc.</x:t>
        </x:is>
      </x:c>
      <x:c r="J23" s="324" t="inlineStr">
        <x:is>
          <x:t xml:space="preserve">SE/4 SW/4 of 31-12N-24W</x:t>
        </x:is>
      </x:c>
      <x:c r="K23" s="324" t="inlineStr">
        <x:is>
          <x:t xml:space="preserve">40 gross acres
3 yrs
3/16ths royalty</x:t>
        </x:is>
      </x:c>
      <x:c r="L23" s="324" t="inlineStr">
        <x:is>
          <x:t xml:space="preserve">3 years</x:t>
        </x:is>
      </x:c>
      <x:c r="M23" s="324" t="n">
        <x:v>40</x:v>
      </x:c>
      <x:c r="N23" s="324" t="n">
        <x:v>5</x:v>
      </x:c>
      <x:c r="O23" s="325" t="n">
        <x:v>39515</x:v>
      </x:c>
      <x:c r="P23" s="326" t="n">
        <x:v>5.582499999999988</x:v>
      </x:c>
      <x:c r="Q23" s="611" t="n">
        <x:v>0.1875</x:v>
      </x:c>
      <x:c r="R23" s="324" t="inlineStr">
        <x:is>
          <x:t xml:space="preserve">No</x:t>
        </x:is>
      </x:c>
      <x:c r="S23" s="324" t="inlineStr">
        <x:is>
          <x:t xml:space="preserve">No</x:t>
        </x:is>
      </x:c>
      <x:c r="T23" s="324" t="inlineStr">
        <x:is>
          <x:t xml:space="preserve">No</x:t>
        </x:is>
      </x:c>
      <x:c r="U23" s="324" t="inlineStr">
        <x:is>
          <x:t xml:space="preserve">No</x:t>
        </x:is>
      </x:c>
      <x:c r="V23" s="324" t="inlineStr">
        <x:is>
          <x:t xml:space="preserve">No</x:t>
        </x:is>
      </x:c>
      <x:c r="W23" s="324" t="inlineStr">
        <x:is>
          <x:t xml:space="preserve">No</x:t>
        </x:is>
      </x:c>
      <x:c r="X23" s="324" t="inlineStr">
        <x:is>
          <x:t xml:space="preserve">No</x:t>
        </x:is>
      </x:c>
      <x:c r="Y23" s="323" t="inlineStr">
        <x:is>
          <x:t xml:space="preserve">No</x:t>
        </x:is>
      </x:c>
    </x:row>
    <x:row r="24" s="569" customFormat="1" ht="38.25" customHeight="1">
      <x:c r="A24" s="323" t="n">
        <x:v>23</x:v>
      </x:c>
      <x:c r="B24" s="323" t="inlineStr">
        <x:is>
          <x:t xml:space="preserve">HBP</x:t>
        </x:is>
      </x:c>
      <x:c r="C24" s="324" t="inlineStr">
        <x:is>
          <x:t xml:space="preserve">N/A</x:t>
        </x:is>
      </x:c>
      <x:c r="D24" s="324" t="inlineStr">
        <x:is>
          <x:t xml:space="preserve">Oil and Gas Lease</x:t>
        </x:is>
      </x:c>
      <x:c r="E24" s="324" t="inlineStr">
        <x:is>
          <x:t xml:space="preserve">1785/276</x:t>
        </x:is>
      </x:c>
      <x:c r="F24" s="325" t="n">
        <x:v>38420</x:v>
      </x:c>
      <x:c r="G24" s="325" t="n">
        <x:v>38457</x:v>
      </x:c>
      <x:c r="H24" s="324" t="inlineStr">
        <x:is>
          <x:t xml:space="preserve">Eleanore Wheeler</x:t>
        </x:is>
      </x:c>
      <x:c r="I24" s="324" t="inlineStr">
        <x:is>
          <x:t xml:space="preserve">EOG Resources, Inc.</x:t>
        </x:is>
      </x:c>
      <x:c r="J24" s="324" t="inlineStr">
        <x:is>
          <x:t xml:space="preserve">Lot 4, S/2 of Lot 3, S/2 NE/4 SW/4, SE/4 SW/4 of 31-12N-24W</x:t>
        </x:is>
      </x:c>
      <x:c r="K24" s="324" t="inlineStr">
        <x:is>
          <x:t xml:space="preserve">115.34 gross acres
3/16ths royalty
3 yrs</x:t>
        </x:is>
      </x:c>
      <x:c r="L24" s="324" t="inlineStr">
        <x:is>
          <x:t xml:space="preserve">3 years</x:t>
        </x:is>
      </x:c>
      <x:c r="M24" s="324" t="n">
        <x:v>115.34</x:v>
      </x:c>
      <x:c r="N24" s="324" t="inlineStr">
        <x:is>
          <x:t xml:space="preserve">2, 3, 5, 6, 7</x:t>
        </x:is>
      </x:c>
      <x:c r="O24" s="325" t="n">
        <x:v>39516</x:v>
      </x:c>
      <x:c r="P24" s="324" t="n">
        <x:v>18.835</x:v>
      </x:c>
      <x:c r="Q24" s="611" t="n">
        <x:v>0.1875</x:v>
      </x:c>
      <x:c r="R24" s="324" t="inlineStr">
        <x:is>
          <x:t xml:space="preserve">No</x:t>
        </x:is>
      </x:c>
      <x:c r="S24" s="324" t="inlineStr">
        <x:is>
          <x:t xml:space="preserve">No</x:t>
        </x:is>
      </x:c>
      <x:c r="T24" s="324" t="inlineStr">
        <x:is>
          <x:t xml:space="preserve">No</x:t>
        </x:is>
      </x:c>
      <x:c r="U24" s="324" t="inlineStr">
        <x:is>
          <x:t xml:space="preserve">No</x:t>
        </x:is>
      </x:c>
      <x:c r="V24" s="324" t="inlineStr">
        <x:is>
          <x:t xml:space="preserve">No</x:t>
        </x:is>
      </x:c>
      <x:c r="W24" s="324" t="inlineStr">
        <x:is>
          <x:t xml:space="preserve">No</x:t>
        </x:is>
      </x:c>
      <x:c r="X24" s="324" t="inlineStr">
        <x:is>
          <x:t xml:space="preserve">No</x:t>
        </x:is>
      </x:c>
      <x:c r="Y24" s="323" t="inlineStr">
        <x:is>
          <x:t xml:space="preserve">No</x:t>
        </x:is>
      </x:c>
    </x:row>
    <x:row r="25" s="569" customFormat="1" ht="51" customHeight="1">
      <x:c r="A25" s="323" t="n">
        <x:v>24</x:v>
      </x:c>
      <x:c r="B25" s="323" t="inlineStr">
        <x:is>
          <x:t xml:space="preserve">HBP</x:t>
        </x:is>
      </x:c>
      <x:c r="C25" s="324" t="inlineStr">
        <x:is>
          <x:t xml:space="preserve">N/A</x:t>
        </x:is>
      </x:c>
      <x:c r="D25" s="324" t="inlineStr">
        <x:is>
          <x:t xml:space="preserve">Oil and Gas Lease</x:t>
        </x:is>
      </x:c>
      <x:c r="E25" s="324" t="inlineStr">
        <x:is>
          <x:t xml:space="preserve">1787/47</x:t>
        </x:is>
      </x:c>
      <x:c r="F25" s="325" t="n">
        <x:v>38436</x:v>
      </x:c>
      <x:c r="G25" s="325" t="n">
        <x:v>38464</x:v>
      </x:c>
      <x:c r="H25" s="324" t="inlineStr">
        <x:is>
          <x:t xml:space="preserve">Marchelle Sorenson Daigle, Michelle Sorenson Johnson, Trustee of The Sorenson Oil &amp; Gas Trust</x:t>
        </x:is>
      </x:c>
      <x:c r="I25" s="324" t="inlineStr">
        <x:is>
          <x:t xml:space="preserve">N/g Discovery, LLC</x:t>
        </x:is>
      </x:c>
      <x:c r="J25" s="324" t="inlineStr">
        <x:is>
          <x:t xml:space="preserve">E/2 NW/4, N/2 NE/4 SW/4, NE/4 SE/4, SE/4 NE/4 of 31-12N-24W</x:t>
        </x:is>
      </x:c>
      <x:c r="K25" s="324" t="inlineStr">
        <x:is>
          <x:t xml:space="preserve">180 gross acres
3 yrs
3/16ths royalty</x:t>
        </x:is>
      </x:c>
      <x:c r="L25" s="324" t="inlineStr">
        <x:is>
          <x:t xml:space="preserve">3 years</x:t>
        </x:is>
      </x:c>
      <x:c r="M25" s="324" t="n">
        <x:v>180</x:v>
      </x:c>
      <x:c r="N25" s="324" t="inlineStr">
        <x:is>
          <x:t xml:space="preserve">1, 3, 4, 7, 8</x:t>
        </x:is>
      </x:c>
      <x:c r="O25" s="325" t="n">
        <x:v>39532</x:v>
      </x:c>
      <x:c r="P25" s="324" t="n">
        <x:v>68.79230800000001</x:v>
      </x:c>
      <x:c r="Q25" s="611" t="n">
        <x:v>0.1875</x:v>
      </x:c>
      <x:c r="R25" s="324" t="inlineStr">
        <x:is>
          <x:t xml:space="preserve">No</x:t>
        </x:is>
      </x:c>
      <x:c r="S25" s="324" t="inlineStr">
        <x:is>
          <x:t xml:space="preserve">No</x:t>
        </x:is>
      </x:c>
      <x:c r="T25" s="324" t="inlineStr">
        <x:is>
          <x:t xml:space="preserve">No</x:t>
        </x:is>
      </x:c>
      <x:c r="U25" s="324" t="inlineStr">
        <x:is>
          <x:t xml:space="preserve">No</x:t>
        </x:is>
      </x:c>
      <x:c r="V25" s="324" t="inlineStr">
        <x:is>
          <x:t xml:space="preserve">No</x:t>
        </x:is>
      </x:c>
      <x:c r="W25" s="324" t="inlineStr">
        <x:is>
          <x:t xml:space="preserve">No</x:t>
        </x:is>
      </x:c>
      <x:c r="X25" s="324" t="inlineStr">
        <x:is>
          <x:t xml:space="preserve">No</x:t>
        </x:is>
      </x:c>
      <x:c r="Y25" s="323" t="inlineStr">
        <x:is>
          <x:t xml:space="preserve">No</x:t>
        </x:is>
      </x:c>
    </x:row>
    <x:row r="26" s="569" customFormat="1" ht="140.25" customHeight="1">
      <x:c r="A26" s="323" t="n">
        <x:v>25</x:v>
      </x:c>
      <x:c r="B26" s="323" t="inlineStr">
        <x:is>
          <x:t xml:space="preserve">HBP</x:t>
        </x:is>
      </x:c>
      <x:c r="C26" s="324" t="inlineStr">
        <x:is>
          <x:t xml:space="preserve">N/A</x:t>
        </x:is>
      </x:c>
      <x:c r="D26" s="324" t="inlineStr">
        <x:is>
          <x:t xml:space="preserve">Oil and Gas Lease</x:t>
        </x:is>
      </x:c>
      <x:c r="E26" s="324" t="inlineStr">
        <x:is>
          <x:t xml:space="preserve">1786/335</x:t>
        </x:is>
      </x:c>
      <x:c r="F26" s="325" t="n">
        <x:v>38447</x:v>
      </x:c>
      <x:c r="G26" s="325" t="n">
        <x:v>38462</x:v>
      </x:c>
      <x:c r="H26" s="324" t="inlineStr">
        <x:is>
          <x:t xml:space="preserve">Linda Klopfenstein, Roger Klopfenstein</x:t>
        </x:is>
      </x:c>
      <x:c r="I26" s="324" t="inlineStr">
        <x:is>
          <x:t xml:space="preserve">Chesapeake Explor, Ltd. Ptnrshp</x:t>
        </x:is>
      </x:c>
      <x:c r="J26" s="324" t="inlineStr">
        <x:is>
          <x:t xml:space="preserve">S/2 NE/4 SW/4, SE/4 SW/4 of 31-12N-24W</x:t>
        </x:is>
      </x:c>
      <x:c r="K26" s="324" t="inlineStr">
        <x:is>
          <x:t xml:space="preserve">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 Full recital in recorded instrument — see Link.</x:t>
        </x:is>
      </x:c>
      <x:c r="L26" s="324" t="inlineStr">
        <x:is>
          <x:t xml:space="preserve">3 years</x:t>
        </x:is>
      </x:c>
      <x:c r="M26" s="324" t="n">
        <x:v>115.335</x:v>
      </x:c>
      <x:c r="N26" s="324" t="inlineStr">
        <x:is>
          <x:t xml:space="preserve">2, 3, 5, 7</x:t>
        </x:is>
      </x:c>
      <x:c r="O26" s="325" t="n">
        <x:v>39543</x:v>
      </x:c>
      <x:c r="P26" s="324" t="n">
        <x:v>18.835</x:v>
      </x:c>
      <x:c r="Q26" s="611" t="n">
        <x:v>0.1875</x:v>
      </x:c>
      <x:c r="R26" s="324" t="inlineStr">
        <x:is>
          <x:t xml:space="preserve">Yes</x:t>
        </x:is>
      </x:c>
      <x:c r="S26" s="324" t="inlineStr">
        <x:is>
          <x:t xml:space="preserve">No</x:t>
        </x:is>
      </x:c>
      <x:c r="T26" s="324" t="inlineStr">
        <x:is>
          <x:t xml:space="preserve">No</x:t>
        </x:is>
      </x:c>
      <x:c r="U26" s="324" t="inlineStr">
        <x:is>
          <x:t xml:space="preserve">No</x:t>
        </x:is>
      </x:c>
      <x:c r="V26" s="324" t="inlineStr">
        <x:is>
          <x:t xml:space="preserve">Yes</x:t>
        </x:is>
      </x:c>
      <x:c r="W26" s="324" t="inlineStr">
        <x:is>
          <x:t xml:space="preserve">No</x:t>
        </x:is>
      </x:c>
      <x:c r="X26" s="324" t="inlineStr">
        <x:is>
          <x:t xml:space="preserve">No</x:t>
        </x:is>
      </x:c>
      <x:c r="Y26" s="323" t="inlineStr">
        <x:is>
          <x:t xml:space="preserve">No</x:t>
        </x:is>
      </x:c>
    </x:row>
    <x:row r="27" s="569" customFormat="1" ht="38.25" customHeight="1">
      <x:c r="A27" s="323" t="n">
        <x:v>26</x:v>
      </x:c>
      <x:c r="B27" s="323" t="inlineStr">
        <x:is>
          <x:t xml:space="preserve">HBP</x:t>
        </x:is>
      </x:c>
      <x:c r="C27" s="324" t="inlineStr">
        <x:is>
          <x:t xml:space="preserve">N/A</x:t>
        </x:is>
      </x:c>
      <x:c r="D27" s="324" t="inlineStr">
        <x:is>
          <x:t xml:space="preserve">Oil and Gas Lease</x:t>
        </x:is>
      </x:c>
      <x:c r="E27" s="324" t="inlineStr">
        <x:is>
          <x:t xml:space="preserve">1798/148</x:t>
        </x:is>
      </x:c>
      <x:c r="F27" s="325" t="n">
        <x:v>38468</x:v>
      </x:c>
      <x:c r="G27" s="325" t="n">
        <x:v>38551</x:v>
      </x:c>
      <x:c r="H27" s="324" t="inlineStr">
        <x:is>
          <x:t xml:space="preserve">Dwight J. Williams</x:t>
        </x:is>
      </x:c>
      <x:c r="I27" s="324" t="inlineStr">
        <x:is>
          <x:t xml:space="preserve">Chesapeake Explor Ltd. Ptnrshp</x:t>
        </x:is>
      </x:c>
      <x:c r="J27" s="324" t="inlineStr">
        <x:is>
          <x:t xml:space="preserve">NW/4 SE/4, S/2 SE/4, SW/4 NE/4 of 31-12N-24W</x:t>
        </x:is>
      </x:c>
      <x:c r="K27" s="324" t="inlineStr">
        <x:is>
          <x:t xml:space="preserve">160 gross acres
3 yrs
3/16ths royalty</x:t>
        </x:is>
      </x:c>
      <x:c r="L27" s="324" t="inlineStr">
        <x:is>
          <x:t xml:space="preserve">3 years</x:t>
        </x:is>
      </x:c>
      <x:c r="M27" s="324" t="n">
        <x:v>160</x:v>
      </x:c>
      <x:c r="N27" s="324" t="n">
        <x:v>2</x:v>
      </x:c>
      <x:c r="O27" s="325" t="n">
        <x:v>39564</x:v>
      </x:c>
      <x:c r="P27" s="326" t="n">
        <x:v>0.2887935469081943</x:v>
      </x:c>
      <x:c r="Q27" s="611" t="n">
        <x:v>0.1875</x:v>
      </x:c>
      <x:c r="R27" s="324" t="inlineStr">
        <x:is>
          <x:t xml:space="preserve">No</x:t>
        </x:is>
      </x:c>
      <x:c r="S27" s="324" t="inlineStr">
        <x:is>
          <x:t xml:space="preserve">No</x:t>
        </x:is>
      </x:c>
      <x:c r="T27" s="324" t="inlineStr">
        <x:is>
          <x:t xml:space="preserve">No</x:t>
        </x:is>
      </x:c>
      <x:c r="U27" s="324" t="inlineStr">
        <x:is>
          <x:t xml:space="preserve">No</x:t>
        </x:is>
      </x:c>
      <x:c r="V27" s="324" t="inlineStr">
        <x:is>
          <x:t xml:space="preserve">No</x:t>
        </x:is>
      </x:c>
      <x:c r="W27" s="324" t="inlineStr">
        <x:is>
          <x:t xml:space="preserve">No</x:t>
        </x:is>
      </x:c>
      <x:c r="X27" s="324" t="inlineStr">
        <x:is>
          <x:t xml:space="preserve">No</x:t>
        </x:is>
      </x:c>
      <x:c r="Y27" s="323" t="inlineStr">
        <x:is>
          <x:t xml:space="preserve">No</x:t>
        </x:is>
      </x:c>
    </x:row>
    <x:row r="28" s="569" customFormat="1" ht="38.25" customHeight="1">
      <x:c r="A28" s="323" t="n">
        <x:v>27</x:v>
      </x:c>
      <x:c r="B28" s="323" t="inlineStr">
        <x:is>
          <x:t xml:space="preserve">HBP</x:t>
        </x:is>
      </x:c>
      <x:c r="C28" s="324" t="inlineStr">
        <x:is>
          <x:t xml:space="preserve">N/A</x:t>
        </x:is>
      </x:c>
      <x:c r="D28" s="324" t="inlineStr">
        <x:is>
          <x:t xml:space="preserve">Oil and Gas Lease</x:t>
        </x:is>
      </x:c>
      <x:c r="E28" s="324" t="inlineStr">
        <x:is>
          <x:t xml:space="preserve">1798/150</x:t>
        </x:is>
      </x:c>
      <x:c r="F28" s="325" t="n">
        <x:v>38468</x:v>
      </x:c>
      <x:c r="G28" s="325" t="n">
        <x:v>38551</x:v>
      </x:c>
      <x:c r="H28" s="324" t="inlineStr">
        <x:is>
          <x:t xml:space="preserve">Stephen M. Criser, Trustee of The McCaul Rive Lind Trust</x:t>
        </x:is>
      </x:c>
      <x:c r="I28" s="324" t="inlineStr">
        <x:is>
          <x:t xml:space="preserve">Chesapeake Explor Ltd. Ptnrshp</x:t>
        </x:is>
      </x:c>
      <x:c r="J28" s="324" t="inlineStr">
        <x:is>
          <x:t xml:space="preserve">NW/4 SE/4, SW/4 NE/4 of 31-12N-24W aol</x:t>
        </x:is>
      </x:c>
      <x:c r="K28" s="324" t="inlineStr">
        <x:is>
          <x:t xml:space="preserve">160 gross acres
3 yrs
3/16ths royalty</x:t>
        </x:is>
      </x:c>
      <x:c r="L28" s="324" t="inlineStr">
        <x:is>
          <x:t xml:space="preserve">3 years</x:t>
        </x:is>
      </x:c>
      <x:c r="M28" s="324" t="n">
        <x:v>160</x:v>
      </x:c>
      <x:c r="N28" s="324" t="n">
        <x:v>2</x:v>
      </x:c>
      <x:c r="O28" s="325" t="n">
        <x:v>39564</x:v>
      </x:c>
      <x:c r="P28" s="326" t="n">
        <x:v>0.1443967734540972</x:v>
      </x:c>
      <x:c r="Q28" s="611" t="n">
        <x:v>0.1875</x:v>
      </x:c>
      <x:c r="R28" s="324" t="inlineStr">
        <x:is>
          <x:t xml:space="preserve">No</x:t>
        </x:is>
      </x:c>
      <x:c r="S28" s="324" t="inlineStr">
        <x:is>
          <x:t xml:space="preserve">No</x:t>
        </x:is>
      </x:c>
      <x:c r="T28" s="324" t="inlineStr">
        <x:is>
          <x:t xml:space="preserve">No</x:t>
        </x:is>
      </x:c>
      <x:c r="U28" s="324" t="inlineStr">
        <x:is>
          <x:t xml:space="preserve">No</x:t>
        </x:is>
      </x:c>
      <x:c r="V28" s="324" t="inlineStr">
        <x:is>
          <x:t xml:space="preserve">No</x:t>
        </x:is>
      </x:c>
      <x:c r="W28" s="324" t="inlineStr">
        <x:is>
          <x:t xml:space="preserve">No</x:t>
        </x:is>
      </x:c>
      <x:c r="X28" s="324" t="inlineStr">
        <x:is>
          <x:t xml:space="preserve">No</x:t>
        </x:is>
      </x:c>
      <x:c r="Y28" s="324" t="inlineStr">
        <x:is>
          <x:t xml:space="preserve">No</x:t>
        </x:is>
      </x:c>
    </x:row>
    <x:row r="29" s="569" customFormat="1" ht="38.25" customHeight="1">
      <x:c r="A29" s="323" t="n">
        <x:v>28</x:v>
      </x:c>
      <x:c r="B29" s="323" t="inlineStr">
        <x:is>
          <x:t xml:space="preserve">HBP</x:t>
        </x:is>
      </x:c>
      <x:c r="C29" s="324" t="inlineStr">
        <x:is>
          <x:t xml:space="preserve">N/A</x:t>
        </x:is>
      </x:c>
      <x:c r="D29" s="324" t="inlineStr">
        <x:is>
          <x:t xml:space="preserve">Oil and Gas Lease</x:t>
        </x:is>
      </x:c>
      <x:c r="E29" s="324" t="inlineStr">
        <x:is>
          <x:t xml:space="preserve">1798/292</x:t>
        </x:is>
      </x:c>
      <x:c r="F29" s="325" t="n">
        <x:v>38468</x:v>
      </x:c>
      <x:c r="G29" s="325" t="n">
        <x:v>38552</x:v>
      </x:c>
      <x:c r="H29" s="324" t="inlineStr">
        <x:is>
          <x:t xml:space="preserve">Jan A. Schroff</x:t>
        </x:is>
      </x:c>
      <x:c r="I29" s="324" t="inlineStr">
        <x:is>
          <x:t xml:space="preserve">Chesapeake Explor Ltd. Ptnrsh</x:t>
        </x:is>
      </x:c>
      <x:c r="J29" s="324" t="inlineStr">
        <x:is>
          <x:t xml:space="preserve">NW/4 SE/4, S/2 SE/4, SW/4 NE/4 of 31-12N-24W</x:t>
        </x:is>
      </x:c>
      <x:c r="K29" s="324" t="inlineStr">
        <x:is>
          <x:t xml:space="preserve">160 gross acres
3 yrs
3/16ths royalty</x:t>
        </x:is>
      </x:c>
      <x:c r="L29" s="324" t="inlineStr">
        <x:is>
          <x:t xml:space="preserve">3 years</x:t>
        </x:is>
      </x:c>
      <x:c r="M29" s="324" t="n">
        <x:v>160</x:v>
      </x:c>
      <x:c r="N29" s="324" t="n">
        <x:v>2</x:v>
      </x:c>
      <x:c r="O29" s="325" t="n">
        <x:v>39564</x:v>
      </x:c>
      <x:c r="P29" s="326" t="n">
        <x:v>0.2887935469081943</x:v>
      </x:c>
      <x:c r="Q29" s="611" t="n">
        <x:v>0.1875</x:v>
      </x:c>
      <x:c r="R29" s="324" t="inlineStr">
        <x:is>
          <x:t xml:space="preserve">No</x:t>
        </x:is>
      </x:c>
      <x:c r="S29" s="324" t="inlineStr">
        <x:is>
          <x:t xml:space="preserve">No</x:t>
        </x:is>
      </x:c>
      <x:c r="T29" s="324" t="inlineStr">
        <x:is>
          <x:t xml:space="preserve">No</x:t>
        </x:is>
      </x:c>
      <x:c r="U29" s="324" t="inlineStr">
        <x:is>
          <x:t xml:space="preserve">No</x:t>
        </x:is>
      </x:c>
      <x:c r="V29" s="324" t="inlineStr">
        <x:is>
          <x:t xml:space="preserve">No</x:t>
        </x:is>
      </x:c>
      <x:c r="W29" s="324" t="inlineStr">
        <x:is>
          <x:t xml:space="preserve">No</x:t>
        </x:is>
      </x:c>
      <x:c r="X29" s="324" t="inlineStr">
        <x:is>
          <x:t xml:space="preserve">No</x:t>
        </x:is>
      </x:c>
      <x:c r="Y29" s="324" t="inlineStr">
        <x:is>
          <x:t xml:space="preserve">No</x:t>
        </x:is>
      </x:c>
    </x:row>
    <x:row r="30" s="569" customFormat="1" ht="63.75" customHeight="1">
      <x:c r="A30" s="323" t="n">
        <x:v>29</x:v>
      </x:c>
      <x:c r="B30" s="323" t="inlineStr">
        <x:is>
          <x:t xml:space="preserve">HBP</x:t>
        </x:is>
      </x:c>
      <x:c r="C30" s="324" t="inlineStr">
        <x:is>
          <x:t xml:space="preserve">N/A</x:t>
        </x:is>
      </x:c>
      <x:c r="D30" s="324" t="inlineStr">
        <x:is>
          <x:t xml:space="preserve">Oil and Gas Lease</x:t>
        </x:is>
      </x:c>
      <x:c r="E30" s="324" t="inlineStr">
        <x:is>
          <x:t xml:space="preserve">1798/573</x:t>
        </x:is>
      </x:c>
      <x:c r="F30" s="325" t="n">
        <x:v>38522</x:v>
      </x:c>
      <x:c r="G30" s="325" t="n">
        <x:v>38554</x:v>
      </x:c>
      <x:c r="H30" s="324" t="inlineStr">
        <x:is>
          <x:t xml:space="preserve">Leona I. De Grande</x:t>
        </x:is>
      </x:c>
      <x:c r="I30" s="324" t="inlineStr">
        <x:is>
          <x:t xml:space="preserve">EOG Resources, Inc.</x:t>
        </x:is>
      </x:c>
      <x:c r="J30" s="324" t="inlineStr">
        <x:is>
          <x:t xml:space="preserve">NW/4 SE/4, S/2 SE/4, SW/4 NE/4 of 31-12N-24W</x:t>
        </x:is>
      </x:c>
      <x:c r="K30" s="324" t="inlineStr">
        <x:is>
          <x:t xml:space="preserve">160 gross acres
3 yrs
3/16ths royalty
This lease is limited from the surface to the stratigraphic equivalent of 20,000 feet</x:t>
        </x:is>
      </x:c>
      <x:c r="L30" s="324" t="inlineStr">
        <x:is>
          <x:t xml:space="preserve">3 years</x:t>
        </x:is>
      </x:c>
      <x:c r="M30" s="324" t="n">
        <x:v>160</x:v>
      </x:c>
      <x:c r="N30" s="324" t="n">
        <x:v>2</x:v>
      </x:c>
      <x:c r="O30" s="325" t="n">
        <x:v>39618</x:v>
      </x:c>
      <x:c r="P30" s="326" t="n">
        <x:v>2.92552</x:v>
      </x:c>
      <x:c r="Q30" s="611" t="n">
        <x:v>0.1875</x:v>
      </x:c>
      <x:c r="R30" s="324" t="inlineStr">
        <x:is>
          <x:t xml:space="preserve">No</x:t>
        </x:is>
      </x:c>
      <x:c r="S30" s="324" t="inlineStr">
        <x:is>
          <x:t xml:space="preserve">No</x:t>
        </x:is>
      </x:c>
      <x:c r="T30" s="324" t="inlineStr">
        <x:is>
          <x:t xml:space="preserve">No</x:t>
        </x:is>
      </x:c>
      <x:c r="U30" s="324" t="inlineStr">
        <x:is>
          <x:t xml:space="preserve">No</x:t>
        </x:is>
      </x:c>
      <x:c r="V30" s="324" t="inlineStr">
        <x:is>
          <x:t xml:space="preserve">Yes</x:t>
        </x:is>
      </x:c>
      <x:c r="W30" s="324" t="inlineStr">
        <x:is>
          <x:t xml:space="preserve">No</x:t>
        </x:is>
      </x:c>
      <x:c r="X30" s="324" t="inlineStr">
        <x:is>
          <x:t xml:space="preserve">No</x:t>
        </x:is>
      </x:c>
      <x:c r="Y30" s="324" t="inlineStr">
        <x:is>
          <x:t xml:space="preserve">No</x:t>
        </x:is>
      </x:c>
    </x:row>
    <x:row r="31" s="569" customFormat="1" ht="63.75" customHeight="1">
      <x:c r="A31" s="323" t="n">
        <x:v>30</x:v>
      </x:c>
      <x:c r="B31" s="323" t="inlineStr">
        <x:is>
          <x:t xml:space="preserve">HBP</x:t>
        </x:is>
      </x:c>
      <x:c r="C31" s="324" t="inlineStr">
        <x:is>
          <x:t xml:space="preserve">N/A</x:t>
        </x:is>
      </x:c>
      <x:c r="D31" s="324" t="inlineStr">
        <x:is>
          <x:t xml:space="preserve">Oil and Gas Lease</x:t>
        </x:is>
      </x:c>
      <x:c r="E31" s="324" t="inlineStr">
        <x:is>
          <x:t xml:space="preserve">1798/576</x:t>
        </x:is>
      </x:c>
      <x:c r="F31" s="325" t="n">
        <x:v>38522</x:v>
      </x:c>
      <x:c r="G31" s="325" t="n">
        <x:v>38554</x:v>
      </x:c>
      <x:c r="H31" s="324" t="inlineStr">
        <x:is>
          <x:t xml:space="preserve">Donald R. Bain</x:t>
        </x:is>
      </x:c>
      <x:c r="I31" s="324" t="inlineStr">
        <x:is>
          <x:t xml:space="preserve">EOG Resources, Inc.</x:t>
        </x:is>
      </x:c>
      <x:c r="J31" s="324" t="inlineStr">
        <x:is>
          <x:t xml:space="preserve">NW/4 SE/4, S/2 SE/4, SW/4 NE/4 of 31-12N-24W</x:t>
        </x:is>
      </x:c>
      <x:c r="K31" s="324" t="inlineStr">
        <x:is>
          <x:t xml:space="preserve">160 gross acres
3 yrs
3/16ths royalty
This lease is limited from the surface to the stratigraphic equivalent of 20,000 feet</x:t>
        </x:is>
      </x:c>
      <x:c r="L31" s="324" t="inlineStr">
        <x:is>
          <x:t xml:space="preserve">3 years</x:t>
        </x:is>
      </x:c>
      <x:c r="M31" s="324" t="n">
        <x:v>160</x:v>
      </x:c>
      <x:c r="N31" s="324" t="n">
        <x:v>2</x:v>
      </x:c>
      <x:c r="O31" s="325" t="n">
        <x:v>39618</x:v>
      </x:c>
      <x:c r="P31" s="326" t="n">
        <x:v>2.92552</x:v>
      </x:c>
      <x:c r="Q31" s="611" t="n">
        <x:v>0.1875</x:v>
      </x:c>
      <x:c r="R31" s="324" t="inlineStr">
        <x:is>
          <x:t xml:space="preserve">No</x:t>
        </x:is>
      </x:c>
      <x:c r="S31" s="324" t="inlineStr">
        <x:is>
          <x:t xml:space="preserve">No</x:t>
        </x:is>
      </x:c>
      <x:c r="T31" s="324" t="inlineStr">
        <x:is>
          <x:t xml:space="preserve">No</x:t>
        </x:is>
      </x:c>
      <x:c r="U31" s="324" t="inlineStr">
        <x:is>
          <x:t xml:space="preserve">No</x:t>
        </x:is>
      </x:c>
      <x:c r="V31" s="324" t="inlineStr">
        <x:is>
          <x:t xml:space="preserve">Yes</x:t>
        </x:is>
      </x:c>
      <x:c r="W31" s="324" t="inlineStr">
        <x:is>
          <x:t xml:space="preserve">No</x:t>
        </x:is>
      </x:c>
      <x:c r="X31" s="324" t="inlineStr">
        <x:is>
          <x:t xml:space="preserve">No</x:t>
        </x:is>
      </x:c>
      <x:c r="Y31" s="324" t="inlineStr">
        <x:is>
          <x:t xml:space="preserve">No</x:t>
        </x:is>
      </x:c>
    </x:row>
    <x:row r="32" s="569" customFormat="1" ht="63.75" customHeight="1">
      <x:c r="A32" s="323" t="n">
        <x:v>31</x:v>
      </x:c>
      <x:c r="B32" s="323" t="inlineStr">
        <x:is>
          <x:t xml:space="preserve">HBP</x:t>
        </x:is>
      </x:c>
      <x:c r="C32" s="324" t="inlineStr">
        <x:is>
          <x:t xml:space="preserve">N/A</x:t>
        </x:is>
      </x:c>
      <x:c r="D32" s="324" t="inlineStr">
        <x:is>
          <x:t xml:space="preserve">Oil and Gas Lease</x:t>
        </x:is>
      </x:c>
      <x:c r="E32" s="324" t="inlineStr">
        <x:is>
          <x:t xml:space="preserve">1798/579</x:t>
        </x:is>
      </x:c>
      <x:c r="F32" s="325" t="n">
        <x:v>38522</x:v>
      </x:c>
      <x:c r="G32" s="325" t="n">
        <x:v>38554</x:v>
      </x:c>
      <x:c r="H32" s="324" t="inlineStr">
        <x:is>
          <x:t xml:space="preserve">Charlotte F. Willert</x:t>
        </x:is>
      </x:c>
      <x:c r="I32" s="324" t="inlineStr">
        <x:is>
          <x:t xml:space="preserve">EOG Resources, Inc.</x:t>
        </x:is>
      </x:c>
      <x:c r="J32" s="324" t="inlineStr">
        <x:is>
          <x:t xml:space="preserve">NW/4 SE/4, S/2 SE/4, SW/4 NE/4 of 31-12N-24W</x:t>
        </x:is>
      </x:c>
      <x:c r="K32" s="324" t="inlineStr">
        <x:is>
          <x:t xml:space="preserve">160 gross acres
3 yrs
3/16ths royalty
This lease is limited from the surface to the stratigraphic equivalent of 20,000 feet</x:t>
        </x:is>
      </x:c>
      <x:c r="L32" s="324" t="inlineStr">
        <x:is>
          <x:t xml:space="preserve">3 years</x:t>
        </x:is>
      </x:c>
      <x:c r="M32" s="324" t="n">
        <x:v>160</x:v>
      </x:c>
      <x:c r="N32" s="324" t="n">
        <x:v>2</x:v>
      </x:c>
      <x:c r="O32" s="325" t="n">
        <x:v>39618</x:v>
      </x:c>
      <x:c r="P32" s="326" t="n">
        <x:v>2.92552</x:v>
      </x:c>
      <x:c r="Q32" s="611" t="n">
        <x:v>0.1875</x:v>
      </x:c>
      <x:c r="R32" s="324" t="inlineStr">
        <x:is>
          <x:t xml:space="preserve">No</x:t>
        </x:is>
      </x:c>
      <x:c r="S32" s="324" t="inlineStr">
        <x:is>
          <x:t xml:space="preserve">No</x:t>
        </x:is>
      </x:c>
      <x:c r="T32" s="324" t="inlineStr">
        <x:is>
          <x:t xml:space="preserve">No</x:t>
        </x:is>
      </x:c>
      <x:c r="U32" s="324" t="inlineStr">
        <x:is>
          <x:t xml:space="preserve">No</x:t>
        </x:is>
      </x:c>
      <x:c r="V32" s="324" t="inlineStr">
        <x:is>
          <x:t xml:space="preserve">Yes</x:t>
        </x:is>
      </x:c>
      <x:c r="W32" s="324" t="inlineStr">
        <x:is>
          <x:t xml:space="preserve">No</x:t>
        </x:is>
      </x:c>
      <x:c r="X32" s="324" t="inlineStr">
        <x:is>
          <x:t xml:space="preserve">No</x:t>
        </x:is>
      </x:c>
      <x:c r="Y32" s="324" t="inlineStr">
        <x:is>
          <x:t xml:space="preserve">No</x:t>
        </x:is>
      </x:c>
    </x:row>
    <x:row r="33" s="569" customFormat="1" ht="63.75" customHeight="1">
      <x:c r="A33" s="323" t="n">
        <x:v>32</x:v>
      </x:c>
      <x:c r="B33" s="323" t="inlineStr">
        <x:is>
          <x:t xml:space="preserve">HBP</x:t>
        </x:is>
      </x:c>
      <x:c r="C33" s="324" t="inlineStr">
        <x:is>
          <x:t xml:space="preserve">N/A</x:t>
        </x:is>
      </x:c>
      <x:c r="D33" s="324" t="inlineStr">
        <x:is>
          <x:t xml:space="preserve">Oil and Gas Lease</x:t>
        </x:is>
      </x:c>
      <x:c r="E33" s="324" t="inlineStr">
        <x:is>
          <x:t xml:space="preserve">1798/582</x:t>
        </x:is>
      </x:c>
      <x:c r="F33" s="325" t="n">
        <x:v>38522</x:v>
      </x:c>
      <x:c r="G33" s="325" t="n">
        <x:v>38554</x:v>
      </x:c>
      <x:c r="H33" s="324" t="inlineStr">
        <x:is>
          <x:t xml:space="preserve">Melvin F. Bain</x:t>
        </x:is>
      </x:c>
      <x:c r="I33" s="324" t="inlineStr">
        <x:is>
          <x:t xml:space="preserve">EOG Resources, Inc.</x:t>
        </x:is>
      </x:c>
      <x:c r="J33" s="324" t="inlineStr">
        <x:is>
          <x:t xml:space="preserve">NW/4 SE/4, S/2 SE/4, SW/4 NE/4 of 31-12N-24W</x:t>
        </x:is>
      </x:c>
      <x:c r="K33" s="324" t="inlineStr">
        <x:is>
          <x:t xml:space="preserve">160 gross acres
3 yrs
3/16ths royalty
This lease is limited from the surface to the stratigraphic equivalent of 20,000 feet</x:t>
        </x:is>
      </x:c>
      <x:c r="L33" s="324" t="inlineStr">
        <x:is>
          <x:t xml:space="preserve">3 years</x:t>
        </x:is>
      </x:c>
      <x:c r="M33" s="324" t="n">
        <x:v>160</x:v>
      </x:c>
      <x:c r="N33" s="324" t="n">
        <x:v>2</x:v>
      </x:c>
      <x:c r="O33" s="325" t="n">
        <x:v>39618</x:v>
      </x:c>
      <x:c r="P33" s="326" t="n">
        <x:v>2.92552</x:v>
      </x:c>
      <x:c r="Q33" s="611" t="n">
        <x:v>0.1875</x:v>
      </x:c>
      <x:c r="R33" s="324" t="inlineStr">
        <x:is>
          <x:t xml:space="preserve">No</x:t>
        </x:is>
      </x:c>
      <x:c r="S33" s="324" t="inlineStr">
        <x:is>
          <x:t xml:space="preserve">No</x:t>
        </x:is>
      </x:c>
      <x:c r="T33" s="324" t="inlineStr">
        <x:is>
          <x:t xml:space="preserve">No</x:t>
        </x:is>
      </x:c>
      <x:c r="U33" s="324" t="inlineStr">
        <x:is>
          <x:t xml:space="preserve">No</x:t>
        </x:is>
      </x:c>
      <x:c r="V33" s="324" t="inlineStr">
        <x:is>
          <x:t xml:space="preserve">Yes</x:t>
        </x:is>
      </x:c>
      <x:c r="W33" s="324" t="inlineStr">
        <x:is>
          <x:t xml:space="preserve">No</x:t>
        </x:is>
      </x:c>
      <x:c r="X33" s="324" t="inlineStr">
        <x:is>
          <x:t xml:space="preserve">No</x:t>
        </x:is>
      </x:c>
      <x:c r="Y33" s="324" t="inlineStr">
        <x:is>
          <x:t xml:space="preserve">No</x:t>
        </x:is>
      </x:c>
    </x:row>
    <x:row r="34" s="569" customFormat="1" ht="63.75" customHeight="1">
      <x:c r="A34" s="323" t="n">
        <x:v>33</x:v>
      </x:c>
      <x:c r="B34" s="323" t="inlineStr">
        <x:is>
          <x:t xml:space="preserve">HBP</x:t>
        </x:is>
      </x:c>
      <x:c r="C34" s="324" t="inlineStr">
        <x:is>
          <x:t xml:space="preserve">N/A</x:t>
        </x:is>
      </x:c>
      <x:c r="D34" s="324" t="inlineStr">
        <x:is>
          <x:t xml:space="preserve">Oil and Gas Lease</x:t>
        </x:is>
      </x:c>
      <x:c r="E34" s="324" t="inlineStr">
        <x:is>
          <x:t xml:space="preserve">1799/30</x:t>
        </x:is>
      </x:c>
      <x:c r="F34" s="325" t="n">
        <x:v>38522</x:v>
      </x:c>
      <x:c r="G34" s="325" t="n">
        <x:v>38555</x:v>
      </x:c>
      <x:c r="H34" s="324" t="inlineStr">
        <x:is>
          <x:t xml:space="preserve">Marilyn L. Broyles</x:t>
        </x:is>
      </x:c>
      <x:c r="I34" s="324" t="inlineStr">
        <x:is>
          <x:t xml:space="preserve">EOG Resources, Inc.</x:t>
        </x:is>
      </x:c>
      <x:c r="J34" s="324" t="inlineStr">
        <x:is>
          <x:t xml:space="preserve">NW/4 SE/4, S/2 SE/4, SW/4 NE/4 of 31-12N-24W</x:t>
        </x:is>
      </x:c>
      <x:c r="K34" s="324" t="inlineStr">
        <x:is>
          <x:t xml:space="preserve">160 gross acres
3 yrs
3/16ths royalty
This lease is limited from the surface to the stratigraphic equivalent of 20,000 feet</x:t>
        </x:is>
      </x:c>
      <x:c r="L34" s="324" t="inlineStr">
        <x:is>
          <x:t xml:space="preserve">3 years</x:t>
        </x:is>
      </x:c>
      <x:c r="M34" s="324" t="n">
        <x:v>160</x:v>
      </x:c>
      <x:c r="N34" s="324" t="n">
        <x:v>2</x:v>
      </x:c>
      <x:c r="O34" s="325" t="n">
        <x:v>39618</x:v>
      </x:c>
      <x:c r="P34" s="326" t="n">
        <x:v>2.92552</x:v>
      </x:c>
      <x:c r="Q34" s="611" t="n">
        <x:v>0.1875</x:v>
      </x:c>
      <x:c r="R34" s="324" t="inlineStr">
        <x:is>
          <x:t xml:space="preserve">No</x:t>
        </x:is>
      </x:c>
      <x:c r="S34" s="324" t="inlineStr">
        <x:is>
          <x:t xml:space="preserve">No</x:t>
        </x:is>
      </x:c>
      <x:c r="T34" s="324" t="inlineStr">
        <x:is>
          <x:t xml:space="preserve">No</x:t>
        </x:is>
      </x:c>
      <x:c r="U34" s="324" t="inlineStr">
        <x:is>
          <x:t xml:space="preserve">No</x:t>
        </x:is>
      </x:c>
      <x:c r="V34" s="324" t="inlineStr">
        <x:is>
          <x:t xml:space="preserve">Yes</x:t>
        </x:is>
      </x:c>
      <x:c r="W34" s="324" t="inlineStr">
        <x:is>
          <x:t xml:space="preserve">No</x:t>
        </x:is>
      </x:c>
      <x:c r="X34" s="324" t="inlineStr">
        <x:is>
          <x:t xml:space="preserve">No</x:t>
        </x:is>
      </x:c>
      <x:c r="Y34" s="324" t="inlineStr">
        <x:is>
          <x:t xml:space="preserve">No</x:t>
        </x:is>
      </x:c>
    </x:row>
    <x:row r="35" s="569" customFormat="1" ht="38.25" customHeight="1">
      <x:c r="A35" s="323" t="n">
        <x:v>34</x:v>
      </x:c>
      <x:c r="B35" s="323" t="inlineStr">
        <x:is>
          <x:t xml:space="preserve">HBP</x:t>
        </x:is>
      </x:c>
      <x:c r="C35" s="324" t="inlineStr">
        <x:is>
          <x:t xml:space="preserve">N/A</x:t>
        </x:is>
      </x:c>
      <x:c r="D35" s="324" t="inlineStr">
        <x:is>
          <x:t xml:space="preserve">Oil and Gas Lease</x:t>
        </x:is>
      </x:c>
      <x:c r="E35" s="324" t="inlineStr">
        <x:is>
          <x:t xml:space="preserve">1792/517</x:t>
        </x:is>
      </x:c>
      <x:c r="F35" s="325" t="n">
        <x:v>38441</x:v>
      </x:c>
      <x:c r="G35" s="325" t="n">
        <x:v>38504</x:v>
      </x:c>
      <x:c r="H35" s="324" t="inlineStr">
        <x:is>
          <x:t xml:space="preserve">Martha Ann Devenas</x:t>
        </x:is>
      </x:c>
      <x:c r="I35" s="324" t="inlineStr">
        <x:is>
          <x:t xml:space="preserve">EOG Resources, Inc.</x:t>
        </x:is>
      </x:c>
      <x:c r="J35" s="324" t="inlineStr">
        <x:is>
          <x:t xml:space="preserve">SE/4 SW/4 of 31-12N-24W</x:t>
        </x:is>
      </x:c>
      <x:c r="K35" s="324" t="inlineStr">
        <x:is>
          <x:t xml:space="preserve">40 gross acres
3 yrs
3/16ths royalty</x:t>
        </x:is>
      </x:c>
      <x:c r="L35" s="312" t="inlineStr">
        <x:is>
          <x:t xml:space="preserve">3 years</x:t>
        </x:is>
      </x:c>
      <x:c r="M35" s="324" t="n">
        <x:v>40</x:v>
      </x:c>
      <x:c r="N35" s="324" t="n">
        <x:v>5</x:v>
      </x:c>
      <x:c r="O35" s="325" t="n">
        <x:v>39537</x:v>
      </x:c>
      <x:c r="P35" s="326" t="n">
        <x:v>6.38</x:v>
      </x:c>
      <x:c r="Q35" s="611" t="n">
        <x:v>0.1875</x:v>
      </x:c>
      <x:c r="R35" s="324" t="inlineStr">
        <x:is>
          <x:t xml:space="preserve">No</x:t>
        </x:is>
      </x:c>
      <x:c r="S35" s="324" t="inlineStr">
        <x:is>
          <x:t xml:space="preserve">F</x:t>
        </x:is>
      </x:c>
      <x:c r="T35" s="324" t="inlineStr">
        <x:is>
          <x:t xml:space="preserve">No</x:t>
        </x:is>
      </x:c>
      <x:c r="U35" s="324" t="inlineStr">
        <x:is>
          <x:t xml:space="preserve">No</x:t>
        </x:is>
      </x:c>
      <x:c r="V35" s="324" t="inlineStr">
        <x:is>
          <x:t xml:space="preserve">No</x:t>
        </x:is>
      </x:c>
      <x:c r="W35" s="324" t="inlineStr">
        <x:is>
          <x:t xml:space="preserve">No</x:t>
        </x:is>
      </x:c>
      <x:c r="X35" s="324" t="inlineStr">
        <x:is>
          <x:t xml:space="preserve">No</x:t>
        </x:is>
      </x:c>
      <x:c r="Y35" s="324" t="inlineStr">
        <x:is>
          <x:t xml:space="preserve">No</x:t>
        </x:is>
      </x:c>
    </x:row>
    <x:row r="36" s="569" customFormat="1" ht="25.5" customHeight="1">
      <x:c r="A36" s="323" t="n">
        <x:v>35</x:v>
      </x:c>
      <x:c r="B36" s="323" t="inlineStr">
        <x:is>
          <x:t xml:space="preserve">HBP</x:t>
        </x:is>
      </x:c>
      <x:c r="C36" s="324" t="inlineStr">
        <x:is>
          <x:t xml:space="preserve">N/A</x:t>
        </x:is>
      </x:c>
      <x:c r="D36" s="324" t="inlineStr">
        <x:is>
          <x:t xml:space="preserve">Ratification of Oil and Gas Lease</x:t>
        </x:is>
      </x:c>
      <x:c r="E36" s="324" t="inlineStr">
        <x:is>
          <x:t xml:space="preserve">1793/501</x:t>
        </x:is>
      </x:c>
      <x:c r="F36" s="325" t="n">
        <x:v>38441</x:v>
      </x:c>
      <x:c r="G36" s="325" t="n">
        <x:v>38511</x:v>
      </x:c>
      <x:c r="H36" s="324" t="inlineStr">
        <x:is>
          <x:t xml:space="preserve">Molly Devenas</x:t>
        </x:is>
      </x:c>
      <x:c r="I36" s="324" t="inlineStr">
        <x:is>
          <x:t xml:space="preserve">EOG Resources, Inc.</x:t>
        </x:is>
      </x:c>
      <x:c r="J36" s="324" t="inlineStr">
        <x:is>
          <x:t xml:space="preserve">SE/4 SW/4 of 31-12N-24W</x:t>
        </x:is>
      </x:c>
      <x:c r="K36" s="324" t="inlineStr">
        <x:is>
          <x:t xml:space="preserve">Ratification of Oil and Gas Lease at 1792/517</x:t>
        </x:is>
      </x:c>
      <x:c r="L36" s="312" t="inlineStr">
        <x:is>
          <x:t xml:space="preserve">Ratification of OGL 34</x:t>
        </x:is>
      </x:c>
      <x:c r="M36" s="324" t="n">
        <x:v>40</x:v>
      </x:c>
      <x:c r="N36" s="324" t="n">
        <x:v>5</x:v>
      </x:c>
      <x:c r="O36" s="325" t="n">
        <x:v>39537</x:v>
      </x:c>
      <x:c r="P36" s="326" t="n">
        <x:v>0</x:v>
      </x:c>
      <x:c r="Q36" s="611" t="n">
        <x:v>0.1875</x:v>
      </x:c>
      <x:c r="R36" s="324" t="inlineStr">
        <x:is>
          <x:t xml:space="preserve">No</x:t>
        </x:is>
      </x:c>
      <x:c r="S36" s="324" t="inlineStr">
        <x:is>
          <x:t xml:space="preserve">No</x:t>
        </x:is>
      </x:c>
      <x:c r="T36" s="324" t="inlineStr">
        <x:is>
          <x:t xml:space="preserve">No</x:t>
        </x:is>
      </x:c>
      <x:c r="U36" s="324" t="inlineStr">
        <x:is>
          <x:t xml:space="preserve">No</x:t>
        </x:is>
      </x:c>
      <x:c r="V36" s="324" t="inlineStr">
        <x:is>
          <x:t xml:space="preserve">No</x:t>
        </x:is>
      </x:c>
      <x:c r="W36" s="324" t="inlineStr">
        <x:is>
          <x:t xml:space="preserve">No</x:t>
        </x:is>
      </x:c>
      <x:c r="X36" s="324" t="inlineStr">
        <x:is>
          <x:t xml:space="preserve">No</x:t>
        </x:is>
      </x:c>
      <x:c r="Y36" s="324" t="inlineStr">
        <x:is>
          <x:t xml:space="preserve">No</x:t>
        </x:is>
      </x:c>
    </x:row>
    <x:row r="37" s="569" customFormat="1" ht="25.5" customHeight="1">
      <x:c r="A37" s="323" t="n">
        <x:v>36</x:v>
      </x:c>
      <x:c r="B37" s="323" t="inlineStr">
        <x:is>
          <x:t xml:space="preserve">HBP</x:t>
        </x:is>
      </x:c>
      <x:c r="C37" s="324" t="inlineStr">
        <x:is>
          <x:t xml:space="preserve">N/A</x:t>
        </x:is>
      </x:c>
      <x:c r="D37" s="324" t="inlineStr">
        <x:is>
          <x:t xml:space="preserve">Ratification</x:t>
        </x:is>
      </x:c>
      <x:c r="E37" s="324" t="inlineStr">
        <x:is>
          <x:t xml:space="preserve">1793/502</x:t>
        </x:is>
      </x:c>
      <x:c r="F37" s="325" t="n">
        <x:v>38441</x:v>
      </x:c>
      <x:c r="G37" s="325" t="n">
        <x:v>38511</x:v>
      </x:c>
      <x:c r="H37" s="324" t="inlineStr">
        <x:is>
          <x:t xml:space="preserve">Joe Deveanas</x:t>
        </x:is>
      </x:c>
      <x:c r="I37" s="324" t="inlineStr">
        <x:is>
          <x:t xml:space="preserve">EOG Resources, Inc.</x:t>
        </x:is>
      </x:c>
      <x:c r="J37" s="324" t="inlineStr">
        <x:is>
          <x:t xml:space="preserve">SE/4 SW/4 of 31-12N-24W</x:t>
        </x:is>
      </x:c>
      <x:c r="K37" s="324" t="inlineStr">
        <x:is>
          <x:t xml:space="preserve">Ratification of Oil and Gas Lease at 1792/517</x:t>
        </x:is>
      </x:c>
      <x:c r="L37" s="312" t="inlineStr">
        <x:is>
          <x:t xml:space="preserve">Ratification of OGL 34</x:t>
        </x:is>
      </x:c>
      <x:c r="M37" s="324" t="n">
        <x:v>40</x:v>
      </x:c>
      <x:c r="N37" s="324" t="n">
        <x:v>5</x:v>
      </x:c>
      <x:c r="O37" s="325" t="n">
        <x:v>39537</x:v>
      </x:c>
      <x:c r="P37" s="326" t="n">
        <x:v>0</x:v>
      </x:c>
      <x:c r="Q37" s="611" t="n">
        <x:v>0.1875</x:v>
      </x:c>
      <x:c r="R37" s="324" t="inlineStr">
        <x:is>
          <x:t xml:space="preserve">No</x:t>
        </x:is>
      </x:c>
      <x:c r="S37" s="324" t="inlineStr">
        <x:is>
          <x:t xml:space="preserve">No</x:t>
        </x:is>
      </x:c>
      <x:c r="T37" s="324" t="inlineStr">
        <x:is>
          <x:t xml:space="preserve">No</x:t>
        </x:is>
      </x:c>
      <x:c r="U37" s="324" t="inlineStr">
        <x:is>
          <x:t xml:space="preserve">No</x:t>
        </x:is>
      </x:c>
      <x:c r="V37" s="324" t="inlineStr">
        <x:is>
          <x:t xml:space="preserve">No</x:t>
        </x:is>
      </x:c>
      <x:c r="W37" s="324" t="inlineStr">
        <x:is>
          <x:t xml:space="preserve">No</x:t>
        </x:is>
      </x:c>
      <x:c r="X37" s="324" t="inlineStr">
        <x:is>
          <x:t xml:space="preserve">No</x:t>
        </x:is>
      </x:c>
      <x:c r="Y37" s="324" t="inlineStr">
        <x:is>
          <x:t xml:space="preserve">No</x:t>
        </x:is>
      </x:c>
    </x:row>
    <x:row r="38" s="569" customFormat="1" ht="76.5" customHeight="1">
      <x:c r="A38" s="323" t="n">
        <x:v>37</x:v>
      </x:c>
      <x:c r="B38" s="323" t="inlineStr">
        <x:is>
          <x:t xml:space="preserve">HBP</x:t>
        </x:is>
      </x:c>
      <x:c r="C38" s="324" t="inlineStr">
        <x:is>
          <x:t xml:space="preserve">N/A</x:t>
        </x:is>
      </x:c>
      <x:c r="D38" s="324" t="inlineStr">
        <x:is>
          <x:t xml:space="preserve">Oil and Gas Lease</x:t>
        </x:is>
      </x:c>
      <x:c r="E38" s="324" t="inlineStr">
        <x:is>
          <x:t xml:space="preserve">1797/167</x:t>
        </x:is>
      </x:c>
      <x:c r="F38" s="325" t="n">
        <x:v>38522</x:v>
      </x:c>
      <x:c r="G38" s="325" t="n">
        <x:v>38541</x:v>
      </x:c>
      <x:c r="H38" s="324" t="inlineStr">
        <x:is>
          <x:t xml:space="preserve">Peggy J. Brawner</x:t>
        </x:is>
      </x:c>
      <x:c r="I38" s="324" t="inlineStr">
        <x:is>
          <x:t xml:space="preserve">EOG Resources, Inc.</x:t>
        </x:is>
      </x:c>
      <x:c r="J38" s="324" t="inlineStr">
        <x:is>
          <x:t xml:space="preserve">NW/4 SE/4, S/2 SE/4, SW/4 NE/4 of 31-12N-24W</x:t>
        </x:is>
      </x:c>
      <x:c r="K38" s="324" t="inlineStr">
        <x:is>
          <x:t xml:space="preserve">160 gross acres
2 yrs
3/16ths royalty
This lease is limited from the surface to the stratigraphic equivalent of 20,000 feet.</x:t>
        </x:is>
      </x:c>
      <x:c r="L38" s="324" t="inlineStr">
        <x:is>
          <x:t xml:space="preserve">2 years</x:t>
        </x:is>
      </x:c>
      <x:c r="M38" s="324" t="n">
        <x:v>160</x:v>
      </x:c>
      <x:c r="N38" s="324" t="n">
        <x:v>2</x:v>
      </x:c>
      <x:c r="O38" s="325" t="n">
        <x:v>39252</x:v>
      </x:c>
      <x:c r="P38" s="326" t="n">
        <x:v>2.92552</x:v>
      </x:c>
      <x:c r="Q38" s="611" t="n">
        <x:v>0.1875</x:v>
      </x:c>
      <x:c r="R38" s="324" t="inlineStr">
        <x:is>
          <x:t xml:space="preserve">Yes — see Notes</x:t>
        </x:is>
      </x:c>
      <x:c r="S38" s="324" t="inlineStr">
        <x:is>
          <x:t xml:space="preserve">F</x:t>
        </x:is>
      </x:c>
      <x:c r="T38" s="324" t="inlineStr">
        <x:is>
          <x:t xml:space="preserve">No</x:t>
        </x:is>
      </x:c>
      <x:c r="U38" s="324" t="inlineStr">
        <x:is>
          <x:t xml:space="preserve">No</x:t>
        </x:is>
      </x:c>
      <x:c r="V38" s="324" t="inlineStr">
        <x:is>
          <x:t xml:space="preserve">Yes</x:t>
        </x:is>
      </x:c>
      <x:c r="W38" s="324" t="inlineStr">
        <x:is>
          <x:t xml:space="preserve">No</x:t>
        </x:is>
      </x:c>
      <x:c r="X38" s="324" t="inlineStr">
        <x:is>
          <x:t xml:space="preserve">No</x:t>
        </x:is>
      </x:c>
      <x:c r="Y38" s="324" t="inlineStr">
        <x:is>
          <x:t xml:space="preserve">No</x:t>
        </x:is>
      </x:c>
    </x:row>
    <x:row r="39" s="569" customFormat="1" ht="51" customHeight="1">
      <x:c r="A39" s="323" t="n">
        <x:v>38</x:v>
      </x:c>
      <x:c r="B39" s="323" t="inlineStr">
        <x:is>
          <x:t xml:space="preserve">HBP</x:t>
        </x:is>
      </x:c>
      <x:c r="C39" s="324" t="inlineStr">
        <x:is>
          <x:t xml:space="preserve">N/A</x:t>
        </x:is>
      </x:c>
      <x:c r="D39" s="324" t="inlineStr">
        <x:is>
          <x:t xml:space="preserve">Oil and Gas Lease</x:t>
        </x:is>
      </x:c>
      <x:c r="E39" s="324" t="inlineStr">
        <x:is>
          <x:t xml:space="preserve">1798/146</x:t>
        </x:is>
      </x:c>
      <x:c r="F39" s="325" t="n">
        <x:v>38468</x:v>
      </x:c>
      <x:c r="G39" s="325" t="n">
        <x:v>38551</x:v>
      </x:c>
      <x:c r="H39" s="324" t="inlineStr">
        <x:is>
          <x:t xml:space="preserve">The Williams Jon T. Trust, the Rogene E. Williams Trust, Rogene E. Williams</x:t>
        </x:is>
      </x:c>
      <x:c r="I39" s="324" t="inlineStr">
        <x:is>
          <x:t xml:space="preserve">Chesapeake Exploration, Ltd. Partnership</x:t>
        </x:is>
      </x:c>
      <x:c r="J39" s="324" t="inlineStr">
        <x:is>
          <x:t xml:space="preserve">NW/4 SE/4, S/2 SE/4, SW/4 NE/4 of 31-12N-24W</x:t>
        </x:is>
      </x:c>
      <x:c r="K39" s="324" t="inlineStr">
        <x:is>
          <x:t xml:space="preserve">160 gross acres
3 yrs
3/16ths royalty</x:t>
        </x:is>
      </x:c>
      <x:c r="L39" s="324" t="inlineStr">
        <x:is>
          <x:t xml:space="preserve">3 years</x:t>
        </x:is>
      </x:c>
      <x:c r="M39" s="324" t="n">
        <x:v>160</x:v>
      </x:c>
      <x:c r="N39" s="324" t="n">
        <x:v>2</x:v>
      </x:c>
      <x:c r="O39" s="325" t="n">
        <x:v>39564</x:v>
      </x:c>
      <x:c r="P39" s="326" t="n">
        <x:v>0.7219838672704859</x:v>
      </x:c>
      <x:c r="Q39" s="611" t="n">
        <x:v>0.1875</x:v>
      </x:c>
      <x:c r="R39" s="324" t="inlineStr">
        <x:is>
          <x:t xml:space="preserve">No</x:t>
        </x:is>
      </x:c>
      <x:c r="S39" s="324" t="inlineStr">
        <x:is>
          <x:t xml:space="preserve">F</x:t>
        </x:is>
      </x:c>
      <x:c r="T39" s="324" t="inlineStr">
        <x:is>
          <x:t xml:space="preserve">No</x:t>
        </x:is>
      </x:c>
      <x:c r="U39" s="324" t="inlineStr">
        <x:is>
          <x:t xml:space="preserve">No</x:t>
        </x:is>
      </x:c>
      <x:c r="V39" s="324" t="inlineStr">
        <x:is>
          <x:t xml:space="preserve">No</x:t>
        </x:is>
      </x:c>
      <x:c r="W39" s="324" t="inlineStr">
        <x:is>
          <x:t xml:space="preserve">No</x:t>
        </x:is>
      </x:c>
      <x:c r="X39" s="324" t="inlineStr">
        <x:is>
          <x:t xml:space="preserve">No</x:t>
        </x:is>
      </x:c>
      <x:c r="Y39" s="324" t="inlineStr">
        <x:is>
          <x:t xml:space="preserve">No</x:t>
        </x:is>
      </x:c>
    </x:row>
    <x:row r="40" s="569" customFormat="1" ht="38.25" customHeight="1">
      <x:c r="A40" s="323" t="n">
        <x:v>39</x:v>
      </x:c>
      <x:c r="B40" s="323" t="inlineStr">
        <x:is>
          <x:t xml:space="preserve">HBP</x:t>
        </x:is>
      </x:c>
      <x:c r="C40" s="324" t="inlineStr">
        <x:is>
          <x:t xml:space="preserve">N/A</x:t>
        </x:is>
      </x:c>
      <x:c r="D40" s="324" t="inlineStr">
        <x:is>
          <x:t xml:space="preserve">Oil and Gas Lease</x:t>
        </x:is>
      </x:c>
      <x:c r="E40" s="324" t="inlineStr">
        <x:is>
          <x:t xml:space="preserve">1817/388</x:t>
        </x:is>
      </x:c>
      <x:c r="F40" s="325" t="n">
        <x:v>38621</x:v>
      </x:c>
      <x:c r="G40" s="325" t="n">
        <x:v>38709</x:v>
      </x:c>
      <x:c r="H40" s="324" t="inlineStr">
        <x:is>
          <x:t xml:space="preserve">James E. Menehan</x:t>
        </x:is>
      </x:c>
      <x:c r="I40" s="324" t="inlineStr">
        <x:is>
          <x:t xml:space="preserve">Todco Properties, Inc.</x:t>
        </x:is>
      </x:c>
      <x:c r="J40" s="324" t="inlineStr">
        <x:is>
          <x:t xml:space="preserve">NW/4 SE/4, S/2 SE/4, SW/4 NE/4 of 31-12N-24W</x:t>
        </x:is>
      </x:c>
      <x:c r="K40" s="324" t="inlineStr">
        <x:is>
          <x:t xml:space="preserve">160 gross acres
3 yrs
3/16ths royalty</x:t>
        </x:is>
      </x:c>
      <x:c r="L40" s="324" t="inlineStr">
        <x:is>
          <x:t xml:space="preserve">3 years</x:t>
        </x:is>
      </x:c>
      <x:c r="M40" s="324" t="n">
        <x:v>160</x:v>
      </x:c>
      <x:c r="N40" s="324" t="n">
        <x:v>2</x:v>
      </x:c>
      <x:c r="O40" s="325" t="n">
        <x:v>39717</x:v>
      </x:c>
      <x:c r="P40" s="326" t="n">
        <x:v>0.202155482835736</x:v>
      </x:c>
      <x:c r="Q40" s="611" t="n">
        <x:v>0.1875</x:v>
      </x:c>
      <x:c r="R40" s="324" t="inlineStr">
        <x:is>
          <x:t xml:space="preserve">No</x:t>
        </x:is>
      </x:c>
      <x:c r="S40" s="324" t="inlineStr">
        <x:is>
          <x:t xml:space="preserve">No</x:t>
        </x:is>
      </x:c>
      <x:c r="T40" s="324" t="inlineStr">
        <x:is>
          <x:t xml:space="preserve">No</x:t>
        </x:is>
      </x:c>
      <x:c r="U40" s="324" t="inlineStr">
        <x:is>
          <x:t xml:space="preserve">No</x:t>
        </x:is>
      </x:c>
      <x:c r="V40" s="324" t="inlineStr">
        <x:is>
          <x:t xml:space="preserve">No</x:t>
        </x:is>
      </x:c>
      <x:c r="W40" s="324" t="inlineStr">
        <x:is>
          <x:t xml:space="preserve">No</x:t>
        </x:is>
      </x:c>
      <x:c r="X40" s="324" t="inlineStr">
        <x:is>
          <x:t xml:space="preserve">No</x:t>
        </x:is>
      </x:c>
      <x:c r="Y40" s="324" t="inlineStr">
        <x:is>
          <x:t xml:space="preserve">No</x:t>
        </x:is>
      </x:c>
    </x:row>
    <x:row r="41" s="569" customFormat="1" ht="127.5" customHeight="1">
      <x:c r="A41" s="323" t="n">
        <x:v>40</x:v>
      </x:c>
      <x:c r="B41" s="323" t="inlineStr">
        <x:is>
          <x:t xml:space="preserve">HBP</x:t>
        </x:is>
      </x:c>
      <x:c r="C41" s="324" t="inlineStr">
        <x:is>
          <x:t xml:space="preserve">N/A</x:t>
        </x:is>
      </x:c>
      <x:c r="D41" s="324" t="inlineStr">
        <x:is>
          <x:t xml:space="preserve">Oil and Gas Lease</x:t>
        </x:is>
      </x:c>
      <x:c r="E41" s="324" t="inlineStr">
        <x:is>
          <x:t xml:space="preserve">1810/310</x:t>
        </x:is>
      </x:c>
      <x:c r="F41" s="325" t="n">
        <x:v>38632</x:v>
      </x:c>
      <x:c r="G41" s="325" t="n">
        <x:v>38644</x:v>
      </x:c>
      <x:c r="H41" s="324" t="inlineStr">
        <x:is>
          <x:t xml:space="preserve">Hayhurst Peggy J., Trustee of The Hayhurst Peggy J. Revoc Trust</x:t>
        </x:is>
      </x:c>
      <x:c r="I41" s="324" t="inlineStr">
        <x:is>
          <x:t xml:space="preserve">Fleshman Agency, Inc.</x:t>
        </x:is>
      </x:c>
      <x:c r="J41" s="324" t="inlineStr">
        <x:is>
          <x:t xml:space="preserve">E/2 NW/4, N/2 NE/4 SW/4, NE/4 SE/4, SE/4 NE/4 of 31-12N-24W</x:t>
        </x:is>
      </x:c>
      <x:c r="K41" s="324" t="inlineStr">
        <x:is>
          <x:t xml:space="preserve">180 gross acres
3 yrs
1/4th royalty
Depth clause: All depths 100 feet below the stratigraphic equivalent of the total depth drilled in any well during the primary term of this lease shall be released at the expiration of the primary term herein. … Full recital in recorded instrument — see Link.</x:t>
        </x:is>
      </x:c>
      <x:c r="L41" s="324" t="inlineStr">
        <x:is>
          <x:t xml:space="preserve">3 years</x:t>
        </x:is>
      </x:c>
      <x:c r="M41" s="324" t="n">
        <x:v>180</x:v>
      </x:c>
      <x:c r="N41" s="324" t="inlineStr">
        <x:is>
          <x:t xml:space="preserve">1, 3, 4, 7, 8</x:t>
        </x:is>
      </x:c>
      <x:c r="O41" s="325" t="n">
        <x:v>39728</x:v>
      </x:c>
      <x:c r="P41" s="326" t="n">
        <x:v>1.63</x:v>
      </x:c>
      <x:c r="Q41" s="611" t="n">
        <x:v>0.25</x:v>
      </x:c>
      <x:c r="R41" s="324" t="inlineStr">
        <x:is>
          <x:t xml:space="preserve">Yes</x:t>
        </x:is>
      </x:c>
      <x:c r="S41" s="324" t="inlineStr">
        <x:is>
          <x:t xml:space="preserve">No</x:t>
        </x:is>
      </x:c>
      <x:c r="T41" s="324" t="inlineStr">
        <x:is>
          <x:t xml:space="preserve">No</x:t>
        </x:is>
      </x:c>
      <x:c r="U41" s="324" t="inlineStr">
        <x:is>
          <x:t xml:space="preserve">No</x:t>
        </x:is>
      </x:c>
      <x:c r="V41" s="324" t="inlineStr">
        <x:is>
          <x:t xml:space="preserve">Yes</x:t>
        </x:is>
      </x:c>
      <x:c r="W41" s="324" t="inlineStr">
        <x:is>
          <x:t xml:space="preserve">No</x:t>
        </x:is>
      </x:c>
      <x:c r="X41" s="324" t="inlineStr">
        <x:is>
          <x:t xml:space="preserve">No</x:t>
        </x:is>
      </x:c>
      <x:c r="Y41" s="324" t="inlineStr">
        <x:is>
          <x:t xml:space="preserve">No</x:t>
        </x:is>
      </x:c>
    </x:row>
    <x:row r="42" s="569" customFormat="1" ht="38.25" customHeight="1">
      <x:c r="A42" s="323" t="n">
        <x:v>41</x:v>
      </x:c>
      <x:c r="B42" s="323" t="inlineStr">
        <x:is>
          <x:t xml:space="preserve">HBP</x:t>
        </x:is>
      </x:c>
      <x:c r="C42" s="324" t="inlineStr">
        <x:is>
          <x:t xml:space="preserve">N/A</x:t>
        </x:is>
      </x:c>
      <x:c r="D42" s="324" t="inlineStr">
        <x:is>
          <x:t xml:space="preserve">Oil and Gas Lease</x:t>
        </x:is>
      </x:c>
      <x:c r="E42" s="324" t="inlineStr">
        <x:is>
          <x:t xml:space="preserve">1816/389</x:t>
        </x:is>
      </x:c>
      <x:c r="F42" s="325" t="n">
        <x:v>38653</x:v>
      </x:c>
      <x:c r="G42" s="325" t="n">
        <x:v>38701</x:v>
      </x:c>
      <x:c r="H42" s="324" t="inlineStr">
        <x:is>
          <x:t xml:space="preserve">Gregory J. Wiinneke</x:t>
        </x:is>
      </x:c>
      <x:c r="I42" s="324" t="inlineStr">
        <x:is>
          <x:t xml:space="preserve">Jess Harris, III, Inc.</x:t>
        </x:is>
      </x:c>
      <x:c r="J42" s="324" t="inlineStr">
        <x:is>
          <x:t xml:space="preserve">SE/4 SE/4, SW/4 NE/4, W/2 SE/4 of 31-12N-24W</x:t>
        </x:is>
      </x:c>
      <x:c r="K42" s="324" t="inlineStr">
        <x:is>
          <x:t xml:space="preserve">160 gross acres
3 yrs
3/16ths royalty</x:t>
        </x:is>
      </x:c>
      <x:c r="L42" s="324" t="inlineStr">
        <x:is>
          <x:t xml:space="preserve">3 years</x:t>
        </x:is>
      </x:c>
      <x:c r="M42" s="324" t="n">
        <x:v>160</x:v>
      </x:c>
      <x:c r="N42" s="324" t="n">
        <x:v>2</x:v>
      </x:c>
      <x:c r="O42" s="325" t="n">
        <x:v>39749</x:v>
      </x:c>
      <x:c r="P42" s="326" t="n">
        <x:v>0.202155482835736</x:v>
      </x:c>
      <x:c r="Q42" s="611" t="n">
        <x:v>0.1875</x:v>
      </x:c>
      <x:c r="R42" s="324" t="inlineStr">
        <x:is>
          <x:t xml:space="preserve">No</x:t>
        </x:is>
      </x:c>
      <x:c r="S42" s="324" t="inlineStr">
        <x:is>
          <x:t xml:space="preserve">No</x:t>
        </x:is>
      </x:c>
      <x:c r="T42" s="324" t="inlineStr">
        <x:is>
          <x:t xml:space="preserve">No</x:t>
        </x:is>
      </x:c>
      <x:c r="U42" s="324" t="inlineStr">
        <x:is>
          <x:t xml:space="preserve">No</x:t>
        </x:is>
      </x:c>
      <x:c r="V42" s="324" t="inlineStr">
        <x:is>
          <x:t xml:space="preserve">No</x:t>
        </x:is>
      </x:c>
      <x:c r="W42" s="324" t="inlineStr">
        <x:is>
          <x:t xml:space="preserve">No</x:t>
        </x:is>
      </x:c>
      <x:c r="X42" s="324" t="inlineStr">
        <x:is>
          <x:t xml:space="preserve">No</x:t>
        </x:is>
      </x:c>
      <x:c r="Y42" s="324" t="inlineStr">
        <x:is>
          <x:t xml:space="preserve">No</x:t>
        </x:is>
      </x:c>
    </x:row>
    <x:row r="43" s="569" customFormat="1" ht="38.25" customHeight="1">
      <x:c r="A43" s="323" t="n">
        <x:v>42</x:v>
      </x:c>
      <x:c r="B43" s="323" t="inlineStr">
        <x:is>
          <x:t xml:space="preserve">HBP</x:t>
        </x:is>
      </x:c>
      <x:c r="C43" s="324" t="inlineStr">
        <x:is>
          <x:t xml:space="preserve">N/A</x:t>
        </x:is>
      </x:c>
      <x:c r="D43" s="324" t="inlineStr">
        <x:is>
          <x:t xml:space="preserve">Oil and Gas Lease</x:t>
        </x:is>
      </x:c>
      <x:c r="E43" s="324" t="inlineStr">
        <x:is>
          <x:t xml:space="preserve">1816/376</x:t>
        </x:is>
      </x:c>
      <x:c r="F43" s="325" t="n">
        <x:v>38657</x:v>
      </x:c>
      <x:c r="G43" s="325" t="n">
        <x:v>38701</x:v>
      </x:c>
      <x:c r="H43" s="324" t="inlineStr">
        <x:is>
          <x:t xml:space="preserve">Deborah A. Deutsch, Paul R. Deutsch</x:t>
        </x:is>
      </x:c>
      <x:c r="I43" s="324" t="inlineStr">
        <x:is>
          <x:t xml:space="preserve">Harris Jess III, Inc.</x:t>
        </x:is>
      </x:c>
      <x:c r="J43" s="324" t="inlineStr">
        <x:is>
          <x:t xml:space="preserve">SE/4 SE/4, SW/4 NE/4, W/2 SE/4 of 31-12N-24W</x:t>
        </x:is>
      </x:c>
      <x:c r="K43" s="324" t="inlineStr">
        <x:is>
          <x:t xml:space="preserve">160 gross acres
3 yrs
1/4th royalty</x:t>
        </x:is>
      </x:c>
      <x:c r="L43" s="324" t="inlineStr">
        <x:is>
          <x:t xml:space="preserve">3 years</x:t>
        </x:is>
      </x:c>
      <x:c r="M43" s="324" t="n">
        <x:v>160</x:v>
      </x:c>
      <x:c r="N43" s="324" t="n">
        <x:v>2</x:v>
      </x:c>
      <x:c r="O43" s="325" t="n">
        <x:v>39753</x:v>
      </x:c>
      <x:c r="P43" s="326" t="n">
        <x:v>0.606466448507208</x:v>
      </x:c>
      <x:c r="Q43" s="611" t="n">
        <x:v>0.25</x:v>
      </x:c>
      <x:c r="R43" s="324" t="inlineStr">
        <x:is>
          <x:t xml:space="preserve">No</x:t>
        </x:is>
      </x:c>
      <x:c r="S43" s="324" t="inlineStr">
        <x:is>
          <x:t xml:space="preserve">No</x:t>
        </x:is>
      </x:c>
      <x:c r="T43" s="324" t="inlineStr">
        <x:is>
          <x:t xml:space="preserve">No</x:t>
        </x:is>
      </x:c>
      <x:c r="U43" s="324" t="inlineStr">
        <x:is>
          <x:t xml:space="preserve">No</x:t>
        </x:is>
      </x:c>
      <x:c r="V43" s="324" t="inlineStr">
        <x:is>
          <x:t xml:space="preserve">No</x:t>
        </x:is>
      </x:c>
      <x:c r="W43" s="324" t="inlineStr">
        <x:is>
          <x:t xml:space="preserve">No</x:t>
        </x:is>
      </x:c>
      <x:c r="X43" s="324" t="inlineStr">
        <x:is>
          <x:t xml:space="preserve">No</x:t>
        </x:is>
      </x:c>
      <x:c r="Y43" s="324" t="inlineStr">
        <x:is>
          <x:t xml:space="preserve">No</x:t>
        </x:is>
      </x:c>
    </x:row>
    <x:row r="44" s="569" customFormat="1" ht="38.25" customHeight="1">
      <x:c r="A44" s="323" t="n">
        <x:v>43</x:v>
      </x:c>
      <x:c r="B44" s="323" t="inlineStr">
        <x:is>
          <x:t xml:space="preserve">HBP</x:t>
        </x:is>
      </x:c>
      <x:c r="C44" s="324" t="inlineStr">
        <x:is>
          <x:t xml:space="preserve">N/A</x:t>
        </x:is>
      </x:c>
      <x:c r="D44" s="324" t="inlineStr">
        <x:is>
          <x:t xml:space="preserve">Oil and Gas Lease</x:t>
        </x:is>
      </x:c>
      <x:c r="E44" s="324" t="inlineStr">
        <x:is>
          <x:t xml:space="preserve">1822/574</x:t>
        </x:is>
      </x:c>
      <x:c r="F44" s="325" t="n">
        <x:v>38658</x:v>
      </x:c>
      <x:c r="G44" s="325" t="n">
        <x:v>38754</x:v>
      </x:c>
      <x:c r="H44" s="324" t="inlineStr">
        <x:is>
          <x:t xml:space="preserve">Mary Ellen Sitzmann</x:t>
        </x:is>
      </x:c>
      <x:c r="I44" s="324" t="inlineStr">
        <x:is>
          <x:t xml:space="preserve">Jess Harris, III, Inc.</x:t>
        </x:is>
      </x:c>
      <x:c r="J44" s="324" t="inlineStr">
        <x:is>
          <x:t xml:space="preserve">SE/4 SE/4, SW/4 NE/4, W/2 SE/4 of 31-12N-24W</x:t>
        </x:is>
      </x:c>
      <x:c r="K44" s="324" t="inlineStr">
        <x:is>
          <x:t xml:space="preserve">160 gross acres
3 yrs
3/16ths royalty</x:t>
        </x:is>
      </x:c>
      <x:c r="L44" s="324" t="inlineStr">
        <x:is>
          <x:t xml:space="preserve">3 years</x:t>
        </x:is>
      </x:c>
      <x:c r="M44" s="324" t="n">
        <x:v>160</x:v>
      </x:c>
      <x:c r="N44" s="324" t="n">
        <x:v>2</x:v>
      </x:c>
      <x:c r="O44" s="325" t="n">
        <x:v>39754</x:v>
      </x:c>
      <x:c r="P44" s="326" t="n">
        <x:v>0.202155482835736</x:v>
      </x:c>
      <x:c r="Q44" s="611" t="n">
        <x:v>0.1875</x:v>
      </x:c>
      <x:c r="R44" s="324" t="inlineStr">
        <x:is>
          <x:t xml:space="preserve">No</x:t>
        </x:is>
      </x:c>
      <x:c r="S44" s="324" t="inlineStr">
        <x:is>
          <x:t xml:space="preserve">No</x:t>
        </x:is>
      </x:c>
      <x:c r="T44" s="324" t="inlineStr">
        <x:is>
          <x:t xml:space="preserve">No</x:t>
        </x:is>
      </x:c>
      <x:c r="U44" s="324" t="inlineStr">
        <x:is>
          <x:t xml:space="preserve">No</x:t>
        </x:is>
      </x:c>
      <x:c r="V44" s="324" t="inlineStr">
        <x:is>
          <x:t xml:space="preserve">No</x:t>
        </x:is>
      </x:c>
      <x:c r="W44" s="324" t="inlineStr">
        <x:is>
          <x:t xml:space="preserve">No</x:t>
        </x:is>
      </x:c>
      <x:c r="X44" s="324" t="inlineStr">
        <x:is>
          <x:t xml:space="preserve">No</x:t>
        </x:is>
      </x:c>
      <x:c r="Y44" s="324" t="inlineStr">
        <x:is>
          <x:t xml:space="preserve">No</x:t>
        </x:is>
      </x:c>
    </x:row>
    <x:row r="45" s="569" customFormat="1" ht="38.25" customHeight="1">
      <x:c r="A45" s="323" t="n">
        <x:v>44</x:v>
      </x:c>
      <x:c r="B45" s="323" t="inlineStr">
        <x:is>
          <x:t xml:space="preserve">HBP</x:t>
        </x:is>
      </x:c>
      <x:c r="C45" s="324" t="inlineStr">
        <x:is>
          <x:t xml:space="preserve">N/A</x:t>
        </x:is>
      </x:c>
      <x:c r="D45" s="324" t="inlineStr">
        <x:is>
          <x:t xml:space="preserve">Oil and Gas Lease</x:t>
        </x:is>
      </x:c>
      <x:c r="E45" s="324" t="inlineStr">
        <x:is>
          <x:t xml:space="preserve">1822/578</x:t>
        </x:is>
      </x:c>
      <x:c r="F45" s="325" t="n">
        <x:v>38658</x:v>
      </x:c>
      <x:c r="G45" s="325" t="n">
        <x:v>38754</x:v>
      </x:c>
      <x:c r="H45" s="324" t="inlineStr">
        <x:is>
          <x:t xml:space="preserve">Lyle T. Ibeling</x:t>
        </x:is>
      </x:c>
      <x:c r="I45" s="324" t="inlineStr">
        <x:is>
          <x:t xml:space="preserve">Jess Harris, III, Inc.</x:t>
        </x:is>
      </x:c>
      <x:c r="J45" s="324" t="inlineStr">
        <x:is>
          <x:t xml:space="preserve">SE/4 SE/4, SW/4 NE/4, W/2 SE/4 of 31-12N-24W</x:t>
        </x:is>
      </x:c>
      <x:c r="K45" s="324" t="inlineStr">
        <x:is>
          <x:t xml:space="preserve">160 gross acres
3 yrs
3/16ths royalty</x:t>
        </x:is>
      </x:c>
      <x:c r="L45" s="324" t="inlineStr">
        <x:is>
          <x:t xml:space="preserve">3 years</x:t>
        </x:is>
      </x:c>
      <x:c r="M45" s="324" t="n">
        <x:v>160</x:v>
      </x:c>
      <x:c r="N45" s="324" t="n">
        <x:v>2</x:v>
      </x:c>
      <x:c r="O45" s="325" t="n">
        <x:v>39754</x:v>
      </x:c>
      <x:c r="P45" s="326" t="n">
        <x:v>0.202155482835736</x:v>
      </x:c>
      <x:c r="Q45" s="611" t="n">
        <x:v>0.1875</x:v>
      </x:c>
      <x:c r="R45" s="324" t="inlineStr">
        <x:is>
          <x:t xml:space="preserve">No</x:t>
        </x:is>
      </x:c>
      <x:c r="S45" s="324" t="inlineStr">
        <x:is>
          <x:t xml:space="preserve">No</x:t>
        </x:is>
      </x:c>
      <x:c r="T45" s="324" t="inlineStr">
        <x:is>
          <x:t xml:space="preserve">No</x:t>
        </x:is>
      </x:c>
      <x:c r="U45" s="324" t="inlineStr">
        <x:is>
          <x:t xml:space="preserve">No</x:t>
        </x:is>
      </x:c>
      <x:c r="V45" s="324" t="inlineStr">
        <x:is>
          <x:t xml:space="preserve">No</x:t>
        </x:is>
      </x:c>
      <x:c r="W45" s="324" t="inlineStr">
        <x:is>
          <x:t xml:space="preserve">No</x:t>
        </x:is>
      </x:c>
      <x:c r="X45" s="324" t="inlineStr">
        <x:is>
          <x:t xml:space="preserve">No</x:t>
        </x:is>
      </x:c>
      <x:c r="Y45" s="324" t="inlineStr">
        <x:is>
          <x:t xml:space="preserve">No</x:t>
        </x:is>
      </x:c>
    </x:row>
    <x:row r="46" s="569" customFormat="1" ht="38.25" customHeight="1">
      <x:c r="A46" s="323" t="n">
        <x:v>45</x:v>
      </x:c>
      <x:c r="B46" s="323" t="inlineStr">
        <x:is>
          <x:t xml:space="preserve">HBP</x:t>
        </x:is>
      </x:c>
      <x:c r="C46" s="324" t="inlineStr">
        <x:is>
          <x:t xml:space="preserve">N/A</x:t>
        </x:is>
      </x:c>
      <x:c r="D46" s="324" t="inlineStr">
        <x:is>
          <x:t xml:space="preserve">Oil and Gas Lease</x:t>
        </x:is>
      </x:c>
      <x:c r="E46" s="324" t="inlineStr">
        <x:is>
          <x:t xml:space="preserve">1822/576</x:t>
        </x:is>
      </x:c>
      <x:c r="F46" s="325" t="n">
        <x:v>38678</x:v>
      </x:c>
      <x:c r="G46" s="325" t="n">
        <x:v>38754</x:v>
      </x:c>
      <x:c r="H46" s="324" t="inlineStr">
        <x:is>
          <x:t xml:space="preserve">Charles D. Ray</x:t>
        </x:is>
      </x:c>
      <x:c r="I46" s="324" t="inlineStr">
        <x:is>
          <x:t xml:space="preserve">Jess Harris, III, Inc.</x:t>
        </x:is>
      </x:c>
      <x:c r="J46" s="324" t="inlineStr">
        <x:is>
          <x:t xml:space="preserve">E/2 NW/4 of 31-12N-24W</x:t>
        </x:is>
      </x:c>
      <x:c r="K46" s="324" t="inlineStr">
        <x:is>
          <x:t xml:space="preserve">80 gross acres
3 yrs
1/4th royalty</x:t>
        </x:is>
      </x:c>
      <x:c r="L46" s="324" t="inlineStr">
        <x:is>
          <x:t xml:space="preserve">3 years</x:t>
        </x:is>
      </x:c>
      <x:c r="M46" s="324" t="n">
        <x:v>80</x:v>
      </x:c>
      <x:c r="N46" s="324" t="n">
        <x:v>4</x:v>
      </x:c>
      <x:c r="O46" s="325" t="n">
        <x:v>39774</x:v>
      </x:c>
      <x:c r="P46" s="326" t="n">
        <x:v>4.210399999999995</x:v>
      </x:c>
      <x:c r="Q46" s="611" t="n">
        <x:v>0.25</x:v>
      </x:c>
      <x:c r="R46" s="324" t="inlineStr">
        <x:is>
          <x:t xml:space="preserve">No</x:t>
        </x:is>
      </x:c>
      <x:c r="S46" s="324" t="inlineStr">
        <x:is>
          <x:t xml:space="preserve">No</x:t>
        </x:is>
      </x:c>
      <x:c r="T46" s="324" t="inlineStr">
        <x:is>
          <x:t xml:space="preserve">No</x:t>
        </x:is>
      </x:c>
      <x:c r="U46" s="324" t="inlineStr">
        <x:is>
          <x:t xml:space="preserve">No</x:t>
        </x:is>
      </x:c>
      <x:c r="V46" s="324" t="inlineStr">
        <x:is>
          <x:t xml:space="preserve">No</x:t>
        </x:is>
      </x:c>
      <x:c r="W46" s="324" t="inlineStr">
        <x:is>
          <x:t xml:space="preserve">No</x:t>
        </x:is>
      </x:c>
      <x:c r="X46" s="324" t="inlineStr">
        <x:is>
          <x:t xml:space="preserve">No</x:t>
        </x:is>
      </x:c>
      <x:c r="Y46" s="324" t="inlineStr">
        <x:is>
          <x:t xml:space="preserve">No</x:t>
        </x:is>
      </x:c>
    </x:row>
    <x:row r="47" s="569" customFormat="1" ht="153" customHeight="1">
      <x:c r="A47" s="323" t="n">
        <x:v>46</x:v>
      </x:c>
      <x:c r="B47" s="323" t="inlineStr">
        <x:is>
          <x:t xml:space="preserve">HBP</x:t>
        </x:is>
      </x:c>
      <x:c r="C47" s="324" t="inlineStr">
        <x:is>
          <x:t xml:space="preserve">N/A</x:t>
        </x:is>
      </x:c>
      <x:c r="D47" s="324" t="inlineStr">
        <x:is>
          <x:t xml:space="preserve">Oil and Gas Lease</x:t>
        </x:is>
      </x:c>
      <x:c r="E47" s="324" t="inlineStr">
        <x:is>
          <x:t xml:space="preserve">1816/358</x:t>
        </x:is>
      </x:c>
      <x:c r="F47" s="325" t="n">
        <x:v>38636</x:v>
      </x:c>
      <x:c r="G47" s="325" t="n">
        <x:v>38701</x:v>
      </x:c>
      <x:c r="H47" s="324" t="inlineStr">
        <x:is>
          <x:t xml:space="preserve">Eddie Tom Lakey</x:t>
        </x:is>
      </x:c>
      <x:c r="I47" s="324" t="inlineStr">
        <x:is>
          <x:t xml:space="preserve">Jess Harris, III, Inc.</x:t>
        </x:is>
      </x:c>
      <x:c r="J47" s="324" t="inlineStr">
        <x:is>
          <x:t xml:space="preserve">The North Forty (40) acres in a tract of land described as W. 18.20 chains (72-8/10 rods) of Lots 1 and 2 a/d/a W. 18.20 chains (or 72-8/10 rods) of W/2 NW/4 of 31-12N-24W</x:t>
        </x:is>
      </x:c>
      <x:c r="K47" s="324" t="inlineStr">
        <x:is>
          <x:t xml:space="preserve">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 Full recital in recorded instrument — see Link.</x:t>
        </x:is>
      </x:c>
      <x:c r="L47" s="324" t="inlineStr">
        <x:is>
          <x:t xml:space="preserve">3 years</x:t>
        </x:is>
      </x:c>
      <x:c r="M47" s="324" t="n">
        <x:v>40</x:v>
      </x:c>
      <x:c r="N47" s="324" t="inlineStr">
        <x:is>
          <x:t xml:space="preserve">All (1-8)</x:t>
        </x:is>
      </x:c>
      <x:c r="O47" s="325" t="n">
        <x:v>39732</x:v>
      </x:c>
      <x:c r="P47" s="326" t="n">
        <x:v>0</x:v>
      </x:c>
      <x:c r="Q47" s="611" t="n">
        <x:v>0.1875</x:v>
      </x:c>
      <x:c r="R47" s="324" t="inlineStr">
        <x:is>
          <x:t xml:space="preserve">Yes — see Notes</x:t>
        </x:is>
      </x:c>
      <x:c r="S47" s="324" t="inlineStr">
        <x:is>
          <x:t xml:space="preserve">F</x:t>
        </x:is>
      </x:c>
      <x:c r="T47" s="324" t="inlineStr">
        <x:is>
          <x:t xml:space="preserve">No</x:t>
        </x:is>
      </x:c>
      <x:c r="U47" s="324" t="inlineStr">
        <x:is>
          <x:t xml:space="preserve">No</x:t>
        </x:is>
      </x:c>
      <x:c r="V47" s="324" t="inlineStr">
        <x:is>
          <x:t xml:space="preserve">Yes</x:t>
        </x:is>
      </x:c>
      <x:c r="W47" s="324" t="inlineStr">
        <x:is>
          <x:t xml:space="preserve">No</x:t>
        </x:is>
      </x:c>
      <x:c r="X47" s="324" t="inlineStr">
        <x:is>
          <x:t xml:space="preserve">No</x:t>
        </x:is>
      </x:c>
      <x:c r="Y47" s="324" t="inlineStr">
        <x:is>
          <x:t xml:space="preserve">No</x:t>
        </x:is>
      </x:c>
    </x:row>
    <x:row r="48" s="569" customFormat="1" ht="153" customHeight="1">
      <x:c r="A48" s="323" t="n">
        <x:v>47</x:v>
      </x:c>
      <x:c r="B48" s="323" t="inlineStr">
        <x:is>
          <x:t xml:space="preserve">HBP</x:t>
        </x:is>
      </x:c>
      <x:c r="C48" s="324" t="inlineStr">
        <x:is>
          <x:t xml:space="preserve">N/A</x:t>
        </x:is>
      </x:c>
      <x:c r="D48" s="324" t="inlineStr">
        <x:is>
          <x:t xml:space="preserve">Oil and Gas Lease</x:t>
        </x:is>
      </x:c>
      <x:c r="E48" s="324" t="inlineStr">
        <x:is>
          <x:t xml:space="preserve">1816/352</x:t>
        </x:is>
      </x:c>
      <x:c r="F48" s="325" t="n">
        <x:v>38636</x:v>
      </x:c>
      <x:c r="G48" s="325" t="n">
        <x:v>38701</x:v>
      </x:c>
      <x:c r="H48" s="324" t="inlineStr">
        <x:is>
          <x:t xml:space="preserve">Shawn S. Walters</x:t>
        </x:is>
      </x:c>
      <x:c r="I48" s="324" t="inlineStr">
        <x:is>
          <x:t xml:space="preserve">Jess Harris, III, Inc.</x:t>
        </x:is>
      </x:c>
      <x:c r="J48" s="324" t="inlineStr">
        <x:is>
          <x:t xml:space="preserve">SE/4 SW/4 of 31-12N-24W</x:t>
        </x:is>
      </x:c>
      <x:c r="K48" s="324" t="inlineStr">
        <x:is>
          <x:t xml:space="preserve">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 Full recital in recorded instrument — see Link.</x:t>
        </x:is>
      </x:c>
      <x:c r="L48" s="324" t="inlineStr">
        <x:is>
          <x:t xml:space="preserve">2 years</x:t>
        </x:is>
      </x:c>
      <x:c r="M48" s="324" t="n">
        <x:v>40</x:v>
      </x:c>
      <x:c r="N48" s="324" t="n">
        <x:v>5</x:v>
      </x:c>
      <x:c r="O48" s="325" t="n">
        <x:v>39366</x:v>
      </x:c>
      <x:c r="P48" s="326" t="n">
        <x:v>0.3101317999999997</x:v>
      </x:c>
      <x:c r="Q48" s="611" t="n">
        <x:v>0.1875</x:v>
      </x:c>
      <x:c r="R48" s="324" t="inlineStr">
        <x:is>
          <x:t xml:space="preserve">Yes — see Notes</x:t>
        </x:is>
      </x:c>
      <x:c r="S48" s="324" t="inlineStr">
        <x:is>
          <x:t xml:space="preserve">F</x:t>
        </x:is>
      </x:c>
      <x:c r="T48" s="324" t="inlineStr">
        <x:is>
          <x:t xml:space="preserve">No</x:t>
        </x:is>
      </x:c>
      <x:c r="U48" s="324" t="inlineStr">
        <x:is>
          <x:t xml:space="preserve">No</x:t>
        </x:is>
      </x:c>
      <x:c r="V48" s="324" t="inlineStr">
        <x:is>
          <x:t xml:space="preserve">Yes</x:t>
        </x:is>
      </x:c>
      <x:c r="W48" s="324" t="inlineStr">
        <x:is>
          <x:t xml:space="preserve">No</x:t>
        </x:is>
      </x:c>
      <x:c r="X48" s="324" t="inlineStr">
        <x:is>
          <x:t xml:space="preserve">No</x:t>
        </x:is>
      </x:c>
      <x:c r="Y48" s="324" t="inlineStr">
        <x:is>
          <x:t xml:space="preserve">No</x:t>
        </x:is>
      </x:c>
    </x:row>
    <x:row r="49" s="569" customFormat="1" ht="38.25" customHeight="1">
      <x:c r="A49" s="323" t="n">
        <x:v>48</x:v>
      </x:c>
      <x:c r="B49" s="323" t="inlineStr">
        <x:is>
          <x:t xml:space="preserve">HBP</x:t>
        </x:is>
      </x:c>
      <x:c r="C49" s="324" t="inlineStr">
        <x:is>
          <x:t xml:space="preserve">N/A</x:t>
        </x:is>
      </x:c>
      <x:c r="D49" s="324" t="inlineStr">
        <x:is>
          <x:t xml:space="preserve">Oil and Gas Lease</x:t>
        </x:is>
      </x:c>
      <x:c r="E49" s="324" t="inlineStr">
        <x:is>
          <x:t xml:space="preserve">1816/374</x:t>
        </x:is>
      </x:c>
      <x:c r="F49" s="325" t="n">
        <x:v>38670</x:v>
      </x:c>
      <x:c r="G49" s="325" t="n">
        <x:v>38701</x:v>
      </x:c>
      <x:c r="H49" s="324" t="inlineStr">
        <x:is>
          <x:t xml:space="preserve">Margaret Kirk</x:t>
        </x:is>
      </x:c>
      <x:c r="I49" s="324" t="inlineStr">
        <x:is>
          <x:t xml:space="preserve">Jess Harris, III, Inc.</x:t>
        </x:is>
      </x:c>
      <x:c r="J49" s="324" t="inlineStr">
        <x:is>
          <x:t xml:space="preserve">S/2 N/2 SW/4, SE/4 SW/4 of 31-12N-24W</x:t>
        </x:is>
      </x:c>
      <x:c r="K49" s="324" t="inlineStr">
        <x:is>
          <x:t xml:space="preserve">115.3350 gross acres
3 yrs
3/16ths royalty</x:t>
        </x:is>
      </x:c>
      <x:c r="L49" s="324" t="inlineStr">
        <x:is>
          <x:t xml:space="preserve">3 years</x:t>
        </x:is>
      </x:c>
      <x:c r="M49" s="324" t="n">
        <x:v>115.335</x:v>
      </x:c>
      <x:c r="N49" s="324" t="inlineStr">
        <x:is>
          <x:t xml:space="preserve">5, 6, 7</x:t>
        </x:is>
      </x:c>
      <x:c r="O49" s="325" t="n">
        <x:v>39766</x:v>
      </x:c>
      <x:c r="P49" s="326" t="n">
        <x:v>18.835</x:v>
      </x:c>
      <x:c r="Q49" s="611" t="n">
        <x:v>0.1875</x:v>
      </x:c>
      <x:c r="R49" s="324" t="inlineStr">
        <x:is>
          <x:t xml:space="preserve">No</x:t>
        </x:is>
      </x:c>
      <x:c r="S49" s="324" t="inlineStr">
        <x:is>
          <x:t xml:space="preserve">F</x:t>
        </x:is>
      </x:c>
      <x:c r="T49" s="324" t="inlineStr">
        <x:is>
          <x:t xml:space="preserve">No</x:t>
        </x:is>
      </x:c>
      <x:c r="U49" s="324" t="inlineStr">
        <x:is>
          <x:t xml:space="preserve">No</x:t>
        </x:is>
      </x:c>
      <x:c r="V49" s="324" t="inlineStr">
        <x:is>
          <x:t xml:space="preserve">No</x:t>
        </x:is>
      </x:c>
      <x:c r="W49" s="324" t="inlineStr">
        <x:is>
          <x:t xml:space="preserve">No</x:t>
        </x:is>
      </x:c>
      <x:c r="X49" s="324" t="inlineStr">
        <x:is>
          <x:t xml:space="preserve">No</x:t>
        </x:is>
      </x:c>
      <x:c r="Y49" s="324" t="inlineStr">
        <x:is>
          <x:t xml:space="preserve">No</x:t>
        </x:is>
      </x:c>
    </x:row>
    <x:row r="50" s="569" customFormat="1" ht="38.25" customHeight="1">
      <x:c r="A50" s="323" t="n">
        <x:v>49</x:v>
      </x:c>
      <x:c r="B50" s="323" t="inlineStr">
        <x:is>
          <x:t xml:space="preserve">HBP</x:t>
        </x:is>
      </x:c>
      <x:c r="C50" s="324" t="inlineStr">
        <x:is>
          <x:t xml:space="preserve">N/A</x:t>
        </x:is>
      </x:c>
      <x:c r="D50" s="324" t="inlineStr">
        <x:is>
          <x:t xml:space="preserve">Oil and Gas Lease</x:t>
        </x:is>
      </x:c>
      <x:c r="E50" s="324" t="inlineStr">
        <x:is>
          <x:t xml:space="preserve">1817/386</x:t>
        </x:is>
      </x:c>
      <x:c r="F50" s="325" t="n">
        <x:v>38621</x:v>
      </x:c>
      <x:c r="G50" s="325" t="n">
        <x:v>38709</x:v>
      </x:c>
      <x:c r="H50" s="324" t="inlineStr">
        <x:is>
          <x:t xml:space="preserve">Joe H. Britton</x:t>
        </x:is>
      </x:c>
      <x:c r="I50" s="324" t="inlineStr">
        <x:is>
          <x:t xml:space="preserve">Todco Properties, Inc.</x:t>
        </x:is>
      </x:c>
      <x:c r="J50" s="324" t="inlineStr">
        <x:is>
          <x:t xml:space="preserve">E/2 NW/4, N/2 NE/4 SW/4, NE/4 SE/4, SE/4 NE/4 of 31-12N-24W</x:t>
        </x:is>
      </x:c>
      <x:c r="K50" s="324" t="inlineStr">
        <x:is>
          <x:t xml:space="preserve">180 gross acres
3 yrs
3/16ths royalty</x:t>
        </x:is>
      </x:c>
      <x:c r="L50" s="324" t="inlineStr">
        <x:is>
          <x:t xml:space="preserve">3 years</x:t>
        </x:is>
      </x:c>
      <x:c r="M50" s="324" t="n">
        <x:v>180</x:v>
      </x:c>
      <x:c r="N50" s="324" t="inlineStr">
        <x:is>
          <x:t xml:space="preserve">1, 3, 4, 7, 8</x:t>
        </x:is>
      </x:c>
      <x:c r="O50" s="325" t="n">
        <x:v>39717</x:v>
      </x:c>
      <x:c r="P50" s="326" t="n">
        <x:v>60</x:v>
      </x:c>
      <x:c r="Q50" s="611" t="n">
        <x:v>0.1875</x:v>
      </x:c>
      <x:c r="R50" s="324" t="inlineStr">
        <x:is>
          <x:t xml:space="preserve">No</x:t>
        </x:is>
      </x:c>
      <x:c r="S50" s="324" t="inlineStr">
        <x:is>
          <x:t xml:space="preserve">F</x:t>
        </x:is>
      </x:c>
      <x:c r="T50" s="324" t="inlineStr">
        <x:is>
          <x:t xml:space="preserve">No</x:t>
        </x:is>
      </x:c>
      <x:c r="U50" s="324" t="inlineStr">
        <x:is>
          <x:t xml:space="preserve">No</x:t>
        </x:is>
      </x:c>
      <x:c r="V50" s="324" t="inlineStr">
        <x:is>
          <x:t xml:space="preserve">No</x:t>
        </x:is>
      </x:c>
      <x:c r="W50" s="324" t="inlineStr">
        <x:is>
          <x:t xml:space="preserve">No</x:t>
        </x:is>
      </x:c>
      <x:c r="X50" s="324" t="inlineStr">
        <x:is>
          <x:t xml:space="preserve">No</x:t>
        </x:is>
      </x:c>
      <x:c r="Y50" s="324" t="inlineStr">
        <x:is>
          <x:t xml:space="preserve">No</x:t>
        </x:is>
      </x:c>
    </x:row>
    <x:row r="51" s="569" customFormat="1" ht="25.5" customHeight="1">
      <x:c r="A51" s="323" t="n">
        <x:v>50</x:v>
      </x:c>
      <x:c r="B51" s="323" t="inlineStr">
        <x:is>
          <x:t xml:space="preserve">HBP</x:t>
        </x:is>
      </x:c>
      <x:c r="C51" s="324" t="inlineStr">
        <x:is>
          <x:t xml:space="preserve">N/A</x:t>
        </x:is>
      </x:c>
      <x:c r="D51" s="324" t="inlineStr">
        <x:is>
          <x:t xml:space="preserve">Oil and Gas Lease</x:t>
        </x:is>
      </x:c>
      <x:c r="E51" s="324" t="inlineStr">
        <x:is>
          <x:t xml:space="preserve">1827/548</x:t>
        </x:is>
      </x:c>
      <x:c r="F51" s="325" t="n">
        <x:v>38720</x:v>
      </x:c>
      <x:c r="G51" s="325" t="n">
        <x:v>38785</x:v>
      </x:c>
      <x:c r="H51" s="324" t="inlineStr">
        <x:is>
          <x:t xml:space="preserve">B H C H Mineral Ltd.,
B H C H Properties Ltd.</x:t>
        </x:is>
      </x:c>
      <x:c r="I51" s="324" t="inlineStr">
        <x:is>
          <x:t xml:space="preserve">Jess Harris, III, Inc.</x:t>
        </x:is>
      </x:c>
      <x:c r="J51" s="324" t="inlineStr">
        <x:is>
          <x:t xml:space="preserve">E/2 NW/4, N/2 NE/4 SW/4, NE/4 SE/4, SE/4 NE/4 of 31-12N-24W</x:t>
        </x:is>
      </x:c>
      <x:c r="K51" s="324" t="inlineStr">
        <x:is>
          <x:t xml:space="preserve">3 yrs</x:t>
        </x:is>
      </x:c>
      <x:c r="L51" s="324" t="inlineStr">
        <x:is>
          <x:t xml:space="preserve">3 years</x:t>
        </x:is>
      </x:c>
      <x:c r="M51" s="324" t="n">
        <x:v>180</x:v>
      </x:c>
      <x:c r="N51" s="324" t="inlineStr">
        <x:is>
          <x:t xml:space="preserve">1, 3, 4, 7, 8</x:t>
        </x:is>
      </x:c>
      <x:c r="O51" s="325" t="n">
        <x:v>39816</x:v>
      </x:c>
      <x:c r="P51" s="326" t="n">
        <x:v>20</x:v>
      </x:c>
      <x:c r="Q51" s="611" t="n">
        <x:v>0.1875</x:v>
      </x:c>
      <x:c r="R51" s="324" t="inlineStr">
        <x:is>
          <x:t xml:space="preserve">No</x:t>
        </x:is>
      </x:c>
      <x:c r="S51" s="324" t="inlineStr">
        <x:is>
          <x:t xml:space="preserve">No</x:t>
        </x:is>
      </x:c>
      <x:c r="T51" s="324" t="inlineStr">
        <x:is>
          <x:t xml:space="preserve">No</x:t>
        </x:is>
      </x:c>
      <x:c r="U51" s="324" t="inlineStr">
        <x:is>
          <x:t xml:space="preserve">No</x:t>
        </x:is>
      </x:c>
      <x:c r="V51" s="324" t="inlineStr">
        <x:is>
          <x:t xml:space="preserve">No</x:t>
        </x:is>
      </x:c>
      <x:c r="W51" s="324" t="inlineStr">
        <x:is>
          <x:t xml:space="preserve">No</x:t>
        </x:is>
      </x:c>
      <x:c r="X51" s="324" t="inlineStr">
        <x:is>
          <x:t xml:space="preserve">No</x:t>
        </x:is>
      </x:c>
      <x:c r="Y51" s="324" t="inlineStr">
        <x:is>
          <x:t xml:space="preserve">No</x:t>
        </x:is>
      </x:c>
    </x:row>
    <x:row r="52" s="569" customFormat="1" ht="38.25" customHeight="1">
      <x:c r="A52" s="323" t="n">
        <x:v>51</x:v>
      </x:c>
      <x:c r="B52" s="323" t="inlineStr">
        <x:is>
          <x:t xml:space="preserve">HBP</x:t>
        </x:is>
      </x:c>
      <x:c r="C52" s="324" t="inlineStr">
        <x:is>
          <x:t xml:space="preserve">N/A</x:t>
        </x:is>
      </x:c>
      <x:c r="D52" s="324" t="inlineStr">
        <x:is>
          <x:t xml:space="preserve">Oil and Gas Lease</x:t>
        </x:is>
      </x:c>
      <x:c r="E52" s="324" t="inlineStr">
        <x:is>
          <x:t xml:space="preserve">1736/195</x:t>
        </x:is>
      </x:c>
      <x:c r="F52" s="325" t="n">
        <x:v>38002</x:v>
      </x:c>
      <x:c r="G52" s="325" t="n">
        <x:v>38020</x:v>
      </x:c>
      <x:c r="H52" s="324" t="inlineStr">
        <x:is>
          <x:t xml:space="preserve">Hans W. Jensen</x:t>
        </x:is>
      </x:c>
      <x:c r="I52" s="324" t="inlineStr">
        <x:is>
          <x:t xml:space="preserve">R. Michael Lortz</x:t>
        </x:is>
      </x:c>
      <x:c r="J52" s="324" t="inlineStr">
        <x:is>
          <x:t xml:space="preserve">NW/4 SE/4, S/2 SE/4, SW/4 NE/4 of 31-12N-24W</x:t>
        </x:is>
      </x:c>
      <x:c r="K52" s="324" t="inlineStr">
        <x:is>
          <x:t xml:space="preserve">160 gross acres
3 yrs
3/16ths royalty</x:t>
        </x:is>
      </x:c>
      <x:c r="L52" s="324" t="inlineStr">
        <x:is>
          <x:t xml:space="preserve">3 years</x:t>
        </x:is>
      </x:c>
      <x:c r="M52" s="324" t="n">
        <x:v>160</x:v>
      </x:c>
      <x:c r="N52" s="324" t="n">
        <x:v>2</x:v>
      </x:c>
      <x:c r="O52" s="325" t="n">
        <x:v>39098</x:v>
      </x:c>
      <x:c r="P52" s="326" t="n">
        <x:v>4</x:v>
      </x:c>
      <x:c r="Q52" s="611" t="n">
        <x:v>0.1875</x:v>
      </x:c>
      <x:c r="R52" s="324" t="inlineStr">
        <x:is>
          <x:t xml:space="preserve">No</x:t>
        </x:is>
      </x:c>
      <x:c r="S52" s="324" t="inlineStr">
        <x:is>
          <x:t xml:space="preserve">No</x:t>
        </x:is>
      </x:c>
      <x:c r="T52" s="324" t="inlineStr">
        <x:is>
          <x:t xml:space="preserve">No</x:t>
        </x:is>
      </x:c>
      <x:c r="U52" s="324" t="inlineStr">
        <x:is>
          <x:t xml:space="preserve">No</x:t>
        </x:is>
      </x:c>
      <x:c r="V52" s="324" t="inlineStr">
        <x:is>
          <x:t xml:space="preserve">No</x:t>
        </x:is>
      </x:c>
      <x:c r="W52" s="324" t="inlineStr">
        <x:is>
          <x:t xml:space="preserve">No</x:t>
        </x:is>
      </x:c>
      <x:c r="X52" s="324" t="inlineStr">
        <x:is>
          <x:t xml:space="preserve">No</x:t>
        </x:is>
      </x:c>
      <x:c r="Y52" s="324" t="inlineStr">
        <x:is>
          <x:t xml:space="preserve">No</x:t>
        </x:is>
      </x:c>
    </x:row>
    <x:row r="53" s="569" customFormat="1" ht="38.25" customHeight="1">
      <x:c r="A53" s="323" t="n">
        <x:v>52</x:v>
      </x:c>
      <x:c r="B53" s="323" t="inlineStr">
        <x:is>
          <x:t xml:space="preserve">HBP</x:t>
        </x:is>
      </x:c>
      <x:c r="C53" s="324" t="inlineStr">
        <x:is>
          <x:t xml:space="preserve">N/A</x:t>
        </x:is>
      </x:c>
      <x:c r="D53" s="324" t="inlineStr">
        <x:is>
          <x:t xml:space="preserve">Oil and Gas Lease</x:t>
        </x:is>
      </x:c>
      <x:c r="E53" s="324" t="inlineStr">
        <x:is>
          <x:t xml:space="preserve">1736/199</x:t>
        </x:is>
      </x:c>
      <x:c r="F53" s="325" t="n">
        <x:v>38002</x:v>
      </x:c>
      <x:c r="G53" s="325" t="n">
        <x:v>38020</x:v>
      </x:c>
      <x:c r="H53" s="324" t="inlineStr">
        <x:is>
          <x:t xml:space="preserve">Tim E. Jensen</x:t>
        </x:is>
      </x:c>
      <x:c r="I53" s="324" t="inlineStr">
        <x:is>
          <x:t xml:space="preserve">R. Michael Lortz</x:t>
        </x:is>
      </x:c>
      <x:c r="J53" s="324" t="inlineStr">
        <x:is>
          <x:t xml:space="preserve">NW/4 SE/4, S/2 SE/4, SW/4 NE/4 of 31-12N-24W</x:t>
        </x:is>
      </x:c>
      <x:c r="K53" s="324" t="inlineStr">
        <x:is>
          <x:t xml:space="preserve">160 gross acres
3 yrs
3/16ths royalty</x:t>
        </x:is>
      </x:c>
      <x:c r="L53" s="324" t="inlineStr">
        <x:is>
          <x:t xml:space="preserve">3 years</x:t>
        </x:is>
      </x:c>
      <x:c r="M53" s="324" t="n">
        <x:v>160</x:v>
      </x:c>
      <x:c r="N53" s="324" t="n">
        <x:v>2</x:v>
      </x:c>
      <x:c r="O53" s="325" t="n">
        <x:v>39098</x:v>
      </x:c>
      <x:c r="P53" s="326" t="n">
        <x:v>4</x:v>
      </x:c>
      <x:c r="Q53" s="611" t="n">
        <x:v>0.1875</x:v>
      </x:c>
      <x:c r="R53" s="324" t="inlineStr">
        <x:is>
          <x:t xml:space="preserve">No</x:t>
        </x:is>
      </x:c>
      <x:c r="S53" s="324" t="inlineStr">
        <x:is>
          <x:t xml:space="preserve">No</x:t>
        </x:is>
      </x:c>
      <x:c r="T53" s="324" t="inlineStr">
        <x:is>
          <x:t xml:space="preserve">No</x:t>
        </x:is>
      </x:c>
      <x:c r="U53" s="324" t="inlineStr">
        <x:is>
          <x:t xml:space="preserve">No</x:t>
        </x:is>
      </x:c>
      <x:c r="V53" s="324" t="inlineStr">
        <x:is>
          <x:t xml:space="preserve">No</x:t>
        </x:is>
      </x:c>
      <x:c r="W53" s="324" t="inlineStr">
        <x:is>
          <x:t xml:space="preserve">No</x:t>
        </x:is>
      </x:c>
      <x:c r="X53" s="324" t="inlineStr">
        <x:is>
          <x:t xml:space="preserve">No</x:t>
        </x:is>
      </x:c>
      <x:c r="Y53" s="324" t="inlineStr">
        <x:is>
          <x:t xml:space="preserve">No</x:t>
        </x:is>
      </x:c>
    </x:row>
    <x:row r="54" s="569" customFormat="1" ht="38.25" customHeight="1">
      <x:c r="A54" s="323" t="n">
        <x:v>53</x:v>
      </x:c>
      <x:c r="B54" s="323" t="inlineStr">
        <x:is>
          <x:t xml:space="preserve">HBP</x:t>
        </x:is>
      </x:c>
      <x:c r="C54" s="324" t="inlineStr">
        <x:is>
          <x:t xml:space="preserve">N/A</x:t>
        </x:is>
      </x:c>
      <x:c r="D54" s="324" t="inlineStr">
        <x:is>
          <x:t xml:space="preserve">Oil and Gas Lease</x:t>
        </x:is>
      </x:c>
      <x:c r="E54" s="324" t="inlineStr">
        <x:is>
          <x:t xml:space="preserve">1736/590</x:t>
        </x:is>
      </x:c>
      <x:c r="F54" s="325" t="n">
        <x:v>38002</x:v>
      </x:c>
      <x:c r="G54" s="325" t="n">
        <x:v>38029</x:v>
      </x:c>
      <x:c r="H54" s="324" t="inlineStr">
        <x:is>
          <x:t xml:space="preserve">Juanita M. Wolff</x:t>
        </x:is>
      </x:c>
      <x:c r="I54" s="324" t="inlineStr">
        <x:is>
          <x:t xml:space="preserve">R. Michael Lortz</x:t>
        </x:is>
      </x:c>
      <x:c r="J54" s="324" t="inlineStr">
        <x:is>
          <x:t xml:space="preserve">NW/4 SE/4, S/2 SE/4, SW/4 NE/4 of 31-12N-24W</x:t>
        </x:is>
      </x:c>
      <x:c r="K54" s="324" t="inlineStr">
        <x:is>
          <x:t xml:space="preserve">160 gross acres
3 yrs
3/16ths royalty</x:t>
        </x:is>
      </x:c>
      <x:c r="L54" s="324" t="inlineStr">
        <x:is>
          <x:t xml:space="preserve">3 years</x:t>
        </x:is>
      </x:c>
      <x:c r="M54" s="324" t="n">
        <x:v>160</x:v>
      </x:c>
      <x:c r="N54" s="324" t="n">
        <x:v>2</x:v>
      </x:c>
      <x:c r="O54" s="325" t="n">
        <x:v>39098</x:v>
      </x:c>
      <x:c r="P54" s="326" t="n">
        <x:v>15.90214855901044</x:v>
      </x:c>
      <x:c r="Q54" s="611" t="n">
        <x:v>0.1875</x:v>
      </x:c>
      <x:c r="R54" s="324" t="inlineStr">
        <x:is>
          <x:t xml:space="preserve">No</x:t>
        </x:is>
      </x:c>
      <x:c r="S54" s="324" t="inlineStr">
        <x:is>
          <x:t xml:space="preserve">No</x:t>
        </x:is>
      </x:c>
      <x:c r="T54" s="324" t="inlineStr">
        <x:is>
          <x:t xml:space="preserve">No</x:t>
        </x:is>
      </x:c>
      <x:c r="U54" s="324" t="inlineStr">
        <x:is>
          <x:t xml:space="preserve">No</x:t>
        </x:is>
      </x:c>
      <x:c r="V54" s="324" t="inlineStr">
        <x:is>
          <x:t xml:space="preserve">No</x:t>
        </x:is>
      </x:c>
      <x:c r="W54" s="324" t="inlineStr">
        <x:is>
          <x:t xml:space="preserve">No</x:t>
        </x:is>
      </x:c>
      <x:c r="X54" s="324" t="inlineStr">
        <x:is>
          <x:t xml:space="preserve">No</x:t>
        </x:is>
      </x:c>
      <x:c r="Y54" s="324" t="inlineStr">
        <x:is>
          <x:t xml:space="preserve">No</x:t>
        </x:is>
      </x:c>
    </x:row>
    <x:row r="55" s="569" customFormat="1" ht="38.25" customHeight="1">
      <x:c r="A55" s="323" t="n">
        <x:v>54</x:v>
      </x:c>
      <x:c r="B55" s="323" t="inlineStr">
        <x:is>
          <x:t xml:space="preserve">HBP</x:t>
        </x:is>
      </x:c>
      <x:c r="C55" s="324" t="inlineStr">
        <x:is>
          <x:t xml:space="preserve">N/A</x:t>
        </x:is>
      </x:c>
      <x:c r="D55" s="324" t="inlineStr">
        <x:is>
          <x:t xml:space="preserve">Oil and Gas Lease</x:t>
        </x:is>
      </x:c>
      <x:c r="E55" s="324" t="inlineStr">
        <x:is>
          <x:t xml:space="preserve">1736/596</x:t>
        </x:is>
      </x:c>
      <x:c r="F55" s="325" t="n">
        <x:v>38002</x:v>
      </x:c>
      <x:c r="G55" s="325" t="n">
        <x:v>38029</x:v>
      </x:c>
      <x:c r="H55" s="324" t="inlineStr">
        <x:is>
          <x:t xml:space="preserve">Carl L. Bain</x:t>
        </x:is>
      </x:c>
      <x:c r="I55" s="324" t="inlineStr">
        <x:is>
          <x:t xml:space="preserve">R. Michael Lortz</x:t>
        </x:is>
      </x:c>
      <x:c r="J55" s="324" t="inlineStr">
        <x:is>
          <x:t xml:space="preserve">NW/4 SE/4, S/2 SE/4, SW/4 NE/4 of 31-12N-24W</x:t>
        </x:is>
      </x:c>
      <x:c r="K55" s="324" t="inlineStr">
        <x:is>
          <x:t xml:space="preserve">160 gross acres
3 yrs
3/16ths royalty</x:t>
        </x:is>
      </x:c>
      <x:c r="L55" s="324" t="inlineStr">
        <x:is>
          <x:t xml:space="preserve">3 years</x:t>
        </x:is>
      </x:c>
      <x:c r="M55" s="324" t="n">
        <x:v>160</x:v>
      </x:c>
      <x:c r="N55" s="324" t="n">
        <x:v>2</x:v>
      </x:c>
      <x:c r="O55" s="325" t="n">
        <x:v>39098</x:v>
      </x:c>
      <x:c r="P55" s="326" t="n">
        <x:v>8.086219313429442</x:v>
      </x:c>
      <x:c r="Q55" s="611" t="n">
        <x:v>0.1875</x:v>
      </x:c>
      <x:c r="R55" s="324" t="inlineStr">
        <x:is>
          <x:t xml:space="preserve">No</x:t>
        </x:is>
      </x:c>
      <x:c r="S55" s="324" t="inlineStr">
        <x:is>
          <x:t xml:space="preserve">No</x:t>
        </x:is>
      </x:c>
      <x:c r="T55" s="324" t="inlineStr">
        <x:is>
          <x:t xml:space="preserve">No</x:t>
        </x:is>
      </x:c>
      <x:c r="U55" s="324" t="inlineStr">
        <x:is>
          <x:t xml:space="preserve">No</x:t>
        </x:is>
      </x:c>
      <x:c r="V55" s="324" t="inlineStr">
        <x:is>
          <x:t xml:space="preserve">No</x:t>
        </x:is>
      </x:c>
      <x:c r="W55" s="324" t="inlineStr">
        <x:is>
          <x:t xml:space="preserve">No</x:t>
        </x:is>
      </x:c>
      <x:c r="X55" s="324" t="inlineStr">
        <x:is>
          <x:t xml:space="preserve">No</x:t>
        </x:is>
      </x:c>
      <x:c r="Y55" s="324" t="inlineStr">
        <x:is>
          <x:t xml:space="preserve">No</x:t>
        </x:is>
      </x:c>
    </x:row>
    <x:row r="56" s="569" customFormat="1" ht="38.25" customHeight="1">
      <x:c r="A56" s="323" t="n">
        <x:v>55</x:v>
      </x:c>
      <x:c r="B56" s="323" t="inlineStr">
        <x:is>
          <x:t xml:space="preserve">HBP</x:t>
        </x:is>
      </x:c>
      <x:c r="C56" s="324" t="inlineStr">
        <x:is>
          <x:t xml:space="preserve">N/A</x:t>
        </x:is>
      </x:c>
      <x:c r="D56" s="324" t="inlineStr">
        <x:is>
          <x:t xml:space="preserve">Oil and Gas Lease</x:t>
        </x:is>
      </x:c>
      <x:c r="E56" s="324" t="inlineStr">
        <x:is>
          <x:t xml:space="preserve">1820/15</x:t>
        </x:is>
      </x:c>
      <x:c r="F56" s="325" t="n">
        <x:v>38709</x:v>
      </x:c>
      <x:c r="G56" s="325" t="n">
        <x:v>38733</x:v>
      </x:c>
      <x:c r="H56" s="324" t="inlineStr">
        <x:is>
          <x:t xml:space="preserve">Myron V. Slobin</x:t>
        </x:is>
      </x:c>
      <x:c r="I56" s="324" t="inlineStr">
        <x:is>
          <x:t xml:space="preserve">Devon Energy Production Co.. L.P.</x:t>
        </x:is>
      </x:c>
      <x:c r="J56" s="324" t="inlineStr">
        <x:is>
          <x:t xml:space="preserve">NW/4 SE/4, S/2 SE/4, SW/4 NE/4 of 31-12N-24W</x:t>
        </x:is>
      </x:c>
      <x:c r="K56" s="324" t="inlineStr">
        <x:is>
          <x:t xml:space="preserve">160 gross acres
3 yrs
3/16ths royalty</x:t>
        </x:is>
      </x:c>
      <x:c r="L56" s="324" t="inlineStr">
        <x:is>
          <x:t xml:space="preserve">3 years</x:t>
        </x:is>
      </x:c>
      <x:c r="M56" s="324" t="n">
        <x:v>160</x:v>
      </x:c>
      <x:c r="N56" s="324" t="n">
        <x:v>2</x:v>
      </x:c>
      <x:c r="O56" s="325" t="n">
        <x:v>39805</x:v>
      </x:c>
      <x:c r="P56" s="326" t="n">
        <x:v>0.2021554828357358</x:v>
      </x:c>
      <x:c r="Q56" s="611" t="n">
        <x:v>0.1875</x:v>
      </x:c>
      <x:c r="R56" s="324" t="inlineStr">
        <x:is>
          <x:t xml:space="preserve">No</x:t>
        </x:is>
      </x:c>
      <x:c r="S56" s="324" t="inlineStr">
        <x:is>
          <x:t xml:space="preserve">F</x:t>
        </x:is>
      </x:c>
      <x:c r="T56" s="324" t="inlineStr">
        <x:is>
          <x:t xml:space="preserve">No</x:t>
        </x:is>
      </x:c>
      <x:c r="U56" s="324" t="inlineStr">
        <x:is>
          <x:t xml:space="preserve">No</x:t>
        </x:is>
      </x:c>
      <x:c r="V56" s="324" t="inlineStr">
        <x:is>
          <x:t xml:space="preserve">No</x:t>
        </x:is>
      </x:c>
      <x:c r="W56" s="324" t="inlineStr">
        <x:is>
          <x:t xml:space="preserve">No</x:t>
        </x:is>
      </x:c>
      <x:c r="X56" s="324" t="inlineStr">
        <x:is>
          <x:t xml:space="preserve">No</x:t>
        </x:is>
      </x:c>
      <x:c r="Y56" s="324" t="inlineStr">
        <x:is>
          <x:t xml:space="preserve">No</x:t>
        </x:is>
      </x:c>
    </x:row>
    <x:row r="57" s="569" customFormat="1" ht="38.25" customHeight="1">
      <x:c r="A57" s="323" t="n">
        <x:v>56</x:v>
      </x:c>
      <x:c r="B57" s="323" t="inlineStr">
        <x:is>
          <x:t xml:space="preserve">HBP</x:t>
        </x:is>
      </x:c>
      <x:c r="C57" s="324" t="inlineStr">
        <x:is>
          <x:t xml:space="preserve">N/A</x:t>
        </x:is>
      </x:c>
      <x:c r="D57" s="324" t="inlineStr">
        <x:is>
          <x:t xml:space="preserve">Oil and Gas Lease</x:t>
        </x:is>
      </x:c>
      <x:c r="E57" s="324" t="inlineStr">
        <x:is>
          <x:t xml:space="preserve">1821/92</x:t>
        </x:is>
      </x:c>
      <x:c r="F57" s="325" t="n">
        <x:v>38726</x:v>
      </x:c>
      <x:c r="G57" s="325" t="n">
        <x:v>38742</x:v>
      </x:c>
      <x:c r="H57" s="324" t="inlineStr">
        <x:is>
          <x:t xml:space="preserve">Anna Tamise Gibson</x:t>
        </x:is>
      </x:c>
      <x:c r="I57" s="324" t="inlineStr">
        <x:is>
          <x:t xml:space="preserve">Devon Energy Production Co.</x:t>
        </x:is>
      </x:c>
      <x:c r="J57" s="324" t="inlineStr">
        <x:is>
          <x:t xml:space="preserve">NW/4 SE/4, S/2 SE/4, SW/4 NE/4 of 31-12N-24W</x:t>
        </x:is>
      </x:c>
      <x:c r="K57" s="324" t="inlineStr">
        <x:is>
          <x:t xml:space="preserve">160 gross acres
3 yrs
3/16ths royalty</x:t>
        </x:is>
      </x:c>
      <x:c r="L57" s="324" t="inlineStr">
        <x:is>
          <x:t xml:space="preserve">3 years</x:t>
        </x:is>
      </x:c>
      <x:c r="M57" s="324" t="n">
        <x:v>160</x:v>
      </x:c>
      <x:c r="N57" s="324" t="n">
        <x:v>2</x:v>
      </x:c>
      <x:c r="O57" s="325" t="n">
        <x:v>39822</x:v>
      </x:c>
      <x:c r="P57" s="326" t="n">
        <x:v>4.435946666666666</x:v>
      </x:c>
      <x:c r="Q57" s="611" t="n">
        <x:v>0.1875</x:v>
      </x:c>
      <x:c r="R57" s="324" t="inlineStr">
        <x:is>
          <x:t xml:space="preserve">No</x:t>
        </x:is>
      </x:c>
      <x:c r="S57" s="324" t="inlineStr">
        <x:is>
          <x:t xml:space="preserve">F</x:t>
        </x:is>
      </x:c>
      <x:c r="T57" s="324" t="inlineStr">
        <x:is>
          <x:t xml:space="preserve">No</x:t>
        </x:is>
      </x:c>
      <x:c r="U57" s="324" t="inlineStr">
        <x:is>
          <x:t xml:space="preserve">No</x:t>
        </x:is>
      </x:c>
      <x:c r="V57" s="324" t="inlineStr">
        <x:is>
          <x:t xml:space="preserve">No</x:t>
        </x:is>
      </x:c>
      <x:c r="W57" s="324" t="inlineStr">
        <x:is>
          <x:t xml:space="preserve">No</x:t>
        </x:is>
      </x:c>
      <x:c r="X57" s="324" t="inlineStr">
        <x:is>
          <x:t xml:space="preserve">No</x:t>
        </x:is>
      </x:c>
      <x:c r="Y57" s="324" t="inlineStr">
        <x:is>
          <x:t xml:space="preserve">No</x:t>
        </x:is>
      </x:c>
    </x:row>
    <x:row r="58" s="569" customFormat="1" ht="38.25" customHeight="1">
      <x:c r="A58" s="323" t="n">
        <x:v>57</x:v>
      </x:c>
      <x:c r="B58" s="323" t="inlineStr">
        <x:is>
          <x:t xml:space="preserve">HBP</x:t>
        </x:is>
      </x:c>
      <x:c r="C58" s="324" t="inlineStr">
        <x:is>
          <x:t xml:space="preserve">N/A</x:t>
        </x:is>
      </x:c>
      <x:c r="D58" s="324" t="inlineStr">
        <x:is>
          <x:t xml:space="preserve">Oil and Gas Lease</x:t>
        </x:is>
      </x:c>
      <x:c r="E58" s="324" t="inlineStr">
        <x:is>
          <x:t xml:space="preserve">1736/496</x:t>
        </x:is>
      </x:c>
      <x:c r="F58" s="325" t="n">
        <x:v>38013</x:v>
      </x:c>
      <x:c r="G58" s="325" t="n">
        <x:v>38027</x:v>
      </x:c>
      <x:c r="H58" s="324" t="inlineStr">
        <x:is>
          <x:t xml:space="preserve">John W. Bain, Joseph A. Bain, Anna T. Gibson</x:t>
        </x:is>
      </x:c>
      <x:c r="I58" s="324" t="inlineStr">
        <x:is>
          <x:t xml:space="preserve">R. Michael Lortz</x:t>
        </x:is>
      </x:c>
      <x:c r="J58" s="324" t="inlineStr">
        <x:is>
          <x:t xml:space="preserve">NW/4 SE/4, S/2 SE/4, SW/4 NE/4 of 31-12N-24W</x:t>
        </x:is>
      </x:c>
      <x:c r="K58" s="324" t="inlineStr">
        <x:is>
          <x:t xml:space="preserve">160 gross acres
3 yrs
3/16ths royalty</x:t>
        </x:is>
      </x:c>
      <x:c r="L58" s="324" t="inlineStr">
        <x:is>
          <x:t xml:space="preserve">3 years</x:t>
        </x:is>
      </x:c>
      <x:c r="M58" s="324" t="n">
        <x:v>160</x:v>
      </x:c>
      <x:c r="N58" s="324" t="n">
        <x:v>2</x:v>
      </x:c>
      <x:c r="O58" s="325" t="n">
        <x:v>39109</x:v>
      </x:c>
      <x:c r="P58" s="326" t="n">
        <x:v>5.871893333333333</x:v>
      </x:c>
      <x:c r="Q58" s="611" t="n">
        <x:v>0.1875</x:v>
      </x:c>
      <x:c r="R58" s="324" t="inlineStr">
        <x:is>
          <x:t xml:space="preserve">No</x:t>
        </x:is>
      </x:c>
      <x:c r="S58" s="324" t="inlineStr">
        <x:is>
          <x:t xml:space="preserve">No</x:t>
        </x:is>
      </x:c>
      <x:c r="T58" s="324" t="inlineStr">
        <x:is>
          <x:t xml:space="preserve">No</x:t>
        </x:is>
      </x:c>
      <x:c r="U58" s="324" t="inlineStr">
        <x:is>
          <x:t xml:space="preserve">No</x:t>
        </x:is>
      </x:c>
      <x:c r="V58" s="324" t="inlineStr">
        <x:is>
          <x:t xml:space="preserve">No</x:t>
        </x:is>
      </x:c>
      <x:c r="W58" s="324" t="inlineStr">
        <x:is>
          <x:t xml:space="preserve">No</x:t>
        </x:is>
      </x:c>
      <x:c r="X58" s="324" t="inlineStr">
        <x:is>
          <x:t xml:space="preserve">No</x:t>
        </x:is>
      </x:c>
      <x:c r="Y58" s="324" t="inlineStr">
        <x:is>
          <x:t xml:space="preserve">No</x:t>
        </x:is>
      </x:c>
    </x:row>
    <x:row r="59" s="569" customFormat="1" ht="38.25" customHeight="1">
      <x:c r="A59" s="323" t="n">
        <x:v>58</x:v>
      </x:c>
      <x:c r="B59" s="323" t="inlineStr">
        <x:is>
          <x:t xml:space="preserve">HBP</x:t>
        </x:is>
      </x:c>
      <x:c r="C59" s="324" t="inlineStr">
        <x:is>
          <x:t xml:space="preserve">N/A</x:t>
        </x:is>
      </x:c>
      <x:c r="D59" s="324" t="inlineStr">
        <x:is>
          <x:t xml:space="preserve">Oil and Gas Lease</x:t>
        </x:is>
      </x:c>
      <x:c r="E59" s="324" t="inlineStr">
        <x:is>
          <x:t xml:space="preserve">1821/465</x:t>
        </x:is>
      </x:c>
      <x:c r="F59" s="325" t="n">
        <x:v>38733</x:v>
      </x:c>
      <x:c r="G59" s="325" t="n">
        <x:v>38747</x:v>
      </x:c>
      <x:c r="H59" s="324" t="inlineStr">
        <x:is>
          <x:t xml:space="preserve">James M. Robertson, Rose Elaine Robertson</x:t>
        </x:is>
      </x:c>
      <x:c r="I59" s="324" t="inlineStr">
        <x:is>
          <x:t xml:space="preserve">Devon Energy Prod Co.</x:t>
        </x:is>
      </x:c>
      <x:c r="J59" s="324" t="inlineStr">
        <x:is>
          <x:t xml:space="preserve">NW/4 SE/4, S/2 SE/4, SW/4 NE/4 of 31-12N-24W</x:t>
        </x:is>
      </x:c>
      <x:c r="K59" s="324" t="inlineStr">
        <x:is>
          <x:t xml:space="preserve">160 gross acres
18 months
1/4th royalty</x:t>
        </x:is>
      </x:c>
      <x:c r="L59" s="324" t="inlineStr">
        <x:is>
          <x:t xml:space="preserve">18 months</x:t>
        </x:is>
      </x:c>
      <x:c r="M59" s="324" t="n">
        <x:v>160</x:v>
      </x:c>
      <x:c r="N59" s="324" t="n">
        <x:v>2</x:v>
      </x:c>
      <x:c r="O59" s="325" t="n">
        <x:v>39279</x:v>
      </x:c>
      <x:c r="P59" s="326" t="n">
        <x:v>0.404310965671472</x:v>
      </x:c>
      <x:c r="Q59" s="611" t="n">
        <x:v>0.25</x:v>
      </x:c>
      <x:c r="R59" s="324" t="inlineStr">
        <x:is>
          <x:t xml:space="preserve">No</x:t>
        </x:is>
      </x:c>
      <x:c r="S59" s="324" t="inlineStr">
        <x:is>
          <x:t xml:space="preserve">F</x:t>
        </x:is>
      </x:c>
      <x:c r="T59" s="324" t="inlineStr">
        <x:is>
          <x:t xml:space="preserve">No</x:t>
        </x:is>
      </x:c>
      <x:c r="U59" s="324" t="inlineStr">
        <x:is>
          <x:t xml:space="preserve">No</x:t>
        </x:is>
      </x:c>
      <x:c r="V59" s="324" t="inlineStr">
        <x:is>
          <x:t xml:space="preserve">No</x:t>
        </x:is>
      </x:c>
      <x:c r="W59" s="324" t="inlineStr">
        <x:is>
          <x:t xml:space="preserve">No</x:t>
        </x:is>
      </x:c>
      <x:c r="X59" s="324" t="inlineStr">
        <x:is>
          <x:t xml:space="preserve">No</x:t>
        </x:is>
      </x:c>
      <x:c r="Y59" s="324" t="inlineStr">
        <x:is>
          <x:t xml:space="preserve">No</x:t>
        </x:is>
      </x:c>
    </x:row>
    <x:row r="60" s="569" customFormat="1" ht="38.25" customHeight="1">
      <x:c r="A60" s="323" t="n">
        <x:v>59</x:v>
      </x:c>
      <x:c r="B60" s="323" t="inlineStr">
        <x:is>
          <x:t xml:space="preserve">HBP</x:t>
        </x:is>
      </x:c>
      <x:c r="C60" s="324" t="inlineStr">
        <x:is>
          <x:t xml:space="preserve">N/A</x:t>
        </x:is>
      </x:c>
      <x:c r="D60" s="324" t="inlineStr">
        <x:is>
          <x:t xml:space="preserve">Oil and Gas Lease</x:t>
        </x:is>
      </x:c>
      <x:c r="E60" s="324" t="inlineStr">
        <x:is>
          <x:t xml:space="preserve">1822/572</x:t>
        </x:is>
      </x:c>
      <x:c r="F60" s="325" t="n">
        <x:v>38658</x:v>
      </x:c>
      <x:c r="G60" s="325" t="n">
        <x:v>38754</x:v>
      </x:c>
      <x:c r="H60" s="324" t="inlineStr">
        <x:is>
          <x:t xml:space="preserve">David S. Silverberg</x:t>
        </x:is>
      </x:c>
      <x:c r="I60" s="324" t="inlineStr">
        <x:is>
          <x:t xml:space="preserve">Jess Harris, III, Inc.</x:t>
        </x:is>
      </x:c>
      <x:c r="J60" s="324" t="inlineStr">
        <x:is>
          <x:t xml:space="preserve">SE/4 SE/4, SW/4 NE/4, W/2 SE/4 of 31-12N-24W</x:t>
        </x:is>
      </x:c>
      <x:c r="K60" s="324" t="inlineStr">
        <x:is>
          <x:t xml:space="preserve">160 gross acres
3 yrs
3/16ths royalty</x:t>
        </x:is>
      </x:c>
      <x:c r="L60" s="312" t="inlineStr">
        <x:is>
          <x:t xml:space="preserve">3 years</x:t>
        </x:is>
      </x:c>
      <x:c r="M60" s="324" t="n">
        <x:v>160</x:v>
      </x:c>
      <x:c r="N60" s="324" t="n">
        <x:v>2</x:v>
      </x:c>
      <x:c r="O60" s="325" t="n">
        <x:v>39754</x:v>
      </x:c>
      <x:c r="P60" s="326" t="n">
        <x:v>0.404310965671472</x:v>
      </x:c>
      <x:c r="Q60" s="611" t="n">
        <x:v>0.1875</x:v>
      </x:c>
      <x:c r="R60" s="324" t="inlineStr">
        <x:is>
          <x:t xml:space="preserve">No</x:t>
        </x:is>
      </x:c>
      <x:c r="S60" s="324" t="inlineStr">
        <x:is>
          <x:t xml:space="preserve">F</x:t>
        </x:is>
      </x:c>
      <x:c r="T60" s="324" t="inlineStr">
        <x:is>
          <x:t xml:space="preserve">No</x:t>
        </x:is>
      </x:c>
      <x:c r="U60" s="324" t="inlineStr">
        <x:is>
          <x:t xml:space="preserve">No</x:t>
        </x:is>
      </x:c>
      <x:c r="V60" s="324" t="inlineStr">
        <x:is>
          <x:t xml:space="preserve">No</x:t>
        </x:is>
      </x:c>
      <x:c r="W60" s="324" t="inlineStr">
        <x:is>
          <x:t xml:space="preserve">No</x:t>
        </x:is>
      </x:c>
      <x:c r="X60" s="324" t="inlineStr">
        <x:is>
          <x:t xml:space="preserve">No</x:t>
        </x:is>
      </x:c>
      <x:c r="Y60" s="324" t="inlineStr">
        <x:is>
          <x:t xml:space="preserve">No</x:t>
        </x:is>
      </x:c>
    </x:row>
    <x:row r="61" s="569" customFormat="1" ht="38.25" customHeight="1">
      <x:c r="A61" s="323" t="n">
        <x:v>60</x:v>
      </x:c>
      <x:c r="B61" s="323" t="inlineStr">
        <x:is>
          <x:t xml:space="preserve">HBP</x:t>
        </x:is>
      </x:c>
      <x:c r="C61" s="324" t="inlineStr">
        <x:is>
          <x:t xml:space="preserve">N/A</x:t>
        </x:is>
      </x:c>
      <x:c r="D61" s="324" t="inlineStr">
        <x:is>
          <x:t xml:space="preserve">Oil and Gas Lease</x:t>
        </x:is>
      </x:c>
      <x:c r="E61" s="324" t="inlineStr">
        <x:is>
          <x:t xml:space="preserve">1822/562</x:t>
        </x:is>
      </x:c>
      <x:c r="F61" s="325" t="n">
        <x:v>38693</x:v>
      </x:c>
      <x:c r="G61" s="325" t="n">
        <x:v>38754</x:v>
      </x:c>
      <x:c r="H61" s="324" t="inlineStr">
        <x:is>
          <x:t xml:space="preserve">Clyde A. Pine</x:t>
        </x:is>
      </x:c>
      <x:c r="I61" s="324" t="inlineStr">
        <x:is>
          <x:t xml:space="preserve">Jess Harris, III, Inc.</x:t>
        </x:is>
      </x:c>
      <x:c r="J61" s="324" t="inlineStr">
        <x:is>
          <x:t xml:space="preserve">E/2 NW/4 of 31-12N-24W</x:t>
        </x:is>
      </x:c>
      <x:c r="K61" s="324" t="inlineStr">
        <x:is>
          <x:t xml:space="preserve">80 gross acres
3 yrs
1/4th royalty</x:t>
        </x:is>
      </x:c>
      <x:c r="L61" s="324" t="inlineStr">
        <x:is>
          <x:t xml:space="preserve">3 years</x:t>
        </x:is>
      </x:c>
      <x:c r="M61" s="324" t="n">
        <x:v>80</x:v>
      </x:c>
      <x:c r="N61" s="324" t="n">
        <x:v>4</x:v>
      </x:c>
      <x:c r="O61" s="325" t="n">
        <x:v>39789</x:v>
      </x:c>
      <x:c r="P61" s="326" t="n">
        <x:v>4.210399999999995</x:v>
      </x:c>
      <x:c r="Q61" s="611" t="n">
        <x:v>0.25</x:v>
      </x:c>
      <x:c r="R61" s="324" t="inlineStr">
        <x:is>
          <x:t xml:space="preserve">No</x:t>
        </x:is>
      </x:c>
      <x:c r="S61" s="324" t="inlineStr">
        <x:is>
          <x:t xml:space="preserve">F</x:t>
        </x:is>
      </x:c>
      <x:c r="T61" s="324" t="inlineStr">
        <x:is>
          <x:t xml:space="preserve">No</x:t>
        </x:is>
      </x:c>
      <x:c r="U61" s="324" t="inlineStr">
        <x:is>
          <x:t xml:space="preserve">No</x:t>
        </x:is>
      </x:c>
      <x:c r="V61" s="324" t="inlineStr">
        <x:is>
          <x:t xml:space="preserve">No</x:t>
        </x:is>
      </x:c>
      <x:c r="W61" s="324" t="inlineStr">
        <x:is>
          <x:t xml:space="preserve">No</x:t>
        </x:is>
      </x:c>
      <x:c r="X61" s="324" t="inlineStr">
        <x:is>
          <x:t xml:space="preserve">No</x:t>
        </x:is>
      </x:c>
      <x:c r="Y61" s="324" t="inlineStr">
        <x:is>
          <x:t xml:space="preserve">No</x:t>
        </x:is>
      </x:c>
    </x:row>
    <x:row r="62" s="569" customFormat="1" ht="38.25" customHeight="1">
      <x:c r="A62" s="323" t="n">
        <x:v>61</x:v>
      </x:c>
      <x:c r="B62" s="323" t="inlineStr">
        <x:is>
          <x:t xml:space="preserve">HBP</x:t>
        </x:is>
      </x:c>
      <x:c r="C62" s="324" t="inlineStr">
        <x:is>
          <x:t xml:space="preserve">N/A</x:t>
        </x:is>
      </x:c>
      <x:c r="D62" s="324" t="inlineStr">
        <x:is>
          <x:t xml:space="preserve">Oil and Gas Lease</x:t>
        </x:is>
      </x:c>
      <x:c r="E62" s="324" t="inlineStr">
        <x:is>
          <x:t xml:space="preserve">1829/26</x:t>
        </x:is>
      </x:c>
      <x:c r="F62" s="325" t="n">
        <x:v>38760</x:v>
      </x:c>
      <x:c r="G62" s="325" t="n">
        <x:v>38792</x:v>
      </x:c>
      <x:c r="H62" s="324" t="inlineStr">
        <x:is>
          <x:t xml:space="preserve">Termo Company</x:t>
        </x:is>
      </x:c>
      <x:c r="I62" s="324" t="inlineStr">
        <x:is>
          <x:t xml:space="preserve">Devon Energy Production Co.</x:t>
        </x:is>
      </x:c>
      <x:c r="J62" s="324" t="inlineStr">
        <x:is>
          <x:t xml:space="preserve">E/2 NW/4, N/2 NE/4 SW/4, NE/4 SE/4, SE/4 NE/4 of 31-12N-24W</x:t>
        </x:is>
      </x:c>
      <x:c r="K62" s="324" t="inlineStr">
        <x:is>
          <x:t xml:space="preserve">180 gross acres
3 yrs
1/4th royalty</x:t>
        </x:is>
      </x:c>
      <x:c r="L62" s="324" t="inlineStr">
        <x:is>
          <x:t xml:space="preserve">3 years</x:t>
        </x:is>
      </x:c>
      <x:c r="M62" s="324" t="n">
        <x:v>180</x:v>
      </x:c>
      <x:c r="N62" s="324" t="inlineStr">
        <x:is>
          <x:t xml:space="preserve">1, 3, 4, 7, 8</x:t>
        </x:is>
      </x:c>
      <x:c r="O62" s="325" t="n">
        <x:v>39856</x:v>
      </x:c>
      <x:c r="P62" s="326" t="n">
        <x:v>0</x:v>
      </x:c>
      <x:c r="Q62" s="611" t="n">
        <x:v>0.25</x:v>
      </x:c>
      <x:c r="R62" s="324" t="inlineStr">
        <x:is>
          <x:t xml:space="preserve">No</x:t>
        </x:is>
      </x:c>
      <x:c r="S62" s="324" t="inlineStr">
        <x:is>
          <x:t xml:space="preserve">F</x:t>
        </x:is>
      </x:c>
      <x:c r="T62" s="324" t="inlineStr">
        <x:is>
          <x:t xml:space="preserve">No</x:t>
        </x:is>
      </x:c>
      <x:c r="U62" s="324" t="inlineStr">
        <x:is>
          <x:t xml:space="preserve">No</x:t>
        </x:is>
      </x:c>
      <x:c r="V62" s="324" t="inlineStr">
        <x:is>
          <x:t xml:space="preserve">No</x:t>
        </x:is>
      </x:c>
      <x:c r="W62" s="324" t="inlineStr">
        <x:is>
          <x:t xml:space="preserve">No</x:t>
        </x:is>
      </x:c>
      <x:c r="X62" s="324" t="inlineStr">
        <x:is>
          <x:t xml:space="preserve">No</x:t>
        </x:is>
      </x:c>
      <x:c r="Y62" s="324" t="inlineStr">
        <x:is>
          <x:t xml:space="preserve">No</x:t>
        </x:is>
      </x:c>
    </x:row>
    <x:row r="63" s="569" customFormat="1" ht="76.5" customHeight="1">
      <x:c r="A63" s="323" t="n">
        <x:v>62</x:v>
      </x:c>
      <x:c r="B63" s="323" t="inlineStr">
        <x:is>
          <x:t xml:space="preserve">HBP</x:t>
        </x:is>
      </x:c>
      <x:c r="C63" s="324" t="inlineStr">
        <x:is>
          <x:t xml:space="preserve">N/A</x:t>
        </x:is>
      </x:c>
      <x:c r="D63" s="324" t="inlineStr">
        <x:is>
          <x:t xml:space="preserve">Oil and Gas Lease</x:t>
        </x:is>
      </x:c>
      <x:c r="E63" s="324" t="inlineStr">
        <x:is>
          <x:t xml:space="preserve">1833/218</x:t>
        </x:is>
      </x:c>
      <x:c r="F63" s="325" t="n">
        <x:v>38734</x:v>
      </x:c>
      <x:c r="G63" s="325" t="n">
        <x:v>38824</x:v>
      </x:c>
      <x:c r="H63" s="324" t="inlineStr">
        <x:is>
          <x:t xml:space="preserve">Ella Pearl Kirk</x:t>
        </x:is>
      </x:c>
      <x:c r="I63" s="324" t="inlineStr">
        <x:is>
          <x:t xml:space="preserve">Jess Harris, III, Inc.</x:t>
        </x:is>
      </x:c>
      <x:c r="J63" s="324" t="inlineStr">
        <x:is>
          <x:t xml:space="preserve">The South 32.80 acres in a tract of land described as W. 18.20 chains (72 8/10 Rods) of Lots 1 &amp; 2 ADA W 18.20 chains (or 72 8/10 Rods) of W/2 NW/4 &amp; W 18.20 chains (or 72 8/10 Rods) of N/2 of Lot 3 ADA W 18.20 chains (or 72 8/10 Rods) of N/2 NW/4 SW/4 of 31-12N-24W</x:t>
        </x:is>
      </x:c>
      <x:c r="K63" s="324" t="inlineStr">
        <x:is>
          <x:t xml:space="preserve">32.80 gross acres</x:t>
        </x:is>
      </x:c>
      <x:c r="L63" s="324" t="inlineStr">
        <x:is>
          <x:t xml:space="preserve">3 years</x:t>
        </x:is>
      </x:c>
      <x:c r="M63" s="324" t="n">
        <x:v>32.8</x:v>
      </x:c>
      <x:c r="N63" s="324" t="n">
        <x:v>5</x:v>
      </x:c>
      <x:c r="O63" s="325" t="n">
        <x:v>39830</x:v>
      </x:c>
      <x:c r="P63" s="326" t="n">
        <x:v>32.8</x:v>
      </x:c>
      <x:c r="Q63" s="611" t="n">
        <x:v>0.1875</x:v>
      </x:c>
      <x:c r="R63" s="324" t="inlineStr">
        <x:is>
          <x:t xml:space="preserve">No</x:t>
        </x:is>
      </x:c>
      <x:c r="S63" s="324" t="inlineStr">
        <x:is>
          <x:t xml:space="preserve">No</x:t>
        </x:is>
      </x:c>
      <x:c r="T63" s="324" t="inlineStr">
        <x:is>
          <x:t xml:space="preserve">No</x:t>
        </x:is>
      </x:c>
      <x:c r="U63" s="324" t="inlineStr">
        <x:is>
          <x:t xml:space="preserve">No</x:t>
        </x:is>
      </x:c>
      <x:c r="V63" s="324" t="inlineStr">
        <x:is>
          <x:t xml:space="preserve">No</x:t>
        </x:is>
      </x:c>
      <x:c r="W63" s="324" t="inlineStr">
        <x:is>
          <x:t xml:space="preserve">No</x:t>
        </x:is>
      </x:c>
      <x:c r="X63" s="324" t="inlineStr">
        <x:is>
          <x:t xml:space="preserve">No</x:t>
        </x:is>
      </x:c>
      <x:c r="Y63" s="324" t="inlineStr">
        <x:is>
          <x:t xml:space="preserve">No</x:t>
        </x:is>
      </x:c>
    </x:row>
    <x:row r="64" s="569" customFormat="1" ht="38.25" customHeight="1">
      <x:c r="A64" s="323" t="n">
        <x:v>63</x:v>
      </x:c>
      <x:c r="B64" s="323" t="inlineStr">
        <x:is>
          <x:t xml:space="preserve">HBP</x:t>
        </x:is>
      </x:c>
      <x:c r="C64" s="324" t="inlineStr">
        <x:is>
          <x:t xml:space="preserve">N/A</x:t>
        </x:is>
      </x:c>
      <x:c r="D64" s="324" t="inlineStr">
        <x:is>
          <x:t xml:space="preserve">Oil and Gas Lease</x:t>
        </x:is>
      </x:c>
      <x:c r="E64" s="324" t="inlineStr">
        <x:is>
          <x:t xml:space="preserve">1788/24</x:t>
        </x:is>
      </x:c>
      <x:c r="F64" s="325" t="n">
        <x:v>38457</x:v>
      </x:c>
      <x:c r="G64" s="325" t="n">
        <x:v>38474</x:v>
      </x:c>
      <x:c r="H64" s="324" t="inlineStr">
        <x:is>
          <x:t xml:space="preserve">Arrowhead Resources, Inc.</x:t>
        </x:is>
      </x:c>
      <x:c r="I64" s="324" t="inlineStr">
        <x:is>
          <x:t xml:space="preserve">Arrowhead Explor &amp; Prod Co.</x:t>
        </x:is>
      </x:c>
      <x:c r="J64" s="324" t="inlineStr">
        <x:is>
          <x:t xml:space="preserve">SE/4 SW/4 of 31-12N-24W</x:t>
        </x:is>
      </x:c>
      <x:c r="K64" s="324" t="inlineStr">
        <x:is>
          <x:t xml:space="preserve">40 gross acres
5 yrs
3/16ths royalty</x:t>
        </x:is>
      </x:c>
      <x:c r="L64" s="324" t="inlineStr">
        <x:is>
          <x:t xml:space="preserve">5 years</x:t>
        </x:is>
      </x:c>
      <x:c r="M64" s="324" t="n">
        <x:v>40</x:v>
      </x:c>
      <x:c r="N64" s="324" t="n">
        <x:v>5</x:v>
      </x:c>
      <x:c r="O64" s="325" t="n">
        <x:v>40283</x:v>
      </x:c>
      <x:c r="P64" s="326" t="n">
        <x:v>9.57</x:v>
      </x:c>
      <x:c r="Q64" s="611" t="n">
        <x:v>0.1875</x:v>
      </x:c>
      <x:c r="R64" s="324" t="inlineStr">
        <x:is>
          <x:t xml:space="preserve">No</x:t>
        </x:is>
      </x:c>
      <x:c r="S64" s="324" t="inlineStr">
        <x:is>
          <x:t xml:space="preserve">No</x:t>
        </x:is>
      </x:c>
      <x:c r="T64" s="324" t="inlineStr">
        <x:is>
          <x:t xml:space="preserve">No</x:t>
        </x:is>
      </x:c>
      <x:c r="U64" s="324" t="inlineStr">
        <x:is>
          <x:t xml:space="preserve">No</x:t>
        </x:is>
      </x:c>
      <x:c r="V64" s="324" t="inlineStr">
        <x:is>
          <x:t xml:space="preserve">No</x:t>
        </x:is>
      </x:c>
      <x:c r="W64" s="324" t="inlineStr">
        <x:is>
          <x:t xml:space="preserve">No</x:t>
        </x:is>
      </x:c>
      <x:c r="X64" s="324" t="inlineStr">
        <x:is>
          <x:t xml:space="preserve">No</x:t>
        </x:is>
      </x:c>
      <x:c r="Y64" s="324" t="inlineStr">
        <x:is>
          <x:t xml:space="preserve">No</x:t>
        </x:is>
      </x:c>
    </x:row>
    <x:row r="65" s="569" customFormat="1" ht="127.5" customHeight="1">
      <x:c r="A65" s="323" t="n">
        <x:v>64</x:v>
      </x:c>
      <x:c r="B65" s="323" t="inlineStr">
        <x:is>
          <x:t xml:space="preserve">TOP LEASE</x:t>
        </x:is>
      </x:c>
      <x:c r="C65" s="324" t="inlineStr">
        <x:is>
          <x:t xml:space="preserve">N/A</x:t>
        </x:is>
      </x:c>
      <x:c r="D65" s="324" t="inlineStr">
        <x:is>
          <x:t xml:space="preserve">Oil and Gas Lease</x:t>
        </x:is>
      </x:c>
      <x:c r="E65" s="324" t="inlineStr">
        <x:is>
          <x:t xml:space="preserve">2693/337</x:t>
        </x:is>
      </x:c>
      <x:c r="F65" s="325" t="n">
        <x:v>46076</x:v>
      </x:c>
      <x:c r="G65" s="325" t="n">
        <x:v>46122</x:v>
      </x:c>
      <x:c r="H65" s="324" t="inlineStr">
        <x:is>
          <x:t xml:space="preserve">James Gerard Buonaccorsi, Carrie Leeann Mitchell, Trustee of The Mitchell Buonaccorsi Living Trust</x:t>
        </x:is>
      </x:c>
      <x:c r="I65" s="324" t="inlineStr">
        <x:is>
          <x:t xml:space="preserve">Silver Oak Natural Resources, LLC</x:t>
        </x:is>
      </x:c>
      <x:c r="J65" s="324" t="inlineStr">
        <x:is>
          <x:t xml:space="preserve">E/2 NW/4, N/2 NE/4, N/2 NE/4 SW/4, NE/4 SE/4, NE/4 SW/4, S/2, Lots 3-4, SE/4 NE/4, SE/4 SW/4 of 31-12N-24W</x:t>
        </x:is>
      </x:c>
      <x:c r="K65" s="324" t="inlineStr">
        <x:is>
          <x:t xml:space="preserve">355.34 acres, more or less
three-sixteenths (3/16ths) royalty
for a term of three (3) years 
This Lease may be subject to a Prior Oil and Gas Lease (the "Prior Lease") covering the lease premises. The Prior Lease is from Carrie Leeann Mitchell, as Lessor, to R. Michael Lortz, as Lessee, dated January 14, 2004. … Full recital in recorded instrument — see Link.</x:t>
        </x:is>
      </x:c>
      <x:c r="L65" s="324" t="inlineStr">
        <x:is>
          <x:t xml:space="preserve">3 years</x:t>
        </x:is>
      </x:c>
      <x:c r="M65" s="324" t="n">
        <x:v>355.34</x:v>
      </x:c>
      <x:c r="N65" s="324" t="inlineStr">
        <x:is>
          <x:t xml:space="preserve">1, 3, 4, 5, 6, 7, 8</x:t>
        </x:is>
      </x:c>
      <x:c r="O65" s="325" t="n">
        <x:v>47172</x:v>
      </x:c>
      <x:c r="P65" s="326" t="n">
        <x:v>0</x:v>
      </x:c>
      <x:c r="Q65" s="611" t="n">
        <x:v>0.1875</x:v>
      </x:c>
      <x:c r="R65" s="324" t="inlineStr">
        <x:is>
          <x:t xml:space="preserve">No</x:t>
        </x:is>
      </x:c>
      <x:c r="S65" s="324" t="inlineStr">
        <x:is>
          <x:t xml:space="preserve">No</x:t>
        </x:is>
      </x:c>
      <x:c r="T65" s="324" t="inlineStr">
        <x:is>
          <x:t xml:space="preserve">No</x:t>
        </x:is>
      </x:c>
      <x:c r="U65" s="324" t="inlineStr">
        <x:is>
          <x:t xml:space="preserve">Yes</x:t>
        </x:is>
      </x:c>
      <x:c r="V65" s="324" t="inlineStr">
        <x:is>
          <x:t xml:space="preserve">No</x:t>
        </x:is>
      </x:c>
      <x:c r="W65" s="324" t="inlineStr">
        <x:is>
          <x:t xml:space="preserve">No</x:t>
        </x:is>
      </x:c>
      <x:c r="X65" s="324" t="inlineStr">
        <x:is>
          <x:t xml:space="preserve">No</x:t>
        </x:is>
      </x:c>
      <x:c r="Y65" s="324" t="inlineStr">
        <x:is>
          <x:t xml:space="preserve">Yes</x:t>
        </x:is>
      </x:c>
    </x:row>
    <x:row r="66" s="569" customFormat="1" ht="127.5" customHeight="1">
      <x:c r="A66" s="323" t="n">
        <x:v>65</x:v>
      </x:c>
      <x:c r="B66" s="323" t="inlineStr">
        <x:is>
          <x:t xml:space="preserve">TOP LEASE</x:t>
        </x:is>
      </x:c>
      <x:c r="C66" s="324" t="inlineStr">
        <x:is>
          <x:t xml:space="preserve">N/A</x:t>
        </x:is>
      </x:c>
      <x:c r="D66" s="324" t="inlineStr">
        <x:is>
          <x:t xml:space="preserve">Oil and Gas Lease</x:t>
        </x:is>
      </x:c>
      <x:c r="E66" s="324" t="inlineStr">
        <x:is>
          <x:t xml:space="preserve">2697/524</x:t>
        </x:is>
      </x:c>
      <x:c r="F66" s="325" t="n">
        <x:v>46112</x:v>
      </x:c>
      <x:c r="G66" s="325" t="n">
        <x:v>46143</x:v>
      </x:c>
      <x:c r="H66" s="324" t="inlineStr">
        <x:is>
          <x:t xml:space="preserve">Ronald Paul Dold</x:t>
        </x:is>
      </x:c>
      <x:c r="I66" s="324" t="inlineStr">
        <x:is>
          <x:t xml:space="preserve">Silver Oak Natural Resources, LLC</x:t>
        </x:is>
      </x:c>
      <x:c r="J66" s="324" t="inlineStr">
        <x:is>
          <x:t xml:space="preserve">E/2 NW/4, N/2, N/2 NE/4 SW/4, NE/4 SE/4, S/2 of Lots 3, 4, S/2 NE/4 SW/4, SE/4 NE/4, SE/4 SW/4 of 31-12N-24W</x:t>
        </x:is>
      </x:c>
      <x:c r="K66" s="324" t="inlineStr">
        <x:is>
          <x:t xml:space="preserve">375.34 acres, more or less
term of three (3) years
three-sixteenths (3/16ths) royalty
This Lease may be subject to a Prior Oil and Gas Lease (the "Prior Lease") covering the lease premises The Prior Lease is from Nancy Susan Mitchell, as Lessor, to R Michael Lortz, as Lessee, dated January 14, 2004, … Full recital in recorded instrument — see Link.</x:t>
        </x:is>
      </x:c>
      <x:c r="L66" s="324" t="inlineStr">
        <x:is>
          <x:t xml:space="preserve">3 years</x:t>
        </x:is>
      </x:c>
      <x:c r="M66" s="324" t="n">
        <x:v>375.34</x:v>
      </x:c>
      <x:c r="N66" s="324" t="inlineStr">
        <x:is>
          <x:t xml:space="preserve">All (1-8)</x:t>
        </x:is>
      </x:c>
      <x:c r="O66" s="325" t="n">
        <x:v>47208</x:v>
      </x:c>
      <x:c r="P66" s="326" t="n">
        <x:v>0</x:v>
      </x:c>
      <x:c r="Q66" s="611" t="n">
        <x:v>0.1875</x:v>
      </x:c>
      <x:c r="R66" s="324" t="inlineStr">
        <x:is>
          <x:t xml:space="preserve">No</x:t>
        </x:is>
      </x:c>
      <x:c r="S66" s="324" t="inlineStr">
        <x:is>
          <x:t xml:space="preserve">No</x:t>
        </x:is>
      </x:c>
      <x:c r="T66" s="324" t="inlineStr">
        <x:is>
          <x:t xml:space="preserve">No</x:t>
        </x:is>
      </x:c>
      <x:c r="U66" s="324" t="inlineStr">
        <x:is>
          <x:t xml:space="preserve">Yes</x:t>
        </x:is>
      </x:c>
      <x:c r="V66" s="324" t="inlineStr">
        <x:is>
          <x:t xml:space="preserve">No</x:t>
        </x:is>
      </x:c>
      <x:c r="W66" s="324" t="inlineStr">
        <x:is>
          <x:t xml:space="preserve">No</x:t>
        </x:is>
      </x:c>
      <x:c r="X66" s="324" t="inlineStr">
        <x:is>
          <x:t xml:space="preserve">No</x:t>
        </x:is>
      </x:c>
      <x:c r="Y66" s="324" t="inlineStr">
        <x:is>
          <x:t xml:space="preserve">Yes</x:t>
        </x:is>
      </x:c>
    </x:row>
    <x:row r="67" s="569" customFormat="1" ht="114.75" customHeight="1">
      <x:c r="A67" s="323" t="n">
        <x:v>66</x:v>
      </x:c>
      <x:c r="B67" s="323" t="inlineStr">
        <x:is>
          <x:t xml:space="preserve">TOP LEASE</x:t>
        </x:is>
      </x:c>
      <x:c r="C67" s="324" t="inlineStr">
        <x:is>
          <x:t xml:space="preserve">N/A</x:t>
        </x:is>
      </x:c>
      <x:c r="D67" s="324" t="inlineStr">
        <x:is>
          <x:t xml:space="preserve">Oil and Gas Lease</x:t>
        </x:is>
      </x:c>
      <x:c r="E67" s="324" t="inlineStr">
        <x:is>
          <x:t xml:space="preserve">2702/505</x:t>
        </x:is>
      </x:c>
      <x:c r="F67" s="325" t="n">
        <x:v>46064</x:v>
      </x:c>
      <x:c r="G67" s="325" t="n">
        <x:v>46170</x:v>
      </x:c>
      <x:c r="H67" s="324" t="inlineStr">
        <x:is>
          <x:t xml:space="preserve">a/k/a Gena Williams, a/k/a Gena Mitchell Williams, Gena W. Moore</x:t>
        </x:is>
      </x:c>
      <x:c r="I67" s="324" t="inlineStr">
        <x:is>
          <x:t xml:space="preserve">Silver Oak Natural Resources, LLC</x:t>
        </x:is>
      </x:c>
      <x:c r="J67" s="324" t="inlineStr">
        <x:is>
          <x:t xml:space="preserve">N/2 NE/4, N/2 NE/4 SW/4, NE/4 SE/4, NW/4, S/2 of Lot 3, Lot 4, S/2 NE/4 SW/4, SE/4 NE/4, SE/4 SW/4 of 31-12N-24W</x:t>
        </x:is>
      </x:c>
      <x:c r="K67" s="324" t="inlineStr">
        <x:is>
          <x:t xml:space="preserve">375.34 acres, more or less
three-sixteenths (3/16ths) royalty
for a term of five (5) years 
This Lease may be subject to a Prior Oiland Gas Lease (the "Prior Lease") covering the lease premises The
Prior Lease is from Nancy Mitchell Willams, as Lessor, to R. … Full recital in recorded instrument — see Link.</x:t>
        </x:is>
      </x:c>
      <x:c r="L67" s="324" t="inlineStr">
        <x:is>
          <x:t xml:space="preserve">5 years</x:t>
        </x:is>
      </x:c>
      <x:c r="M67" s="324" t="n">
        <x:v>375.34</x:v>
      </x:c>
      <x:c r="N67" s="324" t="inlineStr">
        <x:is>
          <x:t xml:space="preserve">All (1-8)</x:t>
        </x:is>
      </x:c>
      <x:c r="O67" s="325" t="n">
        <x:v>47890</x:v>
      </x:c>
      <x:c r="P67" s="326" t="n">
        <x:v>45.39</x:v>
      </x:c>
      <x:c r="Q67" s="611" t="n">
        <x:v>0.1875</x:v>
      </x:c>
      <x:c r="R67" s="324" t="inlineStr">
        <x:is>
          <x:t xml:space="preserve">No</x:t>
        </x:is>
      </x:c>
      <x:c r="S67" s="324" t="inlineStr">
        <x:is>
          <x:t xml:space="preserve">No</x:t>
        </x:is>
      </x:c>
      <x:c r="T67" s="324" t="inlineStr">
        <x:is>
          <x:t xml:space="preserve">No</x:t>
        </x:is>
      </x:c>
      <x:c r="U67" s="324" t="inlineStr">
        <x:is>
          <x:t xml:space="preserve">Yes</x:t>
        </x:is>
      </x:c>
      <x:c r="V67" s="324" t="inlineStr">
        <x:is>
          <x:t xml:space="preserve">No</x:t>
        </x:is>
      </x:c>
      <x:c r="W67" s="324" t="inlineStr">
        <x:is>
          <x:t xml:space="preserve">No</x:t>
        </x:is>
      </x:c>
      <x:c r="X67" s="324" t="inlineStr">
        <x:is>
          <x:t xml:space="preserve">No</x:t>
        </x:is>
      </x:c>
      <x:c r="Y67" s="324" t="inlineStr">
        <x:is>
          <x:t xml:space="preserve">Yes</x:t>
        </x:is>
      </x:c>
    </x:row>
    <x:row r="68" s="569" customFormat="1" ht="140.25" customHeight="1">
      <x:c r="A68" s="323" t="n">
        <x:v>67</x:v>
      </x:c>
      <x:c r="B68" s="323" t="inlineStr">
        <x:is>
          <x:t xml:space="preserve">TOP LEASE</x:t>
        </x:is>
      </x:c>
      <x:c r="C68" s="324" t="inlineStr">
        <x:is>
          <x:t xml:space="preserve">N/A</x:t>
        </x:is>
      </x:c>
      <x:c r="D68" s="324" t="inlineStr">
        <x:is>
          <x:t xml:space="preserve">Oil and Gas Lease</x:t>
        </x:is>
      </x:c>
      <x:c r="E68" s="324" t="inlineStr">
        <x:is>
          <x:t xml:space="preserve">2697/520</x:t>
        </x:is>
      </x:c>
      <x:c r="F68" s="325" t="n">
        <x:v>46070</x:v>
      </x:c>
      <x:c r="G68" s="325" t="n">
        <x:v>46143</x:v>
      </x:c>
      <x:c r="H68" s="324" t="inlineStr">
        <x:is>
          <x:t xml:space="preserve">Keri Lee Daigle Tucker, Trustee of The Keri Lee Daigle Tucker Trust</x:t>
        </x:is>
      </x:c>
      <x:c r="I68" s="324" t="inlineStr">
        <x:is>
          <x:t xml:space="preserve">Silver Oak Natural Resources, LLC</x:t>
        </x:is>
      </x:c>
      <x:c r="J68" s="324" t="inlineStr">
        <x:is>
          <x:t xml:space="preserve">E/2 NW/4, N/2 NE/4 SW/4, NE/4 SE/4, SE/4 NE/4 of 31-12N-24W</x:t>
        </x:is>
      </x:c>
      <x:c r="K68" s="324" t="inlineStr">
        <x:is>
          <x:t xml:space="preserve">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 Full recital in recorded instrument — see Link.</x:t>
        </x:is>
      </x:c>
      <x:c r="L68" s="324" t="inlineStr">
        <x:is>
          <x:t xml:space="preserve">5 years</x:t>
        </x:is>
      </x:c>
      <x:c r="M68" s="324" t="n">
        <x:v>180</x:v>
      </x:c>
      <x:c r="N68" s="324" t="inlineStr">
        <x:is>
          <x:t xml:space="preserve">1, 3, 4, 7, 8</x:t>
        </x:is>
      </x:c>
      <x:c r="O68" s="325" t="n">
        <x:v>47896</x:v>
      </x:c>
      <x:c r="P68" s="326" t="n">
        <x:v>19.04</x:v>
      </x:c>
      <x:c r="Q68" s="611" t="n">
        <x:v>0.1875</x:v>
      </x:c>
      <x:c r="R68" s="324" t="inlineStr">
        <x:is>
          <x:t xml:space="preserve">No</x:t>
        </x:is>
      </x:c>
      <x:c r="S68" s="324" t="inlineStr">
        <x:is>
          <x:t xml:space="preserve">No</x:t>
        </x:is>
      </x:c>
      <x:c r="T68" s="324" t="inlineStr">
        <x:is>
          <x:t xml:space="preserve">No</x:t>
        </x:is>
      </x:c>
      <x:c r="U68" s="324" t="inlineStr">
        <x:is>
          <x:t xml:space="preserve">Yes</x:t>
        </x:is>
      </x:c>
      <x:c r="V68" s="324" t="inlineStr">
        <x:is>
          <x:t xml:space="preserve">No</x:t>
        </x:is>
      </x:c>
      <x:c r="W68" s="324" t="inlineStr">
        <x:is>
          <x:t xml:space="preserve">No</x:t>
        </x:is>
      </x:c>
      <x:c r="X68" s="324" t="inlineStr">
        <x:is>
          <x:t xml:space="preserve">No</x:t>
        </x:is>
      </x:c>
      <x:c r="Y68" s="324" t="inlineStr">
        <x:is>
          <x:t xml:space="preserve">Yes</x:t>
        </x:is>
      </x:c>
    </x:row>
    <x:row r="69" s="569" customFormat="1" ht="140.25" customHeight="1">
      <x:c r="A69" s="323" t="n">
        <x:v>68</x:v>
      </x:c>
      <x:c r="B69" s="323" t="inlineStr">
        <x:is>
          <x:t xml:space="preserve">TOP LEASE</x:t>
        </x:is>
      </x:c>
      <x:c r="C69" s="324" t="inlineStr">
        <x:is>
          <x:t xml:space="preserve">N/A</x:t>
        </x:is>
      </x:c>
      <x:c r="D69" s="324" t="inlineStr">
        <x:is>
          <x:t xml:space="preserve">Oil and Gas Lease</x:t>
        </x:is>
      </x:c>
      <x:c r="E69" s="324" t="inlineStr">
        <x:is>
          <x:t xml:space="preserve">2693/349</x:t>
        </x:is>
      </x:c>
      <x:c r="F69" s="325" t="n">
        <x:v>46076</x:v>
      </x:c>
      <x:c r="G69" s="325" t="n">
        <x:v>46122</x:v>
      </x:c>
      <x:c r="H69" s="324" t="inlineStr">
        <x:is>
          <x:t xml:space="preserve">Mark Ashley Daigle, Trustee of The Mark Ashley Daigle Trust</x:t>
        </x:is>
      </x:c>
      <x:c r="I69" s="324" t="inlineStr">
        <x:is>
          <x:t xml:space="preserve">Silver Oak Natural Resources, LLC</x:t>
        </x:is>
      </x:c>
      <x:c r="J69" s="324" t="inlineStr">
        <x:is>
          <x:t xml:space="preserve">E/2 NW/4, N/2 NE/4 SW/4, NE/4 SE/4, SE/4 NE/4 of 31-12N-24W</x:t>
        </x:is>
      </x:c>
      <x:c r="K69" s="324" t="inlineStr">
        <x:is>
          <x:t xml:space="preserve">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 Full recital in recorded instrument — see Link.</x:t>
        </x:is>
      </x:c>
      <x:c r="L69" s="324" t="inlineStr">
        <x:is>
          <x:t xml:space="preserve">5 years</x:t>
        </x:is>
      </x:c>
      <x:c r="M69" s="324" t="n">
        <x:v>180</x:v>
      </x:c>
      <x:c r="N69" s="324" t="inlineStr">
        <x:is>
          <x:t xml:space="preserve">1, 3, 4, 7, 8</x:t>
        </x:is>
      </x:c>
      <x:c r="O69" s="325" t="n">
        <x:v>47902</x:v>
      </x:c>
      <x:c r="P69" s="326" t="n">
        <x:v>21.012308</x:v>
      </x:c>
      <x:c r="Q69" s="611" t="n">
        <x:v>0.1875</x:v>
      </x:c>
      <x:c r="R69" s="324" t="inlineStr">
        <x:is>
          <x:t xml:space="preserve">No</x:t>
        </x:is>
      </x:c>
      <x:c r="S69" s="324" t="inlineStr">
        <x:is>
          <x:t xml:space="preserve">No</x:t>
        </x:is>
      </x:c>
      <x:c r="T69" s="324" t="inlineStr">
        <x:is>
          <x:t xml:space="preserve">No</x:t>
        </x:is>
      </x:c>
      <x:c r="U69" s="324" t="inlineStr">
        <x:is>
          <x:t xml:space="preserve">Yes</x:t>
        </x:is>
      </x:c>
      <x:c r="V69" s="324" t="inlineStr">
        <x:is>
          <x:t xml:space="preserve">No</x:t>
        </x:is>
      </x:c>
      <x:c r="W69" s="324" t="inlineStr">
        <x:is>
          <x:t xml:space="preserve">No</x:t>
        </x:is>
      </x:c>
      <x:c r="X69" s="324" t="inlineStr">
        <x:is>
          <x:t xml:space="preserve">No</x:t>
        </x:is>
      </x:c>
      <x:c r="Y69" s="324" t="inlineStr">
        <x:is>
          <x:t xml:space="preserve">Yes</x:t>
        </x:is>
      </x:c>
    </x:row>
    <x:row r="70" s="569" customFormat="1" ht="140.25" customHeight="1">
      <x:c r="A70" s="323" t="n">
        <x:v>69</x:v>
      </x:c>
      <x:c r="B70" s="323" t="inlineStr">
        <x:is>
          <x:t xml:space="preserve">TOP LEASE</x:t>
        </x:is>
      </x:c>
      <x:c r="C70" s="324" t="inlineStr">
        <x:is>
          <x:t xml:space="preserve">N/A</x:t>
        </x:is>
      </x:c>
      <x:c r="D70" s="324" t="inlineStr">
        <x:is>
          <x:t xml:space="preserve">Oil and Gas Lease</x:t>
        </x:is>
      </x:c>
      <x:c r="E70" s="324" t="inlineStr">
        <x:is>
          <x:t xml:space="preserve">2693/345</x:t>
        </x:is>
      </x:c>
      <x:c r="F70" s="325" t="n">
        <x:v>46080</x:v>
      </x:c>
      <x:c r="G70" s="325" t="n">
        <x:v>46122</x:v>
      </x:c>
      <x:c r="H70" s="324" t="inlineStr">
        <x:is>
          <x:t xml:space="preserve">Kevin Johnson Johnson, Trustee of The Kevin Warner Johnson Trust</x:t>
        </x:is>
      </x:c>
      <x:c r="I70" s="324" t="inlineStr">
        <x:is>
          <x:t xml:space="preserve">Silver Oak Natural Resources, LLC</x:t>
        </x:is>
      </x:c>
      <x:c r="J70" s="324" t="inlineStr">
        <x:is>
          <x:t xml:space="preserve">E/2 NW/4, N/2 NE/4 SW/4, NE/4 SE/4, SE/4 NE/4 of 31-12N-24W</x:t>
        </x:is>
      </x:c>
      <x:c r="K70" s="324" t="inlineStr">
        <x:is>
          <x:t xml:space="preserve">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 Full recital in recorded instrument — see Link.</x:t>
        </x:is>
      </x:c>
      <x:c r="L70" s="324" t="inlineStr">
        <x:is>
          <x:t xml:space="preserve">5 years</x:t>
        </x:is>
      </x:c>
      <x:c r="M70" s="324" t="n">
        <x:v>180</x:v>
      </x:c>
      <x:c r="N70" s="324" t="inlineStr">
        <x:is>
          <x:t xml:space="preserve">1, 3, 4, 7, 8</x:t>
        </x:is>
      </x:c>
      <x:c r="O70" s="325" t="n">
        <x:v>47906</x:v>
      </x:c>
      <x:c r="P70" s="326" t="n">
        <x:v>28.74</x:v>
      </x:c>
      <x:c r="Q70" s="611" t="n">
        <x:v>0.1875</x:v>
      </x:c>
      <x:c r="R70" s="324" t="inlineStr">
        <x:is>
          <x:t xml:space="preserve">No</x:t>
        </x:is>
      </x:c>
      <x:c r="S70" s="324" t="inlineStr">
        <x:is>
          <x:t xml:space="preserve">No</x:t>
        </x:is>
      </x:c>
      <x:c r="T70" s="324" t="inlineStr">
        <x:is>
          <x:t xml:space="preserve">No</x:t>
        </x:is>
      </x:c>
      <x:c r="U70" s="324" t="inlineStr">
        <x:is>
          <x:t xml:space="preserve">Yes</x:t>
        </x:is>
      </x:c>
      <x:c r="V70" s="324" t="inlineStr">
        <x:is>
          <x:t xml:space="preserve">No</x:t>
        </x:is>
      </x:c>
      <x:c r="W70" s="324" t="inlineStr">
        <x:is>
          <x:t xml:space="preserve">No</x:t>
        </x:is>
      </x:c>
      <x:c r="X70" s="324" t="inlineStr">
        <x:is>
          <x:t xml:space="preserve">No</x:t>
        </x:is>
      </x:c>
      <x:c r="Y70" s="324" t="inlineStr">
        <x:is>
          <x:t xml:space="preserve">Yes</x:t>
        </x:is>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ColWidth="14.42578125" defaultRowHeight="15"/>
  <x:cols>
    <x:col min="1" max="1" width="3.42578125" style="261" customWidth="1"/>
    <x:col min="2" max="2" width="22.85546875" style="261" customWidth="1"/>
    <x:col min="3" max="3" width="57.140625" style="261" customWidth="1"/>
    <x:col min="4" max="4" width="13.28515625" style="261" customWidth="1"/>
    <x:col min="5" max="5" width="21" style="261" customWidth="1"/>
    <x:col min="6" max="6" width="68.5703125" style="261" customWidth="1"/>
    <x:col min="7" max="7" width="15.28515625" style="261" customWidth="1"/>
    <x:col min="8" max="8" width="11.42578125" style="261" customWidth="1"/>
    <x:col min="9" max="9" width="15.28515625" style="261" customWidth="1"/>
    <x:col min="10" max="10" width="11.42578125" style="261" customWidth="1"/>
    <x:col min="11" max="11" width="8.7109375" style="261" customWidth="1"/>
    <x:col min="12" max="16384" width="14.42578125" style="261" customWidth="1"/>
  </x:cols>
  <x:sheetData>
    <x:row r="7" s="569" customFormat="1" ht="15" customHeight="1"/>
    <x:row r="8" s="569" customFormat="1" ht="15" customHeight="1"/>
    <x:row r="9" s="569" customFormat="1" ht="15" customHeight="1"/>
    <x:row r="10" s="569" customFormat="1" ht="15" customHeight="1"/>
  </x:sheetData>
  <x:pageMargins left="0.7" right="0.7" top="0.75" bottom="0.75" header="0.3" footer="0.3"/>
</x:worksheet>
</file>

<file path=xl/worksheets/sheet5.xml><?xml version="1.0" encoding="utf-8"?>
<x:worksheet xmlns:x="http://schemas.openxmlformats.org/spreadsheetml/2006/main">
  <x:sheetFormatPr baseColWidth="8" defaultColWidth="20.85546875" defaultRowHeight="12"/>
  <x:cols>
    <x:col min="1" max="1" width="12.5703125" style="520" customWidth="1"/>
    <x:col min="2" max="2" width="9.140625" style="6" customWidth="1"/>
    <x:col min="3" max="3" width="18.5703125" style="6" customWidth="1"/>
    <x:col min="4" max="4" width="9.5703125" style="6" customWidth="1"/>
    <x:col min="5" max="5" width="12.140625" style="5" customWidth="1"/>
    <x:col min="6" max="6" width="13.140625" style="5" customWidth="1"/>
    <x:col min="7" max="7" width="37.7109375" style="4" customWidth="1"/>
    <x:col min="8" max="8" width="39.28515625" style="4" customWidth="1"/>
    <x:col min="9" max="9" width="38.140625" style="4" customWidth="1"/>
    <x:col min="10" max="10" width="62.85546875" style="4" customWidth="1"/>
    <x:col min="11" max="11" width="62.85546875" style="293" customWidth="1"/>
    <x:col min="12" max="12" width="20.7109375" style="520" hidden="1" customWidth="1"/>
    <x:col min="13" max="13" width="20.28515625" style="520" hidden="1" customWidth="1"/>
    <x:col min="14" max="14" width="28.5703125" style="520" hidden="1" customWidth="1"/>
    <x:col min="15" max="15" width="19.85546875" style="520" hidden="1" customWidth="1"/>
    <x:col min="16" max="16" width="13" style="520" hidden="1" customWidth="1"/>
    <x:col min="17" max="28" width="13" style="520" hidden="1" customWidth="1"/>
    <x:col min="29" max="29" width="20.85546875" style="520" customWidth="1"/>
    <x:col min="30" max="16384" width="20.85546875" style="520" customWidth="1"/>
  </x:cols>
  <x:sheetData>
    <x:row r="1" s="113" customFormat="1" ht="24" customHeight="1">
      <x:c r="A1" s="405" t="inlineStr">
        <x:is>
          <x:t xml:space="preserve">Instrument #</x:t>
        </x:is>
      </x:c>
      <x:c r="B1" s="405" t="inlineStr">
        <x:is>
          <x:t xml:space="preserve">OGL</x:t>
        </x:is>
      </x:c>
      <x:c r="C1" s="405" t="inlineStr">
        <x:is>
          <x:t xml:space="preserve">Doc Type</x:t>
        </x:is>
      </x:c>
      <x:c r="D1" s="406" t="inlineStr">
        <x:is>
          <x:t xml:space="preserve">Bk/Pg.</x:t>
        </x:is>
      </x:c>
      <x:c r="E1" s="406" t="inlineStr">
        <x:is>
          <x:t xml:space="preserve">Effective Date</x:t>
        </x:is>
      </x:c>
      <x:c r="F1" s="406" t="inlineStr">
        <x:is>
          <x:t xml:space="preserve">Recorded Date</x:t>
        </x:is>
      </x:c>
      <x:c r="G1" s="407" t="inlineStr">
        <x:is>
          <x:t xml:space="preserve">Grantor</x:t>
        </x:is>
      </x:c>
      <x:c r="H1" s="407" t="inlineStr">
        <x:is>
          <x:t xml:space="preserve">Grantee</x:t>
        </x:is>
      </x:c>
      <x:c r="I1" s="405" t="inlineStr">
        <x:is>
          <x:t xml:space="preserve">Legal Description</x:t>
        </x:is>
      </x:c>
      <x:c r="J1" s="612" t="inlineStr">
        <x:is>
          <x:t xml:space="preserve">Notes</x:t>
        </x:is>
      </x:c>
      <x:c r="K1" s="612" t="inlineStr">
        <x:is>
          <x:t xml:space="preserve">Link</x:t>
        </x:is>
      </x:c>
      <x:c r="L1" s="612" t="inlineStr">
        <x:is>
          <x:t xml:space="preserve">Calc Basis / Flags</x:t>
        </x:is>
      </x:c>
      <x:c r="M1" s="612" t="inlineStr">
        <x:is>
          <x:t xml:space="preserve">Review</x:t>
        </x:is>
      </x:c>
      <x:c r="N1" s="612" t="inlineStr">
        <x:is>
          <x:t xml:space="preserve">NEED / ACTION</x:t>
        </x:is>
      </x:c>
      <x:c r="O1" s="612" t="inlineStr">
        <x:is>
          <x:t xml:space="preserve">Chain Classification</x:t>
        </x:is>
      </x:c>
      <x:c r="P1" s="409" t="inlineStr">
        <x:is>
          <x:t xml:space="preserve">Chain Use Status</x:t>
        </x:is>
      </x:c>
      <x:c r="Q1" s="409" t="inlineStr">
        <x:is>
          <x:t xml:space="preserve">Affects Title?</x:t>
        </x:is>
      </x:c>
      <x:c r="R1" s="409" t="inlineStr">
        <x:is>
          <x:t xml:space="preserve">Affects WI?</x:t>
        </x:is>
      </x:c>
      <x:c r="S1" s="409" t="inlineStr">
        <x:is>
          <x:t xml:space="preserve">Affects Minerals?</x:t>
        </x:is>
      </x:c>
      <x:c r="T1" s="409" t="inlineStr">
        <x:is>
          <x:t xml:space="preserve">Affects OGL?</x:t>
        </x:is>
      </x:c>
      <x:c r="U1" s="409" t="inlineStr">
        <x:is>
          <x:t xml:space="preserve">Tract Confirmed</x:t>
        </x:is>
      </x:c>
      <x:c r="V1" s="409" t="inlineStr">
        <x:is>
          <x:t xml:space="preserve">Tract Confidence</x:t>
        </x:is>
      </x:c>
      <x:c r="W1" s="409" t="inlineStr">
        <x:is>
          <x:t xml:space="preserve">Grantor Ownership Found?</x:t>
        </x:is>
      </x:c>
      <x:c r="X1" s="409" t="inlineStr">
        <x:is>
          <x:t xml:space="preserve">Grantee Added To Chain?</x:t>
        </x:is>
      </x:c>
      <x:c r="Y1" s="409" t="inlineStr">
        <x:is>
          <x:t xml:space="preserve">Interest Parsed</x:t>
        </x:is>
      </x:c>
      <x:c r="Z1" s="409" t="inlineStr">
        <x:is>
          <x:t xml:space="preserve">Interest Confidence</x:t>
        </x:is>
      </x:c>
      <x:c r="AA1" s="409" t="inlineStr">
        <x:is>
          <x:t xml:space="preserve">Short Human Note</x:t>
        </x:is>
      </x:c>
      <x:c r="AB1" s="409" t="inlineStr">
        <x:is>
          <x:t xml:space="preserve">Needs Review Reason</x:t>
        </x:is>
      </x:c>
    </x:row>
    <x:row r="2" s="520" customFormat="1" ht="48" customHeight="1">
      <x:c r="A2" s="513" t="inlineStr">
        <x:is>
          <x:t xml:space="preserve">I-1905-000993</x:t>
        </x:is>
      </x:c>
      <x:c r="B2" s="513" t="n"/>
      <x:c r="C2" s="513" t="inlineStr">
        <x:is>
          <x:t xml:space="preserve">Homestead</x:t>
        </x:is>
      </x:c>
      <x:c r="D2" s="513" t="inlineStr">
        <x:is>
          <x:t xml:space="preserve">FR1/470</x:t>
        </x:is>
      </x:c>
      <x:c r="E2" s="514" t="n">
        <x:v>2034</x:v>
      </x:c>
      <x:c r="F2" s="515" t="n">
        <x:v>2063</x:v>
      </x:c>
      <x:c r="G2" s="516" t="inlineStr">
        <x:is>
          <x:t xml:space="preserve">General Land Office</x:t>
        </x:is>
      </x:c>
      <x:c r="H2" s="516" t="inlineStr">
        <x:is>
          <x:t xml:space="preserve">Leo Kinnett</x:t>
        </x:is>
      </x:c>
      <x:c r="I2" s="517" t="inlineStr">
        <x:is>
          <x:t xml:space="preserve">E/2 NW/4, Lots 1, 2 of 31-12N-24W</x:t>
        </x:is>
      </x:c>
      <x:c r="J2" s="383" t="inlineStr">
        <x:is>
          <x:t xml:space="preserve">ARTI</x:t>
        </x:is>
      </x:c>
      <x:c r="K2" s="518" t="e">
        <x:f>HYPERLINK("https://okcountyrecords.com/search/roger%20mills","OKCountyRecords search: Homestead FR0001/0470")</x:f>
      </x:c>
      <x:c r="L2" s="519" t="inlineStr">
        <x:is>
          <x:t xml:space="preserve">Mineral; amount not stated — confirm from instrument. Gross=tract-map basis.</x:t>
        </x:is>
      </x:c>
      <x:c r="M2" s="519" t="inlineStr">
        <x:is>
          <x:t xml:space="preserve">CURRENT OWNER SOURCE</x:t>
        </x:is>
      </x:c>
      <x:c r="N2" s="519" t="n"/>
      <x:c r="O2" s="519" t="inlineStr">
        <x:is>
          <x:t xml:space="preserve">ROOT / PATENT / HOMESTEAD</x:t>
        </x:is>
      </x:c>
      <x:c r="P2" s="520" t="inlineStr">
        <x:is>
          <x:t xml:space="preserve">Chain — root of title</x:t>
        </x:is>
      </x:c>
      <x:c r="Q2" s="520" t="inlineStr">
        <x:is>
          <x:t xml:space="preserve">Yes</x:t>
        </x:is>
      </x:c>
      <x:c r="R2" s="520" t="inlineStr">
        <x:is>
          <x:t xml:space="preserve">No</x:t>
        </x:is>
      </x:c>
      <x:c r="S2" s="520" t="inlineStr">
        <x:is>
          <x:t xml:space="preserve">Yes</x:t>
        </x:is>
      </x:c>
      <x:c r="T2" s="520" t="inlineStr">
        <x:is>
          <x:t xml:space="preserve">No</x:t>
        </x:is>
      </x:c>
      <x:c r="U2" s="520" t="inlineStr">
        <x:is>
          <x:t xml:space="preserve">Yes: 4, 5 (legal supports)</x:t>
        </x:is>
      </x:c>
      <x:c r="V2" s="520" t="inlineStr">
        <x:is>
          <x:t xml:space="preserve">High</x:t>
        </x:is>
      </x:c>
      <x:c r="W2" s="520" t="inlineStr">
        <x:is>
          <x:t xml:space="preserve">Root of title</x:t>
        </x:is>
      </x:c>
      <x:c r="X2" s="520" t="inlineStr">
        <x:is>
          <x:t xml:space="preserve">Review</x:t>
        </x:is>
      </x:c>
      <x:c r="Y2" s="520" t="inlineStr">
        <x:is>
          <x:t xml:space="preserve">Interest amount needs review</x:t>
        </x:is>
      </x:c>
      <x:c r="Z2" s="520" t="inlineStr">
        <x:is>
          <x:t xml:space="preserve">Review</x:t>
        </x:is>
      </x:c>
      <x:c r="AA2" s="520" t="inlineStr">
        <x:is>
          <x:t xml:space="preserve">Homestead — General Land Office to Leo Kinnett (FR1/470)</x:t>
        </x:is>
      </x:c>
      <x:c r="AB2" s="520" t="inlineStr">
        <x:is>
          <x:t xml:space="preserve">Needs source review: interest amount</x:t>
        </x:is>
      </x:c>
    </x:row>
    <x:row r="3" s="523" customFormat="1" ht="36" customHeight="1">
      <x:c r="A3" s="513" t="inlineStr">
        <x:is>
          <x:t xml:space="preserve">1905-000429</x:t>
        </x:is>
      </x:c>
      <x:c r="B3" s="513" t="n"/>
      <x:c r="C3" s="513" t="inlineStr">
        <x:is>
          <x:t xml:space="preserve">Deed</x:t>
        </x:is>
      </x:c>
      <x:c r="D3" s="513" t="inlineStr">
        <x:is>
          <x:t xml:space="preserve">D6/206</x:t>
        </x:is>
      </x:c>
      <x:c r="E3" s="514" t="n">
        <x:v>2062</x:v>
      </x:c>
      <x:c r="F3" s="515" t="n">
        <x:v>2063</x:v>
      </x:c>
      <x:c r="G3" s="516" t="inlineStr">
        <x:is>
          <x:t xml:space="preserve">Leo Kennett</x:t>
        </x:is>
      </x:c>
      <x:c r="H3" s="516" t="inlineStr">
        <x:is>
          <x:t xml:space="preserve">Mack Hawbrook</x:t>
        </x:is>
      </x:c>
      <x:c r="I3" s="517" t="inlineStr">
        <x:is>
          <x:t xml:space="preserve">E/2 NW/4, Lots 1, 2 of 31-12N-24W</x:t>
        </x:is>
      </x:c>
      <x:c r="J3" s="521" t="inlineStr">
        <x:is>
          <x:t xml:space="preserve">ARTI
Chain note: no source of title into Leo Kennett located of record. Confirm ownership before crediting this conveyance.</x:t>
        </x:is>
      </x:c>
      <x:c r="K3" s="518" t="e">
        <x:f>HYPERLINK("https://okcountyrecords.com/detail/roger+mills/1905-000429","OKCountyRecords: 1905-000429")</x:f>
      </x:c>
      <x:c r="L3" s="522" t="inlineStr">
        <x:is>
          <x:t xml:space="preserve">Mineral; basis Conv Amt(dec). Gross=tract-map basis.</x:t>
        </x:is>
      </x:c>
      <x:c r="M3" s="522" t="inlineStr">
        <x:is>
          <x:t xml:space="preserve">CURRENT OWNER SOURCE</x:t>
        </x:is>
      </x:c>
      <x:c r="N3" s="522" t="n"/>
      <x:c r="O3" s="522" t="inlineStr">
        <x:is>
          <x:t xml:space="preserve">EASEMENT</x:t>
        </x:is>
      </x:c>
      <x:c r="P3" s="523" t="inlineStr">
        <x:is>
          <x:t xml:space="preserve">Chain — deed (confirm minerals vs surface from instrument)</x:t>
        </x:is>
      </x:c>
      <x:c r="Q3" s="523" t="inlineStr">
        <x:is>
          <x:t xml:space="preserve">Yes</x:t>
        </x:is>
      </x:c>
      <x:c r="R3" s="523" t="inlineStr">
        <x:is>
          <x:t xml:space="preserve">No</x:t>
        </x:is>
      </x:c>
      <x:c r="S3" s="523" t="inlineStr">
        <x:is>
          <x:t xml:space="preserve">Review</x:t>
        </x:is>
      </x:c>
      <x:c r="T3" s="523" t="inlineStr">
        <x:is>
          <x:t xml:space="preserve">No</x:t>
        </x:is>
      </x:c>
      <x:c r="U3" s="523" t="inlineStr">
        <x:is>
          <x:t xml:space="preserve">Yes: 4, 5 (legal supports)</x:t>
        </x:is>
      </x:c>
      <x:c r="V3" s="523" t="inlineStr">
        <x:is>
          <x:t xml:space="preserve">High</x:t>
        </x:is>
      </x:c>
      <x:c r="W3" s="523" t="inlineStr">
        <x:is>
          <x:t xml:space="preserve">No — no source located</x:t>
        </x:is>
      </x:c>
      <x:c r="X3" s="523" t="inlineStr">
        <x:is>
          <x:t xml:space="preserve">Yes — on Tract 4 owner list</x:t>
        </x:is>
      </x:c>
      <x:c r="Y3" s="523" t="inlineStr">
        <x:is>
          <x:t xml:space="preserve">Candidate 1 (helper — confirm from image)</x:t>
        </x:is>
      </x:c>
      <x:c r="Z3" s="523" t="inlineStr">
        <x:is>
          <x:t xml:space="preserve">Medium — helper value</x:t>
        </x:is>
      </x:c>
      <x:c r="AA3" s="523" t="inlineStr">
        <x:is>
          <x:t xml:space="preserve">Deed — Leo Kennett to Mack Hawbrook (D6/206)</x:t>
        </x:is>
      </x:c>
      <x:c r="AB3" s="523" t="inlineStr">
        <x:is>
          <x:t xml:space="preserve">Needs source review: no source of title</x:t>
        </x:is>
      </x:c>
    </x:row>
    <x:row r="4" s="523" customFormat="1" ht="36" customHeight="1">
      <x:c r="A4" s="513" t="inlineStr">
        <x:is>
          <x:t xml:space="preserve">1907-005379</x:t>
        </x:is>
      </x:c>
      <x:c r="B4" s="513" t="n"/>
      <x:c r="C4" s="513" t="inlineStr">
        <x:is>
          <x:t xml:space="preserve">Patent</x:t>
        </x:is>
      </x:c>
      <x:c r="D4" s="513" t="inlineStr">
        <x:is>
          <x:t xml:space="preserve">PAT3/495</x:t>
        </x:is>
      </x:c>
      <x:c r="E4" s="515" t="n">
        <x:v>2169</x:v>
      </x:c>
      <x:c r="F4" s="515" t="n">
        <x:v>2752</x:v>
      </x:c>
      <x:c r="G4" s="516" t="inlineStr">
        <x:is>
          <x:t xml:space="preserve">United States of America</x:t>
        </x:is>
      </x:c>
      <x:c r="H4" s="516" t="inlineStr">
        <x:is>
          <x:t xml:space="preserve">Leo Kennett</x:t>
        </x:is>
      </x:c>
      <x:c r="I4" s="517" t="inlineStr">
        <x:is>
          <x:t xml:space="preserve">E/2 NW/4, Lots 1, 2 of 31-12N-24W</x:t>
        </x:is>
      </x:c>
      <x:c r="J4" s="383" t="inlineStr">
        <x:is>
          <x:t xml:space="preserve">ARTI, 163.65 ac</x:t>
        </x:is>
      </x:c>
      <x:c r="K4" s="328" t="e">
        <x:f>HYPERLINK("https://okcountyrecords.com/detail/roger+mills/1907-005379","OKCountyRecords: 1907-005379")</x:f>
      </x:c>
      <x:c r="L4" s="522" t="inlineStr">
        <x:is>
          <x:t xml:space="preserve">Mineral; basis Conv Amt(dec). Gross=tract-map basis.</x:t>
        </x:is>
      </x:c>
      <x:c r="M4" s="522" t="n"/>
      <x:c r="N4" s="522" t="n"/>
      <x:c r="O4" s="522" t="inlineStr">
        <x:is>
          <x:t xml:space="preserve">ROOT / PATENT / HOMESTEAD</x:t>
        </x:is>
      </x:c>
      <x:c r="P4" s="523" t="inlineStr">
        <x:is>
          <x:t xml:space="preserve">Chain — root of title</x:t>
        </x:is>
      </x:c>
      <x:c r="Q4" s="523" t="inlineStr">
        <x:is>
          <x:t xml:space="preserve">Yes</x:t>
        </x:is>
      </x:c>
      <x:c r="R4" s="523" t="inlineStr">
        <x:is>
          <x:t xml:space="preserve">No</x:t>
        </x:is>
      </x:c>
      <x:c r="S4" s="523" t="inlineStr">
        <x:is>
          <x:t xml:space="preserve">Yes</x:t>
        </x:is>
      </x:c>
      <x:c r="T4" s="523" t="inlineStr">
        <x:is>
          <x:t xml:space="preserve">No</x:t>
        </x:is>
      </x:c>
      <x:c r="U4" s="523" t="inlineStr">
        <x:is>
          <x:t xml:space="preserve">Yes: 4, 5 (legal supports)</x:t>
        </x:is>
      </x:c>
      <x:c r="V4" s="523" t="inlineStr">
        <x:is>
          <x:t xml:space="preserve">High</x:t>
        </x:is>
      </x:c>
      <x:c r="W4" s="523" t="inlineStr">
        <x:is>
          <x:t xml:space="preserve">Root of title</x:t>
        </x:is>
      </x:c>
      <x:c r="X4" s="523" t="inlineStr">
        <x:is>
          <x:t xml:space="preserve">Yes — on Tract 4 owner list</x:t>
        </x:is>
      </x:c>
      <x:c r="Y4" s="523" t="inlineStr">
        <x:is>
          <x:t xml:space="preserve">Candidate 1 (helper — confirm from image)</x:t>
        </x:is>
      </x:c>
      <x:c r="Z4" s="523" t="inlineStr">
        <x:is>
          <x:t xml:space="preserve">Medium — helper value</x:t>
        </x:is>
      </x:c>
      <x:c r="AA4" s="523" t="inlineStr">
        <x:is>
          <x:t xml:space="preserve">Patent — United States of America to Leo Kennett (PAT3/495)</x:t>
        </x:is>
      </x:c>
    </x:row>
    <x:row r="5" s="523" customFormat="1" ht="48" customHeight="1">
      <x:c r="A5" s="513" t="inlineStr">
        <x:is>
          <x:t xml:space="preserve">I-1907-002036</x:t>
        </x:is>
      </x:c>
      <x:c r="B5" s="513" t="n"/>
      <x:c r="C5" s="513" t="inlineStr">
        <x:is>
          <x:t xml:space="preserve">Homestead</x:t>
        </x:is>
      </x:c>
      <x:c r="D5" s="513" t="inlineStr">
        <x:is>
          <x:t xml:space="preserve">FR2/199</x:t>
        </x:is>
      </x:c>
      <x:c r="E5" s="514" t="n">
        <x:v>2534</x:v>
      </x:c>
      <x:c r="F5" s="515" t="n">
        <x:v>2601</x:v>
      </x:c>
      <x:c r="G5" s="516" t="inlineStr">
        <x:is>
          <x:t xml:space="preserve">General Land Office</x:t>
        </x:is>
      </x:c>
      <x:c r="H5" s="516" t="inlineStr">
        <x:is>
          <x:t xml:space="preserve">Charles F. Kennett</x:t>
        </x:is>
      </x:c>
      <x:c r="I5" s="517" t="inlineStr">
        <x:is>
          <x:t xml:space="preserve">SW/4 NE/4, W/2 SE/4, SE/4 SE/4 of 31-12N-24W, aol</x:t>
        </x:is>
      </x:c>
      <x:c r="J5" s="383" t="inlineStr">
        <x:is>
          <x:t xml:space="preserve">ARTI</x:t>
        </x:is>
      </x:c>
      <x:c r="K5" s="518" t="e">
        <x:f>HYPERLINK("https://okcountyrecords.com/search/roger%20mills","OKCountyRecords search: Homestead FR0002/0199")</x:f>
      </x:c>
      <x:c r="L5" s="522" t="inlineStr">
        <x:is>
          <x:t xml:space="preserve">Mineral; amount not stated — confirm from instrument. Gross=tract-map basis.</x:t>
        </x:is>
      </x:c>
      <x:c r="M5" s="522" t="inlineStr">
        <x:is>
          <x:t xml:space="preserve">CURRENT OWNER SOURCE</x:t>
        </x:is>
      </x:c>
      <x:c r="N5" s="522" t="n"/>
      <x:c r="O5" s="522" t="inlineStr">
        <x:is>
          <x:t xml:space="preserve">OUTSIDE LANDS</x:t>
        </x:is>
      </x:c>
      <x:c r="P5" s="523" t="inlineStr">
        <x:is>
          <x:t xml:space="preserve">Chain — root of title</x:t>
        </x:is>
      </x:c>
      <x:c r="Q5" s="523" t="inlineStr">
        <x:is>
          <x:t xml:space="preserve">Yes</x:t>
        </x:is>
      </x:c>
      <x:c r="R5" s="523" t="inlineStr">
        <x:is>
          <x:t xml:space="preserve">No</x:t>
        </x:is>
      </x:c>
      <x:c r="S5" s="523" t="inlineStr">
        <x:is>
          <x:t xml:space="preserve">Yes</x:t>
        </x:is>
      </x:c>
      <x:c r="T5" s="523" t="inlineStr">
        <x:is>
          <x:t xml:space="preserve">No</x:t>
        </x:is>
      </x:c>
      <x:c r="U5" s="523" t="inlineStr">
        <x:is>
          <x:t xml:space="preserve">Yes: 2 (legal supports)</x:t>
        </x:is>
      </x:c>
      <x:c r="V5" s="523" t="inlineStr">
        <x:is>
          <x:t xml:space="preserve">High</x:t>
        </x:is>
      </x:c>
      <x:c r="W5" s="523" t="inlineStr">
        <x:is>
          <x:t xml:space="preserve">Root of title</x:t>
        </x:is>
      </x:c>
      <x:c r="X5" s="523" t="inlineStr">
        <x:is>
          <x:t xml:space="preserve">Review</x:t>
        </x:is>
      </x:c>
      <x:c r="Y5" s="523" t="inlineStr">
        <x:is>
          <x:t xml:space="preserve">Interest amount needs review</x:t>
        </x:is>
      </x:c>
      <x:c r="Z5" s="523" t="inlineStr">
        <x:is>
          <x:t xml:space="preserve">Review</x:t>
        </x:is>
      </x:c>
      <x:c r="AA5" s="523" t="inlineStr">
        <x:is>
          <x:t xml:space="preserve">Homestead — General Land Office to Charles F. Kennett (FR2/199)</x:t>
        </x:is>
      </x:c>
      <x:c r="AB5" s="523" t="inlineStr">
        <x:is>
          <x:t xml:space="preserve">Needs source review: interest amount</x:t>
        </x:is>
      </x:c>
    </x:row>
    <x:row r="6" s="523" customFormat="1" ht="48" customHeight="1">
      <x:c r="A6" s="513" t="inlineStr">
        <x:is>
          <x:t xml:space="preserve">1907-000709</x:t>
        </x:is>
      </x:c>
      <x:c r="B6" s="513" t="n"/>
      <x:c r="C6" s="513" t="inlineStr">
        <x:is>
          <x:t xml:space="preserve">Deed</x:t>
        </x:is>
      </x:c>
      <x:c r="D6" s="513" t="inlineStr">
        <x:is>
          <x:t xml:space="preserve">D9/303</x:t>
        </x:is>
      </x:c>
      <x:c r="E6" s="514" t="n">
        <x:v>2592</x:v>
      </x:c>
      <x:c r="F6" s="515" t="n">
        <x:v>2601</x:v>
      </x:c>
      <x:c r="G6" s="516" t="inlineStr">
        <x:is>
          <x:t xml:space="preserve">Charles T. Kennett and Sadie N. Kennett, HW</x:t>
        </x:is>
      </x:c>
      <x:c r="H6" s="516" t="inlineStr">
        <x:is>
          <x:t xml:space="preserve">John G. Lancaster</x:t>
        </x:is>
      </x:c>
      <x:c r="I6" s="517" t="inlineStr">
        <x:is>
          <x:t xml:space="preserve">SW/4 NE/4 SW/4 SE/4, SE/4 SE/4 of 31-12N-24W</x:t>
        </x:is>
      </x:c>
      <x:c r="J6" s="383" t="inlineStr">
        <x:is>
          <x:t xml:space="preserve">ARTI</x:t>
        </x:is>
      </x:c>
      <x:c r="K6" s="518" t="e">
        <x:f>HYPERLINK("https://okcountyrecords.com/detail/roger+mills/1907-000709","OKCountyRecords: 1907-000709")</x:f>
      </x:c>
      <x:c r="L6" s="522" t="inlineStr">
        <x:is>
          <x:t xml:space="preserve">Mineral; basis Conv Amt(dec). Gross=tract-map basis.</x:t>
        </x:is>
      </x:c>
      <x:c r="M6" s="522" t="inlineStr">
        <x:is>
          <x:t xml:space="preserve">CURRENT OWNER SOURCE</x:t>
        </x:is>
      </x:c>
      <x:c r="N6" s="522" t="n"/>
      <x:c r="O6" s="522" t="inlineStr">
        <x:is>
          <x:t xml:space="preserve">MINERAL DEED</x:t>
        </x:is>
      </x:c>
      <x:c r="P6" s="523" t="inlineStr">
        <x:is>
          <x:t xml:space="preserve">Chain — deed (confirm minerals vs surface from instrument)</x:t>
        </x:is>
      </x:c>
      <x:c r="Q6" s="523" t="inlineStr">
        <x:is>
          <x:t xml:space="preserve">Yes</x:t>
        </x:is>
      </x:c>
      <x:c r="R6" s="523" t="inlineStr">
        <x:is>
          <x:t xml:space="preserve">No</x:t>
        </x:is>
      </x:c>
      <x:c r="S6" s="523" t="inlineStr">
        <x:is>
          <x:t xml:space="preserve">Review</x:t>
        </x:is>
      </x:c>
      <x:c r="T6" s="523" t="inlineStr">
        <x:is>
          <x:t xml:space="preserve">No</x:t>
        </x:is>
      </x:c>
      <x:c r="U6" s="523" t="inlineStr">
        <x:is>
          <x:t xml:space="preserve">Yes: 2 (legal supports)</x:t>
        </x:is>
      </x:c>
      <x:c r="V6" s="523" t="inlineStr">
        <x:is>
          <x:t xml:space="preserve">High</x:t>
        </x:is>
      </x:c>
      <x:c r="W6" s="523" t="inlineStr">
        <x:is>
          <x:t xml:space="preserve">Probable — name-normalized match to Runsheet 5 grantee; confirm</x:t>
        </x:is>
      </x:c>
      <x:c r="X6" s="523" t="inlineStr">
        <x:is>
          <x:t xml:space="preserve">Yes — on Tract 2 owner list</x:t>
        </x:is>
      </x:c>
      <x:c r="Y6" s="523" t="inlineStr">
        <x:is>
          <x:t xml:space="preserve">Candidate 1 (helper — confirm from image)</x:t>
        </x:is>
      </x:c>
      <x:c r="Z6" s="523" t="inlineStr">
        <x:is>
          <x:t xml:space="preserve">Medium — helper value</x:t>
        </x:is>
      </x:c>
      <x:c r="AA6" s="523" t="inlineStr">
        <x:is>
          <x:t xml:space="preserve">Deed — Charles T. Kennett and Sadie N to John G. Lancaster (D9/303)</x:t>
        </x:is>
      </x:c>
      <x:c r="AB6" s="523" t="inlineStr">
        <x:is>
          <x:t xml:space="preserve">Needs source review: grantor source</x:t>
        </x:is>
      </x:c>
    </x:row>
    <x:row r="7" s="523" customFormat="1" ht="48" customHeight="1">
      <x:c r="A7" s="513" t="inlineStr">
        <x:is>
          <x:t xml:space="preserve">I-1907-002225</x:t>
        </x:is>
      </x:c>
      <x:c r="B7" s="513" t="n"/>
      <x:c r="C7" s="513" t="inlineStr">
        <x:is>
          <x:t xml:space="preserve">Homestead</x:t>
        </x:is>
      </x:c>
      <x:c r="D7" s="513" t="inlineStr">
        <x:is>
          <x:t xml:space="preserve">FR2/293</x:t>
        </x:is>
      </x:c>
      <x:c r="E7" s="514" t="n">
        <x:v>2704</x:v>
      </x:c>
      <x:c r="F7" s="515" t="n">
        <x:v>2754</x:v>
      </x:c>
      <x:c r="G7" s="516" t="inlineStr">
        <x:is>
          <x:t xml:space="preserve">General Land Office</x:t>
        </x:is>
      </x:c>
      <x:c r="H7" s="516" t="inlineStr">
        <x:is>
          <x:t xml:space="preserve">Ernest Brooks</x:t>
        </x:is>
      </x:c>
      <x:c r="I7" s="524" t="inlineStr">
        <x:is>
          <x:t xml:space="preserve">SE/4 NE/4, NE/4 SE/4 of 31-12N-24W</x:t>
        </x:is>
      </x:c>
      <x:c r="J7" s="112" t="inlineStr">
        <x:is>
          <x:t xml:space="preserve">ARTI</x:t>
        </x:is>
      </x:c>
      <x:c r="K7" s="518" t="e">
        <x:f>HYPERLINK("https://okcountyrecords.com/search/roger%20mills","OKCountyRecords search: Homestead FR0002/0293")</x:f>
      </x:c>
      <x:c r="L7" s="522" t="inlineStr">
        <x:is>
          <x:t xml:space="preserve">Mineral; amount not stated — confirm from instrument. Gross=tract-map basis.</x:t>
        </x:is>
      </x:c>
      <x:c r="M7" s="522" t="inlineStr">
        <x:is>
          <x:t xml:space="preserve">CURRENT OWNER SOURCE</x:t>
        </x:is>
      </x:c>
      <x:c r="N7" s="522" t="n"/>
      <x:c r="O7" s="522" t="inlineStr">
        <x:is>
          <x:t xml:space="preserve">ROOT / PATENT / HOMESTEAD</x:t>
        </x:is>
      </x:c>
      <x:c r="P7" s="523" t="inlineStr">
        <x:is>
          <x:t xml:space="preserve">Chain — root of title</x:t>
        </x:is>
      </x:c>
      <x:c r="Q7" s="523" t="inlineStr">
        <x:is>
          <x:t xml:space="preserve">Yes</x:t>
        </x:is>
      </x:c>
      <x:c r="R7" s="523" t="inlineStr">
        <x:is>
          <x:t xml:space="preserve">No</x:t>
        </x:is>
      </x:c>
      <x:c r="S7" s="523" t="inlineStr">
        <x:is>
          <x:t xml:space="preserve">Yes</x:t>
        </x:is>
      </x:c>
      <x:c r="T7" s="523" t="inlineStr">
        <x:is>
          <x:t xml:space="preserve">No</x:t>
        </x:is>
      </x:c>
      <x:c r="U7" s="523" t="inlineStr">
        <x:is>
          <x:t xml:space="preserve">Legal maps to 3, 10; helper says 3, 8</x:t>
        </x:is>
      </x:c>
      <x:c r="V7" s="523" t="inlineStr">
        <x:is>
          <x:t xml:space="preserve">Review</x:t>
        </x:is>
      </x:c>
      <x:c r="W7" s="523" t="inlineStr">
        <x:is>
          <x:t xml:space="preserve">Root of title</x:t>
        </x:is>
      </x:c>
      <x:c r="X7" s="523" t="inlineStr">
        <x:is>
          <x:t xml:space="preserve">Yes — on Tract 3 owner list</x:t>
        </x:is>
      </x:c>
      <x:c r="Y7" s="523" t="inlineStr">
        <x:is>
          <x:t xml:space="preserve">Interest amount needs review</x:t>
        </x:is>
      </x:c>
      <x:c r="Z7" s="523" t="inlineStr">
        <x:is>
          <x:t xml:space="preserve">Review</x:t>
        </x:is>
      </x:c>
      <x:c r="AA7" s="523" t="inlineStr">
        <x:is>
          <x:t xml:space="preserve">Homestead — General Land Office to Ernest Brooks (FR2/293)</x:t>
        </x:is>
      </x:c>
      <x:c r="AB7" s="523" t="inlineStr">
        <x:is>
          <x:t xml:space="preserve">Needs source review: tract, interest amount</x:t>
        </x:is>
      </x:c>
    </x:row>
    <x:row r="8" s="523" customFormat="1" ht="48" customHeight="1">
      <x:c r="A8" s="513" t="inlineStr">
        <x:is>
          <x:t xml:space="preserve">I-1907-002222</x:t>
        </x:is>
      </x:c>
      <x:c r="B8" s="513" t="n"/>
      <x:c r="C8" s="513" t="inlineStr">
        <x:is>
          <x:t xml:space="preserve">Homestead</x:t>
        </x:is>
      </x:c>
      <x:c r="D8" s="513" t="inlineStr">
        <x:is>
          <x:t xml:space="preserve">FR2/292</x:t>
        </x:is>
      </x:c>
      <x:c r="E8" s="514" t="n">
        <x:v>2733</x:v>
      </x:c>
      <x:c r="F8" s="515" t="n">
        <x:v>2754</x:v>
      </x:c>
      <x:c r="G8" s="516" t="inlineStr">
        <x:is>
          <x:t xml:space="preserve">General Land Office</x:t>
        </x:is>
      </x:c>
      <x:c r="H8" s="516" t="inlineStr">
        <x:is>
          <x:t xml:space="preserve">Herbert E. McGuire</x:t>
        </x:is>
      </x:c>
      <x:c r="I8" s="517" t="inlineStr">
        <x:is>
          <x:t xml:space="preserve">E/2 SW/4, Lots 3, 4 of 31-12N-24W</x:t>
        </x:is>
      </x:c>
      <x:c r="J8" s="112" t="inlineStr">
        <x:is>
          <x:t xml:space="preserve">ARTI</x:t>
        </x:is>
      </x:c>
      <x:c r="K8" s="518" t="e">
        <x:f>HYPERLINK("https://okcountyrecords.com/search/roger%20mills","OKCountyRecords search: Homestead FR0002/0292")</x:f>
      </x:c>
      <x:c r="L8" s="522" t="inlineStr">
        <x:is>
          <x:t xml:space="preserve">Mineral; amount not stated — confirm from instrument. Gross=tract-map basis.</x:t>
        </x:is>
      </x:c>
      <x:c r="M8" s="522" t="inlineStr">
        <x:is>
          <x:t xml:space="preserve">CURRENT OWNER SOURCE</x:t>
        </x:is>
      </x:c>
      <x:c r="N8" s="522" t="n"/>
      <x:c r="O8" s="522" t="inlineStr">
        <x:is>
          <x:t xml:space="preserve">ROOT / PATENT / HOMESTEAD</x:t>
        </x:is>
      </x:c>
      <x:c r="P8" s="523" t="inlineStr">
        <x:is>
          <x:t xml:space="preserve">Chain — root of title</x:t>
        </x:is>
      </x:c>
      <x:c r="Q8" s="523" t="inlineStr">
        <x:is>
          <x:t xml:space="preserve">Yes</x:t>
        </x:is>
      </x:c>
      <x:c r="R8" s="523" t="inlineStr">
        <x:is>
          <x:t xml:space="preserve">No</x:t>
        </x:is>
      </x:c>
      <x:c r="S8" s="523" t="inlineStr">
        <x:is>
          <x:t xml:space="preserve">Yes</x:t>
        </x:is>
      </x:c>
      <x:c r="T8" s="523" t="inlineStr">
        <x:is>
          <x:t xml:space="preserve">No</x:t>
        </x:is>
      </x:c>
      <x:c r="U8" s="523" t="inlineStr">
        <x:is>
          <x:t xml:space="preserve">Legal maps to 5, 7, 8, 9; helper says 5, 6, 7</x:t>
        </x:is>
      </x:c>
      <x:c r="V8" s="523" t="inlineStr">
        <x:is>
          <x:t xml:space="preserve">Review</x:t>
        </x:is>
      </x:c>
      <x:c r="W8" s="523" t="inlineStr">
        <x:is>
          <x:t xml:space="preserve">Root of title</x:t>
        </x:is>
      </x:c>
      <x:c r="X8" s="523" t="inlineStr">
        <x:is>
          <x:t xml:space="preserve">Yes — on Tract 5 owner list</x:t>
        </x:is>
      </x:c>
      <x:c r="Y8" s="523" t="inlineStr">
        <x:is>
          <x:t xml:space="preserve">Interest amount needs review</x:t>
        </x:is>
      </x:c>
      <x:c r="Z8" s="523" t="inlineStr">
        <x:is>
          <x:t xml:space="preserve">Review</x:t>
        </x:is>
      </x:c>
      <x:c r="AA8" s="523" t="inlineStr">
        <x:is>
          <x:t xml:space="preserve">Homestead — General Land Office to Herbert E. McGuire (FR2/292)</x:t>
        </x:is>
      </x:c>
      <x:c r="AB8" s="523" t="inlineStr">
        <x:is>
          <x:t xml:space="preserve">Needs source review: tract, interest amount</x:t>
        </x:is>
      </x:c>
    </x:row>
    <x:row r="9" s="523" customFormat="1" ht="48" customHeight="1">
      <x:c r="A9" s="513" t="inlineStr">
        <x:is>
          <x:t xml:space="preserve">1907-001545</x:t>
        </x:is>
      </x:c>
      <x:c r="B9" s="513" t="n"/>
      <x:c r="C9" s="513" t="inlineStr">
        <x:is>
          <x:t xml:space="preserve">Deed</x:t>
        </x:is>
      </x:c>
      <x:c r="D9" s="513" t="inlineStr">
        <x:is>
          <x:t xml:space="preserve">D11/209</x:t>
        </x:is>
      </x:c>
      <x:c r="E9" s="514" t="n">
        <x:v>2754</x:v>
      </x:c>
      <x:c r="F9" s="515" t="n">
        <x:v>2755</x:v>
      </x:c>
      <x:c r="G9" s="516" t="inlineStr">
        <x:is>
          <x:t xml:space="preserve">Herbert E. McGuire and Claude J. McGuire, HW</x:t>
        </x:is>
      </x:c>
      <x:c r="H9" s="516" t="inlineStr">
        <x:is>
          <x:t xml:space="preserve">Mark Hambrook</x:t>
        </x:is>
      </x:c>
      <x:c r="I9" s="517" t="inlineStr">
        <x:is>
          <x:t xml:space="preserve">N/2 of Lot 3, N/2 NE/4 SE/4 of 31-12N-24W</x:t>
        </x:is>
      </x:c>
      <x:c r="J9" s="383" t="inlineStr">
        <x:is>
          <x:t xml:space="preserve">ARTI</x:t>
        </x:is>
      </x:c>
      <x:c r="K9" s="518" t="e">
        <x:f>HYPERLINK("https://okcountyrecords.com/detail/roger+mills/1907-001545","OKCountyRecords: 1907-001545")</x:f>
      </x:c>
      <x:c r="L9" s="522" t="inlineStr">
        <x:is>
          <x:t xml:space="preserve">Mineral; basis Conv Amt(dec). Gross=tract-map basis.</x:t>
        </x:is>
      </x:c>
      <x:c r="M9" s="522" t="inlineStr">
        <x:is>
          <x:t xml:space="preserve">CURRENT OWNER SOURCE</x:t>
        </x:is>
      </x:c>
      <x:c r="N9" s="522" t="n"/>
      <x:c r="O9" s="522" t="inlineStr">
        <x:is>
          <x:t xml:space="preserve">MINERAL DEED</x:t>
        </x:is>
      </x:c>
      <x:c r="P9" s="523" t="inlineStr">
        <x:is>
          <x:t xml:space="preserve">Chain — deed (confirm minerals vs surface from instrument)</x:t>
        </x:is>
      </x:c>
      <x:c r="Q9" s="523" t="inlineStr">
        <x:is>
          <x:t xml:space="preserve">Yes</x:t>
        </x:is>
      </x:c>
      <x:c r="R9" s="523" t="inlineStr">
        <x:is>
          <x:t xml:space="preserve">No</x:t>
        </x:is>
      </x:c>
      <x:c r="S9" s="523" t="inlineStr">
        <x:is>
          <x:t xml:space="preserve">Review</x:t>
        </x:is>
      </x:c>
      <x:c r="T9" s="523" t="inlineStr">
        <x:is>
          <x:t xml:space="preserve">No</x:t>
        </x:is>
      </x:c>
      <x:c r="U9" s="523" t="inlineStr">
        <x:is>
          <x:t xml:space="preserve">Legal maps to 1, 9, 10; helper says 1, 6, 8</x:t>
        </x:is>
      </x:c>
      <x:c r="V9" s="523" t="inlineStr">
        <x:is>
          <x:t xml:space="preserve">Review</x:t>
        </x:is>
      </x:c>
      <x:c r="W9" s="523" t="inlineStr">
        <x:is>
          <x:t xml:space="preserve">Probable — name-normalized match to Runsheet 8 grantee; confirm</x:t>
        </x:is>
      </x:c>
      <x:c r="X9" s="523" t="inlineStr">
        <x:is>
          <x:t xml:space="preserve">Review</x:t>
        </x:is>
      </x:c>
      <x:c r="Y9" s="523" t="inlineStr">
        <x:is>
          <x:t xml:space="preserve">Candidate 1 (helper — confirm from image)</x:t>
        </x:is>
      </x:c>
      <x:c r="Z9" s="523" t="inlineStr">
        <x:is>
          <x:t xml:space="preserve">Medium — helper value</x:t>
        </x:is>
      </x:c>
      <x:c r="AA9" s="523" t="inlineStr">
        <x:is>
          <x:t xml:space="preserve">Deed — Herbert E. McGuire and Claude to Mark Hambrook (D11/209)</x:t>
        </x:is>
      </x:c>
      <x:c r="AB9" s="523" t="inlineStr">
        <x:is>
          <x:t xml:space="preserve">Needs source review: tract, grantor source</x:t>
        </x:is>
      </x:c>
    </x:row>
    <x:row r="10" s="523" customFormat="1" ht="36" customHeight="1">
      <x:c r="A10" s="513" t="inlineStr">
        <x:is>
          <x:t xml:space="preserve">1931-001789</x:t>
        </x:is>
      </x:c>
      <x:c r="B10" s="513" t="n"/>
      <x:c r="C10" s="513" t="inlineStr">
        <x:is>
          <x:t xml:space="preserve">Patent</x:t>
        </x:is>
      </x:c>
      <x:c r="D10" s="513" t="inlineStr">
        <x:is>
          <x:t xml:space="preserve">PAT7/374</x:t>
        </x:is>
      </x:c>
      <x:c r="E10" s="514" t="n">
        <x:v>2917</x:v>
      </x:c>
      <x:c r="F10" s="515" t="n">
        <x:v>11450</x:v>
      </x:c>
      <x:c r="G10" s="516" t="inlineStr">
        <x:is>
          <x:t xml:space="preserve">United States of America</x:t>
        </x:is>
      </x:c>
      <x:c r="H10" s="516" t="inlineStr">
        <x:is>
          <x:t xml:space="preserve">Herbert E. McGuire</x:t>
        </x:is>
      </x:c>
      <x:c r="I10" s="517" t="inlineStr">
        <x:is>
          <x:t xml:space="preserve">E/2 SW/4, Lots 3, 4 of 31-12N-24W</x:t>
        </x:is>
      </x:c>
      <x:c r="J10" s="383" t="inlineStr">
        <x:is>
          <x:t xml:space="preserve">ARTI, 153.77 ac.</x:t>
        </x:is>
      </x:c>
      <x:c r="K10" s="518" t="e">
        <x:f>HYPERLINK("https://okcountyrecords.com/detail/roger+mills/1931-001789","OKCountyRecords: 1931-001789")</x:f>
      </x:c>
      <x:c r="L10" s="522" t="inlineStr">
        <x:is>
          <x:t xml:space="preserve">Mineral; basis Conv Amt(dec). Gross=tract-map basis.</x:t>
        </x:is>
      </x:c>
      <x:c r="M10" s="522" t="inlineStr">
        <x:is>
          <x:t xml:space="preserve">CURRENT OWNER SOURCE</x:t>
        </x:is>
      </x:c>
      <x:c r="N10" s="522" t="n"/>
      <x:c r="O10" s="522" t="inlineStr">
        <x:is>
          <x:t xml:space="preserve">ROOT / PATENT / HOMESTEAD</x:t>
        </x:is>
      </x:c>
      <x:c r="P10" s="523" t="inlineStr">
        <x:is>
          <x:t xml:space="preserve">Chain — root of title</x:t>
        </x:is>
      </x:c>
      <x:c r="Q10" s="523" t="inlineStr">
        <x:is>
          <x:t xml:space="preserve">Yes</x:t>
        </x:is>
      </x:c>
      <x:c r="R10" s="523" t="inlineStr">
        <x:is>
          <x:t xml:space="preserve">No</x:t>
        </x:is>
      </x:c>
      <x:c r="S10" s="523" t="inlineStr">
        <x:is>
          <x:t xml:space="preserve">Yes</x:t>
        </x:is>
      </x:c>
      <x:c r="T10" s="523" t="inlineStr">
        <x:is>
          <x:t xml:space="preserve">No</x:t>
        </x:is>
      </x:c>
      <x:c r="U10" s="523" t="inlineStr">
        <x:is>
          <x:t xml:space="preserve">Legal maps to 5, 7, 8, 9; helper says 5, 6, 7</x:t>
        </x:is>
      </x:c>
      <x:c r="V10" s="523" t="inlineStr">
        <x:is>
          <x:t xml:space="preserve">Review</x:t>
        </x:is>
      </x:c>
      <x:c r="W10" s="523" t="inlineStr">
        <x:is>
          <x:t xml:space="preserve">Root of title</x:t>
        </x:is>
      </x:c>
      <x:c r="X10" s="523" t="inlineStr">
        <x:is>
          <x:t xml:space="preserve">Yes — on Tract 5 owner list</x:t>
        </x:is>
      </x:c>
      <x:c r="Y10" s="523" t="inlineStr">
        <x:is>
          <x:t xml:space="preserve">Candidate 1 (helper — confirm from image)</x:t>
        </x:is>
      </x:c>
      <x:c r="Z10" s="523" t="inlineStr">
        <x:is>
          <x:t xml:space="preserve">Medium — helper value</x:t>
        </x:is>
      </x:c>
      <x:c r="AA10" s="523" t="inlineStr">
        <x:is>
          <x:t xml:space="preserve">Patent — United States of America to Herbert E. McGuire (PAT7/374)</x:t>
        </x:is>
      </x:c>
      <x:c r="AB10" s="523" t="inlineStr">
        <x:is>
          <x:t xml:space="preserve">Needs source review: tract</x:t>
        </x:is>
      </x:c>
    </x:row>
    <x:row r="11" s="523" customFormat="1" ht="48" customHeight="1">
      <x:c r="A11" s="513" t="inlineStr">
        <x:is>
          <x:t xml:space="preserve">1908-000607</x:t>
        </x:is>
      </x:c>
      <x:c r="B11" s="513" t="n"/>
      <x:c r="C11" s="513" t="inlineStr">
        <x:is>
          <x:t xml:space="preserve">Deed</x:t>
        </x:is>
      </x:c>
      <x:c r="D11" s="513" t="inlineStr">
        <x:is>
          <x:t xml:space="preserve">D11/448</x:t>
        </x:is>
      </x:c>
      <x:c r="E11" s="515" t="n">
        <x:v>3073</x:v>
      </x:c>
      <x:c r="F11" s="515" t="n">
        <x:v>3189</x:v>
      </x:c>
      <x:c r="G11" s="516" t="inlineStr">
        <x:is>
          <x:t xml:space="preserve">John G. Lancaster and Mary C. Lancaster, HW</x:t>
        </x:is>
      </x:c>
      <x:c r="H11" s="516" t="inlineStr">
        <x:is>
          <x:t xml:space="preserve">Eugene S. Repass</x:t>
        </x:is>
      </x:c>
      <x:c r="I11" s="517" t="inlineStr">
        <x:is>
          <x:t xml:space="preserve">SW/4 NE/4, W/2 SE/4, SE/4 SE/4 of 31-12N-24W, aol</x:t>
        </x:is>
      </x:c>
      <x:c r="J11" s="383" t="inlineStr">
        <x:is>
          <x:t xml:space="preserve">ARTI</x:t>
        </x:is>
      </x:c>
      <x:c r="K11" s="518" t="e">
        <x:f>HYPERLINK("https://okcountyrecords.com/detail/roger+mills/1908-000607","OKCountyRecords: 1908-000607")</x:f>
      </x:c>
      <x:c r="L11" s="522" t="inlineStr">
        <x:is>
          <x:t xml:space="preserve">Mineral; basis Conv Amt(dec). Gross=tract-map basis.</x:t>
        </x:is>
      </x:c>
      <x:c r="M11" s="522" t="inlineStr">
        <x:is>
          <x:t xml:space="preserve">CURRENT OWNER SOURCE</x:t>
        </x:is>
      </x:c>
      <x:c r="N11" s="522" t="n"/>
      <x:c r="O11" s="522" t="inlineStr">
        <x:is>
          <x:t xml:space="preserve">OUTSIDE LANDS</x:t>
        </x:is>
      </x:c>
      <x:c r="P11" s="523" t="inlineStr">
        <x:is>
          <x:t xml:space="preserve">Chain — deed (confirm minerals vs surface from instrument)</x:t>
        </x:is>
      </x:c>
      <x:c r="Q11" s="523" t="inlineStr">
        <x:is>
          <x:t xml:space="preserve">Yes</x:t>
        </x:is>
      </x:c>
      <x:c r="R11" s="523" t="inlineStr">
        <x:is>
          <x:t xml:space="preserve">No</x:t>
        </x:is>
      </x:c>
      <x:c r="S11" s="523" t="inlineStr">
        <x:is>
          <x:t xml:space="preserve">Review</x:t>
        </x:is>
      </x:c>
      <x:c r="T11" s="523" t="inlineStr">
        <x:is>
          <x:t xml:space="preserve">No</x:t>
        </x:is>
      </x:c>
      <x:c r="U11" s="523" t="inlineStr">
        <x:is>
          <x:t xml:space="preserve">Yes: 2 (legal supports)</x:t>
        </x:is>
      </x:c>
      <x:c r="V11" s="523" t="inlineStr">
        <x:is>
          <x:t xml:space="preserve">High</x:t>
        </x:is>
      </x:c>
      <x:c r="W11" s="523" t="inlineStr">
        <x:is>
          <x:t xml:space="preserve">Probable — name-normalized match to Runsheet 6 grantee; confirm</x:t>
        </x:is>
      </x:c>
      <x:c r="X11" s="523" t="inlineStr">
        <x:is>
          <x:t xml:space="preserve">Yes — on Tract 2 owner list</x:t>
        </x:is>
      </x:c>
      <x:c r="Y11" s="523" t="inlineStr">
        <x:is>
          <x:t xml:space="preserve">Candidate 1 (helper — confirm from image)</x:t>
        </x:is>
      </x:c>
      <x:c r="Z11" s="523" t="inlineStr">
        <x:is>
          <x:t xml:space="preserve">Medium — helper value</x:t>
        </x:is>
      </x:c>
      <x:c r="AA11" s="523" t="inlineStr">
        <x:is>
          <x:t xml:space="preserve">Deed — John G. Lancaster and Mary C. to Eugene S. Repass (D11/448)</x:t>
        </x:is>
      </x:c>
      <x:c r="AB11" s="523" t="inlineStr">
        <x:is>
          <x:t xml:space="preserve">Needs source review: grantor source</x:t>
        </x:is>
      </x:c>
    </x:row>
    <x:row r="12" s="523" customFormat="1" ht="48" customHeight="1">
      <x:c r="A12" s="513" t="inlineStr">
        <x:is>
          <x:t xml:space="preserve">I-1908-000930</x:t>
        </x:is>
      </x:c>
      <x:c r="B12" s="513" t="n"/>
      <x:c r="C12" s="513" t="inlineStr">
        <x:is>
          <x:t xml:space="preserve">Homestead</x:t>
        </x:is>
      </x:c>
      <x:c r="D12" s="513" t="inlineStr">
        <x:is>
          <x:t xml:space="preserve">FR2/448</x:t>
        </x:is>
      </x:c>
      <x:c r="E12" s="514" t="n">
        <x:v>3118</x:v>
      </x:c>
      <x:c r="F12" s="515" t="n">
        <x:v>3121</x:v>
      </x:c>
      <x:c r="G12" s="516" t="inlineStr">
        <x:is>
          <x:t xml:space="preserve">General Land Office</x:t>
        </x:is>
      </x:c>
      <x:c r="H12" s="516" t="inlineStr">
        <x:is>
          <x:t xml:space="preserve">Roy A. Garrison</x:t>
        </x:is>
      </x:c>
      <x:c r="I12" s="524" t="inlineStr">
        <x:is>
          <x:t xml:space="preserve">N/2 NE/4 of 31-12N-24W, aol</x:t>
        </x:is>
      </x:c>
      <x:c r="J12" s="112" t="inlineStr">
        <x:is>
          <x:t xml:space="preserve">ARTI</x:t>
        </x:is>
      </x:c>
      <x:c r="K12" s="518" t="e">
        <x:f>HYPERLINK("https://okcountyrecords.com/search/roger%20mills","OKCountyRecords search: Homestead FR0002/0448")</x:f>
      </x:c>
      <x:c r="L12" s="522" t="inlineStr">
        <x:is>
          <x:t xml:space="preserve">Mineral; amount not stated — confirm from instrument. Gross=tract-map basis.</x:t>
        </x:is>
      </x:c>
      <x:c r="M12" s="522" t="inlineStr">
        <x:is>
          <x:t xml:space="preserve">CURRENT OWNER SOURCE</x:t>
        </x:is>
      </x:c>
      <x:c r="N12" s="522" t="n"/>
      <x:c r="O12" s="522" t="inlineStr">
        <x:is>
          <x:t xml:space="preserve">OUTSIDE LANDS</x:t>
        </x:is>
      </x:c>
      <x:c r="P12" s="523" t="inlineStr">
        <x:is>
          <x:t xml:space="preserve">Chain — root of title</x:t>
        </x:is>
      </x:c>
      <x:c r="Q12" s="523" t="inlineStr">
        <x:is>
          <x:t xml:space="preserve">Yes</x:t>
        </x:is>
      </x:c>
      <x:c r="R12" s="523" t="inlineStr">
        <x:is>
          <x:t xml:space="preserve">No</x:t>
        </x:is>
      </x:c>
      <x:c r="S12" s="523" t="inlineStr">
        <x:is>
          <x:t xml:space="preserve">Yes</x:t>
        </x:is>
      </x:c>
      <x:c r="T12" s="523" t="inlineStr">
        <x:is>
          <x:t xml:space="preserve">No</x:t>
        </x:is>
      </x:c>
      <x:c r="U12" s="523" t="inlineStr">
        <x:is>
          <x:t xml:space="preserve">Yes: 1 (legal supports)</x:t>
        </x:is>
      </x:c>
      <x:c r="V12" s="523" t="inlineStr">
        <x:is>
          <x:t xml:space="preserve">High</x:t>
        </x:is>
      </x:c>
      <x:c r="W12" s="523" t="inlineStr">
        <x:is>
          <x:t xml:space="preserve">Root of title</x:t>
        </x:is>
      </x:c>
      <x:c r="X12" s="523" t="inlineStr">
        <x:is>
          <x:t xml:space="preserve">Yes — on Tract 1 owner list</x:t>
        </x:is>
      </x:c>
      <x:c r="Y12" s="523" t="inlineStr">
        <x:is>
          <x:t xml:space="preserve">Interest amount needs review</x:t>
        </x:is>
      </x:c>
      <x:c r="Z12" s="523" t="inlineStr">
        <x:is>
          <x:t xml:space="preserve">Review</x:t>
        </x:is>
      </x:c>
      <x:c r="AA12" s="523" t="inlineStr">
        <x:is>
          <x:t xml:space="preserve">Homestead — General Land Office to Roy A. Garrison (FR2/448)</x:t>
        </x:is>
      </x:c>
      <x:c r="AB12" s="523" t="inlineStr">
        <x:is>
          <x:t xml:space="preserve">Needs source review: interest amount</x:t>
        </x:is>
      </x:c>
    </x:row>
    <x:row r="13" s="523" customFormat="1" ht="36" customHeight="1">
      <x:c r="A13" s="513" t="inlineStr">
        <x:is>
          <x:t xml:space="preserve">1930-002914</x:t>
        </x:is>
      </x:c>
      <x:c r="B13" s="513" t="n"/>
      <x:c r="C13" s="513" t="inlineStr">
        <x:is>
          <x:t xml:space="preserve">Patent</x:t>
        </x:is>
      </x:c>
      <x:c r="D13" s="513" t="inlineStr">
        <x:is>
          <x:t xml:space="preserve">PAT10/234</x:t>
        </x:is>
      </x:c>
      <x:c r="E13" s="514" t="n">
        <x:v>3320</x:v>
      </x:c>
      <x:c r="F13" s="515" t="n">
        <x:v>11021</x:v>
      </x:c>
      <x:c r="G13" s="516" t="inlineStr">
        <x:is>
          <x:t xml:space="preserve">United States of America</x:t>
        </x:is>
      </x:c>
      <x:c r="H13" s="516" t="inlineStr">
        <x:is>
          <x:t xml:space="preserve">Roy A. Garrison</x:t>
        </x:is>
      </x:c>
      <x:c r="I13" s="517" t="inlineStr">
        <x:is>
          <x:t xml:space="preserve">N/2 NE/4 of 31-12N-24W, aol</x:t>
        </x:is>
      </x:c>
      <x:c r="J13" s="383" t="inlineStr">
        <x:is>
          <x:t xml:space="preserve">ARTI</x:t>
        </x:is>
      </x:c>
      <x:c r="K13" s="518" t="e">
        <x:f>HYPERLINK("https://okcountyrecords.com/detail/roger+mills/1930-002914","OKCountyRecords: 1930-002914")</x:f>
      </x:c>
      <x:c r="L13" s="522" t="inlineStr">
        <x:is>
          <x:t xml:space="preserve">Mineral; basis Conv Amt(dec). Gross=tract-map basis.</x:t>
        </x:is>
      </x:c>
      <x:c r="M13" s="522" t="inlineStr">
        <x:is>
          <x:t xml:space="preserve">CURRENT OWNER SOURCE</x:t>
        </x:is>
      </x:c>
      <x:c r="N13" s="522" t="n"/>
      <x:c r="O13" s="522" t="inlineStr">
        <x:is>
          <x:t xml:space="preserve">OUTSIDE LANDS</x:t>
        </x:is>
      </x:c>
      <x:c r="P13" s="523" t="inlineStr">
        <x:is>
          <x:t xml:space="preserve">Chain — root of title</x:t>
        </x:is>
      </x:c>
      <x:c r="Q13" s="523" t="inlineStr">
        <x:is>
          <x:t xml:space="preserve">Yes</x:t>
        </x:is>
      </x:c>
      <x:c r="R13" s="523" t="inlineStr">
        <x:is>
          <x:t xml:space="preserve">No</x:t>
        </x:is>
      </x:c>
      <x:c r="S13" s="523" t="inlineStr">
        <x:is>
          <x:t xml:space="preserve">Yes</x:t>
        </x:is>
      </x:c>
      <x:c r="T13" s="523" t="inlineStr">
        <x:is>
          <x:t xml:space="preserve">No</x:t>
        </x:is>
      </x:c>
      <x:c r="U13" s="523" t="inlineStr">
        <x:is>
          <x:t xml:space="preserve">Yes: 1 (legal supports)</x:t>
        </x:is>
      </x:c>
      <x:c r="V13" s="523" t="inlineStr">
        <x:is>
          <x:t xml:space="preserve">High</x:t>
        </x:is>
      </x:c>
      <x:c r="W13" s="523" t="inlineStr">
        <x:is>
          <x:t xml:space="preserve">Root of title</x:t>
        </x:is>
      </x:c>
      <x:c r="X13" s="523" t="inlineStr">
        <x:is>
          <x:t xml:space="preserve">Yes — on Tract 1 owner list</x:t>
        </x:is>
      </x:c>
      <x:c r="Y13" s="523" t="inlineStr">
        <x:is>
          <x:t xml:space="preserve">Candidate 1 (helper — confirm from image)</x:t>
        </x:is>
      </x:c>
      <x:c r="Z13" s="523" t="inlineStr">
        <x:is>
          <x:t xml:space="preserve">Medium — helper value</x:t>
        </x:is>
      </x:c>
      <x:c r="AA13" s="523" t="inlineStr">
        <x:is>
          <x:t xml:space="preserve">Patent — United States of America to Roy A. Garrison (PAT10/234)</x:t>
        </x:is>
      </x:c>
    </x:row>
    <x:row r="14" s="523" customFormat="1" ht="36" customHeight="1">
      <x:c r="A14" s="513" t="inlineStr">
        <x:is>
          <x:t xml:space="preserve">1909-002932</x:t>
        </x:is>
      </x:c>
      <x:c r="B14" s="525" t="n"/>
      <x:c r="C14" s="525" t="inlineStr">
        <x:is>
          <x:t xml:space="preserve">Patent</x:t>
        </x:is>
      </x:c>
      <x:c r="D14" s="525" t="inlineStr">
        <x:is>
          <x:t xml:space="preserve">PAT6/7</x:t>
        </x:is>
      </x:c>
      <x:c r="E14" s="526" t="n">
        <x:v>3652</x:v>
      </x:c>
      <x:c r="F14" s="515" t="n">
        <x:v>3652</x:v>
      </x:c>
      <x:c r="G14" s="524" t="inlineStr">
        <x:is>
          <x:t xml:space="preserve">United States of America</x:t>
        </x:is>
      </x:c>
      <x:c r="H14" s="524" t="inlineStr">
        <x:is>
          <x:t xml:space="preserve">Ernest Brooks</x:t>
        </x:is>
      </x:c>
      <x:c r="I14" s="524" t="inlineStr">
        <x:is>
          <x:t xml:space="preserve">SE/4 NE/4, NE/4 SE/4 of 31-12N-24W</x:t>
        </x:is>
      </x:c>
      <x:c r="J14" s="112" t="inlineStr">
        <x:is>
          <x:t xml:space="preserve">ARTI</x:t>
        </x:is>
      </x:c>
      <x:c r="K14" s="518" t="e">
        <x:f>HYPERLINK("https://okcountyrecords.com/detail/roger+mills/1909-002932","OKCountyRecords: 1909-002932")</x:f>
      </x:c>
      <x:c r="L14" s="522" t="inlineStr">
        <x:is>
          <x:t xml:space="preserve">Mineral; basis Conv Amt(dec). Gross=tract-map basis.</x:t>
        </x:is>
      </x:c>
      <x:c r="M14" s="522" t="inlineStr">
        <x:is>
          <x:t xml:space="preserve">CURRENT OWNER SOURCE</x:t>
        </x:is>
      </x:c>
      <x:c r="N14" s="522" t="n"/>
      <x:c r="O14" s="522" t="inlineStr">
        <x:is>
          <x:t xml:space="preserve">ROOT / PATENT / HOMESTEAD</x:t>
        </x:is>
      </x:c>
      <x:c r="P14" s="523" t="inlineStr">
        <x:is>
          <x:t xml:space="preserve">Chain — root of title</x:t>
        </x:is>
      </x:c>
      <x:c r="Q14" s="523" t="inlineStr">
        <x:is>
          <x:t xml:space="preserve">Yes</x:t>
        </x:is>
      </x:c>
      <x:c r="R14" s="523" t="inlineStr">
        <x:is>
          <x:t xml:space="preserve">No</x:t>
        </x:is>
      </x:c>
      <x:c r="S14" s="523" t="inlineStr">
        <x:is>
          <x:t xml:space="preserve">Yes</x:t>
        </x:is>
      </x:c>
      <x:c r="T14" s="523" t="inlineStr">
        <x:is>
          <x:t xml:space="preserve">No</x:t>
        </x:is>
      </x:c>
      <x:c r="U14" s="523" t="inlineStr">
        <x:is>
          <x:t xml:space="preserve">Legal maps to 3, 10; helper says 3, 8</x:t>
        </x:is>
      </x:c>
      <x:c r="V14" s="523" t="inlineStr">
        <x:is>
          <x:t xml:space="preserve">Review</x:t>
        </x:is>
      </x:c>
      <x:c r="W14" s="523" t="inlineStr">
        <x:is>
          <x:t xml:space="preserve">Root of title</x:t>
        </x:is>
      </x:c>
      <x:c r="X14" s="523" t="inlineStr">
        <x:is>
          <x:t xml:space="preserve">Yes — on Tract 3 owner list</x:t>
        </x:is>
      </x:c>
      <x:c r="Y14" s="523" t="inlineStr">
        <x:is>
          <x:t xml:space="preserve">Candidate 1 (helper — confirm from image)</x:t>
        </x:is>
      </x:c>
      <x:c r="Z14" s="523" t="inlineStr">
        <x:is>
          <x:t xml:space="preserve">Medium — helper value</x:t>
        </x:is>
      </x:c>
      <x:c r="AA14" s="523" t="inlineStr">
        <x:is>
          <x:t xml:space="preserve">Patent — United States of America to Ernest Brooks (PAT6/7)</x:t>
        </x:is>
      </x:c>
      <x:c r="AB14" s="523" t="inlineStr">
        <x:is>
          <x:t xml:space="preserve">Needs source review: tract</x:t>
        </x:is>
      </x:c>
    </x:row>
    <x:row r="15" s="523" customFormat="1" ht="48" customHeight="1">
      <x:c r="A15" s="513" t="inlineStr">
        <x:is>
          <x:t xml:space="preserve">1919-001437</x:t>
        </x:is>
      </x:c>
      <x:c r="B15" s="513" t="n"/>
      <x:c r="C15" s="513" t="inlineStr">
        <x:is>
          <x:t xml:space="preserve">Affidavit</x:t>
        </x:is>
      </x:c>
      <x:c r="D15" s="513" t="inlineStr">
        <x:is>
          <x:t xml:space="preserve">MIS11/154</x:t>
        </x:is>
      </x:c>
      <x:c r="E15" s="514" t="n">
        <x:v>3734</x:v>
      </x:c>
      <x:c r="F15" s="515" t="n">
        <x:v>7291</x:v>
      </x:c>
      <x:c r="G15" s="516" t="inlineStr">
        <x:is>
          <x:t xml:space="preserve">E. L. Martin</x:t>
        </x:is>
      </x:c>
      <x:c r="H15" s="516" t="inlineStr">
        <x:is>
          <x:t xml:space="preserve">The Public</x:t>
        </x:is>
      </x:c>
      <x:c r="I15" s="524" t="inlineStr">
        <x:is>
          <x:t xml:space="preserve">SW/4 NE/4, W/2 SE/4, SE/4 SE/4 of 31-12N-24W, aol</x:t>
        </x:is>
      </x:c>
      <x:c r="J15" s="112" t="inlineStr">
        <x:is>
          <x:t xml:space="preserve">Affidavit (E. L. Martin) of identity: Eugene S. Repass = E. S. Repass — grantee under the Lancaster deed (5/30/1908, Bk 11 Deeds/468; SE/4 Sec 32 and SW/4 NE/4, W/2 SE/4, SE/4 SE/4 Sec 31-12N-24W) and mortgagor to G. E. Martin (2/16/1910, Bk 18 Mtg/484). See recorded instrument for full text.</x:t>
        </x:is>
      </x:c>
      <x:c r="K15" s="518" t="e">
        <x:f>HYPERLINK("https://okcountyrecords.com/detail/roger+mills/1919-001437","OKCountyRecords: 1919-001437")</x:f>
      </x:c>
      <x:c r="L15" s="522" t="inlineStr">
        <x:is>
          <x:t xml:space="preserve">Other (non-mineral; excluded from mineral NMA). Gross=tract-map basis.</x:t>
        </x:is>
      </x:c>
      <x:c r="M15" s="522" t="inlineStr">
        <x:is>
          <x:t xml:space="preserve">OK</x:t>
        </x:is>
      </x:c>
      <x:c r="N15" s="522" t="inlineStr">
        <x:is>
          <x:t xml:space="preserve">ARTI/notice instrument (The Public); no net mineral acres conveyed.</x:t>
        </x:is>
      </x:c>
      <x:c r="O15" s="522" t="inlineStr">
        <x:is>
          <x:t xml:space="preserve">OUTSIDE LANDS</x:t>
        </x:is>
      </x:c>
      <x:c r="P15" s="523" t="inlineStr">
        <x:is>
          <x:t xml:space="preserve">Chain — title support (succession/entity/probate)</x:t>
        </x:is>
      </x:c>
      <x:c r="Q15" s="523" t="inlineStr">
        <x:is>
          <x:t xml:space="preserve">Yes</x:t>
        </x:is>
      </x:c>
      <x:c r="R15" s="523" t="inlineStr">
        <x:is>
          <x:t xml:space="preserve">No</x:t>
        </x:is>
      </x:c>
      <x:c r="S15" s="523" t="inlineStr">
        <x:is>
          <x:t xml:space="preserve">Yes</x:t>
        </x:is>
      </x:c>
      <x:c r="T15" s="523" t="inlineStr">
        <x:is>
          <x:t xml:space="preserve">No</x:t>
        </x:is>
      </x:c>
      <x:c r="U15" s="523" t="inlineStr">
        <x:is>
          <x:t xml:space="preserve">Yes: 2 (legal supports)</x:t>
        </x:is>
      </x:c>
      <x:c r="V15" s="523" t="inlineStr">
        <x:is>
          <x:t xml:space="preserve">High</x:t>
        </x:is>
      </x:c>
      <x:c r="W15" s="523" t="inlineStr">
        <x:is>
          <x:t xml:space="preserve">Review — no exact prior-grantee match</x:t>
        </x:is>
      </x:c>
      <x:c r="X15" s="523" t="inlineStr">
        <x:is>
          <x:t xml:space="preserve">Review</x:t>
        </x:is>
      </x:c>
      <x:c r="Y15" s="523" t="inlineStr">
        <x:is>
          <x:t xml:space="preserve">Interest amount needs review</x:t>
        </x:is>
      </x:c>
      <x:c r="Z15" s="523" t="inlineStr">
        <x:is>
          <x:t xml:space="preserve">Review</x:t>
        </x:is>
      </x:c>
      <x:c r="AA15" s="523" t="inlineStr">
        <x:is>
          <x:t xml:space="preserve">Affidavit — E. L. Martin to The Public (MIS11/154)</x:t>
        </x:is>
      </x:c>
      <x:c r="AB15" s="523" t="inlineStr">
        <x:is>
          <x:t xml:space="preserve">Needs source review: grantor source, interest amount</x:t>
        </x:is>
      </x:c>
    </x:row>
    <x:row r="16" s="523" customFormat="1" ht="48" customHeight="1">
      <x:c r="A16" s="513" t="inlineStr">
        <x:is>
          <x:t xml:space="preserve">1913-000413</x:t>
        </x:is>
      </x:c>
      <x:c r="B16" s="513" t="n"/>
      <x:c r="C16" s="513" t="inlineStr">
        <x:is>
          <x:t xml:space="preserve">Deed</x:t>
        </x:is>
      </x:c>
      <x:c r="D16" s="513" t="inlineStr">
        <x:is>
          <x:t xml:space="preserve">D19/268</x:t>
        </x:is>
      </x:c>
      <x:c r="E16" s="514" t="n">
        <x:v>4759</x:v>
      </x:c>
      <x:c r="F16" s="515" t="n">
        <x:v>4759</x:v>
      </x:c>
      <x:c r="G16" s="516" t="inlineStr">
        <x:is>
          <x:t xml:space="preserve">Ernest Brooks and Mary Brooks, HW</x:t>
        </x:is>
      </x:c>
      <x:c r="H16" s="516" t="inlineStr">
        <x:is>
          <x:t xml:space="preserve">Susie Danforth,
W. C. Danforth</x:t>
        </x:is>
      </x:c>
      <x:c r="I16" s="517" t="inlineStr">
        <x:is>
          <x:t xml:space="preserve">SE/4 NE/4, NE/4 SE/4 of 31-12N-24W</x:t>
        </x:is>
      </x:c>
      <x:c r="J16" s="112" t="inlineStr">
        <x:is>
          <x:t xml:space="preserve">ARTI</x:t>
        </x:is>
      </x:c>
      <x:c r="K16" s="518" t="e">
        <x:f>HYPERLINK("https://okcountyrecords.com/detail/roger+mills/1913-000413","OKCountyRecords: 1913-000413")</x:f>
      </x:c>
      <x:c r="L16" s="522" t="inlineStr">
        <x:is>
          <x:t xml:space="preserve">Mineral; basis Conv Amt(dec). Gross=tract-map basis.</x:t>
        </x:is>
      </x:c>
      <x:c r="M16" s="522" t="inlineStr">
        <x:is>
          <x:t xml:space="preserve">CURRENT OWNER SOURCE</x:t>
        </x:is>
      </x:c>
      <x:c r="N16" s="522" t="n"/>
      <x:c r="O16" s="522" t="inlineStr">
        <x:is>
          <x:t xml:space="preserve">MINERAL DEED</x:t>
        </x:is>
      </x:c>
      <x:c r="P16" s="523" t="inlineStr">
        <x:is>
          <x:t xml:space="preserve">Chain — deed (confirm minerals vs surface from instrument)</x:t>
        </x:is>
      </x:c>
      <x:c r="Q16" s="523" t="inlineStr">
        <x:is>
          <x:t xml:space="preserve">Yes</x:t>
        </x:is>
      </x:c>
      <x:c r="R16" s="523" t="inlineStr">
        <x:is>
          <x:t xml:space="preserve">No</x:t>
        </x:is>
      </x:c>
      <x:c r="S16" s="523" t="inlineStr">
        <x:is>
          <x:t xml:space="preserve">Review</x:t>
        </x:is>
      </x:c>
      <x:c r="T16" s="523" t="inlineStr">
        <x:is>
          <x:t xml:space="preserve">No</x:t>
        </x:is>
      </x:c>
      <x:c r="U16" s="523" t="inlineStr">
        <x:is>
          <x:t xml:space="preserve">Legal maps to 3, 10; helper says 3, 8</x:t>
        </x:is>
      </x:c>
      <x:c r="V16" s="523" t="inlineStr">
        <x:is>
          <x:t xml:space="preserve">Review</x:t>
        </x:is>
      </x:c>
      <x:c r="W16" s="523" t="inlineStr">
        <x:is>
          <x:t xml:space="preserve">Probable — name-normalized match to Runsheet 14 grantee; confirm</x:t>
        </x:is>
      </x:c>
      <x:c r="X16" s="523" t="inlineStr">
        <x:is>
          <x:t xml:space="preserve">Yes — on Tract 3 owner list</x:t>
        </x:is>
      </x:c>
      <x:c r="Y16" s="523" t="inlineStr">
        <x:is>
          <x:t xml:space="preserve">Candidate 1 (helper — confirm from image)</x:t>
        </x:is>
      </x:c>
      <x:c r="Z16" s="523" t="inlineStr">
        <x:is>
          <x:t xml:space="preserve">Medium — helper value</x:t>
        </x:is>
      </x:c>
      <x:c r="AA16" s="523" t="inlineStr">
        <x:is>
          <x:t xml:space="preserve">Deed — Ernest Brooks and Mary Brooks, to Susie Danforth, (D19/268)</x:t>
        </x:is>
      </x:c>
      <x:c r="AB16" s="523" t="inlineStr">
        <x:is>
          <x:t xml:space="preserve">Needs source review: tract, grantor source</x:t>
        </x:is>
      </x:c>
    </x:row>
    <x:row r="17" s="523" customFormat="1" ht="36" customHeight="1">
      <x:c r="A17" s="513" t="inlineStr">
        <x:is>
          <x:t xml:space="preserve">1916-000332</x:t>
        </x:is>
      </x:c>
      <x:c r="B17" s="513" t="n"/>
      <x:c r="C17" s="513" t="inlineStr">
        <x:is>
          <x:t xml:space="preserve">Deed</x:t>
        </x:is>
      </x:c>
      <x:c r="D17" s="513" t="inlineStr">
        <x:is>
          <x:t xml:space="preserve">D22/248</x:t>
        </x:is>
      </x:c>
      <x:c r="E17" s="514" t="n">
        <x:v>5920</x:v>
      </x:c>
      <x:c r="F17" s="515" t="n">
        <x:v>5925</x:v>
      </x:c>
      <x:c r="G17" s="524" t="inlineStr">
        <x:is>
          <x:t xml:space="preserve">H. L. Rowley and Myrtie Rowley, HW</x:t>
        </x:is>
      </x:c>
      <x:c r="H17" s="516" t="inlineStr">
        <x:is>
          <x:t xml:space="preserve">H. E. Rupp</x:t>
        </x:is>
      </x:c>
      <x:c r="I17" s="517" t="inlineStr">
        <x:is>
          <x:t xml:space="preserve">N/2 NE/4 of 31-12N-24W, aol</x:t>
        </x:is>
      </x:c>
      <x:c r="J17" s="112" t="inlineStr">
        <x:is>
          <x:t xml:space="preserve">ARTI</x:t>
        </x:is>
      </x:c>
      <x:c r="K17" s="518" t="e">
        <x:f>HYPERLINK("https://okcountyrecords.com/detail/roger+mills/1916-000332","OKCountyRecords: 1916-000332")</x:f>
      </x:c>
      <x:c r="L17" s="522" t="inlineStr">
        <x:is>
          <x:t xml:space="preserve">Mineral; basis Conv Amt(dec). Gross=tract-map basis.</x:t>
        </x:is>
      </x:c>
      <x:c r="M17" s="522" t="inlineStr">
        <x:is>
          <x:t xml:space="preserve">CURRENT OWNER SOURCE</x:t>
        </x:is>
      </x:c>
      <x:c r="N17" s="522" t="n"/>
      <x:c r="O17" s="522" t="inlineStr">
        <x:is>
          <x:t xml:space="preserve">OUTSIDE LANDS</x:t>
        </x:is>
      </x:c>
      <x:c r="P17" s="523" t="inlineStr">
        <x:is>
          <x:t xml:space="preserve">Chain — deed (confirm minerals vs surface from instrument)</x:t>
        </x:is>
      </x:c>
      <x:c r="Q17" s="523" t="inlineStr">
        <x:is>
          <x:t xml:space="preserve">Yes</x:t>
        </x:is>
      </x:c>
      <x:c r="R17" s="523" t="inlineStr">
        <x:is>
          <x:t xml:space="preserve">No</x:t>
        </x:is>
      </x:c>
      <x:c r="S17" s="523" t="inlineStr">
        <x:is>
          <x:t xml:space="preserve">Review</x:t>
        </x:is>
      </x:c>
      <x:c r="T17" s="523" t="inlineStr">
        <x:is>
          <x:t xml:space="preserve">No</x:t>
        </x:is>
      </x:c>
      <x:c r="U17" s="523" t="inlineStr">
        <x:is>
          <x:t xml:space="preserve">Yes: 1 (legal supports)</x:t>
        </x:is>
      </x:c>
      <x:c r="V17" s="523" t="inlineStr">
        <x:is>
          <x:t xml:space="preserve">High</x:t>
        </x:is>
      </x:c>
      <x:c r="W17" s="523" t="inlineStr">
        <x:is>
          <x:t xml:space="preserve">Review — no exact prior-grantee match</x:t>
        </x:is>
      </x:c>
      <x:c r="X17" s="523" t="inlineStr">
        <x:is>
          <x:t xml:space="preserve">Yes — on Tract 1 owner list</x:t>
        </x:is>
      </x:c>
      <x:c r="Y17" s="523" t="inlineStr">
        <x:is>
          <x:t xml:space="preserve">Candidate 1 (helper — confirm from image)</x:t>
        </x:is>
      </x:c>
      <x:c r="Z17" s="523" t="inlineStr">
        <x:is>
          <x:t xml:space="preserve">Medium — helper value</x:t>
        </x:is>
      </x:c>
      <x:c r="AA17" s="523" t="inlineStr">
        <x:is>
          <x:t xml:space="preserve">Deed — H. L. Rowley and Myrtie Rowley to H. E. Rupp (D22/248)</x:t>
        </x:is>
      </x:c>
      <x:c r="AB17" s="523" t="inlineStr">
        <x:is>
          <x:t xml:space="preserve">Needs source review: grantor source</x:t>
        </x:is>
      </x:c>
    </x:row>
    <x:row r="18" s="523" customFormat="1" ht="48" customHeight="1">
      <x:c r="A18" s="513" t="inlineStr">
        <x:is>
          <x:t xml:space="preserve">1918-000943</x:t>
        </x:is>
      </x:c>
      <x:c r="B18" s="513" t="n"/>
      <x:c r="C18" s="513" t="inlineStr">
        <x:is>
          <x:t xml:space="preserve">Deed</x:t>
        </x:is>
      </x:c>
      <x:c r="D18" s="513" t="inlineStr">
        <x:is>
          <x:t xml:space="preserve">D27/477</x:t>
        </x:is>
      </x:c>
      <x:c r="E18" s="514" t="n">
        <x:v>6568</x:v>
      </x:c>
      <x:c r="F18" s="515" t="n">
        <x:v>6887</x:v>
      </x:c>
      <x:c r="G18" s="516" t="inlineStr">
        <x:is>
          <x:t xml:space="preserve">Herbert E. McGuire and Claude J. McGuire, HW</x:t>
        </x:is>
      </x:c>
      <x:c r="H18" s="516" t="inlineStr">
        <x:is>
          <x:t xml:space="preserve">E. T. Gamble</x:t>
        </x:is>
      </x:c>
      <x:c r="I18" s="517" t="inlineStr">
        <x:is>
          <x:t xml:space="preserve">S/2 SW/4, S/2 N/2 SW/4 of 31-12N-24W</x:t>
        </x:is>
      </x:c>
      <x:c r="J18" s="112" t="inlineStr">
        <x:is>
          <x:t xml:space="preserve">ARTI</x:t>
        </x:is>
      </x:c>
      <x:c r="K18" s="518" t="e">
        <x:f>HYPERLINK("https://okcountyrecords.com/detail/roger+mills/1918-000943","OKCountyRecords: 1918-000943")</x:f>
      </x:c>
      <x:c r="L18" s="522" t="inlineStr">
        <x:is>
          <x:t xml:space="preserve">Mineral; basis Conv Amt(dec). Gross=tract-map basis.</x:t>
        </x:is>
      </x:c>
      <x:c r="M18" s="522" t="inlineStr">
        <x:is>
          <x:t xml:space="preserve">CURRENT OWNER SOURCE</x:t>
        </x:is>
      </x:c>
      <x:c r="N18" s="522" t="n"/>
      <x:c r="O18" s="522" t="inlineStr">
        <x:is>
          <x:t xml:space="preserve">MINERAL DEED</x:t>
        </x:is>
      </x:c>
      <x:c r="P18" s="523" t="inlineStr">
        <x:is>
          <x:t xml:space="preserve">Chain — deed (confirm minerals vs surface from instrument)</x:t>
        </x:is>
      </x:c>
      <x:c r="Q18" s="523" t="inlineStr">
        <x:is>
          <x:t xml:space="preserve">Yes</x:t>
        </x:is>
      </x:c>
      <x:c r="R18" s="523" t="inlineStr">
        <x:is>
          <x:t xml:space="preserve">No</x:t>
        </x:is>
      </x:c>
      <x:c r="S18" s="523" t="inlineStr">
        <x:is>
          <x:t xml:space="preserve">Review</x:t>
        </x:is>
      </x:c>
      <x:c r="T18" s="523" t="inlineStr">
        <x:is>
          <x:t xml:space="preserve">No</x:t>
        </x:is>
      </x:c>
      <x:c r="U18" s="523" t="inlineStr">
        <x:is>
          <x:t xml:space="preserve">Legal maps to 5, 7, 8, 9; helper says 5, 6, 7</x:t>
        </x:is>
      </x:c>
      <x:c r="V18" s="523" t="inlineStr">
        <x:is>
          <x:t xml:space="preserve">Review</x:t>
        </x:is>
      </x:c>
      <x:c r="W18" s="523" t="inlineStr">
        <x:is>
          <x:t xml:space="preserve">Probable — name-normalized match to Runsheet 10 grantee; confirm</x:t>
        </x:is>
      </x:c>
      <x:c r="X18" s="523" t="inlineStr">
        <x:is>
          <x:t xml:space="preserve">Yes — on Tract 5 owner list</x:t>
        </x:is>
      </x:c>
      <x:c r="Y18" s="523" t="inlineStr">
        <x:is>
          <x:t xml:space="preserve">Candidate 1 (helper — confirm from image)</x:t>
        </x:is>
      </x:c>
      <x:c r="Z18" s="523" t="inlineStr">
        <x:is>
          <x:t xml:space="preserve">Medium — helper value</x:t>
        </x:is>
      </x:c>
      <x:c r="AA18" s="523" t="inlineStr">
        <x:is>
          <x:t xml:space="preserve">Deed — Herbert E. McGuire and Claude to E. T. Gamble (D27/477)</x:t>
        </x:is>
      </x:c>
      <x:c r="AB18" s="523" t="inlineStr">
        <x:is>
          <x:t xml:space="preserve">Needs source review: tract, grantor source</x:t>
        </x:is>
      </x:c>
    </x:row>
    <x:row r="19" s="523" customFormat="1" ht="48" customHeight="1">
      <x:c r="A19" s="513" t="inlineStr">
        <x:is>
          <x:t xml:space="preserve">1919-000971</x:t>
        </x:is>
      </x:c>
      <x:c r="B19" s="513" t="n"/>
      <x:c r="C19" s="513" t="inlineStr">
        <x:is>
          <x:t xml:space="preserve">Deed</x:t>
        </x:is>
      </x:c>
      <x:c r="D19" s="513" t="inlineStr">
        <x:is>
          <x:t xml:space="preserve">D29/382</x:t>
        </x:is>
      </x:c>
      <x:c r="E19" s="514" t="n">
        <x:v>7303</x:v>
      </x:c>
      <x:c r="F19" s="515" t="n">
        <x:v>7291</x:v>
      </x:c>
      <x:c r="G19" s="516" t="inlineStr">
        <x:is>
          <x:t xml:space="preserve">E. S. Repass and Sarah J. Repass, HW</x:t>
        </x:is>
      </x:c>
      <x:c r="H19" s="516" t="inlineStr">
        <x:is>
          <x:t xml:space="preserve">William C. Bain</x:t>
        </x:is>
      </x:c>
      <x:c r="I19" s="524" t="inlineStr">
        <x:is>
          <x:t xml:space="preserve">S/2 SE/4, NW/4 SE/4, SW/4 NE/4 of 31-12N-24W</x:t>
        </x:is>
      </x:c>
      <x:c r="J19" s="112" t="inlineStr">
        <x:is>
          <x:t xml:space="preserve">ARTI</x:t>
        </x:is>
      </x:c>
      <x:c r="K19" s="518" t="e">
        <x:f>HYPERLINK("https://okcountyrecords.com/detail/roger+mills/1919-000971","OKCountyRecords: 1919-000971")</x:f>
      </x:c>
      <x:c r="L19" s="522" t="inlineStr">
        <x:is>
          <x:t xml:space="preserve">Mineral; basis Conv Amt(dec). Gross=tract-map basis.</x:t>
        </x:is>
      </x:c>
      <x:c r="M19" s="522" t="inlineStr">
        <x:is>
          <x:t xml:space="preserve">CURRENT OWNER SOURCE</x:t>
        </x:is>
      </x:c>
      <x:c r="N19" s="522" t="n"/>
      <x:c r="O19" s="522" t="inlineStr">
        <x:is>
          <x:t xml:space="preserve">MINERAL DEED</x:t>
        </x:is>
      </x:c>
      <x:c r="P19" s="523" t="inlineStr">
        <x:is>
          <x:t xml:space="preserve">Chain — deed (confirm minerals vs surface from instrument)</x:t>
        </x:is>
      </x:c>
      <x:c r="Q19" s="523" t="inlineStr">
        <x:is>
          <x:t xml:space="preserve">Yes</x:t>
        </x:is>
      </x:c>
      <x:c r="R19" s="523" t="inlineStr">
        <x:is>
          <x:t xml:space="preserve">No</x:t>
        </x:is>
      </x:c>
      <x:c r="S19" s="523" t="inlineStr">
        <x:is>
          <x:t xml:space="preserve">Review</x:t>
        </x:is>
      </x:c>
      <x:c r="T19" s="523" t="inlineStr">
        <x:is>
          <x:t xml:space="preserve">No</x:t>
        </x:is>
      </x:c>
      <x:c r="U19" s="523" t="inlineStr">
        <x:is>
          <x:t xml:space="preserve">Yes: 2 (legal supports)</x:t>
        </x:is>
      </x:c>
      <x:c r="V19" s="523" t="inlineStr">
        <x:is>
          <x:t xml:space="preserve">High</x:t>
        </x:is>
      </x:c>
      <x:c r="W19" s="523" t="inlineStr">
        <x:is>
          <x:t xml:space="preserve">Review — no exact prior-grantee match</x:t>
        </x:is>
      </x:c>
      <x:c r="X19" s="523" t="inlineStr">
        <x:is>
          <x:t xml:space="preserve">Yes — on Tract 2 owner list</x:t>
        </x:is>
      </x:c>
      <x:c r="Y19" s="523" t="inlineStr">
        <x:is>
          <x:t xml:space="preserve">Candidate 1 (helper — confirm from image)</x:t>
        </x:is>
      </x:c>
      <x:c r="Z19" s="523" t="inlineStr">
        <x:is>
          <x:t xml:space="preserve">Medium — helper value</x:t>
        </x:is>
      </x:c>
      <x:c r="AA19" s="523" t="inlineStr">
        <x:is>
          <x:t xml:space="preserve">Deed — E. S. Repass and Sarah J. Repa to William C. Bain (D29/382)</x:t>
        </x:is>
      </x:c>
      <x:c r="AB19" s="523" t="inlineStr">
        <x:is>
          <x:t xml:space="preserve">Needs source review: grantor source</x:t>
        </x:is>
      </x:c>
    </x:row>
    <x:row r="20" s="523" customFormat="1" ht="36" customHeight="1">
      <x:c r="A20" s="513" t="inlineStr">
        <x:is>
          <x:t xml:space="preserve">1921-000501</x:t>
        </x:is>
      </x:c>
      <x:c r="B20" s="513" t="n"/>
      <x:c r="C20" s="513" t="inlineStr">
        <x:is>
          <x:t xml:space="preserve">Deed</x:t>
        </x:is>
      </x:c>
      <x:c r="D20" s="513" t="inlineStr">
        <x:is>
          <x:t xml:space="preserve">D31/387</x:t>
        </x:is>
      </x:c>
      <x:c r="E20" s="514" t="n">
        <x:v>7682</x:v>
      </x:c>
      <x:c r="F20" s="515" t="n">
        <x:v>7805</x:v>
      </x:c>
      <x:c r="G20" s="516" t="inlineStr">
        <x:is>
          <x:t xml:space="preserve">H. E. Rupp and Lulu M. Rupp, HW</x:t>
        </x:is>
      </x:c>
      <x:c r="H20" s="516" t="inlineStr">
        <x:is>
          <x:t xml:space="preserve">E. C. Winford</x:t>
        </x:is>
      </x:c>
      <x:c r="I20" s="517" t="inlineStr">
        <x:is>
          <x:t xml:space="preserve">N/2 NE/4 of 31-12N-24W, aol</x:t>
        </x:is>
      </x:c>
      <x:c r="J20" s="112" t="inlineStr">
        <x:is>
          <x:t xml:space="preserve">ARTI</x:t>
        </x:is>
      </x:c>
      <x:c r="K20" s="518" t="e">
        <x:f>HYPERLINK("https://okcountyrecords.com/detail/roger+mills/1921-000501","OKCountyRecords: 1921-000501")</x:f>
      </x:c>
      <x:c r="L20" s="522" t="inlineStr">
        <x:is>
          <x:t xml:space="preserve">Mineral; basis Conv Amt(dec). Gross=tract-map basis.</x:t>
        </x:is>
      </x:c>
      <x:c r="M20" s="522" t="inlineStr">
        <x:is>
          <x:t xml:space="preserve">CURRENT OWNER SOURCE</x:t>
        </x:is>
      </x:c>
      <x:c r="N20" s="522" t="n"/>
      <x:c r="O20" s="522" t="inlineStr">
        <x:is>
          <x:t xml:space="preserve">OUTSIDE LANDS</x:t>
        </x:is>
      </x:c>
      <x:c r="P20" s="523" t="inlineStr">
        <x:is>
          <x:t xml:space="preserve">Chain — deed (confirm minerals vs surface from instrument)</x:t>
        </x:is>
      </x:c>
      <x:c r="Q20" s="523" t="inlineStr">
        <x:is>
          <x:t xml:space="preserve">Yes</x:t>
        </x:is>
      </x:c>
      <x:c r="R20" s="523" t="inlineStr">
        <x:is>
          <x:t xml:space="preserve">No</x:t>
        </x:is>
      </x:c>
      <x:c r="S20" s="523" t="inlineStr">
        <x:is>
          <x:t xml:space="preserve">Review</x:t>
        </x:is>
      </x:c>
      <x:c r="T20" s="523" t="inlineStr">
        <x:is>
          <x:t xml:space="preserve">No</x:t>
        </x:is>
      </x:c>
      <x:c r="U20" s="523" t="inlineStr">
        <x:is>
          <x:t xml:space="preserve">Yes: 1 (legal supports)</x:t>
        </x:is>
      </x:c>
      <x:c r="V20" s="523" t="inlineStr">
        <x:is>
          <x:t xml:space="preserve">High</x:t>
        </x:is>
      </x:c>
      <x:c r="W20" s="523" t="inlineStr">
        <x:is>
          <x:t xml:space="preserve">Review — no exact prior-grantee match</x:t>
        </x:is>
      </x:c>
      <x:c r="X20" s="523" t="inlineStr">
        <x:is>
          <x:t xml:space="preserve">Yes — on Tract 1 owner list</x:t>
        </x:is>
      </x:c>
      <x:c r="Y20" s="523" t="inlineStr">
        <x:is>
          <x:t xml:space="preserve">Candidate 1 (helper — confirm from image)</x:t>
        </x:is>
      </x:c>
      <x:c r="Z20" s="523" t="inlineStr">
        <x:is>
          <x:t xml:space="preserve">Medium — helper value</x:t>
        </x:is>
      </x:c>
      <x:c r="AA20" s="523" t="inlineStr">
        <x:is>
          <x:t xml:space="preserve">Deed — H. E. Rupp and Lulu M. Rupp, H to E. C. Winford (D31/387)</x:t>
        </x:is>
      </x:c>
      <x:c r="AB20" s="523" t="inlineStr">
        <x:is>
          <x:t xml:space="preserve">Needs source review: grantor source</x:t>
        </x:is>
      </x:c>
    </x:row>
    <x:row r="21" s="523" customFormat="1" ht="36" customHeight="1">
      <x:c r="A21" s="513" t="inlineStr">
        <x:is>
          <x:t xml:space="preserve">1921-000502</x:t>
        </x:is>
      </x:c>
      <x:c r="B21" s="513" t="n"/>
      <x:c r="C21" s="513" t="inlineStr">
        <x:is>
          <x:t xml:space="preserve">Deed</x:t>
        </x:is>
      </x:c>
      <x:c r="D21" s="513" t="inlineStr">
        <x:is>
          <x:t xml:space="preserve">D31/388</x:t>
        </x:is>
      </x:c>
      <x:c r="E21" s="514" t="n">
        <x:v>7733</x:v>
      </x:c>
      <x:c r="F21" s="515" t="n">
        <x:v>7805</x:v>
      </x:c>
      <x:c r="G21" s="516" t="inlineStr">
        <x:is>
          <x:t xml:space="preserve">E. C. Winford and Florence E. Winford, HW</x:t>
        </x:is>
      </x:c>
      <x:c r="H21" s="516" t="inlineStr">
        <x:is>
          <x:t xml:space="preserve">Louis E. Jaques</x:t>
        </x:is>
      </x:c>
      <x:c r="I21" s="517" t="inlineStr">
        <x:is>
          <x:t xml:space="preserve">N/2 NE/4 of 31-12N-24W, aol</x:t>
        </x:is>
      </x:c>
      <x:c r="J21" s="112" t="inlineStr">
        <x:is>
          <x:t xml:space="preserve">ARTI</x:t>
        </x:is>
      </x:c>
      <x:c r="K21" s="518" t="e">
        <x:f>HYPERLINK("https://okcountyrecords.com/detail/roger+mills/1921-000502","OKCountyRecords: 1921-000502")</x:f>
      </x:c>
      <x:c r="L21" s="522" t="inlineStr">
        <x:is>
          <x:t xml:space="preserve">Mineral; basis Conv Amt(dec). Gross=tract-map basis.</x:t>
        </x:is>
      </x:c>
      <x:c r="M21" s="522" t="inlineStr">
        <x:is>
          <x:t xml:space="preserve">CURRENT OWNER SOURCE</x:t>
        </x:is>
      </x:c>
      <x:c r="N21" s="522" t="n"/>
      <x:c r="O21" s="522" t="inlineStr">
        <x:is>
          <x:t xml:space="preserve">OUTSIDE LANDS</x:t>
        </x:is>
      </x:c>
      <x:c r="P21" s="523" t="inlineStr">
        <x:is>
          <x:t xml:space="preserve">Chain — deed (confirm minerals vs surface from instrument)</x:t>
        </x:is>
      </x:c>
      <x:c r="Q21" s="523" t="inlineStr">
        <x:is>
          <x:t xml:space="preserve">Yes</x:t>
        </x:is>
      </x:c>
      <x:c r="R21" s="523" t="inlineStr">
        <x:is>
          <x:t xml:space="preserve">No</x:t>
        </x:is>
      </x:c>
      <x:c r="S21" s="523" t="inlineStr">
        <x:is>
          <x:t xml:space="preserve">Review</x:t>
        </x:is>
      </x:c>
      <x:c r="T21" s="523" t="inlineStr">
        <x:is>
          <x:t xml:space="preserve">No</x:t>
        </x:is>
      </x:c>
      <x:c r="U21" s="523" t="inlineStr">
        <x:is>
          <x:t xml:space="preserve">Yes: 1 (legal supports)</x:t>
        </x:is>
      </x:c>
      <x:c r="V21" s="523" t="inlineStr">
        <x:is>
          <x:t xml:space="preserve">High</x:t>
        </x:is>
      </x:c>
      <x:c r="W21" s="523" t="inlineStr">
        <x:is>
          <x:t xml:space="preserve">Review — no exact prior-grantee match</x:t>
        </x:is>
      </x:c>
      <x:c r="X21" s="523" t="inlineStr">
        <x:is>
          <x:t xml:space="preserve">Yes — on Tract 1 owner list</x:t>
        </x:is>
      </x:c>
      <x:c r="Y21" s="523" t="inlineStr">
        <x:is>
          <x:t xml:space="preserve">Candidate 1 (helper — confirm from image)</x:t>
        </x:is>
      </x:c>
      <x:c r="Z21" s="523" t="inlineStr">
        <x:is>
          <x:t xml:space="preserve">Medium — helper value</x:t>
        </x:is>
      </x:c>
      <x:c r="AA21" s="523" t="inlineStr">
        <x:is>
          <x:t xml:space="preserve">Deed — E. C. Winford and Florence E. to Louis E. Jaques (D31/388)</x:t>
        </x:is>
      </x:c>
      <x:c r="AB21" s="523" t="inlineStr">
        <x:is>
          <x:t xml:space="preserve">Needs source review: grantor source</x:t>
        </x:is>
      </x:c>
    </x:row>
    <x:row r="22" s="523" customFormat="1" ht="48" customHeight="1">
      <x:c r="A22" s="513" t="inlineStr">
        <x:is>
          <x:t xml:space="preserve">1922-000463</x:t>
        </x:is>
      </x:c>
      <x:c r="B22" s="513" t="n"/>
      <x:c r="C22" s="513" t="inlineStr">
        <x:is>
          <x:t xml:space="preserve">Deed</x:t>
        </x:is>
      </x:c>
      <x:c r="D22" s="513" t="inlineStr">
        <x:is>
          <x:t xml:space="preserve">D31/637</x:t>
        </x:is>
      </x:c>
      <x:c r="E22" s="514" t="n">
        <x:v>7905</x:v>
      </x:c>
      <x:c r="F22" s="515" t="n">
        <x:v>8121</x:v>
      </x:c>
      <x:c r="G22" s="516" t="inlineStr">
        <x:is>
          <x:t xml:space="preserve">W. C. Danforth and Susie Danforth, HW</x:t>
        </x:is>
      </x:c>
      <x:c r="H22" s="516" t="inlineStr">
        <x:is>
          <x:t xml:space="preserve">Benjamin H. Shotwell</x:t>
        </x:is>
      </x:c>
      <x:c r="I22" s="524" t="inlineStr">
        <x:is>
          <x:t xml:space="preserve">NE/4 SE/4, SE/4 NE/4 of 31-12N-24W</x:t>
        </x:is>
      </x:c>
      <x:c r="J22" s="112" t="inlineStr">
        <x:is>
          <x:t xml:space="preserve">ARTI</x:t>
        </x:is>
      </x:c>
      <x:c r="K22" s="518" t="e">
        <x:f>HYPERLINK("https://okcountyrecords.com/detail/roger+mills/1922-000463","OKCountyRecords: 1922-000463")</x:f>
      </x:c>
      <x:c r="L22" s="522" t="inlineStr">
        <x:is>
          <x:t xml:space="preserve">Mineral; basis Conv Amt(dec). Gross=tract-map basis.</x:t>
        </x:is>
      </x:c>
      <x:c r="M22" s="522" t="inlineStr">
        <x:is>
          <x:t xml:space="preserve">CURRENT OWNER SOURCE</x:t>
        </x:is>
      </x:c>
      <x:c r="N22" s="522" t="n"/>
      <x:c r="O22" s="522" t="inlineStr">
        <x:is>
          <x:t xml:space="preserve">MINERAL DEED</x:t>
        </x:is>
      </x:c>
      <x:c r="P22" s="523" t="inlineStr">
        <x:is>
          <x:t xml:space="preserve">Chain — deed (confirm minerals vs surface from instrument)</x:t>
        </x:is>
      </x:c>
      <x:c r="Q22" s="523" t="inlineStr">
        <x:is>
          <x:t xml:space="preserve">Yes</x:t>
        </x:is>
      </x:c>
      <x:c r="R22" s="523" t="inlineStr">
        <x:is>
          <x:t xml:space="preserve">No</x:t>
        </x:is>
      </x:c>
      <x:c r="S22" s="523" t="inlineStr">
        <x:is>
          <x:t xml:space="preserve">Review</x:t>
        </x:is>
      </x:c>
      <x:c r="T22" s="523" t="inlineStr">
        <x:is>
          <x:t xml:space="preserve">No</x:t>
        </x:is>
      </x:c>
      <x:c r="U22" s="523" t="inlineStr">
        <x:is>
          <x:t xml:space="preserve">Legal maps to 3, 10; helper says 3, 8</x:t>
        </x:is>
      </x:c>
      <x:c r="V22" s="523" t="inlineStr">
        <x:is>
          <x:t xml:space="preserve">Review</x:t>
        </x:is>
      </x:c>
      <x:c r="W22" s="523" t="inlineStr">
        <x:is>
          <x:t xml:space="preserve">Probable — name-normalized match to Runsheet 16 grantee; confirm</x:t>
        </x:is>
      </x:c>
      <x:c r="X22" s="523" t="inlineStr">
        <x:is>
          <x:t xml:space="preserve">Yes — on Tract 3 owner list</x:t>
        </x:is>
      </x:c>
      <x:c r="Y22" s="523" t="inlineStr">
        <x:is>
          <x:t xml:space="preserve">Candidate 1 (helper — confirm from image)</x:t>
        </x:is>
      </x:c>
      <x:c r="Z22" s="523" t="inlineStr">
        <x:is>
          <x:t xml:space="preserve">Medium — helper value</x:t>
        </x:is>
      </x:c>
      <x:c r="AA22" s="523" t="inlineStr">
        <x:is>
          <x:t xml:space="preserve">Deed — W. C. Danforth and Susie Danfo to Benjamin H. Shotwell (D31/637)</x:t>
        </x:is>
      </x:c>
      <x:c r="AB22" s="523" t="inlineStr">
        <x:is>
          <x:t xml:space="preserve">Needs source review: tract, grantor source</x:t>
        </x:is>
      </x:c>
    </x:row>
    <x:row r="23" s="523" customFormat="1" ht="60" customHeight="1">
      <x:c r="A23" s="513" t="inlineStr">
        <x:is>
          <x:t xml:space="preserve">1923-001306</x:t>
        </x:is>
      </x:c>
      <x:c r="B23" s="513" t="n"/>
      <x:c r="C23" s="513" t="inlineStr">
        <x:is>
          <x:t xml:space="preserve">Affidavit</x:t>
        </x:is>
      </x:c>
      <x:c r="D23" s="513" t="inlineStr">
        <x:is>
          <x:t xml:space="preserve">MIS12/119</x:t>
        </x:is>
      </x:c>
      <x:c r="E23" s="514" t="n">
        <x:v>8517</x:v>
      </x:c>
      <x:c r="F23" s="515" t="n">
        <x:v>8518</x:v>
      </x:c>
      <x:c r="G23" s="516" t="inlineStr">
        <x:is>
          <x:t xml:space="preserve">A. H. Douglass</x:t>
        </x:is>
      </x:c>
      <x:c r="H23" s="516" t="inlineStr">
        <x:is>
          <x:t xml:space="preserve">The Public</x:t>
        </x:is>
      </x:c>
      <x:c r="I23" s="517" t="inlineStr">
        <x:is>
          <x:t xml:space="preserve">All of 31-12N-24W</x:t>
        </x:is>
      </x:c>
      <x:c r="J23" s="383" t="inlineStr">
        <x:is>
          <x:t xml:space="preserve">Affidavit / claim of equity: affiant's ~1/1/1925 block agreement to secure a test well; K. J. Gamble &amp; wife Zella Gamble O&amp;G lease (~95 ac, Sec 31-12N-24W) held by block trustees; public notice affiant claims an equity in the oil &amp; gas rights. See recorded instrument for full text. … Full recital in recorded instrument — see Link.</x:t>
        </x:is>
      </x:c>
      <x:c r="K23" s="518" t="e">
        <x:f>HYPERLINK("https://okcountyrecords.com/detail/roger+mills/1923-001306","OKCountyRecords: 1923-001306")</x:f>
      </x:c>
      <x:c r="L23" s="522" t="inlineStr">
        <x:is>
          <x:t xml:space="preserve">Other (non-mineral; excluded from mineral NMA). All-section coverage. Gross=tract-map basis.</x:t>
        </x:is>
      </x:c>
      <x:c r="M23" s="522" t="inlineStr">
        <x:is>
          <x:t xml:space="preserve">OK</x:t>
        </x:is>
      </x:c>
      <x:c r="N23" s="522" t="inlineStr">
        <x:is>
          <x:t xml:space="preserve">Non-conveying — notice/affidavit/address change (The Public).</x:t>
        </x:is>
      </x:c>
      <x:c r="O23" s="522" t="inlineStr">
        <x:is>
          <x:t xml:space="preserve">AFFIDAVIT / HEIRSHIP / PROBATE</x:t>
        </x:is>
      </x:c>
      <x:c r="P23" s="523" t="inlineStr">
        <x:is>
          <x:t xml:space="preserve">Chain — title support (succession/entity/probate)</x:t>
        </x:is>
      </x:c>
      <x:c r="Q23" s="523" t="inlineStr">
        <x:is>
          <x:t xml:space="preserve">Yes</x:t>
        </x:is>
      </x:c>
      <x:c r="R23" s="523" t="inlineStr">
        <x:is>
          <x:t xml:space="preserve">No</x:t>
        </x:is>
      </x:c>
      <x:c r="S23" s="523" t="inlineStr">
        <x:is>
          <x:t xml:space="preserve">Yes</x:t>
        </x:is>
      </x:c>
      <x:c r="T23" s="523" t="inlineStr">
        <x:is>
          <x:t xml:space="preserve">No</x:t>
        </x:is>
      </x:c>
      <x:c r="U23" s="523" t="inlineStr">
        <x:is>
          <x:t xml:space="preserve">Yes: 1, 8 (broad legal)</x:t>
        </x:is>
      </x:c>
      <x:c r="V23" s="523" t="inlineStr">
        <x:is>
          <x:t xml:space="preserve">Medium</x:t>
        </x:is>
      </x:c>
      <x:c r="W23" s="523" t="inlineStr">
        <x:is>
          <x:t xml:space="preserve">Review — no exact prior-grantee match</x:t>
        </x:is>
      </x:c>
      <x:c r="X23" s="523" t="inlineStr">
        <x:is>
          <x:t xml:space="preserve">Review</x:t>
        </x:is>
      </x:c>
      <x:c r="Y23" s="523" t="inlineStr">
        <x:is>
          <x:t xml:space="preserve">Interest amount needs review</x:t>
        </x:is>
      </x:c>
      <x:c r="Z23" s="523" t="inlineStr">
        <x:is>
          <x:t xml:space="preserve">Review</x:t>
        </x:is>
      </x:c>
      <x:c r="AA23" s="523" t="inlineStr">
        <x:is>
          <x:t xml:space="preserve">Affidavit — A. H. Douglass to The Public (MIS12/119)</x:t>
        </x:is>
      </x:c>
      <x:c r="AB23" s="523" t="inlineStr">
        <x:is>
          <x:t xml:space="preserve">Needs source review: grantor source, interest amount</x:t>
        </x:is>
      </x:c>
    </x:row>
    <x:row r="24" s="523" customFormat="1" ht="36" customHeight="1">
      <x:c r="A24" s="513" t="inlineStr">
        <x:is>
          <x:t xml:space="preserve">1925-000406</x:t>
        </x:is>
      </x:c>
      <x:c r="B24" s="513" t="n"/>
      <x:c r="C24" s="513" t="inlineStr">
        <x:is>
          <x:t xml:space="preserve">Deed</x:t>
        </x:is>
      </x:c>
      <x:c r="D24" s="513" t="inlineStr">
        <x:is>
          <x:t xml:space="preserve">D34/104</x:t>
        </x:is>
      </x:c>
      <x:c r="E24" s="514" t="n">
        <x:v>9137</x:v>
      </x:c>
      <x:c r="F24" s="515" t="n">
        <x:v>9137</x:v>
      </x:c>
      <x:c r="G24" s="516" t="inlineStr">
        <x:is>
          <x:t xml:space="preserve">E. T. Gamble and Zella M. Gamble, HW</x:t>
        </x:is>
      </x:c>
      <x:c r="H24" s="516" t="inlineStr">
        <x:is>
          <x:t xml:space="preserve">Leo Aulbert</x:t>
        </x:is>
      </x:c>
      <x:c r="I24" s="517" t="inlineStr">
        <x:is>
          <x:t xml:space="preserve">S/2 SW/4, S/2 N/2 SW/4 of 31-12N-24W</x:t>
        </x:is>
      </x:c>
      <x:c r="J24" s="383" t="inlineStr">
        <x:is>
          <x:t xml:space="preserve">ARTI</x:t>
        </x:is>
      </x:c>
      <x:c r="K24" s="518" t="e">
        <x:f>HYPERLINK("https://okcountyrecords.com/detail/roger+mills/1925-000406","OKCountyRecords: 1925-000406")</x:f>
      </x:c>
      <x:c r="L24" s="522" t="inlineStr">
        <x:is>
          <x:t xml:space="preserve">Mineral; basis Conv Amt(dec). Gross=tract-map basis.</x:t>
        </x:is>
      </x:c>
      <x:c r="M24" s="522" t="inlineStr">
        <x:is>
          <x:t xml:space="preserve">CURRENT OWNER SOURCE</x:t>
        </x:is>
      </x:c>
      <x:c r="N24" s="522" t="n"/>
      <x:c r="O24" s="522" t="inlineStr">
        <x:is>
          <x:t xml:space="preserve">MINERAL DEED</x:t>
        </x:is>
      </x:c>
      <x:c r="P24" s="523" t="inlineStr">
        <x:is>
          <x:t xml:space="preserve">Chain — deed (confirm minerals vs surface from instrument)</x:t>
        </x:is>
      </x:c>
      <x:c r="Q24" s="523" t="inlineStr">
        <x:is>
          <x:t xml:space="preserve">Yes</x:t>
        </x:is>
      </x:c>
      <x:c r="R24" s="523" t="inlineStr">
        <x:is>
          <x:t xml:space="preserve">No</x:t>
        </x:is>
      </x:c>
      <x:c r="S24" s="523" t="inlineStr">
        <x:is>
          <x:t xml:space="preserve">Review</x:t>
        </x:is>
      </x:c>
      <x:c r="T24" s="523" t="inlineStr">
        <x:is>
          <x:t xml:space="preserve">No</x:t>
        </x:is>
      </x:c>
      <x:c r="U24" s="523" t="inlineStr">
        <x:is>
          <x:t xml:space="preserve">Legal maps to 5, 7, 8, 9; helper says 5, 6, 7</x:t>
        </x:is>
      </x:c>
      <x:c r="V24" s="523" t="inlineStr">
        <x:is>
          <x:t xml:space="preserve">Review</x:t>
        </x:is>
      </x:c>
      <x:c r="W24" s="523" t="inlineStr">
        <x:is>
          <x:t xml:space="preserve">Review — no exact prior-grantee match</x:t>
        </x:is>
      </x:c>
      <x:c r="X24" s="523" t="inlineStr">
        <x:is>
          <x:t xml:space="preserve">Yes — on Tract 5 owner list</x:t>
        </x:is>
      </x:c>
      <x:c r="Y24" s="523" t="inlineStr">
        <x:is>
          <x:t xml:space="preserve">Candidate 1 (helper — confirm from image)</x:t>
        </x:is>
      </x:c>
      <x:c r="Z24" s="523" t="inlineStr">
        <x:is>
          <x:t xml:space="preserve">Medium — helper value</x:t>
        </x:is>
      </x:c>
      <x:c r="AA24" s="523" t="inlineStr">
        <x:is>
          <x:t xml:space="preserve">Deed — E. T. Gamble and Zella M. Gamb to Leo Aulbert (D34/104)</x:t>
        </x:is>
      </x:c>
      <x:c r="AB24" s="523" t="inlineStr">
        <x:is>
          <x:t xml:space="preserve">Needs source review: tract, grantor source</x:t>
        </x:is>
      </x:c>
    </x:row>
    <x:row r="25" s="523" customFormat="1" ht="60" customHeight="1">
      <x:c r="A25" s="513" t="inlineStr">
        <x:is>
          <x:t xml:space="preserve">1927-000712</x:t>
        </x:is>
      </x:c>
      <x:c r="B25" s="513" t="n"/>
      <x:c r="C25" s="513" t="inlineStr">
        <x:is>
          <x:t xml:space="preserve">Deed</x:t>
        </x:is>
      </x:c>
      <x:c r="D25" s="513" t="inlineStr">
        <x:is>
          <x:t xml:space="preserve">D38/173</x:t>
        </x:is>
      </x:c>
      <x:c r="E25" s="514" t="n">
        <x:v>10069</x:v>
      </x:c>
      <x:c r="F25" s="515" t="n">
        <x:v>10077</x:v>
      </x:c>
      <x:c r="G25" s="516" t="inlineStr">
        <x:is>
          <x:t xml:space="preserve">L. E. Jacques and N. V. Jacques, HW</x:t>
        </x:is>
      </x:c>
      <x:c r="H25" s="516" t="inlineStr">
        <x:is>
          <x:t xml:space="preserve">Panhandle Co-operative Royalty Co.</x:t>
        </x:is>
      </x:c>
      <x:c r="I25" s="524" t="inlineStr">
        <x:is>
          <x:t xml:space="preserve">N/2 NE/4 of 31-12N-24W</x:t>
        </x:is>
      </x:c>
      <x:c r="J25" s="112" t="inlineStr">
        <x:is>
          <x:t xml:space="preserve">An undivided 1/2 interest in all of the oil, gas, coal and other minerals
Chain note: source of title — MINERAL DEED 1907-001545 at D11/209, Herbert E. McGuire and Claude J. McGuire, HW to Mark Hambrook, covering N/2 of Lot 3, N/2 NE/4 SE/4 of 31-12N-24W, interest stated: ARTI. Confirm source instrument before relying on this conveyance.</x:t>
        </x:is>
      </x:c>
      <x:c r="K25" s="518" t="e">
        <x:f>HYPERLINK("https://okcountyrecords.com/detail/roger+mills/1927-000712","OKCountyRecords: 1927-000712")</x:f>
      </x:c>
      <x:c r="L25" s="522" t="inlineStr">
        <x:is>
          <x:t xml:space="preserve">Mineral; basis Conv Amt(dec). Gross=tract-map basis.</x:t>
        </x:is>
      </x:c>
      <x:c r="M25" s="522" t="inlineStr">
        <x:is>
          <x:t xml:space="preserve">CURRENT OWNER SOURCE</x:t>
        </x:is>
      </x:c>
      <x:c r="N25" s="522" t="n"/>
      <x:c r="O25" s="522" t="inlineStr">
        <x:is>
          <x:t xml:space="preserve">MINERAL DEED</x:t>
        </x:is>
      </x:c>
      <x:c r="P25" s="523" t="inlineStr">
        <x:is>
          <x:t xml:space="preserve">Chain — deed (confirm minerals vs surface from instrument)</x:t>
        </x:is>
      </x:c>
      <x:c r="Q25" s="523" t="inlineStr">
        <x:is>
          <x:t xml:space="preserve">Yes</x:t>
        </x:is>
      </x:c>
      <x:c r="R25" s="523" t="inlineStr">
        <x:is>
          <x:t xml:space="preserve">No</x:t>
        </x:is>
      </x:c>
      <x:c r="S25" s="523" t="inlineStr">
        <x:is>
          <x:t xml:space="preserve">Review</x:t>
        </x:is>
      </x:c>
      <x:c r="T25" s="523" t="inlineStr">
        <x:is>
          <x:t xml:space="preserve">No</x:t>
        </x:is>
      </x:c>
      <x:c r="U25" s="523" t="inlineStr">
        <x:is>
          <x:t xml:space="preserve">Yes: 1 (legal supports)</x:t>
        </x:is>
      </x:c>
      <x:c r="V25" s="523" t="inlineStr">
        <x:is>
          <x:t xml:space="preserve">High</x:t>
        </x:is>
      </x:c>
      <x:c r="W25" s="523" t="inlineStr">
        <x:is>
          <x:t xml:space="preserve">Review — no exact prior-grantee match</x:t>
        </x:is>
      </x:c>
      <x:c r="X25" s="523" t="inlineStr">
        <x:is>
          <x:t xml:space="preserve">Yes — on Tract 1 owner list</x:t>
        </x:is>
      </x:c>
      <x:c r="Y25" s="523" t="inlineStr">
        <x:is>
          <x:t xml:space="preserve">Candidate 0.5 (helper — confirm from image)</x:t>
        </x:is>
      </x:c>
      <x:c r="Z25" s="523" t="inlineStr">
        <x:is>
          <x:t xml:space="preserve">Medium — helper value</x:t>
        </x:is>
      </x:c>
      <x:c r="AA25" s="523" t="inlineStr">
        <x:is>
          <x:t xml:space="preserve">Deed — L. E. Jacques and N. V. Jacque to Panhandle Co-operative Royalty (D38/173)</x:t>
        </x:is>
      </x:c>
      <x:c r="AB25" s="523" t="inlineStr">
        <x:is>
          <x:t xml:space="preserve">Needs source review: grantor source</x:t>
        </x:is>
      </x:c>
    </x:row>
    <x:row r="26" s="523" customFormat="1" ht="60" customHeight="1">
      <x:c r="A26" s="513" t="inlineStr">
        <x:is>
          <x:t xml:space="preserve">1927-000706</x:t>
        </x:is>
      </x:c>
      <x:c r="B26" s="513" t="n"/>
      <x:c r="C26" s="513" t="inlineStr">
        <x:is>
          <x:t xml:space="preserve">Deed</x:t>
        </x:is>
      </x:c>
      <x:c r="D26" s="513" t="inlineStr">
        <x:is>
          <x:t xml:space="preserve">D38/162</x:t>
        </x:is>
      </x:c>
      <x:c r="E26" s="514" t="n">
        <x:v>10069</x:v>
      </x:c>
      <x:c r="F26" s="515" t="n">
        <x:v>10077</x:v>
      </x:c>
      <x:c r="G26" s="516" t="inlineStr">
        <x:is>
          <x:t xml:space="preserve">Mark Hambrook, (Widower)</x:t>
        </x:is>
      </x:c>
      <x:c r="H26" s="516" t="inlineStr">
        <x:is>
          <x:t xml:space="preserve">Panhandle Co-operative Royalty Company</x:t>
        </x:is>
      </x:c>
      <x:c r="I26" s="517" t="inlineStr">
        <x:is>
          <x:t xml:space="preserve">W/2 NW/4 of 31-12N-24W</x:t>
        </x:is>
      </x:c>
      <x:c r="J26" s="112" t="inlineStr">
        <x:is>
          <x:t xml:space="preserve">An undivided 1/2 interest in all of the oil, gas, coal and other minerals
Chain note: source of title — MINERAL DEED 1907-001545 at D11/209, Herbert E. McGuire and Claude J. McGuire, HW to Mark Hambrook, covering N/2 of Lot 3, N/2 NE/4 SE/4 of 31-12N-24W, interest stated: ARTI. Confirm source instrument before relying on this conveyance.</x:t>
        </x:is>
      </x:c>
      <x:c r="K26" s="518" t="e">
        <x:f>HYPERLINK("https://okcountyrecords.com/detail/roger+mills/1927-000706","OKCountyRecords: 1927-000706")</x:f>
      </x:c>
      <x:c r="L26" s="522" t="inlineStr">
        <x:is>
          <x:t xml:space="preserve">Mineral; basis Conv Amt(dec). Gross=tract-map basis.</x:t>
        </x:is>
      </x:c>
      <x:c r="M26" s="522" t="inlineStr">
        <x:is>
          <x:t xml:space="preserve">CURRENT OWNER SOURCE</x:t>
        </x:is>
      </x:c>
      <x:c r="N26" s="522" t="n"/>
      <x:c r="O26" s="522" t="inlineStr">
        <x:is>
          <x:t xml:space="preserve">MINERAL DEED</x:t>
        </x:is>
      </x:c>
      <x:c r="P26" s="523" t="inlineStr">
        <x:is>
          <x:t xml:space="preserve">Chain — deed (confirm minerals vs surface from instrument)</x:t>
        </x:is>
      </x:c>
      <x:c r="Q26" s="523" t="inlineStr">
        <x:is>
          <x:t xml:space="preserve">Yes</x:t>
        </x:is>
      </x:c>
      <x:c r="R26" s="523" t="inlineStr">
        <x:is>
          <x:t xml:space="preserve">No</x:t>
        </x:is>
      </x:c>
      <x:c r="S26" s="523" t="inlineStr">
        <x:is>
          <x:t xml:space="preserve">Review</x:t>
        </x:is>
      </x:c>
      <x:c r="T26" s="523" t="inlineStr">
        <x:is>
          <x:t xml:space="preserve">No</x:t>
        </x:is>
      </x:c>
      <x:c r="U26" s="523" t="inlineStr">
        <x:is>
          <x:t xml:space="preserve">Yes: 5 (legal supports)</x:t>
        </x:is>
      </x:c>
      <x:c r="V26" s="523" t="inlineStr">
        <x:is>
          <x:t xml:space="preserve">High</x:t>
        </x:is>
      </x:c>
      <x:c r="W26" s="523" t="inlineStr">
        <x:is>
          <x:t xml:space="preserve">Review — no exact prior-grantee match</x:t>
        </x:is>
      </x:c>
      <x:c r="X26" s="523" t="inlineStr">
        <x:is>
          <x:t xml:space="preserve">Yes — on Tract 5 owner list</x:t>
        </x:is>
      </x:c>
      <x:c r="Y26" s="523" t="inlineStr">
        <x:is>
          <x:t xml:space="preserve">Candidate 0.5 (helper — confirm from image)</x:t>
        </x:is>
      </x:c>
      <x:c r="Z26" s="523" t="inlineStr">
        <x:is>
          <x:t xml:space="preserve">Medium — helper value</x:t>
        </x:is>
      </x:c>
      <x:c r="AA26" s="523" t="inlineStr">
        <x:is>
          <x:t xml:space="preserve">Deed — Mark Hambrook, (Widower) to Panhandle Co-operative Royalty (D38/162)</x:t>
        </x:is>
      </x:c>
      <x:c r="AB26" s="523" t="inlineStr">
        <x:is>
          <x:t xml:space="preserve">Needs source review: grantor source</x:t>
        </x:is>
      </x:c>
    </x:row>
    <x:row r="27" s="523" customFormat="1" ht="60" customHeight="1">
      <x:c r="A27" s="513" t="inlineStr">
        <x:is>
          <x:t xml:space="preserve">1930-001789</x:t>
        </x:is>
      </x:c>
      <x:c r="B27" s="513" t="n"/>
      <x:c r="C27" s="513" t="inlineStr">
        <x:is>
          <x:t xml:space="preserve">Agreement</x:t>
        </x:is>
      </x:c>
      <x:c r="D27" s="513" t="inlineStr">
        <x:is>
          <x:t xml:space="preserve">MIS15/290</x:t>
        </x:is>
      </x:c>
      <x:c r="E27" s="514" t="n">
        <x:v>11098</x:v>
      </x:c>
      <x:c r="F27" s="515" t="n">
        <x:v>11237</x:v>
      </x:c>
      <x:c r="G27" s="516" t="inlineStr">
        <x:is>
          <x:t xml:space="preserve">Lee Aulbert,
Mollie Aulbert</x:t>
        </x:is>
      </x:c>
      <x:c r="H27" s="516" t="inlineStr">
        <x:is>
          <x:t xml:space="preserve">Roy M. Johnson</x:t>
        </x:is>
      </x:c>
      <x:c r="I27" s="524" t="inlineStr">
        <x:is>
          <x:t xml:space="preserve">31-12N-24W</x:t>
        </x:is>
      </x:c>
      <x:c r="J27" s="112" t="inlineStr">
        <x:is>
          <x:t xml:space="preserve">Lease amendment — Lee &amp; Mollie Aulbert → Roy M. Johnson O&amp;G lease (5/20/1930; SW/4 SW/4, S/2 N/2 SW/4 &amp; undiv. 1/2 SE/4, Sec 31-12N-24W): delay rental changed $100 → $50 per 12-mo deferral (reverts to $100 if a well is brought in nearby); all other lease terms remain in force. See recorded instrument for full text.</x:t>
        </x:is>
      </x:c>
      <x:c r="K27" s="518" t="e">
        <x:f>HYPERLINK("https://okcountyrecords.com/detail/roger+mills/1930-001789","OKCountyRecords: 1930-001789")</x:f>
      </x:c>
      <x:c r="L27" s="522" t="inlineStr">
        <x:is>
          <x:t xml:space="preserve">Other (non-mineral; excluded from mineral NMA). All-section coverage. Gross=tract-map basis.</x:t>
        </x:is>
      </x:c>
      <x:c r="M27" s="522" t="n"/>
      <x:c r="N27" s="522" t="n"/>
      <x:c r="O27" s="522" t="inlineStr">
        <x:is>
          <x:t xml:space="preserve">IGNORE FOR MINERAL OWNERSHIP</x:t>
        </x:is>
      </x:c>
      <x:c r="P27" s="523" t="inlineStr">
        <x:is>
          <x:t xml:space="preserve">Review — read instrument (type unclear)</x:t>
        </x:is>
      </x:c>
      <x:c r="Q27" s="523" t="inlineStr">
        <x:is>
          <x:t xml:space="preserve">Review</x:t>
        </x:is>
      </x:c>
      <x:c r="R27" s="523" t="inlineStr">
        <x:is>
          <x:t xml:space="preserve">Review</x:t>
        </x:is>
      </x:c>
      <x:c r="S27" s="523" t="inlineStr">
        <x:is>
          <x:t xml:space="preserve">Review</x:t>
        </x:is>
      </x:c>
      <x:c r="T27" s="523" t="inlineStr">
        <x:is>
          <x:t xml:space="preserve">Review</x:t>
        </x:is>
      </x:c>
      <x:c r="U27" s="523" t="inlineStr">
        <x:is>
          <x:t xml:space="preserve">Yes: 1, 8 (broad legal)</x:t>
        </x:is>
      </x:c>
      <x:c r="V27" s="523" t="inlineStr">
        <x:is>
          <x:t xml:space="preserve">Medium</x:t>
        </x:is>
      </x:c>
      <x:c r="W27" s="523" t="inlineStr">
        <x:is>
          <x:t xml:space="preserve">Review — no exact prior-grantee match</x:t>
        </x:is>
      </x:c>
      <x:c r="X27" s="523" t="inlineStr">
        <x:is>
          <x:t xml:space="preserve">Review</x:t>
        </x:is>
      </x:c>
      <x:c r="Y27" s="523" t="inlineStr">
        <x:is>
          <x:t xml:space="preserve">Interest amount needs review</x:t>
        </x:is>
      </x:c>
      <x:c r="Z27" s="523" t="inlineStr">
        <x:is>
          <x:t xml:space="preserve">Review</x:t>
        </x:is>
      </x:c>
      <x:c r="AA27" s="523" t="inlineStr">
        <x:is>
          <x:t xml:space="preserve">Agreement — Lee Aulbert, to Roy M. Johnson (MIS15/290)</x:t>
        </x:is>
      </x:c>
      <x:c r="AB27" s="523" t="inlineStr">
        <x:is>
          <x:t xml:space="preserve">Needs source review: grantor source, interest amount, instrument type</x:t>
        </x:is>
      </x:c>
    </x:row>
    <x:row r="28" s="523" customFormat="1" ht="60" customHeight="1">
      <x:c r="A28" s="513" t="inlineStr">
        <x:is>
          <x:t xml:space="preserve">1930-001819</x:t>
        </x:is>
      </x:c>
      <x:c r="B28" s="513" t="n"/>
      <x:c r="C28" s="513" t="inlineStr">
        <x:is>
          <x:t xml:space="preserve">Agreement</x:t>
        </x:is>
      </x:c>
      <x:c r="D28" s="513" t="inlineStr">
        <x:is>
          <x:t xml:space="preserve">MIS15/330</x:t>
        </x:is>
      </x:c>
      <x:c r="E28" s="514" t="n">
        <x:v>11098</x:v>
      </x:c>
      <x:c r="F28" s="515" t="n">
        <x:v>11237</x:v>
      </x:c>
      <x:c r="G28" s="516" t="inlineStr">
        <x:is>
          <x:t xml:space="preserve">Louis E. Jaques,
Virginia Jaques</x:t>
        </x:is>
      </x:c>
      <x:c r="H28" s="516" t="inlineStr">
        <x:is>
          <x:t xml:space="preserve">Roy M. Johnson</x:t>
        </x:is>
      </x:c>
      <x:c r="I28" s="517" t="inlineStr">
        <x:is>
          <x:t xml:space="preserve">31-12N-24W, aol</x:t>
        </x:is>
      </x:c>
      <x:c r="J28" s="112" t="inlineStr">
        <x:is>
          <x:t xml:space="preserve">Lease amendment — Louis E. &amp; Virginia Jaques → Roy M. Johnson O&amp;G lease (5/20/1930; S/2 SE/4 Sec 30 &amp; undiv. int. NE/4 NE/4 Sec 31-12N-24W): delay rental changed $120 → $60 per 12-mo deferral (reverts to $120 if a well is brought in within 4 miles); all other lease terms remain in force. See recorded instrument for full text.</x:t>
        </x:is>
      </x:c>
      <x:c r="K28" s="518" t="e">
        <x:f>HYPERLINK("https://okcountyrecords.com/detail/roger+mills/1930-001819","OKCountyRecords: 1930-001819")</x:f>
      </x:c>
      <x:c r="L28" s="522" t="inlineStr">
        <x:is>
          <x:t xml:space="preserve">Other (non-mineral; excluded from mineral NMA). All-section coverage. Gross=tract-map basis.</x:t>
        </x:is>
      </x:c>
      <x:c r="M28" s="522" t="n"/>
      <x:c r="N28" s="522" t="n"/>
      <x:c r="O28" s="522" t="inlineStr">
        <x:is>
          <x:t xml:space="preserve">OUTSIDE LANDS</x:t>
        </x:is>
      </x:c>
      <x:c r="P28" s="523" t="inlineStr">
        <x:is>
          <x:t xml:space="preserve">Review — read instrument (type unclear)</x:t>
        </x:is>
      </x:c>
      <x:c r="Q28" s="523" t="inlineStr">
        <x:is>
          <x:t xml:space="preserve">Review</x:t>
        </x:is>
      </x:c>
      <x:c r="R28" s="523" t="inlineStr">
        <x:is>
          <x:t xml:space="preserve">Review</x:t>
        </x:is>
      </x:c>
      <x:c r="S28" s="523" t="inlineStr">
        <x:is>
          <x:t xml:space="preserve">Review</x:t>
        </x:is>
      </x:c>
      <x:c r="T28" s="523" t="inlineStr">
        <x:is>
          <x:t xml:space="preserve">Review</x:t>
        </x:is>
      </x:c>
      <x:c r="U28" s="523" t="inlineStr">
        <x:is>
          <x:t xml:space="preserve">Yes: 1, 8 (broad legal)</x:t>
        </x:is>
      </x:c>
      <x:c r="V28" s="523" t="inlineStr">
        <x:is>
          <x:t xml:space="preserve">Medium</x:t>
        </x:is>
      </x:c>
      <x:c r="W28" s="523" t="inlineStr">
        <x:is>
          <x:t xml:space="preserve">Yes — prior grantee match</x:t>
        </x:is>
      </x:c>
      <x:c r="X28" s="523" t="inlineStr">
        <x:is>
          <x:t xml:space="preserve">Review</x:t>
        </x:is>
      </x:c>
      <x:c r="Y28" s="523" t="inlineStr">
        <x:is>
          <x:t xml:space="preserve">Interest amount needs review</x:t>
        </x:is>
      </x:c>
      <x:c r="Z28" s="523" t="inlineStr">
        <x:is>
          <x:t xml:space="preserve">Review</x:t>
        </x:is>
      </x:c>
      <x:c r="AA28" s="523" t="inlineStr">
        <x:is>
          <x:t xml:space="preserve">Agreement — Louis E. Jaques, to Roy M. Johnson (MIS15/330)</x:t>
        </x:is>
      </x:c>
      <x:c r="AB28" s="523" t="inlineStr">
        <x:is>
          <x:t xml:space="preserve">Needs source review: interest amount, instrument type</x:t>
        </x:is>
      </x:c>
    </x:row>
    <x:row r="29" s="523" customFormat="1" ht="60" customHeight="1">
      <x:c r="A29" s="513" t="inlineStr">
        <x:is>
          <x:t xml:space="preserve">1931-000994</x:t>
        </x:is>
      </x:c>
      <x:c r="B29" s="513" t="n"/>
      <x:c r="C29" s="513" t="inlineStr">
        <x:is>
          <x:t xml:space="preserve">Quit Claim Deed</x:t>
        </x:is>
      </x:c>
      <x:c r="D29" s="513" t="inlineStr">
        <x:is>
          <x:t xml:space="preserve">D43/608</x:t>
        </x:is>
      </x:c>
      <x:c r="E29" s="514" t="n">
        <x:v>11290</x:v>
      </x:c>
      <x:c r="F29" s="515" t="n">
        <x:v>11578</x:v>
      </x:c>
      <x:c r="G29" s="516" t="inlineStr">
        <x:is>
          <x:t xml:space="preserve">Lawrence E. Shotwell and Ethel Shotwell, HW</x:t>
        </x:is>
      </x:c>
      <x:c r="H29" s="516" t="inlineStr">
        <x:is>
          <x:t xml:space="preserve">Maggie Bennett,
Pearl L. Davis,
Eli L. Shotwell,
Roy T. Shotwell</x:t>
        </x:is>
      </x:c>
      <x:c r="I29" s="524" t="inlineStr">
        <x:is>
          <x:t xml:space="preserve">SE/4 NE/4, NE/4 SE/4 of 31-12N-24W</x:t>
        </x:is>
      </x:c>
      <x:c r="J29" s="112" t="inlineStr">
        <x:is>
          <x:t xml:space="preserve">ARTI
Chain note: source of title — MINERAL DEED 1922-000463 at D31/637, W. C. Danforth and Susie Danforth, HW to Benjamin H. Shotwell, covering NE/4 SE/4, SE/4 NE/4 of 31-12N-24W, interest stated: ARTI. Confirm source instrument before relying on this conveyance.</x:t>
        </x:is>
      </x:c>
      <x:c r="K29" s="518" t="e">
        <x:f>HYPERLINK("https://okcountyrecords.com/detail/roger+mills/1931-000994","OKCountyRecords: 1931-000994")</x:f>
      </x:c>
      <x:c r="L29" s="522" t="inlineStr">
        <x:is>
          <x:t xml:space="preserve">Mineral; basis Conv Amt(dec). Gross=tract-map basis.</x:t>
        </x:is>
      </x:c>
      <x:c r="M29" s="522" t="inlineStr">
        <x:is>
          <x:t xml:space="preserve">CURRENT OWNER SOURCE</x:t>
        </x:is>
      </x:c>
      <x:c r="N29" s="522" t="n"/>
      <x:c r="O29" s="522" t="inlineStr">
        <x:is>
          <x:t xml:space="preserve">MINERAL DEED</x:t>
        </x:is>
      </x:c>
      <x:c r="P29" s="523" t="inlineStr">
        <x:is>
          <x:t xml:space="preserve">Chain — deed (confirm minerals vs surface from instrument)</x:t>
        </x:is>
      </x:c>
      <x:c r="Q29" s="523" t="inlineStr">
        <x:is>
          <x:t xml:space="preserve">Yes</x:t>
        </x:is>
      </x:c>
      <x:c r="R29" s="523" t="inlineStr">
        <x:is>
          <x:t xml:space="preserve">No</x:t>
        </x:is>
      </x:c>
      <x:c r="S29" s="523" t="inlineStr">
        <x:is>
          <x:t xml:space="preserve">Review</x:t>
        </x:is>
      </x:c>
      <x:c r="T29" s="523" t="inlineStr">
        <x:is>
          <x:t xml:space="preserve">No</x:t>
        </x:is>
      </x:c>
      <x:c r="U29" s="523" t="inlineStr">
        <x:is>
          <x:t xml:space="preserve">Legal maps to 3, 10; helper says 3, 8</x:t>
        </x:is>
      </x:c>
      <x:c r="V29" s="523" t="inlineStr">
        <x:is>
          <x:t xml:space="preserve">Review</x:t>
        </x:is>
      </x:c>
      <x:c r="W29" s="523" t="inlineStr">
        <x:is>
          <x:t xml:space="preserve">Review — no exact prior-grantee match</x:t>
        </x:is>
      </x:c>
      <x:c r="X29" s="523" t="inlineStr">
        <x:is>
          <x:t xml:space="preserve">Yes — on Tract 3 owner list</x:t>
        </x:is>
      </x:c>
      <x:c r="Y29" s="523" t="inlineStr">
        <x:is>
          <x:t xml:space="preserve">Candidate 1 (helper — confirm from image)</x:t>
        </x:is>
      </x:c>
      <x:c r="Z29" s="523" t="inlineStr">
        <x:is>
          <x:t xml:space="preserve">Medium — helper value</x:t>
        </x:is>
      </x:c>
      <x:c r="AA29" s="523" t="inlineStr">
        <x:is>
          <x:t xml:space="preserve">Quit Claim Deed — Lawrence E. Shotwell and Ethel to Maggie Bennett, (D43/608)</x:t>
        </x:is>
      </x:c>
      <x:c r="AB29" s="523" t="inlineStr">
        <x:is>
          <x:t xml:space="preserve">Needs source review: tract, grantor source</x:t>
        </x:is>
      </x:c>
    </x:row>
    <x:row r="30" s="523" customFormat="1" ht="120" customHeight="1">
      <x:c r="A30" s="513" t="inlineStr">
        <x:is>
          <x:t xml:space="preserve">1931-000573</x:t>
        </x:is>
      </x:c>
      <x:c r="B30" s="513" t="n"/>
      <x:c r="C30" s="513" t="inlineStr">
        <x:is>
          <x:t xml:space="preserve">Deed</x:t>
        </x:is>
      </x:c>
      <x:c r="D30" s="513" t="inlineStr">
        <x:is>
          <x:t xml:space="preserve">D41/447</x:t>
        </x:is>
      </x:c>
      <x:c r="E30" s="514" t="n">
        <x:v>11395</x:v>
      </x:c>
      <x:c r="F30" s="515" t="n">
        <x:v>11395</x:v>
      </x:c>
      <x:c r="G30" s="516" t="inlineStr">
        <x:is>
          <x:t xml:space="preserve">Thomas O. Hambrook and Flora E. Hambrook, HW</x:t>
        </x:is>
      </x:c>
      <x:c r="H30" s="516" t="inlineStr">
        <x:is>
          <x:t xml:space="preserve">James G. Hambrook</x:t>
        </x:is>
      </x:c>
      <x:c r="I30" s="517" t="inlineStr">
        <x:is>
          <x:t xml:space="preserve">Beginning at the North west corner of the North west quarter of Section Thirty one (31) in Township Twelve (12) North of Range Twenty four (24) West I.M., thence East on section line 18.20 chains (or 72 8/10 rods) thence South 50 chains (or 200 rods) thence West/820 chains (or 72 8/10 rodss) to Range line between Ranges 24 and 25 thence North on range line 50 chains (or 200 rods) to point of beginning:</x:t>
        </x:is>
      </x:c>
      <x:c r="J30" s="112" t="inlineStr">
        <x:is>
          <x:t xml:space="preserve">ARTI
Chain note: source of title — MINERAL DEED 1907-001545 at D11/209, Herbert E. McGuire and Claude J. McGuire, HW to Mark Hambrook, covering N/2 of Lot 3, N/2 NE/4 SE/4 of 31-12N-24W, interest stated: ARTI. Confirm source instrument before relying on this conveyance.</x:t>
        </x:is>
      </x:c>
      <x:c r="K30" s="518" t="e">
        <x:f>HYPERLINK("https://okcountyrecords.com/detail/roger+mills/1931-000573","OKCountyRecords: 1931-000573")</x:f>
      </x:c>
      <x:c r="L30" s="522" t="inlineStr">
        <x:is>
          <x:t xml:space="preserve">Mineral; basis Conv Amt(dec). Gross acres unresolved. Gross=tract-map basis.</x:t>
        </x:is>
      </x:c>
      <x:c r="M30" s="522" t="n"/>
      <x:c r="N30" s="522" t="n"/>
      <x:c r="O30" s="522" t="inlineStr">
        <x:is>
          <x:t xml:space="preserve">MINERAL DEED</x:t>
        </x:is>
      </x:c>
      <x:c r="P30" s="523" t="inlineStr">
        <x:is>
          <x:t xml:space="preserve">Do Not Chain — other section lands</x:t>
        </x:is>
      </x:c>
      <x:c r="Q30" s="523" t="inlineStr">
        <x:is>
          <x:t xml:space="preserve">Yes</x:t>
        </x:is>
      </x:c>
      <x:c r="R30" s="523" t="inlineStr">
        <x:is>
          <x:t xml:space="preserve">No</x:t>
        </x:is>
      </x:c>
      <x:c r="S30" s="523" t="inlineStr">
        <x:is>
          <x:t xml:space="preserve">Review</x:t>
        </x:is>
      </x:c>
      <x:c r="T30" s="523" t="inlineStr">
        <x:is>
          <x:t xml:space="preserve">No</x:t>
        </x:is>
      </x:c>
      <x:c r="U30" s="523" t="inlineStr">
        <x:is>
          <x:t xml:space="preserve">Other section — no Sec 31 tract</x:t>
        </x:is>
      </x:c>
      <x:c r="V30" s="523" t="inlineStr">
        <x:is>
          <x:t xml:space="preserve">High</x:t>
        </x:is>
      </x:c>
      <x:c r="W30" s="523" t="inlineStr">
        <x:is>
          <x:t xml:space="preserve">Review — no exact prior-grantee match</x:t>
        </x:is>
      </x:c>
      <x:c r="X30" s="523" t="inlineStr">
        <x:is>
          <x:t xml:space="preserve">Review</x:t>
        </x:is>
      </x:c>
      <x:c r="Y30" s="523" t="inlineStr">
        <x:is>
          <x:t xml:space="preserve">Candidate 1 (helper — confirm from image)</x:t>
        </x:is>
      </x:c>
      <x:c r="Z30" s="523" t="inlineStr">
        <x:is>
          <x:t xml:space="preserve">Medium — helper value</x:t>
        </x:is>
      </x:c>
      <x:c r="AA30" s="523" t="inlineStr">
        <x:is>
          <x:t xml:space="preserve">Deed — Thomas O. Hambrook and Flora E to James G. Hambrook (D41/447)</x:t>
        </x:is>
      </x:c>
      <x:c r="AB30" s="523" t="inlineStr">
        <x:is>
          <x:t xml:space="preserve">Needs source review: grantor source</x:t>
        </x:is>
      </x:c>
    </x:row>
    <x:row r="31" s="523" customFormat="1" ht="180" customHeight="1">
      <x:c r="A31" s="513" t="inlineStr">
        <x:is>
          <x:t xml:space="preserve">1932-000511</x:t>
        </x:is>
      </x:c>
      <x:c r="B31" s="513" t="n"/>
      <x:c r="C31" s="513" t="inlineStr">
        <x:is>
          <x:t xml:space="preserve">Warranty Deed</x:t>
        </x:is>
      </x:c>
      <x:c r="D31" s="513" t="inlineStr">
        <x:is>
          <x:t xml:space="preserve">D46/89</x:t>
        </x:is>
      </x:c>
      <x:c r="E31" s="514" t="n">
        <x:v>12035</x:v>
      </x:c>
      <x:c r="F31" s="515" t="n">
        <x:v>12035</x:v>
      </x:c>
      <x:c r="G31" s="516" t="inlineStr">
        <x:is>
          <x:t xml:space="preserve">James G. Hambrook</x:t>
        </x:is>
      </x:c>
      <x:c r="H31" s="516" t="inlineStr">
        <x:is>
          <x:t xml:space="preserve">Lillie Hambrook</x:t>
        </x:is>
      </x:c>
      <x:c r="I31" s="524" t="inlineStr">
        <x:is>
          <x:t xml:space="preserve">A tract of land out of the West Half of Northwest Quarter and North Half Northwest Quarter of Southwest Quarter of Section Thirty one (31) in Township Twelve (12) North of Range Twenty four (24) West I. M., described as follows, to-wit: Beginning at the Northwest corner of the Northwest quarter of Section Thirty one (31) in Township Twelve (12) North of Range Twenty four (24) West I. M, thence East on Section line 18.20 chains (or 73 8/10 rods) thence South 50 chains (or 200 rods) thence west 18.20 chains (or 73 8/10 rods) to Range line between Ranges 24 and 25, thence North on Range line 50 chains (or 200 rods) to point of beginning, aol</x:t>
        </x:is>
      </x:c>
      <x:c r="J31" s="112" t="inlineStr">
        <x:is>
          <x:t xml:space="preserve">ARTI</x:t>
        </x:is>
      </x:c>
      <x:c r="K31" s="518" t="e">
        <x:f>HYPERLINK("https://okcountyrecords.com/detail/roger+mills/1932-000511","OKCountyRecords: 1932-000511")</x:f>
      </x:c>
      <x:c r="L31" s="522" t="inlineStr">
        <x:is>
          <x:t xml:space="preserve">Mineral; basis Conv Amt(dec). Gross acres unresolved. Gross=tract-map basis.</x:t>
        </x:is>
      </x:c>
      <x:c r="M31" s="522" t="inlineStr">
        <x:is>
          <x:t xml:space="preserve">CURRENT OWNER SOURCE</x:t>
        </x:is>
      </x:c>
      <x:c r="N31" s="522" t="n"/>
      <x:c r="O31" s="522" t="inlineStr">
        <x:is>
          <x:t xml:space="preserve">OUTSIDE LANDS</x:t>
        </x:is>
      </x:c>
      <x:c r="P31" s="523" t="inlineStr">
        <x:is>
          <x:t xml:space="preserve">Do Not Chain — other section lands</x:t>
        </x:is>
      </x:c>
      <x:c r="Q31" s="523" t="inlineStr">
        <x:is>
          <x:t xml:space="preserve">Yes</x:t>
        </x:is>
      </x:c>
      <x:c r="R31" s="523" t="inlineStr">
        <x:is>
          <x:t xml:space="preserve">No</x:t>
        </x:is>
      </x:c>
      <x:c r="S31" s="523" t="inlineStr">
        <x:is>
          <x:t xml:space="preserve">Review</x:t>
        </x:is>
      </x:c>
      <x:c r="T31" s="523" t="inlineStr">
        <x:is>
          <x:t xml:space="preserve">No</x:t>
        </x:is>
      </x:c>
      <x:c r="U31" s="523" t="inlineStr">
        <x:is>
          <x:t xml:space="preserve">Other section — no Sec 31 tract</x:t>
        </x:is>
      </x:c>
      <x:c r="V31" s="523" t="inlineStr">
        <x:is>
          <x:t xml:space="preserve">High</x:t>
        </x:is>
      </x:c>
      <x:c r="W31" s="523" t="inlineStr">
        <x:is>
          <x:t xml:space="preserve">Yes — prior grantee match</x:t>
        </x:is>
      </x:c>
      <x:c r="X31" s="523" t="inlineStr">
        <x:is>
          <x:t xml:space="preserve">Review</x:t>
        </x:is>
      </x:c>
      <x:c r="Y31" s="523" t="inlineStr">
        <x:is>
          <x:t xml:space="preserve">Candidate 1 (helper — confirm from image)</x:t>
        </x:is>
      </x:c>
      <x:c r="Z31" s="523" t="inlineStr">
        <x:is>
          <x:t xml:space="preserve">Medium — helper value</x:t>
        </x:is>
      </x:c>
      <x:c r="AA31" s="523" t="inlineStr">
        <x:is>
          <x:t xml:space="preserve">Warranty Deed — James G. Hambrook to Lillie Hambrook (D46/89)</x:t>
        </x:is>
      </x:c>
    </x:row>
    <x:row r="32" s="523" customFormat="1" ht="48" customHeight="1">
      <x:c r="A32" s="513" t="inlineStr">
        <x:is>
          <x:t xml:space="preserve">2005-008386</x:t>
        </x:is>
      </x:c>
      <x:c r="B32" s="513" t="n"/>
      <x:c r="C32" s="513" t="inlineStr">
        <x:is>
          <x:t xml:space="preserve">Order and Final Decree</x:t>
        </x:is>
      </x:c>
      <x:c r="D32" s="513" t="inlineStr">
        <x:is>
          <x:t xml:space="preserve">1816/41</x:t>
        </x:is>
      </x:c>
      <x:c r="E32" s="514" t="n">
        <x:v>12655</x:v>
      </x:c>
      <x:c r="F32" s="515" t="n">
        <x:v>38695</x:v>
      </x:c>
      <x:c r="G32" s="516" t="inlineStr">
        <x:is>
          <x:t xml:space="preserve">Roger Mills County Court
RE: In the Matter of the Estate of Louis E. Jaques, deceased</x:t>
        </x:is>
      </x:c>
      <x:c r="H32" s="516" t="inlineStr">
        <x:is>
          <x:t xml:space="preserve">Virginia Jaques, widow, 1/2,
Ethel Brister, 1/2</x:t>
        </x:is>
      </x:c>
      <x:c r="I32" s="524" t="inlineStr">
        <x:is>
          <x:t xml:space="preserve">N/2 NE/4 of 31-12N-24W, aol</x:t>
        </x:is>
      </x:c>
      <x:c r="J32" s="112" t="inlineStr">
        <x:is>
          <x:t xml:space="preserve">ARTI</x:t>
        </x:is>
      </x:c>
      <x:c r="K32" s="518" t="e">
        <x:f>HYPERLINK("https://okcountyrecords.com/detail/roger+mills/2005-008386","OKCountyRecords: 2005-008386")</x:f>
      </x:c>
      <x:c r="L32" s="522" t="inlineStr">
        <x:is>
          <x:t xml:space="preserve">Mineral; basis Conv Amt(dec). Gross=tract-map basis.</x:t>
        </x:is>
      </x:c>
      <x:c r="M32" s="522" t="inlineStr">
        <x:is>
          <x:t xml:space="preserve">CURRENT OWNER SOURCE</x:t>
        </x:is>
      </x:c>
      <x:c r="N32" s="522" t="n"/>
      <x:c r="O32" s="522" t="inlineStr">
        <x:is>
          <x:t xml:space="preserve">OUTSIDE LANDS</x:t>
        </x:is>
      </x:c>
      <x:c r="P32" s="523" t="inlineStr">
        <x:is>
          <x:t xml:space="preserve">Chain — title support (succession/entity/probate)</x:t>
        </x:is>
      </x:c>
      <x:c r="Q32" s="523" t="inlineStr">
        <x:is>
          <x:t xml:space="preserve">Yes</x:t>
        </x:is>
      </x:c>
      <x:c r="R32" s="523" t="inlineStr">
        <x:is>
          <x:t xml:space="preserve">No</x:t>
        </x:is>
      </x:c>
      <x:c r="S32" s="523" t="inlineStr">
        <x:is>
          <x:t xml:space="preserve">Yes</x:t>
        </x:is>
      </x:c>
      <x:c r="T32" s="523" t="inlineStr">
        <x:is>
          <x:t xml:space="preserve">No</x:t>
        </x:is>
      </x:c>
      <x:c r="U32" s="523" t="inlineStr">
        <x:is>
          <x:t xml:space="preserve">Yes: 1 (legal supports)</x:t>
        </x:is>
      </x:c>
      <x:c r="V32" s="523" t="inlineStr">
        <x:is>
          <x:t xml:space="preserve">High</x:t>
        </x:is>
      </x:c>
      <x:c r="W32" s="523" t="inlineStr">
        <x:is>
          <x:t xml:space="preserve">Review — no exact prior-grantee match</x:t>
        </x:is>
      </x:c>
      <x:c r="X32" s="523" t="inlineStr">
        <x:is>
          <x:t xml:space="preserve">Review</x:t>
        </x:is>
      </x:c>
      <x:c r="Y32" s="523" t="inlineStr">
        <x:is>
          <x:t xml:space="preserve">Candidate 1 (helper — confirm from image)</x:t>
        </x:is>
      </x:c>
      <x:c r="Z32" s="523" t="inlineStr">
        <x:is>
          <x:t xml:space="preserve">Medium — helper value</x:t>
        </x:is>
      </x:c>
      <x:c r="AA32" s="523" t="inlineStr">
        <x:is>
          <x:t xml:space="preserve">Order and Final Decree — Roger Mills County Court to Virginia Jaques, widow, 1/2, (1816/41)</x:t>
        </x:is>
      </x:c>
      <x:c r="AB32" s="523" t="inlineStr">
        <x:is>
          <x:t xml:space="preserve">Needs source review: grantor source</x:t>
        </x:is>
      </x:c>
    </x:row>
    <x:row r="33" s="523" customFormat="1" ht="48" customHeight="1">
      <x:c r="A33" s="513" t="inlineStr">
        <x:is>
          <x:t xml:space="preserve">1935-000201</x:t>
        </x:is>
      </x:c>
      <x:c r="B33" s="513" t="n"/>
      <x:c r="C33" s="513" t="inlineStr">
        <x:is>
          <x:t xml:space="preserve">Quit Claim Deed</x:t>
        </x:is>
      </x:c>
      <x:c r="D33" s="513" t="inlineStr">
        <x:is>
          <x:t xml:space="preserve">D45/395</x:t>
        </x:is>
      </x:c>
      <x:c r="E33" s="514" t="n">
        <x:v>12836</x:v>
      </x:c>
      <x:c r="F33" s="515" t="n">
        <x:v>12844</x:v>
      </x:c>
      <x:c r="G33" s="516" t="inlineStr">
        <x:is>
          <x:t xml:space="preserve">Ethel Brister, heir of L. E. Jaques</x:t>
        </x:is>
      </x:c>
      <x:c r="H33" s="516" t="inlineStr">
        <x:is>
          <x:t xml:space="preserve">Virginia Jaques</x:t>
        </x:is>
      </x:c>
      <x:c r="I33" s="517" t="inlineStr">
        <x:is>
          <x:t xml:space="preserve">N/2 NE/4 of 31-12N-24W, aol</x:t>
        </x:is>
      </x:c>
      <x:c r="J33" s="112" t="inlineStr">
        <x:is>
          <x:t xml:space="preserve">ARTI</x:t>
        </x:is>
      </x:c>
      <x:c r="K33" s="518" t="e">
        <x:f>HYPERLINK("https://okcountyrecords.com/detail/roger+mills/1935-000201","OKCountyRecords: 1935-000201")</x:f>
      </x:c>
      <x:c r="L33" s="522" t="inlineStr">
        <x:is>
          <x:t xml:space="preserve">Mineral; basis Conv Amt(dec). Gross=tract-map basis.</x:t>
        </x:is>
      </x:c>
      <x:c r="M33" s="522" t="inlineStr">
        <x:is>
          <x:t xml:space="preserve">CURRENT OWNER SOURCE</x:t>
        </x:is>
      </x:c>
      <x:c r="N33" s="522" t="n"/>
      <x:c r="O33" s="522" t="inlineStr">
        <x:is>
          <x:t xml:space="preserve">OUTSIDE LANDS</x:t>
        </x:is>
      </x:c>
      <x:c r="P33" s="523" t="inlineStr">
        <x:is>
          <x:t xml:space="preserve">Chain — deed (confirm minerals vs surface from instrument)</x:t>
        </x:is>
      </x:c>
      <x:c r="Q33" s="523" t="inlineStr">
        <x:is>
          <x:t xml:space="preserve">Yes</x:t>
        </x:is>
      </x:c>
      <x:c r="R33" s="523" t="inlineStr">
        <x:is>
          <x:t xml:space="preserve">No</x:t>
        </x:is>
      </x:c>
      <x:c r="S33" s="523" t="inlineStr">
        <x:is>
          <x:t xml:space="preserve">Review</x:t>
        </x:is>
      </x:c>
      <x:c r="T33" s="523" t="inlineStr">
        <x:is>
          <x:t xml:space="preserve">No</x:t>
        </x:is>
      </x:c>
      <x:c r="U33" s="523" t="inlineStr">
        <x:is>
          <x:t xml:space="preserve">Yes: 1 (legal supports)</x:t>
        </x:is>
      </x:c>
      <x:c r="V33" s="523" t="inlineStr">
        <x:is>
          <x:t xml:space="preserve">High</x:t>
        </x:is>
      </x:c>
      <x:c r="W33" s="523" t="inlineStr">
        <x:is>
          <x:t xml:space="preserve">Review — no exact prior-grantee match</x:t>
        </x:is>
      </x:c>
      <x:c r="X33" s="523" t="inlineStr">
        <x:is>
          <x:t xml:space="preserve">Yes — on Tract 1 owner list</x:t>
        </x:is>
      </x:c>
      <x:c r="Y33" s="523" t="inlineStr">
        <x:is>
          <x:t xml:space="preserve">Candidate 1 (helper — confirm from image)</x:t>
        </x:is>
      </x:c>
      <x:c r="Z33" s="523" t="inlineStr">
        <x:is>
          <x:t xml:space="preserve">Medium — helper value</x:t>
        </x:is>
      </x:c>
      <x:c r="AA33" s="523" t="inlineStr">
        <x:is>
          <x:t xml:space="preserve">Quit Claim Deed — Ethel Brister, heir of L. E. J to Virginia Jaques (D45/395)</x:t>
        </x:is>
      </x:c>
      <x:c r="AB33" s="523" t="inlineStr">
        <x:is>
          <x:t xml:space="preserve">Needs source review: grantor source</x:t>
        </x:is>
      </x:c>
    </x:row>
    <x:row r="34" s="523" customFormat="1" ht="120" customHeight="1">
      <x:c r="A34" s="513" t="inlineStr">
        <x:is>
          <x:t xml:space="preserve">1935-000554</x:t>
        </x:is>
      </x:c>
      <x:c r="B34" s="513" t="n"/>
      <x:c r="C34" s="513" t="inlineStr">
        <x:is>
          <x:t xml:space="preserve">Warranty Deed</x:t>
        </x:is>
      </x:c>
      <x:c r="D34" s="513" t="inlineStr">
        <x:is>
          <x:t xml:space="preserve">D46/540</x:t>
        </x:is>
      </x:c>
      <x:c r="E34" s="514" t="n">
        <x:v>13094</x:v>
      </x:c>
      <x:c r="F34" s="515" t="n">
        <x:v>13121</x:v>
      </x:c>
      <x:c r="G34" s="516" t="inlineStr">
        <x:is>
          <x:t xml:space="preserve">Thomas O. Hambrook and Flora E. Hambrook, HW</x:t>
        </x:is>
      </x:c>
      <x:c r="H34" s="516" t="inlineStr">
        <x:is>
          <x:t xml:space="preserve">H. M. Carter</x:t>
        </x:is>
      </x:c>
      <x:c r="I34" s="517" t="inlineStr">
        <x:is>
          <x:t xml:space="preserve">Beginning at the half Section corner on line between Sections Thirty (30) and Thirty-one (31), in Township Twelve (12), North of Range Twenty-four (24), thence South 50 chains (or 200 reds), thence West 18.20 chains (or 72.8/10 rodst thence North 50 chains (or200 reds) to section line, between Sections Thirty (30) and Thirty-one (31) thence East on Section line 18.20 chains (or 72.8/10 rods) to point beginning.</x:t>
        </x:is>
      </x:c>
      <x:c r="J34" s="112" t="inlineStr">
        <x:is>
          <x:t xml:space="preserve">ARTI
Chain note: source of title — MINERAL DEED 1907-001545 at D11/209, Herbert E. McGuire and Claude J. McGuire, HW to Mark Hambrook, covering N/2 of Lot 3, N/2 NE/4 SE/4 of 31-12N-24W, interest stated: ARTI. Confirm source instrument before relying on this conveyance.</x:t>
        </x:is>
      </x:c>
      <x:c r="K34" s="518" t="e">
        <x:f>HYPERLINK("https://okcountyrecords.com/detail/roger+mills/1935-000554","OKCountyRecords: 1935-000554")</x:f>
      </x:c>
      <x:c r="L34" s="522" t="inlineStr">
        <x:is>
          <x:t xml:space="preserve">Mineral; basis Conv Amt(dec). Gross acres unresolved. Gross=tract-map basis.</x:t>
        </x:is>
      </x:c>
      <x:c r="M34" s="522" t="inlineStr">
        <x:is>
          <x:t xml:space="preserve">CURRENT OWNER SOURCE</x:t>
        </x:is>
      </x:c>
      <x:c r="N34" s="522" t="n"/>
      <x:c r="O34" s="522" t="inlineStr">
        <x:is>
          <x:t xml:space="preserve">MINERAL DEED</x:t>
        </x:is>
      </x:c>
      <x:c r="P34" s="523" t="inlineStr">
        <x:is>
          <x:t xml:space="preserve">Do Not Chain — other section lands</x:t>
        </x:is>
      </x:c>
      <x:c r="Q34" s="523" t="inlineStr">
        <x:is>
          <x:t xml:space="preserve">Yes</x:t>
        </x:is>
      </x:c>
      <x:c r="R34" s="523" t="inlineStr">
        <x:is>
          <x:t xml:space="preserve">No</x:t>
        </x:is>
      </x:c>
      <x:c r="S34" s="523" t="inlineStr">
        <x:is>
          <x:t xml:space="preserve">Review</x:t>
        </x:is>
      </x:c>
      <x:c r="T34" s="523" t="inlineStr">
        <x:is>
          <x:t xml:space="preserve">No</x:t>
        </x:is>
      </x:c>
      <x:c r="U34" s="523" t="inlineStr">
        <x:is>
          <x:t xml:space="preserve">Other section — no Sec 31 tract</x:t>
        </x:is>
      </x:c>
      <x:c r="V34" s="523" t="inlineStr">
        <x:is>
          <x:t xml:space="preserve">High</x:t>
        </x:is>
      </x:c>
      <x:c r="W34" s="523" t="inlineStr">
        <x:is>
          <x:t xml:space="preserve">Review — no exact prior-grantee match</x:t>
        </x:is>
      </x:c>
      <x:c r="X34" s="523" t="inlineStr">
        <x:is>
          <x:t xml:space="preserve">Review</x:t>
        </x:is>
      </x:c>
      <x:c r="Y34" s="523" t="inlineStr">
        <x:is>
          <x:t xml:space="preserve">Candidate 1 (helper — confirm from image)</x:t>
        </x:is>
      </x:c>
      <x:c r="Z34" s="523" t="inlineStr">
        <x:is>
          <x:t xml:space="preserve">Medium — helper value</x:t>
        </x:is>
      </x:c>
      <x:c r="AA34" s="523" t="inlineStr">
        <x:is>
          <x:t xml:space="preserve">Warranty Deed — Thomas O. Hambrook and Flora E to H. M. Carter (D46/540)</x:t>
        </x:is>
      </x:c>
      <x:c r="AB34" s="523" t="inlineStr">
        <x:is>
          <x:t xml:space="preserve">Needs source review: grantor source</x:t>
        </x:is>
      </x:c>
    </x:row>
    <x:row r="35" s="523" customFormat="1" ht="48" customHeight="1">
      <x:c r="A35" s="513" t="inlineStr">
        <x:is>
          <x:t xml:space="preserve">1937-000416</x:t>
        </x:is>
      </x:c>
      <x:c r="B35" s="513" t="n"/>
      <x:c r="C35" s="513" t="inlineStr">
        <x:is>
          <x:t xml:space="preserve">Warranty Deed</x:t>
        </x:is>
      </x:c>
      <x:c r="D35" s="513" t="inlineStr">
        <x:is>
          <x:t xml:space="preserve">D48/72</x:t>
        </x:is>
      </x:c>
      <x:c r="E35" s="514" t="n">
        <x:v>13545</x:v>
      </x:c>
      <x:c r="F35" s="515" t="n">
        <x:v>13545</x:v>
      </x:c>
      <x:c r="G35" s="516" t="inlineStr">
        <x:is>
          <x:t xml:space="preserve">Virginia Jaques and N. Virgina Jacques, one and the same person, a widow</x:t>
        </x:is>
      </x:c>
      <x:c r="H35" s="516" t="inlineStr">
        <x:is>
          <x:t xml:space="preserve">H. M. Carter</x:t>
        </x:is>
      </x:c>
      <x:c r="I35" s="517" t="inlineStr">
        <x:is>
          <x:t xml:space="preserve">N/2 NE/4 of 31-12N-24W, aol</x:t>
        </x:is>
      </x:c>
      <x:c r="J35" s="112" t="inlineStr">
        <x:is>
          <x:t xml:space="preserve">ARTI
Subject to 1/2 of the royalty sold to Panhandle Co-Operative Royalty Company</x:t>
        </x:is>
      </x:c>
      <x:c r="K35" s="518" t="e">
        <x:f>HYPERLINK("https://okcountyrecords.com/detail/roger+mills/1937-000416","OKCountyRecords: 1937-000416")</x:f>
      </x:c>
      <x:c r="L35" s="522" t="inlineStr">
        <x:is>
          <x:t xml:space="preserve">Mineral; basis Conv Amt(dec). Gross=tract-map basis.</x:t>
        </x:is>
      </x:c>
      <x:c r="M35" s="522" t="inlineStr">
        <x:is>
          <x:t xml:space="preserve">CURRENT OWNER SOURCE</x:t>
        </x:is>
      </x:c>
      <x:c r="N35" s="522" t="n"/>
      <x:c r="O35" s="522" t="inlineStr">
        <x:is>
          <x:t xml:space="preserve">OUTSIDE LANDS</x:t>
        </x:is>
      </x:c>
      <x:c r="P35" s="523" t="inlineStr">
        <x:is>
          <x:t xml:space="preserve">Chain — deed (confirm minerals vs surface from instrument)</x:t>
        </x:is>
      </x:c>
      <x:c r="Q35" s="523" t="inlineStr">
        <x:is>
          <x:t xml:space="preserve">Yes</x:t>
        </x:is>
      </x:c>
      <x:c r="R35" s="523" t="inlineStr">
        <x:is>
          <x:t xml:space="preserve">No</x:t>
        </x:is>
      </x:c>
      <x:c r="S35" s="523" t="inlineStr">
        <x:is>
          <x:t xml:space="preserve">Review</x:t>
        </x:is>
      </x:c>
      <x:c r="T35" s="523" t="inlineStr">
        <x:is>
          <x:t xml:space="preserve">No</x:t>
        </x:is>
      </x:c>
      <x:c r="U35" s="523" t="inlineStr">
        <x:is>
          <x:t xml:space="preserve">Yes: 1 (legal supports)</x:t>
        </x:is>
      </x:c>
      <x:c r="V35" s="523" t="inlineStr">
        <x:is>
          <x:t xml:space="preserve">High</x:t>
        </x:is>
      </x:c>
      <x:c r="W35" s="523" t="inlineStr">
        <x:is>
          <x:t xml:space="preserve">Probable — name-normalized match to Runsheet 33 grantee; confirm</x:t>
        </x:is>
      </x:c>
      <x:c r="X35" s="523" t="inlineStr">
        <x:is>
          <x:t xml:space="preserve">Yes — on Tract 1 owner list</x:t>
        </x:is>
      </x:c>
      <x:c r="Y35" s="523" t="inlineStr">
        <x:is>
          <x:t xml:space="preserve">Candidate 1 (helper — confirm from image)</x:t>
        </x:is>
      </x:c>
      <x:c r="Z35" s="523" t="inlineStr">
        <x:is>
          <x:t xml:space="preserve">Medium — helper value</x:t>
        </x:is>
      </x:c>
      <x:c r="AA35" s="523" t="inlineStr">
        <x:is>
          <x:t xml:space="preserve">Warranty Deed — Virginia Jaques and N. Virgina to H. M. Carter (D48/72)</x:t>
        </x:is>
      </x:c>
      <x:c r="AB35" s="523" t="inlineStr">
        <x:is>
          <x:t xml:space="preserve">Needs source review: grantor source</x:t>
        </x:is>
      </x:c>
    </x:row>
    <x:row r="36" s="523" customFormat="1" ht="60" customHeight="1">
      <x:c r="A36" s="513" t="inlineStr">
        <x:is>
          <x:t xml:space="preserve">1938-000632</x:t>
        </x:is>
      </x:c>
      <x:c r="B36" s="513" t="n"/>
      <x:c r="C36" s="513" t="inlineStr">
        <x:is>
          <x:t xml:space="preserve">Affidavit</x:t>
        </x:is>
      </x:c>
      <x:c r="D36" s="513" t="inlineStr">
        <x:is>
          <x:t xml:space="preserve">MIS19/466</x:t>
        </x:is>
      </x:c>
      <x:c r="E36" s="514" t="n">
        <x:v>13938</x:v>
      </x:c>
      <x:c r="F36" s="515" t="n">
        <x:v>13924</x:v>
      </x:c>
      <x:c r="G36" s="516" t="inlineStr">
        <x:is>
          <x:t xml:space="preserve">M. R. Slief</x:t>
        </x:is>
      </x:c>
      <x:c r="H36" s="516" t="inlineStr">
        <x:is>
          <x:t xml:space="preserve">The Public</x:t>
        </x:is>
      </x:c>
      <x:c r="I36" s="524" t="inlineStr">
        <x:is>
          <x:t xml:space="preserve">All of 31-12N-24W, aol</x:t>
        </x:is>
      </x:c>
      <x:c r="J36" s="112" t="inlineStr">
        <x:is>
          <x:t xml:space="preserve">Affidavit of identity (MR Slief): James G. Hambrook = J. G. Hambrook (Probate #744, an heir of Mark Hambrook, dec'd); re the 2/20/1931 deed to Thomas O. Hambrook (Bk 41 W. Deeds/448) covering a metes-and-bounds tract in the W/2 of Sec 31-12N-24W. See recorded instrument for full text.</x:t>
        </x:is>
      </x:c>
      <x:c r="K36" s="518" t="e">
        <x:f>HYPERLINK("https://okcountyrecords.com/detail/roger+mills/1938-000632","OKCountyRecords: 1938-000632")</x:f>
      </x:c>
      <x:c r="L36" s="522" t="inlineStr">
        <x:is>
          <x:t xml:space="preserve">Other (non-mineral; excluded from mineral NMA). All-section coverage. Gross=tract-map basis.</x:t>
        </x:is>
      </x:c>
      <x:c r="M36" s="522" t="inlineStr">
        <x:is>
          <x:t xml:space="preserve">OK</x:t>
        </x:is>
      </x:c>
      <x:c r="N36" s="522" t="inlineStr">
        <x:is>
          <x:t xml:space="preserve">Non-conveying — notice/affidavit/address change (The Public).</x:t>
        </x:is>
      </x:c>
      <x:c r="O36" s="522" t="inlineStr">
        <x:is>
          <x:t xml:space="preserve">OUTSIDE LANDS</x:t>
        </x:is>
      </x:c>
      <x:c r="P36" s="523" t="inlineStr">
        <x:is>
          <x:t xml:space="preserve">Chain — title support (succession/entity/probate)</x:t>
        </x:is>
      </x:c>
      <x:c r="Q36" s="523" t="inlineStr">
        <x:is>
          <x:t xml:space="preserve">Yes</x:t>
        </x:is>
      </x:c>
      <x:c r="R36" s="523" t="inlineStr">
        <x:is>
          <x:t xml:space="preserve">No</x:t>
        </x:is>
      </x:c>
      <x:c r="S36" s="523" t="inlineStr">
        <x:is>
          <x:t xml:space="preserve">Yes</x:t>
        </x:is>
      </x:c>
      <x:c r="T36" s="523" t="inlineStr">
        <x:is>
          <x:t xml:space="preserve">No</x:t>
        </x:is>
      </x:c>
      <x:c r="U36" s="523" t="inlineStr">
        <x:is>
          <x:t xml:space="preserve">Yes: 1, 8 (broad legal)</x:t>
        </x:is>
      </x:c>
      <x:c r="V36" s="523" t="inlineStr">
        <x:is>
          <x:t xml:space="preserve">Medium</x:t>
        </x:is>
      </x:c>
      <x:c r="W36" s="523" t="inlineStr">
        <x:is>
          <x:t xml:space="preserve">Review — no exact prior-grantee match</x:t>
        </x:is>
      </x:c>
      <x:c r="X36" s="523" t="inlineStr">
        <x:is>
          <x:t xml:space="preserve">Review</x:t>
        </x:is>
      </x:c>
      <x:c r="Y36" s="523" t="inlineStr">
        <x:is>
          <x:t xml:space="preserve">Interest amount needs review</x:t>
        </x:is>
      </x:c>
      <x:c r="Z36" s="523" t="inlineStr">
        <x:is>
          <x:t xml:space="preserve">Review</x:t>
        </x:is>
      </x:c>
      <x:c r="AA36" s="523" t="inlineStr">
        <x:is>
          <x:t xml:space="preserve">Affidavit — M. R. Slief to The Public (MIS19/466)</x:t>
        </x:is>
      </x:c>
      <x:c r="AB36" s="523" t="inlineStr">
        <x:is>
          <x:t xml:space="preserve">Needs source review: grantor source, interest amount</x:t>
        </x:is>
      </x:c>
    </x:row>
    <x:row r="37" s="523" customFormat="1" ht="48" customHeight="1">
      <x:c r="A37" s="513" t="inlineStr">
        <x:is>
          <x:t xml:space="preserve">1939-001120</x:t>
        </x:is>
      </x:c>
      <x:c r="B37" s="513" t="n"/>
      <x:c r="C37" s="513" t="inlineStr">
        <x:is>
          <x:t xml:space="preserve">Quit Claim Deed</x:t>
        </x:is>
      </x:c>
      <x:c r="D37" s="513" t="inlineStr">
        <x:is>
          <x:t xml:space="preserve">QCD3/491</x:t>
        </x:is>
      </x:c>
      <x:c r="E37" s="514" t="n">
        <x:v>14235</x:v>
      </x:c>
      <x:c r="F37" s="515" t="n">
        <x:v>14289</x:v>
      </x:c>
      <x:c r="G37" s="516" t="inlineStr">
        <x:is>
          <x:t xml:space="preserve">Jack Brister and Ethel Brister, HW</x:t>
        </x:is>
      </x:c>
      <x:c r="H37" s="516" t="inlineStr">
        <x:is>
          <x:t xml:space="preserve">Virginia Jaques</x:t>
        </x:is>
      </x:c>
      <x:c r="I37" s="517" t="inlineStr">
        <x:is>
          <x:t xml:space="preserve">N/2 NE/4 of 31-12N-24W</x:t>
        </x:is>
      </x:c>
      <x:c r="J37" s="112" t="inlineStr">
        <x:is>
          <x:t xml:space="preserve">ARTI, to correct deed at 45/395
Chain note: no source of title into Jack Brister and Ethel Brister, HW located of record. Confirm ownership before crediting this conveyance.</x:t>
        </x:is>
      </x:c>
      <x:c r="K37" s="518" t="e">
        <x:f>HYPERLINK("https://okcountyrecords.com/detail/roger+mills/1939-001120","OKCountyRecords: 1939-001120")</x:f>
      </x:c>
      <x:c r="L37" s="522" t="inlineStr">
        <x:is>
          <x:t xml:space="preserve">Mineral; basis Conv Amt(dec). Gross=tract-map basis.</x:t>
        </x:is>
      </x:c>
      <x:c r="M37" s="522" t="inlineStr">
        <x:is>
          <x:t xml:space="preserve">CURRENT OWNER SOURCE</x:t>
        </x:is>
      </x:c>
      <x:c r="N37" s="522" t="n"/>
      <x:c r="O37" s="522" t="inlineStr">
        <x:is>
          <x:t xml:space="preserve">EASEMENT</x:t>
        </x:is>
      </x:c>
      <x:c r="P37" s="523" t="inlineStr">
        <x:is>
          <x:t xml:space="preserve">Chain — deed (confirm minerals vs surface from instrument)</x:t>
        </x:is>
      </x:c>
      <x:c r="Q37" s="523" t="inlineStr">
        <x:is>
          <x:t xml:space="preserve">Yes</x:t>
        </x:is>
      </x:c>
      <x:c r="R37" s="523" t="inlineStr">
        <x:is>
          <x:t xml:space="preserve">No</x:t>
        </x:is>
      </x:c>
      <x:c r="S37" s="523" t="inlineStr">
        <x:is>
          <x:t xml:space="preserve">Review</x:t>
        </x:is>
      </x:c>
      <x:c r="T37" s="523" t="inlineStr">
        <x:is>
          <x:t xml:space="preserve">No</x:t>
        </x:is>
      </x:c>
      <x:c r="U37" s="523" t="inlineStr">
        <x:is>
          <x:t xml:space="preserve">Yes: 1 (legal supports)</x:t>
        </x:is>
      </x:c>
      <x:c r="V37" s="523" t="inlineStr">
        <x:is>
          <x:t xml:space="preserve">High</x:t>
        </x:is>
      </x:c>
      <x:c r="W37" s="523" t="inlineStr">
        <x:is>
          <x:t xml:space="preserve">No — no source located</x:t>
        </x:is>
      </x:c>
      <x:c r="X37" s="523" t="inlineStr">
        <x:is>
          <x:t xml:space="preserve">Yes — on Tract 1 owner list</x:t>
        </x:is>
      </x:c>
      <x:c r="Y37" s="523" t="inlineStr">
        <x:is>
          <x:t xml:space="preserve">Candidate 1 (helper — confirm from image)</x:t>
        </x:is>
      </x:c>
      <x:c r="Z37" s="523" t="inlineStr">
        <x:is>
          <x:t xml:space="preserve">Medium — helper value</x:t>
        </x:is>
      </x:c>
      <x:c r="AA37" s="523" t="inlineStr">
        <x:is>
          <x:t xml:space="preserve">Quit Claim Deed — Jack Brister and Ethel Brister to Virginia Jaques (QCD3/491)</x:t>
        </x:is>
      </x:c>
      <x:c r="AB37" s="523" t="inlineStr">
        <x:is>
          <x:t xml:space="preserve">Needs source review: no source of title</x:t>
        </x:is>
      </x:c>
    </x:row>
    <x:row r="38" s="523" customFormat="1" ht="48" customHeight="1">
      <x:c r="A38" s="513" t="inlineStr">
        <x:is>
          <x:t xml:space="preserve">1942-000630</x:t>
        </x:is>
      </x:c>
      <x:c r="B38" s="513" t="n"/>
      <x:c r="C38" s="513" t="inlineStr">
        <x:is>
          <x:t xml:space="preserve">Final Decree and Distribution</x:t>
        </x:is>
      </x:c>
      <x:c r="D38" s="513" t="inlineStr">
        <x:is>
          <x:t xml:space="preserve">MIS21/471</x:t>
        </x:is>
      </x:c>
      <x:c r="E38" s="514" t="n">
        <x:v>15490</x:v>
      </x:c>
      <x:c r="F38" s="515" t="n">
        <x:v>15490</x:v>
      </x:c>
      <x:c r="G38" s="516" t="inlineStr">
        <x:is>
          <x:t xml:space="preserve">Beckham County Court,
RE: In the Matter of the Estate of Swinburn J. Stewart, Deceased</x:t>
        </x:is>
      </x:c>
      <x:c r="H38" s="516" t="inlineStr">
        <x:is>
          <x:t xml:space="preserve">Gladys Priest, 1/4,
Swinburn J. Stewart, Jr., 1/4,
Margaret Standiford, 1/4,
Mary Margaret Wilson, 1/4</x:t>
        </x:is>
      </x:c>
      <x:c r="I38" s="517" t="inlineStr">
        <x:is>
          <x:t xml:space="preserve">SE/4 SW/4 of 31-12N-24W, aol</x:t>
        </x:is>
      </x:c>
      <x:c r="J38" s="112" t="inlineStr">
        <x:is>
          <x:t xml:space="preserve">ARTI, An undivided interest</x:t>
        </x:is>
      </x:c>
      <x:c r="K38" s="518" t="e">
        <x:f>HYPERLINK("https://okcountyrecords.com/detail/roger+mills/1942-000630","OKCountyRecords: 1942-000630")</x:f>
      </x:c>
      <x:c r="L38" s="522" t="inlineStr">
        <x:is>
          <x:t xml:space="preserve">Mineral; basis Conv Amt(dec). Gross=tract-map basis.</x:t>
        </x:is>
      </x:c>
      <x:c r="M38" s="522" t="inlineStr">
        <x:is>
          <x:t xml:space="preserve">CURRENT OWNER SOURCE</x:t>
        </x:is>
      </x:c>
      <x:c r="N38" s="522" t="n"/>
      <x:c r="O38" s="522" t="inlineStr">
        <x:is>
          <x:t xml:space="preserve">OUTSIDE LANDS</x:t>
        </x:is>
      </x:c>
      <x:c r="P38" s="523" t="inlineStr">
        <x:is>
          <x:t xml:space="preserve">Chain — title support (succession/entity/probate)</x:t>
        </x:is>
      </x:c>
      <x:c r="Q38" s="523" t="inlineStr">
        <x:is>
          <x:t xml:space="preserve">Yes</x:t>
        </x:is>
      </x:c>
      <x:c r="R38" s="523" t="inlineStr">
        <x:is>
          <x:t xml:space="preserve">No</x:t>
        </x:is>
      </x:c>
      <x:c r="S38" s="523" t="inlineStr">
        <x:is>
          <x:t xml:space="preserve">Yes</x:t>
        </x:is>
      </x:c>
      <x:c r="T38" s="523" t="inlineStr">
        <x:is>
          <x:t xml:space="preserve">No</x:t>
        </x:is>
      </x:c>
      <x:c r="U38" s="523" t="inlineStr">
        <x:is>
          <x:t xml:space="preserve">Yes: 5 (legal supports)</x:t>
        </x:is>
      </x:c>
      <x:c r="V38" s="523" t="inlineStr">
        <x:is>
          <x:t xml:space="preserve">High</x:t>
        </x:is>
      </x:c>
      <x:c r="W38" s="523" t="inlineStr">
        <x:is>
          <x:t xml:space="preserve">Review — no exact prior-grantee match</x:t>
        </x:is>
      </x:c>
      <x:c r="X38" s="523" t="inlineStr">
        <x:is>
          <x:t xml:space="preserve">Review</x:t>
        </x:is>
      </x:c>
      <x:c r="Y38" s="523" t="inlineStr">
        <x:is>
          <x:t xml:space="preserve">Candidate 1 (helper — confirm from image)</x:t>
        </x:is>
      </x:c>
      <x:c r="Z38" s="523" t="inlineStr">
        <x:is>
          <x:t xml:space="preserve">Medium — helper value</x:t>
        </x:is>
      </x:c>
      <x:c r="AA38" s="523" t="inlineStr">
        <x:is>
          <x:t xml:space="preserve">Final Decree and Distribution — Beckham County Court, to Gladys Priest, 1/4, (MIS21/471)</x:t>
        </x:is>
      </x:c>
      <x:c r="AB38" s="523" t="inlineStr">
        <x:is>
          <x:t xml:space="preserve">Needs source review: grantor source</x:t>
        </x:is>
      </x:c>
    </x:row>
    <x:row r="39" s="523" customFormat="1" ht="84" customHeight="1">
      <x:c r="A39" s="513" t="inlineStr">
        <x:is>
          <x:t xml:space="preserve">1945-000171</x:t>
        </x:is>
      </x:c>
      <x:c r="B39" s="513" t="n"/>
      <x:c r="C39" s="513" t="inlineStr">
        <x:is>
          <x:t xml:space="preserve">Warranty Deed</x:t>
        </x:is>
      </x:c>
      <x:c r="D39" s="513" t="inlineStr">
        <x:is>
          <x:t xml:space="preserve">D55/254</x:t>
        </x:is>
      </x:c>
      <x:c r="E39" s="514" t="n">
        <x:v>16434</x:v>
      </x:c>
      <x:c r="F39" s="515" t="n">
        <x:v>16508</x:v>
      </x:c>
      <x:c r="G39" s="516" t="inlineStr">
        <x:is>
          <x:t xml:space="preserve">Maggie Davis, formerly Maggie Bennett &amp; H. V. Davis, wife and husband; Eli L. Shotwell &amp; Ida M. Shotwell husband &amp; wife; Pearl L. Davis, &amp; O. L. Davis, wife &amp; husband; Roy T. Shotwell &amp; Josie A.
Shotwell, husband &amp; wife; Ida M. Cuff and A. M. Cuff, wife and husband</x:t>
        </x:is>
      </x:c>
      <x:c r="H39" s="516" t="inlineStr">
        <x:is>
          <x:t xml:space="preserve">H. M. Carter</x:t>
        </x:is>
      </x:c>
      <x:c r="I39" s="517" t="inlineStr">
        <x:is>
          <x:t xml:space="preserve">SE/4 NE/4, NE/4 SE/4 of 31-12N-24W</x:t>
        </x:is>
      </x:c>
      <x:c r="J39" s="112" t="inlineStr">
        <x:is>
          <x:t xml:space="preserve">ARTI
Chain note: no source of title into Maggie Davis, formerly Maggie Bennett &amp; H. V. Davis, wife and husband; Eli L. Shotwell &amp; Ida M. Shotwell husband &amp; wife; Pearl L. Davis, &amp; O. L. Davis, wife &amp; husband; Roy T. Shotwell &amp; Josie A.
Shotwell, husband &amp; wife; Ida M. Cuff and A. M. Cuff, wife and husband located of record. Confirm ownership before crediting this conveyance.</x:t>
        </x:is>
      </x:c>
      <x:c r="K39" s="518" t="e">
        <x:f>HYPERLINK("https://okcountyrecords.com/detail/roger+mills/1945-000171","OKCountyRecords: 1945-000171")</x:f>
      </x:c>
      <x:c r="L39" s="522" t="inlineStr">
        <x:is>
          <x:t xml:space="preserve">Mineral; basis Conv Amt(dec). Gross=tract-map basis.</x:t>
        </x:is>
      </x:c>
      <x:c r="M39" s="522" t="inlineStr">
        <x:is>
          <x:t xml:space="preserve">CURRENT OWNER SOURCE</x:t>
        </x:is>
      </x:c>
      <x:c r="N39" s="522" t="n"/>
      <x:c r="O39" s="522" t="inlineStr">
        <x:is>
          <x:t xml:space="preserve">EASEMENT</x:t>
        </x:is>
      </x:c>
      <x:c r="P39" s="523" t="inlineStr">
        <x:is>
          <x:t xml:space="preserve">Chain — deed (confirm minerals vs surface from instrument)</x:t>
        </x:is>
      </x:c>
      <x:c r="Q39" s="523" t="inlineStr">
        <x:is>
          <x:t xml:space="preserve">Yes</x:t>
        </x:is>
      </x:c>
      <x:c r="R39" s="523" t="inlineStr">
        <x:is>
          <x:t xml:space="preserve">No</x:t>
        </x:is>
      </x:c>
      <x:c r="S39" s="523" t="inlineStr">
        <x:is>
          <x:t xml:space="preserve">Review</x:t>
        </x:is>
      </x:c>
      <x:c r="T39" s="523" t="inlineStr">
        <x:is>
          <x:t xml:space="preserve">No</x:t>
        </x:is>
      </x:c>
      <x:c r="U39" s="523" t="inlineStr">
        <x:is>
          <x:t xml:space="preserve">Legal maps to 3, 10; helper says 3, 8</x:t>
        </x:is>
      </x:c>
      <x:c r="V39" s="523" t="inlineStr">
        <x:is>
          <x:t xml:space="preserve">Review</x:t>
        </x:is>
      </x:c>
      <x:c r="W39" s="523" t="inlineStr">
        <x:is>
          <x:t xml:space="preserve">No — no source located</x:t>
        </x:is>
      </x:c>
      <x:c r="X39" s="523" t="inlineStr">
        <x:is>
          <x:t xml:space="preserve">Yes — on Tract 3 owner list</x:t>
        </x:is>
      </x:c>
      <x:c r="Y39" s="523" t="inlineStr">
        <x:is>
          <x:t xml:space="preserve">Candidate 1 (helper — confirm from image)</x:t>
        </x:is>
      </x:c>
      <x:c r="Z39" s="523" t="inlineStr">
        <x:is>
          <x:t xml:space="preserve">Medium — helper value</x:t>
        </x:is>
      </x:c>
      <x:c r="AA39" s="523" t="inlineStr">
        <x:is>
          <x:t xml:space="preserve">Warranty Deed — Maggie Davis, formerly Maggie to H. M. Carter (D55/254)</x:t>
        </x:is>
      </x:c>
      <x:c r="AB39" s="523" t="inlineStr">
        <x:is>
          <x:t xml:space="preserve">Needs source review: tract, no source of title</x:t>
        </x:is>
      </x:c>
    </x:row>
    <x:row r="40" s="523" customFormat="1" ht="60" customHeight="1">
      <x:c r="A40" s="513" t="inlineStr">
        <x:is>
          <x:t xml:space="preserve">1945-000816</x:t>
        </x:is>
      </x:c>
      <x:c r="B40" s="513" t="n"/>
      <x:c r="C40" s="513" t="inlineStr">
        <x:is>
          <x:t xml:space="preserve">Final Decree</x:t>
        </x:is>
      </x:c>
      <x:c r="D40" s="513" t="inlineStr">
        <x:is>
          <x:t xml:space="preserve">MIS22/628</x:t>
        </x:is>
      </x:c>
      <x:c r="E40" s="514" t="n">
        <x:v>16439</x:v>
      </x:c>
      <x:c r="F40" s="515" t="n">
        <x:v>16439</x:v>
      </x:c>
      <x:c r="G40" s="516" t="inlineStr">
        <x:is>
          <x:t xml:space="preserve">Beckham County Court,
RE: In the Matter of the Estate of Benjamin H. Shotwell, Deceased</x:t>
        </x:is>
      </x:c>
      <x:c r="H40" s="516" t="inlineStr">
        <x:is>
          <x:t xml:space="preserve">Maggie Bennett,
Eli L. Shotwell,
Pearl L. Davis,
Roy T. Shotwell,
Ida M. Cuff</x:t>
        </x:is>
      </x:c>
      <x:c r="I40" s="524" t="inlineStr">
        <x:is>
          <x:t xml:space="preserve">SE/4 NE/4, NE/4 SE/4 of 31-12N-24W, aol</x:t>
        </x:is>
      </x:c>
      <x:c r="J40" s="112" t="inlineStr">
        <x:is>
          <x:t xml:space="preserve">ARTI</x:t>
        </x:is>
      </x:c>
      <x:c r="K40" s="518" t="e">
        <x:f>HYPERLINK("https://okcountyrecords.com/detail/roger+mills/1945-000816","OKCountyRecords: 1945-000816")</x:f>
      </x:c>
      <x:c r="L40" s="522" t="inlineStr">
        <x:is>
          <x:t xml:space="preserve">Mineral; basis Conv Amt(dec). Gross=tract-map basis.</x:t>
        </x:is>
      </x:c>
      <x:c r="M40" s="522" t="inlineStr">
        <x:is>
          <x:t xml:space="preserve">CURRENT OWNER SOURCE</x:t>
        </x:is>
      </x:c>
      <x:c r="N40" s="522" t="n"/>
      <x:c r="O40" s="522" t="inlineStr">
        <x:is>
          <x:t xml:space="preserve">OUTSIDE LANDS</x:t>
        </x:is>
      </x:c>
      <x:c r="P40" s="523" t="inlineStr">
        <x:is>
          <x:t xml:space="preserve">Chain — title support (succession/entity/probate)</x:t>
        </x:is>
      </x:c>
      <x:c r="Q40" s="523" t="inlineStr">
        <x:is>
          <x:t xml:space="preserve">Yes</x:t>
        </x:is>
      </x:c>
      <x:c r="R40" s="523" t="inlineStr">
        <x:is>
          <x:t xml:space="preserve">No</x:t>
        </x:is>
      </x:c>
      <x:c r="S40" s="523" t="inlineStr">
        <x:is>
          <x:t xml:space="preserve">Yes</x:t>
        </x:is>
      </x:c>
      <x:c r="T40" s="523" t="inlineStr">
        <x:is>
          <x:t xml:space="preserve">No</x:t>
        </x:is>
      </x:c>
      <x:c r="U40" s="523" t="inlineStr">
        <x:is>
          <x:t xml:space="preserve">Legal maps to 3, 10; helper says 3, 8</x:t>
        </x:is>
      </x:c>
      <x:c r="V40" s="523" t="inlineStr">
        <x:is>
          <x:t xml:space="preserve">Review</x:t>
        </x:is>
      </x:c>
      <x:c r="W40" s="523" t="inlineStr">
        <x:is>
          <x:t xml:space="preserve">Review — no exact prior-grantee match</x:t>
        </x:is>
      </x:c>
      <x:c r="X40" s="523" t="inlineStr">
        <x:is>
          <x:t xml:space="preserve">Yes — on Tract 3 owner list</x:t>
        </x:is>
      </x:c>
      <x:c r="Y40" s="523" t="inlineStr">
        <x:is>
          <x:t xml:space="preserve">Candidate 1 (helper — confirm from image)</x:t>
        </x:is>
      </x:c>
      <x:c r="Z40" s="523" t="inlineStr">
        <x:is>
          <x:t xml:space="preserve">Medium — helper value</x:t>
        </x:is>
      </x:c>
      <x:c r="AA40" s="523" t="inlineStr">
        <x:is>
          <x:t xml:space="preserve">Final Decree — Beckham County Court, to Maggie Bennett, (MIS22/628)</x:t>
        </x:is>
      </x:c>
      <x:c r="AB40" s="523" t="inlineStr">
        <x:is>
          <x:t xml:space="preserve">Needs source review: tract, grantor source</x:t>
        </x:is>
      </x:c>
    </x:row>
    <x:row r="41" s="523" customFormat="1" ht="60" customHeight="1">
      <x:c r="A41" s="513" t="inlineStr">
        <x:is>
          <x:t xml:space="preserve">1949-002138</x:t>
        </x:is>
      </x:c>
      <x:c r="B41" s="513" t="n"/>
      <x:c r="C41" s="513" t="inlineStr">
        <x:is>
          <x:t xml:space="preserve">Contract</x:t>
        </x:is>
      </x:c>
      <x:c r="D41" s="513" t="inlineStr">
        <x:is>
          <x:t xml:space="preserve">MIS25/41</x:t>
        </x:is>
      </x:c>
      <x:c r="E41" s="514" t="n">
        <x:v>17950</x:v>
      </x:c>
      <x:c r="F41" s="515" t="n">
        <x:v>17991</x:v>
      </x:c>
      <x:c r="G41" s="516" t="inlineStr">
        <x:is>
          <x:t xml:space="preserve">Ethel Carter,
N. M. Carter</x:t>
        </x:is>
      </x:c>
      <x:c r="H41" s="516" t="inlineStr">
        <x:is>
          <x:t xml:space="preserve">Marvin G. Mitchell</x:t>
        </x:is>
      </x:c>
      <x:c r="I41" s="524" t="inlineStr">
        <x:is>
          <x:t xml:space="preserve">31-12N-24W, aol</x:t>
        </x:is>
      </x:c>
      <x:c r="J41" s="112" t="inlineStr">
        <x:is>
          <x:t xml:space="preserve">Conveyance of ~340 ac (S/2 SE/4 Sec 30; E/2 NW/4, N/2 NE/4, SE/4 NE/4, NE/4 SE/4 and N/2 NE/4 SW/4 Sec 31-12N-24W), LESS an undivided 1/2 of the oil, gas &amp; mineral rights reserved, with ingress/egress for development. See recorded instrument for full text.</x:t>
        </x:is>
      </x:c>
      <x:c r="K41" s="518" t="e">
        <x:f>HYPERLINK("https://okcountyrecords.com/detail/roger+mills/1949-002138","OKCountyRecords: 1949-002138")</x:f>
      </x:c>
      <x:c r="L41" s="522" t="inlineStr">
        <x:is>
          <x:t xml:space="preserve">Other (non-mineral; excluded from mineral NMA). All-section coverage. Gross=tract-map basis.</x:t>
        </x:is>
      </x:c>
      <x:c r="M41" s="522" t="n"/>
      <x:c r="N41" s="522" t="n"/>
      <x:c r="O41" s="522" t="inlineStr">
        <x:is>
          <x:t xml:space="preserve">OUTSIDE LANDS</x:t>
        </x:is>
      </x:c>
      <x:c r="P41" s="523" t="inlineStr">
        <x:is>
          <x:t xml:space="preserve">Review — read instrument (type unclear)</x:t>
        </x:is>
      </x:c>
      <x:c r="Q41" s="523" t="inlineStr">
        <x:is>
          <x:t xml:space="preserve">Review</x:t>
        </x:is>
      </x:c>
      <x:c r="R41" s="523" t="inlineStr">
        <x:is>
          <x:t xml:space="preserve">Review</x:t>
        </x:is>
      </x:c>
      <x:c r="S41" s="523" t="inlineStr">
        <x:is>
          <x:t xml:space="preserve">Review</x:t>
        </x:is>
      </x:c>
      <x:c r="T41" s="523" t="inlineStr">
        <x:is>
          <x:t xml:space="preserve">Review</x:t>
        </x:is>
      </x:c>
      <x:c r="U41" s="523" t="inlineStr">
        <x:is>
          <x:t xml:space="preserve">Yes: 1, 8 (broad legal)</x:t>
        </x:is>
      </x:c>
      <x:c r="V41" s="523" t="inlineStr">
        <x:is>
          <x:t xml:space="preserve">Medium</x:t>
        </x:is>
      </x:c>
      <x:c r="W41" s="523" t="inlineStr">
        <x:is>
          <x:t xml:space="preserve">Review — no exact prior-grantee match</x:t>
        </x:is>
      </x:c>
      <x:c r="X41" s="523" t="inlineStr">
        <x:is>
          <x:t xml:space="preserve">Review</x:t>
        </x:is>
      </x:c>
      <x:c r="Y41" s="523" t="inlineStr">
        <x:is>
          <x:t xml:space="preserve">Interest amount needs review</x:t>
        </x:is>
      </x:c>
      <x:c r="Z41" s="523" t="inlineStr">
        <x:is>
          <x:t xml:space="preserve">Review</x:t>
        </x:is>
      </x:c>
      <x:c r="AA41" s="523" t="inlineStr">
        <x:is>
          <x:t xml:space="preserve">Contract — Ethel Carter, to Marvin G. Mitchell (MIS25/41)</x:t>
        </x:is>
      </x:c>
      <x:c r="AB41" s="523" t="inlineStr">
        <x:is>
          <x:t xml:space="preserve">Needs source review: grantor source, interest amount, instrument type</x:t>
        </x:is>
      </x:c>
    </x:row>
    <x:row r="42" s="523" customFormat="1" ht="48" customHeight="1">
      <x:c r="A42" s="513" t="inlineStr">
        <x:is>
          <x:t xml:space="preserve">1949-000814</x:t>
        </x:is>
      </x:c>
      <x:c r="B42" s="513" t="n"/>
      <x:c r="C42" s="513" t="inlineStr">
        <x:is>
          <x:t xml:space="preserve">Warranty Deed</x:t>
        </x:is>
      </x:c>
      <x:c r="D42" s="513" t="inlineStr">
        <x:is>
          <x:t xml:space="preserve">D59/251</x:t>
        </x:is>
      </x:c>
      <x:c r="E42" s="514" t="n">
        <x:v>17950</x:v>
      </x:c>
      <x:c r="F42" s="515" t="n">
        <x:v>18112</x:v>
      </x:c>
      <x:c r="G42" s="516" t="inlineStr">
        <x:is>
          <x:t xml:space="preserve">H. M. Carter and Mrs Ethel Carter, HW</x:t>
        </x:is>
      </x:c>
      <x:c r="H42" s="516" t="inlineStr">
        <x:is>
          <x:t xml:space="preserve">Marvin G. Mitchell and Carrie Lou Mitchell, HW, JTWROS</x:t>
        </x:is>
      </x:c>
      <x:c r="I42" s="517" t="inlineStr">
        <x:is>
          <x:t xml:space="preserve">S/2 SE/4 of Sec 30-12N-24W, E/2 NW/4, N/2 NE/4, SE/4 NE/4, NE/4 SE/4, N/2 NE/4 SW/4 of Sec 31-12N-24W, containing 340 acres, more or less</x:t>
        </x:is>
      </x:c>
      <x:c r="J42" s="383" t="inlineStr">
        <x:is>
          <x:t xml:space="preserve">1/2 interest, (Parties of the first part reserve unto themselves and undivided one half of all.minerals not heretofore conveyed on the a bove described tract of land with rights of ingrees and egress)</x:t>
        </x:is>
      </x:c>
      <x:c r="K42" s="518" t="e">
        <x:f>HYPERLINK("https://okcountyrecords.com/detail/roger+mills/1949-000814","OKCountyRecords: 1949-000814")</x:f>
      </x:c>
      <x:c r="L42" s="522" t="inlineStr">
        <x:is>
          <x:t xml:space="preserve">Mineral; basis Conv Amt(dec). Gross=tract-map basis.</x:t>
        </x:is>
      </x:c>
      <x:c r="M42" s="522" t="inlineStr">
        <x:is>
          <x:t xml:space="preserve">CURRENT OWNER SOURCE</x:t>
        </x:is>
      </x:c>
      <x:c r="N42" s="522" t="n"/>
      <x:c r="O42" s="522" t="inlineStr">
        <x:is>
          <x:t xml:space="preserve">MINERAL DEED</x:t>
        </x:is>
      </x:c>
      <x:c r="P42" s="523" t="inlineStr">
        <x:is>
          <x:t xml:space="preserve">Chain — deed (confirm minerals vs surface from instrument)</x:t>
        </x:is>
      </x:c>
      <x:c r="Q42" s="523" t="inlineStr">
        <x:is>
          <x:t xml:space="preserve">Yes</x:t>
        </x:is>
      </x:c>
      <x:c r="R42" s="523" t="inlineStr">
        <x:is>
          <x:t xml:space="preserve">No</x:t>
        </x:is>
      </x:c>
      <x:c r="S42" s="523" t="inlineStr">
        <x:is>
          <x:t xml:space="preserve">Review</x:t>
        </x:is>
      </x:c>
      <x:c r="T42" s="523" t="inlineStr">
        <x:is>
          <x:t xml:space="preserve">No</x:t>
        </x:is>
      </x:c>
      <x:c r="U42" s="523" t="inlineStr">
        <x:is>
          <x:t xml:space="preserve">Legal maps to 1, 3, 4, 7, 10; helper says 1, 2, 3, 4, 7, 8</x:t>
        </x:is>
      </x:c>
      <x:c r="V42" s="523" t="inlineStr">
        <x:is>
          <x:t xml:space="preserve">Review</x:t>
        </x:is>
      </x:c>
      <x:c r="W42" s="523" t="inlineStr">
        <x:is>
          <x:t xml:space="preserve">Review — no exact prior-grantee match</x:t>
        </x:is>
      </x:c>
      <x:c r="X42" s="523" t="inlineStr">
        <x:is>
          <x:t xml:space="preserve">Yes — on Tract 1 owner list</x:t>
        </x:is>
      </x:c>
      <x:c r="Y42" s="523" t="inlineStr">
        <x:is>
          <x:t xml:space="preserve">Candidate 0.5 (helper — confirm from image)</x:t>
        </x:is>
      </x:c>
      <x:c r="Z42" s="523" t="inlineStr">
        <x:is>
          <x:t xml:space="preserve">Medium — helper value</x:t>
        </x:is>
      </x:c>
      <x:c r="AA42" s="523" t="inlineStr">
        <x:is>
          <x:t xml:space="preserve">Warranty Deed — H. M. Carter and Mrs Ethel Car to Marvin G. Mitchell and Carrie (D59/251)</x:t>
        </x:is>
      </x:c>
      <x:c r="AB42" s="523" t="inlineStr">
        <x:is>
          <x:t xml:space="preserve">Needs source review: tract, grantor source</x:t>
        </x:is>
      </x:c>
    </x:row>
    <x:row r="43" s="523" customFormat="1" ht="60" customHeight="1">
      <x:c r="A43" s="513" t="inlineStr">
        <x:is>
          <x:t xml:space="preserve">1949-002129</x:t>
        </x:is>
      </x:c>
      <x:c r="B43" s="513" t="n"/>
      <x:c r="C43" s="513" t="inlineStr">
        <x:is>
          <x:t xml:space="preserve">Certificate</x:t>
        </x:is>
      </x:c>
      <x:c r="D43" s="513" t="inlineStr">
        <x:is>
          <x:t xml:space="preserve">MIS25/30</x:t>
        </x:is>
      </x:c>
      <x:c r="E43" s="514" t="n">
        <x:v>17986</x:v>
      </x:c>
      <x:c r="F43" s="515" t="n">
        <x:v>17986</x:v>
      </x:c>
      <x:c r="G43" s="516" t="inlineStr">
        <x:is>
          <x:t xml:space="preserve">Corporation Commission of Oklahoma</x:t>
        </x:is>
      </x:c>
      <x:c r="H43" s="516" t="inlineStr">
        <x:is>
          <x:t xml:space="preserve">The Public</x:t>
        </x:is>
      </x:c>
      <x:c r="I43" s="517" t="inlineStr">
        <x:is>
          <x:t xml:space="preserve">N/2 NE/4, E/2 NE/4, E/2 SW/4 of 31-12N-24W, aol</x:t>
        </x:is>
      </x:c>
      <x:c r="J43" s="383" t="inlineStr">
        <x:is>
          <x:t xml:space="preserve">Cert of non development</x:t>
        </x:is>
      </x:c>
      <x:c r="K43" s="518" t="e">
        <x:f>HYPERLINK("https://okcountyrecords.com/detail/roger+mills/1949-002129","OKCountyRecords: 1949-002129")</x:f>
      </x:c>
      <x:c r="L43" s="522" t="inlineStr">
        <x:is>
          <x:t xml:space="preserve">Other (non-mineral; excluded from mineral NMA). All-section coverage. Gross=tract-map basis.</x:t>
        </x:is>
      </x:c>
      <x:c r="M43" s="522" t="inlineStr">
        <x:is>
          <x:t xml:space="preserve">OK</x:t>
        </x:is>
      </x:c>
      <x:c r="N43" s="522" t="inlineStr">
        <x:is>
          <x:t xml:space="preserve">Non-conveying — notice/affidavit/address change (The Public).</x:t>
        </x:is>
      </x:c>
      <x:c r="O43" s="522" t="inlineStr">
        <x:is>
          <x:t xml:space="preserve">OUTSIDE LANDS</x:t>
        </x:is>
      </x:c>
      <x:c r="P43" s="523" t="inlineStr">
        <x:is>
          <x:t xml:space="preserve">Chain — title support (succession/entity/probate)</x:t>
        </x:is>
      </x:c>
      <x:c r="Q43" s="523" t="inlineStr">
        <x:is>
          <x:t xml:space="preserve">Yes</x:t>
        </x:is>
      </x:c>
      <x:c r="R43" s="523" t="inlineStr">
        <x:is>
          <x:t xml:space="preserve">No</x:t>
        </x:is>
      </x:c>
      <x:c r="S43" s="523" t="inlineStr">
        <x:is>
          <x:t xml:space="preserve">Yes</x:t>
        </x:is>
      </x:c>
      <x:c r="T43" s="523" t="inlineStr">
        <x:is>
          <x:t xml:space="preserve">No</x:t>
        </x:is>
      </x:c>
      <x:c r="U43" s="523" t="inlineStr">
        <x:is>
          <x:t xml:space="preserve">Legal maps to 1; helper says 1, 8</x:t>
        </x:is>
      </x:c>
      <x:c r="V43" s="523" t="inlineStr">
        <x:is>
          <x:t xml:space="preserve">Review</x:t>
        </x:is>
      </x:c>
      <x:c r="W43" s="523" t="inlineStr">
        <x:is>
          <x:t xml:space="preserve">Review — no exact prior-grantee match</x:t>
        </x:is>
      </x:c>
      <x:c r="X43" s="523" t="inlineStr">
        <x:is>
          <x:t xml:space="preserve">Review</x:t>
        </x:is>
      </x:c>
      <x:c r="Y43" s="523" t="inlineStr">
        <x:is>
          <x:t xml:space="preserve">Candidate 0 (helper — confirm from image)</x:t>
        </x:is>
      </x:c>
      <x:c r="Z43" s="523" t="inlineStr">
        <x:is>
          <x:t xml:space="preserve">Medium — helper value</x:t>
        </x:is>
      </x:c>
      <x:c r="AA43" s="523" t="inlineStr">
        <x:is>
          <x:t xml:space="preserve">Certificate — Corporation Commission of Okla to The Public (MIS25/30)</x:t>
        </x:is>
      </x:c>
      <x:c r="AB43" s="523" t="inlineStr">
        <x:is>
          <x:t xml:space="preserve">Needs source review: tract, grantor source</x:t>
        </x:is>
      </x:c>
    </x:row>
    <x:row r="44" s="523" customFormat="1" ht="60" customHeight="1">
      <x:c r="A44" s="513" t="inlineStr">
        <x:is>
          <x:t xml:space="preserve">1949-000809</x:t>
        </x:is>
      </x:c>
      <x:c r="B44" s="513" t="n"/>
      <x:c r="C44" s="513" t="inlineStr">
        <x:is>
          <x:t xml:space="preserve">Warranty Deed</x:t>
        </x:is>
      </x:c>
      <x:c r="D44" s="513" t="inlineStr">
        <x:is>
          <x:t xml:space="preserve">D59/246</x:t>
        </x:is>
      </x:c>
      <x:c r="E44" s="514" t="n">
        <x:v>18015</x:v>
      </x:c>
      <x:c r="F44" s="515" t="n">
        <x:v>18095</x:v>
      </x:c>
      <x:c r="G44" s="516" t="inlineStr">
        <x:is>
          <x:t xml:space="preserve">Lee Aulbert and Mollie Aulbert, HW</x:t>
        </x:is>
      </x:c>
      <x:c r="H44" s="516" t="inlineStr">
        <x:is>
          <x:t xml:space="preserve">Marvin G. Mitchell and Carrie Lou Mitchell, HW, JTWROS</x:t>
        </x:is>
      </x:c>
      <x:c r="I44" s="517" t="inlineStr">
        <x:is>
          <x:t xml:space="preserve">Lot 4, S/2 Lot 3, S/2 NE/4 SW/4, SE/4 SW/4 of 31-12N-24W, containing 115.34 acres, more or less</x:t>
        </x:is>
      </x:c>
      <x:c r="J44" s="112" t="inlineStr">
        <x:is>
          <x:t xml:space="preserve">ARTI
Chain note: source of title — MINERAL DEED 1925-000406 at D34/104, E. T. Gamble and Zella M. Gamble, HW to Leo Aulbert, covering S/2 SW/4, S/2 N/2 SW/4 of 31-12N-24W, interest stated: ARTI. Confirm source instrument before relying on this conveyance.</x:t>
        </x:is>
      </x:c>
      <x:c r="K44" s="518" t="e">
        <x:f>HYPERLINK("https://okcountyrecords.com/detail/roger+mills/1949-000809","OKCountyRecords: 1949-000809")</x:f>
      </x:c>
      <x:c r="L44" s="522" t="inlineStr">
        <x:is>
          <x:t xml:space="preserve">Mineral; basis Conv Amt(dec). Gross=tract-map basis.</x:t>
        </x:is>
      </x:c>
      <x:c r="M44" s="522" t="inlineStr">
        <x:is>
          <x:t xml:space="preserve">CURRENT OWNER SOURCE</x:t>
        </x:is>
      </x:c>
      <x:c r="N44" s="522" t="n"/>
      <x:c r="O44" s="522" t="inlineStr">
        <x:is>
          <x:t xml:space="preserve">MINERAL DEED</x:t>
        </x:is>
      </x:c>
      <x:c r="P44" s="523" t="inlineStr">
        <x:is>
          <x:t xml:space="preserve">Chain — deed (confirm minerals vs surface from instrument)</x:t>
        </x:is>
      </x:c>
      <x:c r="Q44" s="523" t="inlineStr">
        <x:is>
          <x:t xml:space="preserve">Yes</x:t>
        </x:is>
      </x:c>
      <x:c r="R44" s="523" t="inlineStr">
        <x:is>
          <x:t xml:space="preserve">No</x:t>
        </x:is>
      </x:c>
      <x:c r="S44" s="523" t="inlineStr">
        <x:is>
          <x:t xml:space="preserve">Review</x:t>
        </x:is>
      </x:c>
      <x:c r="T44" s="523" t="inlineStr">
        <x:is>
          <x:t xml:space="preserve">No</x:t>
        </x:is>
      </x:c>
      <x:c r="U44" s="523" t="inlineStr">
        <x:is>
          <x:t xml:space="preserve">Legal maps to 5, 7, 9; helper says 2, 3, 5, 6, 7</x:t>
        </x:is>
      </x:c>
      <x:c r="V44" s="523" t="inlineStr">
        <x:is>
          <x:t xml:space="preserve">Review</x:t>
        </x:is>
      </x:c>
      <x:c r="W44" s="523" t="inlineStr">
        <x:is>
          <x:t xml:space="preserve">Review — no exact prior-grantee match</x:t>
        </x:is>
      </x:c>
      <x:c r="X44" s="523" t="inlineStr">
        <x:is>
          <x:t xml:space="preserve">Yes — on Tract 2 owner list</x:t>
        </x:is>
      </x:c>
      <x:c r="Y44" s="523" t="inlineStr">
        <x:is>
          <x:t xml:space="preserve">Candidate 1 (helper — confirm from image)</x:t>
        </x:is>
      </x:c>
      <x:c r="Z44" s="523" t="inlineStr">
        <x:is>
          <x:t xml:space="preserve">Medium — helper value</x:t>
        </x:is>
      </x:c>
      <x:c r="AA44" s="523" t="inlineStr">
        <x:is>
          <x:t xml:space="preserve">Warranty Deed — Lee Aulbert and Mollie Aulbert to Marvin G. Mitchell and Carrie (D59/246)</x:t>
        </x:is>
      </x:c>
      <x:c r="AB44" s="523" t="inlineStr">
        <x:is>
          <x:t xml:space="preserve">Needs source review: tract, grantor source</x:t>
        </x:is>
      </x:c>
    </x:row>
    <x:row r="45" s="523" customFormat="1" ht="72" customHeight="1">
      <x:c r="A45" s="513" t="inlineStr">
        <x:is>
          <x:t xml:space="preserve">1949-003394</x:t>
        </x:is>
      </x:c>
      <x:c r="B45" s="513" t="n"/>
      <x:c r="C45" s="513" t="inlineStr">
        <x:is>
          <x:t xml:space="preserve">Quit Claim Deed</x:t>
        </x:is>
      </x:c>
      <x:c r="D45" s="513" t="inlineStr">
        <x:is>
          <x:t xml:space="preserve">QCD5/92</x:t>
        </x:is>
      </x:c>
      <x:c r="E45" s="514" t="n">
        <x:v>18056</x:v>
      </x:c>
      <x:c r="F45" s="515" t="n">
        <x:v>18084</x:v>
      </x:c>
      <x:c r="G45" s="516" t="inlineStr">
        <x:is>
          <x:t xml:space="preserve">A. H. Douglas</x:t>
        </x:is>
      </x:c>
      <x:c r="H45" s="516" t="inlineStr">
        <x:is>
          <x:t xml:space="preserve">Marvin G. Mitchell</x:t>
        </x:is>
      </x:c>
      <x:c r="I45" s="517" t="inlineStr">
        <x:is>
          <x:t xml:space="preserve">S/2 N/2 SW/4, SW/4 SW/4, SE/4 SW/4 of 31-12N-24W</x:t>
        </x:is>
      </x:c>
      <x:c r="J45" s="383" t="inlineStr">
        <x:is>
          <x:t xml:space="preserve">ARTI, deed is given to remove cloud on title of above land, because of affidavit filed iin Book 12 Miscl. Page 119
Chain note: source of title — ROOT / PATENT / HOMESTEAD I-1905-000993 at FR1/470, General Land Office to Leo Kinnett, covering E/2 NW/4, Lots 1, 2 of 31-12N-24W, interest stated: ARTI. Confirm source instrument before relying on this conveyance.</x:t>
        </x:is>
      </x:c>
      <x:c r="K45" s="518" t="e">
        <x:f>HYPERLINK("https://okcountyrecords.com/detail/roger+mills/1949-003394","OKCountyRecords: 1949-003394")</x:f>
      </x:c>
      <x:c r="L45" s="522" t="inlineStr">
        <x:is>
          <x:t xml:space="preserve">Mineral; basis Conv Amt(dec). Gross=tract-map basis.</x:t>
        </x:is>
      </x:c>
      <x:c r="M45" s="522" t="inlineStr">
        <x:is>
          <x:t xml:space="preserve">CURRENT OWNER SOURCE</x:t>
        </x:is>
      </x:c>
      <x:c r="N45" s="522" t="n"/>
      <x:c r="O45" s="522" t="inlineStr">
        <x:is>
          <x:t xml:space="preserve">MINERAL DEED</x:t>
        </x:is>
      </x:c>
      <x:c r="P45" s="523" t="inlineStr">
        <x:is>
          <x:t xml:space="preserve">Chain — deed (confirm minerals vs surface from instrument)</x:t>
        </x:is>
      </x:c>
      <x:c r="Q45" s="523" t="inlineStr">
        <x:is>
          <x:t xml:space="preserve">Yes</x:t>
        </x:is>
      </x:c>
      <x:c r="R45" s="523" t="inlineStr">
        <x:is>
          <x:t xml:space="preserve">No</x:t>
        </x:is>
      </x:c>
      <x:c r="S45" s="523" t="inlineStr">
        <x:is>
          <x:t xml:space="preserve">Review</x:t>
        </x:is>
      </x:c>
      <x:c r="T45" s="523" t="inlineStr">
        <x:is>
          <x:t xml:space="preserve">No</x:t>
        </x:is>
      </x:c>
      <x:c r="U45" s="523" t="inlineStr">
        <x:is>
          <x:t xml:space="preserve">Legal maps to 5, 9; helper says 5, 6, 7</x:t>
        </x:is>
      </x:c>
      <x:c r="V45" s="523" t="inlineStr">
        <x:is>
          <x:t xml:space="preserve">Review</x:t>
        </x:is>
      </x:c>
      <x:c r="W45" s="523" t="inlineStr">
        <x:is>
          <x:t xml:space="preserve">Review — no exact prior-grantee match</x:t>
        </x:is>
      </x:c>
      <x:c r="X45" s="523" t="inlineStr">
        <x:is>
          <x:t xml:space="preserve">Yes — on Tract 5 owner list</x:t>
        </x:is>
      </x:c>
      <x:c r="Y45" s="523" t="inlineStr">
        <x:is>
          <x:t xml:space="preserve">Candidate 1 (helper — confirm from image)</x:t>
        </x:is>
      </x:c>
      <x:c r="Z45" s="523" t="inlineStr">
        <x:is>
          <x:t xml:space="preserve">Medium — helper value</x:t>
        </x:is>
      </x:c>
      <x:c r="AA45" s="523" t="inlineStr">
        <x:is>
          <x:t xml:space="preserve">Quit Claim Deed — A. H. Douglas to Marvin G. Mitchell (QCD5/92)</x:t>
        </x:is>
      </x:c>
      <x:c r="AB45" s="523" t="inlineStr">
        <x:is>
          <x:t xml:space="preserve">Needs source review: tract, grantor source</x:t>
        </x:is>
      </x:c>
    </x:row>
    <x:row r="46" s="523" customFormat="1" ht="48" customHeight="1">
      <x:c r="A46" s="513" t="inlineStr">
        <x:is>
          <x:t xml:space="preserve">1949-001867</x:t>
        </x:is>
      </x:c>
      <x:c r="B46" s="513" t="n"/>
      <x:c r="C46" s="513" t="inlineStr">
        <x:is>
          <x:t xml:space="preserve">Mineral Deed</x:t>
        </x:is>
      </x:c>
      <x:c r="D46" s="513" t="inlineStr">
        <x:is>
          <x:t xml:space="preserve">D63/97</x:t>
        </x:is>
      </x:c>
      <x:c r="E46" s="514" t="n">
        <x:v>18170</x:v>
      </x:c>
      <x:c r="F46" s="515" t="n">
        <x:v>18170</x:v>
      </x:c>
      <x:c r="G46" s="516" t="inlineStr">
        <x:is>
          <x:t xml:space="preserve">H. M. Carter and Ethel Carter, HW</x:t>
        </x:is>
      </x:c>
      <x:c r="H46" s="516" t="inlineStr">
        <x:is>
          <x:t xml:space="preserve">G. C. Mitchel,
Glenn D. Mitchel</x:t>
        </x:is>
      </x:c>
      <x:c r="I46" s="517" t="inlineStr">
        <x:is>
          <x:t xml:space="preserve">E/2 NW/4, SE/4 NE/4, NE/4 SE/4, N/2 NE/4 SW/4 of 31-12N-24W, aol</x:t>
        </x:is>
      </x:c>
      <x:c r="J46" s="383" t="inlineStr">
        <x:is>
          <x:t xml:space="preserve">20/260 interest, being 20 NMA in 2 sections</x:t>
        </x:is>
      </x:c>
      <x:c r="K46" s="518" t="e">
        <x:f>HYPERLINK("https://okcountyrecords.com/detail/roger+mills/1949-001867","OKCountyRecords: 1949-001867")</x:f>
      </x:c>
      <x:c r="L46" s="522" t="inlineStr">
        <x:is>
          <x:t xml:space="preserve">Mineral; basis Conv Amt(dec). Gross=tract-map basis.</x:t>
        </x:is>
      </x:c>
      <x:c r="M46" s="522" t="inlineStr">
        <x:is>
          <x:t xml:space="preserve">CURRENT OWNER SOURCE</x:t>
        </x:is>
      </x:c>
      <x:c r="N46" s="522" t="inlineStr">
        <x:is>
          <x:t xml:space="preserve">Conveys 20 NMA per notes; conv. dec = 20/gross. Verify denominator/tract from image.</x:t>
        </x:is>
      </x:c>
      <x:c r="O46" s="522" t="inlineStr">
        <x:is>
          <x:t xml:space="preserve">OUTSIDE LANDS</x:t>
        </x:is>
      </x:c>
      <x:c r="P46" s="523" t="inlineStr">
        <x:is>
          <x:t xml:space="preserve">Chain — minerals</x:t>
        </x:is>
      </x:c>
      <x:c r="Q46" s="523" t="inlineStr">
        <x:is>
          <x:t xml:space="preserve">Yes</x:t>
        </x:is>
      </x:c>
      <x:c r="R46" s="523" t="inlineStr">
        <x:is>
          <x:t xml:space="preserve">No</x:t>
        </x:is>
      </x:c>
      <x:c r="S46" s="523" t="inlineStr">
        <x:is>
          <x:t xml:space="preserve">Yes</x:t>
        </x:is>
      </x:c>
      <x:c r="T46" s="523" t="inlineStr">
        <x:is>
          <x:t xml:space="preserve">No</x:t>
        </x:is>
      </x:c>
      <x:c r="U46" s="523" t="inlineStr">
        <x:is>
          <x:t xml:space="preserve">Legal maps to 1, 3, 4, 7, 10; helper says 1, 3, 4, 7, 8</x:t>
        </x:is>
      </x:c>
      <x:c r="V46" s="523" t="inlineStr">
        <x:is>
          <x:t xml:space="preserve">Review</x:t>
        </x:is>
      </x:c>
      <x:c r="W46" s="523" t="inlineStr">
        <x:is>
          <x:t xml:space="preserve">Review — no exact prior-grantee match</x:t>
        </x:is>
      </x:c>
      <x:c r="X46" s="523" t="inlineStr">
        <x:is>
          <x:t xml:space="preserve">Yes — on Tract 3 owner list</x:t>
        </x:is>
      </x:c>
      <x:c r="Y46" s="523" t="inlineStr">
        <x:is>
          <x:t xml:space="preserve">Candidate 0.0714285714285714 (helper — confirm from image)</x:t>
        </x:is>
      </x:c>
      <x:c r="Z46" s="523" t="inlineStr">
        <x:is>
          <x:t xml:space="preserve">Medium — helper value</x:t>
        </x:is>
      </x:c>
      <x:c r="AA46" s="523" t="inlineStr">
        <x:is>
          <x:t xml:space="preserve">Mineral Deed — H. M. Carter and Ethel Carter, to G. C. Mitchel, (D63/97)</x:t>
        </x:is>
      </x:c>
      <x:c r="AB46" s="523" t="inlineStr">
        <x:is>
          <x:t xml:space="preserve">Needs source review: tract, grantor source</x:t>
        </x:is>
      </x:c>
    </x:row>
    <x:row r="47" s="523" customFormat="1" ht="48" customHeight="1">
      <x:c r="A47" s="513" t="inlineStr">
        <x:is>
          <x:t xml:space="preserve">1950-000383</x:t>
        </x:is>
      </x:c>
      <x:c r="B47" s="513" t="n"/>
      <x:c r="C47" s="513" t="inlineStr">
        <x:is>
          <x:t xml:space="preserve">Warranty Deed</x:t>
        </x:is>
      </x:c>
      <x:c r="D47" s="513" t="inlineStr">
        <x:is>
          <x:t xml:space="preserve">D59/410</x:t>
        </x:is>
      </x:c>
      <x:c r="E47" s="515" t="n">
        <x:v>18420</x:v>
      </x:c>
      <x:c r="F47" s="515" t="n">
        <x:v>18420</x:v>
      </x:c>
      <x:c r="G47" s="516" t="inlineStr">
        <x:is>
          <x:t xml:space="preserve">H. M. Carter and Ethel Carter, HW</x:t>
        </x:is>
      </x:c>
      <x:c r="H47" s="516" t="inlineStr">
        <x:is>
          <x:t xml:space="preserve">Marvin G. Mitchell and Carrie Lou Mitchell, HW, JTWROS</x:t>
        </x:is>
      </x:c>
      <x:c r="I47" s="517" t="inlineStr">
        <x:is>
          <x:t xml:space="preserve">E/2 NW/4, SE/4 NE/4, NE/4 SE/4, N/2 NE/4 SW/4 of 31-12N-24W, aol</x:t>
        </x:is>
      </x:c>
      <x:c r="J47" s="112" t="inlineStr">
        <x:is>
          <x:t xml:space="preserve">ARTI, Except 1/2 of the ogms in the N/2 NE/4
Corrects deed dated 2/21/1949</x:t>
        </x:is>
      </x:c>
      <x:c r="K47" s="518" t="e">
        <x:f>HYPERLINK("https://okcountyrecords.com/detail/roger+mills/1950-000383","OKCountyRecords: 1950-000383")</x:f>
      </x:c>
      <x:c r="L47" s="522" t="inlineStr">
        <x:is>
          <x:t xml:space="preserve">Mineral; basis Conv Amt(dec). Gross=tract-map basis.</x:t>
        </x:is>
      </x:c>
      <x:c r="M47" s="522" t="inlineStr">
        <x:is>
          <x:t xml:space="preserve">CURRENT OWNER SOURCE</x:t>
        </x:is>
      </x:c>
      <x:c r="N47" s="522" t="n"/>
      <x:c r="O47" s="522" t="inlineStr">
        <x:is>
          <x:t xml:space="preserve">OUTSIDE LANDS</x:t>
        </x:is>
      </x:c>
      <x:c r="P47" s="523" t="inlineStr">
        <x:is>
          <x:t xml:space="preserve">Chain — deed (confirm minerals vs surface from instrument)</x:t>
        </x:is>
      </x:c>
      <x:c r="Q47" s="523" t="inlineStr">
        <x:is>
          <x:t xml:space="preserve">Yes</x:t>
        </x:is>
      </x:c>
      <x:c r="R47" s="523" t="inlineStr">
        <x:is>
          <x:t xml:space="preserve">No</x:t>
        </x:is>
      </x:c>
      <x:c r="S47" s="523" t="inlineStr">
        <x:is>
          <x:t xml:space="preserve">Review</x:t>
        </x:is>
      </x:c>
      <x:c r="T47" s="523" t="inlineStr">
        <x:is>
          <x:t xml:space="preserve">No</x:t>
        </x:is>
      </x:c>
      <x:c r="U47" s="523" t="inlineStr">
        <x:is>
          <x:t xml:space="preserve">Legal maps to 1, 3, 4, 7, 10; helper says 1, 3, 4, 7, 8</x:t>
        </x:is>
      </x:c>
      <x:c r="V47" s="523" t="inlineStr">
        <x:is>
          <x:t xml:space="preserve">Review</x:t>
        </x:is>
      </x:c>
      <x:c r="W47" s="523" t="inlineStr">
        <x:is>
          <x:t xml:space="preserve">Review — no exact prior-grantee match</x:t>
        </x:is>
      </x:c>
      <x:c r="X47" s="523" t="inlineStr">
        <x:is>
          <x:t xml:space="preserve">Yes — on Tract 1 owner list</x:t>
        </x:is>
      </x:c>
      <x:c r="Y47" s="523" t="inlineStr">
        <x:is>
          <x:t xml:space="preserve">Candidate 1 (helper — confirm from image)</x:t>
        </x:is>
      </x:c>
      <x:c r="Z47" s="523" t="inlineStr">
        <x:is>
          <x:t xml:space="preserve">Medium — helper value</x:t>
        </x:is>
      </x:c>
      <x:c r="AA47" s="523" t="inlineStr">
        <x:is>
          <x:t xml:space="preserve">Warranty Deed — H. M. Carter and Ethel Carter, to Marvin G. Mitchell and Carrie (D59/410)</x:t>
        </x:is>
      </x:c>
      <x:c r="AB47" s="523" t="inlineStr">
        <x:is>
          <x:t xml:space="preserve">Needs source review: tract, grantor source</x:t>
        </x:is>
      </x:c>
    </x:row>
    <x:row r="48" s="523" customFormat="1" ht="48" customHeight="1">
      <x:c r="A48" s="513" t="inlineStr">
        <x:is>
          <x:t xml:space="preserve">1953-000493</x:t>
        </x:is>
      </x:c>
      <x:c r="B48" s="525" t="n"/>
      <x:c r="C48" s="525" t="inlineStr">
        <x:is>
          <x:t xml:space="preserve">Warranty Deed</x:t>
        </x:is>
      </x:c>
      <x:c r="D48" s="525" t="inlineStr">
        <x:is>
          <x:t xml:space="preserve">D67/154</x:t>
        </x:is>
      </x:c>
      <x:c r="E48" s="526" t="n">
        <x:v>19396</x:v>
      </x:c>
      <x:c r="F48" s="515" t="n">
        <x:v>19396</x:v>
      </x:c>
      <x:c r="G48" s="524" t="inlineStr">
        <x:is>
          <x:t xml:space="preserve">Elvin J. Ridling and Dorothy Jean Ridling, HW</x:t>
        </x:is>
      </x:c>
      <x:c r="H48" s="524" t="inlineStr">
        <x:is>
          <x:t xml:space="preserve">M. G. Mitchell and Carrie Lou Mitchell, HW, JTWROS</x:t>
        </x:is>
      </x:c>
      <x:c r="I48" s="517" t="inlineStr">
        <x:is>
          <x:t xml:space="preserve">E/2 NW/4, SE/4 NE/4, NE/4 SE/4, N/2 NE/4 SW/4, Lot 4, S/2 SW/4, SE/4 SW/4 of 31-12N-24W</x:t>
        </x:is>
      </x:c>
      <x:c r="J48" s="112" t="inlineStr">
        <x:is>
          <x:t xml:space="preserve">ARTI
Chain note: no source of title into Elvin J. Ridling and Dorothy Jean Ridling, HW located of record. Confirm ownership before crediting this conveyance.</x:t>
        </x:is>
      </x:c>
      <x:c r="K48" s="518" t="e">
        <x:f>HYPERLINK("https://okcountyrecords.com/detail/roger+mills/1953-000493","OKCountyRecords: 1953-000493")</x:f>
      </x:c>
      <x:c r="L48" s="522" t="inlineStr">
        <x:is>
          <x:t xml:space="preserve">Mineral; basis Conv Amt(dec). Gross=tract-map basis.</x:t>
        </x:is>
      </x:c>
      <x:c r="M48" s="522" t="inlineStr">
        <x:is>
          <x:t xml:space="preserve">CURRENT OWNER SOURCE</x:t>
        </x:is>
      </x:c>
      <x:c r="N48" s="522" t="n"/>
      <x:c r="O48" s="522" t="inlineStr">
        <x:is>
          <x:t xml:space="preserve">EASEMENT</x:t>
        </x:is>
      </x:c>
      <x:c r="P48" s="523" t="inlineStr">
        <x:is>
          <x:t xml:space="preserve">Chain — deed (confirm minerals vs surface from instrument)</x:t>
        </x:is>
      </x:c>
      <x:c r="Q48" s="523" t="inlineStr">
        <x:is>
          <x:t xml:space="preserve">Yes</x:t>
        </x:is>
      </x:c>
      <x:c r="R48" s="523" t="inlineStr">
        <x:is>
          <x:t xml:space="preserve">No</x:t>
        </x:is>
      </x:c>
      <x:c r="S48" s="523" t="inlineStr">
        <x:is>
          <x:t xml:space="preserve">Review</x:t>
        </x:is>
      </x:c>
      <x:c r="T48" s="523" t="inlineStr">
        <x:is>
          <x:t xml:space="preserve">No</x:t>
        </x:is>
      </x:c>
      <x:c r="U48" s="523" t="inlineStr">
        <x:is>
          <x:t xml:space="preserve">Legal maps to 1, 3, 4, 5, 7, 9, 10; helper says 1, 3, 4, 5, 6, 7, 8</x:t>
        </x:is>
      </x:c>
      <x:c r="V48" s="523" t="inlineStr">
        <x:is>
          <x:t xml:space="preserve">Review</x:t>
        </x:is>
      </x:c>
      <x:c r="W48" s="523" t="inlineStr">
        <x:is>
          <x:t xml:space="preserve">No — no source located</x:t>
        </x:is>
      </x:c>
      <x:c r="X48" s="523" t="inlineStr">
        <x:is>
          <x:t xml:space="preserve">Yes — on Tract 3 owner list</x:t>
        </x:is>
      </x:c>
      <x:c r="Y48" s="523" t="inlineStr">
        <x:is>
          <x:t xml:space="preserve">Candidate 1 (helper — confirm from image)</x:t>
        </x:is>
      </x:c>
      <x:c r="Z48" s="523" t="inlineStr">
        <x:is>
          <x:t xml:space="preserve">Medium — helper value</x:t>
        </x:is>
      </x:c>
      <x:c r="AA48" s="523" t="inlineStr">
        <x:is>
          <x:t xml:space="preserve">Warranty Deed — Elvin J. Ridling and Dorothy J to M. G. Mitchell and Carrie Lou (D67/154)</x:t>
        </x:is>
      </x:c>
      <x:c r="AB48" s="523" t="inlineStr">
        <x:is>
          <x:t xml:space="preserve">Needs source review: tract, no source of title</x:t>
        </x:is>
      </x:c>
    </x:row>
    <x:row r="49" s="523" customFormat="1" ht="48" customHeight="1">
      <x:c r="A49" s="513" t="inlineStr">
        <x:is>
          <x:t xml:space="preserve">1953-000498</x:t>
        </x:is>
      </x:c>
      <x:c r="B49" s="513" t="n"/>
      <x:c r="C49" s="513" t="inlineStr">
        <x:is>
          <x:t xml:space="preserve">Warranty Deed</x:t>
        </x:is>
      </x:c>
      <x:c r="D49" s="513" t="inlineStr">
        <x:is>
          <x:t xml:space="preserve">D67/159</x:t>
        </x:is>
      </x:c>
      <x:c r="E49" s="514" t="n">
        <x:v>19414</x:v>
      </x:c>
      <x:c r="F49" s="515" t="n">
        <x:v>19417</x:v>
      </x:c>
      <x:c r="G49" s="516" t="inlineStr">
        <x:is>
          <x:t xml:space="preserve">Marvin G. Mitchell and Carrie Lou Mitchell, HW</x:t>
        </x:is>
      </x:c>
      <x:c r="H49" s="516" t="inlineStr">
        <x:is>
          <x:t xml:space="preserve">W. L. Ayers and Hazel Ayers, HW, JTWROS</x:t>
        </x:is>
      </x:c>
      <x:c r="I49" s="517" t="inlineStr">
        <x:is>
          <x:t xml:space="preserve">Lot 4, S/2 Lot 3, S/2 NE/4 SW/4, SE/4 SW/4 of 31-12N-24W, containing 115.34 acres, more or less</x:t>
        </x:is>
      </x:c>
      <x:c r="J49" s="112" t="inlineStr">
        <x:is>
          <x:t xml:space="preserve">except the first parties specifically reserve from this conveyance all mineral interest except an undivided 75 acres of said mineral interest which is specifically transferred to the second parties under this conveyance.</x:t>
        </x:is>
      </x:c>
      <x:c r="K49" s="518" t="e">
        <x:f>HYPERLINK("https://okcountyrecords.com/detail/roger+mills/1953-000498","OKCountyRecords: 1953-000498")</x:f>
      </x:c>
      <x:c r="L49" s="522" t="inlineStr">
        <x:is>
          <x:t xml:space="preserve">Mineral; basis Conv Amt(dec). Gross=tract-map basis.</x:t>
        </x:is>
      </x:c>
      <x:c r="M49" s="522" t="inlineStr">
        <x:is>
          <x:t xml:space="preserve">REVIEW</x:t>
        </x:is>
      </x:c>
      <x:c r="N49" s="522" t="inlineStr">
        <x:is>
          <x:t xml:space="preserve">Conveys 75 NMA per notes; conv. dec = 75/gross. Verify denominator/tract from image.</x:t>
        </x:is>
      </x:c>
      <x:c r="O49" s="522" t="inlineStr">
        <x:is>
          <x:t xml:space="preserve">MINERAL DEED</x:t>
        </x:is>
      </x:c>
      <x:c r="P49" s="523" t="inlineStr">
        <x:is>
          <x:t xml:space="preserve">Chain — deed (confirm minerals vs surface from instrument)</x:t>
        </x:is>
      </x:c>
      <x:c r="Q49" s="523" t="inlineStr">
        <x:is>
          <x:t xml:space="preserve">Yes</x:t>
        </x:is>
      </x:c>
      <x:c r="R49" s="523" t="inlineStr">
        <x:is>
          <x:t xml:space="preserve">No</x:t>
        </x:is>
      </x:c>
      <x:c r="S49" s="523" t="inlineStr">
        <x:is>
          <x:t xml:space="preserve">Review</x:t>
        </x:is>
      </x:c>
      <x:c r="T49" s="523" t="inlineStr">
        <x:is>
          <x:t xml:space="preserve">No</x:t>
        </x:is>
      </x:c>
      <x:c r="U49" s="523" t="inlineStr">
        <x:is>
          <x:t xml:space="preserve">Legal maps to 5, 7, 9; helper says 2, 3, 5, 6, 7</x:t>
        </x:is>
      </x:c>
      <x:c r="V49" s="523" t="inlineStr">
        <x:is>
          <x:t xml:space="preserve">Review</x:t>
        </x:is>
      </x:c>
      <x:c r="W49" s="523" t="inlineStr">
        <x:is>
          <x:t xml:space="preserve">Probable — name-normalized match to Runsheet 47 grantee; confirm</x:t>
        </x:is>
      </x:c>
      <x:c r="X49" s="523" t="inlineStr">
        <x:is>
          <x:t xml:space="preserve">Review</x:t>
        </x:is>
      </x:c>
      <x:c r="Y49" s="523" t="inlineStr">
        <x:is>
          <x:t xml:space="preserve">Candidate 0.170454545454545 (helper — confirm from image)</x:t>
        </x:is>
      </x:c>
      <x:c r="Z49" s="523" t="inlineStr">
        <x:is>
          <x:t xml:space="preserve">Medium — helper value</x:t>
        </x:is>
      </x:c>
      <x:c r="AA49" s="523" t="inlineStr">
        <x:is>
          <x:t xml:space="preserve">Warranty Deed — Marvin G. Mitchell and Carrie to W. L. Ayers and Hazel Ayers, H (D67/159)</x:t>
        </x:is>
      </x:c>
      <x:c r="AB49" s="523" t="inlineStr">
        <x:is>
          <x:t xml:space="preserve">Needs source review: tract, grantor source</x:t>
        </x:is>
      </x:c>
    </x:row>
    <x:row r="50" s="523" customFormat="1" ht="60" customHeight="1">
      <x:c r="A50" s="513" t="inlineStr">
        <x:is>
          <x:t xml:space="preserve">1957-001086</x:t>
        </x:is>
      </x:c>
      <x:c r="B50" s="513" t="n"/>
      <x:c r="C50" s="513" t="inlineStr">
        <x:is>
          <x:t xml:space="preserve">Contract</x:t>
        </x:is>
      </x:c>
      <x:c r="D50" s="513" t="inlineStr">
        <x:is>
          <x:t xml:space="preserve">MIS27/380</x:t>
        </x:is>
      </x:c>
      <x:c r="E50" s="514" t="n">
        <x:v>20844</x:v>
      </x:c>
      <x:c r="F50" s="515" t="n">
        <x:v>20876</x:v>
      </x:c>
      <x:c r="G50" s="516" t="inlineStr">
        <x:is>
          <x:t xml:space="preserve">W. L. Ayers</x:t>
        </x:is>
      </x:c>
      <x:c r="H50" s="516" t="inlineStr">
        <x:is>
          <x:t xml:space="preserve">Clara Mae Bryan,
George M. Bryan</x:t>
        </x:is>
      </x:c>
      <x:c r="I50" s="524" t="inlineStr">
        <x:is>
          <x:t xml:space="preserve">31-12N-24W, aol</x:t>
        </x:is>
      </x:c>
      <x:c r="J50" s="112" t="inlineStr">
        <x:is>
          <x:t xml:space="preserve">Contract for sale of real estate (1/24/1957): W. L. Ayers → George M. &amp; Clara Mae Bryan; SURFACE rights only to ~340 ac (Secs 30 &amp; 31) plus 115.34 ac (lots &amp; SE/4 SW/4 Sec 31); price $17,782 — assume $15,080 M. G. Mitchell mortgage + $2,700 to the Ayers; escrow with S. L. Simpkins. See recorded instrument for full text.</x:t>
        </x:is>
      </x:c>
      <x:c r="K50" s="518" t="e">
        <x:f>HYPERLINK("https://okcountyrecords.com/detail/roger+mills/1957-001086","OKCountyRecords: 1957-001086")</x:f>
      </x:c>
      <x:c r="L50" s="522" t="inlineStr">
        <x:is>
          <x:t xml:space="preserve">Other (non-mineral; excluded from mineral NMA). All-section coverage. Gross=tract-map basis.</x:t>
        </x:is>
      </x:c>
      <x:c r="M50" s="522" t="n"/>
      <x:c r="N50" s="522" t="n"/>
      <x:c r="O50" s="522" t="inlineStr">
        <x:is>
          <x:t xml:space="preserve">OUTSIDE LANDS</x:t>
        </x:is>
      </x:c>
      <x:c r="P50" s="523" t="inlineStr">
        <x:is>
          <x:t xml:space="preserve">Review — read instrument (type unclear)</x:t>
        </x:is>
      </x:c>
      <x:c r="Q50" s="523" t="inlineStr">
        <x:is>
          <x:t xml:space="preserve">Review</x:t>
        </x:is>
      </x:c>
      <x:c r="R50" s="523" t="inlineStr">
        <x:is>
          <x:t xml:space="preserve">Review</x:t>
        </x:is>
      </x:c>
      <x:c r="S50" s="523" t="inlineStr">
        <x:is>
          <x:t xml:space="preserve">Review</x:t>
        </x:is>
      </x:c>
      <x:c r="T50" s="523" t="inlineStr">
        <x:is>
          <x:t xml:space="preserve">Review</x:t>
        </x:is>
      </x:c>
      <x:c r="U50" s="523" t="inlineStr">
        <x:is>
          <x:t xml:space="preserve">Yes: 1, 8 (broad legal)</x:t>
        </x:is>
      </x:c>
      <x:c r="V50" s="523" t="inlineStr">
        <x:is>
          <x:t xml:space="preserve">Medium</x:t>
        </x:is>
      </x:c>
      <x:c r="W50" s="523" t="inlineStr">
        <x:is>
          <x:t xml:space="preserve">Review — no exact prior-grantee match</x:t>
        </x:is>
      </x:c>
      <x:c r="X50" s="523" t="inlineStr">
        <x:is>
          <x:t xml:space="preserve">Review</x:t>
        </x:is>
      </x:c>
      <x:c r="Y50" s="523" t="inlineStr">
        <x:is>
          <x:t xml:space="preserve">Interest amount needs review</x:t>
        </x:is>
      </x:c>
      <x:c r="Z50" s="523" t="inlineStr">
        <x:is>
          <x:t xml:space="preserve">Review</x:t>
        </x:is>
      </x:c>
      <x:c r="AA50" s="523" t="inlineStr">
        <x:is>
          <x:t xml:space="preserve">Contract — W. L. Ayers to Clara Mae Bryan, (MIS27/380)</x:t>
        </x:is>
      </x:c>
      <x:c r="AB50" s="523" t="inlineStr">
        <x:is>
          <x:t xml:space="preserve">Needs source review: grantor source, interest amount, instrument type</x:t>
        </x:is>
      </x:c>
    </x:row>
    <x:row r="51" s="523" customFormat="1" ht="60" customHeight="1">
      <x:c r="A51" s="513" t="inlineStr">
        <x:is>
          <x:t xml:space="preserve">1960-000414</x:t>
        </x:is>
      </x:c>
      <x:c r="B51" s="513" t="n"/>
      <x:c r="C51" s="513" t="inlineStr">
        <x:is>
          <x:t xml:space="preserve">Designation of Properties Transferred by Merger Magnolia Petroleum Company to Socony Mobil Oil Company, INC.</x:t>
        </x:is>
      </x:c>
      <x:c r="D51" s="513" t="inlineStr">
        <x:is>
          <x:t xml:space="preserve">MIS32/144</x:t>
        </x:is>
      </x:c>
      <x:c r="E51" s="514" t="n">
        <x:v>21957</x:v>
      </x:c>
      <x:c r="F51" s="515" t="n">
        <x:v>21969</x:v>
      </x:c>
      <x:c r="G51" s="516" t="inlineStr">
        <x:is>
          <x:t xml:space="preserve">Magnolia Petroleum,
Magnolia Petroleum Co,
Socony Mobil Oil Co.</x:t>
        </x:is>
      </x:c>
      <x:c r="H51" s="516" t="inlineStr">
        <x:is>
          <x:t xml:space="preserve">The Public</x:t>
        </x:is>
      </x:c>
      <x:c r="I51" s="524" t="inlineStr">
        <x:is>
          <x:t xml:space="preserve">31-12N-24W, aol</x:t>
        </x:is>
      </x:c>
      <x:c r="J51" s="112" t="inlineStr">
        <x:is>
          <x:t xml:space="preserve">Articles/Memorandum of Merger: Magnolia Petroleum Co. (TX) merged into Socony Mobil Oil Company, Inc. (NY), effective 9/30/1959; by operation of law all Magnolia-owned property (described in Exhibit A) vested in the surviving corporation, Socony Mobil; recorded to reflect the title change on county records. See recorded instrument for full text.</x:t>
        </x:is>
      </x:c>
      <x:c r="K51" s="518" t="e">
        <x:f>HYPERLINK("https://okcountyrecords.com/detail/roger+mills/1960-000414","OKCountyRecords: 1960-000414")</x:f>
      </x:c>
      <x:c r="L51" s="522" t="inlineStr">
        <x:is>
          <x:t xml:space="preserve">Mineral; basis Conv Amt(dec). All-section coverage. Gross=tract-map basis.</x:t>
        </x:is>
      </x:c>
      <x:c r="M51" s="522" t="inlineStr">
        <x:is>
          <x:t xml:space="preserve">OK</x:t>
        </x:is>
      </x:c>
      <x:c r="N51" s="522" t="inlineStr">
        <x:is>
          <x:t xml:space="preserve">Non-conveying per The Public rule; Magnolia→Socony merger notice (verify if operative deed exists).</x:t>
        </x:is>
      </x:c>
      <x:c r="O51" s="522" t="inlineStr">
        <x:is>
          <x:t xml:space="preserve">OUTSIDE LANDS</x:t>
        </x:is>
      </x:c>
      <x:c r="P51" s="523" t="inlineStr">
        <x:is>
          <x:t xml:space="preserve">Chain — title support (succession/entity/probate)</x:t>
        </x:is>
      </x:c>
      <x:c r="Q51" s="523" t="inlineStr">
        <x:is>
          <x:t xml:space="preserve">Yes</x:t>
        </x:is>
      </x:c>
      <x:c r="R51" s="523" t="inlineStr">
        <x:is>
          <x:t xml:space="preserve">No</x:t>
        </x:is>
      </x:c>
      <x:c r="S51" s="523" t="inlineStr">
        <x:is>
          <x:t xml:space="preserve">Yes</x:t>
        </x:is>
      </x:c>
      <x:c r="T51" s="523" t="inlineStr">
        <x:is>
          <x:t xml:space="preserve">No</x:t>
        </x:is>
      </x:c>
      <x:c r="U51" s="523" t="inlineStr">
        <x:is>
          <x:t xml:space="preserve">Yes: 1, 8 (broad legal)</x:t>
        </x:is>
      </x:c>
      <x:c r="V51" s="523" t="inlineStr">
        <x:is>
          <x:t xml:space="preserve">Medium</x:t>
        </x:is>
      </x:c>
      <x:c r="W51" s="523" t="inlineStr">
        <x:is>
          <x:t xml:space="preserve">Review — no exact prior-grantee match</x:t>
        </x:is>
      </x:c>
      <x:c r="X51" s="523" t="inlineStr">
        <x:is>
          <x:t xml:space="preserve">Review</x:t>
        </x:is>
      </x:c>
      <x:c r="Y51" s="523" t="inlineStr">
        <x:is>
          <x:t xml:space="preserve">Interest amount needs review</x:t>
        </x:is>
      </x:c>
      <x:c r="Z51" s="523" t="inlineStr">
        <x:is>
          <x:t xml:space="preserve">Review</x:t>
        </x:is>
      </x:c>
      <x:c r="AA51" s="523" t="inlineStr">
        <x:is>
          <x:t xml:space="preserve">Designation of Properties Transf — Magnolia Petroleum, to The Public (MIS32/144)</x:t>
        </x:is>
      </x:c>
      <x:c r="AB51" s="523" t="inlineStr">
        <x:is>
          <x:t xml:space="preserve">Needs source review: grantor source, interest amount</x:t>
        </x:is>
      </x:c>
    </x:row>
    <x:row r="52" s="523" customFormat="1" ht="48" customHeight="1">
      <x:c r="A52" s="513" t="inlineStr">
        <x:is>
          <x:t xml:space="preserve">1962-001145</x:t>
        </x:is>
      </x:c>
      <x:c r="B52" s="513" t="n"/>
      <x:c r="C52" s="513" t="inlineStr">
        <x:is>
          <x:t xml:space="preserve">Mineral Deed</x:t>
        </x:is>
      </x:c>
      <x:c r="D52" s="513" t="inlineStr">
        <x:is>
          <x:t xml:space="preserve">MIS47/169</x:t>
        </x:is>
      </x:c>
      <x:c r="E52" s="514" t="n">
        <x:v>22906</x:v>
      </x:c>
      <x:c r="F52" s="515" t="n">
        <x:v>22906</x:v>
      </x:c>
      <x:c r="G52" s="516" t="inlineStr">
        <x:is>
          <x:t xml:space="preserve">Robert O. Lister, Jr. and Marie Lister, HW</x:t>
        </x:is>
      </x:c>
      <x:c r="H52" s="516" t="inlineStr">
        <x:is>
          <x:t xml:space="preserve">Carrie Lou Mitchell</x:t>
        </x:is>
      </x:c>
      <x:c r="I52" s="524" t="inlineStr">
        <x:is>
          <x:t xml:space="preserve">Lot 4, S/2 of Lot 3, S/2 NE/4 SW/4, SE/4 SW/4 of 31-12N-24W</x:t>
        </x:is>
      </x:c>
      <x:c r="J52" s="112" t="inlineStr">
        <x:is>
          <x:t xml:space="preserve">55/115.34 interest, 55 NMA
Chain note: no source of title into Robert O. Lister, Jr. and Marie Lister, HW located of record. Confirm ownership before crediting this conveyance.</x:t>
        </x:is>
      </x:c>
      <x:c r="K52" s="518" t="e">
        <x:f>HYPERLINK("https://okcountyrecords.com/detail/roger+mills/1962-001145","OKCountyRecords: 1962-001145")</x:f>
      </x:c>
      <x:c r="L52" s="522" t="inlineStr">
        <x:is>
          <x:t xml:space="preserve">Mineral; basis Conv Amt(dec). Gross=tract-map basis.</x:t>
        </x:is>
      </x:c>
      <x:c r="M52" s="522" t="inlineStr">
        <x:is>
          <x:t xml:space="preserve">CURRENT OWNER SOURCE</x:t>
        </x:is>
      </x:c>
      <x:c r="N52" s="522" t="inlineStr">
        <x:is>
          <x:t xml:space="preserve">Conveys 55 NMA per notes; conv. dec = 55/gross. Verify denominator/tract from image.</x:t>
        </x:is>
      </x:c>
      <x:c r="O52" s="522" t="inlineStr">
        <x:is>
          <x:t xml:space="preserve">EASEMENT</x:t>
        </x:is>
      </x:c>
      <x:c r="P52" s="523" t="inlineStr">
        <x:is>
          <x:t xml:space="preserve">Chain — minerals</x:t>
        </x:is>
      </x:c>
      <x:c r="Q52" s="523" t="inlineStr">
        <x:is>
          <x:t xml:space="preserve">Yes</x:t>
        </x:is>
      </x:c>
      <x:c r="R52" s="523" t="inlineStr">
        <x:is>
          <x:t xml:space="preserve">No</x:t>
        </x:is>
      </x:c>
      <x:c r="S52" s="523" t="inlineStr">
        <x:is>
          <x:t xml:space="preserve">Yes</x:t>
        </x:is>
      </x:c>
      <x:c r="T52" s="523" t="inlineStr">
        <x:is>
          <x:t xml:space="preserve">No</x:t>
        </x:is>
      </x:c>
      <x:c r="U52" s="523" t="inlineStr">
        <x:is>
          <x:t xml:space="preserve">Legal maps to 5, 7, 9; helper says 2, 3, 5, 6, 7</x:t>
        </x:is>
      </x:c>
      <x:c r="V52" s="523" t="inlineStr">
        <x:is>
          <x:t xml:space="preserve">Review</x:t>
        </x:is>
      </x:c>
      <x:c r="W52" s="523" t="inlineStr">
        <x:is>
          <x:t xml:space="preserve">No — no source located</x:t>
        </x:is>
      </x:c>
      <x:c r="X52" s="523" t="inlineStr">
        <x:is>
          <x:t xml:space="preserve">Yes — on Tract 3 owner list</x:t>
        </x:is>
      </x:c>
      <x:c r="Y52" s="523" t="inlineStr">
        <x:is>
          <x:t xml:space="preserve">Candidate 0.125 (helper — confirm from image)</x:t>
        </x:is>
      </x:c>
      <x:c r="Z52" s="523" t="inlineStr">
        <x:is>
          <x:t xml:space="preserve">Medium — helper value</x:t>
        </x:is>
      </x:c>
      <x:c r="AA52" s="523" t="inlineStr">
        <x:is>
          <x:t xml:space="preserve">Mineral Deed — Robert O. Lister, Jr. and Mari to Carrie Lou Mitchell (MIS47/169)</x:t>
        </x:is>
      </x:c>
      <x:c r="AB52" s="523" t="inlineStr">
        <x:is>
          <x:t xml:space="preserve">Needs source review: tract, no source of title</x:t>
        </x:is>
      </x:c>
    </x:row>
    <x:row r="53" s="523" customFormat="1" ht="48" customHeight="1">
      <x:c r="A53" s="513" t="inlineStr">
        <x:is>
          <x:t xml:space="preserve">1962-001141</x:t>
        </x:is>
      </x:c>
      <x:c r="B53" s="513" t="n"/>
      <x:c r="C53" s="513" t="inlineStr">
        <x:is>
          <x:t xml:space="preserve">Mineral Deed</x:t>
        </x:is>
      </x:c>
      <x:c r="D53" s="513" t="inlineStr">
        <x:is>
          <x:t xml:space="preserve">MIS47/164</x:t>
        </x:is>
      </x:c>
      <x:c r="E53" s="514" t="n">
        <x:v>22906</x:v>
      </x:c>
      <x:c r="F53" s="515" t="n">
        <x:v>22906</x:v>
      </x:c>
      <x:c r="G53" s="516" t="inlineStr">
        <x:is>
          <x:t xml:space="preserve">W. L. Ayers and Hazel Ayers, HW</x:t>
        </x:is>
      </x:c>
      <x:c r="H53" s="516" t="inlineStr">
        <x:is>
          <x:t xml:space="preserve">Robert O. Lister, Jr.</x:t>
        </x:is>
      </x:c>
      <x:c r="I53" s="517" t="inlineStr">
        <x:is>
          <x:t xml:space="preserve">Lot 4, S/2 of Lot 3, S/2 NE/4 SW/4, SE/4 SW/4 of 31-12N-24W</x:t>
        </x:is>
      </x:c>
      <x:c r="J53" s="383" t="inlineStr">
        <x:is>
          <x:t xml:space="preserve">75/115.34 interest, 75 NMA</x:t>
        </x:is>
      </x:c>
      <x:c r="K53" s="518" t="e">
        <x:f>HYPERLINK("https://okcountyrecords.com/detail/roger+mills/1962-001141","OKCountyRecords: 1962-001141")</x:f>
      </x:c>
      <x:c r="L53" s="522" t="inlineStr">
        <x:is>
          <x:t xml:space="preserve">Mineral; basis Conv Amt(dec). Gross=tract-map basis.</x:t>
        </x:is>
      </x:c>
      <x:c r="M53" s="522" t="inlineStr">
        <x:is>
          <x:t xml:space="preserve">CURRENT OWNER SOURCE</x:t>
        </x:is>
      </x:c>
      <x:c r="N53" s="522" t="inlineStr">
        <x:is>
          <x:t xml:space="preserve">Conveys 75 NMA per notes; conv. dec = 75/gross. Verify denominator/tract from image.</x:t>
        </x:is>
      </x:c>
      <x:c r="O53" s="522" t="inlineStr">
        <x:is>
          <x:t xml:space="preserve">MINERAL DEED</x:t>
        </x:is>
      </x:c>
      <x:c r="P53" s="523" t="inlineStr">
        <x:is>
          <x:t xml:space="preserve">Chain — minerals</x:t>
        </x:is>
      </x:c>
      <x:c r="Q53" s="523" t="inlineStr">
        <x:is>
          <x:t xml:space="preserve">Yes</x:t>
        </x:is>
      </x:c>
      <x:c r="R53" s="523" t="inlineStr">
        <x:is>
          <x:t xml:space="preserve">No</x:t>
        </x:is>
      </x:c>
      <x:c r="S53" s="523" t="inlineStr">
        <x:is>
          <x:t xml:space="preserve">Yes</x:t>
        </x:is>
      </x:c>
      <x:c r="T53" s="523" t="inlineStr">
        <x:is>
          <x:t xml:space="preserve">No</x:t>
        </x:is>
      </x:c>
      <x:c r="U53" s="523" t="inlineStr">
        <x:is>
          <x:t xml:space="preserve">Legal maps to 5, 7, 9; helper says 2, 3, 5, 6, 7</x:t>
        </x:is>
      </x:c>
      <x:c r="V53" s="523" t="inlineStr">
        <x:is>
          <x:t xml:space="preserve">Review</x:t>
        </x:is>
      </x:c>
      <x:c r="W53" s="523" t="inlineStr">
        <x:is>
          <x:t xml:space="preserve">Review — no exact prior-grantee match</x:t>
        </x:is>
      </x:c>
      <x:c r="X53" s="523" t="inlineStr">
        <x:is>
          <x:t xml:space="preserve">Yes — on Tract 3 owner list</x:t>
        </x:is>
      </x:c>
      <x:c r="Y53" s="523" t="inlineStr">
        <x:is>
          <x:t xml:space="preserve">Candidate 0.170454545454545 (helper — confirm from image)</x:t>
        </x:is>
      </x:c>
      <x:c r="Z53" s="523" t="inlineStr">
        <x:is>
          <x:t xml:space="preserve">Medium — helper value</x:t>
        </x:is>
      </x:c>
      <x:c r="AA53" s="523" t="inlineStr">
        <x:is>
          <x:t xml:space="preserve">Mineral Deed — W. L. Ayers and Hazel Ayers, H to Robert O. Lister, Jr. (MIS47/164)</x:t>
        </x:is>
      </x:c>
      <x:c r="AB53" s="523" t="inlineStr">
        <x:is>
          <x:t xml:space="preserve">Needs source review: tract, grantor source</x:t>
        </x:is>
      </x:c>
    </x:row>
    <x:row r="54" s="523" customFormat="1" ht="48" customHeight="1">
      <x:c r="A54" s="513" t="inlineStr">
        <x:is>
          <x:t xml:space="preserve">1962-001389</x:t>
        </x:is>
      </x:c>
      <x:c r="B54" s="513" t="n"/>
      <x:c r="C54" s="513" t="inlineStr">
        <x:is>
          <x:t xml:space="preserve">Mineral Deed</x:t>
        </x:is>
      </x:c>
      <x:c r="D54" s="513" t="inlineStr">
        <x:is>
          <x:t xml:space="preserve">MIS47/558</x:t>
        </x:is>
      </x:c>
      <x:c r="E54" s="514" t="n">
        <x:v>22938</x:v>
      </x:c>
      <x:c r="F54" s="515" t="n">
        <x:v>22938</x:v>
      </x:c>
      <x:c r="G54" s="516" t="inlineStr">
        <x:is>
          <x:t xml:space="preserve">Robert O. Lister, Jr.</x:t>
        </x:is>
      </x:c>
      <x:c r="H54" s="516" t="inlineStr">
        <x:is>
          <x:t xml:space="preserve">A. C. Campbell</x:t>
        </x:is>
      </x:c>
      <x:c r="I54" s="517" t="inlineStr">
        <x:is>
          <x:t xml:space="preserve">Lot 4, S/2 of Lot 3, S/2 NE/4 SW/4, SE/4 SW/4 of 31-12N-24W</x:t>
        </x:is>
      </x:c>
      <x:c r="J54" s="112" t="inlineStr">
        <x:is>
          <x:t xml:space="preserve">10/115.34 interest, 10 NMA</x:t>
        </x:is>
      </x:c>
      <x:c r="K54" s="518" t="e">
        <x:f>HYPERLINK("https://okcountyrecords.com/detail/roger+mills/1962-001389","OKCountyRecords: 1962-001389")</x:f>
      </x:c>
      <x:c r="L54" s="522" t="inlineStr">
        <x:is>
          <x:t xml:space="preserve">Mineral; basis Conv Amt(dec). Gross=tract-map basis.</x:t>
        </x:is>
      </x:c>
      <x:c r="M54" s="522" t="inlineStr">
        <x:is>
          <x:t xml:space="preserve">CURRENT OWNER SOURCE</x:t>
        </x:is>
      </x:c>
      <x:c r="N54" s="522" t="inlineStr">
        <x:is>
          <x:t xml:space="preserve">Conveys 10 NMA per notes; conv. dec = 10/gross. Verify denominator/tract from image.</x:t>
        </x:is>
      </x:c>
      <x:c r="O54" s="522" t="inlineStr">
        <x:is>
          <x:t xml:space="preserve">MINERAL DEED</x:t>
        </x:is>
      </x:c>
      <x:c r="P54" s="523" t="inlineStr">
        <x:is>
          <x:t xml:space="preserve">Chain — minerals</x:t>
        </x:is>
      </x:c>
      <x:c r="Q54" s="523" t="inlineStr">
        <x:is>
          <x:t xml:space="preserve">Yes</x:t>
        </x:is>
      </x:c>
      <x:c r="R54" s="523" t="inlineStr">
        <x:is>
          <x:t xml:space="preserve">No</x:t>
        </x:is>
      </x:c>
      <x:c r="S54" s="523" t="inlineStr">
        <x:is>
          <x:t xml:space="preserve">Yes</x:t>
        </x:is>
      </x:c>
      <x:c r="T54" s="523" t="inlineStr">
        <x:is>
          <x:t xml:space="preserve">No</x:t>
        </x:is>
      </x:c>
      <x:c r="U54" s="523" t="inlineStr">
        <x:is>
          <x:t xml:space="preserve">Legal maps to 5, 7, 9; helper says 2, 3, 5, 6, 7</x:t>
        </x:is>
      </x:c>
      <x:c r="V54" s="523" t="inlineStr">
        <x:is>
          <x:t xml:space="preserve">Review</x:t>
        </x:is>
      </x:c>
      <x:c r="W54" s="523" t="inlineStr">
        <x:is>
          <x:t xml:space="preserve">Yes — prior grantee match</x:t>
        </x:is>
      </x:c>
      <x:c r="X54" s="523" t="inlineStr">
        <x:is>
          <x:t xml:space="preserve">Yes — on Tract 3 owner list</x:t>
        </x:is>
      </x:c>
      <x:c r="Y54" s="523" t="inlineStr">
        <x:is>
          <x:t xml:space="preserve">Candidate 0.0227272727272727 (helper — confirm from image)</x:t>
        </x:is>
      </x:c>
      <x:c r="Z54" s="523" t="inlineStr">
        <x:is>
          <x:t xml:space="preserve">Medium — helper value</x:t>
        </x:is>
      </x:c>
      <x:c r="AA54" s="523" t="inlineStr">
        <x:is>
          <x:t xml:space="preserve">Mineral Deed — Robert O. Lister, Jr. to A. C. Campbell (MIS47/558)</x:t>
        </x:is>
      </x:c>
      <x:c r="AB54" s="523" t="inlineStr">
        <x:is>
          <x:t xml:space="preserve">Needs source review: tract</x:t>
        </x:is>
      </x:c>
    </x:row>
    <x:row r="55" s="523" customFormat="1" ht="48" customHeight="1">
      <x:c r="A55" s="513" t="inlineStr">
        <x:is>
          <x:t xml:space="preserve">1962-001390</x:t>
        </x:is>
      </x:c>
      <x:c r="B55" s="513" t="n"/>
      <x:c r="C55" s="513" t="inlineStr">
        <x:is>
          <x:t xml:space="preserve">Mineral Deed</x:t>
        </x:is>
      </x:c>
      <x:c r="D55" s="513" t="inlineStr">
        <x:is>
          <x:t xml:space="preserve">MIS47/559</x:t>
        </x:is>
      </x:c>
      <x:c r="E55" s="514" t="n">
        <x:v>22938</x:v>
      </x:c>
      <x:c r="F55" s="515" t="n">
        <x:v>22938</x:v>
      </x:c>
      <x:c r="G55" s="516" t="inlineStr">
        <x:is>
          <x:t xml:space="preserve">Robert O. Lister, Jr.</x:t>
        </x:is>
      </x:c>
      <x:c r="H55" s="516" t="inlineStr">
        <x:is>
          <x:t xml:space="preserve">J. W. Klopfenstein</x:t>
        </x:is>
      </x:c>
      <x:c r="I55" s="517" t="inlineStr">
        <x:is>
          <x:t xml:space="preserve">Lot 4, S/2 of Lot 3, S/2 NE/4 SW/4, SE/4 SW/4 of 31-12N-24W</x:t>
        </x:is>
      </x:c>
      <x:c r="J55" s="112" t="inlineStr">
        <x:is>
          <x:t xml:space="preserve">10/115.34 interest, 10 NMA</x:t>
        </x:is>
      </x:c>
      <x:c r="K55" s="518" t="e">
        <x:f>HYPERLINK("https://okcountyrecords.com/detail/roger+mills/1962-001390","OKCountyRecords: 1962-001390")</x:f>
      </x:c>
      <x:c r="L55" s="522" t="inlineStr">
        <x:is>
          <x:t xml:space="preserve">Mineral; basis Conv Amt(dec). Gross=tract-map basis.</x:t>
        </x:is>
      </x:c>
      <x:c r="M55" s="522" t="inlineStr">
        <x:is>
          <x:t xml:space="preserve">CURRENT OWNER SOURCE</x:t>
        </x:is>
      </x:c>
      <x:c r="N55" s="522" t="inlineStr">
        <x:is>
          <x:t xml:space="preserve">Conveys 10 NMA per notes; conv. dec = 10/gross. Verify denominator/tract from image.</x:t>
        </x:is>
      </x:c>
      <x:c r="O55" s="522" t="inlineStr">
        <x:is>
          <x:t xml:space="preserve">MINERAL DEED</x:t>
        </x:is>
      </x:c>
      <x:c r="P55" s="523" t="inlineStr">
        <x:is>
          <x:t xml:space="preserve">Chain — minerals</x:t>
        </x:is>
      </x:c>
      <x:c r="Q55" s="523" t="inlineStr">
        <x:is>
          <x:t xml:space="preserve">Yes</x:t>
        </x:is>
      </x:c>
      <x:c r="R55" s="523" t="inlineStr">
        <x:is>
          <x:t xml:space="preserve">No</x:t>
        </x:is>
      </x:c>
      <x:c r="S55" s="523" t="inlineStr">
        <x:is>
          <x:t xml:space="preserve">Yes</x:t>
        </x:is>
      </x:c>
      <x:c r="T55" s="523" t="inlineStr">
        <x:is>
          <x:t xml:space="preserve">No</x:t>
        </x:is>
      </x:c>
      <x:c r="U55" s="523" t="inlineStr">
        <x:is>
          <x:t xml:space="preserve">Legal maps to 5, 7, 9; helper says 2, 3, 5, 6, 7</x:t>
        </x:is>
      </x:c>
      <x:c r="V55" s="523" t="inlineStr">
        <x:is>
          <x:t xml:space="preserve">Review</x:t>
        </x:is>
      </x:c>
      <x:c r="W55" s="523" t="inlineStr">
        <x:is>
          <x:t xml:space="preserve">Yes — prior grantee match</x:t>
        </x:is>
      </x:c>
      <x:c r="X55" s="523" t="inlineStr">
        <x:is>
          <x:t xml:space="preserve">Yes — on Tract 3 owner list</x:t>
        </x:is>
      </x:c>
      <x:c r="Y55" s="523" t="inlineStr">
        <x:is>
          <x:t xml:space="preserve">Candidate 0.0227272727272727 (helper — confirm from image)</x:t>
        </x:is>
      </x:c>
      <x:c r="Z55" s="523" t="inlineStr">
        <x:is>
          <x:t xml:space="preserve">Medium — helper value</x:t>
        </x:is>
      </x:c>
      <x:c r="AA55" s="523" t="inlineStr">
        <x:is>
          <x:t xml:space="preserve">Mineral Deed — Robert O. Lister, Jr. to J. W. Klopfenstein (MIS47/559)</x:t>
        </x:is>
      </x:c>
      <x:c r="AB55" s="523" t="inlineStr">
        <x:is>
          <x:t xml:space="preserve">Needs source review: tract</x:t>
        </x:is>
      </x:c>
    </x:row>
    <x:row r="56" s="523" customFormat="1" ht="48" customHeight="1">
      <x:c r="A56" s="513" t="inlineStr">
        <x:is>
          <x:t xml:space="preserve">1967-002816</x:t>
        </x:is>
      </x:c>
      <x:c r="B56" s="513" t="n"/>
      <x:c r="C56" s="513" t="inlineStr">
        <x:is>
          <x:t xml:space="preserve">Final Decree and Order for Distribution</x:t>
        </x:is>
      </x:c>
      <x:c r="D56" s="513" t="inlineStr">
        <x:is>
          <x:t xml:space="preserve">MIS86/33</x:t>
        </x:is>
      </x:c>
      <x:c r="E56" s="514" t="n">
        <x:v>24709</x:v>
      </x:c>
      <x:c r="F56" s="515" t="n">
        <x:v>24750</x:v>
      </x:c>
      <x:c r="G56" s="516" t="inlineStr">
        <x:is>
          <x:t xml:space="preserve">Kiowa County Court,
RE: In the Matter of the Estate of Carrie Lou Mitchell, Deceased</x:t>
        </x:is>
      </x:c>
      <x:c r="H56" s="516" t="inlineStr">
        <x:is>
          <x:t xml:space="preserve">Marvin Mitchell Williams, 1/4,
Gena Williams, 1/4,
Carrie Leeann Williams, 1/4,
Nancy Susan Mitchell, 1/4</x:t>
        </x:is>
      </x:c>
      <x:c r="I56" s="517" t="inlineStr">
        <x:is>
          <x:t xml:space="preserve">SW/4 of 31-12N-24W, aol</x:t>
        </x:is>
      </x:c>
      <x:c r="J56" s="112" t="inlineStr">
        <x:is>
          <x:t xml:space="preserve">ARTI, An Undivided 75.34 acre mineral interest</x:t>
        </x:is>
      </x:c>
      <x:c r="K56" s="518" t="e">
        <x:f>HYPERLINK("https://okcountyrecords.com/detail/roger+mills/1967-002816","OKCountyRecords: 1967-002816")</x:f>
      </x:c>
      <x:c r="L56" s="522" t="inlineStr">
        <x:is>
          <x:t xml:space="preserve">Mineral; basis Conv Amt(dec). Gross=tract-map basis.</x:t>
        </x:is>
      </x:c>
      <x:c r="M56" s="522" t="inlineStr">
        <x:is>
          <x:t xml:space="preserve">CURRENT OWNER SOURCE</x:t>
        </x:is>
      </x:c>
      <x:c r="N56" s="522" t="n"/>
      <x:c r="O56" s="522" t="inlineStr">
        <x:is>
          <x:t xml:space="preserve">OUTSIDE LANDS</x:t>
        </x:is>
      </x:c>
      <x:c r="P56" s="523" t="inlineStr">
        <x:is>
          <x:t xml:space="preserve">Chain — title support (succession/entity/probate)</x:t>
        </x:is>
      </x:c>
      <x:c r="Q56" s="523" t="inlineStr">
        <x:is>
          <x:t xml:space="preserve">Yes</x:t>
        </x:is>
      </x:c>
      <x:c r="R56" s="523" t="inlineStr">
        <x:is>
          <x:t xml:space="preserve">No</x:t>
        </x:is>
      </x:c>
      <x:c r="S56" s="523" t="inlineStr">
        <x:is>
          <x:t xml:space="preserve">Yes</x:t>
        </x:is>
      </x:c>
      <x:c r="T56" s="523" t="inlineStr">
        <x:is>
          <x:t xml:space="preserve">No</x:t>
        </x:is>
      </x:c>
      <x:c r="U56" s="523" t="inlineStr">
        <x:is>
          <x:t xml:space="preserve">Legal maps to 5, 7, 8, 9; helper says 5, 6, 7</x:t>
        </x:is>
      </x:c>
      <x:c r="V56" s="523" t="inlineStr">
        <x:is>
          <x:t xml:space="preserve">Review</x:t>
        </x:is>
      </x:c>
      <x:c r="W56" s="523" t="inlineStr">
        <x:is>
          <x:t xml:space="preserve">Review — no exact prior-grantee match</x:t>
        </x:is>
      </x:c>
      <x:c r="X56" s="523" t="inlineStr">
        <x:is>
          <x:t xml:space="preserve">Review</x:t>
        </x:is>
      </x:c>
      <x:c r="Y56" s="523" t="inlineStr">
        <x:is>
          <x:t xml:space="preserve">Candidate 1 (helper — confirm from image)</x:t>
        </x:is>
      </x:c>
      <x:c r="Z56" s="523" t="inlineStr">
        <x:is>
          <x:t xml:space="preserve">Medium — helper value</x:t>
        </x:is>
      </x:c>
      <x:c r="AA56" s="523" t="inlineStr">
        <x:is>
          <x:t xml:space="preserve">Final Decree and Order for Distr — Kiowa County Court, to Marvin Mitchell Williams, 1/4, (MIS86/33)</x:t>
        </x:is>
      </x:c>
      <x:c r="AB56" s="523" t="inlineStr">
        <x:is>
          <x:t xml:space="preserve">Needs source review: tract, grantor source</x:t>
        </x:is>
      </x:c>
    </x:row>
    <x:row r="57" s="523" customFormat="1" ht="60" customHeight="1">
      <x:c r="A57" s="513" t="inlineStr">
        <x:is>
          <x:t xml:space="preserve">1968-003144</x:t>
        </x:is>
      </x:c>
      <x:c r="B57" s="513" t="n"/>
      <x:c r="C57" s="513" t="inlineStr">
        <x:is>
          <x:t xml:space="preserve">Rental Division Order</x:t>
        </x:is>
      </x:c>
      <x:c r="D57" s="513" t="inlineStr">
        <x:is>
          <x:t xml:space="preserve">MIS97/120</x:t>
        </x:is>
      </x:c>
      <x:c r="E57" s="514" t="n">
        <x:v>25176</x:v>
      </x:c>
      <x:c r="F57" s="515" t="n">
        <x:v>25176</x:v>
      </x:c>
      <x:c r="G57" s="516" t="inlineStr">
        <x:is>
          <x:t xml:space="preserve">J. B. Campbell,
Lillie A. Campbell</x:t>
        </x:is>
      </x:c>
      <x:c r="H57" s="516" t="inlineStr">
        <x:is>
          <x:t xml:space="preserve">J. R. Groves</x:t>
        </x:is>
      </x:c>
      <x:c r="I57" s="517" t="inlineStr">
        <x:is>
          <x:t xml:space="preserve">31-12N-24W</x:t>
        </x:is>
      </x:c>
      <x:c r="J57" s="112" t="inlineStr">
        <x:is>
          <x:t xml:space="preserve">Leasehold / WI
Chain note: source of title — MINERAL DEED 1907-000709 at D9/303, Charles T. Kennett and Sadie N. Kennett, HW to John G. Lancaster, covering SW/4 NE/4 SW/4 SE/4, SE/4 SE/4 of 31-12N-24W, interest stated: ARTI. Confirm source instrument before relying on this conveyance.</x:t>
        </x:is>
      </x:c>
      <x:c r="K57" s="518" t="e">
        <x:f>HYPERLINK("https://okcountyrecords.com/detail/roger+mills/1968-003144","OKCountyRecords: 1968-003144")</x:f>
      </x:c>
      <x:c r="L57" s="522" t="inlineStr">
        <x:is>
          <x:t xml:space="preserve">Other (non-mineral; excluded from mineral NMA). All-section coverage. Gross=tract-map basis.</x:t>
        </x:is>
      </x:c>
      <x:c r="M57" s="522" t="inlineStr">
        <x:is>
          <x:t xml:space="preserve">ADDRESS SOURCE LIKELY</x:t>
        </x:is>
      </x:c>
      <x:c r="N57" s="522" t="n"/>
      <x:c r="O57" s="522" t="inlineStr">
        <x:is>
          <x:t xml:space="preserve">AFFIDAVIT / HEIRSHIP / PROBATE</x:t>
        </x:is>
      </x:c>
      <x:c r="P57" s="523" t="inlineStr">
        <x:is>
          <x:t xml:space="preserve">No chain effect — rental division order</x:t>
        </x:is>
      </x:c>
      <x:c r="Q57" s="523" t="inlineStr">
        <x:is>
          <x:t xml:space="preserve">No</x:t>
        </x:is>
      </x:c>
      <x:c r="R57" s="523" t="inlineStr">
        <x:is>
          <x:t xml:space="preserve">No</x:t>
        </x:is>
      </x:c>
      <x:c r="S57" s="523" t="inlineStr">
        <x:is>
          <x:t xml:space="preserve">No</x:t>
        </x:is>
      </x:c>
      <x:c r="T57" s="523" t="inlineStr">
        <x:is>
          <x:t xml:space="preserve">Yes</x:t>
        </x:is>
      </x:c>
      <x:c r="U57" s="523" t="inlineStr">
        <x:is>
          <x:t xml:space="preserve">Yes: 1, 8 (broad legal)</x:t>
        </x:is>
      </x:c>
      <x:c r="V57" s="523" t="inlineStr">
        <x:is>
          <x:t xml:space="preserve">Medium</x:t>
        </x:is>
      </x:c>
      <x:c r="W57" s="523" t="inlineStr">
        <x:is>
          <x:t xml:space="preserve">Review — no exact prior-grantee match</x:t>
        </x:is>
      </x:c>
      <x:c r="X57" s="523" t="inlineStr">
        <x:is>
          <x:t xml:space="preserve">Review</x:t>
        </x:is>
      </x:c>
      <x:c r="Y57" s="523" t="inlineStr">
        <x:is>
          <x:t xml:space="preserve">Interest amount needs review</x:t>
        </x:is>
      </x:c>
      <x:c r="Z57" s="523" t="inlineStr">
        <x:is>
          <x:t xml:space="preserve">Review</x:t>
        </x:is>
      </x:c>
      <x:c r="AA57" s="523" t="inlineStr">
        <x:is>
          <x:t xml:space="preserve">Rental Division Order — J. B. Campbell, to J. R. Groves (MIS97/120)</x:t>
        </x:is>
      </x:c>
      <x:c r="AB57" s="523" t="inlineStr">
        <x:is>
          <x:t xml:space="preserve">Needs source review: grantor source</x:t>
        </x:is>
      </x:c>
    </x:row>
    <x:row r="58" s="523" customFormat="1" ht="72" customHeight="1">
      <x:c r="A58" s="513" t="inlineStr">
        <x:is>
          <x:t xml:space="preserve">1970-003015</x:t>
        </x:is>
      </x:c>
      <x:c r="B58" s="513" t="n"/>
      <x:c r="C58" s="513" t="inlineStr">
        <x:is>
          <x:t xml:space="preserve">Rental Division Order</x:t>
        </x:is>
      </x:c>
      <x:c r="D58" s="513" t="inlineStr">
        <x:is>
          <x:t xml:space="preserve">115/485</x:t>
        </x:is>
      </x:c>
      <x:c r="E58" s="514" t="n">
        <x:v>25905</x:v>
      </x:c>
      <x:c r="F58" s="515" t="n">
        <x:v>25905</x:v>
      </x:c>
      <x:c r="G58" s="516" t="inlineStr">
        <x:is>
          <x:t xml:space="preserve">Marie Lister,
Robert O. Lister Jr.</x:t>
        </x:is>
      </x:c>
      <x:c r="H58" s="516" t="inlineStr">
        <x:is>
          <x:t xml:space="preserve">W. V. Lister</x:t>
        </x:is>
      </x:c>
      <x:c r="I58" s="524" t="inlineStr">
        <x:is>
          <x:t xml:space="preserve">31-12N-24W</x:t>
        </x:is>
      </x:c>
      <x:c r="J58" s="112" t="inlineStr">
        <x:is>
          <x:t xml:space="preserve">Leasehold / WI
Chain note: source of title — OUTSIDE LANDS 1942-000630 at MIS21/471, Beckham County Court,
RE: In the Matter of the Estate of Swinburn J. Stewart, Deceased to Gladys Priest, 1/4,
Swinburn J. … Full recital in recorded instrument — see Link.</x:t>
        </x:is>
      </x:c>
      <x:c r="K58" s="518" t="e">
        <x:f>HYPERLINK("https://okcountyrecords.com/detail/roger+mills/1970-003015","OKCountyRecords: 1970-003015")</x:f>
      </x:c>
      <x:c r="L58" s="522" t="inlineStr">
        <x:is>
          <x:t xml:space="preserve">Other (non-mineral; excluded from mineral NMA). All-section coverage. Gross=tract-map basis.</x:t>
        </x:is>
      </x:c>
      <x:c r="M58" s="522" t="inlineStr">
        <x:is>
          <x:t xml:space="preserve">ADDRESS SOURCE LIKELY</x:t>
        </x:is>
      </x:c>
      <x:c r="N58" s="522" t="n"/>
      <x:c r="O58" s="522" t="inlineStr">
        <x:is>
          <x:t xml:space="preserve">OUTSIDE LANDS</x:t>
        </x:is>
      </x:c>
      <x:c r="P58" s="523" t="inlineStr">
        <x:is>
          <x:t xml:space="preserve">No chain effect — rental division order</x:t>
        </x:is>
      </x:c>
      <x:c r="Q58" s="523" t="inlineStr">
        <x:is>
          <x:t xml:space="preserve">No</x:t>
        </x:is>
      </x:c>
      <x:c r="R58" s="523" t="inlineStr">
        <x:is>
          <x:t xml:space="preserve">No</x:t>
        </x:is>
      </x:c>
      <x:c r="S58" s="523" t="inlineStr">
        <x:is>
          <x:t xml:space="preserve">No</x:t>
        </x:is>
      </x:c>
      <x:c r="T58" s="523" t="inlineStr">
        <x:is>
          <x:t xml:space="preserve">Yes</x:t>
        </x:is>
      </x:c>
      <x:c r="U58" s="523" t="inlineStr">
        <x:is>
          <x:t xml:space="preserve">Yes: 1, 8 (broad legal)</x:t>
        </x:is>
      </x:c>
      <x:c r="V58" s="523" t="inlineStr">
        <x:is>
          <x:t xml:space="preserve">Medium</x:t>
        </x:is>
      </x:c>
      <x:c r="W58" s="523" t="inlineStr">
        <x:is>
          <x:t xml:space="preserve">Review — no exact prior-grantee match</x:t>
        </x:is>
      </x:c>
      <x:c r="X58" s="523" t="inlineStr">
        <x:is>
          <x:t xml:space="preserve">Review</x:t>
        </x:is>
      </x:c>
      <x:c r="Y58" s="523" t="inlineStr">
        <x:is>
          <x:t xml:space="preserve">Interest amount needs review</x:t>
        </x:is>
      </x:c>
      <x:c r="Z58" s="523" t="inlineStr">
        <x:is>
          <x:t xml:space="preserve">Review</x:t>
        </x:is>
      </x:c>
      <x:c r="AA58" s="523" t="inlineStr">
        <x:is>
          <x:t xml:space="preserve">Rental Division Order — Marie Lister, to W. V. Lister (115/485)</x:t>
        </x:is>
      </x:c>
      <x:c r="AB58" s="523" t="inlineStr">
        <x:is>
          <x:t xml:space="preserve">Needs source review: grantor source</x:t>
        </x:is>
      </x:c>
    </x:row>
    <x:row r="59" s="523" customFormat="1" ht="48" customHeight="1">
      <x:c r="A59" s="513" t="inlineStr">
        <x:is>
          <x:t xml:space="preserve">1974-001639</x:t>
        </x:is>
      </x:c>
      <x:c r="B59" s="513" t="n"/>
      <x:c r="C59" s="513" t="inlineStr">
        <x:is>
          <x:t xml:space="preserve">Mineral Deed</x:t>
        </x:is>
      </x:c>
      <x:c r="D59" s="513" t="inlineStr">
        <x:is>
          <x:t xml:space="preserve">163/565</x:t>
        </x:is>
      </x:c>
      <x:c r="E59" s="514" t="n">
        <x:v>27163</x:v>
      </x:c>
      <x:c r="F59" s="515" t="n">
        <x:v>27163</x:v>
      </x:c>
      <x:c r="G59" s="516" t="inlineStr">
        <x:is>
          <x:t xml:space="preserve">L. E. Thurman and Veronica Thurman, HW</x:t>
        </x:is>
      </x:c>
      <x:c r="H59" s="516" t="inlineStr">
        <x:is>
          <x:t xml:space="preserve">Marie Lister</x:t>
        </x:is>
      </x:c>
      <x:c r="I59" s="524" t="inlineStr">
        <x:is>
          <x:t xml:space="preserve">E/2 NW/4, SE/4 NE/4, NE/4 SE/4, N/2 NE/4 SW/4 of 31-12N-24W, aol</x:t>
        </x:is>
      </x:c>
      <x:c r="J59" s="112" t="inlineStr">
        <x:is>
          <x:t xml:space="preserve">60/260 interest in 2 sections</x:t>
        </x:is>
      </x:c>
      <x:c r="K59" s="518" t="e">
        <x:f>HYPERLINK("https://okcountyrecords.com/detail/roger+mills/1974-001639","OKCountyRecords: 1974-001639")</x:f>
      </x:c>
      <x:c r="L59" s="522" t="inlineStr">
        <x:is>
          <x:t xml:space="preserve">Mineral; basis Conv Amt(dec). Gross=tract-map basis.</x:t>
        </x:is>
      </x:c>
      <x:c r="M59" s="522" t="n"/>
      <x:c r="N59" s="522" t="n"/>
      <x:c r="O59" s="522" t="inlineStr">
        <x:is>
          <x:t xml:space="preserve">OUTSIDE LANDS</x:t>
        </x:is>
      </x:c>
      <x:c r="P59" s="523" t="inlineStr">
        <x:is>
          <x:t xml:space="preserve">Chain — minerals</x:t>
        </x:is>
      </x:c>
      <x:c r="Q59" s="523" t="inlineStr">
        <x:is>
          <x:t xml:space="preserve">Yes</x:t>
        </x:is>
      </x:c>
      <x:c r="R59" s="523" t="inlineStr">
        <x:is>
          <x:t xml:space="preserve">No</x:t>
        </x:is>
      </x:c>
      <x:c r="S59" s="523" t="inlineStr">
        <x:is>
          <x:t xml:space="preserve">Yes</x:t>
        </x:is>
      </x:c>
      <x:c r="T59" s="523" t="inlineStr">
        <x:is>
          <x:t xml:space="preserve">No</x:t>
        </x:is>
      </x:c>
      <x:c r="U59" s="523" t="inlineStr">
        <x:is>
          <x:t xml:space="preserve">Legal maps to 1, 3, 4, 7, 10; helper says 1, 3, 4, 7, 8</x:t>
        </x:is>
      </x:c>
      <x:c r="V59" s="523" t="inlineStr">
        <x:is>
          <x:t xml:space="preserve">Review</x:t>
        </x:is>
      </x:c>
      <x:c r="W59" s="523" t="inlineStr">
        <x:is>
          <x:t xml:space="preserve">Review — no exact prior-grantee match</x:t>
        </x:is>
      </x:c>
      <x:c r="X59" s="523" t="inlineStr">
        <x:is>
          <x:t xml:space="preserve">Yes — on Tract 3 owner list</x:t>
        </x:is>
      </x:c>
      <x:c r="Y59" s="523" t="inlineStr">
        <x:is>
          <x:t xml:space="preserve">Candidate 0.230769230769231 (helper — confirm from image)</x:t>
        </x:is>
      </x:c>
      <x:c r="Z59" s="523" t="inlineStr">
        <x:is>
          <x:t xml:space="preserve">Medium — helper value</x:t>
        </x:is>
      </x:c>
      <x:c r="AA59" s="523" t="inlineStr">
        <x:is>
          <x:t xml:space="preserve">Mineral Deed — L. E. Thurman and Veronica Thu to Marie Lister (163/565)</x:t>
        </x:is>
      </x:c>
      <x:c r="AB59" s="523" t="inlineStr">
        <x:is>
          <x:t xml:space="preserve">Needs source review: tract, grantor source</x:t>
        </x:is>
      </x:c>
    </x:row>
    <x:row r="60" s="523" customFormat="1" ht="48" customHeight="1">
      <x:c r="A60" s="513" t="inlineStr">
        <x:is>
          <x:t xml:space="preserve">1974-001700</x:t>
        </x:is>
      </x:c>
      <x:c r="B60" s="513" t="n"/>
      <x:c r="C60" s="513" t="inlineStr">
        <x:is>
          <x:t xml:space="preserve">Mineral Deed</x:t>
        </x:is>
      </x:c>
      <x:c r="D60" s="513" t="inlineStr">
        <x:is>
          <x:t xml:space="preserve">164/66</x:t>
        </x:is>
      </x:c>
      <x:c r="E60" s="514" t="n">
        <x:v>27171</x:v>
      </x:c>
      <x:c r="F60" s="515" t="n">
        <x:v>27171</x:v>
      </x:c>
      <x:c r="G60" s="516" t="inlineStr">
        <x:is>
          <x:t xml:space="preserve">Marie Lister</x:t>
        </x:is>
      </x:c>
      <x:c r="H60" s="516" t="inlineStr">
        <x:is>
          <x:t xml:space="preserve">W. H. Sorenson</x:t>
        </x:is>
      </x:c>
      <x:c r="I60" s="517" t="inlineStr">
        <x:is>
          <x:t xml:space="preserve">E/2 NW/4, SE/4 NE/4, NE/4 SE/4, N/2 NE/4 SW/4 of 31-12N-24W, aol</x:t>
        </x:is>
      </x:c>
      <x:c r="J60" s="112" t="inlineStr">
        <x:is>
          <x:t xml:space="preserve">40/260 interest in 2 sections</x:t>
        </x:is>
      </x:c>
      <x:c r="K60" s="518" t="e">
        <x:f>HYPERLINK("https://okcountyrecords.com/detail/roger+mills/1974-001700","OKCountyRecords: 1974-001700")</x:f>
      </x:c>
      <x:c r="L60" s="522" t="inlineStr">
        <x:is>
          <x:t xml:space="preserve">Mineral; basis Conv Amt(dec). Gross=tract-map basis.</x:t>
        </x:is>
      </x:c>
      <x:c r="M60" s="522" t="n"/>
      <x:c r="N60" s="522" t="n"/>
      <x:c r="O60" s="522" t="inlineStr">
        <x:is>
          <x:t xml:space="preserve">OUTSIDE LANDS</x:t>
        </x:is>
      </x:c>
      <x:c r="P60" s="523" t="inlineStr">
        <x:is>
          <x:t xml:space="preserve">Chain — minerals</x:t>
        </x:is>
      </x:c>
      <x:c r="Q60" s="523" t="inlineStr">
        <x:is>
          <x:t xml:space="preserve">Yes</x:t>
        </x:is>
      </x:c>
      <x:c r="R60" s="523" t="inlineStr">
        <x:is>
          <x:t xml:space="preserve">No</x:t>
        </x:is>
      </x:c>
      <x:c r="S60" s="523" t="inlineStr">
        <x:is>
          <x:t xml:space="preserve">Yes</x:t>
        </x:is>
      </x:c>
      <x:c r="T60" s="523" t="inlineStr">
        <x:is>
          <x:t xml:space="preserve">No</x:t>
        </x:is>
      </x:c>
      <x:c r="U60" s="523" t="inlineStr">
        <x:is>
          <x:t xml:space="preserve">Legal maps to 1, 3, 4, 7, 10; helper says 1, 3, 4, 7, 8</x:t>
        </x:is>
      </x:c>
      <x:c r="V60" s="523" t="inlineStr">
        <x:is>
          <x:t xml:space="preserve">Review</x:t>
        </x:is>
      </x:c>
      <x:c r="W60" s="523" t="inlineStr">
        <x:is>
          <x:t xml:space="preserve">Yes — prior grantee match</x:t>
        </x:is>
      </x:c>
      <x:c r="X60" s="523" t="inlineStr">
        <x:is>
          <x:t xml:space="preserve">Yes — on Tract 3 owner list</x:t>
        </x:is>
      </x:c>
      <x:c r="Y60" s="523" t="inlineStr">
        <x:is>
          <x:t xml:space="preserve">Candidate 0.153846153846154 (helper — confirm from image)</x:t>
        </x:is>
      </x:c>
      <x:c r="Z60" s="523" t="inlineStr">
        <x:is>
          <x:t xml:space="preserve">Medium — helper value</x:t>
        </x:is>
      </x:c>
      <x:c r="AA60" s="523" t="inlineStr">
        <x:is>
          <x:t xml:space="preserve">Mineral Deed — Marie Lister to W. H. Sorenson (164/66)</x:t>
        </x:is>
      </x:c>
      <x:c r="AB60" s="523" t="inlineStr">
        <x:is>
          <x:t xml:space="preserve">Needs source review: tract</x:t>
        </x:is>
      </x:c>
    </x:row>
    <x:row r="61" s="523" customFormat="1" ht="48" customHeight="1">
      <x:c r="A61" s="513" t="inlineStr">
        <x:is>
          <x:t xml:space="preserve">1974-002044</x:t>
        </x:is>
      </x:c>
      <x:c r="B61" s="513" t="n"/>
      <x:c r="C61" s="513" t="inlineStr">
        <x:is>
          <x:t xml:space="preserve">Mineral Deed</x:t>
        </x:is>
      </x:c>
      <x:c r="D61" s="513" t="inlineStr">
        <x:is>
          <x:t xml:space="preserve">165/87</x:t>
        </x:is>
      </x:c>
      <x:c r="E61" s="514" t="n">
        <x:v>27207</x:v>
      </x:c>
      <x:c r="F61" s="515" t="n">
        <x:v>27207</x:v>
      </x:c>
      <x:c r="G61" s="516" t="inlineStr">
        <x:is>
          <x:t xml:space="preserve">Marie Lister</x:t>
        </x:is>
      </x:c>
      <x:c r="H61" s="516" t="inlineStr">
        <x:is>
          <x:t xml:space="preserve">Mann Childrens Trust</x:t>
        </x:is>
      </x:c>
      <x:c r="I61" s="517" t="inlineStr">
        <x:is>
          <x:t xml:space="preserve">E/2 NW/4, SE/4 NE/4, NE/4 SE/4, N/2 NE/4 SW/4 of 31-12N-24W, aol</x:t>
        </x:is>
      </x:c>
      <x:c r="J61" s="112" t="inlineStr">
        <x:is>
          <x:t xml:space="preserve">10/260 interest in 2 sections</x:t>
        </x:is>
      </x:c>
      <x:c r="K61" s="518" t="e">
        <x:f>HYPERLINK("https://okcountyrecords.com/detail/roger+mills/1974-002044","OKCountyRecords: 1974-002044")</x:f>
      </x:c>
      <x:c r="L61" s="522" t="inlineStr">
        <x:is>
          <x:t xml:space="preserve">Mineral; basis Conv Amt(dec). Gross=tract-map basis.</x:t>
        </x:is>
      </x:c>
      <x:c r="M61" s="522" t="inlineStr">
        <x:is>
          <x:t xml:space="preserve">CURRENT OWNER SOURCE</x:t>
        </x:is>
      </x:c>
      <x:c r="N61" s="522" t="n"/>
      <x:c r="O61" s="522" t="inlineStr">
        <x:is>
          <x:t xml:space="preserve">OUTSIDE LANDS</x:t>
        </x:is>
      </x:c>
      <x:c r="P61" s="523" t="inlineStr">
        <x:is>
          <x:t xml:space="preserve">Chain — minerals</x:t>
        </x:is>
      </x:c>
      <x:c r="Q61" s="523" t="inlineStr">
        <x:is>
          <x:t xml:space="preserve">Yes</x:t>
        </x:is>
      </x:c>
      <x:c r="R61" s="523" t="inlineStr">
        <x:is>
          <x:t xml:space="preserve">No</x:t>
        </x:is>
      </x:c>
      <x:c r="S61" s="523" t="inlineStr">
        <x:is>
          <x:t xml:space="preserve">Yes</x:t>
        </x:is>
      </x:c>
      <x:c r="T61" s="523" t="inlineStr">
        <x:is>
          <x:t xml:space="preserve">No</x:t>
        </x:is>
      </x:c>
      <x:c r="U61" s="523" t="inlineStr">
        <x:is>
          <x:t xml:space="preserve">Legal maps to 1, 3, 4, 7, 10; helper says 1, 3, 4, 7, 8</x:t>
        </x:is>
      </x:c>
      <x:c r="V61" s="523" t="inlineStr">
        <x:is>
          <x:t xml:space="preserve">Review</x:t>
        </x:is>
      </x:c>
      <x:c r="W61" s="523" t="inlineStr">
        <x:is>
          <x:t xml:space="preserve">Yes — prior grantee match</x:t>
        </x:is>
      </x:c>
      <x:c r="X61" s="523" t="inlineStr">
        <x:is>
          <x:t xml:space="preserve">Yes — on Tract 3 owner list</x:t>
        </x:is>
      </x:c>
      <x:c r="Y61" s="523" t="inlineStr">
        <x:is>
          <x:t xml:space="preserve">Candidate 0.0384615384615385 (helper — confirm from image)</x:t>
        </x:is>
      </x:c>
      <x:c r="Z61" s="523" t="inlineStr">
        <x:is>
          <x:t xml:space="preserve">Medium — helper value</x:t>
        </x:is>
      </x:c>
      <x:c r="AA61" s="523" t="inlineStr">
        <x:is>
          <x:t xml:space="preserve">Mineral Deed — Marie Lister to Mann Childrens Trust (165/87)</x:t>
        </x:is>
      </x:c>
      <x:c r="AB61" s="523" t="inlineStr">
        <x:is>
          <x:t xml:space="preserve">Needs source review: tract</x:t>
        </x:is>
      </x:c>
    </x:row>
    <x:row r="62" s="523" customFormat="1" ht="48" customHeight="1">
      <x:c r="A62" s="513" t="inlineStr">
        <x:is>
          <x:t xml:space="preserve">1975-000869</x:t>
        </x:is>
      </x:c>
      <x:c r="B62" s="513" t="n"/>
      <x:c r="C62" s="513" t="inlineStr">
        <x:is>
          <x:t xml:space="preserve">Mineral Deed</x:t>
        </x:is>
      </x:c>
      <x:c r="D62" s="513" t="inlineStr">
        <x:is>
          <x:t xml:space="preserve">176/144</x:t>
        </x:is>
      </x:c>
      <x:c r="E62" s="514" t="n">
        <x:v>27481</x:v>
      </x:c>
      <x:c r="F62" s="515" t="n">
        <x:v>27481</x:v>
      </x:c>
      <x:c r="G62" s="516" t="inlineStr">
        <x:is>
          <x:t xml:space="preserve">Marie Lister</x:t>
        </x:is>
      </x:c>
      <x:c r="H62" s="516" t="inlineStr">
        <x:is>
          <x:t xml:space="preserve">J. E. Barnett</x:t>
        </x:is>
      </x:c>
      <x:c r="I62" s="517" t="inlineStr">
        <x:is>
          <x:t xml:space="preserve">E/2 NW/4, SE/4 NE/4, NE/4 SE/4, N/2 NE/4 SW/4 of 31-12N-24W, aol</x:t>
        </x:is>
      </x:c>
      <x:c r="J62" s="112" t="inlineStr">
        <x:is>
          <x:t xml:space="preserve">10/260 interest in 2 sections</x:t>
        </x:is>
      </x:c>
      <x:c r="K62" s="518" t="e">
        <x:f>HYPERLINK("https://okcountyrecords.com/detail/roger+mills/1975-000869","OKCountyRecords: 1975-000869")</x:f>
      </x:c>
      <x:c r="L62" s="522" t="inlineStr">
        <x:is>
          <x:t xml:space="preserve">Mineral; basis Conv Amt(dec). Gross=tract-map basis.</x:t>
        </x:is>
      </x:c>
      <x:c r="M62" s="522" t="inlineStr">
        <x:is>
          <x:t xml:space="preserve">CURRENT OWNER SOURCE</x:t>
        </x:is>
      </x:c>
      <x:c r="N62" s="522" t="n"/>
      <x:c r="O62" s="522" t="inlineStr">
        <x:is>
          <x:t xml:space="preserve">OUTSIDE LANDS</x:t>
        </x:is>
      </x:c>
      <x:c r="P62" s="523" t="inlineStr">
        <x:is>
          <x:t xml:space="preserve">Chain — minerals</x:t>
        </x:is>
      </x:c>
      <x:c r="Q62" s="523" t="inlineStr">
        <x:is>
          <x:t xml:space="preserve">Yes</x:t>
        </x:is>
      </x:c>
      <x:c r="R62" s="523" t="inlineStr">
        <x:is>
          <x:t xml:space="preserve">No</x:t>
        </x:is>
      </x:c>
      <x:c r="S62" s="523" t="inlineStr">
        <x:is>
          <x:t xml:space="preserve">Yes</x:t>
        </x:is>
      </x:c>
      <x:c r="T62" s="523" t="inlineStr">
        <x:is>
          <x:t xml:space="preserve">No</x:t>
        </x:is>
      </x:c>
      <x:c r="U62" s="523" t="inlineStr">
        <x:is>
          <x:t xml:space="preserve">Legal maps to 1, 3, 4, 7, 10; helper says 1, 3, 4, 7, 8</x:t>
        </x:is>
      </x:c>
      <x:c r="V62" s="523" t="inlineStr">
        <x:is>
          <x:t xml:space="preserve">Review</x:t>
        </x:is>
      </x:c>
      <x:c r="W62" s="523" t="inlineStr">
        <x:is>
          <x:t xml:space="preserve">Yes — prior grantee match</x:t>
        </x:is>
      </x:c>
      <x:c r="X62" s="523" t="inlineStr">
        <x:is>
          <x:t xml:space="preserve">Yes — on Tract 3 owner list</x:t>
        </x:is>
      </x:c>
      <x:c r="Y62" s="523" t="inlineStr">
        <x:is>
          <x:t xml:space="preserve">Candidate 0.0384615384615385 (helper — confirm from image)</x:t>
        </x:is>
      </x:c>
      <x:c r="Z62" s="523" t="inlineStr">
        <x:is>
          <x:t xml:space="preserve">Medium — helper value</x:t>
        </x:is>
      </x:c>
      <x:c r="AA62" s="523" t="inlineStr">
        <x:is>
          <x:t xml:space="preserve">Mineral Deed — Marie Lister to J. E. Barnett (176/144)</x:t>
        </x:is>
      </x:c>
      <x:c r="AB62" s="523" t="inlineStr">
        <x:is>
          <x:t xml:space="preserve">Needs source review: tract</x:t>
        </x:is>
      </x:c>
    </x:row>
    <x:row r="63" s="523" customFormat="1" ht="144" customHeight="1">
      <x:c r="A63" s="513" t="inlineStr">
        <x:is>
          <x:t xml:space="preserve">1976-003251</x:t>
        </x:is>
      </x:c>
      <x:c r="B63" s="513" t="n"/>
      <x:c r="C63" s="513" t="inlineStr">
        <x:is>
          <x:t xml:space="preserve">Warranty Deed</x:t>
        </x:is>
      </x:c>
      <x:c r="D63" s="513" t="inlineStr">
        <x:is>
          <x:t xml:space="preserve">197/116</x:t>
        </x:is>
      </x:c>
      <x:c r="E63" s="515" t="n">
        <x:v>28005</x:v>
      </x:c>
      <x:c r="F63" s="515" t="n">
        <x:v>28005</x:v>
      </x:c>
      <x:c r="G63" s="516" t="inlineStr">
        <x:is>
          <x:t xml:space="preserve">Elmo W. Kirk and Freeda Kirk, HW</x:t>
        </x:is>
      </x:c>
      <x:c r="H63" s="516" t="inlineStr">
        <x:is>
          <x:t xml:space="preserve">Margie Kirk</x:t>
        </x:is>
      </x:c>
      <x:c r="I63" s="517" t="inlineStr">
        <x:is>
          <x:t xml:space="preserve">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x:t>
        </x:is>
      </x:c>
      <x:c r="J63" s="112" t="inlineStr">
        <x:is>
          <x:t xml:space="preserve">ARTI
Chain note: no source of title into Elmo W. Kirk and Freeda Kirk, HW located of record. Confirm ownership before crediting this conveyance.</x:t>
        </x:is>
      </x:c>
      <x:c r="K63" s="518" t="e">
        <x:f>HYPERLINK("https://okcountyrecords.com/detail/roger+mills/1976-003251","OKCountyRecords: 1976-003251")</x:f>
      </x:c>
      <x:c r="L63" s="522" t="inlineStr">
        <x:is>
          <x:t xml:space="preserve">Mineral; basis Conv Amt(dec). Gross=tract-map basis.</x:t>
        </x:is>
      </x:c>
      <x:c r="M63" s="522" t="inlineStr">
        <x:is>
          <x:t xml:space="preserve">OK</x:t>
        </x:is>
      </x:c>
      <x:c r="N63" s="522" t="inlineStr">
        <x:is>
          <x:t xml:space="preserve">Resolved into Tract 9 chain grid: Elmo W. &amp; Freeda Kirk → Margie Kirk (full ARTI in South 51 ac). Verify grantors' pre-1976 mineral fraction vs recorded image.</x:t>
        </x:is>
      </x:c>
      <x:c r="O63" s="522" t="inlineStr">
        <x:is>
          <x:t xml:space="preserve">EASEMENT</x:t>
        </x:is>
      </x:c>
      <x:c r="P63" s="523" t="inlineStr">
        <x:is>
          <x:t xml:space="preserve">Chain — deed (confirm minerals vs surface from instrument)</x:t>
        </x:is>
      </x:c>
      <x:c r="Q63" s="523" t="inlineStr">
        <x:is>
          <x:t xml:space="preserve">Yes</x:t>
        </x:is>
      </x:c>
      <x:c r="R63" s="523" t="inlineStr">
        <x:is>
          <x:t xml:space="preserve">No</x:t>
        </x:is>
      </x:c>
      <x:c r="S63" s="523" t="inlineStr">
        <x:is>
          <x:t xml:space="preserve">Review</x:t>
        </x:is>
      </x:c>
      <x:c r="T63" s="523" t="inlineStr">
        <x:is>
          <x:t xml:space="preserve">No</x:t>
        </x:is>
      </x:c>
      <x:c r="U63" s="523" t="inlineStr">
        <x:is>
          <x:t xml:space="preserve">Legal maps to 6; helper says 4, 5</x:t>
        </x:is>
      </x:c>
      <x:c r="V63" s="523" t="inlineStr">
        <x:is>
          <x:t xml:space="preserve">Review</x:t>
        </x:is>
      </x:c>
      <x:c r="W63" s="523" t="inlineStr">
        <x:is>
          <x:t xml:space="preserve">No — no source located</x:t>
        </x:is>
      </x:c>
      <x:c r="X63" s="523" t="inlineStr">
        <x:is>
          <x:t xml:space="preserve">Yes — on Tract 4 owner list</x:t>
        </x:is>
      </x:c>
      <x:c r="Y63" s="523" t="inlineStr">
        <x:is>
          <x:t xml:space="preserve">Candidate 1 (helper — confirm from image)</x:t>
        </x:is>
      </x:c>
      <x:c r="Z63" s="523" t="inlineStr">
        <x:is>
          <x:t xml:space="preserve">Medium — helper value</x:t>
        </x:is>
      </x:c>
      <x:c r="AA63" s="523" t="inlineStr">
        <x:is>
          <x:t xml:space="preserve">Warranty Deed — Elmo W. Kirk and Freeda Kirk, to Margie Kirk (197/116)</x:t>
        </x:is>
      </x:c>
      <x:c r="AB63" s="523" t="inlineStr">
        <x:is>
          <x:t xml:space="preserve">Needs source review: tract, no source of title</x:t>
        </x:is>
      </x:c>
    </x:row>
    <x:row r="64" s="523" customFormat="1" ht="144" customHeight="1">
      <x:c r="A64" s="513" t="inlineStr">
        <x:is>
          <x:t xml:space="preserve">1977-007503</x:t>
        </x:is>
      </x:c>
      <x:c r="B64" s="513" t="n"/>
      <x:c r="C64" s="513" t="inlineStr">
        <x:is>
          <x:t xml:space="preserve">Joint Tenancy Warranty Deed</x:t>
        </x:is>
      </x:c>
      <x:c r="D64" s="513" t="inlineStr">
        <x:is>
          <x:t xml:space="preserve">227/89</x:t>
        </x:is>
      </x:c>
      <x:c r="E64" s="514" t="n">
        <x:v>28445</x:v>
      </x:c>
      <x:c r="F64" s="515" t="n">
        <x:v>28445</x:v>
      </x:c>
      <x:c r="G64" s="516" t="inlineStr">
        <x:is>
          <x:t xml:space="preserve">Margie Kirk</x:t>
        </x:is>
      </x:c>
      <x:c r="H64" s="516" t="inlineStr">
        <x:is>
          <x:t xml:space="preserve">Gordon E. Kirk and Ella Pearl Kirk, HW, JTWROS</x:t>
        </x:is>
      </x:c>
      <x:c r="I64" s="524" t="inlineStr">
        <x:is>
          <x:t xml:space="preserve">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x:t>
        </x:is>
      </x:c>
      <x:c r="J64" s="112" t="inlineStr">
        <x:is>
          <x:t xml:space="preserve">ARTI</x:t>
        </x:is>
      </x:c>
      <x:c r="K64" s="518" t="e">
        <x:f>HYPERLINK("https://okcountyrecords.com/detail/roger+mills/1977-007503","OKCountyRecords: 1977-007503")</x:f>
      </x:c>
      <x:c r="L64" s="522" t="inlineStr">
        <x:is>
          <x:t xml:space="preserve">Mineral; basis Conv Amt(dec). Gross=tract-map basis.</x:t>
        </x:is>
      </x:c>
      <x:c r="M64" s="522" t="inlineStr">
        <x:is>
          <x:t xml:space="preserve">OK</x:t>
        </x:is>
      </x:c>
      <x:c r="N64" s="522" t="inlineStr">
        <x:is>
          <x:t xml:space="preserve">Resolved into Tract 9 chain grid: Margie Kirk → Gordon E. &amp; Ella Pearl Kirk (JTWROS).</x:t>
        </x:is>
      </x:c>
      <x:c r="O64" s="522" t="inlineStr">
        <x:is>
          <x:t xml:space="preserve">MINERAL DEED</x:t>
        </x:is>
      </x:c>
      <x:c r="P64" s="523" t="inlineStr">
        <x:is>
          <x:t xml:space="preserve">Chain — deed (confirm minerals vs surface from instrument)</x:t>
        </x:is>
      </x:c>
      <x:c r="Q64" s="523" t="inlineStr">
        <x:is>
          <x:t xml:space="preserve">Yes</x:t>
        </x:is>
      </x:c>
      <x:c r="R64" s="523" t="inlineStr">
        <x:is>
          <x:t xml:space="preserve">No</x:t>
        </x:is>
      </x:c>
      <x:c r="S64" s="523" t="inlineStr">
        <x:is>
          <x:t xml:space="preserve">Review</x:t>
        </x:is>
      </x:c>
      <x:c r="T64" s="523" t="inlineStr">
        <x:is>
          <x:t xml:space="preserve">No</x:t>
        </x:is>
      </x:c>
      <x:c r="U64" s="523" t="inlineStr">
        <x:is>
          <x:t xml:space="preserve">Legal maps to 6; helper says 4, 5</x:t>
        </x:is>
      </x:c>
      <x:c r="V64" s="523" t="inlineStr">
        <x:is>
          <x:t xml:space="preserve">Review</x:t>
        </x:is>
      </x:c>
      <x:c r="W64" s="523" t="inlineStr">
        <x:is>
          <x:t xml:space="preserve">Yes — prior grantee match</x:t>
        </x:is>
      </x:c>
      <x:c r="X64" s="523" t="inlineStr">
        <x:is>
          <x:t xml:space="preserve">Yes — on Tract 4 owner list</x:t>
        </x:is>
      </x:c>
      <x:c r="Y64" s="523" t="inlineStr">
        <x:is>
          <x:t xml:space="preserve">Candidate 1 (helper — confirm from image)</x:t>
        </x:is>
      </x:c>
      <x:c r="Z64" s="523" t="inlineStr">
        <x:is>
          <x:t xml:space="preserve">Medium — helper value</x:t>
        </x:is>
      </x:c>
      <x:c r="AA64" s="523" t="inlineStr">
        <x:is>
          <x:t xml:space="preserve">Joint Tenancy Warranty Deed — Margie Kirk to Gordon E. Kirk and Ella Pearl (227/89)</x:t>
        </x:is>
      </x:c>
      <x:c r="AB64" s="523" t="inlineStr">
        <x:is>
          <x:t xml:space="preserve">Needs source review: tract</x:t>
        </x:is>
      </x:c>
    </x:row>
    <x:row r="65" s="523" customFormat="1" ht="48" customHeight="1">
      <x:c r="A65" s="513" t="inlineStr">
        <x:is>
          <x:t xml:space="preserve">1978-002576</x:t>
        </x:is>
      </x:c>
      <x:c r="B65" s="513" t="n"/>
      <x:c r="C65" s="513" t="inlineStr">
        <x:is>
          <x:t xml:space="preserve">Mineral Deed</x:t>
        </x:is>
      </x:c>
      <x:c r="D65" s="513" t="inlineStr">
        <x:is>
          <x:t xml:space="preserve">237/367</x:t>
        </x:is>
      </x:c>
      <x:c r="E65" s="514" t="n">
        <x:v>28583</x:v>
      </x:c>
      <x:c r="F65" s="515" t="n">
        <x:v>28583</x:v>
      </x:c>
      <x:c r="G65" s="516" t="inlineStr">
        <x:is>
          <x:t xml:space="preserve">William C. Bain, a/k/a W. M. Bain, a/k/a W. C. Bain, and Eula Bain, HW</x:t>
        </x:is>
      </x:c>
      <x:c r="H65" s="516" t="inlineStr">
        <x:is>
          <x:t xml:space="preserve">Hazel A. Hamilton</x:t>
        </x:is>
      </x:c>
      <x:c r="I65" s="517" t="inlineStr">
        <x:is>
          <x:t xml:space="preserve">SW/4 NE/4, NW/4 SE/4, S/2 SE/4 of 31-12N-24W, aol</x:t>
        </x:is>
      </x:c>
      <x:c r="J65" s="112" t="inlineStr">
        <x:is>
          <x:t xml:space="preserve">40/791.47 interest in 2 sections</x:t>
        </x:is>
      </x:c>
      <x:c r="K65" s="518" t="e">
        <x:f>HYPERLINK("https://okcountyrecords.com/detail/roger+mills/1978-002576","OKCountyRecords: 1978-002576")</x:f>
      </x:c>
      <x:c r="L65" s="522" t="inlineStr">
        <x:is>
          <x:t xml:space="preserve">Mineral; basis Conv Amt(dec). Gross=tract-map basis.</x:t>
        </x:is>
      </x:c>
      <x:c r="M65" s="522" t="inlineStr">
        <x:is>
          <x:t xml:space="preserve">CURRENT OWNER SOURCE</x:t>
        </x:is>
      </x:c>
      <x:c r="N65" s="522" t="n"/>
      <x:c r="O65" s="522" t="inlineStr">
        <x:is>
          <x:t xml:space="preserve">OUTSIDE LANDS</x:t>
        </x:is>
      </x:c>
      <x:c r="P65" s="523" t="inlineStr">
        <x:is>
          <x:t xml:space="preserve">Chain — minerals</x:t>
        </x:is>
      </x:c>
      <x:c r="Q65" s="523" t="inlineStr">
        <x:is>
          <x:t xml:space="preserve">Yes</x:t>
        </x:is>
      </x:c>
      <x:c r="R65" s="523" t="inlineStr">
        <x:is>
          <x:t xml:space="preserve">No</x:t>
        </x:is>
      </x:c>
      <x:c r="S65" s="523" t="inlineStr">
        <x:is>
          <x:t xml:space="preserve">Yes</x:t>
        </x:is>
      </x:c>
      <x:c r="T65" s="523" t="inlineStr">
        <x:is>
          <x:t xml:space="preserve">No</x:t>
        </x:is>
      </x:c>
      <x:c r="U65" s="523" t="inlineStr">
        <x:is>
          <x:t xml:space="preserve">Yes: 2 (legal supports)</x:t>
        </x:is>
      </x:c>
      <x:c r="V65" s="523" t="inlineStr">
        <x:is>
          <x:t xml:space="preserve">High</x:t>
        </x:is>
      </x:c>
      <x:c r="W65" s="523" t="inlineStr">
        <x:is>
          <x:t xml:space="preserve">Probable — name-normalized match to Runsheet 19 grantee; confirm</x:t>
        </x:is>
      </x:c>
      <x:c r="X65" s="523" t="inlineStr">
        <x:is>
          <x:t xml:space="preserve">Yes — on Tract 2 owner list</x:t>
        </x:is>
      </x:c>
      <x:c r="Y65" s="523" t="inlineStr">
        <x:is>
          <x:t xml:space="preserve">Candidate 0.050538870708934 (helper — confirm from image)</x:t>
        </x:is>
      </x:c>
      <x:c r="Z65" s="523" t="inlineStr">
        <x:is>
          <x:t xml:space="preserve">Medium — helper value</x:t>
        </x:is>
      </x:c>
      <x:c r="AA65" s="523" t="inlineStr">
        <x:is>
          <x:t xml:space="preserve">Mineral Deed — William C. Bain, a/k/a W. M. B to Hazel A. Hamilton (237/367)</x:t>
        </x:is>
      </x:c>
      <x:c r="AB65" s="523" t="inlineStr">
        <x:is>
          <x:t xml:space="preserve">Needs source review: grantor source</x:t>
        </x:is>
      </x:c>
    </x:row>
    <x:row r="66" s="523" customFormat="1" ht="48" customHeight="1">
      <x:c r="A66" s="513" t="inlineStr">
        <x:is>
          <x:t xml:space="preserve">1978-002579</x:t>
        </x:is>
      </x:c>
      <x:c r="B66" s="513" t="n"/>
      <x:c r="C66" s="513" t="inlineStr">
        <x:is>
          <x:t xml:space="preserve">Mineral Deed</x:t>
        </x:is>
      </x:c>
      <x:c r="D66" s="513" t="inlineStr">
        <x:is>
          <x:t xml:space="preserve">237/370</x:t>
        </x:is>
      </x:c>
      <x:c r="E66" s="514" t="n">
        <x:v>28583</x:v>
      </x:c>
      <x:c r="F66" s="515" t="n">
        <x:v>28583</x:v>
      </x:c>
      <x:c r="G66" s="516" t="inlineStr">
        <x:is>
          <x:t xml:space="preserve">William C. Bain, a/k/a W. M. Bain, a/k/a W. C. Bain, and Eula Bain, HW</x:t>
        </x:is>
      </x:c>
      <x:c r="H66" s="516" t="inlineStr">
        <x:is>
          <x:t xml:space="preserve">Opal L. Fuchs</x:t>
        </x:is>
      </x:c>
      <x:c r="I66" s="517" t="inlineStr">
        <x:is>
          <x:t xml:space="preserve">SW/4 NE/4, NW/4 SE/4, S/2 SE/4 of 31-12N-24W, aol</x:t>
        </x:is>
      </x:c>
      <x:c r="J66" s="112" t="inlineStr">
        <x:is>
          <x:t xml:space="preserve">40/791.47 interest in 2 sections</x:t>
        </x:is>
      </x:c>
      <x:c r="K66" s="518" t="e">
        <x:f>HYPERLINK("https://okcountyrecords.com/detail/roger+mills/1978-002579","OKCountyRecords: 1978-002579")</x:f>
      </x:c>
      <x:c r="L66" s="522" t="inlineStr">
        <x:is>
          <x:t xml:space="preserve">Mineral; basis Conv Amt(dec). Gross=tract-map basis.</x:t>
        </x:is>
      </x:c>
      <x:c r="M66" s="522" t="inlineStr">
        <x:is>
          <x:t xml:space="preserve">CURRENT OWNER SOURCE</x:t>
        </x:is>
      </x:c>
      <x:c r="N66" s="522" t="n"/>
      <x:c r="O66" s="522" t="inlineStr">
        <x:is>
          <x:t xml:space="preserve">OUTSIDE LANDS</x:t>
        </x:is>
      </x:c>
      <x:c r="P66" s="523" t="inlineStr">
        <x:is>
          <x:t xml:space="preserve">Chain — minerals</x:t>
        </x:is>
      </x:c>
      <x:c r="Q66" s="523" t="inlineStr">
        <x:is>
          <x:t xml:space="preserve">Yes</x:t>
        </x:is>
      </x:c>
      <x:c r="R66" s="523" t="inlineStr">
        <x:is>
          <x:t xml:space="preserve">No</x:t>
        </x:is>
      </x:c>
      <x:c r="S66" s="523" t="inlineStr">
        <x:is>
          <x:t xml:space="preserve">Yes</x:t>
        </x:is>
      </x:c>
      <x:c r="T66" s="523" t="inlineStr">
        <x:is>
          <x:t xml:space="preserve">No</x:t>
        </x:is>
      </x:c>
      <x:c r="U66" s="523" t="inlineStr">
        <x:is>
          <x:t xml:space="preserve">Yes: 2 (legal supports)</x:t>
        </x:is>
      </x:c>
      <x:c r="V66" s="523" t="inlineStr">
        <x:is>
          <x:t xml:space="preserve">High</x:t>
        </x:is>
      </x:c>
      <x:c r="W66" s="523" t="inlineStr">
        <x:is>
          <x:t xml:space="preserve">Probable — name-normalized match to Runsheet 19 grantee; confirm</x:t>
        </x:is>
      </x:c>
      <x:c r="X66" s="523" t="inlineStr">
        <x:is>
          <x:t xml:space="preserve">Yes — on Tract 2 owner list</x:t>
        </x:is>
      </x:c>
      <x:c r="Y66" s="523" t="inlineStr">
        <x:is>
          <x:t xml:space="preserve">Candidate 0.050538870708934 (helper — confirm from image)</x:t>
        </x:is>
      </x:c>
      <x:c r="Z66" s="523" t="inlineStr">
        <x:is>
          <x:t xml:space="preserve">Medium — helper value</x:t>
        </x:is>
      </x:c>
      <x:c r="AA66" s="523" t="inlineStr">
        <x:is>
          <x:t xml:space="preserve">Mineral Deed — William C. Bain, a/k/a W. M. B to Opal L. Fuchs (237/370)</x:t>
        </x:is>
      </x:c>
      <x:c r="AB66" s="523" t="inlineStr">
        <x:is>
          <x:t xml:space="preserve">Needs source review: grantor source</x:t>
        </x:is>
      </x:c>
    </x:row>
    <x:row r="67" s="523" customFormat="1" ht="48" customHeight="1">
      <x:c r="A67" s="513" t="inlineStr">
        <x:is>
          <x:t xml:space="preserve">1978-002580</x:t>
        </x:is>
      </x:c>
      <x:c r="B67" s="513" t="n"/>
      <x:c r="C67" s="513" t="inlineStr">
        <x:is>
          <x:t xml:space="preserve">Mineral Deed</x:t>
        </x:is>
      </x:c>
      <x:c r="D67" s="513" t="inlineStr">
        <x:is>
          <x:t xml:space="preserve">237/371</x:t>
        </x:is>
      </x:c>
      <x:c r="E67" s="514" t="n">
        <x:v>28583</x:v>
      </x:c>
      <x:c r="F67" s="515" t="n">
        <x:v>28583</x:v>
      </x:c>
      <x:c r="G67" s="516" t="inlineStr">
        <x:is>
          <x:t xml:space="preserve">William C. Bain, a/k/a W. M. Bain, a/k/a W. C. Bain, and Eula Bain, HW</x:t>
        </x:is>
      </x:c>
      <x:c r="H67" s="516" t="inlineStr">
        <x:is>
          <x:t xml:space="preserve">Carl L. Bain</x:t>
        </x:is>
      </x:c>
      <x:c r="I67" s="517" t="inlineStr">
        <x:is>
          <x:t xml:space="preserve">SW/4 NE/4, NW/4 SE/4, S/2 SE/4 of 31-12N-24W, aol</x:t>
        </x:is>
      </x:c>
      <x:c r="J67" s="112" t="inlineStr">
        <x:is>
          <x:t xml:space="preserve">40/791.47 interest in 2 sections</x:t>
        </x:is>
      </x:c>
      <x:c r="K67" s="518" t="e">
        <x:f>HYPERLINK("https://okcountyrecords.com/detail/roger+mills/1978-002580","OKCountyRecords: 1978-002580")</x:f>
      </x:c>
      <x:c r="L67" s="522" t="inlineStr">
        <x:is>
          <x:t xml:space="preserve">Mineral; basis Conv Amt(dec). Gross=tract-map basis.</x:t>
        </x:is>
      </x:c>
      <x:c r="M67" s="522" t="inlineStr">
        <x:is>
          <x:t xml:space="preserve">CURRENT OWNER SOURCE</x:t>
        </x:is>
      </x:c>
      <x:c r="N67" s="522" t="n"/>
      <x:c r="O67" s="522" t="inlineStr">
        <x:is>
          <x:t xml:space="preserve">OUTSIDE LANDS</x:t>
        </x:is>
      </x:c>
      <x:c r="P67" s="523" t="inlineStr">
        <x:is>
          <x:t xml:space="preserve">Chain — minerals</x:t>
        </x:is>
      </x:c>
      <x:c r="Q67" s="523" t="inlineStr">
        <x:is>
          <x:t xml:space="preserve">Yes</x:t>
        </x:is>
      </x:c>
      <x:c r="R67" s="523" t="inlineStr">
        <x:is>
          <x:t xml:space="preserve">No</x:t>
        </x:is>
      </x:c>
      <x:c r="S67" s="523" t="inlineStr">
        <x:is>
          <x:t xml:space="preserve">Yes</x:t>
        </x:is>
      </x:c>
      <x:c r="T67" s="523" t="inlineStr">
        <x:is>
          <x:t xml:space="preserve">No</x:t>
        </x:is>
      </x:c>
      <x:c r="U67" s="523" t="inlineStr">
        <x:is>
          <x:t xml:space="preserve">Yes: 2 (legal supports)</x:t>
        </x:is>
      </x:c>
      <x:c r="V67" s="523" t="inlineStr">
        <x:is>
          <x:t xml:space="preserve">High</x:t>
        </x:is>
      </x:c>
      <x:c r="W67" s="523" t="inlineStr">
        <x:is>
          <x:t xml:space="preserve">Probable — name-normalized match to Runsheet 19 grantee; confirm</x:t>
        </x:is>
      </x:c>
      <x:c r="X67" s="523" t="inlineStr">
        <x:is>
          <x:t xml:space="preserve">Yes — on Tract 2 owner list</x:t>
        </x:is>
      </x:c>
      <x:c r="Y67" s="523" t="inlineStr">
        <x:is>
          <x:t xml:space="preserve">Candidate 0.050538870708934 (helper — confirm from image)</x:t>
        </x:is>
      </x:c>
      <x:c r="Z67" s="523" t="inlineStr">
        <x:is>
          <x:t xml:space="preserve">Medium — helper value</x:t>
        </x:is>
      </x:c>
      <x:c r="AA67" s="523" t="inlineStr">
        <x:is>
          <x:t xml:space="preserve">Mineral Deed — William C. Bain, a/k/a W. M. B to Carl L. Bain (237/371)</x:t>
        </x:is>
      </x:c>
      <x:c r="AB67" s="523" t="inlineStr">
        <x:is>
          <x:t xml:space="preserve">Needs source review: grantor source</x:t>
        </x:is>
      </x:c>
    </x:row>
    <x:row r="68" s="523" customFormat="1" ht="48" customHeight="1">
      <x:c r="A68" s="513" t="inlineStr">
        <x:is>
          <x:t xml:space="preserve">1978-002581</x:t>
        </x:is>
      </x:c>
      <x:c r="B68" s="513" t="n"/>
      <x:c r="C68" s="513" t="inlineStr">
        <x:is>
          <x:t xml:space="preserve">Mineral Deed</x:t>
        </x:is>
      </x:c>
      <x:c r="D68" s="513" t="inlineStr">
        <x:is>
          <x:t xml:space="preserve">237/372</x:t>
        </x:is>
      </x:c>
      <x:c r="E68" s="514" t="n">
        <x:v>28583</x:v>
      </x:c>
      <x:c r="F68" s="515" t="n">
        <x:v>28583</x:v>
      </x:c>
      <x:c r="G68" s="516" t="inlineStr">
        <x:is>
          <x:t xml:space="preserve">William C. Bain, a/k/a W. M. Bain, a/k/a W. C. Bain, and Eula Bain, HW</x:t>
        </x:is>
      </x:c>
      <x:c r="H68" s="516" t="inlineStr">
        <x:is>
          <x:t xml:space="preserve">Dow C. Bain</x:t>
        </x:is>
      </x:c>
      <x:c r="I68" s="517" t="inlineStr">
        <x:is>
          <x:t xml:space="preserve">SW/4 NE/4, NW/4 SE/4, S/2 SE/4 of 31-12N-24W, aol</x:t>
        </x:is>
      </x:c>
      <x:c r="J68" s="112" t="inlineStr">
        <x:is>
          <x:t xml:space="preserve">40/791.47 interest in 2 sections</x:t>
        </x:is>
      </x:c>
      <x:c r="K68" s="518" t="e">
        <x:f>HYPERLINK("https://okcountyrecords.com/detail/roger+mills/1978-002581","OKCountyRecords: 1978-002581")</x:f>
      </x:c>
      <x:c r="L68" s="522" t="inlineStr">
        <x:is>
          <x:t xml:space="preserve">Mineral; basis Conv Amt(dec). Gross=tract-map basis.</x:t>
        </x:is>
      </x:c>
      <x:c r="M68" s="522" t="n"/>
      <x:c r="N68" s="522" t="n"/>
      <x:c r="O68" s="522" t="inlineStr">
        <x:is>
          <x:t xml:space="preserve">OUTSIDE LANDS</x:t>
        </x:is>
      </x:c>
      <x:c r="P68" s="523" t="inlineStr">
        <x:is>
          <x:t xml:space="preserve">Chain — minerals</x:t>
        </x:is>
      </x:c>
      <x:c r="Q68" s="523" t="inlineStr">
        <x:is>
          <x:t xml:space="preserve">Yes</x:t>
        </x:is>
      </x:c>
      <x:c r="R68" s="523" t="inlineStr">
        <x:is>
          <x:t xml:space="preserve">No</x:t>
        </x:is>
      </x:c>
      <x:c r="S68" s="523" t="inlineStr">
        <x:is>
          <x:t xml:space="preserve">Yes</x:t>
        </x:is>
      </x:c>
      <x:c r="T68" s="523" t="inlineStr">
        <x:is>
          <x:t xml:space="preserve">No</x:t>
        </x:is>
      </x:c>
      <x:c r="U68" s="523" t="inlineStr">
        <x:is>
          <x:t xml:space="preserve">Yes: 2 (legal supports)</x:t>
        </x:is>
      </x:c>
      <x:c r="V68" s="523" t="inlineStr">
        <x:is>
          <x:t xml:space="preserve">High</x:t>
        </x:is>
      </x:c>
      <x:c r="W68" s="523" t="inlineStr">
        <x:is>
          <x:t xml:space="preserve">Probable — name-normalized match to Runsheet 19 grantee; confirm</x:t>
        </x:is>
      </x:c>
      <x:c r="X68" s="523" t="inlineStr">
        <x:is>
          <x:t xml:space="preserve">Yes — on Tract 2 owner list</x:t>
        </x:is>
      </x:c>
      <x:c r="Y68" s="523" t="inlineStr">
        <x:is>
          <x:t xml:space="preserve">Candidate 0.050538870708934 (helper — confirm from image)</x:t>
        </x:is>
      </x:c>
      <x:c r="Z68" s="523" t="inlineStr">
        <x:is>
          <x:t xml:space="preserve">Medium — helper value</x:t>
        </x:is>
      </x:c>
      <x:c r="AA68" s="523" t="inlineStr">
        <x:is>
          <x:t xml:space="preserve">Mineral Deed — William C. Bain, a/k/a W. M. B to Dow C. Bain (237/372)</x:t>
        </x:is>
      </x:c>
      <x:c r="AB68" s="523" t="inlineStr">
        <x:is>
          <x:t xml:space="preserve">Needs source review: grantor source</x:t>
        </x:is>
      </x:c>
    </x:row>
    <x:row r="69" s="523" customFormat="1" ht="48" customHeight="1">
      <x:c r="A69" s="513" t="inlineStr">
        <x:is>
          <x:t xml:space="preserve">1978-002582</x:t>
        </x:is>
      </x:c>
      <x:c r="B69" s="513" t="n"/>
      <x:c r="C69" s="513" t="inlineStr">
        <x:is>
          <x:t xml:space="preserve">Mineral Deed</x:t>
        </x:is>
      </x:c>
      <x:c r="D69" s="513" t="inlineStr">
        <x:is>
          <x:t xml:space="preserve">237/373</x:t>
        </x:is>
      </x:c>
      <x:c r="E69" s="514" t="n">
        <x:v>28583</x:v>
      </x:c>
      <x:c r="F69" s="515" t="n">
        <x:v>28583</x:v>
      </x:c>
      <x:c r="G69" s="516" t="inlineStr">
        <x:is>
          <x:t xml:space="preserve">William C. Bain, a/k/a W. M. Bain, a/k/a W. C. Bain, and Eula Bain, HW</x:t>
        </x:is>
      </x:c>
      <x:c r="H69" s="516" t="inlineStr">
        <x:is>
          <x:t xml:space="preserve">Wilda E. Jensen</x:t>
        </x:is>
      </x:c>
      <x:c r="I69" s="517" t="inlineStr">
        <x:is>
          <x:t xml:space="preserve">SW/4 NE/4, NW/4 SE/4, S/2 SE/4 of 31-12N-24W, aol</x:t>
        </x:is>
      </x:c>
      <x:c r="J69" s="112" t="inlineStr">
        <x:is>
          <x:t xml:space="preserve">40/791.47 interest in 2 sections</x:t>
        </x:is>
      </x:c>
      <x:c r="K69" s="518" t="e">
        <x:f>HYPERLINK("https://okcountyrecords.com/detail/roger+mills/1978-002582","OKCountyRecords: 1978-002582")</x:f>
      </x:c>
      <x:c r="L69" s="522" t="inlineStr">
        <x:is>
          <x:t xml:space="preserve">Mineral; basis Conv Amt(dec). Gross=tract-map basis.</x:t>
        </x:is>
      </x:c>
      <x:c r="M69" s="522" t="inlineStr">
        <x:is>
          <x:t xml:space="preserve">CURRENT OWNER SOURCE</x:t>
        </x:is>
      </x:c>
      <x:c r="N69" s="522" t="n"/>
      <x:c r="O69" s="522" t="inlineStr">
        <x:is>
          <x:t xml:space="preserve">OUTSIDE LANDS</x:t>
        </x:is>
      </x:c>
      <x:c r="P69" s="523" t="inlineStr">
        <x:is>
          <x:t xml:space="preserve">Chain — minerals</x:t>
        </x:is>
      </x:c>
      <x:c r="Q69" s="523" t="inlineStr">
        <x:is>
          <x:t xml:space="preserve">Yes</x:t>
        </x:is>
      </x:c>
      <x:c r="R69" s="523" t="inlineStr">
        <x:is>
          <x:t xml:space="preserve">No</x:t>
        </x:is>
      </x:c>
      <x:c r="S69" s="523" t="inlineStr">
        <x:is>
          <x:t xml:space="preserve">Yes</x:t>
        </x:is>
      </x:c>
      <x:c r="T69" s="523" t="inlineStr">
        <x:is>
          <x:t xml:space="preserve">No</x:t>
        </x:is>
      </x:c>
      <x:c r="U69" s="523" t="inlineStr">
        <x:is>
          <x:t xml:space="preserve">Yes: 2 (legal supports)</x:t>
        </x:is>
      </x:c>
      <x:c r="V69" s="523" t="inlineStr">
        <x:is>
          <x:t xml:space="preserve">High</x:t>
        </x:is>
      </x:c>
      <x:c r="W69" s="523" t="inlineStr">
        <x:is>
          <x:t xml:space="preserve">Probable — name-normalized match to Runsheet 19 grantee; confirm</x:t>
        </x:is>
      </x:c>
      <x:c r="X69" s="523" t="inlineStr">
        <x:is>
          <x:t xml:space="preserve">Yes — on Tract 2 owner list</x:t>
        </x:is>
      </x:c>
      <x:c r="Y69" s="523" t="inlineStr">
        <x:is>
          <x:t xml:space="preserve">Candidate 0.050538870708934 (helper — confirm from image)</x:t>
        </x:is>
      </x:c>
      <x:c r="Z69" s="523" t="inlineStr">
        <x:is>
          <x:t xml:space="preserve">Medium — helper value</x:t>
        </x:is>
      </x:c>
      <x:c r="AA69" s="523" t="inlineStr">
        <x:is>
          <x:t xml:space="preserve">Mineral Deed — William C. Bain, a/k/a W. M. B to Wilda E. Jensen (237/373)</x:t>
        </x:is>
      </x:c>
      <x:c r="AB69" s="523" t="inlineStr">
        <x:is>
          <x:t xml:space="preserve">Needs source review: grantor source</x:t>
        </x:is>
      </x:c>
    </x:row>
    <x:row r="70" s="523" customFormat="1" ht="48" customHeight="1">
      <x:c r="A70" s="513" t="inlineStr">
        <x:is>
          <x:t xml:space="preserve">1978-002583</x:t>
        </x:is>
      </x:c>
      <x:c r="B70" s="513" t="n"/>
      <x:c r="C70" s="513" t="inlineStr">
        <x:is>
          <x:t xml:space="preserve">Mineral Deed</x:t>
        </x:is>
      </x:c>
      <x:c r="D70" s="513" t="inlineStr">
        <x:is>
          <x:t xml:space="preserve">237/374</x:t>
        </x:is>
      </x:c>
      <x:c r="E70" s="514" t="n">
        <x:v>28583</x:v>
      </x:c>
      <x:c r="F70" s="515" t="n">
        <x:v>28583</x:v>
      </x:c>
      <x:c r="G70" s="516" t="inlineStr">
        <x:is>
          <x:t xml:space="preserve">William C. Bain, a/k/a W. M. Bain, a/k/a W. C. Bain, and Eula Bain, HW</x:t>
        </x:is>
      </x:c>
      <x:c r="H70" s="516" t="inlineStr">
        <x:is>
          <x:t xml:space="preserve">William C. Bain, Jr.</x:t>
        </x:is>
      </x:c>
      <x:c r="I70" s="517" t="inlineStr">
        <x:is>
          <x:t xml:space="preserve">SW/4 NE/4, NW/4 SE/4, S/2 SE/4 of 31-12N-24W, aol</x:t>
        </x:is>
      </x:c>
      <x:c r="J70" s="112" t="inlineStr">
        <x:is>
          <x:t xml:space="preserve">40/791.47 interest in 2 sections</x:t>
        </x:is>
      </x:c>
      <x:c r="K70" s="518" t="e">
        <x:f>HYPERLINK("https://okcountyrecords.com/detail/roger+mills/1978-002583","OKCountyRecords: 1978-002583")</x:f>
      </x:c>
      <x:c r="L70" s="522" t="inlineStr">
        <x:is>
          <x:t xml:space="preserve">Mineral; basis Conv Amt(dec). Gross=tract-map basis.</x:t>
        </x:is>
      </x:c>
      <x:c r="M70" s="522" t="n"/>
      <x:c r="N70" s="522" t="n"/>
      <x:c r="O70" s="522" t="inlineStr">
        <x:is>
          <x:t xml:space="preserve">OUTSIDE LANDS</x:t>
        </x:is>
      </x:c>
      <x:c r="P70" s="523" t="inlineStr">
        <x:is>
          <x:t xml:space="preserve">Chain — minerals</x:t>
        </x:is>
      </x:c>
      <x:c r="Q70" s="523" t="inlineStr">
        <x:is>
          <x:t xml:space="preserve">Yes</x:t>
        </x:is>
      </x:c>
      <x:c r="R70" s="523" t="inlineStr">
        <x:is>
          <x:t xml:space="preserve">No</x:t>
        </x:is>
      </x:c>
      <x:c r="S70" s="523" t="inlineStr">
        <x:is>
          <x:t xml:space="preserve">Yes</x:t>
        </x:is>
      </x:c>
      <x:c r="T70" s="523" t="inlineStr">
        <x:is>
          <x:t xml:space="preserve">No</x:t>
        </x:is>
      </x:c>
      <x:c r="U70" s="523" t="inlineStr">
        <x:is>
          <x:t xml:space="preserve">Yes: 2 (legal supports)</x:t>
        </x:is>
      </x:c>
      <x:c r="V70" s="523" t="inlineStr">
        <x:is>
          <x:t xml:space="preserve">High</x:t>
        </x:is>
      </x:c>
      <x:c r="W70" s="523" t="inlineStr">
        <x:is>
          <x:t xml:space="preserve">Probable — name-normalized match to Runsheet 19 grantee; confirm</x:t>
        </x:is>
      </x:c>
      <x:c r="X70" s="523" t="inlineStr">
        <x:is>
          <x:t xml:space="preserve">Review</x:t>
        </x:is>
      </x:c>
      <x:c r="Y70" s="523" t="inlineStr">
        <x:is>
          <x:t xml:space="preserve">Candidate 0.050538870708934 (helper — confirm from image)</x:t>
        </x:is>
      </x:c>
      <x:c r="Z70" s="523" t="inlineStr">
        <x:is>
          <x:t xml:space="preserve">Medium — helper value</x:t>
        </x:is>
      </x:c>
      <x:c r="AA70" s="523" t="inlineStr">
        <x:is>
          <x:t xml:space="preserve">Mineral Deed — William C. Bain, a/k/a W. M. B to William C. Bain, Jr. (237/374)</x:t>
        </x:is>
      </x:c>
      <x:c r="AB70" s="523" t="inlineStr">
        <x:is>
          <x:t xml:space="preserve">Needs source review: grantor source</x:t>
        </x:is>
      </x:c>
    </x:row>
    <x:row r="71" s="523" customFormat="1" ht="48" customHeight="1">
      <x:c r="A71" s="513" t="inlineStr">
        <x:is>
          <x:t xml:space="preserve">1978-002585</x:t>
        </x:is>
      </x:c>
      <x:c r="B71" s="513" t="n"/>
      <x:c r="C71" s="513" t="inlineStr">
        <x:is>
          <x:t xml:space="preserve">Mineral Deed</x:t>
        </x:is>
      </x:c>
      <x:c r="D71" s="513" t="inlineStr">
        <x:is>
          <x:t xml:space="preserve">237/376</x:t>
        </x:is>
      </x:c>
      <x:c r="E71" s="514" t="n">
        <x:v>28583</x:v>
      </x:c>
      <x:c r="F71" s="515" t="n">
        <x:v>28583</x:v>
      </x:c>
      <x:c r="G71" s="516" t="inlineStr">
        <x:is>
          <x:t xml:space="preserve">William C. Bain, a/k/a W. M. Bain, a/k/a W. C. Bain, and Eula Bain, HW</x:t>
        </x:is>
      </x:c>
      <x:c r="H71" s="516" t="inlineStr">
        <x:is>
          <x:t xml:space="preserve">Billy W. Bain</x:t>
        </x:is>
      </x:c>
      <x:c r="I71" s="517" t="inlineStr">
        <x:is>
          <x:t xml:space="preserve">SW/4 NE/4, NW/4 SE/4, S/2 SE/4 of 31-12N-24W, aol</x:t>
        </x:is>
      </x:c>
      <x:c r="J71" s="112" t="inlineStr">
        <x:is>
          <x:t xml:space="preserve">40/791.47 interest in 2 sections</x:t>
        </x:is>
      </x:c>
      <x:c r="K71" s="518" t="e">
        <x:f>HYPERLINK("https://okcountyrecords.com/detail/roger+mills/1978-002585","OKCountyRecords: 1978-002585")</x:f>
      </x:c>
      <x:c r="L71" s="522" t="inlineStr">
        <x:is>
          <x:t xml:space="preserve">Mineral; basis Conv Amt(dec). Gross=tract-map basis.</x:t>
        </x:is>
      </x:c>
      <x:c r="M71" s="522" t="inlineStr">
        <x:is>
          <x:t xml:space="preserve">CURRENT OWNER SOURCE</x:t>
        </x:is>
      </x:c>
      <x:c r="N71" s="522" t="n"/>
      <x:c r="O71" s="522" t="inlineStr">
        <x:is>
          <x:t xml:space="preserve">OUTSIDE LANDS</x:t>
        </x:is>
      </x:c>
      <x:c r="P71" s="523" t="inlineStr">
        <x:is>
          <x:t xml:space="preserve">Chain — minerals</x:t>
        </x:is>
      </x:c>
      <x:c r="Q71" s="523" t="inlineStr">
        <x:is>
          <x:t xml:space="preserve">Yes</x:t>
        </x:is>
      </x:c>
      <x:c r="R71" s="523" t="inlineStr">
        <x:is>
          <x:t xml:space="preserve">No</x:t>
        </x:is>
      </x:c>
      <x:c r="S71" s="523" t="inlineStr">
        <x:is>
          <x:t xml:space="preserve">Yes</x:t>
        </x:is>
      </x:c>
      <x:c r="T71" s="523" t="inlineStr">
        <x:is>
          <x:t xml:space="preserve">No</x:t>
        </x:is>
      </x:c>
      <x:c r="U71" s="523" t="inlineStr">
        <x:is>
          <x:t xml:space="preserve">Yes: 2 (legal supports)</x:t>
        </x:is>
      </x:c>
      <x:c r="V71" s="523" t="inlineStr">
        <x:is>
          <x:t xml:space="preserve">High</x:t>
        </x:is>
      </x:c>
      <x:c r="W71" s="523" t="inlineStr">
        <x:is>
          <x:t xml:space="preserve">Probable — name-normalized match to Runsheet 70 grantee; confirm</x:t>
        </x:is>
      </x:c>
      <x:c r="X71" s="523" t="inlineStr">
        <x:is>
          <x:t xml:space="preserve">Review</x:t>
        </x:is>
      </x:c>
      <x:c r="Y71" s="523" t="inlineStr">
        <x:is>
          <x:t xml:space="preserve">Candidate 0.050538870708934 (helper — confirm from image)</x:t>
        </x:is>
      </x:c>
      <x:c r="Z71" s="523" t="inlineStr">
        <x:is>
          <x:t xml:space="preserve">Medium — helper value</x:t>
        </x:is>
      </x:c>
      <x:c r="AA71" s="523" t="inlineStr">
        <x:is>
          <x:t xml:space="preserve">Mineral Deed — William C. Bain, a/k/a W. M. B to Billy W. Bain (237/376)</x:t>
        </x:is>
      </x:c>
      <x:c r="AB71" s="523" t="inlineStr">
        <x:is>
          <x:t xml:space="preserve">Needs source review: grantor source</x:t>
        </x:is>
      </x:c>
    </x:row>
    <x:row r="72" s="523" customFormat="1" ht="48" customHeight="1">
      <x:c r="A72" s="513" t="inlineStr">
        <x:is>
          <x:t xml:space="preserve">1978-002584</x:t>
        </x:is>
      </x:c>
      <x:c r="B72" s="513" t="n"/>
      <x:c r="C72" s="513" t="inlineStr">
        <x:is>
          <x:t xml:space="preserve">Mineral Deed</x:t>
        </x:is>
      </x:c>
      <x:c r="D72" s="513" t="inlineStr">
        <x:is>
          <x:t xml:space="preserve">237/375</x:t>
        </x:is>
      </x:c>
      <x:c r="E72" s="514" t="n">
        <x:v>28584</x:v>
      </x:c>
      <x:c r="F72" s="515" t="n">
        <x:v>28584</x:v>
      </x:c>
      <x:c r="G72" s="516" t="inlineStr">
        <x:is>
          <x:t xml:space="preserve">William C. Bain, a/k/a W. M. Bain, a/k/a W. C. Bain, and Eula Bain, HW</x:t>
        </x:is>
      </x:c>
      <x:c r="H72" s="516" t="inlineStr">
        <x:is>
          <x:t xml:space="preserve">Juanita M. Wolff</x:t>
        </x:is>
      </x:c>
      <x:c r="I72" s="517" t="inlineStr">
        <x:is>
          <x:t xml:space="preserve">SW/4 NE/4, NW/4 SE/4, S/2 SE/4 of 31-12N-24W, aol</x:t>
        </x:is>
      </x:c>
      <x:c r="J72" s="112" t="inlineStr">
        <x:is>
          <x:t xml:space="preserve">40/791.47 interest in 2 sections</x:t>
        </x:is>
      </x:c>
      <x:c r="K72" s="518" t="e">
        <x:f>HYPERLINK("https://okcountyrecords.com/detail/roger+mills/1978-002584","OKCountyRecords: 1978-002584")</x:f>
      </x:c>
      <x:c r="L72" s="522" t="inlineStr">
        <x:is>
          <x:t xml:space="preserve">Mineral; basis Conv Amt(dec). Gross=tract-map basis.</x:t>
        </x:is>
      </x:c>
      <x:c r="M72" s="522" t="inlineStr">
        <x:is>
          <x:t xml:space="preserve">CURRENT OWNER SOURCE</x:t>
        </x:is>
      </x:c>
      <x:c r="N72" s="522" t="n"/>
      <x:c r="O72" s="522" t="inlineStr">
        <x:is>
          <x:t xml:space="preserve">OUTSIDE LANDS</x:t>
        </x:is>
      </x:c>
      <x:c r="P72" s="523" t="inlineStr">
        <x:is>
          <x:t xml:space="preserve">Chain — minerals</x:t>
        </x:is>
      </x:c>
      <x:c r="Q72" s="523" t="inlineStr">
        <x:is>
          <x:t xml:space="preserve">Yes</x:t>
        </x:is>
      </x:c>
      <x:c r="R72" s="523" t="inlineStr">
        <x:is>
          <x:t xml:space="preserve">No</x:t>
        </x:is>
      </x:c>
      <x:c r="S72" s="523" t="inlineStr">
        <x:is>
          <x:t xml:space="preserve">Yes</x:t>
        </x:is>
      </x:c>
      <x:c r="T72" s="523" t="inlineStr">
        <x:is>
          <x:t xml:space="preserve">No</x:t>
        </x:is>
      </x:c>
      <x:c r="U72" s="523" t="inlineStr">
        <x:is>
          <x:t xml:space="preserve">Yes: 2 (legal supports)</x:t>
        </x:is>
      </x:c>
      <x:c r="V72" s="523" t="inlineStr">
        <x:is>
          <x:t xml:space="preserve">High</x:t>
        </x:is>
      </x:c>
      <x:c r="W72" s="523" t="inlineStr">
        <x:is>
          <x:t xml:space="preserve">Probable — name-normalized match to Runsheet 70 grantee; confirm</x:t>
        </x:is>
      </x:c>
      <x:c r="X72" s="523" t="inlineStr">
        <x:is>
          <x:t xml:space="preserve">Yes — on Tract 2 owner list</x:t>
        </x:is>
      </x:c>
      <x:c r="Y72" s="523" t="inlineStr">
        <x:is>
          <x:t xml:space="preserve">Candidate 0.050538870708934 (helper — confirm from image)</x:t>
        </x:is>
      </x:c>
      <x:c r="Z72" s="523" t="inlineStr">
        <x:is>
          <x:t xml:space="preserve">Medium — helper value</x:t>
        </x:is>
      </x:c>
      <x:c r="AA72" s="523" t="inlineStr">
        <x:is>
          <x:t xml:space="preserve">Mineral Deed — William C. Bain, a/k/a W. M. B to Juanita M. Wolff (237/375)</x:t>
        </x:is>
      </x:c>
      <x:c r="AB72" s="523" t="inlineStr">
        <x:is>
          <x:t xml:space="preserve">Needs source review: grantor source</x:t>
        </x:is>
      </x:c>
    </x:row>
    <x:row r="73" s="523" customFormat="1" ht="60" customHeight="1">
      <x:c r="A73" s="513" t="inlineStr">
        <x:is>
          <x:t xml:space="preserve">1978-005886</x:t>
        </x:is>
      </x:c>
      <x:c r="B73" s="513" t="n"/>
      <x:c r="C73" s="513" t="inlineStr">
        <x:is>
          <x:t xml:space="preserve">Rental Division Order</x:t>
        </x:is>
      </x:c>
      <x:c r="D73" s="513" t="inlineStr">
        <x:is>
          <x:t xml:space="preserve">248/240</x:t>
        </x:is>
      </x:c>
      <x:c r="E73" s="514" t="n">
        <x:v>28711</x:v>
      </x:c>
      <x:c r="F73" s="515" t="n">
        <x:v>28711</x:v>
      </x:c>
      <x:c r="G73" s="516" t="inlineStr">
        <x:is>
          <x:t xml:space="preserve">Panhandle Cooperative Royalty Company</x:t>
        </x:is>
      </x:c>
      <x:c r="H73" s="516" t="inlineStr">
        <x:is>
          <x:t xml:space="preserve">C. W. Dobbins &amp; Sons, Inc.</x:t>
        </x:is>
      </x:c>
      <x:c r="I73" s="517" t="inlineStr">
        <x:is>
          <x:t xml:space="preserve">31-12N-24W</x:t>
        </x:is>
      </x:c>
      <x:c r="J73" s="112" t="inlineStr">
        <x:is>
          <x:t xml:space="preserve">Leasehold / WI</x:t>
        </x:is>
      </x:c>
      <x:c r="K73" s="518" t="e">
        <x:f>HYPERLINK("https://okcountyrecords.com/detail/roger+mills/1978-005886","OKCountyRecords: 1978-005886")</x:f>
      </x:c>
      <x:c r="L73" s="522" t="inlineStr">
        <x:is>
          <x:t xml:space="preserve">Other (non-mineral; excluded from mineral NMA). All-section coverage. Gross=tract-map basis.</x:t>
        </x:is>
      </x:c>
      <x:c r="M73" s="522" t="inlineStr">
        <x:is>
          <x:t xml:space="preserve">ADDRESS SOURCE LIKELY</x:t>
        </x:is>
      </x:c>
      <x:c r="N73" s="522" t="n"/>
      <x:c r="O73" s="522" t="inlineStr">
        <x:is>
          <x:t xml:space="preserve">AFFIDAVIT / HEIRSHIP / PROBATE</x:t>
        </x:is>
      </x:c>
      <x:c r="P73" s="523" t="inlineStr">
        <x:is>
          <x:t xml:space="preserve">No chain effect — rental division order</x:t>
        </x:is>
      </x:c>
      <x:c r="Q73" s="523" t="inlineStr">
        <x:is>
          <x:t xml:space="preserve">No</x:t>
        </x:is>
      </x:c>
      <x:c r="R73" s="523" t="inlineStr">
        <x:is>
          <x:t xml:space="preserve">No</x:t>
        </x:is>
      </x:c>
      <x:c r="S73" s="523" t="inlineStr">
        <x:is>
          <x:t xml:space="preserve">No</x:t>
        </x:is>
      </x:c>
      <x:c r="T73" s="523" t="inlineStr">
        <x:is>
          <x:t xml:space="preserve">Yes</x:t>
        </x:is>
      </x:c>
      <x:c r="U73" s="523" t="inlineStr">
        <x:is>
          <x:t xml:space="preserve">Yes: 1, 8 (broad legal)</x:t>
        </x:is>
      </x:c>
      <x:c r="V73" s="523" t="inlineStr">
        <x:is>
          <x:t xml:space="preserve">Medium</x:t>
        </x:is>
      </x:c>
      <x:c r="W73" s="523" t="inlineStr">
        <x:is>
          <x:t xml:space="preserve">Yes — prior grantee match</x:t>
        </x:is>
      </x:c>
      <x:c r="X73" s="523" t="inlineStr">
        <x:is>
          <x:t xml:space="preserve">Review</x:t>
        </x:is>
      </x:c>
      <x:c r="Y73" s="523" t="inlineStr">
        <x:is>
          <x:t xml:space="preserve">Interest amount needs review</x:t>
        </x:is>
      </x:c>
      <x:c r="Z73" s="523" t="inlineStr">
        <x:is>
          <x:t xml:space="preserve">Review</x:t>
        </x:is>
      </x:c>
      <x:c r="AA73" s="523" t="inlineStr">
        <x:is>
          <x:t xml:space="preserve">Rental Division Order — Panhandle Cooperative Royalty to C. W. Dobbins &amp; Sons, Inc. (248/240)</x:t>
        </x:is>
      </x:c>
    </x:row>
    <x:row r="74" s="523" customFormat="1" ht="108" customHeight="1">
      <x:c r="A74" s="513" t="inlineStr">
        <x:is>
          <x:t xml:space="preserve">1979-002206</x:t>
        </x:is>
      </x:c>
      <x:c r="B74" s="513" t="n"/>
      <x:c r="C74" s="513" t="inlineStr">
        <x:is>
          <x:t xml:space="preserve">Final Decree</x:t>
        </x:is>
      </x:c>
      <x:c r="D74" s="513" t="inlineStr">
        <x:is>
          <x:t xml:space="preserve">264/428</x:t>
        </x:is>
      </x:c>
      <x:c r="E74" s="514" t="n">
        <x:v>28961</x:v>
      </x:c>
      <x:c r="F74" s="515" t="n">
        <x:v>28961</x:v>
      </x:c>
      <x:c r="G74" s="516" t="inlineStr">
        <x:is>
          <x:t xml:space="preserve">Beckham County Court,
RE: In the Matter of the Estate of Lillie Campbell, Deceased</x:t>
        </x:is>
      </x:c>
      <x:c r="H74" s="516" t="inlineStr">
        <x:is>
          <x:t xml:space="preserve">Virgil Hambrook, 1/2,
Letty Atha, 1/2</x:t>
        </x:is>
      </x:c>
      <x:c r="I74" s="517" t="inlineStr">
        <x:is>
          <x:t xml:space="preserve">A tract in 31-12N-24W described as follows: Beginning at the NW Corner of the NW/4 of 31-12N-24W thence East on Section line 18.20 chains (or 72.8 rods), thence South 50 chains (or 200 rods), thence West 18.20 chains (or 72.8 rods), to Range line between Range 24 and 25, thence North on Range line 50 chains (or 200 rods) to point of beginning, containing 91 acres more or less, aol</x:t>
        </x:is>
      </x:c>
      <x:c r="J74" s="112" t="inlineStr">
        <x:is>
          <x:t xml:space="preserve">ARTI, 46 NMA</x:t>
        </x:is>
      </x:c>
      <x:c r="K74" s="518" t="e">
        <x:f>HYPERLINK("https://okcountyrecords.com/detail/roger+mills/1979-002206","OKCountyRecords: 1979-002206")</x:f>
      </x:c>
      <x:c r="L74" s="522" t="inlineStr">
        <x:is>
          <x:t xml:space="preserve">Mineral; basis Conv Amt(dec). Gross=tract-map basis.</x:t>
        </x:is>
      </x:c>
      <x:c r="M74" s="522" t="inlineStr">
        <x:is>
          <x:t xml:space="preserve">CURRENT OWNER SOURCE</x:t>
        </x:is>
      </x:c>
      <x:c r="N74" s="522" t="inlineStr">
        <x:is>
          <x:t xml:space="preserve">Conveys 46 NMA per notes; conv. dec = 46/gross. Verify denominator/tract from image.</x:t>
        </x:is>
      </x:c>
      <x:c r="O74" s="522" t="inlineStr">
        <x:is>
          <x:t xml:space="preserve">OUTSIDE LANDS</x:t>
        </x:is>
      </x:c>
      <x:c r="P74" s="523" t="inlineStr">
        <x:is>
          <x:t xml:space="preserve">Chain — title support (succession/entity/probate)</x:t>
        </x:is>
      </x:c>
      <x:c r="Q74" s="523" t="inlineStr">
        <x:is>
          <x:t xml:space="preserve">Yes</x:t>
        </x:is>
      </x:c>
      <x:c r="R74" s="523" t="inlineStr">
        <x:is>
          <x:t xml:space="preserve">No</x:t>
        </x:is>
      </x:c>
      <x:c r="S74" s="523" t="inlineStr">
        <x:is>
          <x:t xml:space="preserve">Yes</x:t>
        </x:is>
      </x:c>
      <x:c r="T74" s="523" t="inlineStr">
        <x:is>
          <x:t xml:space="preserve">No</x:t>
        </x:is>
      </x:c>
      <x:c r="U74" s="523" t="inlineStr">
        <x:is>
          <x:t xml:space="preserve">Yes: 4, 5 (broad legal)</x:t>
        </x:is>
      </x:c>
      <x:c r="V74" s="523" t="inlineStr">
        <x:is>
          <x:t xml:space="preserve">Medium</x:t>
        </x:is>
      </x:c>
      <x:c r="W74" s="523" t="inlineStr">
        <x:is>
          <x:t xml:space="preserve">Review — no exact prior-grantee match</x:t>
        </x:is>
      </x:c>
      <x:c r="X74" s="523" t="inlineStr">
        <x:is>
          <x:t xml:space="preserve">Review</x:t>
        </x:is>
      </x:c>
      <x:c r="Y74" s="523" t="inlineStr">
        <x:is>
          <x:t xml:space="preserve">Candidate 0.23 (helper — confirm from image)</x:t>
        </x:is>
      </x:c>
      <x:c r="Z74" s="523" t="inlineStr">
        <x:is>
          <x:t xml:space="preserve">Medium — helper value</x:t>
        </x:is>
      </x:c>
      <x:c r="AA74" s="523" t="inlineStr">
        <x:is>
          <x:t xml:space="preserve">Final Decree — Beckham County Court, to Virgil Hambrook, 1/2, (264/428)</x:t>
        </x:is>
      </x:c>
      <x:c r="AB74" s="523" t="inlineStr">
        <x:is>
          <x:t xml:space="preserve">Needs source review: grantor source</x:t>
        </x:is>
      </x:c>
    </x:row>
    <x:row r="75" s="523" customFormat="1" ht="60" customHeight="1">
      <x:c r="A75" s="513" t="inlineStr">
        <x:is>
          <x:t xml:space="preserve">1979-002207</x:t>
        </x:is>
      </x:c>
      <x:c r="B75" s="513" t="n"/>
      <x:c r="C75" s="513" t="inlineStr">
        <x:is>
          <x:t xml:space="preserve">Miscellaneous</x:t>
        </x:is>
      </x:c>
      <x:c r="D75" s="513" t="inlineStr">
        <x:is>
          <x:t xml:space="preserve">264/432</x:t>
        </x:is>
      </x:c>
      <x:c r="E75" s="514" t="n">
        <x:v>28961</x:v>
      </x:c>
      <x:c r="F75" s="515" t="n">
        <x:v>28961</x:v>
      </x:c>
      <x:c r="G75" s="516" t="inlineStr">
        <x:is>
          <x:t xml:space="preserve">Oklahoma Tax Commission</x:t>
        </x:is>
      </x:c>
      <x:c r="H75" s="516" t="inlineStr">
        <x:is>
          <x:t xml:space="preserve">Estate of Lillie Mae Campbell</x:t>
        </x:is>
      </x:c>
      <x:c r="I75" s="517" t="inlineStr">
        <x:is>
          <x:t xml:space="preserve">31-12N-24W, aol</x:t>
        </x:is>
      </x:c>
      <x:c r="J75" s="112" t="inlineStr">
        <x:is>
          <x:t xml:space="preserve">See instrument</x:t>
        </x:is>
      </x:c>
      <x:c r="K75" s="518" t="e">
        <x:f>HYPERLINK("https://okcountyrecords.com/detail/roger+mills/1979-002207","OKCountyRecords: 1979-002207")</x:f>
      </x:c>
      <x:c r="L75" s="522" t="inlineStr">
        <x:is>
          <x:t xml:space="preserve">Other (non-mineral; excluded from mineral NMA). All-section coverage. Gross=tract-map basis.</x:t>
        </x:is>
      </x:c>
      <x:c r="M75" s="522" t="n"/>
      <x:c r="N75" s="522" t="n"/>
      <x:c r="O75" s="522" t="inlineStr">
        <x:is>
          <x:t xml:space="preserve">OUTSIDE LANDS</x:t>
        </x:is>
      </x:c>
      <x:c r="P75" s="523" t="inlineStr">
        <x:is>
          <x:t xml:space="preserve">Review — read instrument (type unclear)</x:t>
        </x:is>
      </x:c>
      <x:c r="Q75" s="523" t="inlineStr">
        <x:is>
          <x:t xml:space="preserve">Review</x:t>
        </x:is>
      </x:c>
      <x:c r="R75" s="523" t="inlineStr">
        <x:is>
          <x:t xml:space="preserve">Review</x:t>
        </x:is>
      </x:c>
      <x:c r="S75" s="523" t="inlineStr">
        <x:is>
          <x:t xml:space="preserve">Review</x:t>
        </x:is>
      </x:c>
      <x:c r="T75" s="523" t="inlineStr">
        <x:is>
          <x:t xml:space="preserve">Review</x:t>
        </x:is>
      </x:c>
      <x:c r="U75" s="523" t="inlineStr">
        <x:is>
          <x:t xml:space="preserve">Yes: 1, 8 (broad legal)</x:t>
        </x:is>
      </x:c>
      <x:c r="V75" s="523" t="inlineStr">
        <x:is>
          <x:t xml:space="preserve">Medium</x:t>
        </x:is>
      </x:c>
      <x:c r="W75" s="523" t="inlineStr">
        <x:is>
          <x:t xml:space="preserve">Review — no exact prior-grantee match</x:t>
        </x:is>
      </x:c>
      <x:c r="X75" s="523" t="inlineStr">
        <x:is>
          <x:t xml:space="preserve">Review</x:t>
        </x:is>
      </x:c>
      <x:c r="Y75" s="523" t="inlineStr">
        <x:is>
          <x:t xml:space="preserve">Interest amount needs review</x:t>
        </x:is>
      </x:c>
      <x:c r="Z75" s="523" t="inlineStr">
        <x:is>
          <x:t xml:space="preserve">Review</x:t>
        </x:is>
      </x:c>
      <x:c r="AA75" s="523" t="inlineStr">
        <x:is>
          <x:t xml:space="preserve">Miscellaneous — Oklahoma Tax Commission to Estate of Lillie Mae Campbell (264/432)</x:t>
        </x:is>
      </x:c>
      <x:c r="AB75" s="523" t="inlineStr">
        <x:is>
          <x:t xml:space="preserve">Needs source review: grantor source, interest amount, instrument type</x:t>
        </x:is>
      </x:c>
    </x:row>
    <x:row r="76" s="523" customFormat="1" ht="48" customHeight="1">
      <x:c r="A76" s="513" t="inlineStr">
        <x:is>
          <x:t xml:space="preserve">1979-004881</x:t>
        </x:is>
      </x:c>
      <x:c r="B76" s="513" t="n"/>
      <x:c r="C76" s="513" t="inlineStr">
        <x:is>
          <x:t xml:space="preserve">Mineral Deed</x:t>
        </x:is>
      </x:c>
      <x:c r="D76" s="513" t="inlineStr">
        <x:is>
          <x:t xml:space="preserve">274/566</x:t>
        </x:is>
      </x:c>
      <x:c r="E76" s="514" t="n">
        <x:v>29094</x:v>
      </x:c>
      <x:c r="F76" s="515" t="n">
        <x:v>29094</x:v>
      </x:c>
      <x:c r="G76" s="516" t="inlineStr">
        <x:is>
          <x:t xml:space="preserve">Juanita M. Wolff</x:t>
        </x:is>
      </x:c>
      <x:c r="H76" s="516" t="inlineStr">
        <x:is>
          <x:t xml:space="preserve">Alpine Oil &amp; Royalty Company Incorporated</x:t>
        </x:is>
      </x:c>
      <x:c r="I76" s="517" t="inlineStr">
        <x:is>
          <x:t xml:space="preserve">SW/4 NE/4, NW/4 SE/4, S/2 SE/4 of 31-12N-24W, aol</x:t>
        </x:is>
      </x:c>
      <x:c r="J76" s="112" t="inlineStr">
        <x:is>
          <x:t xml:space="preserve">10/791.47 interest in 2 sections</x:t>
        </x:is>
      </x:c>
      <x:c r="K76" s="518" t="e">
        <x:f>HYPERLINK("https://okcountyrecords.com/detail/roger+mills/1979-004881","OKCountyRecords: 1979-004881")</x:f>
      </x:c>
      <x:c r="L76" s="522" t="inlineStr">
        <x:is>
          <x:t xml:space="preserve">Mineral; basis Conv Amt(dec). Gross=tract-map basis.</x:t>
        </x:is>
      </x:c>
      <x:c r="M76" s="522" t="inlineStr">
        <x:is>
          <x:t xml:space="preserve">CURRENT OWNER SOURCE</x:t>
        </x:is>
      </x:c>
      <x:c r="N76" s="522" t="n"/>
      <x:c r="O76" s="522" t="inlineStr">
        <x:is>
          <x:t xml:space="preserve">OUTSIDE LANDS</x:t>
        </x:is>
      </x:c>
      <x:c r="P76" s="523" t="inlineStr">
        <x:is>
          <x:t xml:space="preserve">Chain — minerals</x:t>
        </x:is>
      </x:c>
      <x:c r="Q76" s="523" t="inlineStr">
        <x:is>
          <x:t xml:space="preserve">Yes</x:t>
        </x:is>
      </x:c>
      <x:c r="R76" s="523" t="inlineStr">
        <x:is>
          <x:t xml:space="preserve">No</x:t>
        </x:is>
      </x:c>
      <x:c r="S76" s="523" t="inlineStr">
        <x:is>
          <x:t xml:space="preserve">Yes</x:t>
        </x:is>
      </x:c>
      <x:c r="T76" s="523" t="inlineStr">
        <x:is>
          <x:t xml:space="preserve">No</x:t>
        </x:is>
      </x:c>
      <x:c r="U76" s="523" t="inlineStr">
        <x:is>
          <x:t xml:space="preserve">Yes: 2 (legal supports)</x:t>
        </x:is>
      </x:c>
      <x:c r="V76" s="523" t="inlineStr">
        <x:is>
          <x:t xml:space="preserve">High</x:t>
        </x:is>
      </x:c>
      <x:c r="W76" s="523" t="inlineStr">
        <x:is>
          <x:t xml:space="preserve">Yes — prior grantee match</x:t>
        </x:is>
      </x:c>
      <x:c r="X76" s="523" t="inlineStr">
        <x:is>
          <x:t xml:space="preserve">Yes — on Tract 2 owner list</x:t>
        </x:is>
      </x:c>
      <x:c r="Y76" s="523" t="inlineStr">
        <x:is>
          <x:t xml:space="preserve">Candidate 0.0126347176772335 (helper — confirm from image)</x:t>
        </x:is>
      </x:c>
      <x:c r="Z76" s="523" t="inlineStr">
        <x:is>
          <x:t xml:space="preserve">Medium — helper value</x:t>
        </x:is>
      </x:c>
      <x:c r="AA76" s="523" t="inlineStr">
        <x:is>
          <x:t xml:space="preserve">Mineral Deed — Juanita M. Wolff to Alpine Oil &amp; Royalty Company I (274/566)</x:t>
        </x:is>
      </x:c>
    </x:row>
    <x:row r="77" s="523" customFormat="1" ht="60" customHeight="1">
      <x:c r="A77" s="513" t="inlineStr">
        <x:is>
          <x:t xml:space="preserve">1979-005006</x:t>
        </x:is>
      </x:c>
      <x:c r="B77" s="513" t="n"/>
      <x:c r="C77" s="513" t="inlineStr">
        <x:is>
          <x:t xml:space="preserve">Rental Division Order</x:t>
        </x:is>
      </x:c>
      <x:c r="D77" s="513" t="inlineStr">
        <x:is>
          <x:t xml:space="preserve">275/168</x:t>
        </x:is>
      </x:c>
      <x:c r="E77" s="514" t="n">
        <x:v>29102</x:v>
      </x:c>
      <x:c r="F77" s="515" t="n">
        <x:v>29102</x:v>
      </x:c>
      <x:c r="G77" s="516" t="inlineStr">
        <x:is>
          <x:t xml:space="preserve">L. E. Thurman</x:t>
        </x:is>
      </x:c>
      <x:c r="H77" s="516" t="inlineStr">
        <x:is>
          <x:t xml:space="preserve">Ghk Corporation</x:t>
        </x:is>
      </x:c>
      <x:c r="I77" s="517" t="inlineStr">
        <x:is>
          <x:t xml:space="preserve">31-12N-24W, aol</x:t>
        </x:is>
      </x:c>
      <x:c r="J77" s="112" t="inlineStr">
        <x:is>
          <x:t xml:space="preserve">Leasehold / WI</x:t>
        </x:is>
      </x:c>
      <x:c r="K77" s="518" t="e">
        <x:f>HYPERLINK("https://okcountyrecords.com/detail/roger+mills/1979-005006","OKCountyRecords: 1979-005006")</x:f>
      </x:c>
      <x:c r="L77" s="522" t="inlineStr">
        <x:is>
          <x:t xml:space="preserve">Other (non-mineral; excluded from mineral NMA). All-section coverage. Gross=tract-map basis.</x:t>
        </x:is>
      </x:c>
      <x:c r="M77" s="522" t="inlineStr">
        <x:is>
          <x:t xml:space="preserve">ADDRESS SOURCE LIKELY</x:t>
        </x:is>
      </x:c>
      <x:c r="N77" s="522" t="n"/>
      <x:c r="O77" s="522" t="inlineStr">
        <x:is>
          <x:t xml:space="preserve">OUTSIDE LANDS</x:t>
        </x:is>
      </x:c>
      <x:c r="P77" s="523" t="inlineStr">
        <x:is>
          <x:t xml:space="preserve">No chain effect — rental division order</x:t>
        </x:is>
      </x:c>
      <x:c r="Q77" s="523" t="inlineStr">
        <x:is>
          <x:t xml:space="preserve">No</x:t>
        </x:is>
      </x:c>
      <x:c r="R77" s="523" t="inlineStr">
        <x:is>
          <x:t xml:space="preserve">No</x:t>
        </x:is>
      </x:c>
      <x:c r="S77" s="523" t="inlineStr">
        <x:is>
          <x:t xml:space="preserve">No</x:t>
        </x:is>
      </x:c>
      <x:c r="T77" s="523" t="inlineStr">
        <x:is>
          <x:t xml:space="preserve">Yes</x:t>
        </x:is>
      </x:c>
      <x:c r="U77" s="523" t="inlineStr">
        <x:is>
          <x:t xml:space="preserve">Yes: 1, 8 (broad legal)</x:t>
        </x:is>
      </x:c>
      <x:c r="V77" s="523" t="inlineStr">
        <x:is>
          <x:t xml:space="preserve">Medium</x:t>
        </x:is>
      </x:c>
      <x:c r="W77" s="523" t="inlineStr">
        <x:is>
          <x:t xml:space="preserve">Review — no exact prior-grantee match</x:t>
        </x:is>
      </x:c>
      <x:c r="X77" s="523" t="inlineStr">
        <x:is>
          <x:t xml:space="preserve">Review</x:t>
        </x:is>
      </x:c>
      <x:c r="Y77" s="523" t="inlineStr">
        <x:is>
          <x:t xml:space="preserve">Interest amount needs review</x:t>
        </x:is>
      </x:c>
      <x:c r="Z77" s="523" t="inlineStr">
        <x:is>
          <x:t xml:space="preserve">Review</x:t>
        </x:is>
      </x:c>
      <x:c r="AA77" s="523" t="inlineStr">
        <x:is>
          <x:t xml:space="preserve">Rental Division Order — L. E. Thurman to Ghk Corporation (275/168)</x:t>
        </x:is>
      </x:c>
      <x:c r="AB77" s="523" t="inlineStr">
        <x:is>
          <x:t xml:space="preserve">Needs source review: grantor source</x:t>
        </x:is>
      </x:c>
    </x:row>
    <x:row r="78" s="523" customFormat="1" ht="60" customHeight="1">
      <x:c r="A78" s="513" t="inlineStr">
        <x:is>
          <x:t xml:space="preserve">1979-005007</x:t>
        </x:is>
      </x:c>
      <x:c r="B78" s="513" t="n"/>
      <x:c r="C78" s="513" t="inlineStr">
        <x:is>
          <x:t xml:space="preserve">Rental Division Order</x:t>
        </x:is>
      </x:c>
      <x:c r="D78" s="513" t="inlineStr">
        <x:is>
          <x:t xml:space="preserve">275/170</x:t>
        </x:is>
      </x:c>
      <x:c r="E78" s="514" t="n">
        <x:v>29102</x:v>
      </x:c>
      <x:c r="F78" s="515" t="n">
        <x:v>29102</x:v>
      </x:c>
      <x:c r="G78" s="516" t="inlineStr">
        <x:is>
          <x:t xml:space="preserve">L. E. Thurman</x:t>
        </x:is>
      </x:c>
      <x:c r="H78" s="516" t="inlineStr">
        <x:is>
          <x:t xml:space="preserve">Ghk Corporation</x:t>
        </x:is>
      </x:c>
      <x:c r="I78" s="517" t="inlineStr">
        <x:is>
          <x:t xml:space="preserve">31-12N-24W, aol</x:t>
        </x:is>
      </x:c>
      <x:c r="J78" s="112" t="inlineStr">
        <x:is>
          <x:t xml:space="preserve">Leasehold / WI</x:t>
        </x:is>
      </x:c>
      <x:c r="K78" s="518" t="e">
        <x:f>HYPERLINK("https://okcountyrecords.com/detail/roger+mills/1979-005007","OKCountyRecords: 1979-005007")</x:f>
      </x:c>
      <x:c r="L78" s="522" t="inlineStr">
        <x:is>
          <x:t xml:space="preserve">Other (non-mineral; excluded from mineral NMA). All-section coverage. Gross=tract-map basis.</x:t>
        </x:is>
      </x:c>
      <x:c r="M78" s="522" t="inlineStr">
        <x:is>
          <x:t xml:space="preserve">ADDRESS SOURCE LIKELY</x:t>
        </x:is>
      </x:c>
      <x:c r="N78" s="522" t="n"/>
      <x:c r="O78" s="522" t="inlineStr">
        <x:is>
          <x:t xml:space="preserve">OUTSIDE LANDS</x:t>
        </x:is>
      </x:c>
      <x:c r="P78" s="523" t="inlineStr">
        <x:is>
          <x:t xml:space="preserve">No chain effect — rental division order</x:t>
        </x:is>
      </x:c>
      <x:c r="Q78" s="523" t="inlineStr">
        <x:is>
          <x:t xml:space="preserve">No</x:t>
        </x:is>
      </x:c>
      <x:c r="R78" s="523" t="inlineStr">
        <x:is>
          <x:t xml:space="preserve">No</x:t>
        </x:is>
      </x:c>
      <x:c r="S78" s="523" t="inlineStr">
        <x:is>
          <x:t xml:space="preserve">No</x:t>
        </x:is>
      </x:c>
      <x:c r="T78" s="523" t="inlineStr">
        <x:is>
          <x:t xml:space="preserve">Yes</x:t>
        </x:is>
      </x:c>
      <x:c r="U78" s="523" t="inlineStr">
        <x:is>
          <x:t xml:space="preserve">Yes: 1, 8 (broad legal)</x:t>
        </x:is>
      </x:c>
      <x:c r="V78" s="523" t="inlineStr">
        <x:is>
          <x:t xml:space="preserve">Medium</x:t>
        </x:is>
      </x:c>
      <x:c r="W78" s="523" t="inlineStr">
        <x:is>
          <x:t xml:space="preserve">Review — no exact prior-grantee match</x:t>
        </x:is>
      </x:c>
      <x:c r="X78" s="523" t="inlineStr">
        <x:is>
          <x:t xml:space="preserve">Review</x:t>
        </x:is>
      </x:c>
      <x:c r="Y78" s="523" t="inlineStr">
        <x:is>
          <x:t xml:space="preserve">Interest amount needs review</x:t>
        </x:is>
      </x:c>
      <x:c r="Z78" s="523" t="inlineStr">
        <x:is>
          <x:t xml:space="preserve">Review</x:t>
        </x:is>
      </x:c>
      <x:c r="AA78" s="523" t="inlineStr">
        <x:is>
          <x:t xml:space="preserve">Rental Division Order — L. E. Thurman to Ghk Corporation (275/170)</x:t>
        </x:is>
      </x:c>
      <x:c r="AB78" s="523" t="inlineStr">
        <x:is>
          <x:t xml:space="preserve">Needs source review: grantor source</x:t>
        </x:is>
      </x:c>
    </x:row>
    <x:row r="79" s="523" customFormat="1" ht="60" customHeight="1">
      <x:c r="A79" s="513" t="inlineStr">
        <x:is>
          <x:t xml:space="preserve">1979-005655</x:t>
        </x:is>
      </x:c>
      <x:c r="B79" s="513" t="n"/>
      <x:c r="C79" s="513" t="inlineStr">
        <x:is>
          <x:t xml:space="preserve">Mineral Deed</x:t>
        </x:is>
      </x:c>
      <x:c r="D79" s="513" t="inlineStr">
        <x:is>
          <x:t xml:space="preserve">277/64</x:t>
        </x:is>
      </x:c>
      <x:c r="E79" s="514" t="n">
        <x:v>29126</x:v>
      </x:c>
      <x:c r="F79" s="515" t="n">
        <x:v>29132</x:v>
      </x:c>
      <x:c r="G79" s="516" t="inlineStr">
        <x:is>
          <x:t xml:space="preserve">Panhandle Cooperative Royalty Co.</x:t>
        </x:is>
      </x:c>
      <x:c r="H79" s="516" t="inlineStr">
        <x:is>
          <x:t xml:space="preserve">Panhandle Royalty Company</x:t>
        </x:is>
      </x:c>
      <x:c r="I79" s="517" t="inlineStr">
        <x:is>
          <x:t xml:space="preserve">N/2 NE/4, W/2 NW/4 of 31-12N-24W, aol</x:t>
        </x:is>
      </x:c>
      <x:c r="J79" s="112" t="inlineStr">
        <x:is>
          <x:t xml:space="preserve">ARTI (60 ac.) see 838/162, 838/173</x:t>
        </x:is>
      </x:c>
      <x:c r="K79" s="518" t="e">
        <x:f>HYPERLINK("https://okcountyrecords.com/detail/roger+mills/1979-005655","OKCountyRecords: 1979-005655")</x:f>
      </x:c>
      <x:c r="L79" s="522" t="inlineStr">
        <x:is>
          <x:t xml:space="preserve">Mineral; basis Conv Amt(dec). Gross=tract-map basis.</x:t>
        </x:is>
      </x:c>
      <x:c r="M79" s="522" t="inlineStr">
        <x:is>
          <x:t xml:space="preserve">CURRENT OWNER SOURCE</x:t>
        </x:is>
      </x:c>
      <x:c r="N79" s="522" t="n"/>
      <x:c r="O79" s="522" t="inlineStr">
        <x:is>
          <x:t xml:space="preserve">OUTSIDE LANDS</x:t>
        </x:is>
      </x:c>
      <x:c r="P79" s="523" t="inlineStr">
        <x:is>
          <x:t xml:space="preserve">Chain — minerals</x:t>
        </x:is>
      </x:c>
      <x:c r="Q79" s="523" t="inlineStr">
        <x:is>
          <x:t xml:space="preserve">Yes</x:t>
        </x:is>
      </x:c>
      <x:c r="R79" s="523" t="inlineStr">
        <x:is>
          <x:t xml:space="preserve">No</x:t>
        </x:is>
      </x:c>
      <x:c r="S79" s="523" t="inlineStr">
        <x:is>
          <x:t xml:space="preserve">Yes</x:t>
        </x:is>
      </x:c>
      <x:c r="T79" s="523" t="inlineStr">
        <x:is>
          <x:t xml:space="preserve">No</x:t>
        </x:is>
      </x:c>
      <x:c r="U79" s="523" t="inlineStr">
        <x:is>
          <x:t xml:space="preserve">Yes: 1, 5 (legal supports)</x:t>
        </x:is>
      </x:c>
      <x:c r="V79" s="523" t="inlineStr">
        <x:is>
          <x:t xml:space="preserve">High</x:t>
        </x:is>
      </x:c>
      <x:c r="W79" s="523" t="inlineStr">
        <x:is>
          <x:t xml:space="preserve">Yes — prior grantee match</x:t>
        </x:is>
      </x:c>
      <x:c r="X79" s="523" t="inlineStr">
        <x:is>
          <x:t xml:space="preserve">Yes — on Tract 1 owner list</x:t>
        </x:is>
      </x:c>
      <x:c r="Y79" s="523" t="inlineStr">
        <x:is>
          <x:t xml:space="preserve">Candidate 1 (helper — confirm from image)</x:t>
        </x:is>
      </x:c>
      <x:c r="Z79" s="523" t="inlineStr">
        <x:is>
          <x:t xml:space="preserve">Medium — helper value</x:t>
        </x:is>
      </x:c>
      <x:c r="AA79" s="523" t="inlineStr">
        <x:is>
          <x:t xml:space="preserve">Mineral Deed — Panhandle Cooperative Royalty to Panhandle Royalty Company (277/64)</x:t>
        </x:is>
      </x:c>
    </x:row>
    <x:row r="80" s="523" customFormat="1" ht="48" customHeight="1">
      <x:c r="A80" s="513" t="inlineStr">
        <x:is>
          <x:t xml:space="preserve">1979-006593</x:t>
        </x:is>
      </x:c>
      <x:c r="B80" s="513" t="n"/>
      <x:c r="C80" s="513" t="inlineStr">
        <x:is>
          <x:t xml:space="preserve">Agreement</x:t>
        </x:is>
      </x:c>
      <x:c r="D80" s="513" t="inlineStr">
        <x:is>
          <x:t xml:space="preserve">280/42</x:t>
        </x:is>
      </x:c>
      <x:c r="E80" s="514" t="n">
        <x:v>29172</x:v>
      </x:c>
      <x:c r="F80" s="515" t="n">
        <x:v>29172</x:v>
      </x:c>
      <x:c r="G80" s="516" t="inlineStr">
        <x:is>
          <x:t xml:space="preserve">Crystal F. Pallo</x:t>
        </x:is>
      </x:c>
      <x:c r="H80" s="516" t="inlineStr">
        <x:is>
          <x:t xml:space="preserve">W. C. Bain Jr., Trustee</x:t>
        </x:is>
      </x:c>
      <x:c r="I80" s="517" t="inlineStr">
        <x:is>
          <x:t xml:space="preserve">SW/4 NE/4, NW/4 SE/4, S/2 SE/4 of 31-12N-24W, aol</x:t>
        </x:is>
      </x:c>
      <x:c r="J80" s="112" t="inlineStr">
        <x:is>
          <x:t xml:space="preserve">Trust
An undivided 40/791.47 interest</x:t>
        </x:is>
      </x:c>
      <x:c r="K80" s="518" t="e">
        <x:f>HYPERLINK("https://okcountyrecords.com/detail/roger+mills/1979-006593","OKCountyRecords: 1979-006593")</x:f>
      </x:c>
      <x:c r="L80" s="522" t="inlineStr">
        <x:is>
          <x:t xml:space="preserve">Other (non-mineral; excluded from mineral NMA). Gross=tract-map basis.</x:t>
        </x:is>
      </x:c>
      <x:c r="M80" s="522" t="n"/>
      <x:c r="N80" s="522" t="n"/>
      <x:c r="O80" s="522" t="inlineStr">
        <x:is>
          <x:t xml:space="preserve">OUTSIDE LANDS</x:t>
        </x:is>
      </x:c>
      <x:c r="P80" s="523" t="inlineStr">
        <x:is>
          <x:t xml:space="preserve">Review — read instrument (type unclear)</x:t>
        </x:is>
      </x:c>
      <x:c r="Q80" s="523" t="inlineStr">
        <x:is>
          <x:t xml:space="preserve">Review</x:t>
        </x:is>
      </x:c>
      <x:c r="R80" s="523" t="inlineStr">
        <x:is>
          <x:t xml:space="preserve">Review</x:t>
        </x:is>
      </x:c>
      <x:c r="S80" s="523" t="inlineStr">
        <x:is>
          <x:t xml:space="preserve">Review</x:t>
        </x:is>
      </x:c>
      <x:c r="T80" s="523" t="inlineStr">
        <x:is>
          <x:t xml:space="preserve">Review</x:t>
        </x:is>
      </x:c>
      <x:c r="U80" s="523" t="inlineStr">
        <x:is>
          <x:t xml:space="preserve">Yes: 2 (legal supports)</x:t>
        </x:is>
      </x:c>
      <x:c r="V80" s="523" t="inlineStr">
        <x:is>
          <x:t xml:space="preserve">High</x:t>
        </x:is>
      </x:c>
      <x:c r="W80" s="523" t="inlineStr">
        <x:is>
          <x:t xml:space="preserve">Review — no exact prior-grantee match</x:t>
        </x:is>
      </x:c>
      <x:c r="X80" s="523" t="inlineStr">
        <x:is>
          <x:t xml:space="preserve">Yes — on Tract 2 owner list</x:t>
        </x:is>
      </x:c>
      <x:c r="Y80" s="523" t="inlineStr">
        <x:is>
          <x:t xml:space="preserve">Interest amount needs review</x:t>
        </x:is>
      </x:c>
      <x:c r="Z80" s="523" t="inlineStr">
        <x:is>
          <x:t xml:space="preserve">Review</x:t>
        </x:is>
      </x:c>
      <x:c r="AA80" s="523" t="inlineStr">
        <x:is>
          <x:t xml:space="preserve">Agreement — Crystal F. Pallo to W. C. Bain Jr., Trustee (280/42)</x:t>
        </x:is>
      </x:c>
      <x:c r="AB80" s="523" t="inlineStr">
        <x:is>
          <x:t xml:space="preserve">Needs source review: grantor source, interest amount, instrument type</x:t>
        </x:is>
      </x:c>
    </x:row>
    <x:row r="81" s="523" customFormat="1" ht="48" customHeight="1">
      <x:c r="A81" s="513" t="inlineStr">
        <x:is>
          <x:t xml:space="preserve">1981-003445</x:t>
        </x:is>
      </x:c>
      <x:c r="B81" s="513" t="n"/>
      <x:c r="C81" s="513" t="inlineStr">
        <x:is>
          <x:t xml:space="preserve">Mineral Deed</x:t>
        </x:is>
      </x:c>
      <x:c r="D81" s="513" t="inlineStr">
        <x:is>
          <x:t xml:space="preserve">332/238</x:t>
        </x:is>
      </x:c>
      <x:c r="E81" s="514" t="n">
        <x:v>29675</x:v>
      </x:c>
      <x:c r="F81" s="515" t="n">
        <x:v>29675</x:v>
      </x:c>
      <x:c r="G81" s="516" t="inlineStr">
        <x:is>
          <x:t xml:space="preserve">L. E. Thurman</x:t>
        </x:is>
      </x:c>
      <x:c r="H81" s="516" t="inlineStr">
        <x:is>
          <x:t xml:space="preserve">Moore-Stansberry, Inc.</x:t>
        </x:is>
      </x:c>
      <x:c r="I81" s="517" t="inlineStr">
        <x:is>
          <x:t xml:space="preserve">E/2 NW/4 of 31-12N-24W</x:t>
        </x:is>
      </x:c>
      <x:c r="J81" s="112" t="inlineStr">
        <x:is>
          <x:t xml:space="preserve">11 NMA</x:t>
        </x:is>
      </x:c>
      <x:c r="K81" s="518" t="e">
        <x:f>HYPERLINK("https://okcountyrecords.com/detail/roger+mills/1981-003445","OKCountyRecords: 1981-003445")</x:f>
      </x:c>
      <x:c r="L81" s="522" t="inlineStr">
        <x:is>
          <x:t xml:space="preserve">Mineral; basis Conv Amt(dec). Gross=tract-map basis.</x:t>
        </x:is>
      </x:c>
      <x:c r="M81" s="522" t="inlineStr">
        <x:is>
          <x:t xml:space="preserve">REVIEW</x:t>
        </x:is>
      </x:c>
      <x:c r="N81" s="522" t="inlineStr">
        <x:is>
          <x:t xml:space="preserve">Conveys 11 NMA per notes; conv. dec = 11/gross. Verify denominator/tract from image.</x:t>
        </x:is>
      </x:c>
      <x:c r="O81" s="522" t="inlineStr">
        <x:is>
          <x:t xml:space="preserve">MINERAL DEED</x:t>
        </x:is>
      </x:c>
      <x:c r="P81" s="523" t="inlineStr">
        <x:is>
          <x:t xml:space="preserve">Chain — minerals</x:t>
        </x:is>
      </x:c>
      <x:c r="Q81" s="523" t="inlineStr">
        <x:is>
          <x:t xml:space="preserve">Yes</x:t>
        </x:is>
      </x:c>
      <x:c r="R81" s="523" t="inlineStr">
        <x:is>
          <x:t xml:space="preserve">No</x:t>
        </x:is>
      </x:c>
      <x:c r="S81" s="523" t="inlineStr">
        <x:is>
          <x:t xml:space="preserve">Yes</x:t>
        </x:is>
      </x:c>
      <x:c r="T81" s="523" t="inlineStr">
        <x:is>
          <x:t xml:space="preserve">No</x:t>
        </x:is>
      </x:c>
      <x:c r="U81" s="523" t="inlineStr">
        <x:is>
          <x:t xml:space="preserve">Yes: 4 (legal supports)</x:t>
        </x:is>
      </x:c>
      <x:c r="V81" s="523" t="inlineStr">
        <x:is>
          <x:t xml:space="preserve">High</x:t>
        </x:is>
      </x:c>
      <x:c r="W81" s="523" t="inlineStr">
        <x:is>
          <x:t xml:space="preserve">Review — no exact prior-grantee match</x:t>
        </x:is>
      </x:c>
      <x:c r="X81" s="523" t="inlineStr">
        <x:is>
          <x:t xml:space="preserve">Yes — on Tract 4 owner list</x:t>
        </x:is>
      </x:c>
      <x:c r="Y81" s="523" t="inlineStr">
        <x:is>
          <x:t xml:space="preserve">Candidate 0.1375 (helper — confirm from image)</x:t>
        </x:is>
      </x:c>
      <x:c r="Z81" s="523" t="inlineStr">
        <x:is>
          <x:t xml:space="preserve">Medium — helper value</x:t>
        </x:is>
      </x:c>
      <x:c r="AA81" s="523" t="inlineStr">
        <x:is>
          <x:t xml:space="preserve">Mineral Deed — L. E. Thurman to Moore-Stansberry, Inc. (332/238)</x:t>
        </x:is>
      </x:c>
      <x:c r="AB81" s="523" t="inlineStr">
        <x:is>
          <x:t xml:space="preserve">Needs source review: grantor source</x:t>
        </x:is>
      </x:c>
    </x:row>
    <x:row r="82" s="523" customFormat="1" ht="48" customHeight="1">
      <x:c r="A82" s="513" t="inlineStr">
        <x:is>
          <x:t xml:space="preserve">1981-005180</x:t>
        </x:is>
      </x:c>
      <x:c r="B82" s="513" t="n"/>
      <x:c r="C82" s="513" t="inlineStr">
        <x:is>
          <x:t xml:space="preserve">Mineral Deed</x:t>
        </x:is>
      </x:c>
      <x:c r="D82" s="513" t="inlineStr">
        <x:is>
          <x:t xml:space="preserve">341/154</x:t>
        </x:is>
      </x:c>
      <x:c r="E82" s="514" t="n">
        <x:v>29714</x:v>
      </x:c>
      <x:c r="F82" s="515" t="n">
        <x:v>29714</x:v>
      </x:c>
      <x:c r="G82" s="516" t="inlineStr">
        <x:is>
          <x:t xml:space="preserve">Glenn D. Mitchel Hazel P. Mitchel, HW</x:t>
        </x:is>
      </x:c>
      <x:c r="H82" s="516" t="inlineStr">
        <x:is>
          <x:t xml:space="preserve">Nolan E. Britton, Inc.</x:t>
        </x:is>
      </x:c>
      <x:c r="I82" s="517" t="inlineStr">
        <x:is>
          <x:t xml:space="preserve">E/2 NW/4, SE/4 NE/4, NE/4 SE/4, N/2 NE/4 SW/4 of 31-12N-24W, aol</x:t>
        </x:is>
      </x:c>
      <x:c r="J82" s="112" t="inlineStr">
        <x:is>
          <x:t xml:space="preserve">10/260 interest in 2 sections</x:t>
        </x:is>
      </x:c>
      <x:c r="K82" s="518" t="e">
        <x:f>HYPERLINK("https://okcountyrecords.com/detail/roger+mills/1981-005180","OKCountyRecords: 1981-005180")</x:f>
      </x:c>
      <x:c r="L82" s="522" t="inlineStr">
        <x:is>
          <x:t xml:space="preserve">Mineral; basis Conv Amt(dec). Gross=tract-map basis.</x:t>
        </x:is>
      </x:c>
      <x:c r="M82" s="522" t="inlineStr">
        <x:is>
          <x:t xml:space="preserve">CURRENT OWNER SOURCE</x:t>
        </x:is>
      </x:c>
      <x:c r="N82" s="522" t="n"/>
      <x:c r="O82" s="522" t="inlineStr">
        <x:is>
          <x:t xml:space="preserve">OUTSIDE LANDS</x:t>
        </x:is>
      </x:c>
      <x:c r="P82" s="523" t="inlineStr">
        <x:is>
          <x:t xml:space="preserve">Chain — minerals</x:t>
        </x:is>
      </x:c>
      <x:c r="Q82" s="523" t="inlineStr">
        <x:is>
          <x:t xml:space="preserve">Yes</x:t>
        </x:is>
      </x:c>
      <x:c r="R82" s="523" t="inlineStr">
        <x:is>
          <x:t xml:space="preserve">No</x:t>
        </x:is>
      </x:c>
      <x:c r="S82" s="523" t="inlineStr">
        <x:is>
          <x:t xml:space="preserve">Yes</x:t>
        </x:is>
      </x:c>
      <x:c r="T82" s="523" t="inlineStr">
        <x:is>
          <x:t xml:space="preserve">No</x:t>
        </x:is>
      </x:c>
      <x:c r="U82" s="523" t="inlineStr">
        <x:is>
          <x:t xml:space="preserve">Legal maps to 1, 3, 4, 7, 10; helper says 1, 3, 4, 7, 8</x:t>
        </x:is>
      </x:c>
      <x:c r="V82" s="523" t="inlineStr">
        <x:is>
          <x:t xml:space="preserve">Review</x:t>
        </x:is>
      </x:c>
      <x:c r="W82" s="523" t="inlineStr">
        <x:is>
          <x:t xml:space="preserve">Probable — name-normalized match to Runsheet 46 grantee; confirm</x:t>
        </x:is>
      </x:c>
      <x:c r="X82" s="523" t="inlineStr">
        <x:is>
          <x:t xml:space="preserve">Yes — on Tract 3 owner list</x:t>
        </x:is>
      </x:c>
      <x:c r="Y82" s="523" t="inlineStr">
        <x:is>
          <x:t xml:space="preserve">Candidate 0.0384615384615385 (helper — confirm from image)</x:t>
        </x:is>
      </x:c>
      <x:c r="Z82" s="523" t="inlineStr">
        <x:is>
          <x:t xml:space="preserve">Medium — helper value</x:t>
        </x:is>
      </x:c>
      <x:c r="AA82" s="523" t="inlineStr">
        <x:is>
          <x:t xml:space="preserve">Mineral Deed — Glenn D. Mitchel Hazel P. Mitc to Nolan E. Britton, Inc. (341/154)</x:t>
        </x:is>
      </x:c>
      <x:c r="AB82" s="523" t="inlineStr">
        <x:is>
          <x:t xml:space="preserve">Needs source review: tract, grantor source</x:t>
        </x:is>
      </x:c>
    </x:row>
    <x:row r="83" s="523" customFormat="1" ht="48" customHeight="1">
      <x:c r="A83" s="513" t="inlineStr">
        <x:is>
          <x:t xml:space="preserve">1981-005181</x:t>
        </x:is>
      </x:c>
      <x:c r="B83" s="513" t="n"/>
      <x:c r="C83" s="513" t="inlineStr">
        <x:is>
          <x:t xml:space="preserve">Mineral Deed</x:t>
        </x:is>
      </x:c>
      <x:c r="D83" s="513" t="inlineStr">
        <x:is>
          <x:t xml:space="preserve">341/155</x:t>
        </x:is>
      </x:c>
      <x:c r="E83" s="514" t="n">
        <x:v>29714</x:v>
      </x:c>
      <x:c r="F83" s="515" t="n">
        <x:v>29714</x:v>
      </x:c>
      <x:c r="G83" s="516" t="inlineStr">
        <x:is>
          <x:t xml:space="preserve">Nolan E. Britton, Inc.</x:t>
        </x:is>
      </x:c>
      <x:c r="H83" s="516" t="inlineStr">
        <x:is>
          <x:t xml:space="preserve">Chinook Resources, Inc.</x:t>
        </x:is>
      </x:c>
      <x:c r="I83" s="517" t="inlineStr">
        <x:is>
          <x:t xml:space="preserve">E/2 NW/4, SE/4 NE/4, NE/4 SE/4, N/2 NE/4 SW/4 of 31-12N-24W, aol</x:t>
        </x:is>
      </x:c>
      <x:c r="J83" s="112" t="inlineStr">
        <x:is>
          <x:t xml:space="preserve">5/260 interest in 2 sections</x:t>
        </x:is>
      </x:c>
      <x:c r="K83" s="518" t="e">
        <x:f>HYPERLINK("https://okcountyrecords.com/detail/roger+mills/1981-005181","OKCountyRecords: 1981-005181")</x:f>
      </x:c>
      <x:c r="L83" s="522" t="inlineStr">
        <x:is>
          <x:t xml:space="preserve">Mineral; basis Conv Amt(dec). Gross=tract-map basis.</x:t>
        </x:is>
      </x:c>
      <x:c r="M83" s="522" t="n"/>
      <x:c r="N83" s="522" t="n"/>
      <x:c r="O83" s="522" t="inlineStr">
        <x:is>
          <x:t xml:space="preserve">OUTSIDE LANDS</x:t>
        </x:is>
      </x:c>
      <x:c r="P83" s="523" t="inlineStr">
        <x:is>
          <x:t xml:space="preserve">Chain — minerals</x:t>
        </x:is>
      </x:c>
      <x:c r="Q83" s="523" t="inlineStr">
        <x:is>
          <x:t xml:space="preserve">Yes</x:t>
        </x:is>
      </x:c>
      <x:c r="R83" s="523" t="inlineStr">
        <x:is>
          <x:t xml:space="preserve">No</x:t>
        </x:is>
      </x:c>
      <x:c r="S83" s="523" t="inlineStr">
        <x:is>
          <x:t xml:space="preserve">Yes</x:t>
        </x:is>
      </x:c>
      <x:c r="T83" s="523" t="inlineStr">
        <x:is>
          <x:t xml:space="preserve">No</x:t>
        </x:is>
      </x:c>
      <x:c r="U83" s="523" t="inlineStr">
        <x:is>
          <x:t xml:space="preserve">Legal maps to 1, 3, 4, 7, 10; helper says 1, 3, 4, 7, 8</x:t>
        </x:is>
      </x:c>
      <x:c r="V83" s="523" t="inlineStr">
        <x:is>
          <x:t xml:space="preserve">Review</x:t>
        </x:is>
      </x:c>
      <x:c r="W83" s="523" t="inlineStr">
        <x:is>
          <x:t xml:space="preserve">Yes — prior grantee match</x:t>
        </x:is>
      </x:c>
      <x:c r="X83" s="523" t="inlineStr">
        <x:is>
          <x:t xml:space="preserve">Yes — on Tract 3 owner list</x:t>
        </x:is>
      </x:c>
      <x:c r="Y83" s="523" t="inlineStr">
        <x:is>
          <x:t xml:space="preserve">Candidate 0.0192307692307692 (helper — confirm from image)</x:t>
        </x:is>
      </x:c>
      <x:c r="Z83" s="523" t="inlineStr">
        <x:is>
          <x:t xml:space="preserve">Medium — helper value</x:t>
        </x:is>
      </x:c>
      <x:c r="AA83" s="523" t="inlineStr">
        <x:is>
          <x:t xml:space="preserve">Mineral Deed — Nolan E. Britton, Inc. to Chinook Resources, Inc. (341/155)</x:t>
        </x:is>
      </x:c>
      <x:c r="AB83" s="523" t="inlineStr">
        <x:is>
          <x:t xml:space="preserve">Needs source review: tract</x:t>
        </x:is>
      </x:c>
    </x:row>
    <x:row r="84" s="523" customFormat="1" ht="36" customHeight="1">
      <x:c r="A84" s="513" t="inlineStr">
        <x:is>
          <x:t xml:space="preserve">1981-007481</x:t>
        </x:is>
      </x:c>
      <x:c r="B84" s="513" t="n"/>
      <x:c r="C84" s="513" t="inlineStr">
        <x:is>
          <x:t xml:space="preserve">Mineral Deed</x:t>
        </x:is>
      </x:c>
      <x:c r="D84" s="513" t="inlineStr">
        <x:is>
          <x:t xml:space="preserve">355/341</x:t>
        </x:is>
      </x:c>
      <x:c r="E84" s="514" t="n">
        <x:v>29767</x:v>
      </x:c>
      <x:c r="F84" s="515" t="n">
        <x:v>29767</x:v>
      </x:c>
      <x:c r="G84" s="516" t="inlineStr">
        <x:is>
          <x:t xml:space="preserve">Moore-Stansberry, Inc.</x:t>
        </x:is>
      </x:c>
      <x:c r="H84" s="516" t="inlineStr">
        <x:is>
          <x:t xml:space="preserve">Leede Exploration</x:t>
        </x:is>
      </x:c>
      <x:c r="I84" s="517" t="inlineStr">
        <x:is>
          <x:t xml:space="preserve">E/2 NW/4 of 31-12N-24W</x:t>
        </x:is>
      </x:c>
      <x:c r="J84" s="112" t="inlineStr">
        <x:is>
          <x:t xml:space="preserve">10.725 NMA</x:t>
        </x:is>
      </x:c>
      <x:c r="K84" s="518" t="e">
        <x:f>HYPERLINK("https://okcountyrecords.com/detail/roger+mills/1981-007481","OKCountyRecords: 1981-007481")</x:f>
      </x:c>
      <x:c r="L84" s="522" t="inlineStr">
        <x:is>
          <x:t xml:space="preserve">Mineral; basis Conv Amt(dec). Gross=tract-map basis.</x:t>
        </x:is>
      </x:c>
      <x:c r="M84" s="522" t="inlineStr">
        <x:is>
          <x:t xml:space="preserve">REVIEW</x:t>
        </x:is>
      </x:c>
      <x:c r="N84" s="522" t="inlineStr">
        <x:is>
          <x:t xml:space="preserve">Conveys 10.725 NMA per notes; conv. dec = 10.725/gross. Verify denominator/tract from image.</x:t>
        </x:is>
      </x:c>
      <x:c r="O84" s="522" t="inlineStr">
        <x:is>
          <x:t xml:space="preserve">MINERAL DEED</x:t>
        </x:is>
      </x:c>
      <x:c r="P84" s="523" t="inlineStr">
        <x:is>
          <x:t xml:space="preserve">Chain — minerals</x:t>
        </x:is>
      </x:c>
      <x:c r="Q84" s="523" t="inlineStr">
        <x:is>
          <x:t xml:space="preserve">Yes</x:t>
        </x:is>
      </x:c>
      <x:c r="R84" s="523" t="inlineStr">
        <x:is>
          <x:t xml:space="preserve">No</x:t>
        </x:is>
      </x:c>
      <x:c r="S84" s="523" t="inlineStr">
        <x:is>
          <x:t xml:space="preserve">Yes</x:t>
        </x:is>
      </x:c>
      <x:c r="T84" s="523" t="inlineStr">
        <x:is>
          <x:t xml:space="preserve">No</x:t>
        </x:is>
      </x:c>
      <x:c r="U84" s="523" t="inlineStr">
        <x:is>
          <x:t xml:space="preserve">Yes: 4 (legal supports)</x:t>
        </x:is>
      </x:c>
      <x:c r="V84" s="523" t="inlineStr">
        <x:is>
          <x:t xml:space="preserve">High</x:t>
        </x:is>
      </x:c>
      <x:c r="W84" s="523" t="inlineStr">
        <x:is>
          <x:t xml:space="preserve">Yes — prior grantee match</x:t>
        </x:is>
      </x:c>
      <x:c r="X84" s="523" t="inlineStr">
        <x:is>
          <x:t xml:space="preserve">Yes — on Tract 4 owner list</x:t>
        </x:is>
      </x:c>
      <x:c r="Y84" s="523" t="inlineStr">
        <x:is>
          <x:t xml:space="preserve">Candidate 0.1340625 (helper — confirm from image)</x:t>
        </x:is>
      </x:c>
      <x:c r="Z84" s="523" t="inlineStr">
        <x:is>
          <x:t xml:space="preserve">Medium — helper value</x:t>
        </x:is>
      </x:c>
      <x:c r="AA84" s="523" t="inlineStr">
        <x:is>
          <x:t xml:space="preserve">Mineral Deed — Moore-Stansberry, Inc. to Leede Exploration (355/341)</x:t>
        </x:is>
      </x:c>
    </x:row>
    <x:row r="85" s="523" customFormat="1" ht="36" customHeight="1">
      <x:c r="A85" s="513" t="inlineStr">
        <x:is>
          <x:t xml:space="preserve">1981-009501</x:t>
        </x:is>
      </x:c>
      <x:c r="B85" s="513" t="n"/>
      <x:c r="C85" s="513" t="inlineStr">
        <x:is>
          <x:t xml:space="preserve">Mineral Deed</x:t>
        </x:is>
      </x:c>
      <x:c r="D85" s="513" t="inlineStr">
        <x:is>
          <x:t xml:space="preserve">368/272</x:t>
        </x:is>
      </x:c>
      <x:c r="E85" s="514" t="n">
        <x:v>29812</x:v>
      </x:c>
      <x:c r="F85" s="515" t="n">
        <x:v>29812</x:v>
      </x:c>
      <x:c r="G85" s="516" t="inlineStr">
        <x:is>
          <x:t xml:space="preserve">Moore-Stansberry, Inc.</x:t>
        </x:is>
      </x:c>
      <x:c r="H85" s="516" t="inlineStr">
        <x:is>
          <x:t xml:space="preserve">Brent L. Schooley</x:t>
        </x:is>
      </x:c>
      <x:c r="I85" s="517" t="inlineStr">
        <x:is>
          <x:t xml:space="preserve">E/2 NW/4 of 31-12N-24W</x:t>
        </x:is>
      </x:c>
      <x:c r="J85" s="112" t="inlineStr">
        <x:is>
          <x:t xml:space="preserve">0.55 NMA</x:t>
        </x:is>
      </x:c>
      <x:c r="K85" s="518" t="e">
        <x:f>HYPERLINK("https://okcountyrecords.com/detail/roger+mills/1981-009501","OKCountyRecords: 1981-009501")</x:f>
      </x:c>
      <x:c r="L85" s="522" t="inlineStr">
        <x:is>
          <x:t xml:space="preserve">Mineral; basis Conv Amt(dec). Gross=tract-map basis.</x:t>
        </x:is>
      </x:c>
      <x:c r="M85" s="522" t="inlineStr">
        <x:is>
          <x:t xml:space="preserve">REVIEW</x:t>
        </x:is>
      </x:c>
      <x:c r="N85" s="522" t="inlineStr">
        <x:is>
          <x:t xml:space="preserve">Conveys 0.55 NMA per notes; conv. dec = 0.55/gross. Verify denominator/tract from image.</x:t>
        </x:is>
      </x:c>
      <x:c r="O85" s="522" t="inlineStr">
        <x:is>
          <x:t xml:space="preserve">MINERAL DEED</x:t>
        </x:is>
      </x:c>
      <x:c r="P85" s="523" t="inlineStr">
        <x:is>
          <x:t xml:space="preserve">Chain — minerals</x:t>
        </x:is>
      </x:c>
      <x:c r="Q85" s="523" t="inlineStr">
        <x:is>
          <x:t xml:space="preserve">Yes</x:t>
        </x:is>
      </x:c>
      <x:c r="R85" s="523" t="inlineStr">
        <x:is>
          <x:t xml:space="preserve">No</x:t>
        </x:is>
      </x:c>
      <x:c r="S85" s="523" t="inlineStr">
        <x:is>
          <x:t xml:space="preserve">Yes</x:t>
        </x:is>
      </x:c>
      <x:c r="T85" s="523" t="inlineStr">
        <x:is>
          <x:t xml:space="preserve">No</x:t>
        </x:is>
      </x:c>
      <x:c r="U85" s="523" t="inlineStr">
        <x:is>
          <x:t xml:space="preserve">Yes: 4 (legal supports)</x:t>
        </x:is>
      </x:c>
      <x:c r="V85" s="523" t="inlineStr">
        <x:is>
          <x:t xml:space="preserve">High</x:t>
        </x:is>
      </x:c>
      <x:c r="W85" s="523" t="inlineStr">
        <x:is>
          <x:t xml:space="preserve">Yes — prior grantee match</x:t>
        </x:is>
      </x:c>
      <x:c r="X85" s="523" t="inlineStr">
        <x:is>
          <x:t xml:space="preserve">Yes — on Tract 4 owner list</x:t>
        </x:is>
      </x:c>
      <x:c r="Y85" s="523" t="inlineStr">
        <x:is>
          <x:t xml:space="preserve">Candidate 0.006875 (helper — confirm from image)</x:t>
        </x:is>
      </x:c>
      <x:c r="Z85" s="523" t="inlineStr">
        <x:is>
          <x:t xml:space="preserve">Medium — helper value</x:t>
        </x:is>
      </x:c>
      <x:c r="AA85" s="523" t="inlineStr">
        <x:is>
          <x:t xml:space="preserve">Mineral Deed — Moore-Stansberry, Inc. to Brent L. Schooley (368/272)</x:t>
        </x:is>
      </x:c>
    </x:row>
    <x:row r="86" s="523" customFormat="1" ht="48" customHeight="1">
      <x:c r="A86" s="513" t="inlineStr">
        <x:is>
          <x:t xml:space="preserve">1982-004342</x:t>
        </x:is>
      </x:c>
      <x:c r="B86" s="513" t="n"/>
      <x:c r="C86" s="513" t="inlineStr">
        <x:is>
          <x:t xml:space="preserve">Mineral Deed</x:t>
        </x:is>
      </x:c>
      <x:c r="D86" s="513" t="inlineStr">
        <x:is>
          <x:t xml:space="preserve">432/110</x:t>
        </x:is>
      </x:c>
      <x:c r="E86" s="514" t="n">
        <x:v>30054</x:v>
      </x:c>
      <x:c r="F86" s="515" t="n">
        <x:v>30054</x:v>
      </x:c>
      <x:c r="G86" s="516" t="inlineStr">
        <x:is>
          <x:t xml:space="preserve">W. H. Sorenson</x:t>
        </x:is>
      </x:c>
      <x:c r="H86" s="516" t="inlineStr">
        <x:is>
          <x:t xml:space="preserve">Sorenson Oil &amp; Gas Trust,
Michelle Sorenson Johnson, Trustee,
Marchelle Sorenson Uaigle, Trustee</x:t>
        </x:is>
      </x:c>
      <x:c r="I86" s="517" t="inlineStr">
        <x:is>
          <x:t xml:space="preserve">E/2 NW/4, SE/4 NE/4, NE/4 SE/4, N/2 NE/4 SW/4 of 31-12N-24W, aol</x:t>
        </x:is>
      </x:c>
      <x:c r="J86" s="112" t="inlineStr">
        <x:is>
          <x:t xml:space="preserve">40/260 interest in 2 sections</x:t>
        </x:is>
      </x:c>
      <x:c r="K86" s="518" t="e">
        <x:f>HYPERLINK("https://okcountyrecords.com/detail/roger+mills/1982-004342","OKCountyRecords: 1982-004342")</x:f>
      </x:c>
      <x:c r="L86" s="522" t="inlineStr">
        <x:is>
          <x:t xml:space="preserve">Mineral; basis Conv Amt(dec). Gross=tract-map basis.</x:t>
        </x:is>
      </x:c>
      <x:c r="M86" s="522" t="inlineStr">
        <x:is>
          <x:t xml:space="preserve">CURRENT OWNER SOURCE</x:t>
        </x:is>
      </x:c>
      <x:c r="N86" s="522" t="n"/>
      <x:c r="O86" s="522" t="inlineStr">
        <x:is>
          <x:t xml:space="preserve">OUTSIDE LANDS</x:t>
        </x:is>
      </x:c>
      <x:c r="P86" s="523" t="inlineStr">
        <x:is>
          <x:t xml:space="preserve">Chain — minerals</x:t>
        </x:is>
      </x:c>
      <x:c r="Q86" s="523" t="inlineStr">
        <x:is>
          <x:t xml:space="preserve">Yes</x:t>
        </x:is>
      </x:c>
      <x:c r="R86" s="523" t="inlineStr">
        <x:is>
          <x:t xml:space="preserve">No</x:t>
        </x:is>
      </x:c>
      <x:c r="S86" s="523" t="inlineStr">
        <x:is>
          <x:t xml:space="preserve">Yes</x:t>
        </x:is>
      </x:c>
      <x:c r="T86" s="523" t="inlineStr">
        <x:is>
          <x:t xml:space="preserve">No</x:t>
        </x:is>
      </x:c>
      <x:c r="U86" s="523" t="inlineStr">
        <x:is>
          <x:t xml:space="preserve">Legal maps to 1, 3, 4, 7, 10; helper says 1, 3, 4, 7, 8</x:t>
        </x:is>
      </x:c>
      <x:c r="V86" s="523" t="inlineStr">
        <x:is>
          <x:t xml:space="preserve">Review</x:t>
        </x:is>
      </x:c>
      <x:c r="W86" s="523" t="inlineStr">
        <x:is>
          <x:t xml:space="preserve">Yes — prior grantee match</x:t>
        </x:is>
      </x:c>
      <x:c r="X86" s="523" t="inlineStr">
        <x:is>
          <x:t xml:space="preserve">Review</x:t>
        </x:is>
      </x:c>
      <x:c r="Y86" s="523" t="inlineStr">
        <x:is>
          <x:t xml:space="preserve">Candidate 0.153846153846154 (helper — confirm from image)</x:t>
        </x:is>
      </x:c>
      <x:c r="Z86" s="523" t="inlineStr">
        <x:is>
          <x:t xml:space="preserve">Medium — helper value</x:t>
        </x:is>
      </x:c>
      <x:c r="AA86" s="523" t="inlineStr">
        <x:is>
          <x:t xml:space="preserve">Mineral Deed — W. H. Sorenson to Sorenson Oil &amp; Gas Trust, (432/110)</x:t>
        </x:is>
      </x:c>
      <x:c r="AB86" s="523" t="inlineStr">
        <x:is>
          <x:t xml:space="preserve">Needs source review: tract</x:t>
        </x:is>
      </x:c>
    </x:row>
    <x:row r="87" s="523" customFormat="1" ht="60" customHeight="1">
      <x:c r="A87" s="513" t="inlineStr">
        <x:is>
          <x:t xml:space="preserve">1982-004658</x:t>
        </x:is>
      </x:c>
      <x:c r="B87" s="513" t="n"/>
      <x:c r="C87" s="513" t="inlineStr">
        <x:is>
          <x:t xml:space="preserve">Miscellaneous</x:t>
        </x:is>
      </x:c>
      <x:c r="D87" s="513" t="inlineStr">
        <x:is>
          <x:t xml:space="preserve">434/163</x:t>
        </x:is>
      </x:c>
      <x:c r="E87" s="514" t="n">
        <x:v>30061</x:v>
      </x:c>
      <x:c r="F87" s="515" t="n">
        <x:v>30061</x:v>
      </x:c>
      <x:c r="G87" s="516" t="inlineStr">
        <x:is>
          <x:t xml:space="preserve">Farmers Home Administration</x:t>
        </x:is>
      </x:c>
      <x:c r="H87" s="516" t="inlineStr">
        <x:is>
          <x:t xml:space="preserve">Clara Mae Bryan,
George M. Bryan</x:t>
        </x:is>
      </x:c>
      <x:c r="I87" s="517" t="inlineStr">
        <x:is>
          <x:t xml:space="preserve">31-12N-24W, aol</x:t>
        </x:is>
      </x:c>
      <x:c r="J87" s="112" t="inlineStr">
        <x:is>
          <x:t xml:space="preserve">See instrument</x:t>
        </x:is>
      </x:c>
      <x:c r="K87" s="518" t="e">
        <x:f>HYPERLINK("https://okcountyrecords.com/detail/roger+mills/1982-004658","OKCountyRecords: 1982-004658")</x:f>
      </x:c>
      <x:c r="L87" s="522" t="inlineStr">
        <x:is>
          <x:t xml:space="preserve">Other (non-mineral; excluded from mineral NMA). All-section coverage. Gross=tract-map basis.</x:t>
        </x:is>
      </x:c>
      <x:c r="M87" s="522" t="n"/>
      <x:c r="N87" s="522" t="n"/>
      <x:c r="O87" s="522" t="inlineStr">
        <x:is>
          <x:t xml:space="preserve">OUTSIDE LANDS</x:t>
        </x:is>
      </x:c>
      <x:c r="P87" s="523" t="inlineStr">
        <x:is>
          <x:t xml:space="preserve">Review — read instrument (type unclear)</x:t>
        </x:is>
      </x:c>
      <x:c r="Q87" s="523" t="inlineStr">
        <x:is>
          <x:t xml:space="preserve">Review</x:t>
        </x:is>
      </x:c>
      <x:c r="R87" s="523" t="inlineStr">
        <x:is>
          <x:t xml:space="preserve">Review</x:t>
        </x:is>
      </x:c>
      <x:c r="S87" s="523" t="inlineStr">
        <x:is>
          <x:t xml:space="preserve">Review</x:t>
        </x:is>
      </x:c>
      <x:c r="T87" s="523" t="inlineStr">
        <x:is>
          <x:t xml:space="preserve">Review</x:t>
        </x:is>
      </x:c>
      <x:c r="U87" s="523" t="inlineStr">
        <x:is>
          <x:t xml:space="preserve">Yes: 1, 8 (broad legal)</x:t>
        </x:is>
      </x:c>
      <x:c r="V87" s="523" t="inlineStr">
        <x:is>
          <x:t xml:space="preserve">Medium</x:t>
        </x:is>
      </x:c>
      <x:c r="W87" s="523" t="inlineStr">
        <x:is>
          <x:t xml:space="preserve">Review — no exact prior-grantee match</x:t>
        </x:is>
      </x:c>
      <x:c r="X87" s="523" t="inlineStr">
        <x:is>
          <x:t xml:space="preserve">Review</x:t>
        </x:is>
      </x:c>
      <x:c r="Y87" s="523" t="inlineStr">
        <x:is>
          <x:t xml:space="preserve">Interest amount needs review</x:t>
        </x:is>
      </x:c>
      <x:c r="Z87" s="523" t="inlineStr">
        <x:is>
          <x:t xml:space="preserve">Review</x:t>
        </x:is>
      </x:c>
      <x:c r="AA87" s="523" t="inlineStr">
        <x:is>
          <x:t xml:space="preserve">Miscellaneous — Farmers Home Administration to Clara Mae Bryan, (434/163)</x:t>
        </x:is>
      </x:c>
      <x:c r="AB87" s="523" t="inlineStr">
        <x:is>
          <x:t xml:space="preserve">Needs source review: grantor source, interest amount, instrument type</x:t>
        </x:is>
      </x:c>
    </x:row>
    <x:row r="88" s="523" customFormat="1" ht="36" customHeight="1">
      <x:c r="A88" s="513" t="inlineStr">
        <x:is>
          <x:t xml:space="preserve">1982-005352</x:t>
        </x:is>
      </x:c>
      <x:c r="B88" s="513" t="n"/>
      <x:c r="C88" s="513" t="inlineStr">
        <x:is>
          <x:t xml:space="preserve">Mineral Deed</x:t>
        </x:is>
      </x:c>
      <x:c r="D88" s="513" t="inlineStr">
        <x:is>
          <x:t xml:space="preserve">438/128</x:t>
        </x:is>
      </x:c>
      <x:c r="E88" s="514" t="n">
        <x:v>30081</x:v>
      </x:c>
      <x:c r="F88" s="515" t="n">
        <x:v>30081</x:v>
      </x:c>
      <x:c r="G88" s="516" t="inlineStr">
        <x:is>
          <x:t xml:space="preserve">Moore-Stansberry, Inc.</x:t>
        </x:is>
      </x:c>
      <x:c r="H88" s="516" t="inlineStr">
        <x:is>
          <x:t xml:space="preserve">Leede Exploration</x:t>
        </x:is>
      </x:c>
      <x:c r="I88" s="517" t="inlineStr">
        <x:is>
          <x:t xml:space="preserve">E/2 NW/4 of 31-12N-24W</x:t>
        </x:is>
      </x:c>
      <x:c r="J88" s="112" t="inlineStr">
        <x:is>
          <x:t xml:space="preserve">0.22 NMA</x:t>
        </x:is>
      </x:c>
      <x:c r="K88" s="518" t="e">
        <x:f>HYPERLINK("https://okcountyrecords.com/detail/roger+mills/1982-005352","OKCountyRecords: 1982-005352")</x:f>
      </x:c>
      <x:c r="L88" s="522" t="inlineStr">
        <x:is>
          <x:t xml:space="preserve">Mineral; basis Conv Amt(dec). Gross=tract-map basis.</x:t>
        </x:is>
      </x:c>
      <x:c r="M88" s="522" t="inlineStr">
        <x:is>
          <x:t xml:space="preserve">REVIEW</x:t>
        </x:is>
      </x:c>
      <x:c r="N88" s="522" t="inlineStr">
        <x:is>
          <x:t xml:space="preserve">Conveys 0.22 NMA per notes; conv. dec = 0.22/gross. Verify denominator/tract from image.</x:t>
        </x:is>
      </x:c>
      <x:c r="O88" s="522" t="inlineStr">
        <x:is>
          <x:t xml:space="preserve">MINERAL DEED</x:t>
        </x:is>
      </x:c>
      <x:c r="P88" s="523" t="inlineStr">
        <x:is>
          <x:t xml:space="preserve">Chain — minerals</x:t>
        </x:is>
      </x:c>
      <x:c r="Q88" s="523" t="inlineStr">
        <x:is>
          <x:t xml:space="preserve">Yes</x:t>
        </x:is>
      </x:c>
      <x:c r="R88" s="523" t="inlineStr">
        <x:is>
          <x:t xml:space="preserve">No</x:t>
        </x:is>
      </x:c>
      <x:c r="S88" s="523" t="inlineStr">
        <x:is>
          <x:t xml:space="preserve">Yes</x:t>
        </x:is>
      </x:c>
      <x:c r="T88" s="523" t="inlineStr">
        <x:is>
          <x:t xml:space="preserve">No</x:t>
        </x:is>
      </x:c>
      <x:c r="U88" s="523" t="inlineStr">
        <x:is>
          <x:t xml:space="preserve">Yes: 4 (legal supports)</x:t>
        </x:is>
      </x:c>
      <x:c r="V88" s="523" t="inlineStr">
        <x:is>
          <x:t xml:space="preserve">High</x:t>
        </x:is>
      </x:c>
      <x:c r="W88" s="523" t="inlineStr">
        <x:is>
          <x:t xml:space="preserve">Yes — prior grantee match</x:t>
        </x:is>
      </x:c>
      <x:c r="X88" s="523" t="inlineStr">
        <x:is>
          <x:t xml:space="preserve">Yes — on Tract 4 owner list</x:t>
        </x:is>
      </x:c>
      <x:c r="Y88" s="523" t="inlineStr">
        <x:is>
          <x:t xml:space="preserve">Candidate 0.00275 (helper — confirm from image)</x:t>
        </x:is>
      </x:c>
      <x:c r="Z88" s="523" t="inlineStr">
        <x:is>
          <x:t xml:space="preserve">Medium — helper value</x:t>
        </x:is>
      </x:c>
      <x:c r="AA88" s="523" t="inlineStr">
        <x:is>
          <x:t xml:space="preserve">Mineral Deed — Moore-Stansberry, Inc. to Leede Exploration (438/128)</x:t>
        </x:is>
      </x:c>
    </x:row>
    <x:row r="89" s="523" customFormat="1" ht="60" customHeight="1">
      <x:c r="A89" s="513" t="inlineStr">
        <x:is>
          <x:t xml:space="preserve">1982-006217</x:t>
        </x:is>
      </x:c>
      <x:c r="B89" s="513" t="n"/>
      <x:c r="C89" s="513" t="inlineStr">
        <x:is>
          <x:t xml:space="preserve">Certificate</x:t>
        </x:is>
      </x:c>
      <x:c r="D89" s="513" t="inlineStr">
        <x:is>
          <x:t xml:space="preserve">443/310</x:t>
        </x:is>
      </x:c>
      <x:c r="E89" s="514" t="n">
        <x:v>30099</x:v>
      </x:c>
      <x:c r="F89" s="515" t="n">
        <x:v>30099</x:v>
      </x:c>
      <x:c r="G89" s="516" t="inlineStr">
        <x:is>
          <x:t xml:space="preserve">Baker Logsdon &amp; Phelps,
Harold Logsdon</x:t>
        </x:is>
      </x:c>
      <x:c r="H89" s="516" t="inlineStr">
        <x:is>
          <x:t xml:space="preserve">The Public</x:t>
        </x:is>
      </x:c>
      <x:c r="I89" s="517" t="inlineStr">
        <x:is>
          <x:t xml:space="preserve">31-12N-24W</x:t>
        </x:is>
      </x:c>
      <x:c r="J89" s="112" t="inlineStr">
        <x:is>
          <x:t xml:space="preserve">See instrument</x:t>
        </x:is>
      </x:c>
      <x:c r="K89" s="518" t="e">
        <x:f>HYPERLINK("https://okcountyrecords.com/detail/roger+mills/1982-006217","OKCountyRecords: 1982-006217")</x:f>
      </x:c>
      <x:c r="L89" s="522" t="inlineStr">
        <x:is>
          <x:t xml:space="preserve">Other (non-mineral; excluded from mineral NMA). All-section coverage. Gross=tract-map basis.</x:t>
        </x:is>
      </x:c>
      <x:c r="M89" s="522" t="inlineStr">
        <x:is>
          <x:t xml:space="preserve">OK</x:t>
        </x:is>
      </x:c>
      <x:c r="N89" s="522" t="inlineStr">
        <x:is>
          <x:t xml:space="preserve">Non-conveying — notice/affidavit/address change (The Public).</x:t>
        </x:is>
      </x:c>
      <x:c r="O89" s="522" t="inlineStr">
        <x:is>
          <x:t xml:space="preserve">IGNORE FOR MINERAL OWNERSHIP</x:t>
        </x:is>
      </x:c>
      <x:c r="P89" s="523" t="inlineStr">
        <x:is>
          <x:t xml:space="preserve">Chain — title support (succession/entity/probate)</x:t>
        </x:is>
      </x:c>
      <x:c r="Q89" s="523" t="inlineStr">
        <x:is>
          <x:t xml:space="preserve">Yes</x:t>
        </x:is>
      </x:c>
      <x:c r="R89" s="523" t="inlineStr">
        <x:is>
          <x:t xml:space="preserve">No</x:t>
        </x:is>
      </x:c>
      <x:c r="S89" s="523" t="inlineStr">
        <x:is>
          <x:t xml:space="preserve">Yes</x:t>
        </x:is>
      </x:c>
      <x:c r="T89" s="523" t="inlineStr">
        <x:is>
          <x:t xml:space="preserve">No</x:t>
        </x:is>
      </x:c>
      <x:c r="U89" s="523" t="inlineStr">
        <x:is>
          <x:t xml:space="preserve">Yes: 1, 8 (broad legal)</x:t>
        </x:is>
      </x:c>
      <x:c r="V89" s="523" t="inlineStr">
        <x:is>
          <x:t xml:space="preserve">Medium</x:t>
        </x:is>
      </x:c>
      <x:c r="W89" s="523" t="inlineStr">
        <x:is>
          <x:t xml:space="preserve">Review — no exact prior-grantee match</x:t>
        </x:is>
      </x:c>
      <x:c r="X89" s="523" t="inlineStr">
        <x:is>
          <x:t xml:space="preserve">Review</x:t>
        </x:is>
      </x:c>
      <x:c r="Y89" s="523" t="inlineStr">
        <x:is>
          <x:t xml:space="preserve">Interest amount needs review</x:t>
        </x:is>
      </x:c>
      <x:c r="Z89" s="523" t="inlineStr">
        <x:is>
          <x:t xml:space="preserve">Review</x:t>
        </x:is>
      </x:c>
      <x:c r="AA89" s="523" t="inlineStr">
        <x:is>
          <x:t xml:space="preserve">Certificate — Baker Logsdon &amp; Phelps, to The Public (443/310)</x:t>
        </x:is>
      </x:c>
      <x:c r="AB89" s="523" t="inlineStr">
        <x:is>
          <x:t xml:space="preserve">Needs source review: grantor source, interest amount</x:t>
        </x:is>
      </x:c>
    </x:row>
    <x:row r="90" s="523" customFormat="1" ht="60" customHeight="1">
      <x:c r="A90" s="513" t="inlineStr">
        <x:is>
          <x:t xml:space="preserve">1982-006218</x:t>
        </x:is>
      </x:c>
      <x:c r="B90" s="513" t="n"/>
      <x:c r="C90" s="513" t="inlineStr">
        <x:is>
          <x:t xml:space="preserve">Certificate</x:t>
        </x:is>
      </x:c>
      <x:c r="D90" s="513" t="inlineStr">
        <x:is>
          <x:t xml:space="preserve">443/311</x:t>
        </x:is>
      </x:c>
      <x:c r="E90" s="514" t="n">
        <x:v>30099</x:v>
      </x:c>
      <x:c r="F90" s="515" t="n">
        <x:v>30099</x:v>
      </x:c>
      <x:c r="G90" s="516" t="inlineStr">
        <x:is>
          <x:t xml:space="preserve">Baker Logsdon &amp; Phelps,
Harold Logsdon</x:t>
        </x:is>
      </x:c>
      <x:c r="H90" s="516" t="inlineStr">
        <x:is>
          <x:t xml:space="preserve">The Public</x:t>
        </x:is>
      </x:c>
      <x:c r="I90" s="517" t="inlineStr">
        <x:is>
          <x:t xml:space="preserve">31-12N-24W</x:t>
        </x:is>
      </x:c>
      <x:c r="J90" s="112" t="inlineStr">
        <x:is>
          <x:t xml:space="preserve">See instrument</x:t>
        </x:is>
      </x:c>
      <x:c r="K90" s="518" t="e">
        <x:f>HYPERLINK("https://okcountyrecords.com/detail/roger+mills/1982-006218","OKCountyRecords: 1982-006218")</x:f>
      </x:c>
      <x:c r="L90" s="522" t="inlineStr">
        <x:is>
          <x:t xml:space="preserve">Other (non-mineral; excluded from mineral NMA). All-section coverage. Gross=tract-map basis.</x:t>
        </x:is>
      </x:c>
      <x:c r="M90" s="522" t="inlineStr">
        <x:is>
          <x:t xml:space="preserve">OK</x:t>
        </x:is>
      </x:c>
      <x:c r="N90" s="522" t="inlineStr">
        <x:is>
          <x:t xml:space="preserve">Non-conveying — notice/affidavit/address change (The Public).</x:t>
        </x:is>
      </x:c>
      <x:c r="O90" s="522" t="inlineStr">
        <x:is>
          <x:t xml:space="preserve">IGNORE FOR MINERAL OWNERSHIP</x:t>
        </x:is>
      </x:c>
      <x:c r="P90" s="523" t="inlineStr">
        <x:is>
          <x:t xml:space="preserve">Chain — title support (succession/entity/probate)</x:t>
        </x:is>
      </x:c>
      <x:c r="Q90" s="523" t="inlineStr">
        <x:is>
          <x:t xml:space="preserve">Yes</x:t>
        </x:is>
      </x:c>
      <x:c r="R90" s="523" t="inlineStr">
        <x:is>
          <x:t xml:space="preserve">No</x:t>
        </x:is>
      </x:c>
      <x:c r="S90" s="523" t="inlineStr">
        <x:is>
          <x:t xml:space="preserve">Yes</x:t>
        </x:is>
      </x:c>
      <x:c r="T90" s="523" t="inlineStr">
        <x:is>
          <x:t xml:space="preserve">No</x:t>
        </x:is>
      </x:c>
      <x:c r="U90" s="523" t="inlineStr">
        <x:is>
          <x:t xml:space="preserve">Yes: 1, 8 (broad legal)</x:t>
        </x:is>
      </x:c>
      <x:c r="V90" s="523" t="inlineStr">
        <x:is>
          <x:t xml:space="preserve">Medium</x:t>
        </x:is>
      </x:c>
      <x:c r="W90" s="523" t="inlineStr">
        <x:is>
          <x:t xml:space="preserve">Review — no exact prior-grantee match</x:t>
        </x:is>
      </x:c>
      <x:c r="X90" s="523" t="inlineStr">
        <x:is>
          <x:t xml:space="preserve">Review</x:t>
        </x:is>
      </x:c>
      <x:c r="Y90" s="523" t="inlineStr">
        <x:is>
          <x:t xml:space="preserve">Interest amount needs review</x:t>
        </x:is>
      </x:c>
      <x:c r="Z90" s="523" t="inlineStr">
        <x:is>
          <x:t xml:space="preserve">Review</x:t>
        </x:is>
      </x:c>
      <x:c r="AA90" s="523" t="inlineStr">
        <x:is>
          <x:t xml:space="preserve">Certificate — Baker Logsdon &amp; Phelps, to The Public (443/311)</x:t>
        </x:is>
      </x:c>
      <x:c r="AB90" s="523" t="inlineStr">
        <x:is>
          <x:t xml:space="preserve">Needs source review: grantor source, interest amount</x:t>
        </x:is>
      </x:c>
    </x:row>
    <x:row r="91" s="523" customFormat="1" ht="108" customHeight="1">
      <x:c r="A91" s="513" t="inlineStr">
        <x:is>
          <x:t xml:space="preserve">1982-007158</x:t>
        </x:is>
      </x:c>
      <x:c r="B91" s="513" t="n"/>
      <x:c r="C91" s="513" t="inlineStr">
        <x:is>
          <x:t xml:space="preserve">Mineral Deed</x:t>
        </x:is>
      </x:c>
      <x:c r="D91" s="513" t="inlineStr">
        <x:is>
          <x:t xml:space="preserve">451/176</x:t>
        </x:is>
      </x:c>
      <x:c r="E91" s="514" t="n">
        <x:v>30124</x:v>
      </x:c>
      <x:c r="F91" s="515" t="n">
        <x:v>30124</x:v>
      </x:c>
      <x:c r="G91" s="516" t="inlineStr">
        <x:is>
          <x:t xml:space="preserve">Margie Ann Kirk</x:t>
        </x:is>
      </x:c>
      <x:c r="H91" s="516" t="inlineStr">
        <x:is>
          <x:t xml:space="preserve">Eddie Tom Lakey</x:t>
        </x:is>
      </x:c>
      <x:c r="I91" s="517" t="inlineStr">
        <x:is>
          <x:t xml:space="preserve">A tract of land in 31-12N-24W, described as follows: Beginning at the NWcorner of the NW/4 of 31-12N-24W thence East on Section Line 18.20 Chains (or 72 8/10ths rods) thence South 50 chains (or 200 rods) thence West 18.20 chains (or 72 8/1oths rods) toR ange line betwenn Ranges 24 and 25, thence North on Range line 50 chains (or 200 rods) to point of beginning.</x:t>
        </x:is>
      </x:c>
      <x:c r="J91" s="112" t="inlineStr">
        <x:is>
          <x:t xml:space="preserve">2 acres</x:t>
        </x:is>
      </x:c>
      <x:c r="K91" s="518" t="e">
        <x:f>HYPERLINK("https://okcountyrecords.com/detail/roger+mills/1982-007158","OKCountyRecords: 1982-007158")</x:f>
      </x:c>
      <x:c r="L91" s="522" t="inlineStr">
        <x:is>
          <x:t xml:space="preserve">Mineral; basis Conv Amt(dec). Gross=tract-map basis.</x:t>
        </x:is>
      </x:c>
      <x:c r="M91" s="522" t="inlineStr">
        <x:is>
          <x:t xml:space="preserve">REVIEW</x:t>
        </x:is>
      </x:c>
      <x:c r="N91" s="522" t="inlineStr">
        <x:is>
          <x:t xml:space="preserve">Conveys 2 acres per notes; conv. dec = 2/gross. Verify denominator/tract from image.</x:t>
        </x:is>
      </x:c>
      <x:c r="O91" s="522" t="inlineStr">
        <x:is>
          <x:t xml:space="preserve">MINERAL DEED</x:t>
        </x:is>
      </x:c>
      <x:c r="P91" s="523" t="inlineStr">
        <x:is>
          <x:t xml:space="preserve">Chain — minerals</x:t>
        </x:is>
      </x:c>
      <x:c r="Q91" s="523" t="inlineStr">
        <x:is>
          <x:t xml:space="preserve">Yes</x:t>
        </x:is>
      </x:c>
      <x:c r="R91" s="523" t="inlineStr">
        <x:is>
          <x:t xml:space="preserve">No</x:t>
        </x:is>
      </x:c>
      <x:c r="S91" s="523" t="inlineStr">
        <x:is>
          <x:t xml:space="preserve">Yes</x:t>
        </x:is>
      </x:c>
      <x:c r="T91" s="523" t="inlineStr">
        <x:is>
          <x:t xml:space="preserve">No</x:t>
        </x:is>
      </x:c>
      <x:c r="U91" s="523" t="inlineStr">
        <x:is>
          <x:t xml:space="preserve">Yes: 4, 5 (broad legal)</x:t>
        </x:is>
      </x:c>
      <x:c r="V91" s="523" t="inlineStr">
        <x:is>
          <x:t xml:space="preserve">Medium</x:t>
        </x:is>
      </x:c>
      <x:c r="W91" s="523" t="inlineStr">
        <x:is>
          <x:t xml:space="preserve">Probable — name-normalized match to Runsheet 63 grantee; confirm</x:t>
        </x:is>
      </x:c>
      <x:c r="X91" s="523" t="inlineStr">
        <x:is>
          <x:t xml:space="preserve">Yes — on Tract 4 owner list</x:t>
        </x:is>
      </x:c>
      <x:c r="Y91" s="523" t="inlineStr">
        <x:is>
          <x:t xml:space="preserve">Candidate 0.01 (helper — confirm from image)</x:t>
        </x:is>
      </x:c>
      <x:c r="Z91" s="523" t="inlineStr">
        <x:is>
          <x:t xml:space="preserve">Medium — helper value</x:t>
        </x:is>
      </x:c>
      <x:c r="AA91" s="523" t="inlineStr">
        <x:is>
          <x:t xml:space="preserve">Mineral Deed — Margie Ann Kirk to Eddie Tom Lakey (451/176)</x:t>
        </x:is>
      </x:c>
      <x:c r="AB91" s="523" t="inlineStr">
        <x:is>
          <x:t xml:space="preserve">Needs source review: grantor source</x:t>
        </x:is>
      </x:c>
    </x:row>
    <x:row r="92" s="523" customFormat="1" ht="48" customHeight="1">
      <x:c r="A92" s="513" t="inlineStr">
        <x:is>
          <x:t xml:space="preserve">1982-011144</x:t>
        </x:is>
      </x:c>
      <x:c r="B92" s="513" t="n"/>
      <x:c r="C92" s="513" t="inlineStr">
        <x:is>
          <x:t xml:space="preserve">Mineral Deed</x:t>
        </x:is>
      </x:c>
      <x:c r="D92" s="513" t="inlineStr">
        <x:is>
          <x:t xml:space="preserve">480/72</x:t>
        </x:is>
      </x:c>
      <x:c r="E92" s="514" t="n">
        <x:v>30250</x:v>
      </x:c>
      <x:c r="F92" s="515" t="n">
        <x:v>30250</x:v>
      </x:c>
      <x:c r="G92" s="516" t="inlineStr">
        <x:is>
          <x:t xml:space="preserve">Barbara J. Bain,
Billy W. Bain</x:t>
        </x:is>
      </x:c>
      <x:c r="H92" s="516" t="inlineStr">
        <x:is>
          <x:t xml:space="preserve">Lyle T. Ibeling</x:t>
        </x:is>
      </x:c>
      <x:c r="I92" s="517" t="inlineStr">
        <x:is>
          <x:t xml:space="preserve">S/2 SE/4, NW/4 SE/4, SW/4 NE/4 of 31-12N-24W, aol</x:t>
        </x:is>
      </x:c>
      <x:c r="J92" s="112" t="inlineStr">
        <x:is>
          <x:t xml:space="preserve">1/791.47 interest in 2 sections</x:t>
        </x:is>
      </x:c>
      <x:c r="K92" s="518" t="e">
        <x:f>HYPERLINK("https://okcountyrecords.com/detail/roger+mills/1982-011144","OKCountyRecords: 1982-011144")</x:f>
      </x:c>
      <x:c r="L92" s="522" t="inlineStr">
        <x:is>
          <x:t xml:space="preserve">Mineral; basis Conv Amt(dec). Gross=tract-map basis.</x:t>
        </x:is>
      </x:c>
      <x:c r="M92" s="522" t="inlineStr">
        <x:is>
          <x:t xml:space="preserve">CURRENT OWNER SOURCE</x:t>
        </x:is>
      </x:c>
      <x:c r="N92" s="522" t="n"/>
      <x:c r="O92" s="522" t="inlineStr">
        <x:is>
          <x:t xml:space="preserve">OUTSIDE LANDS</x:t>
        </x:is>
      </x:c>
      <x:c r="P92" s="523" t="inlineStr">
        <x:is>
          <x:t xml:space="preserve">Chain — minerals</x:t>
        </x:is>
      </x:c>
      <x:c r="Q92" s="523" t="inlineStr">
        <x:is>
          <x:t xml:space="preserve">Yes</x:t>
        </x:is>
      </x:c>
      <x:c r="R92" s="523" t="inlineStr">
        <x:is>
          <x:t xml:space="preserve">No</x:t>
        </x:is>
      </x:c>
      <x:c r="S92" s="523" t="inlineStr">
        <x:is>
          <x:t xml:space="preserve">Yes</x:t>
        </x:is>
      </x:c>
      <x:c r="T92" s="523" t="inlineStr">
        <x:is>
          <x:t xml:space="preserve">No</x:t>
        </x:is>
      </x:c>
      <x:c r="U92" s="523" t="inlineStr">
        <x:is>
          <x:t xml:space="preserve">Yes: 2 (legal supports)</x:t>
        </x:is>
      </x:c>
      <x:c r="V92" s="523" t="inlineStr">
        <x:is>
          <x:t xml:space="preserve">High</x:t>
        </x:is>
      </x:c>
      <x:c r="W92" s="523" t="inlineStr">
        <x:is>
          <x:t xml:space="preserve">Review — no exact prior-grantee match</x:t>
        </x:is>
      </x:c>
      <x:c r="X92" s="523" t="inlineStr">
        <x:is>
          <x:t xml:space="preserve">Yes — on Tract 2 owner list</x:t>
        </x:is>
      </x:c>
      <x:c r="Y92" s="523" t="inlineStr">
        <x:is>
          <x:t xml:space="preserve">Candidate 0.00126347176772335 (helper — confirm from image)</x:t>
        </x:is>
      </x:c>
      <x:c r="Z92" s="523" t="inlineStr">
        <x:is>
          <x:t xml:space="preserve">Medium — helper value</x:t>
        </x:is>
      </x:c>
      <x:c r="AA92" s="523" t="inlineStr">
        <x:is>
          <x:t xml:space="preserve">Mineral Deed — Barbara J. Bain, to Lyle T. Ibeling (480/72)</x:t>
        </x:is>
      </x:c>
      <x:c r="AB92" s="523" t="inlineStr">
        <x:is>
          <x:t xml:space="preserve">Needs source review: grantor source</x:t>
        </x:is>
      </x:c>
    </x:row>
    <x:row r="93" s="523" customFormat="1" ht="48" customHeight="1">
      <x:c r="A93" s="513" t="inlineStr">
        <x:is>
          <x:t xml:space="preserve">1982-011142</x:t>
        </x:is>
      </x:c>
      <x:c r="B93" s="513" t="n"/>
      <x:c r="C93" s="513" t="inlineStr">
        <x:is>
          <x:t xml:space="preserve">Mineral Deed</x:t>
        </x:is>
      </x:c>
      <x:c r="D93" s="513" t="inlineStr">
        <x:is>
          <x:t xml:space="preserve">480/70</x:t>
        </x:is>
      </x:c>
      <x:c r="E93" s="514" t="n">
        <x:v>30250</x:v>
      </x:c>
      <x:c r="F93" s="515" t="n">
        <x:v>30250</x:v>
      </x:c>
      <x:c r="G93" s="516" t="inlineStr">
        <x:is>
          <x:t xml:space="preserve">Billy W. Bain and Barbara J. Bain, HW</x:t>
        </x:is>
      </x:c>
      <x:c r="H93" s="516" t="inlineStr">
        <x:is>
          <x:t xml:space="preserve">Myron V. Slobin</x:t>
        </x:is>
      </x:c>
      <x:c r="I93" s="517" t="inlineStr">
        <x:is>
          <x:t xml:space="preserve">S/2 SE/4, NW/4 SE/4, SW/4 NE/4 of 31-12N-24W, aol</x:t>
        </x:is>
      </x:c>
      <x:c r="J93" s="383" t="inlineStr">
        <x:is>
          <x:t xml:space="preserve">1/791.47 interest in 2 sections</x:t>
        </x:is>
      </x:c>
      <x:c r="K93" s="518" t="e">
        <x:f>HYPERLINK("https://okcountyrecords.com/detail/roger+mills/1982-011142","OKCountyRecords: 1982-011142")</x:f>
      </x:c>
      <x:c r="L93" s="522" t="inlineStr">
        <x:is>
          <x:t xml:space="preserve">Mineral; basis Conv Amt(dec). Gross=tract-map basis.</x:t>
        </x:is>
      </x:c>
      <x:c r="M93" s="522" t="n"/>
      <x:c r="N93" s="522" t="n"/>
      <x:c r="O93" s="522" t="inlineStr">
        <x:is>
          <x:t xml:space="preserve">OUTSIDE LANDS</x:t>
        </x:is>
      </x:c>
      <x:c r="P93" s="523" t="inlineStr">
        <x:is>
          <x:t xml:space="preserve">Chain — minerals</x:t>
        </x:is>
      </x:c>
      <x:c r="Q93" s="523" t="inlineStr">
        <x:is>
          <x:t xml:space="preserve">Yes</x:t>
        </x:is>
      </x:c>
      <x:c r="R93" s="523" t="inlineStr">
        <x:is>
          <x:t xml:space="preserve">No</x:t>
        </x:is>
      </x:c>
      <x:c r="S93" s="523" t="inlineStr">
        <x:is>
          <x:t xml:space="preserve">Yes</x:t>
        </x:is>
      </x:c>
      <x:c r="T93" s="523" t="inlineStr">
        <x:is>
          <x:t xml:space="preserve">No</x:t>
        </x:is>
      </x:c>
      <x:c r="U93" s="523" t="inlineStr">
        <x:is>
          <x:t xml:space="preserve">Yes: 2 (legal supports)</x:t>
        </x:is>
      </x:c>
      <x:c r="V93" s="523" t="inlineStr">
        <x:is>
          <x:t xml:space="preserve">High</x:t>
        </x:is>
      </x:c>
      <x:c r="W93" s="523" t="inlineStr">
        <x:is>
          <x:t xml:space="preserve">Probable — name-normalized match to Runsheet 71 grantee; confirm</x:t>
        </x:is>
      </x:c>
      <x:c r="X93" s="523" t="inlineStr">
        <x:is>
          <x:t xml:space="preserve">Yes — on Tract 2 owner list</x:t>
        </x:is>
      </x:c>
      <x:c r="Y93" s="523" t="inlineStr">
        <x:is>
          <x:t xml:space="preserve">Candidate 0.00126347176772335 (helper — confirm from image)</x:t>
        </x:is>
      </x:c>
      <x:c r="Z93" s="523" t="inlineStr">
        <x:is>
          <x:t xml:space="preserve">Medium — helper value</x:t>
        </x:is>
      </x:c>
      <x:c r="AA93" s="523" t="inlineStr">
        <x:is>
          <x:t xml:space="preserve">Mineral Deed — Billy W. Bain and Barbara J. B to Myron V. Slobin (480/70)</x:t>
        </x:is>
      </x:c>
      <x:c r="AB93" s="523" t="inlineStr">
        <x:is>
          <x:t xml:space="preserve">Needs source review: grantor source</x:t>
        </x:is>
      </x:c>
    </x:row>
    <x:row r="94" s="523" customFormat="1" ht="48" customHeight="1">
      <x:c r="A94" s="513" t="inlineStr">
        <x:is>
          <x:t xml:space="preserve">1982-011143</x:t>
        </x:is>
      </x:c>
      <x:c r="B94" s="513" t="n"/>
      <x:c r="C94" s="513" t="inlineStr">
        <x:is>
          <x:t xml:space="preserve">Mineral Deed</x:t>
        </x:is>
      </x:c>
      <x:c r="D94" s="513" t="inlineStr">
        <x:is>
          <x:t xml:space="preserve">480/71</x:t>
        </x:is>
      </x:c>
      <x:c r="E94" s="514" t="n">
        <x:v>30250</x:v>
      </x:c>
      <x:c r="F94" s="515" t="n">
        <x:v>30250</x:v>
      </x:c>
      <x:c r="G94" s="516" t="inlineStr">
        <x:is>
          <x:t xml:space="preserve">Billy W. Bain and Barbara J. Bain, HW</x:t>
        </x:is>
      </x:c>
      <x:c r="H94" s="516" t="inlineStr">
        <x:is>
          <x:t xml:space="preserve">Gregory J. Winneke</x:t>
        </x:is>
      </x:c>
      <x:c r="I94" s="517" t="inlineStr">
        <x:is>
          <x:t xml:space="preserve">S/2 SE/4, NW/4 SE/4, SW/4 NE/4 of 31-12N-24W, aol</x:t>
        </x:is>
      </x:c>
      <x:c r="J94" s="383" t="inlineStr">
        <x:is>
          <x:t xml:space="preserve">1/791.47 interest in 2 sections</x:t>
        </x:is>
      </x:c>
      <x:c r="K94" s="518" t="e">
        <x:f>HYPERLINK("https://okcountyrecords.com/detail/roger+mills/1982-011143","OKCountyRecords: 1982-011143")</x:f>
      </x:c>
      <x:c r="L94" s="522" t="inlineStr">
        <x:is>
          <x:t xml:space="preserve">Mineral; basis Conv Amt(dec). Gross=tract-map basis.</x:t>
        </x:is>
      </x:c>
      <x:c r="M94" s="522" t="inlineStr">
        <x:is>
          <x:t xml:space="preserve">CURRENT OWNER SOURCE</x:t>
        </x:is>
      </x:c>
      <x:c r="N94" s="522" t="n"/>
      <x:c r="O94" s="522" t="inlineStr">
        <x:is>
          <x:t xml:space="preserve">OUTSIDE LANDS</x:t>
        </x:is>
      </x:c>
      <x:c r="P94" s="523" t="inlineStr">
        <x:is>
          <x:t xml:space="preserve">Chain — minerals</x:t>
        </x:is>
      </x:c>
      <x:c r="Q94" s="523" t="inlineStr">
        <x:is>
          <x:t xml:space="preserve">Yes</x:t>
        </x:is>
      </x:c>
      <x:c r="R94" s="523" t="inlineStr">
        <x:is>
          <x:t xml:space="preserve">No</x:t>
        </x:is>
      </x:c>
      <x:c r="S94" s="523" t="inlineStr">
        <x:is>
          <x:t xml:space="preserve">Yes</x:t>
        </x:is>
      </x:c>
      <x:c r="T94" s="523" t="inlineStr">
        <x:is>
          <x:t xml:space="preserve">No</x:t>
        </x:is>
      </x:c>
      <x:c r="U94" s="523" t="inlineStr">
        <x:is>
          <x:t xml:space="preserve">Yes: 2 (legal supports)</x:t>
        </x:is>
      </x:c>
      <x:c r="V94" s="523" t="inlineStr">
        <x:is>
          <x:t xml:space="preserve">High</x:t>
        </x:is>
      </x:c>
      <x:c r="W94" s="523" t="inlineStr">
        <x:is>
          <x:t xml:space="preserve">Probable — name-normalized match to Runsheet 71 grantee; confirm</x:t>
        </x:is>
      </x:c>
      <x:c r="X94" s="523" t="inlineStr">
        <x:is>
          <x:t xml:space="preserve">Yes — on Tract 2 owner list</x:t>
        </x:is>
      </x:c>
      <x:c r="Y94" s="523" t="inlineStr">
        <x:is>
          <x:t xml:space="preserve">Candidate 0.00126347176772335 (helper — confirm from image)</x:t>
        </x:is>
      </x:c>
      <x:c r="Z94" s="523" t="inlineStr">
        <x:is>
          <x:t xml:space="preserve">Medium — helper value</x:t>
        </x:is>
      </x:c>
      <x:c r="AA94" s="523" t="inlineStr">
        <x:is>
          <x:t xml:space="preserve">Mineral Deed — Billy W. Bain and Barbara J. B to Gregory J. Winneke (480/71)</x:t>
        </x:is>
      </x:c>
      <x:c r="AB94" s="523" t="inlineStr">
        <x:is>
          <x:t xml:space="preserve">Needs source review: grantor source</x:t>
        </x:is>
      </x:c>
    </x:row>
    <x:row r="95" s="523" customFormat="1" ht="48" customHeight="1">
      <x:c r="A95" s="513" t="inlineStr">
        <x:is>
          <x:t xml:space="preserve">1983-001670</x:t>
        </x:is>
      </x:c>
      <x:c r="B95" s="513" t="n"/>
      <x:c r="C95" s="513" t="inlineStr">
        <x:is>
          <x:t xml:space="preserve">Mineral Deed</x:t>
        </x:is>
      </x:c>
      <x:c r="D95" s="513" t="inlineStr">
        <x:is>
          <x:t xml:space="preserve">512/66</x:t>
        </x:is>
      </x:c>
      <x:c r="E95" s="514" t="n">
        <x:v>30361</x:v>
      </x:c>
      <x:c r="F95" s="515" t="n">
        <x:v>30369</x:v>
      </x:c>
      <x:c r="G95" s="516" t="inlineStr">
        <x:is>
          <x:t xml:space="preserve">Billy W. Bain and Barbara J. Bain, HW</x:t>
        </x:is>
      </x:c>
      <x:c r="H95" s="516" t="inlineStr">
        <x:is>
          <x:t xml:space="preserve">o. K. O1l Venture, a joint venture</x:t>
        </x:is>
      </x:c>
      <x:c r="I95" s="517" t="inlineStr">
        <x:is>
          <x:t xml:space="preserve">S/2 SE/4, NW/4 SE/4, SW/4 NE/4 of 31-12N-24W, aol</x:t>
        </x:is>
      </x:c>
      <x:c r="J95" s="112" t="inlineStr">
        <x:is>
          <x:t xml:space="preserve">3/791.47 interest</x:t>
        </x:is>
      </x:c>
      <x:c r="K95" s="329" t="inlineStr">
        <x:is>
          <x:t xml:space="preserve">OKCountyRecords: 1983-001670</x:t>
        </x:is>
      </x:c>
      <x:c r="L95" s="522" t="inlineStr">
        <x:is>
          <x:t xml:space="preserve">Mineral; amount not stated — confirm from instrument. Gross=tract-map basis.</x:t>
        </x:is>
      </x:c>
      <x:c r="M95" s="522" t="inlineStr">
        <x:is>
          <x:t xml:space="preserve">Needs source review</x:t>
        </x:is>
      </x:c>
      <x:c r="N95" s="522" t="inlineStr">
        <x:is>
          <x:t xml:space="preserve">Pull recorded image (Bk/Pg 512/66); confirm grantor, grantee, legal, dates, and UND 3/791.47 conveyed interest.</x:t>
        </x:is>
      </x:c>
      <x:c r="O95" s="522" t="inlineStr">
        <x:is>
          <x:t xml:space="preserve">OUTSIDE LANDS</x:t>
        </x:is>
      </x:c>
      <x:c r="P95" s="523" t="inlineStr">
        <x:is>
          <x:t xml:space="preserve">Chain — minerals</x:t>
        </x:is>
      </x:c>
      <x:c r="Q95" s="523" t="inlineStr">
        <x:is>
          <x:t xml:space="preserve">Yes</x:t>
        </x:is>
      </x:c>
      <x:c r="R95" s="523" t="inlineStr">
        <x:is>
          <x:t xml:space="preserve">No</x:t>
        </x:is>
      </x:c>
      <x:c r="S95" s="523" t="inlineStr">
        <x:is>
          <x:t xml:space="preserve">Yes</x:t>
        </x:is>
      </x:c>
      <x:c r="T95" s="523" t="inlineStr">
        <x:is>
          <x:t xml:space="preserve">No</x:t>
        </x:is>
      </x:c>
      <x:c r="U95" s="523" t="inlineStr">
        <x:is>
          <x:t xml:space="preserve">Yes: 2 (legal supports)</x:t>
        </x:is>
      </x:c>
      <x:c r="V95" s="523" t="inlineStr">
        <x:is>
          <x:t xml:space="preserve">High</x:t>
        </x:is>
      </x:c>
      <x:c r="W95" s="523" t="inlineStr">
        <x:is>
          <x:t xml:space="preserve">Probable — name-normalized match to Runsheet 71 grantee; confirm</x:t>
        </x:is>
      </x:c>
      <x:c r="X95" s="523" t="inlineStr">
        <x:is>
          <x:t xml:space="preserve">Review</x:t>
        </x:is>
      </x:c>
      <x:c r="Y95" s="523" t="inlineStr">
        <x:is>
          <x:t xml:space="preserve">Interest amount needs review</x:t>
        </x:is>
      </x:c>
      <x:c r="Z95" s="523" t="inlineStr">
        <x:is>
          <x:t xml:space="preserve">Review</x:t>
        </x:is>
      </x:c>
      <x:c r="AA95" s="523" t="inlineStr">
        <x:is>
          <x:t xml:space="preserve">Mineral Deed — Billy W. Bain and Barbara J. B to o. K. O1l Venture, a joint ven (512/66)</x:t>
        </x:is>
      </x:c>
      <x:c r="AB95" s="523" t="inlineStr">
        <x:is>
          <x:t xml:space="preserve">Needs source review: grantor source, interest amount</x:t>
        </x:is>
      </x:c>
    </x:row>
    <x:row r="96" s="523" customFormat="1" ht="48" customHeight="1">
      <x:c r="A96" s="513" t="inlineStr">
        <x:is>
          <x:t xml:space="preserve">1983-001669</x:t>
        </x:is>
      </x:c>
      <x:c r="B96" s="513" t="n"/>
      <x:c r="C96" s="513" t="inlineStr">
        <x:is>
          <x:t xml:space="preserve">Mineral Deed</x:t>
        </x:is>
      </x:c>
      <x:c r="D96" s="513" t="inlineStr">
        <x:is>
          <x:t xml:space="preserve">512/65</x:t>
        </x:is>
      </x:c>
      <x:c r="E96" s="514" t="n">
        <x:v>30369</x:v>
      </x:c>
      <x:c r="F96" s="515" t="n">
        <x:v>30369</x:v>
      </x:c>
      <x:c r="G96" s="516" t="inlineStr">
        <x:is>
          <x:t xml:space="preserve">Billy Wayne Bain, Trustee for Hazel A. Hamilton under Trust Agreement dated January 29, 1983</x:t>
        </x:is>
      </x:c>
      <x:c r="H96" s="516" t="inlineStr">
        <x:is>
          <x:t xml:space="preserve">O. K. Oil Venture</x:t>
        </x:is>
      </x:c>
      <x:c r="I96" s="517" t="inlineStr">
        <x:is>
          <x:t xml:space="preserve">S/2 SE/4, NW/4 SE/4, SW/4 NE/4 of 31-12N-24W, aol</x:t>
        </x:is>
      </x:c>
      <x:c r="J96" s="112" t="inlineStr">
        <x:is>
          <x:t xml:space="preserve">3/791.47 interest in 2 sections</x:t>
        </x:is>
      </x:c>
      <x:c r="K96" s="518" t="e">
        <x:f>HYPERLINK("https://okcountyrecords.com/detail/roger+mills/1983-001669","OKCountyRecords: 1983-001669")</x:f>
      </x:c>
      <x:c r="L96" s="522" t="inlineStr">
        <x:is>
          <x:t xml:space="preserve">Mineral; basis Conv Amt(dec). Gross=tract-map basis.</x:t>
        </x:is>
      </x:c>
      <x:c r="M96" s="522" t="n"/>
      <x:c r="N96" s="522" t="n"/>
      <x:c r="O96" s="522" t="inlineStr">
        <x:is>
          <x:t xml:space="preserve">OUTSIDE LANDS</x:t>
        </x:is>
      </x:c>
      <x:c r="P96" s="523" t="inlineStr">
        <x:is>
          <x:t xml:space="preserve">Chain — minerals</x:t>
        </x:is>
      </x:c>
      <x:c r="Q96" s="523" t="inlineStr">
        <x:is>
          <x:t xml:space="preserve">Yes</x:t>
        </x:is>
      </x:c>
      <x:c r="R96" s="523" t="inlineStr">
        <x:is>
          <x:t xml:space="preserve">No</x:t>
        </x:is>
      </x:c>
      <x:c r="S96" s="523" t="inlineStr">
        <x:is>
          <x:t xml:space="preserve">Yes</x:t>
        </x:is>
      </x:c>
      <x:c r="T96" s="523" t="inlineStr">
        <x:is>
          <x:t xml:space="preserve">No</x:t>
        </x:is>
      </x:c>
      <x:c r="U96" s="523" t="inlineStr">
        <x:is>
          <x:t xml:space="preserve">Yes: 2 (legal supports)</x:t>
        </x:is>
      </x:c>
      <x:c r="V96" s="523" t="inlineStr">
        <x:is>
          <x:t xml:space="preserve">High</x:t>
        </x:is>
      </x:c>
      <x:c r="W96" s="523" t="inlineStr">
        <x:is>
          <x:t xml:space="preserve">Review — no exact prior-grantee match</x:t>
        </x:is>
      </x:c>
      <x:c r="X96" s="523" t="inlineStr">
        <x:is>
          <x:t xml:space="preserve">Yes — on Tract 2 owner list</x:t>
        </x:is>
      </x:c>
      <x:c r="Y96" s="523" t="inlineStr">
        <x:is>
          <x:t xml:space="preserve">Candidate 0.00379041530317005 (helper — confirm from image)</x:t>
        </x:is>
      </x:c>
      <x:c r="Z96" s="523" t="inlineStr">
        <x:is>
          <x:t xml:space="preserve">Medium — helper value</x:t>
        </x:is>
      </x:c>
      <x:c r="AA96" s="523" t="inlineStr">
        <x:is>
          <x:t xml:space="preserve">Mineral Deed — Billy Wayne Bain, Trustee for to O. K. Oil Venture (512/65)</x:t>
        </x:is>
      </x:c>
      <x:c r="AB96" s="523" t="inlineStr">
        <x:is>
          <x:t xml:space="preserve">Needs source review: grantor source</x:t>
        </x:is>
      </x:c>
    </x:row>
    <x:row r="97" s="523" customFormat="1" ht="60" customHeight="1">
      <x:c r="A97" s="513" t="inlineStr">
        <x:is>
          <x:t xml:space="preserve">1983-001668</x:t>
        </x:is>
      </x:c>
      <x:c r="B97" s="513" t="n"/>
      <x:c r="C97" s="513" t="inlineStr">
        <x:is>
          <x:t xml:space="preserve">Trust Agreement</x:t>
        </x:is>
      </x:c>
      <x:c r="D97" s="513" t="inlineStr">
        <x:is>
          <x:t xml:space="preserve">512/61</x:t>
        </x:is>
      </x:c>
      <x:c r="E97" s="514" t="n">
        <x:v>30369</x:v>
      </x:c>
      <x:c r="F97" s="515" t="n">
        <x:v>30369</x:v>
      </x:c>
      <x:c r="G97" s="516" t="inlineStr">
        <x:is>
          <x:t xml:space="preserve">Hazel A. Hamilton</x:t>
        </x:is>
      </x:c>
      <x:c r="H97" s="516" t="inlineStr">
        <x:is>
          <x:t xml:space="preserve">Billy Wayne Bain, Trustee</x:t>
        </x:is>
      </x:c>
      <x:c r="I97" s="517" t="inlineStr">
        <x:is>
          <x:t xml:space="preserve">31-12N-24W, aol</x:t>
        </x:is>
      </x:c>
      <x:c r="J97" s="112" t="inlineStr">
        <x:is>
          <x:t xml:space="preserve">Trust Agreement</x:t>
        </x:is>
      </x:c>
      <x:c r="K97" s="518" t="e">
        <x:f>HYPERLINK("https://okcountyrecords.com/detail/roger+mills/1983-001668","OKCountyRecords: 1983-001668")</x:f>
      </x:c>
      <x:c r="L97" s="522" t="inlineStr">
        <x:is>
          <x:t xml:space="preserve">Other (non-mineral; excluded from mineral NMA). All-section coverage. Gross=tract-map basis.</x:t>
        </x:is>
      </x:c>
      <x:c r="M97" s="522" t="n"/>
      <x:c r="N97" s="522" t="n"/>
      <x:c r="O97" s="522" t="inlineStr">
        <x:is>
          <x:t xml:space="preserve">OUTSIDE LANDS</x:t>
        </x:is>
      </x:c>
      <x:c r="P97" s="523" t="inlineStr">
        <x:is>
          <x:t xml:space="preserve">Chain — title support (succession/entity/probate)</x:t>
        </x:is>
      </x:c>
      <x:c r="Q97" s="523" t="inlineStr">
        <x:is>
          <x:t xml:space="preserve">Yes</x:t>
        </x:is>
      </x:c>
      <x:c r="R97" s="523" t="inlineStr">
        <x:is>
          <x:t xml:space="preserve">No</x:t>
        </x:is>
      </x:c>
      <x:c r="S97" s="523" t="inlineStr">
        <x:is>
          <x:t xml:space="preserve">Yes</x:t>
        </x:is>
      </x:c>
      <x:c r="T97" s="523" t="inlineStr">
        <x:is>
          <x:t xml:space="preserve">No</x:t>
        </x:is>
      </x:c>
      <x:c r="U97" s="523" t="inlineStr">
        <x:is>
          <x:t xml:space="preserve">Yes: 1, 8 (broad legal)</x:t>
        </x:is>
      </x:c>
      <x:c r="V97" s="523" t="inlineStr">
        <x:is>
          <x:t xml:space="preserve">Medium</x:t>
        </x:is>
      </x:c>
      <x:c r="W97" s="523" t="inlineStr">
        <x:is>
          <x:t xml:space="preserve">Yes — prior grantee match</x:t>
        </x:is>
      </x:c>
      <x:c r="X97" s="523" t="inlineStr">
        <x:is>
          <x:t xml:space="preserve">Review</x:t>
        </x:is>
      </x:c>
      <x:c r="Y97" s="523" t="inlineStr">
        <x:is>
          <x:t xml:space="preserve">Interest amount needs review</x:t>
        </x:is>
      </x:c>
      <x:c r="Z97" s="523" t="inlineStr">
        <x:is>
          <x:t xml:space="preserve">Review</x:t>
        </x:is>
      </x:c>
      <x:c r="AA97" s="523" t="inlineStr">
        <x:is>
          <x:t xml:space="preserve">Trust Agreement — Hazel A. Hamilton to Billy Wayne Bain, Trustee (512/61)</x:t>
        </x:is>
      </x:c>
      <x:c r="AB97" s="523" t="inlineStr">
        <x:is>
          <x:t xml:space="preserve">Needs source review: interest amount</x:t>
        </x:is>
      </x:c>
    </x:row>
    <x:row r="98" s="523" customFormat="1" ht="84" customHeight="1">
      <x:c r="A98" s="513" t="inlineStr">
        <x:is>
          <x:t xml:space="preserve">1983-001671</x:t>
        </x:is>
      </x:c>
      <x:c r="B98" s="513" t="n"/>
      <x:c r="C98" s="513" t="inlineStr">
        <x:is>
          <x:t xml:space="preserve">Final Decree</x:t>
        </x:is>
      </x:c>
      <x:c r="D98" s="513" t="inlineStr">
        <x:is>
          <x:t xml:space="preserve">512/67</x:t>
        </x:is>
      </x:c>
      <x:c r="E98" s="514" t="n">
        <x:v>30369</x:v>
      </x:c>
      <x:c r="F98" s="515" t="n">
        <x:v>30369</x:v>
      </x:c>
      <x:c r="G98" s="516" t="inlineStr">
        <x:is>
          <x:t xml:space="preserve">Roger Mills County Court
RE: In the Matter of the Estate of Jesse G. French, Deceased</x:t>
        </x:is>
      </x:c>
      <x:c r="H98" s="516" t="inlineStr">
        <x:is>
          <x:t xml:space="preserve">Lola B. French</x:t>
        </x:is>
      </x:c>
      <x:c r="I98" s="517" t="inlineStr">
        <x:is>
          <x:t xml:space="preserve">31-12N-24W not found on document</x:t>
        </x:is>
      </x:c>
      <x:c r="J98" s="112" t="inlineStr">
        <x:is>
          <x:t xml:space="preserve">ARTI
Chain note: source of title — OUTSIDE LANDS 2005-008386 at 1816/41, Roger Mills County Court
RE: In the Matter of the Estate of Louis E. Jaques, deceased to Virginia Jaques, widow, 1/2,
Ethel Brister, 1/2, covering N/2 NE/4 of 31-12N-24W, aol, interest stated: ARTI. Confirm source instrument before relying on this conveyance.</x:t>
        </x:is>
      </x:c>
      <x:c r="K98" s="518" t="e">
        <x:f>HYPERLINK("https://okcountyrecords.com/detail/roger+mills/1983-001671","OKCountyRecords: 1983-001671")</x:f>
      </x:c>
      <x:c r="L98" s="522" t="inlineStr">
        <x:is>
          <x:t xml:space="preserve">Mineral; basis Conv Amt(dec). All-section coverage. Gross=tract-map basis.</x:t>
        </x:is>
      </x:c>
      <x:c r="M98" s="522" t="inlineStr">
        <x:is>
          <x:t xml:space="preserve">CURRENT OWNER SOURCE</x:t>
        </x:is>
      </x:c>
      <x:c r="N98" s="522" t="n"/>
      <x:c r="O98" s="522" t="inlineStr">
        <x:is>
          <x:t xml:space="preserve">OUTSIDE LANDS</x:t>
        </x:is>
      </x:c>
      <x:c r="P98" s="523" t="inlineStr">
        <x:is>
          <x:t xml:space="preserve">Chain — title support (succession/entity/probate)</x:t>
        </x:is>
      </x:c>
      <x:c r="Q98" s="523" t="inlineStr">
        <x:is>
          <x:t xml:space="preserve">Yes</x:t>
        </x:is>
      </x:c>
      <x:c r="R98" s="523" t="inlineStr">
        <x:is>
          <x:t xml:space="preserve">No</x:t>
        </x:is>
      </x:c>
      <x:c r="S98" s="523" t="inlineStr">
        <x:is>
          <x:t xml:space="preserve">Yes</x:t>
        </x:is>
      </x:c>
      <x:c r="T98" s="523" t="inlineStr">
        <x:is>
          <x:t xml:space="preserve">No</x:t>
        </x:is>
      </x:c>
      <x:c r="U98" s="523" t="inlineStr">
        <x:is>
          <x:t xml:space="preserve">Yes: 1, 8 (broad legal)</x:t>
        </x:is>
      </x:c>
      <x:c r="V98" s="523" t="inlineStr">
        <x:is>
          <x:t xml:space="preserve">Medium</x:t>
        </x:is>
      </x:c>
      <x:c r="W98" s="523" t="inlineStr">
        <x:is>
          <x:t xml:space="preserve">Review — no exact prior-grantee match</x:t>
        </x:is>
      </x:c>
      <x:c r="X98" s="523" t="inlineStr">
        <x:is>
          <x:t xml:space="preserve">Review</x:t>
        </x:is>
      </x:c>
      <x:c r="Y98" s="523" t="inlineStr">
        <x:is>
          <x:t xml:space="preserve">Candidate 1 (helper — confirm from image)</x:t>
        </x:is>
      </x:c>
      <x:c r="Z98" s="523" t="inlineStr">
        <x:is>
          <x:t xml:space="preserve">Medium — helper value</x:t>
        </x:is>
      </x:c>
      <x:c r="AA98" s="523" t="inlineStr">
        <x:is>
          <x:t xml:space="preserve">Final Decree — Roger Mills County Court to Lola B. French (512/67)</x:t>
        </x:is>
      </x:c>
      <x:c r="AB98" s="523" t="inlineStr">
        <x:is>
          <x:t xml:space="preserve">Needs source review: grantor source</x:t>
        </x:is>
      </x:c>
    </x:row>
    <x:row r="99" s="523" customFormat="1" ht="48" customHeight="1">
      <x:c r="A99" s="513" t="inlineStr">
        <x:is>
          <x:t xml:space="preserve">1983-002348</x:t>
        </x:is>
      </x:c>
      <x:c r="B99" s="513" t="n"/>
      <x:c r="C99" s="513" t="inlineStr">
        <x:is>
          <x:t xml:space="preserve">Mineral Deed</x:t>
        </x:is>
      </x:c>
      <x:c r="D99" s="513" t="inlineStr">
        <x:is>
          <x:t xml:space="preserve">517/134</x:t>
        </x:is>
      </x:c>
      <x:c r="E99" s="514" t="n">
        <x:v>30388</x:v>
      </x:c>
      <x:c r="F99" s="515" t="n">
        <x:v>30388</x:v>
      </x:c>
      <x:c r="G99" s="516" t="inlineStr">
        <x:is>
          <x:t xml:space="preserve">O. K. Oil Venture</x:t>
        </x:is>
      </x:c>
      <x:c r="H99" s="516" t="inlineStr">
        <x:is>
          <x:t xml:space="preserve">Jonathan E. Jensen</x:t>
        </x:is>
      </x:c>
      <x:c r="I99" s="517" t="inlineStr">
        <x:is>
          <x:t xml:space="preserve">S/2 SE/4, NW/4 SE/4, SW/4 NE/4 of 31-12N-24W, aol</x:t>
        </x:is>
      </x:c>
      <x:c r="J99" s="112" t="inlineStr">
        <x:is>
          <x:t xml:space="preserve">1/791.47 interest in 2 sections</x:t>
        </x:is>
      </x:c>
      <x:c r="K99" s="518" t="e">
        <x:f>HYPERLINK("https://okcountyrecords.com/detail/roger+mills/1983-002348","OKCountyRecords: 1983-002348")</x:f>
      </x:c>
      <x:c r="L99" s="522" t="inlineStr">
        <x:is>
          <x:t xml:space="preserve">Mineral; basis Conv Amt(dec). Gross=tract-map basis.</x:t>
        </x:is>
      </x:c>
      <x:c r="M99" s="522" t="n"/>
      <x:c r="N99" s="522" t="n"/>
      <x:c r="O99" s="522" t="inlineStr">
        <x:is>
          <x:t xml:space="preserve">OUTSIDE LANDS</x:t>
        </x:is>
      </x:c>
      <x:c r="P99" s="523" t="inlineStr">
        <x:is>
          <x:t xml:space="preserve">Chain — minerals</x:t>
        </x:is>
      </x:c>
      <x:c r="Q99" s="523" t="inlineStr">
        <x:is>
          <x:t xml:space="preserve">Yes</x:t>
        </x:is>
      </x:c>
      <x:c r="R99" s="523" t="inlineStr">
        <x:is>
          <x:t xml:space="preserve">No</x:t>
        </x:is>
      </x:c>
      <x:c r="S99" s="523" t="inlineStr">
        <x:is>
          <x:t xml:space="preserve">Yes</x:t>
        </x:is>
      </x:c>
      <x:c r="T99" s="523" t="inlineStr">
        <x:is>
          <x:t xml:space="preserve">No</x:t>
        </x:is>
      </x:c>
      <x:c r="U99" s="523" t="inlineStr">
        <x:is>
          <x:t xml:space="preserve">Yes: 2 (legal supports)</x:t>
        </x:is>
      </x:c>
      <x:c r="V99" s="523" t="inlineStr">
        <x:is>
          <x:t xml:space="preserve">High</x:t>
        </x:is>
      </x:c>
      <x:c r="W99" s="523" t="inlineStr">
        <x:is>
          <x:t xml:space="preserve">Yes — prior grantee match</x:t>
        </x:is>
      </x:c>
      <x:c r="X99" s="523" t="inlineStr">
        <x:is>
          <x:t xml:space="preserve">Yes — on Tract 2 owner list</x:t>
        </x:is>
      </x:c>
      <x:c r="Y99" s="523" t="inlineStr">
        <x:is>
          <x:t xml:space="preserve">Candidate 0.00126347176772335 (helper — confirm from image)</x:t>
        </x:is>
      </x:c>
      <x:c r="Z99" s="523" t="inlineStr">
        <x:is>
          <x:t xml:space="preserve">Medium — helper value</x:t>
        </x:is>
      </x:c>
      <x:c r="AA99" s="523" t="inlineStr">
        <x:is>
          <x:t xml:space="preserve">Mineral Deed — O. K. Oil Venture to Jonathan E. Jensen (517/134)</x:t>
        </x:is>
      </x:c>
    </x:row>
    <x:row r="100" s="523" customFormat="1" ht="48" customHeight="1">
      <x:c r="A100" s="513" t="inlineStr">
        <x:is>
          <x:t xml:space="preserve">1983-002349</x:t>
        </x:is>
      </x:c>
      <x:c r="B100" s="513" t="n"/>
      <x:c r="C100" s="513" t="inlineStr">
        <x:is>
          <x:t xml:space="preserve">Mineral Deed</x:t>
        </x:is>
      </x:c>
      <x:c r="D100" s="513" t="inlineStr">
        <x:is>
          <x:t xml:space="preserve">517/135</x:t>
        </x:is>
      </x:c>
      <x:c r="E100" s="514" t="n">
        <x:v>30388</x:v>
      </x:c>
      <x:c r="F100" s="515" t="n">
        <x:v>30388</x:v>
      </x:c>
      <x:c r="G100" s="516" t="inlineStr">
        <x:is>
          <x:t xml:space="preserve">O. K. Oil Venture</x:t>
        </x:is>
      </x:c>
      <x:c r="H100" s="516" t="inlineStr">
        <x:is>
          <x:t xml:space="preserve">John R. Bringle</x:t>
        </x:is>
      </x:c>
      <x:c r="I100" s="517" t="inlineStr">
        <x:is>
          <x:t xml:space="preserve">S/2 SE/4, NW/4 SE/4, SW/4 NE/4 of 31-12N-24W, aol</x:t>
        </x:is>
      </x:c>
      <x:c r="J100" s="112" t="inlineStr">
        <x:is>
          <x:t xml:space="preserve">1/791.47 interest in 2 sections</x:t>
        </x:is>
      </x:c>
      <x:c r="K100" s="518" t="e">
        <x:f>HYPERLINK("https://okcountyrecords.com/detail/roger+mills/1983-002349","OKCountyRecords: 1983-002349")</x:f>
      </x:c>
      <x:c r="L100" s="522" t="inlineStr">
        <x:is>
          <x:t xml:space="preserve">Mineral; basis Conv Amt(dec). Gross=tract-map basis.</x:t>
        </x:is>
      </x:c>
      <x:c r="M100" s="522" t="inlineStr">
        <x:is>
          <x:t xml:space="preserve">CURRENT OWNER SOURCE</x:t>
        </x:is>
      </x:c>
      <x:c r="N100" s="522" t="n"/>
      <x:c r="O100" s="522" t="inlineStr">
        <x:is>
          <x:t xml:space="preserve">OUTSIDE LANDS</x:t>
        </x:is>
      </x:c>
      <x:c r="P100" s="523" t="inlineStr">
        <x:is>
          <x:t xml:space="preserve">Chain — minerals</x:t>
        </x:is>
      </x:c>
      <x:c r="Q100" s="523" t="inlineStr">
        <x:is>
          <x:t xml:space="preserve">Yes</x:t>
        </x:is>
      </x:c>
      <x:c r="R100" s="523" t="inlineStr">
        <x:is>
          <x:t xml:space="preserve">No</x:t>
        </x:is>
      </x:c>
      <x:c r="S100" s="523" t="inlineStr">
        <x:is>
          <x:t xml:space="preserve">Yes</x:t>
        </x:is>
      </x:c>
      <x:c r="T100" s="523" t="inlineStr">
        <x:is>
          <x:t xml:space="preserve">No</x:t>
        </x:is>
      </x:c>
      <x:c r="U100" s="523" t="inlineStr">
        <x:is>
          <x:t xml:space="preserve">Yes: 2 (legal supports)</x:t>
        </x:is>
      </x:c>
      <x:c r="V100" s="523" t="inlineStr">
        <x:is>
          <x:t xml:space="preserve">High</x:t>
        </x:is>
      </x:c>
      <x:c r="W100" s="523" t="inlineStr">
        <x:is>
          <x:t xml:space="preserve">Yes — prior grantee match</x:t>
        </x:is>
      </x:c>
      <x:c r="X100" s="523" t="inlineStr">
        <x:is>
          <x:t xml:space="preserve">Yes — on Tract 2 owner list</x:t>
        </x:is>
      </x:c>
      <x:c r="Y100" s="523" t="inlineStr">
        <x:is>
          <x:t xml:space="preserve">Candidate 0.00126347176772335 (helper — confirm from image)</x:t>
        </x:is>
      </x:c>
      <x:c r="Z100" s="523" t="inlineStr">
        <x:is>
          <x:t xml:space="preserve">Medium — helper value</x:t>
        </x:is>
      </x:c>
      <x:c r="AA100" s="523" t="inlineStr">
        <x:is>
          <x:t xml:space="preserve">Mineral Deed — O. K. Oil Venture to John R. Bringle (517/135)</x:t>
        </x:is>
      </x:c>
    </x:row>
    <x:row r="101" s="523" customFormat="1" ht="48" customHeight="1">
      <x:c r="A101" s="513" t="inlineStr">
        <x:is>
          <x:t xml:space="preserve">1983-002350</x:t>
        </x:is>
      </x:c>
      <x:c r="B101" s="513" t="n"/>
      <x:c r="C101" s="513" t="inlineStr">
        <x:is>
          <x:t xml:space="preserve">Mineral Deed</x:t>
        </x:is>
      </x:c>
      <x:c r="D101" s="513" t="inlineStr">
        <x:is>
          <x:t xml:space="preserve">517/136</x:t>
        </x:is>
      </x:c>
      <x:c r="E101" s="514" t="n">
        <x:v>30388</x:v>
      </x:c>
      <x:c r="F101" s="515" t="n">
        <x:v>30388</x:v>
      </x:c>
      <x:c r="G101" s="516" t="inlineStr">
        <x:is>
          <x:t xml:space="preserve">O. K. Oil Venture</x:t>
        </x:is>
      </x:c>
      <x:c r="H101" s="516" t="inlineStr">
        <x:is>
          <x:t xml:space="preserve">James F. Menehan</x:t>
        </x:is>
      </x:c>
      <x:c r="I101" s="517" t="inlineStr">
        <x:is>
          <x:t xml:space="preserve">S/2 SE/4, NW/4 SE/4, SW/4 NE/4 of 31-12N-24W, aol</x:t>
        </x:is>
      </x:c>
      <x:c r="J101" s="112" t="inlineStr">
        <x:is>
          <x:t xml:space="preserve">1/791.47 interest in 2 sections</x:t>
        </x:is>
      </x:c>
      <x:c r="K101" s="518" t="e">
        <x:f>HYPERLINK("https://okcountyrecords.com/detail/roger+mills/1983-002350","OKCountyRecords: 1983-002350")</x:f>
      </x:c>
      <x:c r="L101" s="522" t="inlineStr">
        <x:is>
          <x:t xml:space="preserve">Mineral; basis Conv Amt(dec). Gross=tract-map basis.</x:t>
        </x:is>
      </x:c>
      <x:c r="M101" s="522" t="inlineStr">
        <x:is>
          <x:t xml:space="preserve">CURRENT OWNER SOURCE</x:t>
        </x:is>
      </x:c>
      <x:c r="N101" s="522" t="n"/>
      <x:c r="O101" s="522" t="inlineStr">
        <x:is>
          <x:t xml:space="preserve">OUTSIDE LANDS</x:t>
        </x:is>
      </x:c>
      <x:c r="P101" s="523" t="inlineStr">
        <x:is>
          <x:t xml:space="preserve">Chain — minerals</x:t>
        </x:is>
      </x:c>
      <x:c r="Q101" s="523" t="inlineStr">
        <x:is>
          <x:t xml:space="preserve">Yes</x:t>
        </x:is>
      </x:c>
      <x:c r="R101" s="523" t="inlineStr">
        <x:is>
          <x:t xml:space="preserve">No</x:t>
        </x:is>
      </x:c>
      <x:c r="S101" s="523" t="inlineStr">
        <x:is>
          <x:t xml:space="preserve">Yes</x:t>
        </x:is>
      </x:c>
      <x:c r="T101" s="523" t="inlineStr">
        <x:is>
          <x:t xml:space="preserve">No</x:t>
        </x:is>
      </x:c>
      <x:c r="U101" s="523" t="inlineStr">
        <x:is>
          <x:t xml:space="preserve">Yes: 2 (legal supports)</x:t>
        </x:is>
      </x:c>
      <x:c r="V101" s="523" t="inlineStr">
        <x:is>
          <x:t xml:space="preserve">High</x:t>
        </x:is>
      </x:c>
      <x:c r="W101" s="523" t="inlineStr">
        <x:is>
          <x:t xml:space="preserve">Yes — prior grantee match</x:t>
        </x:is>
      </x:c>
      <x:c r="X101" s="523" t="inlineStr">
        <x:is>
          <x:t xml:space="preserve">Yes — on Tract 2 owner list</x:t>
        </x:is>
      </x:c>
      <x:c r="Y101" s="523" t="inlineStr">
        <x:is>
          <x:t xml:space="preserve">Candidate 0.00126347176772335 (helper — confirm from image)</x:t>
        </x:is>
      </x:c>
      <x:c r="Z101" s="523" t="inlineStr">
        <x:is>
          <x:t xml:space="preserve">Medium — helper value</x:t>
        </x:is>
      </x:c>
      <x:c r="AA101" s="523" t="inlineStr">
        <x:is>
          <x:t xml:space="preserve">Mineral Deed — O. K. Oil Venture to James F. Menehan (517/136)</x:t>
        </x:is>
      </x:c>
    </x:row>
    <x:row r="102" s="523" customFormat="1" ht="48" customHeight="1">
      <x:c r="A102" s="513" t="inlineStr">
        <x:is>
          <x:t xml:space="preserve">1983-002351</x:t>
        </x:is>
      </x:c>
      <x:c r="B102" s="513" t="n"/>
      <x:c r="C102" s="513" t="inlineStr">
        <x:is>
          <x:t xml:space="preserve">Mineral Deed</x:t>
        </x:is>
      </x:c>
      <x:c r="D102" s="513" t="inlineStr">
        <x:is>
          <x:t xml:space="preserve">517/137</x:t>
        </x:is>
      </x:c>
      <x:c r="E102" s="514" t="n">
        <x:v>30388</x:v>
      </x:c>
      <x:c r="F102" s="515" t="n">
        <x:v>30388</x:v>
      </x:c>
      <x:c r="G102" s="516" t="inlineStr">
        <x:is>
          <x:t xml:space="preserve">O. K. Oil Venture</x:t>
        </x:is>
      </x:c>
      <x:c r="H102" s="516" t="inlineStr">
        <x:is>
          <x:t xml:space="preserve">L. A. Persicke</x:t>
        </x:is>
      </x:c>
      <x:c r="I102" s="517" t="inlineStr">
        <x:is>
          <x:t xml:space="preserve">S/2 SE/4, NW/4 SE/4, SW/4 NE/4 of 31-12N-24W, aol</x:t>
        </x:is>
      </x:c>
      <x:c r="J102" s="112" t="inlineStr">
        <x:is>
          <x:t xml:space="preserve">1/791.47 interest in 2 sections</x:t>
        </x:is>
      </x:c>
      <x:c r="K102" s="518" t="e">
        <x:f>HYPERLINK("https://okcountyrecords.com/detail/roger+mills/1983-002351","OKCountyRecords: 1983-002351")</x:f>
      </x:c>
      <x:c r="L102" s="522" t="inlineStr">
        <x:is>
          <x:t xml:space="preserve">Mineral; basis Conv Amt(dec). Gross=tract-map basis.</x:t>
        </x:is>
      </x:c>
      <x:c r="M102" s="522" t="inlineStr">
        <x:is>
          <x:t xml:space="preserve">CURRENT OWNER SOURCE</x:t>
        </x:is>
      </x:c>
      <x:c r="N102" s="522" t="n"/>
      <x:c r="O102" s="522" t="inlineStr">
        <x:is>
          <x:t xml:space="preserve">OUTSIDE LANDS</x:t>
        </x:is>
      </x:c>
      <x:c r="P102" s="523" t="inlineStr">
        <x:is>
          <x:t xml:space="preserve">Chain — minerals</x:t>
        </x:is>
      </x:c>
      <x:c r="Q102" s="523" t="inlineStr">
        <x:is>
          <x:t xml:space="preserve">Yes</x:t>
        </x:is>
      </x:c>
      <x:c r="R102" s="523" t="inlineStr">
        <x:is>
          <x:t xml:space="preserve">No</x:t>
        </x:is>
      </x:c>
      <x:c r="S102" s="523" t="inlineStr">
        <x:is>
          <x:t xml:space="preserve">Yes</x:t>
        </x:is>
      </x:c>
      <x:c r="T102" s="523" t="inlineStr">
        <x:is>
          <x:t xml:space="preserve">No</x:t>
        </x:is>
      </x:c>
      <x:c r="U102" s="523" t="inlineStr">
        <x:is>
          <x:t xml:space="preserve">Yes: 2 (legal supports)</x:t>
        </x:is>
      </x:c>
      <x:c r="V102" s="523" t="inlineStr">
        <x:is>
          <x:t xml:space="preserve">High</x:t>
        </x:is>
      </x:c>
      <x:c r="W102" s="523" t="inlineStr">
        <x:is>
          <x:t xml:space="preserve">Yes — prior grantee match</x:t>
        </x:is>
      </x:c>
      <x:c r="X102" s="523" t="inlineStr">
        <x:is>
          <x:t xml:space="preserve">Yes — on Tract 2 owner list</x:t>
        </x:is>
      </x:c>
      <x:c r="Y102" s="523" t="inlineStr">
        <x:is>
          <x:t xml:space="preserve">Candidate 0.00126347176772335 (helper — confirm from image)</x:t>
        </x:is>
      </x:c>
      <x:c r="Z102" s="523" t="inlineStr">
        <x:is>
          <x:t xml:space="preserve">Medium — helper value</x:t>
        </x:is>
      </x:c>
      <x:c r="AA102" s="523" t="inlineStr">
        <x:is>
          <x:t xml:space="preserve">Mineral Deed — O. K. Oil Venture to L. A. Persicke (517/137)</x:t>
        </x:is>
      </x:c>
    </x:row>
    <x:row r="103" s="523" customFormat="1" ht="48" customHeight="1">
      <x:c r="A103" s="513" t="inlineStr">
        <x:is>
          <x:t xml:space="preserve">1983-002352</x:t>
        </x:is>
      </x:c>
      <x:c r="B103" s="513" t="n"/>
      <x:c r="C103" s="513" t="inlineStr">
        <x:is>
          <x:t xml:space="preserve">Mineral Deed</x:t>
        </x:is>
      </x:c>
      <x:c r="D103" s="513" t="inlineStr">
        <x:is>
          <x:t xml:space="preserve">517/138</x:t>
        </x:is>
      </x:c>
      <x:c r="E103" s="514" t="n">
        <x:v>30388</x:v>
      </x:c>
      <x:c r="F103" s="515" t="n">
        <x:v>30388</x:v>
      </x:c>
      <x:c r="G103" s="516" t="inlineStr">
        <x:is>
          <x:t xml:space="preserve">O. K. Oil Venture</x:t>
        </x:is>
      </x:c>
      <x:c r="H103" s="516" t="inlineStr">
        <x:is>
          <x:t xml:space="preserve">Richard M. Heins</x:t>
        </x:is>
      </x:c>
      <x:c r="I103" s="524" t="inlineStr">
        <x:is>
          <x:t xml:space="preserve">S/2 SE/4, NW/4 SE/4, SW/4 NE/4 of 31-12N-24W, aol</x:t>
        </x:is>
      </x:c>
      <x:c r="J103" s="112" t="inlineStr">
        <x:is>
          <x:t xml:space="preserve">2/791.47 interest in 2 sections</x:t>
        </x:is>
      </x:c>
      <x:c r="K103" s="518" t="e">
        <x:f>HYPERLINK("https://okcountyrecords.com/detail/roger+mills/1983-002352","OKCountyRecords: 1983-002352")</x:f>
      </x:c>
      <x:c r="L103" s="522" t="inlineStr">
        <x:is>
          <x:t xml:space="preserve">Mineral; basis Conv Amt(dec). Gross=tract-map basis.</x:t>
        </x:is>
      </x:c>
      <x:c r="M103" s="522" t="inlineStr">
        <x:is>
          <x:t xml:space="preserve">CURRENT OWNER SOURCE</x:t>
        </x:is>
      </x:c>
      <x:c r="N103" s="522" t="n"/>
      <x:c r="O103" s="522" t="inlineStr">
        <x:is>
          <x:t xml:space="preserve">OUTSIDE LANDS</x:t>
        </x:is>
      </x:c>
      <x:c r="P103" s="523" t="inlineStr">
        <x:is>
          <x:t xml:space="preserve">Chain — minerals</x:t>
        </x:is>
      </x:c>
      <x:c r="Q103" s="523" t="inlineStr">
        <x:is>
          <x:t xml:space="preserve">Yes</x:t>
        </x:is>
      </x:c>
      <x:c r="R103" s="523" t="inlineStr">
        <x:is>
          <x:t xml:space="preserve">No</x:t>
        </x:is>
      </x:c>
      <x:c r="S103" s="523" t="inlineStr">
        <x:is>
          <x:t xml:space="preserve">Yes</x:t>
        </x:is>
      </x:c>
      <x:c r="T103" s="523" t="inlineStr">
        <x:is>
          <x:t xml:space="preserve">No</x:t>
        </x:is>
      </x:c>
      <x:c r="U103" s="523" t="inlineStr">
        <x:is>
          <x:t xml:space="preserve">Yes: 2 (legal supports)</x:t>
        </x:is>
      </x:c>
      <x:c r="V103" s="523" t="inlineStr">
        <x:is>
          <x:t xml:space="preserve">High</x:t>
        </x:is>
      </x:c>
      <x:c r="W103" s="523" t="inlineStr">
        <x:is>
          <x:t xml:space="preserve">Yes — prior grantee match</x:t>
        </x:is>
      </x:c>
      <x:c r="X103" s="523" t="inlineStr">
        <x:is>
          <x:t xml:space="preserve">Yes — on Tract 2 owner list</x:t>
        </x:is>
      </x:c>
      <x:c r="Y103" s="523" t="inlineStr">
        <x:is>
          <x:t xml:space="preserve">Candidate 0.0025269435354467 (helper — confirm from image)</x:t>
        </x:is>
      </x:c>
      <x:c r="Z103" s="523" t="inlineStr">
        <x:is>
          <x:t xml:space="preserve">Medium — helper value</x:t>
        </x:is>
      </x:c>
      <x:c r="AA103" s="523" t="inlineStr">
        <x:is>
          <x:t xml:space="preserve">Mineral Deed — O. K. Oil Venture to Richard M. Heins (517/138)</x:t>
        </x:is>
      </x:c>
    </x:row>
    <x:row r="104" s="523" customFormat="1" ht="60" customHeight="1">
      <x:c r="A104" s="513" t="inlineStr">
        <x:is>
          <x:t xml:space="preserve">1983-009331</x:t>
        </x:is>
      </x:c>
      <x:c r="B104" s="513" t="n"/>
      <x:c r="C104" s="513" t="inlineStr">
        <x:is>
          <x:t xml:space="preserve">Certificate</x:t>
        </x:is>
      </x:c>
      <x:c r="D104" s="513" t="inlineStr">
        <x:is>
          <x:t xml:space="preserve">581/225</x:t>
        </x:is>
      </x:c>
      <x:c r="E104" s="514" t="n">
        <x:v>30666</x:v>
      </x:c>
      <x:c r="F104" s="515" t="n">
        <x:v>30666</x:v>
      </x:c>
      <x:c r="G104" s="516" t="inlineStr">
        <x:is>
          <x:t xml:space="preserve">Paul Hughes</x:t>
        </x:is>
      </x:c>
      <x:c r="H104" s="516" t="inlineStr">
        <x:is>
          <x:t xml:space="preserve">The Public</x:t>
        </x:is>
      </x:c>
      <x:c r="I104" s="517" t="inlineStr">
        <x:is>
          <x:t xml:space="preserve">31-12N-24W</x:t>
        </x:is>
      </x:c>
      <x:c r="J104" s="112" t="inlineStr">
        <x:is>
          <x:t xml:space="preserve">See instrument</x:t>
        </x:is>
      </x:c>
      <x:c r="K104" s="518" t="e">
        <x:f>HYPERLINK("https://okcountyrecords.com/detail/roger+mills/1983-009331","OKCountyRecords: 1983-009331")</x:f>
      </x:c>
      <x:c r="L104" s="522" t="inlineStr">
        <x:is>
          <x:t xml:space="preserve">Other (non-mineral; excluded from mineral NMA). All-section coverage. Gross=tract-map basis.</x:t>
        </x:is>
      </x:c>
      <x:c r="M104" s="522" t="inlineStr">
        <x:is>
          <x:t xml:space="preserve">OK</x:t>
        </x:is>
      </x:c>
      <x:c r="N104" s="522" t="inlineStr">
        <x:is>
          <x:t xml:space="preserve">Non-conveying — notice/affidavit/address change (The Public).</x:t>
        </x:is>
      </x:c>
      <x:c r="O104" s="522" t="inlineStr">
        <x:is>
          <x:t xml:space="preserve">IGNORE FOR MINERAL OWNERSHIP</x:t>
        </x:is>
      </x:c>
      <x:c r="P104" s="523" t="inlineStr">
        <x:is>
          <x:t xml:space="preserve">Chain — title support (succession/entity/probate)</x:t>
        </x:is>
      </x:c>
      <x:c r="Q104" s="523" t="inlineStr">
        <x:is>
          <x:t xml:space="preserve">Yes</x:t>
        </x:is>
      </x:c>
      <x:c r="R104" s="523" t="inlineStr">
        <x:is>
          <x:t xml:space="preserve">No</x:t>
        </x:is>
      </x:c>
      <x:c r="S104" s="523" t="inlineStr">
        <x:is>
          <x:t xml:space="preserve">Yes</x:t>
        </x:is>
      </x:c>
      <x:c r="T104" s="523" t="inlineStr">
        <x:is>
          <x:t xml:space="preserve">No</x:t>
        </x:is>
      </x:c>
      <x:c r="U104" s="523" t="inlineStr">
        <x:is>
          <x:t xml:space="preserve">Yes: 1, 8 (broad legal)</x:t>
        </x:is>
      </x:c>
      <x:c r="V104" s="523" t="inlineStr">
        <x:is>
          <x:t xml:space="preserve">Medium</x:t>
        </x:is>
      </x:c>
      <x:c r="W104" s="523" t="inlineStr">
        <x:is>
          <x:t xml:space="preserve">Review — no exact prior-grantee match</x:t>
        </x:is>
      </x:c>
      <x:c r="X104" s="523" t="inlineStr">
        <x:is>
          <x:t xml:space="preserve">Review</x:t>
        </x:is>
      </x:c>
      <x:c r="Y104" s="523" t="inlineStr">
        <x:is>
          <x:t xml:space="preserve">Interest amount needs review</x:t>
        </x:is>
      </x:c>
      <x:c r="Z104" s="523" t="inlineStr">
        <x:is>
          <x:t xml:space="preserve">Review</x:t>
        </x:is>
      </x:c>
      <x:c r="AA104" s="523" t="inlineStr">
        <x:is>
          <x:t xml:space="preserve">Certificate — Paul Hughes to The Public (581/225)</x:t>
        </x:is>
      </x:c>
      <x:c r="AB104" s="523" t="inlineStr">
        <x:is>
          <x:t xml:space="preserve">Needs source review: grantor source, interest amount</x:t>
        </x:is>
      </x:c>
    </x:row>
    <x:row r="105" s="523" customFormat="1" ht="36" customHeight="1">
      <x:c r="A105" s="513" t="inlineStr">
        <x:is>
          <x:t xml:space="preserve">1984-002943</x:t>
        </x:is>
      </x:c>
      <x:c r="B105" s="513" t="n"/>
      <x:c r="C105" s="513" t="inlineStr">
        <x:is>
          <x:t xml:space="preserve">Mineral Deed</x:t>
        </x:is>
      </x:c>
      <x:c r="D105" s="513" t="inlineStr">
        <x:is>
          <x:t xml:space="preserve">604/350</x:t>
        </x:is>
      </x:c>
      <x:c r="E105" s="514" t="n">
        <x:v>30741</x:v>
      </x:c>
      <x:c r="F105" s="515" t="n">
        <x:v>30770</x:v>
      </x:c>
      <x:c r="G105" s="516" t="inlineStr">
        <x:is>
          <x:t xml:space="preserve">Leede Exploration</x:t>
        </x:is>
      </x:c>
      <x:c r="H105" s="516" t="inlineStr">
        <x:is>
          <x:t xml:space="preserve">O. I. L. Energy, Inc.</x:t>
        </x:is>
      </x:c>
      <x:c r="I105" s="517" t="inlineStr">
        <x:is>
          <x:t xml:space="preserve">E/2 NW/4 of 31-12N-24W, aol</x:t>
        </x:is>
      </x:c>
      <x:c r="J105" s="112" t="inlineStr">
        <x:is>
          <x:t xml:space="preserve">An undivided 89% of 25% of Grantor's interest in the oil, gas and other minerals</x:t>
        </x:is>
      </x:c>
      <x:c r="K105" s="518" t="e">
        <x:f>HYPERLINK("https://okcountyrecords.com/detail/roger+mills/1984-002943","OKCountyRecords: 1984-002943")</x:f>
      </x:c>
      <x:c r="L105" s="522" t="inlineStr">
        <x:is>
          <x:t xml:space="preserve">Mineral; basis Conv Amt(dec). Gross=tract-map basis.</x:t>
        </x:is>
      </x:c>
      <x:c r="M105" s="522" t="inlineStr">
        <x:is>
          <x:t xml:space="preserve">REVIEW</x:t>
        </x:is>
      </x:c>
      <x:c r="N105" s="522" t="inlineStr">
        <x:is>
          <x:t xml:space="preserve">Conveyed interest / decimal from instrument image</x:t>
        </x:is>
      </x:c>
      <x:c r="O105" s="522" t="inlineStr">
        <x:is>
          <x:t xml:space="preserve">OUTSIDE LANDS</x:t>
        </x:is>
      </x:c>
      <x:c r="P105" s="523" t="inlineStr">
        <x:is>
          <x:t xml:space="preserve">Chain — minerals</x:t>
        </x:is>
      </x:c>
      <x:c r="Q105" s="523" t="inlineStr">
        <x:is>
          <x:t xml:space="preserve">Yes</x:t>
        </x:is>
      </x:c>
      <x:c r="R105" s="523" t="inlineStr">
        <x:is>
          <x:t xml:space="preserve">No</x:t>
        </x:is>
      </x:c>
      <x:c r="S105" s="523" t="inlineStr">
        <x:is>
          <x:t xml:space="preserve">Yes</x:t>
        </x:is>
      </x:c>
      <x:c r="T105" s="523" t="inlineStr">
        <x:is>
          <x:t xml:space="preserve">No</x:t>
        </x:is>
      </x:c>
      <x:c r="U105" s="523" t="inlineStr">
        <x:is>
          <x:t xml:space="preserve">Yes: 4 (legal supports)</x:t>
        </x:is>
      </x:c>
      <x:c r="V105" s="523" t="inlineStr">
        <x:is>
          <x:t xml:space="preserve">High</x:t>
        </x:is>
      </x:c>
      <x:c r="W105" s="523" t="inlineStr">
        <x:is>
          <x:t xml:space="preserve">Yes — prior grantee match</x:t>
        </x:is>
      </x:c>
      <x:c r="X105" s="523" t="inlineStr">
        <x:is>
          <x:t xml:space="preserve">Yes — on Tract 4 owner list</x:t>
        </x:is>
      </x:c>
      <x:c r="Y105" s="523" t="inlineStr">
        <x:is>
          <x:t xml:space="preserve">Candidate 0.2225 (helper — confirm from image)</x:t>
        </x:is>
      </x:c>
      <x:c r="Z105" s="523" t="inlineStr">
        <x:is>
          <x:t xml:space="preserve">Medium — helper value</x:t>
        </x:is>
      </x:c>
      <x:c r="AA105" s="523" t="inlineStr">
        <x:is>
          <x:t xml:space="preserve">Mineral Deed — Leede Exploration to O. I. L. Energy, Inc. (604/350)</x:t>
        </x:is>
      </x:c>
    </x:row>
    <x:row r="106" s="520" customFormat="1" ht="36" customHeight="1">
      <x:c r="A106" s="513" t="inlineStr">
        <x:is>
          <x:t xml:space="preserve">1984-002948</x:t>
        </x:is>
      </x:c>
      <x:c r="B106" s="513" t="n"/>
      <x:c r="C106" s="513" t="inlineStr">
        <x:is>
          <x:t xml:space="preserve">Mineral Deed</x:t>
        </x:is>
      </x:c>
      <x:c r="D106" s="513" t="inlineStr">
        <x:is>
          <x:t xml:space="preserve">605/27</x:t>
        </x:is>
      </x:c>
      <x:c r="E106" s="514" t="n">
        <x:v>30770</x:v>
      </x:c>
      <x:c r="F106" s="515" t="n">
        <x:v>30770</x:v>
      </x:c>
      <x:c r="G106" s="516" t="inlineStr">
        <x:is>
          <x:t xml:space="preserve">Leede Exploration</x:t>
        </x:is>
      </x:c>
      <x:c r="H106" s="516" t="inlineStr">
        <x:is>
          <x:t xml:space="preserve">Robert H. Frazier, 1/3,
Clyde A. Pine, 1/3,
Charles D. Ray, 1/3</x:t>
        </x:is>
      </x:c>
      <x:c r="I106" s="517" t="inlineStr">
        <x:is>
          <x:t xml:space="preserve">E/2 NW/4 of 31-12N-24W, aol</x:t>
        </x:is>
      </x:c>
      <x:c r="J106" s="112" t="inlineStr">
        <x:is>
          <x:t xml:space="preserve">An undivided 15.789% of 11% of Grantor's interest in the oil, gas and other minerals</x:t>
        </x:is>
      </x:c>
      <x:c r="K106" s="518" t="e">
        <x:f>HYPERLINK("https://okcountyrecords.com/detail/roger+mills/1984-002948","OKCountyRecords: 1984-002948")</x:f>
      </x:c>
      <x:c r="L106" s="519" t="inlineStr">
        <x:is>
          <x:t xml:space="preserve">Mineral; basis Conv Amt(dec). Gross=tract-map basis.</x:t>
        </x:is>
      </x:c>
      <x:c r="M106" s="519" t="inlineStr">
        <x:is>
          <x:t xml:space="preserve">REVIEW</x:t>
        </x:is>
      </x:c>
      <x:c r="N106" s="519" t="inlineStr">
        <x:is>
          <x:t xml:space="preserve">Conveyed interest / decimal from instrument image</x:t>
        </x:is>
      </x:c>
      <x:c r="O106" s="519" t="inlineStr">
        <x:is>
          <x:t xml:space="preserve">OUTSIDE LANDS</x:t>
        </x:is>
      </x:c>
      <x:c r="P106" s="520" t="inlineStr">
        <x:is>
          <x:t xml:space="preserve">Chain — minerals</x:t>
        </x:is>
      </x:c>
      <x:c r="Q106" s="520" t="inlineStr">
        <x:is>
          <x:t xml:space="preserve">Yes</x:t>
        </x:is>
      </x:c>
      <x:c r="R106" s="520" t="inlineStr">
        <x:is>
          <x:t xml:space="preserve">No</x:t>
        </x:is>
      </x:c>
      <x:c r="S106" s="520" t="inlineStr">
        <x:is>
          <x:t xml:space="preserve">Yes</x:t>
        </x:is>
      </x:c>
      <x:c r="T106" s="520" t="inlineStr">
        <x:is>
          <x:t xml:space="preserve">No</x:t>
        </x:is>
      </x:c>
      <x:c r="U106" s="520" t="inlineStr">
        <x:is>
          <x:t xml:space="preserve">Yes: 4 (legal supports)</x:t>
        </x:is>
      </x:c>
      <x:c r="V106" s="520" t="inlineStr">
        <x:is>
          <x:t xml:space="preserve">High</x:t>
        </x:is>
      </x:c>
      <x:c r="W106" s="520" t="inlineStr">
        <x:is>
          <x:t xml:space="preserve">Yes — prior grantee match</x:t>
        </x:is>
      </x:c>
      <x:c r="X106" s="520" t="inlineStr">
        <x:is>
          <x:t xml:space="preserve">Review</x:t>
        </x:is>
      </x:c>
      <x:c r="Y106" s="520" t="inlineStr">
        <x:is>
          <x:t xml:space="preserve">Candidate 0.0173679 (helper — confirm from image)</x:t>
        </x:is>
      </x:c>
      <x:c r="Z106" s="520" t="inlineStr">
        <x:is>
          <x:t xml:space="preserve">Medium — helper value</x:t>
        </x:is>
      </x:c>
      <x:c r="AA106" s="520" t="inlineStr">
        <x:is>
          <x:t xml:space="preserve">Mineral Deed — Leede Exploration to Robert H. Frazier, 1/3, (605/27)</x:t>
        </x:is>
      </x:c>
    </x:row>
    <x:row r="107" s="520" customFormat="1" ht="48" customHeight="1">
      <x:c r="A107" s="513" t="inlineStr">
        <x:is>
          <x:t xml:space="preserve">1984-003786</x:t>
        </x:is>
      </x:c>
      <x:c r="B107" s="513" t="n"/>
      <x:c r="C107" s="513" t="inlineStr">
        <x:is>
          <x:t xml:space="preserve">Mineral Deed</x:t>
        </x:is>
      </x:c>
      <x:c r="D107" s="513" t="inlineStr">
        <x:is>
          <x:t xml:space="preserve">611/58</x:t>
        </x:is>
      </x:c>
      <x:c r="E107" s="514" t="n">
        <x:v>30791</x:v>
      </x:c>
      <x:c r="F107" s="515" t="n">
        <x:v>30791</x:v>
      </x:c>
      <x:c r="G107" s="516" t="inlineStr">
        <x:is>
          <x:t xml:space="preserve">Juanita M. Wolff</x:t>
        </x:is>
      </x:c>
      <x:c r="H107" s="516" t="inlineStr">
        <x:is>
          <x:t xml:space="preserve">David S. Silverberry</x:t>
        </x:is>
      </x:c>
      <x:c r="I107" s="517" t="inlineStr">
        <x:is>
          <x:t xml:space="preserve">S/2 SE/4, NW/4 SE/4, SW/4 NE/4 of 31-12N-24W, aol</x:t>
        </x:is>
      </x:c>
      <x:c r="J107" s="112" t="inlineStr">
        <x:is>
          <x:t xml:space="preserve">1/791.47 interest in 2 sections</x:t>
        </x:is>
      </x:c>
      <x:c r="K107" s="518" t="e">
        <x:f>HYPERLINK("https://okcountyrecords.com/detail/roger+mills/1984-003786","OKCountyRecords: 1984-003786")</x:f>
      </x:c>
      <x:c r="L107" s="519" t="inlineStr">
        <x:is>
          <x:t xml:space="preserve">Mineral; basis Conv Amt(dec). Gross=tract-map basis.</x:t>
        </x:is>
      </x:c>
      <x:c r="M107" s="519" t="inlineStr">
        <x:is>
          <x:t xml:space="preserve">CURRENT OWNER SOURCE</x:t>
        </x:is>
      </x:c>
      <x:c r="N107" s="519" t="n"/>
      <x:c r="O107" s="519" t="inlineStr">
        <x:is>
          <x:t xml:space="preserve">OUTSIDE LANDS</x:t>
        </x:is>
      </x:c>
      <x:c r="P107" s="520" t="inlineStr">
        <x:is>
          <x:t xml:space="preserve">Chain — minerals</x:t>
        </x:is>
      </x:c>
      <x:c r="Q107" s="520" t="inlineStr">
        <x:is>
          <x:t xml:space="preserve">Yes</x:t>
        </x:is>
      </x:c>
      <x:c r="R107" s="520" t="inlineStr">
        <x:is>
          <x:t xml:space="preserve">No</x:t>
        </x:is>
      </x:c>
      <x:c r="S107" s="520" t="inlineStr">
        <x:is>
          <x:t xml:space="preserve">Yes</x:t>
        </x:is>
      </x:c>
      <x:c r="T107" s="520" t="inlineStr">
        <x:is>
          <x:t xml:space="preserve">No</x:t>
        </x:is>
      </x:c>
      <x:c r="U107" s="520" t="inlineStr">
        <x:is>
          <x:t xml:space="preserve">Yes: 2 (legal supports)</x:t>
        </x:is>
      </x:c>
      <x:c r="V107" s="520" t="inlineStr">
        <x:is>
          <x:t xml:space="preserve">High</x:t>
        </x:is>
      </x:c>
      <x:c r="W107" s="520" t="inlineStr">
        <x:is>
          <x:t xml:space="preserve">Yes — prior grantee match</x:t>
        </x:is>
      </x:c>
      <x:c r="X107" s="520" t="inlineStr">
        <x:is>
          <x:t xml:space="preserve">Yes — on Tract 2 owner list</x:t>
        </x:is>
      </x:c>
      <x:c r="Y107" s="520" t="inlineStr">
        <x:is>
          <x:t xml:space="preserve">Candidate 0.00126347176772335 (helper — confirm from image)</x:t>
        </x:is>
      </x:c>
      <x:c r="Z107" s="520" t="inlineStr">
        <x:is>
          <x:t xml:space="preserve">Medium — helper value</x:t>
        </x:is>
      </x:c>
      <x:c r="AA107" s="520" t="inlineStr">
        <x:is>
          <x:t xml:space="preserve">Mineral Deed — Juanita M. Wolff to David S. Silverberry (611/58)</x:t>
        </x:is>
      </x:c>
    </x:row>
    <x:row r="108" s="520" customFormat="1" ht="48" customHeight="1">
      <x:c r="A108" s="513" t="inlineStr">
        <x:is>
          <x:t xml:space="preserve">1984-009873</x:t>
        </x:is>
      </x:c>
      <x:c r="B108" s="513" t="n"/>
      <x:c r="C108" s="513" t="inlineStr">
        <x:is>
          <x:t xml:space="preserve">NOTICE OF RECORD</x:t>
        </x:is>
      </x:c>
      <x:c r="D108" s="513" t="inlineStr">
        <x:is>
          <x:t xml:space="preserve">658/241</x:t>
        </x:is>
      </x:c>
      <x:c r="E108" s="514" t="n">
        <x:v>30967</x:v>
      </x:c>
      <x:c r="F108" s="515" t="n">
        <x:v>30967</x:v>
      </x:c>
      <x:c r="G108" s="516" t="inlineStr">
        <x:is>
          <x:t xml:space="preserve">Mary Margaret Devenas,
Mary Margaret Wilson</x:t>
        </x:is>
      </x:c>
      <x:c r="H108" s="516" t="inlineStr">
        <x:is>
          <x:t xml:space="preserve">The Public</x:t>
        </x:is>
      </x:c>
      <x:c r="I108" s="517" t="inlineStr">
        <x:is>
          <x:t xml:space="preserve">SE/4 SW/4 of 31-12N-24W, aol</x:t>
        </x:is>
      </x:c>
      <x:c r="J108" s="112" t="inlineStr">
        <x:is>
          <x:t xml:space="preserve">MARY MARGARET WILSON, now MARY MARGARET DEVENAS, residing
at 1302 Highland Avenue, Waukegan, Illinois 60085. 5.84 acres</x:t>
        </x:is>
      </x:c>
      <x:c r="K108" s="518" t="e">
        <x:f>HYPERLINK("https://okcountyrecords.com/detail/roger+mills/1984-009873","OKCountyRecords: 1984-009873")</x:f>
      </x:c>
      <x:c r="L108" s="519" t="inlineStr">
        <x:is>
          <x:t xml:space="preserve">Other (non-mineral; excluded from mineral NMA). Gross=tract-map basis.</x:t>
        </x:is>
      </x:c>
      <x:c r="M108" s="519" t="inlineStr">
        <x:is>
          <x:t xml:space="preserve">OK</x:t>
        </x:is>
      </x:c>
      <x:c r="N108" s="519" t="inlineStr">
        <x:is>
          <x:t xml:space="preserve">Non-conveying — notice/affidavit/address change (The Public).</x:t>
        </x:is>
      </x:c>
      <x:c r="O108" s="519" t="inlineStr">
        <x:is>
          <x:t xml:space="preserve">OUTSIDE LANDS</x:t>
        </x:is>
      </x:c>
      <x:c r="P108" s="520" t="inlineStr">
        <x:is>
          <x:t xml:space="preserve">Review — read instrument (type unclear)</x:t>
        </x:is>
      </x:c>
      <x:c r="Q108" s="520" t="inlineStr">
        <x:is>
          <x:t xml:space="preserve">Review</x:t>
        </x:is>
      </x:c>
      <x:c r="R108" s="520" t="inlineStr">
        <x:is>
          <x:t xml:space="preserve">Review</x:t>
        </x:is>
      </x:c>
      <x:c r="S108" s="520" t="inlineStr">
        <x:is>
          <x:t xml:space="preserve">Review</x:t>
        </x:is>
      </x:c>
      <x:c r="T108" s="520" t="inlineStr">
        <x:is>
          <x:t xml:space="preserve">Review</x:t>
        </x:is>
      </x:c>
      <x:c r="U108" s="520" t="inlineStr">
        <x:is>
          <x:t xml:space="preserve">Yes: 5 (legal supports)</x:t>
        </x:is>
      </x:c>
      <x:c r="V108" s="520" t="inlineStr">
        <x:is>
          <x:t xml:space="preserve">High</x:t>
        </x:is>
      </x:c>
      <x:c r="W108" s="520" t="inlineStr">
        <x:is>
          <x:t xml:space="preserve">Review — no exact prior-grantee match</x:t>
        </x:is>
      </x:c>
      <x:c r="X108" s="520" t="inlineStr">
        <x:is>
          <x:t xml:space="preserve">Yes — on Tract 5 owner list</x:t>
        </x:is>
      </x:c>
      <x:c r="Y108" s="520" t="inlineStr">
        <x:is>
          <x:t xml:space="preserve">Interest amount needs review</x:t>
        </x:is>
      </x:c>
      <x:c r="Z108" s="520" t="inlineStr">
        <x:is>
          <x:t xml:space="preserve">Review</x:t>
        </x:is>
      </x:c>
      <x:c r="AA108" s="520" t="inlineStr">
        <x:is>
          <x:t xml:space="preserve">NOTICE OF RECORD — Mary Margaret Devenas, to The Public (658/241)</x:t>
        </x:is>
      </x:c>
      <x:c r="AB108" s="520" t="inlineStr">
        <x:is>
          <x:t xml:space="preserve">Needs source review: grantor source, interest amount, instrument type</x:t>
        </x:is>
      </x:c>
    </x:row>
    <x:row r="109" s="520" customFormat="1" ht="48" customHeight="1">
      <x:c r="A109" s="513" t="inlineStr">
        <x:is>
          <x:t xml:space="preserve">1985-002650</x:t>
        </x:is>
      </x:c>
      <x:c r="B109" s="513" t="n"/>
      <x:c r="C109" s="513" t="inlineStr">
        <x:is>
          <x:t xml:space="preserve">Quitclaim Mineral Deed</x:t>
        </x:is>
      </x:c>
      <x:c r="D109" s="513" t="inlineStr">
        <x:is>
          <x:t xml:space="preserve">710/34</x:t>
        </x:is>
      </x:c>
      <x:c r="E109" s="514" t="n">
        <x:v>31158</x:v>
      </x:c>
      <x:c r="F109" s="515" t="n">
        <x:v>31158</x:v>
      </x:c>
      <x:c r="G109" s="516" t="inlineStr">
        <x:is>
          <x:t xml:space="preserve">Chinook Resources, Inc.</x:t>
        </x:is>
      </x:c>
      <x:c r="H109" s="516" t="inlineStr">
        <x:is>
          <x:t xml:space="preserve">Continental Illinois Energy Development Corp</x:t>
        </x:is>
      </x:c>
      <x:c r="I109" s="517" t="inlineStr">
        <x:is>
          <x:t xml:space="preserve">NE/4 SE/4, SE/4 NE/4, N/2 NE/4 SW/4, E/2 NW/4 of 31-12N-24W, aol</x:t>
        </x:is>
      </x:c>
      <x:c r="J109" s="112" t="inlineStr">
        <x:is>
          <x:t xml:space="preserve">ARTI</x:t>
        </x:is>
      </x:c>
      <x:c r="K109" s="518" t="e">
        <x:f>HYPERLINK("https://okcountyrecords.com/detail/roger+mills/1985-002650","OKCountyRecords: 1985-002650")</x:f>
      </x:c>
      <x:c r="L109" s="519" t="inlineStr">
        <x:is>
          <x:t xml:space="preserve">Mineral; basis Conv Amt(dec). Gross=tract-map basis.</x:t>
        </x:is>
      </x:c>
      <x:c r="M109" s="519" t="inlineStr">
        <x:is>
          <x:t xml:space="preserve">CURRENT OWNER SOURCE</x:t>
        </x:is>
      </x:c>
      <x:c r="N109" s="519" t="n"/>
      <x:c r="O109" s="519" t="inlineStr">
        <x:is>
          <x:t xml:space="preserve">OUTSIDE LANDS</x:t>
        </x:is>
      </x:c>
      <x:c r="P109" s="520" t="inlineStr">
        <x:is>
          <x:t xml:space="preserve">Chain — minerals</x:t>
        </x:is>
      </x:c>
      <x:c r="Q109" s="520" t="inlineStr">
        <x:is>
          <x:t xml:space="preserve">Yes</x:t>
        </x:is>
      </x:c>
      <x:c r="R109" s="520" t="inlineStr">
        <x:is>
          <x:t xml:space="preserve">No</x:t>
        </x:is>
      </x:c>
      <x:c r="S109" s="520" t="inlineStr">
        <x:is>
          <x:t xml:space="preserve">Yes</x:t>
        </x:is>
      </x:c>
      <x:c r="T109" s="520" t="inlineStr">
        <x:is>
          <x:t xml:space="preserve">No</x:t>
        </x:is>
      </x:c>
      <x:c r="U109" s="520" t="inlineStr">
        <x:is>
          <x:t xml:space="preserve">Legal maps to 1, 3, 4, 7, 10; helper says 1, 3, 4, 7, 8</x:t>
        </x:is>
      </x:c>
      <x:c r="V109" s="520" t="inlineStr">
        <x:is>
          <x:t xml:space="preserve">Review</x:t>
        </x:is>
      </x:c>
      <x:c r="W109" s="520" t="inlineStr">
        <x:is>
          <x:t xml:space="preserve">Yes — prior grantee match</x:t>
        </x:is>
      </x:c>
      <x:c r="X109" s="520" t="inlineStr">
        <x:is>
          <x:t xml:space="preserve">Yes — on Tract 3 owner list</x:t>
        </x:is>
      </x:c>
      <x:c r="Y109" s="520" t="inlineStr">
        <x:is>
          <x:t xml:space="preserve">Candidate 1 (helper — confirm from image)</x:t>
        </x:is>
      </x:c>
      <x:c r="Z109" s="520" t="inlineStr">
        <x:is>
          <x:t xml:space="preserve">Medium — helper value</x:t>
        </x:is>
      </x:c>
      <x:c r="AA109" s="520" t="inlineStr">
        <x:is>
          <x:t xml:space="preserve">Quitclaim Mineral Deed — Chinook Resources, Inc. to Continental Illinois Energy De (710/34)</x:t>
        </x:is>
      </x:c>
      <x:c r="AB109" s="520" t="inlineStr">
        <x:is>
          <x:t xml:space="preserve">Needs source review: tract</x:t>
        </x:is>
      </x:c>
    </x:row>
    <x:row r="110" s="520" customFormat="1" ht="72" customHeight="1">
      <x:c r="A110" s="513" t="inlineStr">
        <x:is>
          <x:t xml:space="preserve">1985-005895</x:t>
        </x:is>
      </x:c>
      <x:c r="B110" s="513" t="n"/>
      <x:c r="C110" s="513" t="inlineStr">
        <x:is>
          <x:t xml:space="preserve">Sheriff's Deed</x:t>
        </x:is>
      </x:c>
      <x:c r="D110" s="513" t="inlineStr">
        <x:is>
          <x:t xml:space="preserve">745/75</x:t>
        </x:is>
      </x:c>
      <x:c r="E110" s="514" t="n">
        <x:v>31279</x:v>
      </x:c>
      <x:c r="F110" s="515" t="n">
        <x:v>31279</x:v>
      </x:c>
      <x:c r="G110" s="516" t="inlineStr">
        <x:is>
          <x:t xml:space="preserve">Roger Mills County Sheriff</x:t>
        </x:is>
      </x:c>
      <x:c r="H110" s="516" t="inlineStr">
        <x:is>
          <x:t xml:space="preserve">City National Bank of Sayre</x:t>
        </x:is>
      </x:c>
      <x:c r="I110" s="517" t="inlineStr">
        <x:is>
          <x:t xml:space="preserve">A tract in Lot 1 in 31-12N-24W, described as follows: Beginning at the NW Corner of said Lot Is thence East 420.38 feets thence South 725 feets thence West 420.58 feet, thence North 725 feet to the point of beginning. containing 7 acres, more or less</x:t>
        </x:is>
      </x:c>
      <x:c r="J110" s="112" t="inlineStr">
        <x:is>
          <x:t xml:space="preserve">ARTI, On the 15th day of February, 1985, in an action then pending in said Court, wherein City National Bank of Sayre, Oklahoma, A National Banking Association, was Plaintiff, and Herman M. Sides and Laury C. … Full recital in recorded instrument — see Link.</x:t>
        </x:is>
      </x:c>
      <x:c r="K110" s="518" t="e">
        <x:f>HYPERLINK("https://okcountyrecords.com/detail/roger+mills/1985-005895","OKCountyRecords: 1985-005895")</x:f>
      </x:c>
      <x:c r="L110" s="519" t="inlineStr">
        <x:is>
          <x:t xml:space="preserve">Mineral; basis Conv Amt(dec). Gross=tract-map basis.</x:t>
        </x:is>
      </x:c>
      <x:c r="M110" s="519" t="inlineStr">
        <x:is>
          <x:t xml:space="preserve">CURRENT OWNER SOURCE</x:t>
        </x:is>
      </x:c>
      <x:c r="N110" s="519" t="n"/>
      <x:c r="O110" s="519" t="inlineStr">
        <x:is>
          <x:t xml:space="preserve">OUTSIDE LANDS</x:t>
        </x:is>
      </x:c>
      <x:c r="P110" s="520" t="inlineStr">
        <x:is>
          <x:t xml:space="preserve">Chain — deed (confirm minerals vs surface from instrument)</x:t>
        </x:is>
      </x:c>
      <x:c r="Q110" s="520" t="inlineStr">
        <x:is>
          <x:t xml:space="preserve">Yes</x:t>
        </x:is>
      </x:c>
      <x:c r="R110" s="520" t="inlineStr">
        <x:is>
          <x:t xml:space="preserve">No</x:t>
        </x:is>
      </x:c>
      <x:c r="S110" s="520" t="inlineStr">
        <x:is>
          <x:t xml:space="preserve">Review</x:t>
        </x:is>
      </x:c>
      <x:c r="T110" s="520" t="inlineStr">
        <x:is>
          <x:t xml:space="preserve">No</x:t>
        </x:is>
      </x:c>
      <x:c r="U110" s="520" t="inlineStr">
        <x:is>
          <x:t xml:space="preserve">Yes: 5 (legal supports)</x:t>
        </x:is>
      </x:c>
      <x:c r="V110" s="520" t="inlineStr">
        <x:is>
          <x:t xml:space="preserve">High</x:t>
        </x:is>
      </x:c>
      <x:c r="W110" s="520" t="inlineStr">
        <x:is>
          <x:t xml:space="preserve">Review — no exact prior-grantee match</x:t>
        </x:is>
      </x:c>
      <x:c r="X110" s="520" t="inlineStr">
        <x:is>
          <x:t xml:space="preserve">Yes — on Tract 5 owner list</x:t>
        </x:is>
      </x:c>
      <x:c r="Y110" s="520" t="inlineStr">
        <x:is>
          <x:t xml:space="preserve">Candidate 1 (helper — confirm from image)</x:t>
        </x:is>
      </x:c>
      <x:c r="Z110" s="520" t="inlineStr">
        <x:is>
          <x:t xml:space="preserve">Medium — helper value</x:t>
        </x:is>
      </x:c>
      <x:c r="AA110" s="520" t="inlineStr">
        <x:is>
          <x:t xml:space="preserve">Sheriff's Deed — Roger Mills County Sheriff to City National Bank of Sayre (745/75)</x:t>
        </x:is>
      </x:c>
      <x:c r="AB110" s="520" t="inlineStr">
        <x:is>
          <x:t xml:space="preserve">Needs source review: grantor source</x:t>
        </x:is>
      </x:c>
    </x:row>
    <x:row r="111" s="520" customFormat="1" ht="48" customHeight="1">
      <x:c r="A111" s="513" t="inlineStr">
        <x:is>
          <x:t xml:space="preserve">1985-006556</x:t>
        </x:is>
      </x:c>
      <x:c r="B111" s="513" t="n"/>
      <x:c r="C111" s="513" t="inlineStr">
        <x:is>
          <x:t xml:space="preserve">Mineral Deed</x:t>
        </x:is>
      </x:c>
      <x:c r="D111" s="513" t="inlineStr">
        <x:is>
          <x:t xml:space="preserve">751/68</x:t>
        </x:is>
      </x:c>
      <x:c r="E111" s="514" t="n">
        <x:v>31308</x:v>
      </x:c>
      <x:c r="F111" s="515" t="n">
        <x:v>31308</x:v>
      </x:c>
      <x:c r="G111" s="516" t="inlineStr">
        <x:is>
          <x:t xml:space="preserve">Billy W. Bain</x:t>
        </x:is>
      </x:c>
      <x:c r="H111" s="516" t="inlineStr">
        <x:is>
          <x:t xml:space="preserve">David S. Silverberg</x:t>
        </x:is>
      </x:c>
      <x:c r="I111" s="517" t="inlineStr">
        <x:is>
          <x:t xml:space="preserve">S/2 SE/4, NW/4 SE/4, SW/4 NE/4 of 31-12N-24W, aol</x:t>
        </x:is>
      </x:c>
      <x:c r="J111" s="112" t="inlineStr">
        <x:is>
          <x:t xml:space="preserve">1/791.47 interest in 2 sections</x:t>
        </x:is>
      </x:c>
      <x:c r="K111" s="518" t="e">
        <x:f>HYPERLINK("https://okcountyrecords.com/detail/roger+mills/1985-006556","OKCountyRecords: 1985-006556")</x:f>
      </x:c>
      <x:c r="L111" s="519" t="inlineStr">
        <x:is>
          <x:t xml:space="preserve">Mineral; basis Conv Amt(dec). Gross=tract-map basis.</x:t>
        </x:is>
      </x:c>
      <x:c r="M111" s="519" t="inlineStr">
        <x:is>
          <x:t xml:space="preserve">CURRENT OWNER SOURCE</x:t>
        </x:is>
      </x:c>
      <x:c r="N111" s="519" t="n"/>
      <x:c r="O111" s="519" t="inlineStr">
        <x:is>
          <x:t xml:space="preserve">OUTSIDE LANDS</x:t>
        </x:is>
      </x:c>
      <x:c r="P111" s="520" t="inlineStr">
        <x:is>
          <x:t xml:space="preserve">Chain — minerals</x:t>
        </x:is>
      </x:c>
      <x:c r="Q111" s="520" t="inlineStr">
        <x:is>
          <x:t xml:space="preserve">Yes</x:t>
        </x:is>
      </x:c>
      <x:c r="R111" s="520" t="inlineStr">
        <x:is>
          <x:t xml:space="preserve">No</x:t>
        </x:is>
      </x:c>
      <x:c r="S111" s="520" t="inlineStr">
        <x:is>
          <x:t xml:space="preserve">Yes</x:t>
        </x:is>
      </x:c>
      <x:c r="T111" s="520" t="inlineStr">
        <x:is>
          <x:t xml:space="preserve">No</x:t>
        </x:is>
      </x:c>
      <x:c r="U111" s="520" t="inlineStr">
        <x:is>
          <x:t xml:space="preserve">Yes: 2 (legal supports)</x:t>
        </x:is>
      </x:c>
      <x:c r="V111" s="520" t="inlineStr">
        <x:is>
          <x:t xml:space="preserve">High</x:t>
        </x:is>
      </x:c>
      <x:c r="W111" s="520" t="inlineStr">
        <x:is>
          <x:t xml:space="preserve">Yes — prior grantee match</x:t>
        </x:is>
      </x:c>
      <x:c r="X111" s="520" t="inlineStr">
        <x:is>
          <x:t xml:space="preserve">Review</x:t>
        </x:is>
      </x:c>
      <x:c r="Y111" s="520" t="inlineStr">
        <x:is>
          <x:t xml:space="preserve">Candidate 0.00126347176772335 (helper — confirm from image)</x:t>
        </x:is>
      </x:c>
      <x:c r="Z111" s="520" t="inlineStr">
        <x:is>
          <x:t xml:space="preserve">Medium — helper value</x:t>
        </x:is>
      </x:c>
      <x:c r="AA111" s="520" t="inlineStr">
        <x:is>
          <x:t xml:space="preserve">Mineral Deed — Billy W. Bain to David S. Silverberg (751/68)</x:t>
        </x:is>
      </x:c>
    </x:row>
    <x:row r="112" s="520" customFormat="1" ht="60" customHeight="1">
      <x:c r="A112" s="513" t="inlineStr">
        <x:is>
          <x:t xml:space="preserve">1985-007068</x:t>
        </x:is>
      </x:c>
      <x:c r="B112" s="513" t="n"/>
      <x:c r="C112" s="513" t="inlineStr">
        <x:is>
          <x:t xml:space="preserve">Trustee's Deed</x:t>
        </x:is>
      </x:c>
      <x:c r="D112" s="513" t="inlineStr">
        <x:is>
          <x:t xml:space="preserve">756/16</x:t>
        </x:is>
      </x:c>
      <x:c r="E112" s="514" t="n">
        <x:v>31329</x:v>
      </x:c>
      <x:c r="F112" s="515" t="n">
        <x:v>31329</x:v>
      </x:c>
      <x:c r="G112" s="516" t="inlineStr">
        <x:is>
          <x:t xml:space="preserve">Liberty National Bank &amp; Trust Company, Trustee of C. W. Hall, Deceased</x:t>
        </x:is>
      </x:c>
      <x:c r="H112" s="516" t="inlineStr">
        <x:is>
          <x:t xml:space="preserve">Darlene Hall Cox, 3/4,
Sunya Lee Westkaemper, 1/4</x:t>
        </x:is>
      </x:c>
      <x:c r="I112" s="517" t="inlineStr">
        <x:is>
          <x:t xml:space="preserve">31-12N-24W not found on document</x:t>
        </x:is>
      </x:c>
      <x:c r="J112" s="112" t="inlineStr">
        <x:is>
          <x:t xml:space="preserve">ARTI, The Grantor received distribution of the interests covered by this Trustee's Deed as Co-Trustee with Roy Craig under the Final Decree entered in the Estate of C. W. Hall, Deceased,. dated July 28, 1966, Case No. 3299, County Court, Dewey County, Oklahoma. Roy Craig died on or about August 20,1974, and E. S. … Full recital in recorded instrument — see Link.</x:t>
        </x:is>
      </x:c>
      <x:c r="K112" s="518" t="e">
        <x:f>HYPERLINK("https://okcountyrecords.com/detail/roger+mills/1985-007068","OKCountyRecords: 1985-007068")</x:f>
      </x:c>
      <x:c r="L112" s="519" t="inlineStr">
        <x:is>
          <x:t xml:space="preserve">Mineral; basis Conv Amt(dec). All-section coverage. Gross=tract-map basis.</x:t>
        </x:is>
      </x:c>
      <x:c r="M112" s="519" t="inlineStr">
        <x:is>
          <x:t xml:space="preserve">CURRENT OWNER SOURCE</x:t>
        </x:is>
      </x:c>
      <x:c r="N112" s="519" t="n"/>
      <x:c r="O112" s="519" t="inlineStr">
        <x:is>
          <x:t xml:space="preserve">OUTSIDE LANDS</x:t>
        </x:is>
      </x:c>
      <x:c r="P112" s="520" t="inlineStr">
        <x:is>
          <x:t xml:space="preserve">Chain — deed (confirm minerals vs surface from instrument)</x:t>
        </x:is>
      </x:c>
      <x:c r="Q112" s="520" t="inlineStr">
        <x:is>
          <x:t xml:space="preserve">Yes</x:t>
        </x:is>
      </x:c>
      <x:c r="R112" s="520" t="inlineStr">
        <x:is>
          <x:t xml:space="preserve">No</x:t>
        </x:is>
      </x:c>
      <x:c r="S112" s="520" t="inlineStr">
        <x:is>
          <x:t xml:space="preserve">Review</x:t>
        </x:is>
      </x:c>
      <x:c r="T112" s="520" t="inlineStr">
        <x:is>
          <x:t xml:space="preserve">No</x:t>
        </x:is>
      </x:c>
      <x:c r="U112" s="520" t="inlineStr">
        <x:is>
          <x:t xml:space="preserve">Yes: 1, 8 (broad legal)</x:t>
        </x:is>
      </x:c>
      <x:c r="V112" s="520" t="inlineStr">
        <x:is>
          <x:t xml:space="preserve">Medium</x:t>
        </x:is>
      </x:c>
      <x:c r="W112" s="520" t="inlineStr">
        <x:is>
          <x:t xml:space="preserve">Review — no exact prior-grantee match</x:t>
        </x:is>
      </x:c>
      <x:c r="X112" s="520" t="inlineStr">
        <x:is>
          <x:t xml:space="preserve">Review</x:t>
        </x:is>
      </x:c>
      <x:c r="Y112" s="520" t="inlineStr">
        <x:is>
          <x:t xml:space="preserve">Candidate 1 (helper — confirm from image)</x:t>
        </x:is>
      </x:c>
      <x:c r="Z112" s="520" t="inlineStr">
        <x:is>
          <x:t xml:space="preserve">Medium — helper value</x:t>
        </x:is>
      </x:c>
      <x:c r="AA112" s="520" t="inlineStr">
        <x:is>
          <x:t xml:space="preserve">Trustee's Deed — Liberty National Bank &amp; Trust to Darlene Hall Cox, 3/4, (756/16)</x:t>
        </x:is>
      </x:c>
      <x:c r="AB112" s="520" t="inlineStr">
        <x:is>
          <x:t xml:space="preserve">Needs source review: grantor source</x:t>
        </x:is>
      </x:c>
    </x:row>
    <x:row r="113" s="520" customFormat="1" ht="72" customHeight="1">
      <x:c r="A113" s="513" t="inlineStr">
        <x:is>
          <x:t xml:space="preserve">1985-007096</x:t>
        </x:is>
      </x:c>
      <x:c r="B113" s="513" t="n"/>
      <x:c r="C113" s="513" t="inlineStr">
        <x:is>
          <x:t xml:space="preserve">Quit Claim Deed</x:t>
        </x:is>
      </x:c>
      <x:c r="D113" s="513" t="inlineStr">
        <x:is>
          <x:t xml:space="preserve">756/79</x:t>
        </x:is>
      </x:c>
      <x:c r="E113" s="514" t="n">
        <x:v>31330</x:v>
      </x:c>
      <x:c r="F113" s="515" t="n">
        <x:v>31330</x:v>
      </x:c>
      <x:c r="G113" s="516" t="inlineStr">
        <x:is>
          <x:t xml:space="preserve">Margie Kirk</x:t>
        </x:is>
      </x:c>
      <x:c r="H113" s="516" t="inlineStr">
        <x:is>
          <x:t xml:space="preserve">Herman M. Sides,
Laury C. Sides</x:t>
        </x:is>
      </x:c>
      <x:c r="I113" s="517" t="inlineStr">
        <x:is>
          <x:t xml:space="preserve">A tract in Lot 1 in 31-12N-24W, described as follows: Beginning at the NW Corner of said Lot Is thence East 420.38 feets thence South 725 feets thence West 420.58 feet, thence North 725 feet to the point of beginning. containing 7 acres, more or less</x:t>
        </x:is>
      </x:c>
      <x:c r="J113" s="112" t="inlineStr">
        <x:is>
          <x:t xml:space="preserve">ARTI</x:t>
        </x:is>
      </x:c>
      <x:c r="K113" s="518" t="e">
        <x:f>HYPERLINK("https://okcountyrecords.com/detail/roger+mills/1985-007096","OKCountyRecords: 1985-007096")</x:f>
      </x:c>
      <x:c r="L113" s="519" t="inlineStr">
        <x:is>
          <x:t xml:space="preserve">Mineral; basis Conv Amt(dec). Gross=tract-map basis.</x:t>
        </x:is>
      </x:c>
      <x:c r="M113" s="519" t="inlineStr">
        <x:is>
          <x:t xml:space="preserve">CURRENT OWNER SOURCE</x:t>
        </x:is>
      </x:c>
      <x:c r="N113" s="519" t="n"/>
      <x:c r="O113" s="519" t="inlineStr">
        <x:is>
          <x:t xml:space="preserve">MINERAL DEED</x:t>
        </x:is>
      </x:c>
      <x:c r="P113" s="520" t="inlineStr">
        <x:is>
          <x:t xml:space="preserve">Chain — deed (confirm minerals vs surface from instrument)</x:t>
        </x:is>
      </x:c>
      <x:c r="Q113" s="520" t="inlineStr">
        <x:is>
          <x:t xml:space="preserve">Yes</x:t>
        </x:is>
      </x:c>
      <x:c r="R113" s="520" t="inlineStr">
        <x:is>
          <x:t xml:space="preserve">No</x:t>
        </x:is>
      </x:c>
      <x:c r="S113" s="520" t="inlineStr">
        <x:is>
          <x:t xml:space="preserve">Review</x:t>
        </x:is>
      </x:c>
      <x:c r="T113" s="520" t="inlineStr">
        <x:is>
          <x:t xml:space="preserve">No</x:t>
        </x:is>
      </x:c>
      <x:c r="U113" s="520" t="inlineStr">
        <x:is>
          <x:t xml:space="preserve">Yes: 5 (legal supports)</x:t>
        </x:is>
      </x:c>
      <x:c r="V113" s="520" t="inlineStr">
        <x:is>
          <x:t xml:space="preserve">High</x:t>
        </x:is>
      </x:c>
      <x:c r="W113" s="520" t="inlineStr">
        <x:is>
          <x:t xml:space="preserve">Yes — prior grantee match</x:t>
        </x:is>
      </x:c>
      <x:c r="X113" s="520" t="inlineStr">
        <x:is>
          <x:t xml:space="preserve">Yes — on Tract 5 owner list</x:t>
        </x:is>
      </x:c>
      <x:c r="Y113" s="520" t="inlineStr">
        <x:is>
          <x:t xml:space="preserve">Candidate 1 (helper — confirm from image)</x:t>
        </x:is>
      </x:c>
      <x:c r="Z113" s="520" t="inlineStr">
        <x:is>
          <x:t xml:space="preserve">Medium — helper value</x:t>
        </x:is>
      </x:c>
      <x:c r="AA113" s="520" t="inlineStr">
        <x:is>
          <x:t xml:space="preserve">Quit Claim Deed — Margie Kirk to Herman M. Sides, (756/79)</x:t>
        </x:is>
      </x:c>
    </x:row>
    <x:row r="114" s="520" customFormat="1" ht="48" customHeight="1">
      <x:c r="A114" s="513" t="inlineStr">
        <x:is>
          <x:t xml:space="preserve">1985-000061</x:t>
        </x:is>
      </x:c>
      <x:c r="B114" s="513" t="n"/>
      <x:c r="C114" s="513" t="inlineStr">
        <x:is>
          <x:t xml:space="preserve">Mineral Deed</x:t>
        </x:is>
      </x:c>
      <x:c r="D114" s="513" t="inlineStr">
        <x:is>
          <x:t xml:space="preserve">583/236</x:t>
        </x:is>
      </x:c>
      <x:c r="E114" s="514" t="n">
        <x:v>31408</x:v>
      </x:c>
      <x:c r="F114" s="515" t="n">
        <x:v>31408</x:v>
      </x:c>
      <x:c r="G114" s="516" t="inlineStr">
        <x:is>
          <x:t xml:space="preserve">Juanita M. Wolff</x:t>
        </x:is>
      </x:c>
      <x:c r="H114" s="516" t="inlineStr">
        <x:is>
          <x:t xml:space="preserve">Paul R. and/or Deborah A. Deutsch</x:t>
        </x:is>
      </x:c>
      <x:c r="I114" s="517" t="inlineStr">
        <x:is>
          <x:t xml:space="preserve">S/2 SE/4, NW/4 SE/4, SW/4 NE/4 of 31-12N-24W, aol</x:t>
        </x:is>
      </x:c>
      <x:c r="J114" s="112" t="inlineStr">
        <x:is>
          <x:t xml:space="preserve">1/791.47 interest in 2 sections</x:t>
        </x:is>
      </x:c>
      <x:c r="K114" s="518" t="e">
        <x:f>HYPERLINK("https://okcountyrecords.com/detail/roger+mills/1985-000061","OKCountyRecords: 1985-000061")</x:f>
      </x:c>
      <x:c r="L114" s="519" t="inlineStr">
        <x:is>
          <x:t xml:space="preserve">Mineral; basis Conv Amt(dec). Gross=tract-map basis.</x:t>
        </x:is>
      </x:c>
      <x:c r="M114" s="519" t="inlineStr">
        <x:is>
          <x:t xml:space="preserve">CURRENT OWNER SOURCE</x:t>
        </x:is>
      </x:c>
      <x:c r="N114" s="519" t="n"/>
      <x:c r="O114" s="519" t="inlineStr">
        <x:is>
          <x:t xml:space="preserve">OUTSIDE LANDS</x:t>
        </x:is>
      </x:c>
      <x:c r="P114" s="520" t="inlineStr">
        <x:is>
          <x:t xml:space="preserve">Chain — minerals</x:t>
        </x:is>
      </x:c>
      <x:c r="Q114" s="520" t="inlineStr">
        <x:is>
          <x:t xml:space="preserve">Yes</x:t>
        </x:is>
      </x:c>
      <x:c r="R114" s="520" t="inlineStr">
        <x:is>
          <x:t xml:space="preserve">No</x:t>
        </x:is>
      </x:c>
      <x:c r="S114" s="520" t="inlineStr">
        <x:is>
          <x:t xml:space="preserve">Yes</x:t>
        </x:is>
      </x:c>
      <x:c r="T114" s="520" t="inlineStr">
        <x:is>
          <x:t xml:space="preserve">No</x:t>
        </x:is>
      </x:c>
      <x:c r="U114" s="520" t="inlineStr">
        <x:is>
          <x:t xml:space="preserve">Yes: 2 (legal supports)</x:t>
        </x:is>
      </x:c>
      <x:c r="V114" s="520" t="inlineStr">
        <x:is>
          <x:t xml:space="preserve">High</x:t>
        </x:is>
      </x:c>
      <x:c r="W114" s="520" t="inlineStr">
        <x:is>
          <x:t xml:space="preserve">Yes — prior grantee match</x:t>
        </x:is>
      </x:c>
      <x:c r="X114" s="520" t="inlineStr">
        <x:is>
          <x:t xml:space="preserve">Yes — on Tract 2 owner list</x:t>
        </x:is>
      </x:c>
      <x:c r="Y114" s="520" t="inlineStr">
        <x:is>
          <x:t xml:space="preserve">Candidate 0.00126347176772335 (helper — confirm from image)</x:t>
        </x:is>
      </x:c>
      <x:c r="Z114" s="520" t="inlineStr">
        <x:is>
          <x:t xml:space="preserve">Medium — helper value</x:t>
        </x:is>
      </x:c>
      <x:c r="AA114" s="520" t="inlineStr">
        <x:is>
          <x:t xml:space="preserve">Mineral Deed — Juanita M. Wolff to Paul R. and/or Deborah A. Deut (583/236)</x:t>
        </x:is>
      </x:c>
    </x:row>
    <x:row r="115" s="520" customFormat="1" ht="48" customHeight="1">
      <x:c r="A115" s="513" t="inlineStr">
        <x:is>
          <x:t xml:space="preserve">1985-000060</x:t>
        </x:is>
      </x:c>
      <x:c r="B115" s="513" t="n"/>
      <x:c r="C115" s="513" t="inlineStr">
        <x:is>
          <x:t xml:space="preserve">Mineral Deed</x:t>
        </x:is>
      </x:c>
      <x:c r="D115" s="513" t="inlineStr">
        <x:is>
          <x:t xml:space="preserve">583/234</x:t>
        </x:is>
      </x:c>
      <x:c r="E115" s="514" t="n">
        <x:v>31408</x:v>
      </x:c>
      <x:c r="F115" s="515" t="n">
        <x:v>31408</x:v>
      </x:c>
      <x:c r="G115" s="516" t="inlineStr">
        <x:is>
          <x:t xml:space="preserve">Juanita M. Wolff</x:t>
        </x:is>
      </x:c>
      <x:c r="H115" s="516" t="inlineStr">
        <x:is>
          <x:t xml:space="preserve">Laura L. Snyder</x:t>
        </x:is>
      </x:c>
      <x:c r="I115" s="517" t="inlineStr">
        <x:is>
          <x:t xml:space="preserve">S/2 SE/4, NW/4 SE/4, SW/4 NE/4 of 31-12N-24W, aol</x:t>
        </x:is>
      </x:c>
      <x:c r="J115" s="112" t="inlineStr">
        <x:is>
          <x:t xml:space="preserve">2/791.47 interest in 2 sections</x:t>
        </x:is>
      </x:c>
      <x:c r="K115" s="518" t="e">
        <x:f>HYPERLINK("https://okcountyrecords.com/detail/roger+mills/1985-000060","OKCountyRecords: 1985-000060")</x:f>
      </x:c>
      <x:c r="L115" s="519" t="inlineStr">
        <x:is>
          <x:t xml:space="preserve">Mineral; basis Conv Amt(dec). Gross=tract-map basis.</x:t>
        </x:is>
      </x:c>
      <x:c r="M115" s="519" t="inlineStr">
        <x:is>
          <x:t xml:space="preserve">CURRENT OWNER SOURCE</x:t>
        </x:is>
      </x:c>
      <x:c r="N115" s="519" t="n"/>
      <x:c r="O115" s="519" t="inlineStr">
        <x:is>
          <x:t xml:space="preserve">OUTSIDE LANDS</x:t>
        </x:is>
      </x:c>
      <x:c r="P115" s="520" t="inlineStr">
        <x:is>
          <x:t xml:space="preserve">Chain — minerals</x:t>
        </x:is>
      </x:c>
      <x:c r="Q115" s="520" t="inlineStr">
        <x:is>
          <x:t xml:space="preserve">Yes</x:t>
        </x:is>
      </x:c>
      <x:c r="R115" s="520" t="inlineStr">
        <x:is>
          <x:t xml:space="preserve">No</x:t>
        </x:is>
      </x:c>
      <x:c r="S115" s="520" t="inlineStr">
        <x:is>
          <x:t xml:space="preserve">Yes</x:t>
        </x:is>
      </x:c>
      <x:c r="T115" s="520" t="inlineStr">
        <x:is>
          <x:t xml:space="preserve">No</x:t>
        </x:is>
      </x:c>
      <x:c r="U115" s="520" t="inlineStr">
        <x:is>
          <x:t xml:space="preserve">Yes: 2 (legal supports)</x:t>
        </x:is>
      </x:c>
      <x:c r="V115" s="520" t="inlineStr">
        <x:is>
          <x:t xml:space="preserve">High</x:t>
        </x:is>
      </x:c>
      <x:c r="W115" s="520" t="inlineStr">
        <x:is>
          <x:t xml:space="preserve">Yes — prior grantee match</x:t>
        </x:is>
      </x:c>
      <x:c r="X115" s="520" t="inlineStr">
        <x:is>
          <x:t xml:space="preserve">Yes — on Tract 2 owner list</x:t>
        </x:is>
      </x:c>
      <x:c r="Y115" s="520" t="inlineStr">
        <x:is>
          <x:t xml:space="preserve">Candidate 0.0025269435354467 (helper — confirm from image)</x:t>
        </x:is>
      </x:c>
      <x:c r="Z115" s="520" t="inlineStr">
        <x:is>
          <x:t xml:space="preserve">Medium — helper value</x:t>
        </x:is>
      </x:c>
      <x:c r="AA115" s="520" t="inlineStr">
        <x:is>
          <x:t xml:space="preserve">Mineral Deed — Juanita M. Wolff to Laura L. Snyder (583/234)</x:t>
        </x:is>
      </x:c>
    </x:row>
    <x:row r="116" s="520" customFormat="1" ht="60" customHeight="1">
      <x:c r="A116" s="513" t="inlineStr">
        <x:is>
          <x:t xml:space="preserve">1986-000268</x:t>
        </x:is>
      </x:c>
      <x:c r="B116" s="513" t="n"/>
      <x:c r="C116" s="513" t="inlineStr">
        <x:is>
          <x:t xml:space="preserve">Mineral Deed</x:t>
        </x:is>
      </x:c>
      <x:c r="D116" s="513" t="inlineStr">
        <x:is>
          <x:t xml:space="preserve">781/183</x:t>
        </x:is>
      </x:c>
      <x:c r="E116" s="514" t="n">
        <x:v>31418</x:v>
      </x:c>
      <x:c r="F116" s="515" t="n">
        <x:v>31418</x:v>
      </x:c>
      <x:c r="G116" s="516" t="inlineStr">
        <x:is>
          <x:t xml:space="preserve">Mann Childrens Trust, by Walter J. Rusek, Trustee</x:t>
        </x:is>
      </x:c>
      <x:c r="H116" s="516" t="inlineStr">
        <x:is>
          <x:t xml:space="preserve">Mann Group Investment Company</x:t>
        </x:is>
      </x:c>
      <x:c r="I116" s="517" t="inlineStr">
        <x:is>
          <x:t xml:space="preserve">E/2 NW/4, SE/4 NE/4, NE/4 SE/4, N/2 NE/4 SW/4 of 31-12N-24W, aol</x:t>
        </x:is>
      </x:c>
      <x:c r="J116" s="112" t="inlineStr">
        <x:is>
          <x:t xml:space="preserve">2/260 interest in 2 sections
being the same property conveved in Mineral Deed dated May 24, 1974, from Marie Lister to Mann Children's Trust, recorded in Book 165, Page 87 of the Mineral Records of Roger Mills County, Oklahoma, containing 260 acres, more or less, to</x:t>
        </x:is>
      </x:c>
      <x:c r="K116" s="518" t="e">
        <x:f>HYPERLINK("https://okcountyrecords.com/detail/roger+mills/1986-000268","OKCountyRecords: 1986-000268")</x:f>
      </x:c>
      <x:c r="L116" s="519" t="inlineStr">
        <x:is>
          <x:t xml:space="preserve">Mineral; basis Conv Amt(dec). Gross=tract-map basis.</x:t>
        </x:is>
      </x:c>
      <x:c r="M116" s="519" t="n"/>
      <x:c r="N116" s="519" t="n"/>
      <x:c r="O116" s="519" t="inlineStr">
        <x:is>
          <x:t xml:space="preserve">OUTSIDE LANDS</x:t>
        </x:is>
      </x:c>
      <x:c r="P116" s="520" t="inlineStr">
        <x:is>
          <x:t xml:space="preserve">Chain — minerals</x:t>
        </x:is>
      </x:c>
      <x:c r="Q116" s="520" t="inlineStr">
        <x:is>
          <x:t xml:space="preserve">Yes</x:t>
        </x:is>
      </x:c>
      <x:c r="R116" s="520" t="inlineStr">
        <x:is>
          <x:t xml:space="preserve">No</x:t>
        </x:is>
      </x:c>
      <x:c r="S116" s="520" t="inlineStr">
        <x:is>
          <x:t xml:space="preserve">Yes</x:t>
        </x:is>
      </x:c>
      <x:c r="T116" s="520" t="inlineStr">
        <x:is>
          <x:t xml:space="preserve">No</x:t>
        </x:is>
      </x:c>
      <x:c r="U116" s="520" t="inlineStr">
        <x:is>
          <x:t xml:space="preserve">Legal maps to 1, 3, 4, 7, 10; helper says 1, 3, 4, 7, 8</x:t>
        </x:is>
      </x:c>
      <x:c r="V116" s="520" t="inlineStr">
        <x:is>
          <x:t xml:space="preserve">Review</x:t>
        </x:is>
      </x:c>
      <x:c r="W116" s="520" t="inlineStr">
        <x:is>
          <x:t xml:space="preserve">Review — no exact prior-grantee match</x:t>
        </x:is>
      </x:c>
      <x:c r="X116" s="520" t="inlineStr">
        <x:is>
          <x:t xml:space="preserve">Yes — on Tract 3 owner list</x:t>
        </x:is>
      </x:c>
      <x:c r="Y116" s="520" t="inlineStr">
        <x:is>
          <x:t xml:space="preserve">Candidate 0.00769230769230769 (helper — confirm from image)</x:t>
        </x:is>
      </x:c>
      <x:c r="Z116" s="520" t="inlineStr">
        <x:is>
          <x:t xml:space="preserve">Medium — helper value</x:t>
        </x:is>
      </x:c>
      <x:c r="AA116" s="520" t="inlineStr">
        <x:is>
          <x:t xml:space="preserve">Mineral Deed — Mann Childrens Trust, by Walte to Mann Group Investment Company (781/183)</x:t>
        </x:is>
      </x:c>
      <x:c r="AB116" s="520" t="inlineStr">
        <x:is>
          <x:t xml:space="preserve">Needs source review: tract, grantor source</x:t>
        </x:is>
      </x:c>
    </x:row>
    <x:row r="117" s="520" customFormat="1" ht="48" customHeight="1">
      <x:c r="A117" s="513" t="inlineStr">
        <x:is>
          <x:t xml:space="preserve">1986-000656</x:t>
        </x:is>
      </x:c>
      <x:c r="B117" s="513" t="n"/>
      <x:c r="C117" s="513" t="inlineStr">
        <x:is>
          <x:t xml:space="preserve">Mineral Deed</x:t>
        </x:is>
      </x:c>
      <x:c r="D117" s="513" t="inlineStr">
        <x:is>
          <x:t xml:space="preserve">786/270</x:t>
        </x:is>
      </x:c>
      <x:c r="E117" s="514" t="n">
        <x:v>31434</x:v>
      </x:c>
      <x:c r="F117" s="515" t="n">
        <x:v>31434</x:v>
      </x:c>
      <x:c r="G117" s="516" t="inlineStr">
        <x:is>
          <x:t xml:space="preserve">O. I. L. Energy, Inc.</x:t>
        </x:is>
      </x:c>
      <x:c r="H117" s="516" t="inlineStr">
        <x:is>
          <x:t xml:space="preserve">Black Hawk Oil Company</x:t>
        </x:is>
      </x:c>
      <x:c r="I117" s="517" t="inlineStr">
        <x:is>
          <x:t xml:space="preserve">E/2 NW/4 of 31-12N-24W</x:t>
        </x:is>
      </x:c>
      <x:c r="J117" s="112" t="inlineStr">
        <x:is>
          <x:t xml:space="preserve">ARTI</x:t>
        </x:is>
      </x:c>
      <x:c r="K117" s="518" t="e">
        <x:f>HYPERLINK("https://okcountyrecords.com/detail/roger+mills/1986-000656","OKCountyRecords: 1986-000656")</x:f>
      </x:c>
      <x:c r="L117" s="519" t="inlineStr">
        <x:is>
          <x:t xml:space="preserve">Mineral; basis Conv Amt(dec). Gross=tract-map basis.</x:t>
        </x:is>
      </x:c>
      <x:c r="M117" s="519" t="n"/>
      <x:c r="N117" s="519" t="n"/>
      <x:c r="O117" s="519" t="inlineStr">
        <x:is>
          <x:t xml:space="preserve">MINERAL DEED</x:t>
        </x:is>
      </x:c>
      <x:c r="P117" s="520" t="inlineStr">
        <x:is>
          <x:t xml:space="preserve">Chain — minerals</x:t>
        </x:is>
      </x:c>
      <x:c r="Q117" s="520" t="inlineStr">
        <x:is>
          <x:t xml:space="preserve">Yes</x:t>
        </x:is>
      </x:c>
      <x:c r="R117" s="520" t="inlineStr">
        <x:is>
          <x:t xml:space="preserve">No</x:t>
        </x:is>
      </x:c>
      <x:c r="S117" s="520" t="inlineStr">
        <x:is>
          <x:t xml:space="preserve">Yes</x:t>
        </x:is>
      </x:c>
      <x:c r="T117" s="520" t="inlineStr">
        <x:is>
          <x:t xml:space="preserve">No</x:t>
        </x:is>
      </x:c>
      <x:c r="U117" s="520" t="inlineStr">
        <x:is>
          <x:t xml:space="preserve">Yes: 4 (legal supports)</x:t>
        </x:is>
      </x:c>
      <x:c r="V117" s="520" t="inlineStr">
        <x:is>
          <x:t xml:space="preserve">High</x:t>
        </x:is>
      </x:c>
      <x:c r="W117" s="520" t="inlineStr">
        <x:is>
          <x:t xml:space="preserve">Yes — prior grantee match</x:t>
        </x:is>
      </x:c>
      <x:c r="X117" s="520" t="inlineStr">
        <x:is>
          <x:t xml:space="preserve">Yes — on Tract 4 owner list</x:t>
        </x:is>
      </x:c>
      <x:c r="Y117" s="520" t="inlineStr">
        <x:is>
          <x:t xml:space="preserve">Candidate 1 (helper — confirm from image)</x:t>
        </x:is>
      </x:c>
      <x:c r="Z117" s="520" t="inlineStr">
        <x:is>
          <x:t xml:space="preserve">Medium — helper value</x:t>
        </x:is>
      </x:c>
      <x:c r="AA117" s="520" t="inlineStr">
        <x:is>
          <x:t xml:space="preserve">Mineral Deed — O. I. L. Energy, Inc. to Black Hawk Oil Company (786/270)</x:t>
        </x:is>
      </x:c>
    </x:row>
    <x:row r="118" s="520" customFormat="1" ht="48" customHeight="1">
      <x:c r="A118" s="513" t="inlineStr">
        <x:is>
          <x:t xml:space="preserve">1986-003428</x:t>
        </x:is>
      </x:c>
      <x:c r="B118" s="513" t="n"/>
      <x:c r="C118" s="513" t="inlineStr">
        <x:is>
          <x:t xml:space="preserve">Mineral Deed</x:t>
        </x:is>
      </x:c>
      <x:c r="D118" s="513" t="inlineStr">
        <x:is>
          <x:t xml:space="preserve">815/191</x:t>
        </x:is>
      </x:c>
      <x:c r="E118" s="514" t="n">
        <x:v>31582</x:v>
      </x:c>
      <x:c r="F118" s="515" t="n">
        <x:v>31582</x:v>
      </x:c>
      <x:c r="G118" s="516" t="inlineStr">
        <x:is>
          <x:t xml:space="preserve">Billy W. Bain</x:t>
        </x:is>
      </x:c>
      <x:c r="H118" s="516" t="inlineStr">
        <x:is>
          <x:t xml:space="preserve">Paul R. and Deborah A. Deutsch</x:t>
        </x:is>
      </x:c>
      <x:c r="I118" s="517" t="inlineStr">
        <x:is>
          <x:t xml:space="preserve">S/2 SE/4, NW/4 SE/4, SW/4 NE/4 of 31-12N-24W, aol</x:t>
        </x:is>
      </x:c>
      <x:c r="J118" s="112" t="inlineStr">
        <x:is>
          <x:t xml:space="preserve">2/791.47 interest in 2 sections</x:t>
        </x:is>
      </x:c>
      <x:c r="K118" s="518" t="e">
        <x:f>HYPERLINK("https://okcountyrecords.com/detail/roger+mills/1986-003428","OKCountyRecords: 1986-003428")</x:f>
      </x:c>
      <x:c r="L118" s="519" t="inlineStr">
        <x:is>
          <x:t xml:space="preserve">Mineral; basis Conv Amt(dec). Gross=tract-map basis.</x:t>
        </x:is>
      </x:c>
      <x:c r="M118" s="519" t="inlineStr">
        <x:is>
          <x:t xml:space="preserve">CURRENT OWNER SOURCE</x:t>
        </x:is>
      </x:c>
      <x:c r="N118" s="519" t="n"/>
      <x:c r="O118" s="519" t="inlineStr">
        <x:is>
          <x:t xml:space="preserve">OUTSIDE LANDS</x:t>
        </x:is>
      </x:c>
      <x:c r="P118" s="520" t="inlineStr">
        <x:is>
          <x:t xml:space="preserve">Chain — minerals</x:t>
        </x:is>
      </x:c>
      <x:c r="Q118" s="520" t="inlineStr">
        <x:is>
          <x:t xml:space="preserve">Yes</x:t>
        </x:is>
      </x:c>
      <x:c r="R118" s="520" t="inlineStr">
        <x:is>
          <x:t xml:space="preserve">No</x:t>
        </x:is>
      </x:c>
      <x:c r="S118" s="520" t="inlineStr">
        <x:is>
          <x:t xml:space="preserve">Yes</x:t>
        </x:is>
      </x:c>
      <x:c r="T118" s="520" t="inlineStr">
        <x:is>
          <x:t xml:space="preserve">No</x:t>
        </x:is>
      </x:c>
      <x:c r="U118" s="520" t="inlineStr">
        <x:is>
          <x:t xml:space="preserve">Yes: 2 (legal supports)</x:t>
        </x:is>
      </x:c>
      <x:c r="V118" s="520" t="inlineStr">
        <x:is>
          <x:t xml:space="preserve">High</x:t>
        </x:is>
      </x:c>
      <x:c r="W118" s="520" t="inlineStr">
        <x:is>
          <x:t xml:space="preserve">Yes — prior grantee match</x:t>
        </x:is>
      </x:c>
      <x:c r="X118" s="520" t="inlineStr">
        <x:is>
          <x:t xml:space="preserve">Review</x:t>
        </x:is>
      </x:c>
      <x:c r="Y118" s="520" t="inlineStr">
        <x:is>
          <x:t xml:space="preserve">Candidate 0.0025269435354467 (helper — confirm from image)</x:t>
        </x:is>
      </x:c>
      <x:c r="Z118" s="520" t="inlineStr">
        <x:is>
          <x:t xml:space="preserve">Medium — helper value</x:t>
        </x:is>
      </x:c>
      <x:c r="AA118" s="520" t="inlineStr">
        <x:is>
          <x:t xml:space="preserve">Mineral Deed — Billy W. Bain to Paul R. and Deborah A. Deutsch (815/191)</x:t>
        </x:is>
      </x:c>
    </x:row>
    <x:row r="119" s="520" customFormat="1" ht="48" customHeight="1">
      <x:c r="A119" s="513" t="inlineStr">
        <x:is>
          <x:t xml:space="preserve">1986-004476</x:t>
        </x:is>
      </x:c>
      <x:c r="B119" s="513" t="n"/>
      <x:c r="C119" s="513" t="inlineStr">
        <x:is>
          <x:t xml:space="preserve">Mineral Deed</x:t>
        </x:is>
      </x:c>
      <x:c r="D119" s="513" t="inlineStr">
        <x:is>
          <x:t xml:space="preserve">829/7</x:t>
        </x:is>
      </x:c>
      <x:c r="E119" s="514" t="n">
        <x:v>31657</x:v>
      </x:c>
      <x:c r="F119" s="515" t="n">
        <x:v>31657</x:v>
      </x:c>
      <x:c r="G119" s="516" t="inlineStr">
        <x:is>
          <x:t xml:space="preserve">Billy W. Bain</x:t>
        </x:is>
      </x:c>
      <x:c r="H119" s="516" t="inlineStr">
        <x:is>
          <x:t xml:space="preserve">Clarence C. Bain</x:t>
        </x:is>
      </x:c>
      <x:c r="I119" s="517" t="inlineStr">
        <x:is>
          <x:t xml:space="preserve">S/2 SE/4, NW/4 SE/4, SW/4 NE/4 of 31-12N-24W, aol</x:t>
        </x:is>
      </x:c>
      <x:c r="J119" s="112" t="inlineStr">
        <x:is>
          <x:t xml:space="preserve">3/791.47 interest in 2 sections</x:t>
        </x:is>
      </x:c>
      <x:c r="K119" s="518" t="e">
        <x:f>HYPERLINK("https://okcountyrecords.com/detail/roger+mills/1986-004476","OKCountyRecords: 1986-004476")</x:f>
      </x:c>
      <x:c r="L119" s="519" t="inlineStr">
        <x:is>
          <x:t xml:space="preserve">Mineral; basis Conv Amt(dec). Gross=tract-map basis.</x:t>
        </x:is>
      </x:c>
      <x:c r="M119" s="519" t="n"/>
      <x:c r="N119" s="519" t="n"/>
      <x:c r="O119" s="519" t="inlineStr">
        <x:is>
          <x:t xml:space="preserve">OUTSIDE LANDS</x:t>
        </x:is>
      </x:c>
      <x:c r="P119" s="520" t="inlineStr">
        <x:is>
          <x:t xml:space="preserve">Chain — minerals</x:t>
        </x:is>
      </x:c>
      <x:c r="Q119" s="520" t="inlineStr">
        <x:is>
          <x:t xml:space="preserve">Yes</x:t>
        </x:is>
      </x:c>
      <x:c r="R119" s="520" t="inlineStr">
        <x:is>
          <x:t xml:space="preserve">No</x:t>
        </x:is>
      </x:c>
      <x:c r="S119" s="520" t="inlineStr">
        <x:is>
          <x:t xml:space="preserve">Yes</x:t>
        </x:is>
      </x:c>
      <x:c r="T119" s="520" t="inlineStr">
        <x:is>
          <x:t xml:space="preserve">No</x:t>
        </x:is>
      </x:c>
      <x:c r="U119" s="520" t="inlineStr">
        <x:is>
          <x:t xml:space="preserve">Yes: 2 (legal supports)</x:t>
        </x:is>
      </x:c>
      <x:c r="V119" s="520" t="inlineStr">
        <x:is>
          <x:t xml:space="preserve">High</x:t>
        </x:is>
      </x:c>
      <x:c r="W119" s="520" t="inlineStr">
        <x:is>
          <x:t xml:space="preserve">Yes — prior grantee match</x:t>
        </x:is>
      </x:c>
      <x:c r="X119" s="520" t="inlineStr">
        <x:is>
          <x:t xml:space="preserve">Yes — on Tract 2 owner list</x:t>
        </x:is>
      </x:c>
      <x:c r="Y119" s="520" t="inlineStr">
        <x:is>
          <x:t xml:space="preserve">Candidate 0.00379041530317005 (helper — confirm from image)</x:t>
        </x:is>
      </x:c>
      <x:c r="Z119" s="520" t="inlineStr">
        <x:is>
          <x:t xml:space="preserve">Medium — helper value</x:t>
        </x:is>
      </x:c>
      <x:c r="AA119" s="520" t="inlineStr">
        <x:is>
          <x:t xml:space="preserve">Mineral Deed — Billy W. Bain to Clarence C. Bain (829/7)</x:t>
        </x:is>
      </x:c>
    </x:row>
    <x:row r="120" s="520" customFormat="1" ht="48" customHeight="1">
      <x:c r="A120" s="513" t="inlineStr">
        <x:is>
          <x:t xml:space="preserve">1986-005223</x:t>
        </x:is>
      </x:c>
      <x:c r="B120" s="513" t="n"/>
      <x:c r="C120" s="513" t="inlineStr">
        <x:is>
          <x:t xml:space="preserve">Mineral Deed</x:t>
        </x:is>
      </x:c>
      <x:c r="D120" s="513" t="inlineStr">
        <x:is>
          <x:t xml:space="preserve">837/199</x:t>
        </x:is>
      </x:c>
      <x:c r="E120" s="514" t="n">
        <x:v>31684</x:v>
      </x:c>
      <x:c r="F120" s="515" t="n">
        <x:v>31684</x:v>
      </x:c>
      <x:c r="G120" s="516" t="inlineStr">
        <x:is>
          <x:t xml:space="preserve">Billy Wayne Bain</x:t>
        </x:is>
      </x:c>
      <x:c r="H120" s="516" t="inlineStr">
        <x:is>
          <x:t xml:space="preserve">Ted L. Herbold</x:t>
        </x:is>
      </x:c>
      <x:c r="I120" s="517" t="inlineStr">
        <x:is>
          <x:t xml:space="preserve">S/2 SE/4, NW/4 SE/4, SW/4 NE/4 of 31-12N-24W, aol</x:t>
        </x:is>
      </x:c>
      <x:c r="J120" s="112" t="inlineStr">
        <x:is>
          <x:t xml:space="preserve">5/791.47 interest in 2 sections</x:t>
        </x:is>
      </x:c>
      <x:c r="K120" s="518" t="e">
        <x:f>HYPERLINK("https://okcountyrecords.com/detail/roger+mills/1986-005223","OKCountyRecords: 1986-005223")</x:f>
      </x:c>
      <x:c r="L120" s="519" t="inlineStr">
        <x:is>
          <x:t xml:space="preserve">Mineral; basis Conv Amt(dec). Gross=tract-map basis.</x:t>
        </x:is>
      </x:c>
      <x:c r="M120" s="519" t="inlineStr">
        <x:is>
          <x:t xml:space="preserve">CURRENT OWNER SOURCE</x:t>
        </x:is>
      </x:c>
      <x:c r="N120" s="519" t="n"/>
      <x:c r="O120" s="519" t="inlineStr">
        <x:is>
          <x:t xml:space="preserve">OUTSIDE LANDS</x:t>
        </x:is>
      </x:c>
      <x:c r="P120" s="520" t="inlineStr">
        <x:is>
          <x:t xml:space="preserve">Chain — minerals</x:t>
        </x:is>
      </x:c>
      <x:c r="Q120" s="520" t="inlineStr">
        <x:is>
          <x:t xml:space="preserve">Yes</x:t>
        </x:is>
      </x:c>
      <x:c r="R120" s="520" t="inlineStr">
        <x:is>
          <x:t xml:space="preserve">No</x:t>
        </x:is>
      </x:c>
      <x:c r="S120" s="520" t="inlineStr">
        <x:is>
          <x:t xml:space="preserve">Yes</x:t>
        </x:is>
      </x:c>
      <x:c r="T120" s="520" t="inlineStr">
        <x:is>
          <x:t xml:space="preserve">No</x:t>
        </x:is>
      </x:c>
      <x:c r="U120" s="520" t="inlineStr">
        <x:is>
          <x:t xml:space="preserve">Yes: 2 (legal supports)</x:t>
        </x:is>
      </x:c>
      <x:c r="V120" s="520" t="inlineStr">
        <x:is>
          <x:t xml:space="preserve">High</x:t>
        </x:is>
      </x:c>
      <x:c r="W120" s="520" t="inlineStr">
        <x:is>
          <x:t xml:space="preserve">Probable — name-normalized match to Runsheet 97 grantee; confirm</x:t>
        </x:is>
      </x:c>
      <x:c r="X120" s="520" t="inlineStr">
        <x:is>
          <x:t xml:space="preserve">Yes — on Tract 2 owner list</x:t>
        </x:is>
      </x:c>
      <x:c r="Y120" s="520" t="inlineStr">
        <x:is>
          <x:t xml:space="preserve">Candidate 0.00631735883861675 (helper — confirm from image)</x:t>
        </x:is>
      </x:c>
      <x:c r="Z120" s="520" t="inlineStr">
        <x:is>
          <x:t xml:space="preserve">Medium — helper value</x:t>
        </x:is>
      </x:c>
      <x:c r="AA120" s="520" t="inlineStr">
        <x:is>
          <x:t xml:space="preserve">Mineral Deed — Billy Wayne Bain to Ted L. Herbold (837/199)</x:t>
        </x:is>
      </x:c>
      <x:c r="AB120" s="520" t="inlineStr">
        <x:is>
          <x:t xml:space="preserve">Needs source review: grantor source</x:t>
        </x:is>
      </x:c>
    </x:row>
    <x:row r="121" s="520" customFormat="1" ht="48" customHeight="1">
      <x:c r="A121" s="513" t="inlineStr">
        <x:is>
          <x:t xml:space="preserve">1986-005341</x:t>
        </x:is>
      </x:c>
      <x:c r="B121" s="513" t="n"/>
      <x:c r="C121" s="513" t="inlineStr">
        <x:is>
          <x:t xml:space="preserve">Mineral Deed</x:t>
        </x:is>
      </x:c>
      <x:c r="D121" s="513" t="inlineStr">
        <x:is>
          <x:t xml:space="preserve">839/100</x:t>
        </x:is>
      </x:c>
      <x:c r="E121" s="514" t="n">
        <x:v>31723</x:v>
      </x:c>
      <x:c r="F121" s="515" t="n">
        <x:v>31723</x:v>
      </x:c>
      <x:c r="G121" s="516" t="inlineStr">
        <x:is>
          <x:t xml:space="preserve">Black Hawk Oil Company</x:t>
        </x:is>
      </x:c>
      <x:c r="H121" s="516" t="inlineStr">
        <x:is>
          <x:t xml:space="preserve">Proven Properties, Inc.</x:t>
        </x:is>
      </x:c>
      <x:c r="I121" s="517" t="inlineStr">
        <x:is>
          <x:t xml:space="preserve">E/2 NW/4 of 31-12N-24W</x:t>
        </x:is>
      </x:c>
      <x:c r="J121" s="112" t="inlineStr">
        <x:is>
          <x:t xml:space="preserve">An undivided 16.385%t of all of GRANTOR'S interest in and to all of the oil, gas, and other minerals</x:t>
        </x:is>
      </x:c>
      <x:c r="K121" s="518" t="e">
        <x:f>HYPERLINK("https://okcountyrecords.com/detail/roger+mills/1986-005341","OKCountyRecords: 1986-005341")</x:f>
      </x:c>
      <x:c r="L121" s="519" t="inlineStr">
        <x:is>
          <x:t xml:space="preserve">Mineral; basis Conv Amt(dec). Gross=tract-map basis.</x:t>
        </x:is>
      </x:c>
      <x:c r="M121" s="519" t="inlineStr">
        <x:is>
          <x:t xml:space="preserve">CURRENT OWNER SOURCE</x:t>
        </x:is>
      </x:c>
      <x:c r="N121" s="519" t="n"/>
      <x:c r="O121" s="519" t="inlineStr">
        <x:is>
          <x:t xml:space="preserve">MINERAL DEED</x:t>
        </x:is>
      </x:c>
      <x:c r="P121" s="520" t="inlineStr">
        <x:is>
          <x:t xml:space="preserve">Chain — minerals</x:t>
        </x:is>
      </x:c>
      <x:c r="Q121" s="520" t="inlineStr">
        <x:is>
          <x:t xml:space="preserve">Yes</x:t>
        </x:is>
      </x:c>
      <x:c r="R121" s="520" t="inlineStr">
        <x:is>
          <x:t xml:space="preserve">No</x:t>
        </x:is>
      </x:c>
      <x:c r="S121" s="520" t="inlineStr">
        <x:is>
          <x:t xml:space="preserve">Yes</x:t>
        </x:is>
      </x:c>
      <x:c r="T121" s="520" t="inlineStr">
        <x:is>
          <x:t xml:space="preserve">No</x:t>
        </x:is>
      </x:c>
      <x:c r="U121" s="520" t="inlineStr">
        <x:is>
          <x:t xml:space="preserve">Yes: 4 (legal supports)</x:t>
        </x:is>
      </x:c>
      <x:c r="V121" s="520" t="inlineStr">
        <x:is>
          <x:t xml:space="preserve">High</x:t>
        </x:is>
      </x:c>
      <x:c r="W121" s="520" t="inlineStr">
        <x:is>
          <x:t xml:space="preserve">Yes — prior grantee match</x:t>
        </x:is>
      </x:c>
      <x:c r="X121" s="520" t="inlineStr">
        <x:is>
          <x:t xml:space="preserve">Yes — on Tract 4 owner list</x:t>
        </x:is>
      </x:c>
      <x:c r="Y121" s="520" t="inlineStr">
        <x:is>
          <x:t xml:space="preserve">Candidate 1 (helper — confirm from image)</x:t>
        </x:is>
      </x:c>
      <x:c r="Z121" s="520" t="inlineStr">
        <x:is>
          <x:t xml:space="preserve">Medium — helper value</x:t>
        </x:is>
      </x:c>
      <x:c r="AA121" s="520" t="inlineStr">
        <x:is>
          <x:t xml:space="preserve">Mineral Deed — Black Hawk Oil Company to Proven Properties, Inc. (839/100)</x:t>
        </x:is>
      </x:c>
    </x:row>
    <x:row r="122" s="520" customFormat="1" ht="60" customHeight="1">
      <x:c r="A122" s="513" t="inlineStr">
        <x:is>
          <x:t xml:space="preserve">1987-000496</x:t>
        </x:is>
      </x:c>
      <x:c r="B122" s="513" t="n"/>
      <x:c r="C122" s="513" t="inlineStr">
        <x:is>
          <x:t xml:space="preserve">Miscellaneous</x:t>
        </x:is>
      </x:c>
      <x:c r="D122" s="513" t="inlineStr">
        <x:is>
          <x:t xml:space="preserve">858/277</x:t>
        </x:is>
      </x:c>
      <x:c r="E122" s="514" t="n">
        <x:v>31803</x:v>
      </x:c>
      <x:c r="F122" s="515" t="n">
        <x:v>31803</x:v>
      </x:c>
      <x:c r="G122" s="516" t="inlineStr">
        <x:is>
          <x:t xml:space="preserve">Dow C. Bain,
Edris O. Bain</x:t>
        </x:is>
      </x:c>
      <x:c r="H122" s="516" t="inlineStr">
        <x:is>
          <x:t xml:space="preserve">The Public</x:t>
        </x:is>
      </x:c>
      <x:c r="I122" s="517" t="inlineStr">
        <x:is>
          <x:t xml:space="preserve">31-12N-24W, aol</x:t>
        </x:is>
      </x:c>
      <x:c r="J122" s="112" t="inlineStr">
        <x:is>
          <x:t xml:space="preserve">See instrument</x:t>
        </x:is>
      </x:c>
      <x:c r="K122" s="518" t="e">
        <x:f>HYPERLINK("https://okcountyrecords.com/detail/roger+mills/1987-000496","OKCountyRecords: 1987-000496")</x:f>
      </x:c>
      <x:c r="L122" s="519" t="inlineStr">
        <x:is>
          <x:t xml:space="preserve">Other (non-mineral; excluded from mineral NMA). All-section coverage. Gross=tract-map basis.</x:t>
        </x:is>
      </x:c>
      <x:c r="M122" s="519" t="inlineStr">
        <x:is>
          <x:t xml:space="preserve">OK</x:t>
        </x:is>
      </x:c>
      <x:c r="N122" s="519" t="inlineStr">
        <x:is>
          <x:t xml:space="preserve">Non-conveying — notice/affidavit/address change (The Public).</x:t>
        </x:is>
      </x:c>
      <x:c r="O122" s="519" t="inlineStr">
        <x:is>
          <x:t xml:space="preserve">OUTSIDE LANDS</x:t>
        </x:is>
      </x:c>
      <x:c r="P122" s="520" t="inlineStr">
        <x:is>
          <x:t xml:space="preserve">Review — read instrument (type unclear)</x:t>
        </x:is>
      </x:c>
      <x:c r="Q122" s="520" t="inlineStr">
        <x:is>
          <x:t xml:space="preserve">Review</x:t>
        </x:is>
      </x:c>
      <x:c r="R122" s="520" t="inlineStr">
        <x:is>
          <x:t xml:space="preserve">Review</x:t>
        </x:is>
      </x:c>
      <x:c r="S122" s="520" t="inlineStr">
        <x:is>
          <x:t xml:space="preserve">Review</x:t>
        </x:is>
      </x:c>
      <x:c r="T122" s="520" t="inlineStr">
        <x:is>
          <x:t xml:space="preserve">Review</x:t>
        </x:is>
      </x:c>
      <x:c r="U122" s="520" t="inlineStr">
        <x:is>
          <x:t xml:space="preserve">Yes: 1, 8 (broad legal)</x:t>
        </x:is>
      </x:c>
      <x:c r="V122" s="520" t="inlineStr">
        <x:is>
          <x:t xml:space="preserve">Medium</x:t>
        </x:is>
      </x:c>
      <x:c r="W122" s="520" t="inlineStr">
        <x:is>
          <x:t xml:space="preserve">Yes — prior grantee match</x:t>
        </x:is>
      </x:c>
      <x:c r="X122" s="520" t="inlineStr">
        <x:is>
          <x:t xml:space="preserve">Review</x:t>
        </x:is>
      </x:c>
      <x:c r="Y122" s="520" t="inlineStr">
        <x:is>
          <x:t xml:space="preserve">Interest amount needs review</x:t>
        </x:is>
      </x:c>
      <x:c r="Z122" s="520" t="inlineStr">
        <x:is>
          <x:t xml:space="preserve">Review</x:t>
        </x:is>
      </x:c>
      <x:c r="AA122" s="520" t="inlineStr">
        <x:is>
          <x:t xml:space="preserve">Miscellaneous — Dow C. Bain, to The Public (858/277)</x:t>
        </x:is>
      </x:c>
      <x:c r="AB122" s="520" t="inlineStr">
        <x:is>
          <x:t xml:space="preserve">Needs source review: interest amount, instrument type</x:t>
        </x:is>
      </x:c>
    </x:row>
    <x:row r="123" s="520" customFormat="1" ht="48" customHeight="1">
      <x:c r="A123" s="513" t="inlineStr">
        <x:is>
          <x:t xml:space="preserve">1987-002610</x:t>
        </x:is>
      </x:c>
      <x:c r="B123" s="513" t="n"/>
      <x:c r="C123" s="513" t="inlineStr">
        <x:is>
          <x:t xml:space="preserve">Mineral Deed</x:t>
        </x:is>
      </x:c>
      <x:c r="D123" s="513" t="inlineStr">
        <x:is>
          <x:t xml:space="preserve">883/168</x:t>
        </x:is>
      </x:c>
      <x:c r="E123" s="514" t="n">
        <x:v>31917</x:v>
      </x:c>
      <x:c r="F123" s="515" t="n">
        <x:v>31917</x:v>
      </x:c>
      <x:c r="G123" s="516" t="inlineStr">
        <x:is>
          <x:t xml:space="preserve">Billy W. Bain</x:t>
        </x:is>
      </x:c>
      <x:c r="H123" s="516" t="inlineStr">
        <x:is>
          <x:t xml:space="preserve">Theodore L. Herbold</x:t>
        </x:is>
      </x:c>
      <x:c r="I123" s="517" t="inlineStr">
        <x:is>
          <x:t xml:space="preserve">S/2 SE/4, NW/4 SE/4, SW/4 NE/4 of 31-12N-24W, aol</x:t>
        </x:is>
      </x:c>
      <x:c r="J123" s="112" t="inlineStr">
        <x:is>
          <x:t xml:space="preserve">2/791.47 interest in 2 sections</x:t>
        </x:is>
      </x:c>
      <x:c r="K123" s="518" t="e">
        <x:f>HYPERLINK("https://okcountyrecords.com/detail/roger+mills/1987-002610","OKCountyRecords: 1987-002610")</x:f>
      </x:c>
      <x:c r="L123" s="519" t="inlineStr">
        <x:is>
          <x:t xml:space="preserve">Mineral; basis Conv Amt(dec). Gross=tract-map basis.</x:t>
        </x:is>
      </x:c>
      <x:c r="M123" s="519" t="inlineStr">
        <x:is>
          <x:t xml:space="preserve">CURRENT OWNER SOURCE</x:t>
        </x:is>
      </x:c>
      <x:c r="N123" s="519" t="n"/>
      <x:c r="O123" s="519" t="inlineStr">
        <x:is>
          <x:t xml:space="preserve">OUTSIDE LANDS</x:t>
        </x:is>
      </x:c>
      <x:c r="P123" s="520" t="inlineStr">
        <x:is>
          <x:t xml:space="preserve">Chain — minerals</x:t>
        </x:is>
      </x:c>
      <x:c r="Q123" s="520" t="inlineStr">
        <x:is>
          <x:t xml:space="preserve">Yes</x:t>
        </x:is>
      </x:c>
      <x:c r="R123" s="520" t="inlineStr">
        <x:is>
          <x:t xml:space="preserve">No</x:t>
        </x:is>
      </x:c>
      <x:c r="S123" s="520" t="inlineStr">
        <x:is>
          <x:t xml:space="preserve">Yes</x:t>
        </x:is>
      </x:c>
      <x:c r="T123" s="520" t="inlineStr">
        <x:is>
          <x:t xml:space="preserve">No</x:t>
        </x:is>
      </x:c>
      <x:c r="U123" s="520" t="inlineStr">
        <x:is>
          <x:t xml:space="preserve">Yes: 2 (legal supports)</x:t>
        </x:is>
      </x:c>
      <x:c r="V123" s="520" t="inlineStr">
        <x:is>
          <x:t xml:space="preserve">High</x:t>
        </x:is>
      </x:c>
      <x:c r="W123" s="520" t="inlineStr">
        <x:is>
          <x:t xml:space="preserve">Yes — prior grantee match</x:t>
        </x:is>
      </x:c>
      <x:c r="X123" s="520" t="inlineStr">
        <x:is>
          <x:t xml:space="preserve">Yes — on Tract 2 owner list</x:t>
        </x:is>
      </x:c>
      <x:c r="Y123" s="520" t="inlineStr">
        <x:is>
          <x:t xml:space="preserve">Candidate 0.0025269435354467 (helper — confirm from image)</x:t>
        </x:is>
      </x:c>
      <x:c r="Z123" s="520" t="inlineStr">
        <x:is>
          <x:t xml:space="preserve">Medium — helper value</x:t>
        </x:is>
      </x:c>
      <x:c r="AA123" s="520" t="inlineStr">
        <x:is>
          <x:t xml:space="preserve">Mineral Deed — Billy W. Bain to Theodore L. Herbold (883/168)</x:t>
        </x:is>
      </x:c>
    </x:row>
    <x:row r="124" s="569" customFormat="1" ht="15" customHeight="1">
      <x:c r="A124" s="527" t="inlineStr">
        <x:is>
          <x:t xml:space="preserve">1987-003826</x:t>
        </x:is>
      </x:c>
      <x:c r="B124" s="527" t="n"/>
      <x:c r="C124" s="528" t="inlineStr">
        <x:is>
          <x:t xml:space="preserve">Assignment</x:t>
        </x:is>
      </x:c>
      <x:c r="D124" s="528" t="inlineStr">
        <x:is>
          <x:t xml:space="preserve">897/244</x:t>
        </x:is>
      </x:c>
      <x:c r="E124" s="529" t="n">
        <x:v>31964</x:v>
      </x:c>
      <x:c r="F124" s="529" t="n">
        <x:v>31964</x:v>
      </x:c>
      <x:c r="G124" s="527" t="inlineStr">
        <x:is>
          <x:t xml:space="preserve">Continental Illinois Energy Development Corp</x:t>
        </x:is>
      </x:c>
      <x:c r="H124" s="527" t="inlineStr">
        <x:is>
          <x:t xml:space="preserve">Cimarron Mineral Corp</x:t>
        </x:is>
      </x:c>
      <x:c r="I124" s="527" t="inlineStr">
        <x:is>
          <x:t xml:space="preserve">31-12N-24W (AOL)</x:t>
        </x:is>
      </x:c>
      <x:c r="J124" s="530" t="inlineStr">
        <x:is>
          <x:t xml:space="preserve">ARTI in minerals</x:t>
        </x:is>
      </x:c>
      <x:c r="K124" s="527" t="inlineStr">
        <x:is>
          <x:t xml:space="preserve">OKCountyRecords official index, Roger Mills County (instrument 1987-003826); searched 06/11/2026</x:t>
        </x:is>
      </x:c>
      <x:c r="L124" s="613" t="n"/>
      <x:c r="M124" s="565" t="n"/>
      <x:c r="N124" s="613" t="n"/>
      <x:c r="O124" s="565" t="n"/>
      <x:c r="P124" s="565" t="inlineStr">
        <x:is>
          <x:t xml:space="preserve">Chain — assignment (WI or minerals — read granting clause)</x:t>
        </x:is>
      </x:c>
      <x:c r="Q124" s="565" t="inlineStr">
        <x:is>
          <x:t xml:space="preserve">Review</x:t>
        </x:is>
      </x:c>
      <x:c r="R124" s="565" t="inlineStr">
        <x:is>
          <x:t xml:space="preserve">Yes</x:t>
        </x:is>
      </x:c>
      <x:c r="S124" s="565" t="inlineStr">
        <x:is>
          <x:t xml:space="preserve">Review</x:t>
        </x:is>
      </x:c>
      <x:c r="T124" t="inlineStr">
        <x:is>
          <x:t xml:space="preserve">Yes</x:t>
        </x:is>
      </x:c>
      <x:c r="U124" t="inlineStr">
        <x:is>
          <x:t xml:space="preserve">Legal maps to 1, 2, 3, 4, 5, 6, 7, 8, 9, 10; helper says </x:t>
        </x:is>
      </x:c>
      <x:c r="V124" t="inlineStr">
        <x:is>
          <x:t xml:space="preserve">Review</x:t>
        </x:is>
      </x:c>
      <x:c r="W124" t="inlineStr">
        <x:is>
          <x:t xml:space="preserve">Yes — prior grantee match</x:t>
        </x:is>
      </x:c>
      <x:c r="X124" t="inlineStr">
        <x:is>
          <x:t xml:space="preserve">Review</x:t>
        </x:is>
      </x:c>
      <x:c r="Y124" t="inlineStr">
        <x:is>
          <x:t xml:space="preserve">Interest amount needs review</x:t>
        </x:is>
      </x:c>
      <x:c r="Z124" t="inlineStr">
        <x:is>
          <x:t xml:space="preserve">Review</x:t>
        </x:is>
      </x:c>
      <x:c r="AA124" t="inlineStr">
        <x:is>
          <x:t xml:space="preserve">Assignment — Continental Illinois Energy De to Cimarron Mineral Corp (897/244)</x:t>
        </x:is>
      </x:c>
      <x:c r="AB124" t="inlineStr">
        <x:is>
          <x:t xml:space="preserve">Needs source review: tract, interest amount</x:t>
        </x:is>
      </x:c>
    </x:row>
    <x:row r="125" s="520" customFormat="1" ht="48" customHeight="1">
      <x:c r="A125" s="513" t="inlineStr">
        <x:is>
          <x:t xml:space="preserve">1987-005625</x:t>
        </x:is>
      </x:c>
      <x:c r="B125" s="513" t="n"/>
      <x:c r="C125" s="513" t="inlineStr">
        <x:is>
          <x:t xml:space="preserve">Mineral Deed</x:t>
        </x:is>
      </x:c>
      <x:c r="D125" s="513" t="inlineStr">
        <x:is>
          <x:t xml:space="preserve">913/261</x:t>
        </x:is>
      </x:c>
      <x:c r="E125" s="514" t="n">
        <x:v>32031</x:v>
      </x:c>
      <x:c r="F125" s="515" t="n">
        <x:v>32031</x:v>
      </x:c>
      <x:c r="G125" s="516" t="inlineStr">
        <x:is>
          <x:t xml:space="preserve">Billy N. Bein</x:t>
        </x:is>
      </x:c>
      <x:c r="H125" s="516" t="inlineStr">
        <x:is>
          <x:t xml:space="preserve">Bary Ellen Sitzman</x:t>
        </x:is>
      </x:c>
      <x:c r="I125" s="524" t="inlineStr">
        <x:is>
          <x:t xml:space="preserve">S/2 SE/4, NW/4 SE/4, SW/4 NE/4 of 31-12N-24W, aol</x:t>
        </x:is>
      </x:c>
      <x:c r="J125" s="112" t="inlineStr">
        <x:is>
          <x:t xml:space="preserve">1/791.47 interest in 2 sections</x:t>
        </x:is>
      </x:c>
      <x:c r="K125" s="518" t="e">
        <x:f>HYPERLINK("https://okcountyrecords.com/detail/roger+mills/1987-005625","OKCountyRecords: 1987-005625")</x:f>
      </x:c>
      <x:c r="L125" s="519" t="inlineStr">
        <x:is>
          <x:t xml:space="preserve">Mineral; basis Conv Amt(dec). Gross=tract-map basis.</x:t>
        </x:is>
      </x:c>
      <x:c r="M125" s="519" t="inlineStr">
        <x:is>
          <x:t xml:space="preserve">CURRENT OWNER SOURCE</x:t>
        </x:is>
      </x:c>
      <x:c r="N125" s="519" t="n"/>
      <x:c r="O125" s="519" t="inlineStr">
        <x:is>
          <x:t xml:space="preserve">OUTSIDE LANDS</x:t>
        </x:is>
      </x:c>
      <x:c r="P125" s="520" t="inlineStr">
        <x:is>
          <x:t xml:space="preserve">Chain — minerals</x:t>
        </x:is>
      </x:c>
      <x:c r="Q125" s="520" t="inlineStr">
        <x:is>
          <x:t xml:space="preserve">Yes</x:t>
        </x:is>
      </x:c>
      <x:c r="R125" s="520" t="inlineStr">
        <x:is>
          <x:t xml:space="preserve">No</x:t>
        </x:is>
      </x:c>
      <x:c r="S125" s="520" t="inlineStr">
        <x:is>
          <x:t xml:space="preserve">Yes</x:t>
        </x:is>
      </x:c>
      <x:c r="T125" s="520" t="inlineStr">
        <x:is>
          <x:t xml:space="preserve">No</x:t>
        </x:is>
      </x:c>
      <x:c r="U125" s="520" t="inlineStr">
        <x:is>
          <x:t xml:space="preserve">Yes: 2 (legal supports)</x:t>
        </x:is>
      </x:c>
      <x:c r="V125" s="520" t="inlineStr">
        <x:is>
          <x:t xml:space="preserve">High</x:t>
        </x:is>
      </x:c>
      <x:c r="W125" s="520" t="inlineStr">
        <x:is>
          <x:t xml:space="preserve">Review — no exact prior-grantee match</x:t>
        </x:is>
      </x:c>
      <x:c r="X125" s="520" t="inlineStr">
        <x:is>
          <x:t xml:space="preserve">Yes — on Tract 2 owner list</x:t>
        </x:is>
      </x:c>
      <x:c r="Y125" s="520" t="inlineStr">
        <x:is>
          <x:t xml:space="preserve">Candidate 0.00126347176772335 (helper — confirm from image)</x:t>
        </x:is>
      </x:c>
      <x:c r="Z125" s="520" t="inlineStr">
        <x:is>
          <x:t xml:space="preserve">Medium — helper value</x:t>
        </x:is>
      </x:c>
      <x:c r="AA125" s="520" t="inlineStr">
        <x:is>
          <x:t xml:space="preserve">Mineral Deed — Billy N. Bein to Bary Ellen Sitzman (913/261)</x:t>
        </x:is>
      </x:c>
      <x:c r="AB125" s="520" t="inlineStr">
        <x:is>
          <x:t xml:space="preserve">Needs source review: grantor source</x:t>
        </x:is>
      </x:c>
    </x:row>
    <x:row r="126" s="520" customFormat="1" ht="48" customHeight="1">
      <x:c r="A126" s="513" t="inlineStr">
        <x:is>
          <x:t xml:space="preserve">1987-006732</x:t>
        </x:is>
      </x:c>
      <x:c r="B126" s="513" t="n"/>
      <x:c r="C126" s="513" t="inlineStr">
        <x:is>
          <x:t xml:space="preserve">Mineral Deed</x:t>
        </x:is>
      </x:c>
      <x:c r="D126" s="513" t="inlineStr">
        <x:is>
          <x:t xml:space="preserve">924/139</x:t>
        </x:is>
      </x:c>
      <x:c r="E126" s="514" t="n">
        <x:v>32072</x:v>
      </x:c>
      <x:c r="F126" s="515" t="n">
        <x:v>32072</x:v>
      </x:c>
      <x:c r="G126" s="516" t="inlineStr">
        <x:is>
          <x:t xml:space="preserve">Myron V. Slobin</x:t>
        </x:is>
      </x:c>
      <x:c r="H126" s="516" t="inlineStr">
        <x:is>
          <x:t xml:space="preserve">David Slobin</x:t>
        </x:is>
      </x:c>
      <x:c r="I126" s="524" t="inlineStr">
        <x:is>
          <x:t xml:space="preserve">S/2 SE/4, NW/4 SE/4, SW/4 NE/4 of 31-12N-24W, aol</x:t>
        </x:is>
      </x:c>
      <x:c r="J126" s="112" t="inlineStr">
        <x:is>
          <x:t xml:space="preserve">1/791.47 interest in 2 sections</x:t>
        </x:is>
      </x:c>
      <x:c r="K126" s="518" t="e">
        <x:f>HYPERLINK("https://okcountyrecords.com/detail/roger+mills/1987-006732","OKCountyRecords: 1987-006732")</x:f>
      </x:c>
      <x:c r="L126" s="519" t="inlineStr">
        <x:is>
          <x:t xml:space="preserve">Mineral; basis Conv Amt(dec). Gross=tract-map basis.</x:t>
        </x:is>
      </x:c>
      <x:c r="M126" s="519" t="n"/>
      <x:c r="N126" s="519" t="n"/>
      <x:c r="O126" s="519" t="inlineStr">
        <x:is>
          <x:t xml:space="preserve">OUTSIDE LANDS</x:t>
        </x:is>
      </x:c>
      <x:c r="P126" s="520" t="inlineStr">
        <x:is>
          <x:t xml:space="preserve">Chain — minerals</x:t>
        </x:is>
      </x:c>
      <x:c r="Q126" s="520" t="inlineStr">
        <x:is>
          <x:t xml:space="preserve">Yes</x:t>
        </x:is>
      </x:c>
      <x:c r="R126" s="520" t="inlineStr">
        <x:is>
          <x:t xml:space="preserve">No</x:t>
        </x:is>
      </x:c>
      <x:c r="S126" s="520" t="inlineStr">
        <x:is>
          <x:t xml:space="preserve">Yes</x:t>
        </x:is>
      </x:c>
      <x:c r="T126" s="520" t="inlineStr">
        <x:is>
          <x:t xml:space="preserve">No</x:t>
        </x:is>
      </x:c>
      <x:c r="U126" s="520" t="inlineStr">
        <x:is>
          <x:t xml:space="preserve">Yes: 2 (legal supports)</x:t>
        </x:is>
      </x:c>
      <x:c r="V126" s="520" t="inlineStr">
        <x:is>
          <x:t xml:space="preserve">High</x:t>
        </x:is>
      </x:c>
      <x:c r="W126" s="520" t="inlineStr">
        <x:is>
          <x:t xml:space="preserve">Yes — prior grantee match</x:t>
        </x:is>
      </x:c>
      <x:c r="X126" s="520" t="inlineStr">
        <x:is>
          <x:t xml:space="preserve">Yes — on Tract 2 owner list</x:t>
        </x:is>
      </x:c>
      <x:c r="Y126" s="520" t="inlineStr">
        <x:is>
          <x:t xml:space="preserve">Candidate 0.00126347176772335 (helper — confirm from image)</x:t>
        </x:is>
      </x:c>
      <x:c r="Z126" s="520" t="inlineStr">
        <x:is>
          <x:t xml:space="preserve">Medium — helper value</x:t>
        </x:is>
      </x:c>
      <x:c r="AA126" s="520" t="inlineStr">
        <x:is>
          <x:t xml:space="preserve">Mineral Deed — Myron V. Slobin to David Slobin (924/139)</x:t>
        </x:is>
      </x:c>
    </x:row>
    <x:row r="127" s="520" customFormat="1" ht="48" customHeight="1">
      <x:c r="A127" s="513" t="inlineStr">
        <x:is>
          <x:t xml:space="preserve">1987-006731</x:t>
        </x:is>
      </x:c>
      <x:c r="B127" s="513" t="n"/>
      <x:c r="C127" s="513" t="inlineStr">
        <x:is>
          <x:t xml:space="preserve">Mineral Deed</x:t>
        </x:is>
      </x:c>
      <x:c r="D127" s="513" t="inlineStr">
        <x:is>
          <x:t xml:space="preserve">924/138</x:t>
        </x:is>
      </x:c>
      <x:c r="E127" s="514" t="n">
        <x:v>32072</x:v>
      </x:c>
      <x:c r="F127" s="515" t="n">
        <x:v>32072</x:v>
      </x:c>
      <x:c r="G127" s="516" t="inlineStr">
        <x:is>
          <x:t xml:space="preserve">Myron V. Slobin</x:t>
        </x:is>
      </x:c>
      <x:c r="H127" s="516" t="inlineStr">
        <x:is>
          <x:t xml:space="preserve">David Slobin</x:t>
        </x:is>
      </x:c>
      <x:c r="I127" s="517" t="inlineStr">
        <x:is>
          <x:t xml:space="preserve">S/2 SE/4, NW/4 SE/4, SW/4 NE/4 of 31-12N-24W, aol</x:t>
        </x:is>
      </x:c>
      <x:c r="J127" s="112" t="inlineStr">
        <x:is>
          <x:t xml:space="preserve">6/791.47 interest in 2 sections</x:t>
        </x:is>
      </x:c>
      <x:c r="K127" s="518" t="e">
        <x:f>HYPERLINK("https://okcountyrecords.com/detail/roger+mills/1987-006731","OKCountyRecords: 1987-006731")</x:f>
      </x:c>
      <x:c r="L127" s="519" t="inlineStr">
        <x:is>
          <x:t xml:space="preserve">Mineral; basis Conv Amt(dec). Gross=tract-map basis.</x:t>
        </x:is>
      </x:c>
      <x:c r="M127" s="519" t="n"/>
      <x:c r="N127" s="519" t="n"/>
      <x:c r="O127" s="519" t="inlineStr">
        <x:is>
          <x:t xml:space="preserve">OUTSIDE LANDS</x:t>
        </x:is>
      </x:c>
      <x:c r="P127" s="520" t="inlineStr">
        <x:is>
          <x:t xml:space="preserve">Chain — minerals</x:t>
        </x:is>
      </x:c>
      <x:c r="Q127" s="520" t="inlineStr">
        <x:is>
          <x:t xml:space="preserve">Yes</x:t>
        </x:is>
      </x:c>
      <x:c r="R127" s="520" t="inlineStr">
        <x:is>
          <x:t xml:space="preserve">No</x:t>
        </x:is>
      </x:c>
      <x:c r="S127" s="520" t="inlineStr">
        <x:is>
          <x:t xml:space="preserve">Yes</x:t>
        </x:is>
      </x:c>
      <x:c r="T127" s="520" t="inlineStr">
        <x:is>
          <x:t xml:space="preserve">No</x:t>
        </x:is>
      </x:c>
      <x:c r="U127" s="520" t="inlineStr">
        <x:is>
          <x:t xml:space="preserve">Yes: 2 (legal supports)</x:t>
        </x:is>
      </x:c>
      <x:c r="V127" s="520" t="inlineStr">
        <x:is>
          <x:t xml:space="preserve">High</x:t>
        </x:is>
      </x:c>
      <x:c r="W127" s="520" t="inlineStr">
        <x:is>
          <x:t xml:space="preserve">Yes — prior grantee match</x:t>
        </x:is>
      </x:c>
      <x:c r="X127" s="520" t="inlineStr">
        <x:is>
          <x:t xml:space="preserve">Yes — on Tract 2 owner list</x:t>
        </x:is>
      </x:c>
      <x:c r="Y127" s="520" t="inlineStr">
        <x:is>
          <x:t xml:space="preserve">Candidate 0.0075808306063401 (helper — confirm from image)</x:t>
        </x:is>
      </x:c>
      <x:c r="Z127" s="520" t="inlineStr">
        <x:is>
          <x:t xml:space="preserve">Medium — helper value</x:t>
        </x:is>
      </x:c>
      <x:c r="AA127" s="520" t="inlineStr">
        <x:is>
          <x:t xml:space="preserve">Mineral Deed — Myron V. Slobin to David Slobin (924/138)</x:t>
        </x:is>
      </x:c>
    </x:row>
    <x:row r="128" s="520" customFormat="1" ht="48" customHeight="1">
      <x:c r="A128" s="513" t="inlineStr">
        <x:is>
          <x:t xml:space="preserve">1987-006730</x:t>
        </x:is>
      </x:c>
      <x:c r="B128" s="513" t="n"/>
      <x:c r="C128" s="513" t="inlineStr">
        <x:is>
          <x:t xml:space="preserve">Affidavit</x:t>
        </x:is>
      </x:c>
      <x:c r="D128" s="513" t="inlineStr">
        <x:is>
          <x:t xml:space="preserve">924/136</x:t>
        </x:is>
      </x:c>
      <x:c r="E128" s="514" t="n">
        <x:v>32072</x:v>
      </x:c>
      <x:c r="F128" s="515" t="n">
        <x:v>32072</x:v>
      </x:c>
      <x:c r="G128" s="516" t="inlineStr">
        <x:is>
          <x:t xml:space="preserve">Paul S. Taylor</x:t>
        </x:is>
      </x:c>
      <x:c r="H128" s="516" t="inlineStr">
        <x:is>
          <x:t xml:space="preserve">The Public</x:t>
        </x:is>
      </x:c>
      <x:c r="I128" s="517" t="inlineStr">
        <x:is>
          <x:t xml:space="preserve">S/2 SE/4, NW/4 SE/4, SW/4 NE/4 of 31-12N-24W, aol</x:t>
        </x:is>
      </x:c>
      <x:c r="J128" s="112" t="inlineStr">
        <x:is>
          <x:t xml:space="preserve">O K. Oil Venture, is the owner of a royalty interest in and to a portion of the above described real estate. The joint venture, when created consisted of three joint venturers, namely. Myron V. Slobin, Gregory J. Winneke, and Lyle T. Ibeling. … Full recital in recorded instrument — see Link.</x:t>
        </x:is>
      </x:c>
      <x:c r="K128" s="518" t="e">
        <x:f>HYPERLINK("https://okcountyrecords.com/detail/roger+mills/1987-006730","OKCountyRecords: 1987-006730")</x:f>
      </x:c>
      <x:c r="L128" s="519" t="inlineStr">
        <x:is>
          <x:t xml:space="preserve">Other (non-mineral; excluded from mineral NMA). Gross=tract-map basis.</x:t>
        </x:is>
      </x:c>
      <x:c r="M128" s="519" t="inlineStr">
        <x:is>
          <x:t xml:space="preserve">OK</x:t>
        </x:is>
      </x:c>
      <x:c r="N128" s="519" t="inlineStr">
        <x:is>
          <x:t xml:space="preserve">ARTI/notice instrument (The Public); no net mineral acres conveyed.</x:t>
        </x:is>
      </x:c>
      <x:c r="O128" s="519" t="inlineStr">
        <x:is>
          <x:t xml:space="preserve">OUTSIDE LANDS</x:t>
        </x:is>
      </x:c>
      <x:c r="P128" s="520" t="inlineStr">
        <x:is>
          <x:t xml:space="preserve">Chain — title support (succession/entity/probate)</x:t>
        </x:is>
      </x:c>
      <x:c r="Q128" s="520" t="inlineStr">
        <x:is>
          <x:t xml:space="preserve">Yes</x:t>
        </x:is>
      </x:c>
      <x:c r="R128" s="520" t="inlineStr">
        <x:is>
          <x:t xml:space="preserve">No</x:t>
        </x:is>
      </x:c>
      <x:c r="S128" s="520" t="inlineStr">
        <x:is>
          <x:t xml:space="preserve">Yes</x:t>
        </x:is>
      </x:c>
      <x:c r="T128" s="520" t="inlineStr">
        <x:is>
          <x:t xml:space="preserve">No</x:t>
        </x:is>
      </x:c>
      <x:c r="U128" s="520" t="inlineStr">
        <x:is>
          <x:t xml:space="preserve">Yes: 2 (legal supports)</x:t>
        </x:is>
      </x:c>
      <x:c r="V128" s="520" t="inlineStr">
        <x:is>
          <x:t xml:space="preserve">High</x:t>
        </x:is>
      </x:c>
      <x:c r="W128" s="520" t="inlineStr">
        <x:is>
          <x:t xml:space="preserve">Review — no exact prior-grantee match</x:t>
        </x:is>
      </x:c>
      <x:c r="X128" s="520" t="inlineStr">
        <x:is>
          <x:t xml:space="preserve">Review</x:t>
        </x:is>
      </x:c>
      <x:c r="Y128" s="520" t="inlineStr">
        <x:is>
          <x:t xml:space="preserve">Interest amount needs review</x:t>
        </x:is>
      </x:c>
      <x:c r="Z128" s="520" t="inlineStr">
        <x:is>
          <x:t xml:space="preserve">Review</x:t>
        </x:is>
      </x:c>
      <x:c r="AA128" s="520" t="inlineStr">
        <x:is>
          <x:t xml:space="preserve">Affidavit — Paul S. Taylor to The Public (924/136)</x:t>
        </x:is>
      </x:c>
      <x:c r="AB128" s="520" t="inlineStr">
        <x:is>
          <x:t xml:space="preserve">Needs source review: grantor source, interest amount</x:t>
        </x:is>
      </x:c>
    </x:row>
    <x:row r="129" s="520" customFormat="1" ht="48" customHeight="1">
      <x:c r="A129" s="513" t="inlineStr">
        <x:is>
          <x:t xml:space="preserve">1987-007680</x:t>
        </x:is>
      </x:c>
      <x:c r="B129" s="513" t="n"/>
      <x:c r="C129" s="513" t="inlineStr">
        <x:is>
          <x:t xml:space="preserve">Mineral Deed</x:t>
        </x:is>
      </x:c>
      <x:c r="D129" s="513" t="inlineStr">
        <x:is>
          <x:t xml:space="preserve">933/226</x:t>
        </x:is>
      </x:c>
      <x:c r="E129" s="514" t="n">
        <x:v>32118</x:v>
      </x:c>
      <x:c r="F129" s="515" t="n">
        <x:v>32118</x:v>
      </x:c>
      <x:c r="G129" s="516" t="inlineStr">
        <x:is>
          <x:t xml:space="preserve">Clarence C. Bain</x:t>
        </x:is>
      </x:c>
      <x:c r="H129" s="516" t="inlineStr">
        <x:is>
          <x:t xml:space="preserve">Billy Wayne Bain</x:t>
        </x:is>
      </x:c>
      <x:c r="I129" s="517" t="inlineStr">
        <x:is>
          <x:t xml:space="preserve">S/2 SE/4, NW/4 SE/4, SW/4 NE/4 of 31-12N-24W, aol</x:t>
        </x:is>
      </x:c>
      <x:c r="J129" s="112" t="inlineStr">
        <x:is>
          <x:t xml:space="preserve">3/791.47 interest in 2 sections</x:t>
        </x:is>
      </x:c>
      <x:c r="K129" s="518" t="e">
        <x:f>HYPERLINK("https://okcountyrecords.com/detail/roger+mills/1987-007680","OKCountyRecords: 1987-007680")</x:f>
      </x:c>
      <x:c r="L129" s="519" t="inlineStr">
        <x:is>
          <x:t xml:space="preserve">Mineral; basis Conv Amt(dec). Gross=tract-map basis.</x:t>
        </x:is>
      </x:c>
      <x:c r="M129" s="519" t="inlineStr">
        <x:is>
          <x:t xml:space="preserve">CURRENT OWNER SOURCE</x:t>
        </x:is>
      </x:c>
      <x:c r="N129" s="519" t="n"/>
      <x:c r="O129" s="519" t="inlineStr">
        <x:is>
          <x:t xml:space="preserve">OUTSIDE LANDS</x:t>
        </x:is>
      </x:c>
      <x:c r="P129" s="520" t="inlineStr">
        <x:is>
          <x:t xml:space="preserve">Chain — minerals</x:t>
        </x:is>
      </x:c>
      <x:c r="Q129" s="520" t="inlineStr">
        <x:is>
          <x:t xml:space="preserve">Yes</x:t>
        </x:is>
      </x:c>
      <x:c r="R129" s="520" t="inlineStr">
        <x:is>
          <x:t xml:space="preserve">No</x:t>
        </x:is>
      </x:c>
      <x:c r="S129" s="520" t="inlineStr">
        <x:is>
          <x:t xml:space="preserve">Yes</x:t>
        </x:is>
      </x:c>
      <x:c r="T129" s="520" t="inlineStr">
        <x:is>
          <x:t xml:space="preserve">No</x:t>
        </x:is>
      </x:c>
      <x:c r="U129" s="520" t="inlineStr">
        <x:is>
          <x:t xml:space="preserve">Yes: 2 (legal supports)</x:t>
        </x:is>
      </x:c>
      <x:c r="V129" s="520" t="inlineStr">
        <x:is>
          <x:t xml:space="preserve">High</x:t>
        </x:is>
      </x:c>
      <x:c r="W129" s="520" t="inlineStr">
        <x:is>
          <x:t xml:space="preserve">Yes — prior grantee match</x:t>
        </x:is>
      </x:c>
      <x:c r="X129" s="520" t="inlineStr">
        <x:is>
          <x:t xml:space="preserve">Review</x:t>
        </x:is>
      </x:c>
      <x:c r="Y129" s="520" t="inlineStr">
        <x:is>
          <x:t xml:space="preserve">Candidate 0.00379041530317005 (helper — confirm from image)</x:t>
        </x:is>
      </x:c>
      <x:c r="Z129" s="520" t="inlineStr">
        <x:is>
          <x:t xml:space="preserve">Medium — helper value</x:t>
        </x:is>
      </x:c>
      <x:c r="AA129" s="520" t="inlineStr">
        <x:is>
          <x:t xml:space="preserve">Mineral Deed — Clarence C. Bain to Billy Wayne Bain (933/226)</x:t>
        </x:is>
      </x:c>
    </x:row>
    <x:row r="130" s="520" customFormat="1" ht="36" customHeight="1">
      <x:c r="A130" s="513" t="inlineStr">
        <x:is>
          <x:t xml:space="preserve">1988-000762</x:t>
        </x:is>
      </x:c>
      <x:c r="B130" s="513" t="n"/>
      <x:c r="C130" s="513" t="inlineStr">
        <x:is>
          <x:t xml:space="preserve">Mineral Deed</x:t>
        </x:is>
      </x:c>
      <x:c r="D130" s="513" t="inlineStr">
        <x:is>
          <x:t xml:space="preserve">946/223</x:t>
        </x:is>
      </x:c>
      <x:c r="E130" s="514" t="n">
        <x:v>32177</x:v>
      </x:c>
      <x:c r="F130" s="515" t="n">
        <x:v>32177</x:v>
      </x:c>
      <x:c r="G130" s="516" t="inlineStr">
        <x:is>
          <x:t xml:space="preserve">Brent L. Schooley</x:t>
        </x:is>
      </x:c>
      <x:c r="H130" s="516" t="inlineStr">
        <x:is>
          <x:t xml:space="preserve">Kaiser Francis Oil Co.</x:t>
        </x:is>
      </x:c>
      <x:c r="I130" s="517" t="inlineStr">
        <x:is>
          <x:t xml:space="preserve">E/2 NW/4 of 31-12N-24W, aol</x:t>
        </x:is>
      </x:c>
      <x:c r="J130" s="112" t="inlineStr">
        <x:is>
          <x:t xml:space="preserve">ARTI</x:t>
        </x:is>
      </x:c>
      <x:c r="K130" s="518" t="e">
        <x:f>HYPERLINK("https://okcountyrecords.com/detail/roger+mills/1988-000762","OKCountyRecords: 1988-000762")</x:f>
      </x:c>
      <x:c r="L130" s="519" t="inlineStr">
        <x:is>
          <x:t xml:space="preserve">Mineral; basis Conv Amt(dec). Gross=tract-map basis.</x:t>
        </x:is>
      </x:c>
      <x:c r="M130" s="519" t="inlineStr">
        <x:is>
          <x:t xml:space="preserve">CURRENT OWNER SOURCE</x:t>
        </x:is>
      </x:c>
      <x:c r="N130" s="519" t="n"/>
      <x:c r="O130" s="519" t="inlineStr">
        <x:is>
          <x:t xml:space="preserve">OUTSIDE LANDS</x:t>
        </x:is>
      </x:c>
      <x:c r="P130" s="520" t="inlineStr">
        <x:is>
          <x:t xml:space="preserve">Chain — minerals</x:t>
        </x:is>
      </x:c>
      <x:c r="Q130" s="520" t="inlineStr">
        <x:is>
          <x:t xml:space="preserve">Yes</x:t>
        </x:is>
      </x:c>
      <x:c r="R130" s="520" t="inlineStr">
        <x:is>
          <x:t xml:space="preserve">No</x:t>
        </x:is>
      </x:c>
      <x:c r="S130" s="520" t="inlineStr">
        <x:is>
          <x:t xml:space="preserve">Yes</x:t>
        </x:is>
      </x:c>
      <x:c r="T130" s="520" t="inlineStr">
        <x:is>
          <x:t xml:space="preserve">No</x:t>
        </x:is>
      </x:c>
      <x:c r="U130" s="520" t="inlineStr">
        <x:is>
          <x:t xml:space="preserve">Yes: 4 (legal supports)</x:t>
        </x:is>
      </x:c>
      <x:c r="V130" s="520" t="inlineStr">
        <x:is>
          <x:t xml:space="preserve">High</x:t>
        </x:is>
      </x:c>
      <x:c r="W130" s="520" t="inlineStr">
        <x:is>
          <x:t xml:space="preserve">Yes — prior grantee match</x:t>
        </x:is>
      </x:c>
      <x:c r="X130" s="520" t="inlineStr">
        <x:is>
          <x:t xml:space="preserve">Yes — on Tract 4 owner list</x:t>
        </x:is>
      </x:c>
      <x:c r="Y130" s="520" t="inlineStr">
        <x:is>
          <x:t xml:space="preserve">Candidate 1 (helper — confirm from image)</x:t>
        </x:is>
      </x:c>
      <x:c r="Z130" s="520" t="inlineStr">
        <x:is>
          <x:t xml:space="preserve">Medium — helper value</x:t>
        </x:is>
      </x:c>
      <x:c r="AA130" s="520" t="inlineStr">
        <x:is>
          <x:t xml:space="preserve">Mineral Deed — Brent L. Schooley to Kaiser Francis Oil Co. (946/223)</x:t>
        </x:is>
      </x:c>
    </x:row>
    <x:row r="131" s="520" customFormat="1" ht="60" customHeight="1">
      <x:c r="A131" s="513" t="inlineStr">
        <x:is>
          <x:t xml:space="preserve">1988-004185</x:t>
        </x:is>
      </x:c>
      <x:c r="B131" s="513" t="n"/>
      <x:c r="C131" s="513" t="inlineStr">
        <x:is>
          <x:t xml:space="preserve">Non-Participating Royalty Deed</x:t>
        </x:is>
      </x:c>
      <x:c r="D131" s="513" t="inlineStr">
        <x:is>
          <x:t xml:space="preserve">981/2</x:t>
        </x:is>
      </x:c>
      <x:c r="E131" s="514" t="n">
        <x:v>32216</x:v>
      </x:c>
      <x:c r="F131" s="515" t="n">
        <x:v>32329</x:v>
      </x:c>
      <x:c r="G131" s="516" t="inlineStr">
        <x:is>
          <x:t xml:space="preserve">Flag-Redfern Oil Company</x:t>
        </x:is>
      </x:c>
      <x:c r="H131" s="516" t="inlineStr">
        <x:is>
          <x:t xml:space="preserve">First City National Bank of Midland, Trustee of the ETA-Flag Royalty Trust</x:t>
        </x:is>
      </x:c>
      <x:c r="I131" s="517" t="inlineStr">
        <x:is>
          <x:t xml:space="preserve">N/2 NE/4, W/2 NW/4 of 31-12N-24W, aol</x:t>
        </x:is>
      </x:c>
      <x:c r="J131" s="112" t="inlineStr">
        <x:is>
          <x:t xml:space="preserve">An undivided 1/8 royalty as a free royalty in oil, gas and all other minerals</x:t>
        </x:is>
      </x:c>
      <x:c r="K131" s="518" t="e">
        <x:f>HYPERLINK("https://okcountyrecords.com/detail/roger+mills/1988-004185","OKCountyRecords: 1988-004185")</x:f>
      </x:c>
      <x:c r="L131" s="519" t="inlineStr">
        <x:is>
          <x:t xml:space="preserve">Mineral; basis Conv Amt(dec). Gross=tract-map basis.</x:t>
        </x:is>
      </x:c>
      <x:c r="M131" s="519" t="inlineStr">
        <x:is>
          <x:t xml:space="preserve">CURRENT OWNER SOURCE</x:t>
        </x:is>
      </x:c>
      <x:c r="N131" s="519" t="n"/>
      <x:c r="O131" s="519" t="inlineStr">
        <x:is>
          <x:t xml:space="preserve">OUTSIDE LANDS</x:t>
        </x:is>
      </x:c>
      <x:c r="P131" s="520" t="inlineStr">
        <x:is>
          <x:t xml:space="preserve">Chain — minerals</x:t>
        </x:is>
      </x:c>
      <x:c r="Q131" s="520" t="inlineStr">
        <x:is>
          <x:t xml:space="preserve">Yes</x:t>
        </x:is>
      </x:c>
      <x:c r="R131" s="520" t="inlineStr">
        <x:is>
          <x:t xml:space="preserve">No</x:t>
        </x:is>
      </x:c>
      <x:c r="S131" s="520" t="inlineStr">
        <x:is>
          <x:t xml:space="preserve">Yes</x:t>
        </x:is>
      </x:c>
      <x:c r="T131" s="520" t="inlineStr">
        <x:is>
          <x:t xml:space="preserve">No</x:t>
        </x:is>
      </x:c>
      <x:c r="U131" s="520" t="inlineStr">
        <x:is>
          <x:t xml:space="preserve">Yes: 1, 5 (legal supports)</x:t>
        </x:is>
      </x:c>
      <x:c r="V131" s="520" t="inlineStr">
        <x:is>
          <x:t xml:space="preserve">High</x:t>
        </x:is>
      </x:c>
      <x:c r="W131" s="520" t="inlineStr">
        <x:is>
          <x:t xml:space="preserve">Review — no exact prior-grantee match</x:t>
        </x:is>
      </x:c>
      <x:c r="X131" s="520" t="inlineStr">
        <x:is>
          <x:t xml:space="preserve">Yes — on Tract 1 owner list</x:t>
        </x:is>
      </x:c>
      <x:c r="Y131" s="520" t="inlineStr">
        <x:is>
          <x:t xml:space="preserve">Candidate 0.125 (helper — confirm from image)</x:t>
        </x:is>
      </x:c>
      <x:c r="Z131" s="520" t="inlineStr">
        <x:is>
          <x:t xml:space="preserve">Medium — helper value</x:t>
        </x:is>
      </x:c>
      <x:c r="AA131" s="520" t="inlineStr">
        <x:is>
          <x:t xml:space="preserve">Non-Participating Royalty Deed — Flag-Redfern Oil Company to First City National Bank of Mi (981/2)</x:t>
        </x:is>
      </x:c>
      <x:c r="AB131" s="520" t="inlineStr">
        <x:is>
          <x:t xml:space="preserve">Needs source review: grantor source</x:t>
        </x:is>
      </x:c>
    </x:row>
    <x:row r="132" s="520" customFormat="1" ht="48" customHeight="1">
      <x:c r="A132" s="513" t="inlineStr">
        <x:is>
          <x:t xml:space="preserve">1988-004480</x:t>
        </x:is>
      </x:c>
      <x:c r="B132" s="513" t="n"/>
      <x:c r="C132" s="513" t="inlineStr">
        <x:is>
          <x:t xml:space="preserve">Mineral Deed</x:t>
        </x:is>
      </x:c>
      <x:c r="D132" s="513" t="inlineStr">
        <x:is>
          <x:t xml:space="preserve">984/181</x:t>
        </x:is>
      </x:c>
      <x:c r="E132" s="514" t="n">
        <x:v>32344</x:v>
      </x:c>
      <x:c r="F132" s="515" t="n">
        <x:v>32344</x:v>
      </x:c>
      <x:c r="G132" s="516" t="inlineStr">
        <x:is>
          <x:t xml:space="preserve">Clarence C. Bain</x:t>
        </x:is>
      </x:c>
      <x:c r="H132" s="516" t="inlineStr">
        <x:is>
          <x:t xml:space="preserve">William Clifton Bain</x:t>
        </x:is>
      </x:c>
      <x:c r="I132" s="517" t="inlineStr">
        <x:is>
          <x:t xml:space="preserve">S/2 SE/4, NW/4 SE/4, SW/4 NE/4 of 31-12N-24W, aol</x:t>
        </x:is>
      </x:c>
      <x:c r="J132" s="112" t="inlineStr">
        <x:is>
          <x:t xml:space="preserve">2/791.47 interest in 2 sections</x:t>
        </x:is>
      </x:c>
      <x:c r="K132" s="518" t="e">
        <x:f>HYPERLINK("https://okcountyrecords.com/detail/roger+mills/1988-004480","OKCountyRecords: 1988-004480")</x:f>
      </x:c>
      <x:c r="L132" s="519" t="inlineStr">
        <x:is>
          <x:t xml:space="preserve">Mineral; basis Conv Amt(dec). Gross=tract-map basis.</x:t>
        </x:is>
      </x:c>
      <x:c r="M132" s="519" t="inlineStr">
        <x:is>
          <x:t xml:space="preserve">CURRENT OWNER SOURCE</x:t>
        </x:is>
      </x:c>
      <x:c r="N132" s="519" t="n"/>
      <x:c r="O132" s="519" t="inlineStr">
        <x:is>
          <x:t xml:space="preserve">OUTSIDE LANDS</x:t>
        </x:is>
      </x:c>
      <x:c r="P132" s="520" t="inlineStr">
        <x:is>
          <x:t xml:space="preserve">Chain — minerals</x:t>
        </x:is>
      </x:c>
      <x:c r="Q132" s="520" t="inlineStr">
        <x:is>
          <x:t xml:space="preserve">Yes</x:t>
        </x:is>
      </x:c>
      <x:c r="R132" s="520" t="inlineStr">
        <x:is>
          <x:t xml:space="preserve">No</x:t>
        </x:is>
      </x:c>
      <x:c r="S132" s="520" t="inlineStr">
        <x:is>
          <x:t xml:space="preserve">Yes</x:t>
        </x:is>
      </x:c>
      <x:c r="T132" s="520" t="inlineStr">
        <x:is>
          <x:t xml:space="preserve">No</x:t>
        </x:is>
      </x:c>
      <x:c r="U132" s="520" t="inlineStr">
        <x:is>
          <x:t xml:space="preserve">Yes: 2 (legal supports)</x:t>
        </x:is>
      </x:c>
      <x:c r="V132" s="520" t="inlineStr">
        <x:is>
          <x:t xml:space="preserve">High</x:t>
        </x:is>
      </x:c>
      <x:c r="W132" s="520" t="inlineStr">
        <x:is>
          <x:t xml:space="preserve">Yes — prior grantee match</x:t>
        </x:is>
      </x:c>
      <x:c r="X132" s="520" t="inlineStr">
        <x:is>
          <x:t xml:space="preserve">Yes — on Tract 2 owner list</x:t>
        </x:is>
      </x:c>
      <x:c r="Y132" s="520" t="inlineStr">
        <x:is>
          <x:t xml:space="preserve">Candidate 0.0025269435354467 (helper — confirm from image)</x:t>
        </x:is>
      </x:c>
      <x:c r="Z132" s="520" t="inlineStr">
        <x:is>
          <x:t xml:space="preserve">Medium — helper value</x:t>
        </x:is>
      </x:c>
      <x:c r="AA132" s="520" t="inlineStr">
        <x:is>
          <x:t xml:space="preserve">Mineral Deed — Clarence C. Bain to William Clifton Bain (984/181)</x:t>
        </x:is>
      </x:c>
    </x:row>
    <x:row r="133" s="520" customFormat="1" ht="48" customHeight="1">
      <x:c r="A133" s="513" t="inlineStr">
        <x:is>
          <x:t xml:space="preserve">1988-004481</x:t>
        </x:is>
      </x:c>
      <x:c r="B133" s="513" t="n"/>
      <x:c r="C133" s="513" t="inlineStr">
        <x:is>
          <x:t xml:space="preserve">Mineral Deed</x:t>
        </x:is>
      </x:c>
      <x:c r="D133" s="513" t="inlineStr">
        <x:is>
          <x:t xml:space="preserve">984/183</x:t>
        </x:is>
      </x:c>
      <x:c r="E133" s="514" t="n">
        <x:v>32344</x:v>
      </x:c>
      <x:c r="F133" s="515" t="n">
        <x:v>32344</x:v>
      </x:c>
      <x:c r="G133" s="516" t="inlineStr">
        <x:is>
          <x:t xml:space="preserve">Clarence C. Bain</x:t>
        </x:is>
      </x:c>
      <x:c r="H133" s="516" t="inlineStr">
        <x:is>
          <x:t xml:space="preserve">Michael Lee Bain</x:t>
        </x:is>
      </x:c>
      <x:c r="I133" s="517" t="inlineStr">
        <x:is>
          <x:t xml:space="preserve">S/2 SE/4, NW/4 SE/4, SW/4 NE/4 of 31-12N-24W, aol</x:t>
        </x:is>
      </x:c>
      <x:c r="J133" s="112" t="inlineStr">
        <x:is>
          <x:t xml:space="preserve">2/791.47 interest in 2 sections</x:t>
        </x:is>
      </x:c>
      <x:c r="K133" s="518" t="e">
        <x:f>HYPERLINK("https://okcountyrecords.com/detail/roger+mills/1988-004481","OKCountyRecords: 1988-004481")</x:f>
      </x:c>
      <x:c r="L133" s="519" t="inlineStr">
        <x:is>
          <x:t xml:space="preserve">Mineral; basis Conv Amt(dec). Gross=tract-map basis.</x:t>
        </x:is>
      </x:c>
      <x:c r="M133" s="519" t="inlineStr">
        <x:is>
          <x:t xml:space="preserve">CURRENT OWNER SOURCE</x:t>
        </x:is>
      </x:c>
      <x:c r="N133" s="519" t="n"/>
      <x:c r="O133" s="519" t="inlineStr">
        <x:is>
          <x:t xml:space="preserve">OUTSIDE LANDS</x:t>
        </x:is>
      </x:c>
      <x:c r="P133" s="520" t="inlineStr">
        <x:is>
          <x:t xml:space="preserve">Chain — minerals</x:t>
        </x:is>
      </x:c>
      <x:c r="Q133" s="520" t="inlineStr">
        <x:is>
          <x:t xml:space="preserve">Yes</x:t>
        </x:is>
      </x:c>
      <x:c r="R133" s="520" t="inlineStr">
        <x:is>
          <x:t xml:space="preserve">No</x:t>
        </x:is>
      </x:c>
      <x:c r="S133" s="520" t="inlineStr">
        <x:is>
          <x:t xml:space="preserve">Yes</x:t>
        </x:is>
      </x:c>
      <x:c r="T133" s="520" t="inlineStr">
        <x:is>
          <x:t xml:space="preserve">No</x:t>
        </x:is>
      </x:c>
      <x:c r="U133" s="520" t="inlineStr">
        <x:is>
          <x:t xml:space="preserve">Yes: 2 (legal supports)</x:t>
        </x:is>
      </x:c>
      <x:c r="V133" s="520" t="inlineStr">
        <x:is>
          <x:t xml:space="preserve">High</x:t>
        </x:is>
      </x:c>
      <x:c r="W133" s="520" t="inlineStr">
        <x:is>
          <x:t xml:space="preserve">Yes — prior grantee match</x:t>
        </x:is>
      </x:c>
      <x:c r="X133" s="520" t="inlineStr">
        <x:is>
          <x:t xml:space="preserve">Yes — on Tract 2 owner list</x:t>
        </x:is>
      </x:c>
      <x:c r="Y133" s="520" t="inlineStr">
        <x:is>
          <x:t xml:space="preserve">Candidate 0.0025269435354467 (helper — confirm from image)</x:t>
        </x:is>
      </x:c>
      <x:c r="Z133" s="520" t="inlineStr">
        <x:is>
          <x:t xml:space="preserve">Medium — helper value</x:t>
        </x:is>
      </x:c>
      <x:c r="AA133" s="520" t="inlineStr">
        <x:is>
          <x:t xml:space="preserve">Mineral Deed — Clarence C. Bain to Michael Lee Bain (984/183)</x:t>
        </x:is>
      </x:c>
    </x:row>
    <x:row r="134" s="520" customFormat="1" ht="48" customHeight="1">
      <x:c r="A134" s="513" t="inlineStr">
        <x:is>
          <x:t xml:space="preserve">1988-004482</x:t>
        </x:is>
      </x:c>
      <x:c r="B134" s="513" t="n"/>
      <x:c r="C134" s="513" t="inlineStr">
        <x:is>
          <x:t xml:space="preserve">Mineral Deed</x:t>
        </x:is>
      </x:c>
      <x:c r="D134" s="513" t="inlineStr">
        <x:is>
          <x:t xml:space="preserve">984/185</x:t>
        </x:is>
      </x:c>
      <x:c r="E134" s="514" t="n">
        <x:v>32344</x:v>
      </x:c>
      <x:c r="F134" s="515" t="n">
        <x:v>32344</x:v>
      </x:c>
      <x:c r="G134" s="516" t="inlineStr">
        <x:is>
          <x:t xml:space="preserve">Clarence C. Bain</x:t>
        </x:is>
      </x:c>
      <x:c r="H134" s="516" t="inlineStr">
        <x:is>
          <x:t xml:space="preserve">Paul Milton Bain</x:t>
        </x:is>
      </x:c>
      <x:c r="I134" s="517" t="inlineStr">
        <x:is>
          <x:t xml:space="preserve">S/2 SE/4, NW/4 SE/4, SW/4 NE/4 of 31-12N-24W, aol</x:t>
        </x:is>
      </x:c>
      <x:c r="J134" s="112" t="inlineStr">
        <x:is>
          <x:t xml:space="preserve">2/791.47 interest in 2 sections</x:t>
        </x:is>
      </x:c>
      <x:c r="K134" s="518" t="e">
        <x:f>HYPERLINK("https://okcountyrecords.com/detail/roger+mills/1988-004482","OKCountyRecords: 1988-004482")</x:f>
      </x:c>
      <x:c r="L134" s="519" t="inlineStr">
        <x:is>
          <x:t xml:space="preserve">Mineral; basis Conv Amt(dec). Gross=tract-map basis.</x:t>
        </x:is>
      </x:c>
      <x:c r="M134" s="519" t="inlineStr">
        <x:is>
          <x:t xml:space="preserve">CURRENT OWNER SOURCE</x:t>
        </x:is>
      </x:c>
      <x:c r="N134" s="519" t="n"/>
      <x:c r="O134" s="519" t="inlineStr">
        <x:is>
          <x:t xml:space="preserve">OUTSIDE LANDS</x:t>
        </x:is>
      </x:c>
      <x:c r="P134" s="520" t="inlineStr">
        <x:is>
          <x:t xml:space="preserve">Chain — minerals</x:t>
        </x:is>
      </x:c>
      <x:c r="Q134" s="520" t="inlineStr">
        <x:is>
          <x:t xml:space="preserve">Yes</x:t>
        </x:is>
      </x:c>
      <x:c r="R134" s="520" t="inlineStr">
        <x:is>
          <x:t xml:space="preserve">No</x:t>
        </x:is>
      </x:c>
      <x:c r="S134" s="520" t="inlineStr">
        <x:is>
          <x:t xml:space="preserve">Yes</x:t>
        </x:is>
      </x:c>
      <x:c r="T134" s="520" t="inlineStr">
        <x:is>
          <x:t xml:space="preserve">No</x:t>
        </x:is>
      </x:c>
      <x:c r="U134" s="520" t="inlineStr">
        <x:is>
          <x:t xml:space="preserve">Yes: 2 (legal supports)</x:t>
        </x:is>
      </x:c>
      <x:c r="V134" s="520" t="inlineStr">
        <x:is>
          <x:t xml:space="preserve">High</x:t>
        </x:is>
      </x:c>
      <x:c r="W134" s="520" t="inlineStr">
        <x:is>
          <x:t xml:space="preserve">Yes — prior grantee match</x:t>
        </x:is>
      </x:c>
      <x:c r="X134" s="520" t="inlineStr">
        <x:is>
          <x:t xml:space="preserve">Yes — on Tract 2 owner list</x:t>
        </x:is>
      </x:c>
      <x:c r="Y134" s="520" t="inlineStr">
        <x:is>
          <x:t xml:space="preserve">Candidate 0.0025269435354467 (helper — confirm from image)</x:t>
        </x:is>
      </x:c>
      <x:c r="Z134" s="520" t="inlineStr">
        <x:is>
          <x:t xml:space="preserve">Medium — helper value</x:t>
        </x:is>
      </x:c>
      <x:c r="AA134" s="520" t="inlineStr">
        <x:is>
          <x:t xml:space="preserve">Mineral Deed — Clarence C. Bain to Paul Milton Bain (984/185)</x:t>
        </x:is>
      </x:c>
    </x:row>
    <x:row r="135" s="520" customFormat="1" ht="48" customHeight="1">
      <x:c r="A135" s="513" t="inlineStr">
        <x:is>
          <x:t xml:space="preserve">1988-004483</x:t>
        </x:is>
      </x:c>
      <x:c r="B135" s="513" t="n"/>
      <x:c r="C135" s="513" t="inlineStr">
        <x:is>
          <x:t xml:space="preserve">Mineral Deed</x:t>
        </x:is>
      </x:c>
      <x:c r="D135" s="513" t="inlineStr">
        <x:is>
          <x:t xml:space="preserve">984/187</x:t>
        </x:is>
      </x:c>
      <x:c r="E135" s="514" t="n">
        <x:v>32344</x:v>
      </x:c>
      <x:c r="F135" s="515" t="n">
        <x:v>32344</x:v>
      </x:c>
      <x:c r="G135" s="516" t="inlineStr">
        <x:is>
          <x:t xml:space="preserve">Clarence C. Bain</x:t>
        </x:is>
      </x:c>
      <x:c r="H135" s="516" t="inlineStr">
        <x:is>
          <x:t xml:space="preserve">Ronald Dean Bain</x:t>
        </x:is>
      </x:c>
      <x:c r="I135" s="517" t="inlineStr">
        <x:is>
          <x:t xml:space="preserve">S/2 SE/4, NW/4 SE/4, SW/4 NE/4 of 31-12N-24W, aol</x:t>
        </x:is>
      </x:c>
      <x:c r="J135" s="112" t="inlineStr">
        <x:is>
          <x:t xml:space="preserve">2/791.47 interest in 2 sections</x:t>
        </x:is>
      </x:c>
      <x:c r="K135" s="518" t="e">
        <x:f>HYPERLINK("https://okcountyrecords.com/detail/roger+mills/1988-004483","OKCountyRecords: 1988-004483")</x:f>
      </x:c>
      <x:c r="L135" s="519" t="inlineStr">
        <x:is>
          <x:t xml:space="preserve">Mineral; basis Conv Amt(dec). Gross=tract-map basis.</x:t>
        </x:is>
      </x:c>
      <x:c r="M135" s="519" t="n"/>
      <x:c r="N135" s="519" t="n"/>
      <x:c r="O135" s="519" t="inlineStr">
        <x:is>
          <x:t xml:space="preserve">OUTSIDE LANDS</x:t>
        </x:is>
      </x:c>
      <x:c r="P135" s="520" t="inlineStr">
        <x:is>
          <x:t xml:space="preserve">Chain — minerals</x:t>
        </x:is>
      </x:c>
      <x:c r="Q135" s="520" t="inlineStr">
        <x:is>
          <x:t xml:space="preserve">Yes</x:t>
        </x:is>
      </x:c>
      <x:c r="R135" s="520" t="inlineStr">
        <x:is>
          <x:t xml:space="preserve">No</x:t>
        </x:is>
      </x:c>
      <x:c r="S135" s="520" t="inlineStr">
        <x:is>
          <x:t xml:space="preserve">Yes</x:t>
        </x:is>
      </x:c>
      <x:c r="T135" s="520" t="inlineStr">
        <x:is>
          <x:t xml:space="preserve">No</x:t>
        </x:is>
      </x:c>
      <x:c r="U135" s="520" t="inlineStr">
        <x:is>
          <x:t xml:space="preserve">Yes: 2 (legal supports)</x:t>
        </x:is>
      </x:c>
      <x:c r="V135" s="520" t="inlineStr">
        <x:is>
          <x:t xml:space="preserve">High</x:t>
        </x:is>
      </x:c>
      <x:c r="W135" s="520" t="inlineStr">
        <x:is>
          <x:t xml:space="preserve">Yes — prior grantee match</x:t>
        </x:is>
      </x:c>
      <x:c r="X135" s="520" t="inlineStr">
        <x:is>
          <x:t xml:space="preserve">Yes — on Tract 2 owner list</x:t>
        </x:is>
      </x:c>
      <x:c r="Y135" s="520" t="inlineStr">
        <x:is>
          <x:t xml:space="preserve">Candidate 0.0025269435354467 (helper — confirm from image)</x:t>
        </x:is>
      </x:c>
      <x:c r="Z135" s="520" t="inlineStr">
        <x:is>
          <x:t xml:space="preserve">Medium — helper value</x:t>
        </x:is>
      </x:c>
      <x:c r="AA135" s="520" t="inlineStr">
        <x:is>
          <x:t xml:space="preserve">Mineral Deed — Clarence C. Bain to Ronald Dean Bain (984/187)</x:t>
        </x:is>
      </x:c>
    </x:row>
    <x:row r="136" s="520" customFormat="1" ht="48" customHeight="1">
      <x:c r="A136" s="513" t="inlineStr">
        <x:is>
          <x:t xml:space="preserve">1988-004635</x:t>
        </x:is>
      </x:c>
      <x:c r="B136" s="513" t="n"/>
      <x:c r="C136" s="513" t="inlineStr">
        <x:is>
          <x:t xml:space="preserve">Order and Final Decree</x:t>
        </x:is>
      </x:c>
      <x:c r="D136" s="513" t="inlineStr">
        <x:is>
          <x:t xml:space="preserve">986/185</x:t>
        </x:is>
      </x:c>
      <x:c r="E136" s="514" t="n">
        <x:v>32350</x:v>
      </x:c>
      <x:c r="F136" s="515" t="n">
        <x:v>32350</x:v>
      </x:c>
      <x:c r="G136" s="516" t="inlineStr">
        <x:is>
          <x:t xml:space="preserve">Beckham County Court,
RE: In the Matter of the Estate of Margaret Gray, Deceased</x:t>
        </x:is>
      </x:c>
      <x:c r="H136" s="516" t="inlineStr">
        <x:is>
          <x:t xml:space="preserve">Murrell A. Gray, 1/3,
Fred A. Standiford, Jr., 1/3,
Alfred W. Standiford, 1/3</x:t>
        </x:is>
      </x:c>
      <x:c r="I136" s="517" t="inlineStr">
        <x:is>
          <x:t xml:space="preserve">SE/4 SW/4 of 31-12N-24W, aol</x:t>
        </x:is>
      </x:c>
      <x:c r="J136" s="112" t="inlineStr">
        <x:is>
          <x:t xml:space="preserve">ARTI, An undivided 7/48ths interest
(5.8333 min. ac.)</x:t>
        </x:is>
      </x:c>
      <x:c r="K136" s="518" t="e">
        <x:f>HYPERLINK("https://okcountyrecords.com/detail/roger+mills/1988-004635","OKCountyRecords: 1988-004635")</x:f>
      </x:c>
      <x:c r="L136" s="519" t="inlineStr">
        <x:is>
          <x:t xml:space="preserve">Mineral; basis Conv Amt(dec). Gross=tract-map basis.</x:t>
        </x:is>
      </x:c>
      <x:c r="M136" s="519" t="inlineStr">
        <x:is>
          <x:t xml:space="preserve">CURRENT OWNER SOURCE</x:t>
        </x:is>
      </x:c>
      <x:c r="N136" s="519" t="n"/>
      <x:c r="O136" s="519" t="inlineStr">
        <x:is>
          <x:t xml:space="preserve">OUTSIDE LANDS</x:t>
        </x:is>
      </x:c>
      <x:c r="P136" s="520" t="inlineStr">
        <x:is>
          <x:t xml:space="preserve">Chain — title support (succession/entity/probate)</x:t>
        </x:is>
      </x:c>
      <x:c r="Q136" s="520" t="inlineStr">
        <x:is>
          <x:t xml:space="preserve">Yes</x:t>
        </x:is>
      </x:c>
      <x:c r="R136" s="520" t="inlineStr">
        <x:is>
          <x:t xml:space="preserve">No</x:t>
        </x:is>
      </x:c>
      <x:c r="S136" s="520" t="inlineStr">
        <x:is>
          <x:t xml:space="preserve">Yes</x:t>
        </x:is>
      </x:c>
      <x:c r="T136" s="520" t="inlineStr">
        <x:is>
          <x:t xml:space="preserve">No</x:t>
        </x:is>
      </x:c>
      <x:c r="U136" s="520" t="inlineStr">
        <x:is>
          <x:t xml:space="preserve">Yes: 5 (legal supports)</x:t>
        </x:is>
      </x:c>
      <x:c r="V136" s="520" t="inlineStr">
        <x:is>
          <x:t xml:space="preserve">High</x:t>
        </x:is>
      </x:c>
      <x:c r="W136" s="520" t="inlineStr">
        <x:is>
          <x:t xml:space="preserve">Review — no exact prior-grantee match</x:t>
        </x:is>
      </x:c>
      <x:c r="X136" s="520" t="inlineStr">
        <x:is>
          <x:t xml:space="preserve">Review</x:t>
        </x:is>
      </x:c>
      <x:c r="Y136" s="520" t="inlineStr">
        <x:is>
          <x:t xml:space="preserve">Candidate 1 (helper — confirm from image)</x:t>
        </x:is>
      </x:c>
      <x:c r="Z136" s="520" t="inlineStr">
        <x:is>
          <x:t xml:space="preserve">Medium — helper value</x:t>
        </x:is>
      </x:c>
      <x:c r="AA136" s="520" t="inlineStr">
        <x:is>
          <x:t xml:space="preserve">Order and Final Decree — Beckham County Court, to Murrell A. Gray, 1/3, (986/185)</x:t>
        </x:is>
      </x:c>
      <x:c r="AB136" s="520" t="inlineStr">
        <x:is>
          <x:t xml:space="preserve">Needs source review: grantor source</x:t>
        </x:is>
      </x:c>
    </x:row>
    <x:row r="137" s="520" customFormat="1" ht="60" customHeight="1">
      <x:c r="A137" s="513" t="inlineStr">
        <x:is>
          <x:t xml:space="preserve">1988-005620</x:t>
        </x:is>
      </x:c>
      <x:c r="B137" s="513" t="n"/>
      <x:c r="C137" s="513" t="inlineStr">
        <x:is>
          <x:t xml:space="preserve">Mineral Deed</x:t>
        </x:is>
      </x:c>
      <x:c r="D137" s="513" t="inlineStr">
        <x:is>
          <x:t xml:space="preserve">998/204</x:t>
        </x:is>
      </x:c>
      <x:c r="E137" s="514" t="n">
        <x:v>32405</x:v>
      </x:c>
      <x:c r="F137" s="515" t="n">
        <x:v>32405</x:v>
      </x:c>
      <x:c r="G137" s="516" t="inlineStr">
        <x:is>
          <x:t xml:space="preserve">Cimarron Mineral Corporation</x:t>
        </x:is>
      </x:c>
      <x:c r="H137" s="516" t="inlineStr">
        <x:is>
          <x:t xml:space="preserve">Inter-American Corporation</x:t>
        </x:is>
      </x:c>
      <x:c r="I137" s="517" t="inlineStr">
        <x:is>
          <x:t xml:space="preserve">NE/4 SE/4, SE/4 NE/4, N/2 NE/4 SW/4, E/2 NW/4 of 31-12N-24W, aol</x:t>
        </x:is>
      </x:c>
      <x:c r="J137" s="112" t="inlineStr">
        <x:is>
          <x:t xml:space="preserve">ARTI, see 897/244</x:t>
        </x:is>
      </x:c>
      <x:c r="K137" s="518" t="e">
        <x:f>HYPERLINK("https://okcountyrecords.com/detail/roger+mills/1988-005620","OKCountyRecords: 1988-005620")</x:f>
      </x:c>
      <x:c r="L137" s="519" t="inlineStr">
        <x:is>
          <x:t xml:space="preserve">Mineral; basis Conv Amt(dec). Gross=tract-map basis.</x:t>
        </x:is>
      </x:c>
      <x:c r="M137" s="519" t="inlineStr">
        <x:is>
          <x:t xml:space="preserve">CURRENT OWNER SOURCE</x:t>
        </x:is>
      </x:c>
      <x:c r="N137" s="519" t="n"/>
      <x:c r="O137" s="519" t="inlineStr">
        <x:is>
          <x:t xml:space="preserve">OUTSIDE LANDS</x:t>
        </x:is>
      </x:c>
      <x:c r="P137" s="520" t="inlineStr">
        <x:is>
          <x:t xml:space="preserve">Chain — minerals</x:t>
        </x:is>
      </x:c>
      <x:c r="Q137" s="520" t="inlineStr">
        <x:is>
          <x:t xml:space="preserve">Yes</x:t>
        </x:is>
      </x:c>
      <x:c r="R137" s="520" t="inlineStr">
        <x:is>
          <x:t xml:space="preserve">No</x:t>
        </x:is>
      </x:c>
      <x:c r="S137" s="520" t="inlineStr">
        <x:is>
          <x:t xml:space="preserve">Yes</x:t>
        </x:is>
      </x:c>
      <x:c r="T137" s="520" t="inlineStr">
        <x:is>
          <x:t xml:space="preserve">No</x:t>
        </x:is>
      </x:c>
      <x:c r="U137" s="520" t="inlineStr">
        <x:is>
          <x:t xml:space="preserve">Legal maps to 1, 3, 4, 7, 10; helper says 1, 3, 4, 7, 8</x:t>
        </x:is>
      </x:c>
      <x:c r="V137" s="520" t="inlineStr">
        <x:is>
          <x:t xml:space="preserve">Review</x:t>
        </x:is>
      </x:c>
      <x:c r="W137" s="520" t="inlineStr">
        <x:is>
          <x:t xml:space="preserve">Review — no exact prior-grantee match</x:t>
        </x:is>
      </x:c>
      <x:c r="X137" s="520" t="inlineStr">
        <x:is>
          <x:t xml:space="preserve">Yes — on Tract 3 owner list</x:t>
        </x:is>
      </x:c>
      <x:c r="Y137" s="520" t="inlineStr">
        <x:is>
          <x:t xml:space="preserve">Candidate 1 (helper — confirm from image)</x:t>
        </x:is>
      </x:c>
      <x:c r="Z137" s="520" t="inlineStr">
        <x:is>
          <x:t xml:space="preserve">Medium — helper value</x:t>
        </x:is>
      </x:c>
      <x:c r="AA137" s="520" t="inlineStr">
        <x:is>
          <x:t xml:space="preserve">Mineral Deed — Cimarron Mineral Corporation to Inter-American Corporation (998/204)</x:t>
        </x:is>
      </x:c>
      <x:c r="AB137" s="520" t="inlineStr">
        <x:is>
          <x:t xml:space="preserve">Needs source review: tract, grantor source</x:t>
        </x:is>
      </x:c>
    </x:row>
    <x:row r="138" s="520" customFormat="1" ht="48" customHeight="1">
      <x:c r="A138" s="513" t="inlineStr">
        <x:is>
          <x:t xml:space="preserve">1988-006565</x:t>
        </x:is>
      </x:c>
      <x:c r="B138" s="513" t="n"/>
      <x:c r="C138" s="513" t="inlineStr">
        <x:is>
          <x:t xml:space="preserve">Mineral Deed</x:t>
        </x:is>
      </x:c>
      <x:c r="D138" s="513" t="inlineStr">
        <x:is>
          <x:t xml:space="preserve">1009/25</x:t>
        </x:is>
      </x:c>
      <x:c r="E138" s="514" t="n">
        <x:v>32449</x:v>
      </x:c>
      <x:c r="F138" s="515" t="n">
        <x:v>32449</x:v>
      </x:c>
      <x:c r="G138" s="516" t="inlineStr">
        <x:is>
          <x:t xml:space="preserve">Dow C. Bain</x:t>
        </x:is>
      </x:c>
      <x:c r="H138" s="516" t="inlineStr">
        <x:is>
          <x:t xml:space="preserve">Dow C. Bain, (and OR) Edris O. Bain, JTWROS</x:t>
        </x:is>
      </x:c>
      <x:c r="I138" s="517" t="inlineStr">
        <x:is>
          <x:t xml:space="preserve">SW/4 NE/4, NW/4 SE/4, S/2 SE/4 of 31-12N-24W, aol</x:t>
        </x:is>
      </x:c>
      <x:c r="J138" s="112" t="inlineStr">
        <x:is>
          <x:t xml:space="preserve">8.0862 acres.</x:t>
        </x:is>
      </x:c>
      <x:c r="K138" s="518" t="e">
        <x:f>HYPERLINK("https://okcountyrecords.com/detail/roger+mills/1988-006565","OKCountyRecords: 1988-006565")</x:f>
      </x:c>
      <x:c r="L138" s="519" t="inlineStr">
        <x:is>
          <x:t xml:space="preserve">Mineral; basis Conv Amt(dec). Gross=tract-map basis.</x:t>
        </x:is>
      </x:c>
      <x:c r="M138" s="519" t="inlineStr">
        <x:is>
          <x:t xml:space="preserve">REVIEW</x:t>
        </x:is>
      </x:c>
      <x:c r="N138" s="519" t="inlineStr">
        <x:is>
          <x:t xml:space="preserve">Conveys 8.0862 acres per notes; conv. dec = 8.0862/gross. Verify denominator/tract from image.</x:t>
        </x:is>
      </x:c>
      <x:c r="O138" s="519" t="inlineStr">
        <x:is>
          <x:t xml:space="preserve">OUTSIDE LANDS</x:t>
        </x:is>
      </x:c>
      <x:c r="P138" s="520" t="inlineStr">
        <x:is>
          <x:t xml:space="preserve">Chain — minerals</x:t>
        </x:is>
      </x:c>
      <x:c r="Q138" s="520" t="inlineStr">
        <x:is>
          <x:t xml:space="preserve">Yes</x:t>
        </x:is>
      </x:c>
      <x:c r="R138" s="520" t="inlineStr">
        <x:is>
          <x:t xml:space="preserve">No</x:t>
        </x:is>
      </x:c>
      <x:c r="S138" s="520" t="inlineStr">
        <x:is>
          <x:t xml:space="preserve">Yes</x:t>
        </x:is>
      </x:c>
      <x:c r="T138" s="520" t="inlineStr">
        <x:is>
          <x:t xml:space="preserve">No</x:t>
        </x:is>
      </x:c>
      <x:c r="U138" s="520" t="inlineStr">
        <x:is>
          <x:t xml:space="preserve">Yes: 2 (legal supports)</x:t>
        </x:is>
      </x:c>
      <x:c r="V138" s="520" t="inlineStr">
        <x:is>
          <x:t xml:space="preserve">High</x:t>
        </x:is>
      </x:c>
      <x:c r="W138" s="520" t="inlineStr">
        <x:is>
          <x:t xml:space="preserve">Yes — prior grantee match</x:t>
        </x:is>
      </x:c>
      <x:c r="X138" s="520" t="inlineStr">
        <x:is>
          <x:t xml:space="preserve">Yes — on Tract 2 owner list</x:t>
        </x:is>
      </x:c>
      <x:c r="Y138" s="520" t="inlineStr">
        <x:is>
          <x:t xml:space="preserve">Candidate 0.05053875 (helper — confirm from image)</x:t>
        </x:is>
      </x:c>
      <x:c r="Z138" s="520" t="inlineStr">
        <x:is>
          <x:t xml:space="preserve">Medium — helper value</x:t>
        </x:is>
      </x:c>
      <x:c r="AA138" s="520" t="inlineStr">
        <x:is>
          <x:t xml:space="preserve">Mineral Deed — Dow C. Bain to Dow C. Bain, (and OR) Edris O. (1009/25)</x:t>
        </x:is>
      </x:c>
    </x:row>
    <x:row r="139" s="520" customFormat="1" ht="60" customHeight="1">
      <x:c r="A139" s="513" t="inlineStr">
        <x:is>
          <x:t xml:space="preserve">1989-000424</x:t>
        </x:is>
      </x:c>
      <x:c r="B139" s="513" t="n"/>
      <x:c r="C139" s="513" t="inlineStr">
        <x:is>
          <x:t xml:space="preserve">Miscellaneous</x:t>
        </x:is>
      </x:c>
      <x:c r="D139" s="513" t="inlineStr">
        <x:is>
          <x:t xml:space="preserve">1030/176</x:t>
        </x:is>
      </x:c>
      <x:c r="E139" s="514" t="n">
        <x:v>32531</x:v>
      </x:c>
      <x:c r="F139" s="515" t="n">
        <x:v>32531</x:v>
      </x:c>
      <x:c r="G139" s="516" t="inlineStr">
        <x:is>
          <x:t xml:space="preserve">Bank of Western Oklahoma</x:t>
        </x:is>
      </x:c>
      <x:c r="H139" s="516" t="inlineStr">
        <x:is>
          <x:t xml:space="preserve">The Public</x:t>
        </x:is>
      </x:c>
      <x:c r="I139" s="517" t="inlineStr">
        <x:is>
          <x:t xml:space="preserve">31-12N-24W, aol</x:t>
        </x:is>
      </x:c>
      <x:c r="J139" s="112" t="inlineStr">
        <x:is>
          <x:t xml:space="preserve">See instrument</x:t>
        </x:is>
      </x:c>
      <x:c r="K139" s="518" t="e">
        <x:f>HYPERLINK("https://okcountyrecords.com/detail/roger+mills/1989-000424","OKCountyRecords: 1989-000424")</x:f>
      </x:c>
      <x:c r="L139" s="519" t="inlineStr">
        <x:is>
          <x:t xml:space="preserve">Other (non-mineral; excluded from mineral NMA). All-section coverage. Gross=tract-map basis.</x:t>
        </x:is>
      </x:c>
      <x:c r="M139" s="519" t="inlineStr">
        <x:is>
          <x:t xml:space="preserve">OK</x:t>
        </x:is>
      </x:c>
      <x:c r="N139" s="519" t="inlineStr">
        <x:is>
          <x:t xml:space="preserve">Non-conveying — notice/affidavit/address change (The Public).</x:t>
        </x:is>
      </x:c>
      <x:c r="O139" s="519" t="inlineStr">
        <x:is>
          <x:t xml:space="preserve">OUTSIDE LANDS</x:t>
        </x:is>
      </x:c>
      <x:c r="P139" s="520" t="inlineStr">
        <x:is>
          <x:t xml:space="preserve">Review — read instrument (type unclear)</x:t>
        </x:is>
      </x:c>
      <x:c r="Q139" s="520" t="inlineStr">
        <x:is>
          <x:t xml:space="preserve">Review</x:t>
        </x:is>
      </x:c>
      <x:c r="R139" s="520" t="inlineStr">
        <x:is>
          <x:t xml:space="preserve">Review</x:t>
        </x:is>
      </x:c>
      <x:c r="S139" s="520" t="inlineStr">
        <x:is>
          <x:t xml:space="preserve">Review</x:t>
        </x:is>
      </x:c>
      <x:c r="T139" s="520" t="inlineStr">
        <x:is>
          <x:t xml:space="preserve">Review</x:t>
        </x:is>
      </x:c>
      <x:c r="U139" s="520" t="inlineStr">
        <x:is>
          <x:t xml:space="preserve">Yes: 1, 8 (broad legal)</x:t>
        </x:is>
      </x:c>
      <x:c r="V139" s="520" t="inlineStr">
        <x:is>
          <x:t xml:space="preserve">Medium</x:t>
        </x:is>
      </x:c>
      <x:c r="W139" s="520" t="inlineStr">
        <x:is>
          <x:t xml:space="preserve">Review — no exact prior-grantee match</x:t>
        </x:is>
      </x:c>
      <x:c r="X139" s="520" t="inlineStr">
        <x:is>
          <x:t xml:space="preserve">Review</x:t>
        </x:is>
      </x:c>
      <x:c r="Y139" s="520" t="inlineStr">
        <x:is>
          <x:t xml:space="preserve">Interest amount needs review</x:t>
        </x:is>
      </x:c>
      <x:c r="Z139" s="520" t="inlineStr">
        <x:is>
          <x:t xml:space="preserve">Review</x:t>
        </x:is>
      </x:c>
      <x:c r="AA139" s="520" t="inlineStr">
        <x:is>
          <x:t xml:space="preserve">Miscellaneous — Bank of Western Oklahoma to The Public (1030/176)</x:t>
        </x:is>
      </x:c>
      <x:c r="AB139" s="520" t="inlineStr">
        <x:is>
          <x:t xml:space="preserve">Needs source review: grantor source, interest amount, instrument type</x:t>
        </x:is>
      </x:c>
    </x:row>
    <x:row r="140" s="520" customFormat="1" ht="60" customHeight="1">
      <x:c r="A140" s="513" t="inlineStr">
        <x:is>
          <x:t xml:space="preserve">1989-002065</x:t>
        </x:is>
      </x:c>
      <x:c r="B140" s="534" t="n"/>
      <x:c r="C140" s="513" t="inlineStr">
        <x:is>
          <x:t xml:space="preserve">Affidavit</x:t>
        </x:is>
      </x:c>
      <x:c r="D140" s="513" t="inlineStr">
        <x:is>
          <x:t xml:space="preserve">1047/68</x:t>
        </x:is>
      </x:c>
      <x:c r="E140" s="514" t="n">
        <x:v>32531</x:v>
      </x:c>
      <x:c r="F140" s="515" t="n">
        <x:v>32601</x:v>
      </x:c>
      <x:c r="G140" s="516" t="inlineStr">
        <x:is>
          <x:t xml:space="preserve">Black Hawk Holding Company,
Roland E. Sledge</x:t>
        </x:is>
      </x:c>
      <x:c r="H140" s="516" t="inlineStr">
        <x:is>
          <x:t xml:space="preserve">The Public</x:t>
        </x:is>
      </x:c>
      <x:c r="I140" s="517" t="inlineStr">
        <x:is>
          <x:t xml:space="preserve">All of 31-12N-24W, aol</x:t>
        </x:is>
      </x:c>
      <x:c r="J140" s="112" t="inlineStr">
        <x:is>
          <x:t xml:space="preserve">change of address</x:t>
        </x:is>
      </x:c>
      <x:c r="K140" s="518" t="e">
        <x:f>HYPERLINK("https://okcountyrecords.com/detail/roger+mills/1989-002065","OKCountyRecords: 1989-002065")</x:f>
      </x:c>
      <x:c r="L140" s="519" t="inlineStr">
        <x:is>
          <x:t xml:space="preserve">Other (non-mineral; excluded from mineral NMA). All-section coverage. Gross=tract-map basis.</x:t>
        </x:is>
      </x:c>
      <x:c r="M140" s="519" t="inlineStr">
        <x:is>
          <x:t xml:space="preserve">OK</x:t>
        </x:is>
      </x:c>
      <x:c r="N140" s="519" t="inlineStr">
        <x:is>
          <x:t xml:space="preserve">Non-conveying — notice/affidavit/address change (The Public).</x:t>
        </x:is>
      </x:c>
      <x:c r="O140" s="519" t="inlineStr">
        <x:is>
          <x:t xml:space="preserve">OUTSIDE LANDS</x:t>
        </x:is>
      </x:c>
      <x:c r="P140" s="520" t="inlineStr">
        <x:is>
          <x:t xml:space="preserve">Chain — title support (succession/entity/probate)</x:t>
        </x:is>
      </x:c>
      <x:c r="Q140" s="520" t="inlineStr">
        <x:is>
          <x:t xml:space="preserve">Yes</x:t>
        </x:is>
      </x:c>
      <x:c r="R140" s="520" t="inlineStr">
        <x:is>
          <x:t xml:space="preserve">No</x:t>
        </x:is>
      </x:c>
      <x:c r="S140" s="520" t="inlineStr">
        <x:is>
          <x:t xml:space="preserve">Yes</x:t>
        </x:is>
      </x:c>
      <x:c r="T140" s="520" t="inlineStr">
        <x:is>
          <x:t xml:space="preserve">No</x:t>
        </x:is>
      </x:c>
      <x:c r="U140" s="520" t="inlineStr">
        <x:is>
          <x:t xml:space="preserve">Yes: 1, 8 (broad legal)</x:t>
        </x:is>
      </x:c>
      <x:c r="V140" s="520" t="inlineStr">
        <x:is>
          <x:t xml:space="preserve">Medium</x:t>
        </x:is>
      </x:c>
      <x:c r="W140" s="520" t="inlineStr">
        <x:is>
          <x:t xml:space="preserve">Review — no exact prior-grantee match</x:t>
        </x:is>
      </x:c>
      <x:c r="X140" s="520" t="inlineStr">
        <x:is>
          <x:t xml:space="preserve">Review</x:t>
        </x:is>
      </x:c>
      <x:c r="Y140" s="520" t="inlineStr">
        <x:is>
          <x:t xml:space="preserve">Interest amount needs review</x:t>
        </x:is>
      </x:c>
      <x:c r="Z140" s="520" t="inlineStr">
        <x:is>
          <x:t xml:space="preserve">Review</x:t>
        </x:is>
      </x:c>
      <x:c r="AA140" s="520" t="inlineStr">
        <x:is>
          <x:t xml:space="preserve">Affidavit — Black Hawk Holding Company, to The Public (1047/68)</x:t>
        </x:is>
      </x:c>
      <x:c r="AB140" s="520" t="inlineStr">
        <x:is>
          <x:t xml:space="preserve">Needs source review: grantor source, interest amount</x:t>
        </x:is>
      </x:c>
    </x:row>
    <x:row r="141" s="520" customFormat="1" ht="48" customHeight="1">
      <x:c r="A141" s="513" t="inlineStr">
        <x:is>
          <x:t xml:space="preserve">1989-001220</x:t>
        </x:is>
      </x:c>
      <x:c r="B141" s="513" t="n"/>
      <x:c r="C141" s="513" t="inlineStr">
        <x:is>
          <x:t xml:space="preserve">Mineral Deed</x:t>
        </x:is>
      </x:c>
      <x:c r="D141" s="513" t="inlineStr">
        <x:is>
          <x:t xml:space="preserve">1038/219</x:t>
        </x:is>
      </x:c>
      <x:c r="E141" s="514" t="n">
        <x:v>32566</x:v>
      </x:c>
      <x:c r="F141" s="515" t="n">
        <x:v>32566</x:v>
      </x:c>
      <x:c r="G141" s="516" t="inlineStr">
        <x:is>
          <x:t xml:space="preserve">Alfred William Standiford</x:t>
        </x:is>
      </x:c>
      <x:c r="H141" s="516" t="inlineStr">
        <x:is>
          <x:t xml:space="preserve">Shaun S. Walters</x:t>
        </x:is>
      </x:c>
      <x:c r="I141" s="524" t="inlineStr">
        <x:is>
          <x:t xml:space="preserve">SE/4 SW/4 of 31-12N-24W, aol</x:t>
        </x:is>
      </x:c>
      <x:c r="J141" s="112" t="inlineStr">
        <x:is>
          <x:t xml:space="preserve">1/6 of 7/40 interest (0.9722 NMA)
from 1/3 of An undivided 7/48ths interest (5.8333 min. ac.) from 1126/234</x:t>
        </x:is>
      </x:c>
      <x:c r="K141" s="518" t="e">
        <x:f>HYPERLINK("https://okcountyrecords.com/detail/roger+mills/1989-001220","OKCountyRecords: 1989-001220")</x:f>
      </x:c>
      <x:c r="L141" s="519" t="inlineStr">
        <x:is>
          <x:t xml:space="preserve">Mineral; basis Conv Amt(dec). Gross=tract-map basis.</x:t>
        </x:is>
      </x:c>
      <x:c r="M141" s="519" t="inlineStr">
        <x:is>
          <x:t xml:space="preserve">CURRENT OWNER SOURCE</x:t>
        </x:is>
      </x:c>
      <x:c r="N141" s="519" t="inlineStr">
        <x:is>
          <x:t xml:space="preserve">Conveys 0.9722 NMA per notes; conv. dec = 0.9722/gross. Verify denominator/tract from image.</x:t>
        </x:is>
      </x:c>
      <x:c r="O141" s="519" t="inlineStr">
        <x:is>
          <x:t xml:space="preserve">OUTSIDE LANDS</x:t>
        </x:is>
      </x:c>
      <x:c r="P141" s="520" t="inlineStr">
        <x:is>
          <x:t xml:space="preserve">Chain — minerals</x:t>
        </x:is>
      </x:c>
      <x:c r="Q141" s="520" t="inlineStr">
        <x:is>
          <x:t xml:space="preserve">Yes</x:t>
        </x:is>
      </x:c>
      <x:c r="R141" s="520" t="inlineStr">
        <x:is>
          <x:t xml:space="preserve">No</x:t>
        </x:is>
      </x:c>
      <x:c r="S141" s="520" t="inlineStr">
        <x:is>
          <x:t xml:space="preserve">Yes</x:t>
        </x:is>
      </x:c>
      <x:c r="T141" s="520" t="inlineStr">
        <x:is>
          <x:t xml:space="preserve">No</x:t>
        </x:is>
      </x:c>
      <x:c r="U141" s="520" t="inlineStr">
        <x:is>
          <x:t xml:space="preserve">Yes: 5 (legal supports)</x:t>
        </x:is>
      </x:c>
      <x:c r="V141" s="520" t="inlineStr">
        <x:is>
          <x:t xml:space="preserve">High</x:t>
        </x:is>
      </x:c>
      <x:c r="W141" s="520" t="inlineStr">
        <x:is>
          <x:t xml:space="preserve">Review — no exact prior-grantee match</x:t>
        </x:is>
      </x:c>
      <x:c r="X141" s="520" t="inlineStr">
        <x:is>
          <x:t xml:space="preserve">Yes — on Tract 5 owner list</x:t>
        </x:is>
      </x:c>
      <x:c r="Y141" s="520" t="inlineStr">
        <x:is>
          <x:t xml:space="preserve">Candidate 0.00810166666666667 (helper — confirm from image)</x:t>
        </x:is>
      </x:c>
      <x:c r="Z141" s="520" t="inlineStr">
        <x:is>
          <x:t xml:space="preserve">Medium — helper value</x:t>
        </x:is>
      </x:c>
      <x:c r="AA141" s="520" t="inlineStr">
        <x:is>
          <x:t xml:space="preserve">Mineral Deed — Alfred William Standiford to Shaun S. Walters (1038/219)</x:t>
        </x:is>
      </x:c>
      <x:c r="AB141" s="520" t="inlineStr">
        <x:is>
          <x:t xml:space="preserve">Needs source review: grantor source</x:t>
        </x:is>
      </x:c>
    </x:row>
    <x:row r="142" s="520" customFormat="1" ht="72" customHeight="1">
      <x:c r="A142" s="513" t="inlineStr">
        <x:is>
          <x:t xml:space="preserve">1989-001559</x:t>
        </x:is>
      </x:c>
      <x:c r="B142" s="513" t="n"/>
      <x:c r="C142" s="513" t="inlineStr">
        <x:is>
          <x:t xml:space="preserve">Final Decree</x:t>
        </x:is>
      </x:c>
      <x:c r="D142" s="513" t="inlineStr">
        <x:is>
          <x:t xml:space="preserve">1042/126</x:t>
        </x:is>
      </x:c>
      <x:c r="E142" s="514" t="n">
        <x:v>32579</x:v>
      </x:c>
      <x:c r="F142" s="515" t="n">
        <x:v>32579</x:v>
      </x:c>
      <x:c r="G142" s="516" t="inlineStr">
        <x:is>
          <x:t xml:space="preserve">Beckham County Court,
RE: In the Matter of the Estate of Murrell A. Gray, Deceased</x:t>
        </x:is>
      </x:c>
      <x:c r="H142" s="516" t="inlineStr">
        <x:is>
          <x:t xml:space="preserve">Allen Gray,
The Public</x:t>
        </x:is>
      </x:c>
      <x:c r="I142" s="517" t="inlineStr">
        <x:is>
          <x:t xml:space="preserve">SE/4 SW/4 of 31-12N-24W, aol</x:t>
        </x:is>
      </x:c>
      <x:c r="J142" s="112" t="inlineStr">
        <x:is>
          <x:t xml:space="preserve">ARTI, An undivided 7/48ths interest
(5.8333 min. ac.)</x:t>
        </x:is>
      </x:c>
      <x:c r="K142" s="518" t="e">
        <x:f>HYPERLINK("https://okcountyrecords.com/detail/roger+mills/1989-001559","OKCountyRecords: 1989-001559")</x:f>
      </x:c>
      <x:c r="L142" s="519" t="inlineStr">
        <x:is>
          <x:t xml:space="preserve">Mineral; basis Conv Amt(dec). grantor indexed as 'The Public' — confirm source instrument. Gross=tract-map basis.</x:t>
        </x:is>
      </x:c>
      <x:c r="M142" s="519" t="inlineStr">
        <x:is>
          <x:t xml:space="preserve">REVIEW</x:t>
        </x:is>
      </x:c>
      <x:c r="N142" s="519" t="inlineStr">
        <x:is>
          <x:t xml:space="preserve">Confirm conveyed mineral acreage from instrument image — named party indexed under 'The Public' (affidavit/notice); identity resolved.</x:t>
        </x:is>
      </x:c>
      <x:c r="O142" s="519" t="inlineStr">
        <x:is>
          <x:t xml:space="preserve">OUTSIDE LANDS</x:t>
        </x:is>
      </x:c>
      <x:c r="P142" s="520" t="inlineStr">
        <x:is>
          <x:t xml:space="preserve">Chain — title support (succession/entity/probate)</x:t>
        </x:is>
      </x:c>
      <x:c r="Q142" s="520" t="inlineStr">
        <x:is>
          <x:t xml:space="preserve">Yes</x:t>
        </x:is>
      </x:c>
      <x:c r="R142" s="520" t="inlineStr">
        <x:is>
          <x:t xml:space="preserve">No</x:t>
        </x:is>
      </x:c>
      <x:c r="S142" s="520" t="inlineStr">
        <x:is>
          <x:t xml:space="preserve">Yes</x:t>
        </x:is>
      </x:c>
      <x:c r="T142" s="520" t="inlineStr">
        <x:is>
          <x:t xml:space="preserve">No</x:t>
        </x:is>
      </x:c>
      <x:c r="U142" s="520" t="inlineStr">
        <x:is>
          <x:t xml:space="preserve">Yes: 5 (legal supports)</x:t>
        </x:is>
      </x:c>
      <x:c r="V142" s="520" t="inlineStr">
        <x:is>
          <x:t xml:space="preserve">High</x:t>
        </x:is>
      </x:c>
      <x:c r="W142" s="520" t="inlineStr">
        <x:is>
          <x:t xml:space="preserve">Review — no exact prior-grantee match</x:t>
        </x:is>
      </x:c>
      <x:c r="X142" s="520" t="inlineStr">
        <x:is>
          <x:t xml:space="preserve">Yes — on Tract 5 owner list</x:t>
        </x:is>
      </x:c>
      <x:c r="Y142" s="520" t="inlineStr">
        <x:is>
          <x:t xml:space="preserve">Candidate 1 (helper — confirm from image)</x:t>
        </x:is>
      </x:c>
      <x:c r="Z142" s="520" t="inlineStr">
        <x:is>
          <x:t xml:space="preserve">Medium — helper value</x:t>
        </x:is>
      </x:c>
      <x:c r="AA142" s="520" t="inlineStr">
        <x:is>
          <x:t xml:space="preserve">Final Decree — Beckham County Court, to Allen Gray, (1042/126)</x:t>
        </x:is>
      </x:c>
      <x:c r="AB142" s="520" t="inlineStr">
        <x:is>
          <x:t xml:space="preserve">Needs source review: grantor source</x:t>
        </x:is>
      </x:c>
    </x:row>
    <x:row r="143" s="520" customFormat="1" ht="48" customHeight="1">
      <x:c r="A143" s="513" t="inlineStr">
        <x:is>
          <x:t xml:space="preserve">1989-002320</x:t>
        </x:is>
      </x:c>
      <x:c r="B143" s="513" t="n"/>
      <x:c r="C143" s="513" t="inlineStr">
        <x:is>
          <x:t xml:space="preserve">Mineral Deed</x:t>
        </x:is>
      </x:c>
      <x:c r="D143" s="513" t="inlineStr">
        <x:is>
          <x:t xml:space="preserve">1049/289</x:t>
        </x:is>
      </x:c>
      <x:c r="E143" s="514" t="n">
        <x:v>32612</x:v>
      </x:c>
      <x:c r="F143" s="515" t="n">
        <x:v>32612</x:v>
      </x:c>
      <x:c r="G143" s="516" t="inlineStr">
        <x:is>
          <x:t xml:space="preserve">Clarence C. Bain</x:t>
        </x:is>
      </x:c>
      <x:c r="H143" s="516" t="inlineStr">
        <x:is>
          <x:t xml:space="preserve">William Clifton Bain</x:t>
        </x:is>
      </x:c>
      <x:c r="I143" s="517" t="inlineStr">
        <x:is>
          <x:t xml:space="preserve">S/2 SE/4, NW/4 SE/4, SW/4 NE/4 of 31-12N-24W, aol</x:t>
        </x:is>
      </x:c>
      <x:c r="J143" s="112" t="inlineStr">
        <x:is>
          <x:t xml:space="preserve">3/791.47 interest in 2 sections</x:t>
        </x:is>
      </x:c>
      <x:c r="K143" s="518" t="e">
        <x:f>HYPERLINK("https://okcountyrecords.com/detail/roger+mills/1989-002320","OKCountyRecords: 1989-002320")</x:f>
      </x:c>
      <x:c r="L143" s="519" t="inlineStr">
        <x:is>
          <x:t xml:space="preserve">Mineral; basis Conv Amt(dec). Gross=tract-map basis.</x:t>
        </x:is>
      </x:c>
      <x:c r="M143" s="519" t="inlineStr">
        <x:is>
          <x:t xml:space="preserve">CURRENT OWNER SOURCE</x:t>
        </x:is>
      </x:c>
      <x:c r="N143" s="519" t="n"/>
      <x:c r="O143" s="519" t="inlineStr">
        <x:is>
          <x:t xml:space="preserve">OUTSIDE LANDS</x:t>
        </x:is>
      </x:c>
      <x:c r="P143" s="520" t="inlineStr">
        <x:is>
          <x:t xml:space="preserve">Chain — minerals</x:t>
        </x:is>
      </x:c>
      <x:c r="Q143" s="520" t="inlineStr">
        <x:is>
          <x:t xml:space="preserve">Yes</x:t>
        </x:is>
      </x:c>
      <x:c r="R143" s="520" t="inlineStr">
        <x:is>
          <x:t xml:space="preserve">No</x:t>
        </x:is>
      </x:c>
      <x:c r="S143" s="520" t="inlineStr">
        <x:is>
          <x:t xml:space="preserve">Yes</x:t>
        </x:is>
      </x:c>
      <x:c r="T143" s="520" t="inlineStr">
        <x:is>
          <x:t xml:space="preserve">No</x:t>
        </x:is>
      </x:c>
      <x:c r="U143" s="520" t="inlineStr">
        <x:is>
          <x:t xml:space="preserve">Yes: 2 (legal supports)</x:t>
        </x:is>
      </x:c>
      <x:c r="V143" s="520" t="inlineStr">
        <x:is>
          <x:t xml:space="preserve">High</x:t>
        </x:is>
      </x:c>
      <x:c r="W143" s="520" t="inlineStr">
        <x:is>
          <x:t xml:space="preserve">Yes — prior grantee match</x:t>
        </x:is>
      </x:c>
      <x:c r="X143" s="520" t="inlineStr">
        <x:is>
          <x:t xml:space="preserve">Yes — on Tract 2 owner list</x:t>
        </x:is>
      </x:c>
      <x:c r="Y143" s="520" t="inlineStr">
        <x:is>
          <x:t xml:space="preserve">Candidate 0.00379041530317005 (helper — confirm from image)</x:t>
        </x:is>
      </x:c>
      <x:c r="Z143" s="520" t="inlineStr">
        <x:is>
          <x:t xml:space="preserve">Medium — helper value</x:t>
        </x:is>
      </x:c>
      <x:c r="AA143" s="520" t="inlineStr">
        <x:is>
          <x:t xml:space="preserve">Mineral Deed — Clarence C. Bain to William Clifton Bain (1049/289)</x:t>
        </x:is>
      </x:c>
    </x:row>
    <x:row r="144" s="520" customFormat="1" ht="48" customHeight="1">
      <x:c r="A144" s="513" t="inlineStr">
        <x:is>
          <x:t xml:space="preserve">1989-002321</x:t>
        </x:is>
      </x:c>
      <x:c r="B144" s="513" t="n"/>
      <x:c r="C144" s="513" t="inlineStr">
        <x:is>
          <x:t xml:space="preserve">Mineral Deed</x:t>
        </x:is>
      </x:c>
      <x:c r="D144" s="513" t="inlineStr">
        <x:is>
          <x:t xml:space="preserve">1049/291</x:t>
        </x:is>
      </x:c>
      <x:c r="E144" s="514" t="n">
        <x:v>32612</x:v>
      </x:c>
      <x:c r="F144" s="515" t="n">
        <x:v>32612</x:v>
      </x:c>
      <x:c r="G144" s="516" t="inlineStr">
        <x:is>
          <x:t xml:space="preserve">Clarence C. Bain</x:t>
        </x:is>
      </x:c>
      <x:c r="H144" s="516" t="inlineStr">
        <x:is>
          <x:t xml:space="preserve">Paul Milton Bain</x:t>
        </x:is>
      </x:c>
      <x:c r="I144" s="517" t="inlineStr">
        <x:is>
          <x:t xml:space="preserve">S/2 SE/4, NW/4 SE/4, SW/4 NE/4 of 31-12N-24W, aol</x:t>
        </x:is>
      </x:c>
      <x:c r="J144" s="112" t="inlineStr">
        <x:is>
          <x:t xml:space="preserve">3/791.47 interest in 2 sections</x:t>
        </x:is>
      </x:c>
      <x:c r="K144" s="518" t="e">
        <x:f>HYPERLINK("https://okcountyrecords.com/detail/roger+mills/1989-002321","OKCountyRecords: 1989-002321")</x:f>
      </x:c>
      <x:c r="L144" s="519" t="inlineStr">
        <x:is>
          <x:t xml:space="preserve">Mineral; basis Conv Amt(dec). Gross=tract-map basis.</x:t>
        </x:is>
      </x:c>
      <x:c r="M144" s="519" t="inlineStr">
        <x:is>
          <x:t xml:space="preserve">CURRENT OWNER SOURCE</x:t>
        </x:is>
      </x:c>
      <x:c r="N144" s="519" t="n"/>
      <x:c r="O144" s="519" t="inlineStr">
        <x:is>
          <x:t xml:space="preserve">OUTSIDE LANDS</x:t>
        </x:is>
      </x:c>
      <x:c r="P144" s="520" t="inlineStr">
        <x:is>
          <x:t xml:space="preserve">Chain — minerals</x:t>
        </x:is>
      </x:c>
      <x:c r="Q144" s="520" t="inlineStr">
        <x:is>
          <x:t xml:space="preserve">Yes</x:t>
        </x:is>
      </x:c>
      <x:c r="R144" s="520" t="inlineStr">
        <x:is>
          <x:t xml:space="preserve">No</x:t>
        </x:is>
      </x:c>
      <x:c r="S144" s="520" t="inlineStr">
        <x:is>
          <x:t xml:space="preserve">Yes</x:t>
        </x:is>
      </x:c>
      <x:c r="T144" s="520" t="inlineStr">
        <x:is>
          <x:t xml:space="preserve">No</x:t>
        </x:is>
      </x:c>
      <x:c r="U144" s="520" t="inlineStr">
        <x:is>
          <x:t xml:space="preserve">Yes: 2 (legal supports)</x:t>
        </x:is>
      </x:c>
      <x:c r="V144" s="520" t="inlineStr">
        <x:is>
          <x:t xml:space="preserve">High</x:t>
        </x:is>
      </x:c>
      <x:c r="W144" s="520" t="inlineStr">
        <x:is>
          <x:t xml:space="preserve">Yes — prior grantee match</x:t>
        </x:is>
      </x:c>
      <x:c r="X144" s="520" t="inlineStr">
        <x:is>
          <x:t xml:space="preserve">Yes — on Tract 2 owner list</x:t>
        </x:is>
      </x:c>
      <x:c r="Y144" s="520" t="inlineStr">
        <x:is>
          <x:t xml:space="preserve">Candidate 0.00379041530317005 (helper — confirm from image)</x:t>
        </x:is>
      </x:c>
      <x:c r="Z144" s="520" t="inlineStr">
        <x:is>
          <x:t xml:space="preserve">Medium — helper value</x:t>
        </x:is>
      </x:c>
      <x:c r="AA144" s="520" t="inlineStr">
        <x:is>
          <x:t xml:space="preserve">Mineral Deed — Clarence C. Bain to Paul Milton Bain (1049/291)</x:t>
        </x:is>
      </x:c>
    </x:row>
    <x:row r="145" s="520" customFormat="1" ht="48" customHeight="1">
      <x:c r="A145" s="513" t="inlineStr">
        <x:is>
          <x:t xml:space="preserve">1989-002322</x:t>
        </x:is>
      </x:c>
      <x:c r="B145" s="513" t="n"/>
      <x:c r="C145" s="513" t="inlineStr">
        <x:is>
          <x:t xml:space="preserve">Mineral Deed</x:t>
        </x:is>
      </x:c>
      <x:c r="D145" s="513" t="inlineStr">
        <x:is>
          <x:t xml:space="preserve">1049/293</x:t>
        </x:is>
      </x:c>
      <x:c r="E145" s="514" t="n">
        <x:v>32612</x:v>
      </x:c>
      <x:c r="F145" s="515" t="n">
        <x:v>32612</x:v>
      </x:c>
      <x:c r="G145" s="516" t="inlineStr">
        <x:is>
          <x:t xml:space="preserve">Clarence C. Bain</x:t>
        </x:is>
      </x:c>
      <x:c r="H145" s="516" t="inlineStr">
        <x:is>
          <x:t xml:space="preserve">Michael Lee Bain</x:t>
        </x:is>
      </x:c>
      <x:c r="I145" s="517" t="inlineStr">
        <x:is>
          <x:t xml:space="preserve">S/2 SE/4, NW/4 SE/4, SW/4 NE/4 of 31-12N-24W, aol</x:t>
        </x:is>
      </x:c>
      <x:c r="J145" s="112" t="inlineStr">
        <x:is>
          <x:t xml:space="preserve">3/791.47 interest in 2 sections</x:t>
        </x:is>
      </x:c>
      <x:c r="K145" s="518" t="e">
        <x:f>HYPERLINK("https://okcountyrecords.com/detail/roger+mills/1989-002322","OKCountyRecords: 1989-002322")</x:f>
      </x:c>
      <x:c r="L145" s="519" t="inlineStr">
        <x:is>
          <x:t xml:space="preserve">Mineral; basis Conv Amt(dec). Gross=tract-map basis.</x:t>
        </x:is>
      </x:c>
      <x:c r="M145" s="519" t="inlineStr">
        <x:is>
          <x:t xml:space="preserve">CURRENT OWNER SOURCE</x:t>
        </x:is>
      </x:c>
      <x:c r="N145" s="519" t="n"/>
      <x:c r="O145" s="519" t="inlineStr">
        <x:is>
          <x:t xml:space="preserve">OUTSIDE LANDS</x:t>
        </x:is>
      </x:c>
      <x:c r="P145" s="520" t="inlineStr">
        <x:is>
          <x:t xml:space="preserve">Chain — minerals</x:t>
        </x:is>
      </x:c>
      <x:c r="Q145" s="520" t="inlineStr">
        <x:is>
          <x:t xml:space="preserve">Yes</x:t>
        </x:is>
      </x:c>
      <x:c r="R145" s="520" t="inlineStr">
        <x:is>
          <x:t xml:space="preserve">No</x:t>
        </x:is>
      </x:c>
      <x:c r="S145" s="520" t="inlineStr">
        <x:is>
          <x:t xml:space="preserve">Yes</x:t>
        </x:is>
      </x:c>
      <x:c r="T145" s="520" t="inlineStr">
        <x:is>
          <x:t xml:space="preserve">No</x:t>
        </x:is>
      </x:c>
      <x:c r="U145" s="520" t="inlineStr">
        <x:is>
          <x:t xml:space="preserve">Yes: 2 (legal supports)</x:t>
        </x:is>
      </x:c>
      <x:c r="V145" s="520" t="inlineStr">
        <x:is>
          <x:t xml:space="preserve">High</x:t>
        </x:is>
      </x:c>
      <x:c r="W145" s="520" t="inlineStr">
        <x:is>
          <x:t xml:space="preserve">Yes — prior grantee match</x:t>
        </x:is>
      </x:c>
      <x:c r="X145" s="520" t="inlineStr">
        <x:is>
          <x:t xml:space="preserve">Yes — on Tract 2 owner list</x:t>
        </x:is>
      </x:c>
      <x:c r="Y145" s="520" t="inlineStr">
        <x:is>
          <x:t xml:space="preserve">Candidate 0.00379041530317005 (helper — confirm from image)</x:t>
        </x:is>
      </x:c>
      <x:c r="Z145" s="520" t="inlineStr">
        <x:is>
          <x:t xml:space="preserve">Medium — helper value</x:t>
        </x:is>
      </x:c>
      <x:c r="AA145" s="520" t="inlineStr">
        <x:is>
          <x:t xml:space="preserve">Mineral Deed — Clarence C. Bain to Michael Lee Bain (1049/293)</x:t>
        </x:is>
      </x:c>
    </x:row>
    <x:row r="146" s="520" customFormat="1" ht="48" customHeight="1">
      <x:c r="A146" s="535" t="inlineStr">
        <x:is>
          <x:t xml:space="preserve">1989-002323</x:t>
        </x:is>
      </x:c>
      <x:c r="B146" s="535" t="n"/>
      <x:c r="C146" s="535" t="inlineStr">
        <x:is>
          <x:t xml:space="preserve">Mineral Deed</x:t>
        </x:is>
      </x:c>
      <x:c r="D146" s="513" t="inlineStr">
        <x:is>
          <x:t xml:space="preserve">1049/295</x:t>
        </x:is>
      </x:c>
      <x:c r="E146" s="514" t="n">
        <x:v>32612</x:v>
      </x:c>
      <x:c r="F146" s="515" t="n">
        <x:v>32612</x:v>
      </x:c>
      <x:c r="G146" s="516" t="inlineStr">
        <x:is>
          <x:t xml:space="preserve">Clarence C. Bain</x:t>
        </x:is>
      </x:c>
      <x:c r="H146" s="516" t="inlineStr">
        <x:is>
          <x:t xml:space="preserve">Ronald Dean Bain</x:t>
        </x:is>
      </x:c>
      <x:c r="I146" s="517" t="inlineStr">
        <x:is>
          <x:t xml:space="preserve">S/2 SE/4, NW/4 SE/4, SW/4 NE/4 of 31-12N-24W, aol</x:t>
        </x:is>
      </x:c>
      <x:c r="J146" s="112" t="inlineStr">
        <x:is>
          <x:t xml:space="preserve">3/791.47 interest in 2 sections</x:t>
        </x:is>
      </x:c>
      <x:c r="K146" s="518" t="e">
        <x:f>HYPERLINK("https://okcountyrecords.com/detail/roger+mills/1989-002323","OKCountyRecords: 1989-002323")</x:f>
      </x:c>
      <x:c r="L146" s="519" t="inlineStr">
        <x:is>
          <x:t xml:space="preserve">Mineral; basis Conv Amt(dec). Gross=tract-map basis.</x:t>
        </x:is>
      </x:c>
      <x:c r="M146" s="519" t="n"/>
      <x:c r="N146" s="519" t="n"/>
      <x:c r="O146" s="519" t="inlineStr">
        <x:is>
          <x:t xml:space="preserve">OUTSIDE LANDS</x:t>
        </x:is>
      </x:c>
      <x:c r="P146" s="520" t="inlineStr">
        <x:is>
          <x:t xml:space="preserve">Chain — minerals</x:t>
        </x:is>
      </x:c>
      <x:c r="Q146" s="520" t="inlineStr">
        <x:is>
          <x:t xml:space="preserve">Yes</x:t>
        </x:is>
      </x:c>
      <x:c r="R146" s="520" t="inlineStr">
        <x:is>
          <x:t xml:space="preserve">No</x:t>
        </x:is>
      </x:c>
      <x:c r="S146" s="520" t="inlineStr">
        <x:is>
          <x:t xml:space="preserve">Yes</x:t>
        </x:is>
      </x:c>
      <x:c r="T146" s="520" t="inlineStr">
        <x:is>
          <x:t xml:space="preserve">No</x:t>
        </x:is>
      </x:c>
      <x:c r="U146" s="520" t="inlineStr">
        <x:is>
          <x:t xml:space="preserve">Yes: 2 (legal supports)</x:t>
        </x:is>
      </x:c>
      <x:c r="V146" s="520" t="inlineStr">
        <x:is>
          <x:t xml:space="preserve">High</x:t>
        </x:is>
      </x:c>
      <x:c r="W146" s="520" t="inlineStr">
        <x:is>
          <x:t xml:space="preserve">Yes — prior grantee match</x:t>
        </x:is>
      </x:c>
      <x:c r="X146" s="520" t="inlineStr">
        <x:is>
          <x:t xml:space="preserve">Yes — on Tract 2 owner list</x:t>
        </x:is>
      </x:c>
      <x:c r="Y146" s="520" t="inlineStr">
        <x:is>
          <x:t xml:space="preserve">Candidate 0.00379041530317005 (helper — confirm from image)</x:t>
        </x:is>
      </x:c>
      <x:c r="Z146" s="520" t="inlineStr">
        <x:is>
          <x:t xml:space="preserve">Medium — helper value</x:t>
        </x:is>
      </x:c>
      <x:c r="AA146" s="520" t="inlineStr">
        <x:is>
          <x:t xml:space="preserve">Mineral Deed — Clarence C. Bain to Ronald Dean Bain (1049/295)</x:t>
        </x:is>
      </x:c>
    </x:row>
    <x:row r="147" s="520" customFormat="1" ht="48" customHeight="1">
      <x:c r="A147" s="519" t="inlineStr">
        <x:is>
          <x:t xml:space="preserve">1989-004248</x:t>
        </x:is>
      </x:c>
      <x:c r="B147" s="536" t="n"/>
      <x:c r="C147" s="536" t="inlineStr">
        <x:is>
          <x:t xml:space="preserve">Mineral Deed</x:t>
        </x:is>
      </x:c>
      <x:c r="D147" s="536" t="inlineStr">
        <x:is>
          <x:t xml:space="preserve">1070/182</x:t>
        </x:is>
      </x:c>
      <x:c r="E147" s="537" t="n">
        <x:v>32706</x:v>
      </x:c>
      <x:c r="F147" s="537" t="n">
        <x:v>32706</x:v>
      </x:c>
      <x:c r="G147" s="538" t="inlineStr">
        <x:is>
          <x:t xml:space="preserve">William Cobal Bain, Jr. and Billy Wayne Bain, Trustees of the Willaim C. Bain Trust</x:t>
        </x:is>
      </x:c>
      <x:c r="H147" s="538" t="inlineStr">
        <x:is>
          <x:t xml:space="preserve">Billy Wayne Bain</x:t>
        </x:is>
      </x:c>
      <x:c r="I147" s="538" t="inlineStr">
        <x:is>
          <x:t xml:space="preserve">SW/4 NE/4, NW/4 SE/4, S/2 SE/4 of 31-12N-24W, aol</x:t>
        </x:is>
      </x:c>
      <x:c r="J147" s="538" t="inlineStr">
        <x:is>
          <x:t xml:space="preserve">An undivided 43.496666/791.47th interest in and to the oil, gas and other minerals</x:t>
        </x:is>
      </x:c>
      <x:c r="K147" s="518" t="e">
        <x:f>HYPERLINK("https://okcountyrecords.com/detail/roger+mills/1989-004248","OKCountyRecords: 1989-004248")</x:f>
      </x:c>
      <x:c r="L147" s="519" t="inlineStr">
        <x:is>
          <x:t xml:space="preserve">Mineral; basis Conv Amt(dec). Gross=tract-map basis.</x:t>
        </x:is>
      </x:c>
      <x:c r="M147" s="519" t="inlineStr">
        <x:is>
          <x:t xml:space="preserve">CURRENT OWNER SOURCE</x:t>
        </x:is>
      </x:c>
      <x:c r="N147" s="519" t="n"/>
      <x:c r="O147" s="519" t="inlineStr">
        <x:is>
          <x:t xml:space="preserve">OUTSIDE LANDS</x:t>
        </x:is>
      </x:c>
      <x:c r="P147" s="520" t="inlineStr">
        <x:is>
          <x:t xml:space="preserve">Chain — minerals</x:t>
        </x:is>
      </x:c>
      <x:c r="Q147" s="520" t="inlineStr">
        <x:is>
          <x:t xml:space="preserve">Yes</x:t>
        </x:is>
      </x:c>
      <x:c r="R147" s="520" t="inlineStr">
        <x:is>
          <x:t xml:space="preserve">No</x:t>
        </x:is>
      </x:c>
      <x:c r="S147" s="520" t="inlineStr">
        <x:is>
          <x:t xml:space="preserve">Yes</x:t>
        </x:is>
      </x:c>
      <x:c r="T147" s="520" t="inlineStr">
        <x:is>
          <x:t xml:space="preserve">No</x:t>
        </x:is>
      </x:c>
      <x:c r="U147" s="520" t="inlineStr">
        <x:is>
          <x:t xml:space="preserve">Yes: 2 (legal supports)</x:t>
        </x:is>
      </x:c>
      <x:c r="V147" s="520" t="inlineStr">
        <x:is>
          <x:t xml:space="preserve">High</x:t>
        </x:is>
      </x:c>
      <x:c r="W147" s="520" t="inlineStr">
        <x:is>
          <x:t xml:space="preserve">Probable — name-normalized match to Runsheet 70 grantee; confirm</x:t>
        </x:is>
      </x:c>
      <x:c r="X147" s="520" t="inlineStr">
        <x:is>
          <x:t xml:space="preserve">Review</x:t>
        </x:is>
      </x:c>
      <x:c r="Y147" s="520" t="inlineStr">
        <x:is>
          <x:t xml:space="preserve">Candidate 0.0549568094810921 (helper — confirm from image)</x:t>
        </x:is>
      </x:c>
      <x:c r="Z147" s="520" t="inlineStr">
        <x:is>
          <x:t xml:space="preserve">Medium — helper value</x:t>
        </x:is>
      </x:c>
      <x:c r="AA147" s="520" t="inlineStr">
        <x:is>
          <x:t xml:space="preserve">Mineral Deed — William Cobal Bain, Jr. and Bi to Billy Wayne Bain (1070/182)</x:t>
        </x:is>
      </x:c>
      <x:c r="AB147" s="520" t="inlineStr">
        <x:is>
          <x:t xml:space="preserve">Needs source review: grantor source</x:t>
        </x:is>
      </x:c>
    </x:row>
    <x:row r="148" s="520" customFormat="1" ht="48" customHeight="1">
      <x:c r="A148" s="519" t="inlineStr">
        <x:is>
          <x:t xml:space="preserve">1989-004249</x:t>
        </x:is>
      </x:c>
      <x:c r="B148" s="536" t="n"/>
      <x:c r="C148" s="536" t="inlineStr">
        <x:is>
          <x:t xml:space="preserve">Mineral Deed</x:t>
        </x:is>
      </x:c>
      <x:c r="D148" s="536" t="inlineStr">
        <x:is>
          <x:t xml:space="preserve">1070/185</x:t>
        </x:is>
      </x:c>
      <x:c r="E148" s="537" t="n">
        <x:v>32706</x:v>
      </x:c>
      <x:c r="F148" s="537" t="n">
        <x:v>32706</x:v>
      </x:c>
      <x:c r="G148" s="538" t="inlineStr">
        <x:is>
          <x:t xml:space="preserve">William Cobal Bain, Jr. and Billy Wayne Bain, Trustees of the Willaim C. Bain Trust</x:t>
        </x:is>
      </x:c>
      <x:c r="H148" s="538" t="inlineStr">
        <x:is>
          <x:t xml:space="preserve">Clarence Bain</x:t>
        </x:is>
      </x:c>
      <x:c r="I148" s="538" t="inlineStr">
        <x:is>
          <x:t xml:space="preserve">SW/4 NE/4, NW/4 SE/4, S/2 SE/4 of 31-12N-24W, aol</x:t>
        </x:is>
      </x:c>
      <x:c r="J148" s="538" t="inlineStr">
        <x:is>
          <x:t xml:space="preserve">An undivided 43.496666/791.47th interest in and to the oil, gas and other minerals</x:t>
        </x:is>
      </x:c>
      <x:c r="K148" s="518" t="e">
        <x:f>HYPERLINK("https://okcountyrecords.com/detail/roger+mills/1989-004249","OKCountyRecords: 1989-004249")</x:f>
      </x:c>
      <x:c r="L148" s="519" t="inlineStr">
        <x:is>
          <x:t xml:space="preserve">Mineral; basis Conv Amt(dec). Gross=tract-map basis.</x:t>
        </x:is>
      </x:c>
      <x:c r="M148" s="519" t="n"/>
      <x:c r="N148" s="519" t="n"/>
      <x:c r="O148" s="519" t="inlineStr">
        <x:is>
          <x:t xml:space="preserve">OUTSIDE LANDS</x:t>
        </x:is>
      </x:c>
      <x:c r="P148" s="520" t="inlineStr">
        <x:is>
          <x:t xml:space="preserve">Chain — minerals</x:t>
        </x:is>
      </x:c>
      <x:c r="Q148" s="520" t="inlineStr">
        <x:is>
          <x:t xml:space="preserve">Yes</x:t>
        </x:is>
      </x:c>
      <x:c r="R148" s="520" t="inlineStr">
        <x:is>
          <x:t xml:space="preserve">No</x:t>
        </x:is>
      </x:c>
      <x:c r="S148" s="520" t="inlineStr">
        <x:is>
          <x:t xml:space="preserve">Yes</x:t>
        </x:is>
      </x:c>
      <x:c r="T148" s="520" t="inlineStr">
        <x:is>
          <x:t xml:space="preserve">No</x:t>
        </x:is>
      </x:c>
      <x:c r="U148" s="520" t="inlineStr">
        <x:is>
          <x:t xml:space="preserve">Yes: 2 (legal supports)</x:t>
        </x:is>
      </x:c>
      <x:c r="V148" s="520" t="inlineStr">
        <x:is>
          <x:t xml:space="preserve">High</x:t>
        </x:is>
      </x:c>
      <x:c r="W148" s="520" t="inlineStr">
        <x:is>
          <x:t xml:space="preserve">Probable — name-normalized match to Runsheet 70 grantee; confirm</x:t>
        </x:is>
      </x:c>
      <x:c r="X148" s="520" t="inlineStr">
        <x:is>
          <x:t xml:space="preserve">Yes — on Tract 2 owner list</x:t>
        </x:is>
      </x:c>
      <x:c r="Y148" s="520" t="inlineStr">
        <x:is>
          <x:t xml:space="preserve">Candidate 0.0549568094810921 (helper — confirm from image)</x:t>
        </x:is>
      </x:c>
      <x:c r="Z148" s="520" t="inlineStr">
        <x:is>
          <x:t xml:space="preserve">Medium — helper value</x:t>
        </x:is>
      </x:c>
      <x:c r="AA148" s="520" t="inlineStr">
        <x:is>
          <x:t xml:space="preserve">Mineral Deed — William Cobal Bain, Jr. and Bi to Clarence Bain (1070/185)</x:t>
        </x:is>
      </x:c>
      <x:c r="AB148" s="520" t="inlineStr">
        <x:is>
          <x:t xml:space="preserve">Needs source review: grantor source</x:t>
        </x:is>
      </x:c>
    </x:row>
    <x:row r="149" s="520" customFormat="1" ht="48" customHeight="1">
      <x:c r="A149" s="519" t="inlineStr">
        <x:is>
          <x:t xml:space="preserve">1989-004250</x:t>
        </x:is>
      </x:c>
      <x:c r="B149" s="536" t="n"/>
      <x:c r="C149" s="536" t="inlineStr">
        <x:is>
          <x:t xml:space="preserve">Mineral Deed</x:t>
        </x:is>
      </x:c>
      <x:c r="D149" s="536" t="inlineStr">
        <x:is>
          <x:t xml:space="preserve">1070/188</x:t>
        </x:is>
      </x:c>
      <x:c r="E149" s="537" t="n">
        <x:v>32706</x:v>
      </x:c>
      <x:c r="F149" s="537" t="n">
        <x:v>32706</x:v>
      </x:c>
      <x:c r="G149" s="538" t="inlineStr">
        <x:is>
          <x:t xml:space="preserve">William Cobal Bain, Jr. and Billy Wayne Bain, Trustees of the Willaim C. Bain Trust</x:t>
        </x:is>
      </x:c>
      <x:c r="H149" s="538" t="inlineStr">
        <x:is>
          <x:t xml:space="preserve">Carl Leon Bain</x:t>
        </x:is>
      </x:c>
      <x:c r="I149" s="538" t="inlineStr">
        <x:is>
          <x:t xml:space="preserve">SW/4 NE/4, NW/4 SE/4, S/2 SE/4 of 31-12N-24W, aol</x:t>
        </x:is>
      </x:c>
      <x:c r="J149" s="538" t="inlineStr">
        <x:is>
          <x:t xml:space="preserve">An undivided 43.496666/791.47th interest in and to the oil, gas and other minerals</x:t>
        </x:is>
      </x:c>
      <x:c r="K149" s="518" t="e">
        <x:f>HYPERLINK("https://okcountyrecords.com/detail/roger+mills/1989-004250","OKCountyRecords: 1989-004250")</x:f>
      </x:c>
      <x:c r="L149" s="519" t="inlineStr">
        <x:is>
          <x:t xml:space="preserve">Mineral; basis Conv Amt(dec). Gross=tract-map basis.</x:t>
        </x:is>
      </x:c>
      <x:c r="M149" s="519" t="inlineStr">
        <x:is>
          <x:t xml:space="preserve">CURRENT OWNER SOURCE</x:t>
        </x:is>
      </x:c>
      <x:c r="N149" s="519" t="n"/>
      <x:c r="O149" s="519" t="inlineStr">
        <x:is>
          <x:t xml:space="preserve">OUTSIDE LANDS</x:t>
        </x:is>
      </x:c>
      <x:c r="P149" s="520" t="inlineStr">
        <x:is>
          <x:t xml:space="preserve">Chain — minerals</x:t>
        </x:is>
      </x:c>
      <x:c r="Q149" s="520" t="inlineStr">
        <x:is>
          <x:t xml:space="preserve">Yes</x:t>
        </x:is>
      </x:c>
      <x:c r="R149" s="520" t="inlineStr">
        <x:is>
          <x:t xml:space="preserve">No</x:t>
        </x:is>
      </x:c>
      <x:c r="S149" s="520" t="inlineStr">
        <x:is>
          <x:t xml:space="preserve">Yes</x:t>
        </x:is>
      </x:c>
      <x:c r="T149" s="520" t="inlineStr">
        <x:is>
          <x:t xml:space="preserve">No</x:t>
        </x:is>
      </x:c>
      <x:c r="U149" s="520" t="inlineStr">
        <x:is>
          <x:t xml:space="preserve">Yes: 2 (legal supports)</x:t>
        </x:is>
      </x:c>
      <x:c r="V149" s="520" t="inlineStr">
        <x:is>
          <x:t xml:space="preserve">High</x:t>
        </x:is>
      </x:c>
      <x:c r="W149" s="520" t="inlineStr">
        <x:is>
          <x:t xml:space="preserve">Probable — name-normalized match to Runsheet 70 grantee; confirm</x:t>
        </x:is>
      </x:c>
      <x:c r="X149" s="520" t="inlineStr">
        <x:is>
          <x:t xml:space="preserve">Yes — on Tract 2 owner list</x:t>
        </x:is>
      </x:c>
      <x:c r="Y149" s="520" t="inlineStr">
        <x:is>
          <x:t xml:space="preserve">Candidate 0.0549568094810921 (helper — confirm from image)</x:t>
        </x:is>
      </x:c>
      <x:c r="Z149" s="520" t="inlineStr">
        <x:is>
          <x:t xml:space="preserve">Medium — helper value</x:t>
        </x:is>
      </x:c>
      <x:c r="AA149" s="520" t="inlineStr">
        <x:is>
          <x:t xml:space="preserve">Mineral Deed — William Cobal Bain, Jr. and Bi to Carl Leon Bain (1070/188)</x:t>
        </x:is>
      </x:c>
      <x:c r="AB149" s="520" t="inlineStr">
        <x:is>
          <x:t xml:space="preserve">Needs source review: grantor source</x:t>
        </x:is>
      </x:c>
    </x:row>
    <x:row r="150" s="520" customFormat="1" ht="48" customHeight="1">
      <x:c r="A150" s="519" t="inlineStr">
        <x:is>
          <x:t xml:space="preserve">1989-004251</x:t>
        </x:is>
      </x:c>
      <x:c r="B150" s="536" t="n"/>
      <x:c r="C150" s="536" t="inlineStr">
        <x:is>
          <x:t xml:space="preserve">Mineral Deed</x:t>
        </x:is>
      </x:c>
      <x:c r="D150" s="536" t="inlineStr">
        <x:is>
          <x:t xml:space="preserve">1070/191</x:t>
        </x:is>
      </x:c>
      <x:c r="E150" s="537" t="n">
        <x:v>32706</x:v>
      </x:c>
      <x:c r="F150" s="537" t="n">
        <x:v>32706</x:v>
      </x:c>
      <x:c r="G150" s="538" t="inlineStr">
        <x:is>
          <x:t xml:space="preserve">William Cobal Bain, Jr. and Billy Wayne Bain, Trustees of the Willaim C. Bain Trust</x:t>
        </x:is>
      </x:c>
      <x:c r="H150" s="538" t="inlineStr">
        <x:is>
          <x:t xml:space="preserve">William Cobal Bain Jr.</x:t>
        </x:is>
      </x:c>
      <x:c r="I150" s="538" t="inlineStr">
        <x:is>
          <x:t xml:space="preserve">SW/4 NE/4, NW/4 SE/4, S/2 SE/4 of 31-12N-24W, aol</x:t>
        </x:is>
      </x:c>
      <x:c r="J150" s="538" t="inlineStr">
        <x:is>
          <x:t xml:space="preserve">An undivided 43.496666/791.47th interest in and to the oil, gas and other minerals</x:t>
        </x:is>
      </x:c>
      <x:c r="K150" s="518" t="e">
        <x:f>HYPERLINK("https://okcountyrecords.com/detail/roger+mills/1989-004251","OKCountyRecords: 1989-004251")</x:f>
      </x:c>
      <x:c r="L150" s="519" t="inlineStr">
        <x:is>
          <x:t xml:space="preserve">Mineral; basis Conv Amt(dec). Gross=tract-map basis.</x:t>
        </x:is>
      </x:c>
      <x:c r="M150" s="519" t="inlineStr">
        <x:is>
          <x:t xml:space="preserve">CURRENT OWNER SOURCE</x:t>
        </x:is>
      </x:c>
      <x:c r="N150" s="519" t="n"/>
      <x:c r="O150" s="519" t="inlineStr">
        <x:is>
          <x:t xml:space="preserve">OUTSIDE LANDS</x:t>
        </x:is>
      </x:c>
      <x:c r="P150" s="520" t="inlineStr">
        <x:is>
          <x:t xml:space="preserve">Chain — minerals</x:t>
        </x:is>
      </x:c>
      <x:c r="Q150" s="520" t="inlineStr">
        <x:is>
          <x:t xml:space="preserve">Yes</x:t>
        </x:is>
      </x:c>
      <x:c r="R150" s="520" t="inlineStr">
        <x:is>
          <x:t xml:space="preserve">No</x:t>
        </x:is>
      </x:c>
      <x:c r="S150" s="520" t="inlineStr">
        <x:is>
          <x:t xml:space="preserve">Yes</x:t>
        </x:is>
      </x:c>
      <x:c r="T150" s="520" t="inlineStr">
        <x:is>
          <x:t xml:space="preserve">No</x:t>
        </x:is>
      </x:c>
      <x:c r="U150" s="520" t="inlineStr">
        <x:is>
          <x:t xml:space="preserve">Yes: 2 (legal supports)</x:t>
        </x:is>
      </x:c>
      <x:c r="V150" s="520" t="inlineStr">
        <x:is>
          <x:t xml:space="preserve">High</x:t>
        </x:is>
      </x:c>
      <x:c r="W150" s="520" t="inlineStr">
        <x:is>
          <x:t xml:space="preserve">Probable — name-normalized match to Runsheet 70 grantee; confirm</x:t>
        </x:is>
      </x:c>
      <x:c r="X150" s="520" t="inlineStr">
        <x:is>
          <x:t xml:space="preserve">Review</x:t>
        </x:is>
      </x:c>
      <x:c r="Y150" s="520" t="inlineStr">
        <x:is>
          <x:t xml:space="preserve">Candidate 0.0549568094810921 (helper — confirm from image)</x:t>
        </x:is>
      </x:c>
      <x:c r="Z150" s="520" t="inlineStr">
        <x:is>
          <x:t xml:space="preserve">Medium — helper value</x:t>
        </x:is>
      </x:c>
      <x:c r="AA150" s="520" t="inlineStr">
        <x:is>
          <x:t xml:space="preserve">Mineral Deed — William Cobal Bain, Jr. and Bi to William Cobal Bain Jr. (1070/191)</x:t>
        </x:is>
      </x:c>
      <x:c r="AB150" s="520" t="inlineStr">
        <x:is>
          <x:t xml:space="preserve">Needs source review: grantor source</x:t>
        </x:is>
      </x:c>
    </x:row>
    <x:row r="151" s="520" customFormat="1" ht="48" customHeight="1">
      <x:c r="A151" s="519" t="inlineStr">
        <x:is>
          <x:t xml:space="preserve">1989-004252</x:t>
        </x:is>
      </x:c>
      <x:c r="B151" s="536" t="n"/>
      <x:c r="C151" s="536" t="inlineStr">
        <x:is>
          <x:t xml:space="preserve">Mineral Deed</x:t>
        </x:is>
      </x:c>
      <x:c r="D151" s="536" t="inlineStr">
        <x:is>
          <x:t xml:space="preserve">1070/194</x:t>
        </x:is>
      </x:c>
      <x:c r="E151" s="537" t="n">
        <x:v>32706</x:v>
      </x:c>
      <x:c r="F151" s="537" t="n">
        <x:v>32706</x:v>
      </x:c>
      <x:c r="G151" s="538" t="inlineStr">
        <x:is>
          <x:t xml:space="preserve">William Cobal Bain, Jr. and Billy Wayne Bain, Trustees of the Willaim C. Bain Trust</x:t>
        </x:is>
      </x:c>
      <x:c r="H151" s="538" t="inlineStr">
        <x:is>
          <x:t xml:space="preserve">Juanita Wolff</x:t>
        </x:is>
      </x:c>
      <x:c r="I151" s="538" t="inlineStr">
        <x:is>
          <x:t xml:space="preserve">SW/4 NE/4, NW/4 SE/4, S/2 SE/4 of 31-12N-24W, aol</x:t>
        </x:is>
      </x:c>
      <x:c r="J151" s="538" t="inlineStr">
        <x:is>
          <x:t xml:space="preserve">An undivided 43.496666/791.47th interest in and to the oil, gas and other minerals</x:t>
        </x:is>
      </x:c>
      <x:c r="K151" s="518" t="e">
        <x:f>HYPERLINK("https://okcountyrecords.com/detail/roger+mills/1989-004252","OKCountyRecords: 1989-004252")</x:f>
      </x:c>
      <x:c r="L151" s="519" t="inlineStr">
        <x:is>
          <x:t xml:space="preserve">Mineral; basis Conv Amt(dec). Gross=tract-map basis.</x:t>
        </x:is>
      </x:c>
      <x:c r="M151" s="519" t="inlineStr">
        <x:is>
          <x:t xml:space="preserve">CURRENT OWNER SOURCE</x:t>
        </x:is>
      </x:c>
      <x:c r="N151" s="519" t="n"/>
      <x:c r="O151" s="519" t="inlineStr">
        <x:is>
          <x:t xml:space="preserve">OUTSIDE LANDS</x:t>
        </x:is>
      </x:c>
      <x:c r="P151" s="520" t="inlineStr">
        <x:is>
          <x:t xml:space="preserve">Chain — minerals</x:t>
        </x:is>
      </x:c>
      <x:c r="Q151" s="520" t="inlineStr">
        <x:is>
          <x:t xml:space="preserve">Yes</x:t>
        </x:is>
      </x:c>
      <x:c r="R151" s="520" t="inlineStr">
        <x:is>
          <x:t xml:space="preserve">No</x:t>
        </x:is>
      </x:c>
      <x:c r="S151" s="520" t="inlineStr">
        <x:is>
          <x:t xml:space="preserve">Yes</x:t>
        </x:is>
      </x:c>
      <x:c r="T151" s="520" t="inlineStr">
        <x:is>
          <x:t xml:space="preserve">No</x:t>
        </x:is>
      </x:c>
      <x:c r="U151" s="520" t="inlineStr">
        <x:is>
          <x:t xml:space="preserve">Yes: 2 (legal supports)</x:t>
        </x:is>
      </x:c>
      <x:c r="V151" s="520" t="inlineStr">
        <x:is>
          <x:t xml:space="preserve">High</x:t>
        </x:is>
      </x:c>
      <x:c r="W151" s="520" t="inlineStr">
        <x:is>
          <x:t xml:space="preserve">Probable — name-normalized match to Runsheet 150 grantee; confirm</x:t>
        </x:is>
      </x:c>
      <x:c r="X151" s="520" t="inlineStr">
        <x:is>
          <x:t xml:space="preserve">Review</x:t>
        </x:is>
      </x:c>
      <x:c r="Y151" s="520" t="inlineStr">
        <x:is>
          <x:t xml:space="preserve">Candidate 0.0549568094810921 (helper — confirm from image)</x:t>
        </x:is>
      </x:c>
      <x:c r="Z151" s="520" t="inlineStr">
        <x:is>
          <x:t xml:space="preserve">Medium — helper value</x:t>
        </x:is>
      </x:c>
      <x:c r="AA151" s="520" t="inlineStr">
        <x:is>
          <x:t xml:space="preserve">Mineral Deed — William Cobal Bain, Jr. and Bi to Juanita Wolff (1070/194)</x:t>
        </x:is>
      </x:c>
      <x:c r="AB151" s="520" t="inlineStr">
        <x:is>
          <x:t xml:space="preserve">Needs source review: grantor source</x:t>
        </x:is>
      </x:c>
    </x:row>
    <x:row r="152" s="520" customFormat="1" ht="48" customHeight="1">
      <x:c r="A152" s="519" t="inlineStr">
        <x:is>
          <x:t xml:space="preserve">1989-004253</x:t>
        </x:is>
      </x:c>
      <x:c r="B152" s="536" t="n"/>
      <x:c r="C152" s="536" t="inlineStr">
        <x:is>
          <x:t xml:space="preserve">Mineral Deed</x:t>
        </x:is>
      </x:c>
      <x:c r="D152" s="536" t="inlineStr">
        <x:is>
          <x:t xml:space="preserve">1070/197</x:t>
        </x:is>
      </x:c>
      <x:c r="E152" s="537" t="n">
        <x:v>32706</x:v>
      </x:c>
      <x:c r="F152" s="537" t="n">
        <x:v>32706</x:v>
      </x:c>
      <x:c r="G152" s="538" t="inlineStr">
        <x:is>
          <x:t xml:space="preserve">William Cobal Bain, Jr. and Billy Wayne Bain, Trustees of the Willaim C. Bain Trust</x:t>
        </x:is>
      </x:c>
      <x:c r="H152" s="538" t="inlineStr">
        <x:is>
          <x:t xml:space="preserve">Hazel Hamilton</x:t>
        </x:is>
      </x:c>
      <x:c r="I152" s="538" t="inlineStr">
        <x:is>
          <x:t xml:space="preserve">SW/4 NE/4, NW/4 SE/4, S/2 SE/4 of 31-12N-24W, aol</x:t>
        </x:is>
      </x:c>
      <x:c r="J152" s="538" t="inlineStr">
        <x:is>
          <x:t xml:space="preserve">An undivided 43.496666/791.47th interest in and to the oil, gas and other minerals</x:t>
        </x:is>
      </x:c>
      <x:c r="K152" s="518" t="e">
        <x:f>HYPERLINK("https://okcountyrecords.com/detail/roger+mills/1989-004253","OKCountyRecords: 1989-004253")</x:f>
      </x:c>
      <x:c r="L152" s="519" t="inlineStr">
        <x:is>
          <x:t xml:space="preserve">Mineral; basis Conv Amt(dec). Gross=tract-map basis.</x:t>
        </x:is>
      </x:c>
      <x:c r="M152" s="519" t="inlineStr">
        <x:is>
          <x:t xml:space="preserve">CURRENT OWNER SOURCE</x:t>
        </x:is>
      </x:c>
      <x:c r="N152" s="519" t="n"/>
      <x:c r="O152" s="519" t="inlineStr">
        <x:is>
          <x:t xml:space="preserve">OUTSIDE LANDS</x:t>
        </x:is>
      </x:c>
      <x:c r="P152" s="520" t="inlineStr">
        <x:is>
          <x:t xml:space="preserve">Chain — minerals</x:t>
        </x:is>
      </x:c>
      <x:c r="Q152" s="520" t="inlineStr">
        <x:is>
          <x:t xml:space="preserve">Yes</x:t>
        </x:is>
      </x:c>
      <x:c r="R152" s="520" t="inlineStr">
        <x:is>
          <x:t xml:space="preserve">No</x:t>
        </x:is>
      </x:c>
      <x:c r="S152" s="520" t="inlineStr">
        <x:is>
          <x:t xml:space="preserve">Yes</x:t>
        </x:is>
      </x:c>
      <x:c r="T152" s="520" t="inlineStr">
        <x:is>
          <x:t xml:space="preserve">No</x:t>
        </x:is>
      </x:c>
      <x:c r="U152" s="520" t="inlineStr">
        <x:is>
          <x:t xml:space="preserve">Yes: 2 (legal supports)</x:t>
        </x:is>
      </x:c>
      <x:c r="V152" s="520" t="inlineStr">
        <x:is>
          <x:t xml:space="preserve">High</x:t>
        </x:is>
      </x:c>
      <x:c r="W152" s="520" t="inlineStr">
        <x:is>
          <x:t xml:space="preserve">Probable — name-normalized match to Runsheet 150 grantee; confirm</x:t>
        </x:is>
      </x:c>
      <x:c r="X152" s="520" t="inlineStr">
        <x:is>
          <x:t xml:space="preserve">Review</x:t>
        </x:is>
      </x:c>
      <x:c r="Y152" s="520" t="inlineStr">
        <x:is>
          <x:t xml:space="preserve">Candidate 0.0549568094810921 (helper — confirm from image)</x:t>
        </x:is>
      </x:c>
      <x:c r="Z152" s="520" t="inlineStr">
        <x:is>
          <x:t xml:space="preserve">Medium — helper value</x:t>
        </x:is>
      </x:c>
      <x:c r="AA152" s="520" t="inlineStr">
        <x:is>
          <x:t xml:space="preserve">Mineral Deed — William Cobal Bain, Jr. and Bi to Hazel Hamilton (1070/197)</x:t>
        </x:is>
      </x:c>
      <x:c r="AB152" s="520" t="inlineStr">
        <x:is>
          <x:t xml:space="preserve">Needs source review: grantor source</x:t>
        </x:is>
      </x:c>
    </x:row>
    <x:row r="153" s="520" customFormat="1" ht="48" customHeight="1">
      <x:c r="A153" s="519" t="inlineStr">
        <x:is>
          <x:t xml:space="preserve">1989-004254</x:t>
        </x:is>
      </x:c>
      <x:c r="B153" s="536" t="n"/>
      <x:c r="C153" s="536" t="inlineStr">
        <x:is>
          <x:t xml:space="preserve">Mineral Deed</x:t>
        </x:is>
      </x:c>
      <x:c r="D153" s="536" t="inlineStr">
        <x:is>
          <x:t xml:space="preserve">1070/200</x:t>
        </x:is>
      </x:c>
      <x:c r="E153" s="537" t="n">
        <x:v>32706</x:v>
      </x:c>
      <x:c r="F153" s="537" t="n">
        <x:v>32706</x:v>
      </x:c>
      <x:c r="G153" s="538" t="inlineStr">
        <x:is>
          <x:t xml:space="preserve">William Cobal Bain, Jr. and Billy Wayne Bain, Trustees of the Willaim C. Bain Trust</x:t>
        </x:is>
      </x:c>
      <x:c r="H153" s="538" t="inlineStr">
        <x:is>
          <x:t xml:space="preserve">Opal Fuchs</x:t>
        </x:is>
      </x:c>
      <x:c r="I153" s="538" t="inlineStr">
        <x:is>
          <x:t xml:space="preserve">SW/4 NE/4, NW/4 SE/4, S/2 SE/4 of 31-12N-24W, aol</x:t>
        </x:is>
      </x:c>
      <x:c r="J153" s="538" t="inlineStr">
        <x:is>
          <x:t xml:space="preserve">An undivided 43.496666/791.47th interest in and to the oil, gas and other minerals</x:t>
        </x:is>
      </x:c>
      <x:c r="K153" s="518" t="e">
        <x:f>HYPERLINK("https://okcountyrecords.com/detail/roger+mills/1989-004254","OKCountyRecords: 1989-004254")</x:f>
      </x:c>
      <x:c r="L153" s="519" t="inlineStr">
        <x:is>
          <x:t xml:space="preserve">Mineral; basis Conv Amt(dec). Gross=tract-map basis.</x:t>
        </x:is>
      </x:c>
      <x:c r="M153" s="519" t="inlineStr">
        <x:is>
          <x:t xml:space="preserve">CURRENT OWNER SOURCE</x:t>
        </x:is>
      </x:c>
      <x:c r="N153" s="519" t="n"/>
      <x:c r="O153" s="519" t="inlineStr">
        <x:is>
          <x:t xml:space="preserve">OUTSIDE LANDS</x:t>
        </x:is>
      </x:c>
      <x:c r="P153" s="520" t="inlineStr">
        <x:is>
          <x:t xml:space="preserve">Chain — minerals</x:t>
        </x:is>
      </x:c>
      <x:c r="Q153" s="520" t="inlineStr">
        <x:is>
          <x:t xml:space="preserve">Yes</x:t>
        </x:is>
      </x:c>
      <x:c r="R153" s="520" t="inlineStr">
        <x:is>
          <x:t xml:space="preserve">No</x:t>
        </x:is>
      </x:c>
      <x:c r="S153" s="520" t="inlineStr">
        <x:is>
          <x:t xml:space="preserve">Yes</x:t>
        </x:is>
      </x:c>
      <x:c r="T153" s="520" t="inlineStr">
        <x:is>
          <x:t xml:space="preserve">No</x:t>
        </x:is>
      </x:c>
      <x:c r="U153" s="520" t="inlineStr">
        <x:is>
          <x:t xml:space="preserve">Yes: 2 (legal supports)</x:t>
        </x:is>
      </x:c>
      <x:c r="V153" s="520" t="inlineStr">
        <x:is>
          <x:t xml:space="preserve">High</x:t>
        </x:is>
      </x:c>
      <x:c r="W153" s="520" t="inlineStr">
        <x:is>
          <x:t xml:space="preserve">Probable — name-normalized match to Runsheet 150 grantee; confirm</x:t>
        </x:is>
      </x:c>
      <x:c r="X153" s="520" t="inlineStr">
        <x:is>
          <x:t xml:space="preserve">Review</x:t>
        </x:is>
      </x:c>
      <x:c r="Y153" s="520" t="inlineStr">
        <x:is>
          <x:t xml:space="preserve">Candidate 0.0549568094810921 (helper — confirm from image)</x:t>
        </x:is>
      </x:c>
      <x:c r="Z153" s="520" t="inlineStr">
        <x:is>
          <x:t xml:space="preserve">Medium — helper value</x:t>
        </x:is>
      </x:c>
      <x:c r="AA153" s="520" t="inlineStr">
        <x:is>
          <x:t xml:space="preserve">Mineral Deed — William Cobal Bain, Jr. and Bi to Opal Fuchs (1070/200)</x:t>
        </x:is>
      </x:c>
      <x:c r="AB153" s="520" t="inlineStr">
        <x:is>
          <x:t xml:space="preserve">Needs source review: grantor source</x:t>
        </x:is>
      </x:c>
    </x:row>
    <x:row r="154" s="520" customFormat="1" ht="48" customHeight="1">
      <x:c r="A154" s="519" t="inlineStr">
        <x:is>
          <x:t xml:space="preserve">1989-004255</x:t>
        </x:is>
      </x:c>
      <x:c r="B154" s="536" t="n"/>
      <x:c r="C154" s="536" t="inlineStr">
        <x:is>
          <x:t xml:space="preserve">Mineral Deed</x:t>
        </x:is>
      </x:c>
      <x:c r="D154" s="536" t="inlineStr">
        <x:is>
          <x:t xml:space="preserve">1070/203</x:t>
        </x:is>
      </x:c>
      <x:c r="E154" s="537" t="n">
        <x:v>32706</x:v>
      </x:c>
      <x:c r="F154" s="537" t="n">
        <x:v>32706</x:v>
      </x:c>
      <x:c r="G154" s="538" t="inlineStr">
        <x:is>
          <x:t xml:space="preserve">William Cobal Bain, Jr. and Billy Wayne Bain, Trustees of the Willaim C. Bain Trust</x:t>
        </x:is>
      </x:c>
      <x:c r="H154" s="538" t="inlineStr">
        <x:is>
          <x:t xml:space="preserve">Wilda Jensen</x:t>
        </x:is>
      </x:c>
      <x:c r="I154" s="538" t="inlineStr">
        <x:is>
          <x:t xml:space="preserve">SW/4 NE/4, NW/4 SE/4, S/2 SE/4 of 31-12N-24W, aol</x:t>
        </x:is>
      </x:c>
      <x:c r="J154" s="538" t="inlineStr">
        <x:is>
          <x:t xml:space="preserve">An undivided 43.496666/791.47th interest in and to the oil, gas and other minerals</x:t>
        </x:is>
      </x:c>
      <x:c r="K154" s="518" t="e">
        <x:f>HYPERLINK("https://okcountyrecords.com/detail/roger+mills/1989-004255","OKCountyRecords: 1989-004255")</x:f>
      </x:c>
      <x:c r="L154" s="519" t="inlineStr">
        <x:is>
          <x:t xml:space="preserve">Mineral; basis Conv Amt(dec). Gross=tract-map basis.</x:t>
        </x:is>
      </x:c>
      <x:c r="M154" s="519" t="inlineStr">
        <x:is>
          <x:t xml:space="preserve">CURRENT OWNER SOURCE</x:t>
        </x:is>
      </x:c>
      <x:c r="N154" s="519" t="n"/>
      <x:c r="O154" s="519" t="inlineStr">
        <x:is>
          <x:t xml:space="preserve">OUTSIDE LANDS</x:t>
        </x:is>
      </x:c>
      <x:c r="P154" s="520" t="inlineStr">
        <x:is>
          <x:t xml:space="preserve">Chain — minerals</x:t>
        </x:is>
      </x:c>
      <x:c r="Q154" s="520" t="inlineStr">
        <x:is>
          <x:t xml:space="preserve">Yes</x:t>
        </x:is>
      </x:c>
      <x:c r="R154" s="520" t="inlineStr">
        <x:is>
          <x:t xml:space="preserve">No</x:t>
        </x:is>
      </x:c>
      <x:c r="S154" s="520" t="inlineStr">
        <x:is>
          <x:t xml:space="preserve">Yes</x:t>
        </x:is>
      </x:c>
      <x:c r="T154" s="520" t="inlineStr">
        <x:is>
          <x:t xml:space="preserve">No</x:t>
        </x:is>
      </x:c>
      <x:c r="U154" s="520" t="inlineStr">
        <x:is>
          <x:t xml:space="preserve">Yes: 2 (legal supports)</x:t>
        </x:is>
      </x:c>
      <x:c r="V154" s="520" t="inlineStr">
        <x:is>
          <x:t xml:space="preserve">High</x:t>
        </x:is>
      </x:c>
      <x:c r="W154" s="520" t="inlineStr">
        <x:is>
          <x:t xml:space="preserve">Probable — name-normalized match to Runsheet 150 grantee; confirm</x:t>
        </x:is>
      </x:c>
      <x:c r="X154" s="520" t="inlineStr">
        <x:is>
          <x:t xml:space="preserve">Review</x:t>
        </x:is>
      </x:c>
      <x:c r="Y154" s="520" t="inlineStr">
        <x:is>
          <x:t xml:space="preserve">Candidate 0.0549568094810921 (helper — confirm from image)</x:t>
        </x:is>
      </x:c>
      <x:c r="Z154" s="520" t="inlineStr">
        <x:is>
          <x:t xml:space="preserve">Medium — helper value</x:t>
        </x:is>
      </x:c>
      <x:c r="AA154" s="520" t="inlineStr">
        <x:is>
          <x:t xml:space="preserve">Mineral Deed — William Cobal Bain, Jr. and Bi to Wilda Jensen (1070/203)</x:t>
        </x:is>
      </x:c>
      <x:c r="AB154" s="520" t="inlineStr">
        <x:is>
          <x:t xml:space="preserve">Needs source review: grantor source</x:t>
        </x:is>
      </x:c>
    </x:row>
    <x:row r="155" s="520" customFormat="1" ht="48" customHeight="1">
      <x:c r="A155" s="519" t="inlineStr">
        <x:is>
          <x:t xml:space="preserve">1989-004256</x:t>
        </x:is>
      </x:c>
      <x:c r="B155" s="536" t="n"/>
      <x:c r="C155" s="536" t="inlineStr">
        <x:is>
          <x:t xml:space="preserve">Mineral Deed</x:t>
        </x:is>
      </x:c>
      <x:c r="D155" s="536" t="inlineStr">
        <x:is>
          <x:t xml:space="preserve">1070/206</x:t>
        </x:is>
      </x:c>
      <x:c r="E155" s="537" t="n">
        <x:v>32706</x:v>
      </x:c>
      <x:c r="F155" s="537" t="n">
        <x:v>32706</x:v>
      </x:c>
      <x:c r="G155" s="538" t="inlineStr">
        <x:is>
          <x:t xml:space="preserve">William Cobal Bain, Jr. and Billy Wayne Bain, Trustees of the Willaim C. Bain Trust</x:t>
        </x:is>
      </x:c>
      <x:c r="H155" s="538" t="inlineStr">
        <x:is>
          <x:t xml:space="preserve">Crystal Pallo</x:t>
        </x:is>
      </x:c>
      <x:c r="I155" s="538" t="inlineStr">
        <x:is>
          <x:t xml:space="preserve">SW/4 NE/4, NW/4 SE/4, S/2 SE/4 of 31-12N-24W, aol</x:t>
        </x:is>
      </x:c>
      <x:c r="J155" s="538" t="inlineStr">
        <x:is>
          <x:t xml:space="preserve">An undivided 43.496666/791.47th interest in and to the oil, gas and other minerals</x:t>
        </x:is>
      </x:c>
      <x:c r="K155" s="518" t="e">
        <x:f>HYPERLINK("https://okcountyrecords.com/detail/roger+mills/1989-004256","OKCountyRecords: 1989-004256")</x:f>
      </x:c>
      <x:c r="L155" s="519" t="inlineStr">
        <x:is>
          <x:t xml:space="preserve">Mineral; basis Conv Amt(dec). Gross=tract-map basis.</x:t>
        </x:is>
      </x:c>
      <x:c r="M155" s="519" t="inlineStr">
        <x:is>
          <x:t xml:space="preserve">CURRENT OWNER SOURCE</x:t>
        </x:is>
      </x:c>
      <x:c r="N155" s="519" t="n"/>
      <x:c r="O155" s="519" t="inlineStr">
        <x:is>
          <x:t xml:space="preserve">OUTSIDE LANDS</x:t>
        </x:is>
      </x:c>
      <x:c r="P155" s="520" t="inlineStr">
        <x:is>
          <x:t xml:space="preserve">Chain — minerals</x:t>
        </x:is>
      </x:c>
      <x:c r="Q155" s="520" t="inlineStr">
        <x:is>
          <x:t xml:space="preserve">Yes</x:t>
        </x:is>
      </x:c>
      <x:c r="R155" s="520" t="inlineStr">
        <x:is>
          <x:t xml:space="preserve">No</x:t>
        </x:is>
      </x:c>
      <x:c r="S155" s="520" t="inlineStr">
        <x:is>
          <x:t xml:space="preserve">Yes</x:t>
        </x:is>
      </x:c>
      <x:c r="T155" s="520" t="inlineStr">
        <x:is>
          <x:t xml:space="preserve">No</x:t>
        </x:is>
      </x:c>
      <x:c r="U155" s="520" t="inlineStr">
        <x:is>
          <x:t xml:space="preserve">Yes: 2 (legal supports)</x:t>
        </x:is>
      </x:c>
      <x:c r="V155" s="520" t="inlineStr">
        <x:is>
          <x:t xml:space="preserve">High</x:t>
        </x:is>
      </x:c>
      <x:c r="W155" s="520" t="inlineStr">
        <x:is>
          <x:t xml:space="preserve">Probable — name-normalized match to Runsheet 150 grantee; confirm</x:t>
        </x:is>
      </x:c>
      <x:c r="X155" s="520" t="inlineStr">
        <x:is>
          <x:t xml:space="preserve">Yes — on Tract 2 owner list</x:t>
        </x:is>
      </x:c>
      <x:c r="Y155" s="520" t="inlineStr">
        <x:is>
          <x:t xml:space="preserve">Candidate 0.0549568094810921 (helper — confirm from image)</x:t>
        </x:is>
      </x:c>
      <x:c r="Z155" s="520" t="inlineStr">
        <x:is>
          <x:t xml:space="preserve">Medium — helper value</x:t>
        </x:is>
      </x:c>
      <x:c r="AA155" s="520" t="inlineStr">
        <x:is>
          <x:t xml:space="preserve">Mineral Deed — William Cobal Bain, Jr. and Bi to Crystal Pallo (1070/206)</x:t>
        </x:is>
      </x:c>
      <x:c r="AB155" s="520" t="inlineStr">
        <x:is>
          <x:t xml:space="preserve">Needs source review: grantor source</x:t>
        </x:is>
      </x:c>
    </x:row>
    <x:row r="156" s="520" customFormat="1" ht="48" customHeight="1">
      <x:c r="A156" s="519" t="inlineStr">
        <x:is>
          <x:t xml:space="preserve">1989-005656</x:t>
        </x:is>
      </x:c>
      <x:c r="B156" s="536" t="n"/>
      <x:c r="C156" s="536" t="inlineStr">
        <x:is>
          <x:t xml:space="preserve">Final Decree</x:t>
        </x:is>
      </x:c>
      <x:c r="D156" s="536" t="inlineStr">
        <x:is>
          <x:t xml:space="preserve">1088/5</x:t>
        </x:is>
      </x:c>
      <x:c r="E156" s="537" t="n">
        <x:v>32794</x:v>
      </x:c>
      <x:c r="F156" s="537" t="n">
        <x:v>32794</x:v>
      </x:c>
      <x:c r="G156" s="538" t="inlineStr">
        <x:is>
          <x:t xml:space="preserve">Beckham County Court,
RE: In the Matter of the Estate of Eula M. Bain, Deceased</x:t>
        </x:is>
      </x:c>
      <x:c r="H156" s="538" t="inlineStr">
        <x:is>
          <x:t xml:space="preserve">Billy Wayne Bain</x:t>
        </x:is>
      </x:c>
      <x:c r="I156" s="538" t="inlineStr">
        <x:is>
          <x:t xml:space="preserve">SW/4 NE/4, NW/4 SE/4, S/2 SE/4 of 31-12N-24W, aol</x:t>
        </x:is>
      </x:c>
      <x:c r="J156" s="538" t="inlineStr">
        <x:is>
          <x:t xml:space="preserve">ARTI</x:t>
        </x:is>
      </x:c>
      <x:c r="K156" s="518" t="e">
        <x:f>HYPERLINK("https://okcountyrecords.com/detail/roger+mills/1989-005656","OKCountyRecords: 1989-005656")</x:f>
      </x:c>
      <x:c r="L156" s="519" t="inlineStr">
        <x:is>
          <x:t xml:space="preserve">Mineral; basis Conv Amt(dec). Gross=tract-map basis.</x:t>
        </x:is>
      </x:c>
      <x:c r="M156" s="519" t="inlineStr">
        <x:is>
          <x:t xml:space="preserve">CURRENT OWNER SOURCE</x:t>
        </x:is>
      </x:c>
      <x:c r="N156" s="519" t="n"/>
      <x:c r="O156" s="519" t="inlineStr">
        <x:is>
          <x:t xml:space="preserve">OUTSIDE LANDS</x:t>
        </x:is>
      </x:c>
      <x:c r="P156" s="520" t="inlineStr">
        <x:is>
          <x:t xml:space="preserve">Chain — title support (succession/entity/probate)</x:t>
        </x:is>
      </x:c>
      <x:c r="Q156" s="520" t="inlineStr">
        <x:is>
          <x:t xml:space="preserve">Yes</x:t>
        </x:is>
      </x:c>
      <x:c r="R156" s="520" t="inlineStr">
        <x:is>
          <x:t xml:space="preserve">No</x:t>
        </x:is>
      </x:c>
      <x:c r="S156" s="520" t="inlineStr">
        <x:is>
          <x:t xml:space="preserve">Yes</x:t>
        </x:is>
      </x:c>
      <x:c r="T156" s="520" t="inlineStr">
        <x:is>
          <x:t xml:space="preserve">No</x:t>
        </x:is>
      </x:c>
      <x:c r="U156" s="520" t="inlineStr">
        <x:is>
          <x:t xml:space="preserve">Yes: 2 (legal supports)</x:t>
        </x:is>
      </x:c>
      <x:c r="V156" s="520" t="inlineStr">
        <x:is>
          <x:t xml:space="preserve">High</x:t>
        </x:is>
      </x:c>
      <x:c r="W156" s="520" t="inlineStr">
        <x:is>
          <x:t xml:space="preserve">Review — no exact prior-grantee match</x:t>
        </x:is>
      </x:c>
      <x:c r="X156" s="520" t="inlineStr">
        <x:is>
          <x:t xml:space="preserve">Review</x:t>
        </x:is>
      </x:c>
      <x:c r="Y156" s="520" t="inlineStr">
        <x:is>
          <x:t xml:space="preserve">Candidate 1 (helper — confirm from image)</x:t>
        </x:is>
      </x:c>
      <x:c r="Z156" s="520" t="inlineStr">
        <x:is>
          <x:t xml:space="preserve">Medium — helper value</x:t>
        </x:is>
      </x:c>
      <x:c r="AA156" s="520" t="inlineStr">
        <x:is>
          <x:t xml:space="preserve">Final Decree — Beckham County Court, to Billy Wayne Bain (1088/5)</x:t>
        </x:is>
      </x:c>
      <x:c r="AB156" s="520" t="inlineStr">
        <x:is>
          <x:t xml:space="preserve">Needs source review: grantor source</x:t>
        </x:is>
      </x:c>
    </x:row>
    <x:row r="157" s="520" customFormat="1" ht="60" customHeight="1">
      <x:c r="A157" s="519" t="inlineStr">
        <x:is>
          <x:t xml:space="preserve">1989-005860</x:t>
        </x:is>
      </x:c>
      <x:c r="B157" s="536" t="n"/>
      <x:c r="C157" s="536" t="inlineStr">
        <x:is>
          <x:t xml:space="preserve">Change of Address</x:t>
        </x:is>
      </x:c>
      <x:c r="D157" s="536" t="inlineStr">
        <x:is>
          <x:t xml:space="preserve">1090/217</x:t>
        </x:is>
      </x:c>
      <x:c r="E157" s="537" t="n">
        <x:v>32806</x:v>
      </x:c>
      <x:c r="F157" s="537" t="n">
        <x:v>32806</x:v>
      </x:c>
      <x:c r="G157" s="538" t="inlineStr">
        <x:is>
          <x:t xml:space="preserve">Mary Ellen Sitzmann</x:t>
        </x:is>
      </x:c>
      <x:c r="H157" s="538" t="inlineStr">
        <x:is>
          <x:t xml:space="preserve">The Public</x:t>
        </x:is>
      </x:c>
      <x:c r="I157" s="538" t="inlineStr">
        <x:is>
          <x:t xml:space="preserve">31-12N-24W, aol</x:t>
        </x:is>
      </x:c>
      <x:c r="J157" s="538" t="inlineStr">
        <x:is>
          <x:t xml:space="preserve">See instrument</x:t>
        </x:is>
      </x:c>
      <x:c r="K157" s="518" t="e">
        <x:f>HYPERLINK("https://okcountyrecords.com/detail/roger+mills/1989-005860","OKCountyRecords: 1989-005860")</x:f>
      </x:c>
      <x:c r="L157" s="519" t="inlineStr">
        <x:is>
          <x:t xml:space="preserve">Other (non-mineral; excluded from mineral NMA). All-section coverage. Gross=tract-map basis.</x:t>
        </x:is>
      </x:c>
      <x:c r="M157" s="519" t="inlineStr">
        <x:is>
          <x:t xml:space="preserve">OK</x:t>
        </x:is>
      </x:c>
      <x:c r="N157" s="519" t="inlineStr">
        <x:is>
          <x:t xml:space="preserve">Non-conveying — notice/affidavit/address change (The Public).</x:t>
        </x:is>
      </x:c>
      <x:c r="O157" s="519" t="inlineStr">
        <x:is>
          <x:t xml:space="preserve">OUTSIDE LANDS</x:t>
        </x:is>
      </x:c>
      <x:c r="P157" s="520" t="inlineStr">
        <x:is>
          <x:t xml:space="preserve">Do Not Chain — address only</x:t>
        </x:is>
      </x:c>
      <x:c r="Q157" s="520" t="inlineStr">
        <x:is>
          <x:t xml:space="preserve">No</x:t>
        </x:is>
      </x:c>
      <x:c r="R157" s="520" t="inlineStr">
        <x:is>
          <x:t xml:space="preserve">No</x:t>
        </x:is>
      </x:c>
      <x:c r="S157" s="520" t="inlineStr">
        <x:is>
          <x:t xml:space="preserve">No</x:t>
        </x:is>
      </x:c>
      <x:c r="T157" s="520" t="inlineStr">
        <x:is>
          <x:t xml:space="preserve">No</x:t>
        </x:is>
      </x:c>
      <x:c r="U157" s="520" t="inlineStr">
        <x:is>
          <x:t xml:space="preserve">Yes: 1, 8 (broad legal)</x:t>
        </x:is>
      </x:c>
      <x:c r="V157" s="520" t="inlineStr">
        <x:is>
          <x:t xml:space="preserve">Medium</x:t>
        </x:is>
      </x:c>
      <x:c r="W157" s="520" t="inlineStr">
        <x:is>
          <x:t xml:space="preserve">Review — no exact prior-grantee match</x:t>
        </x:is>
      </x:c>
      <x:c r="X157" s="520" t="inlineStr">
        <x:is>
          <x:t xml:space="preserve">Review</x:t>
        </x:is>
      </x:c>
      <x:c r="Y157" s="520" t="inlineStr">
        <x:is>
          <x:t xml:space="preserve">Interest amount needs review</x:t>
        </x:is>
      </x:c>
      <x:c r="Z157" s="520" t="inlineStr">
        <x:is>
          <x:t xml:space="preserve">Review</x:t>
        </x:is>
      </x:c>
      <x:c r="AA157" s="520" t="inlineStr">
        <x:is>
          <x:t xml:space="preserve">Change of Address — Mary Ellen Sitzmann to The Public (1090/217)</x:t>
        </x:is>
      </x:c>
      <x:c r="AB157" s="520" t="inlineStr">
        <x:is>
          <x:t xml:space="preserve">Needs source review: grantor source</x:t>
        </x:is>
      </x:c>
    </x:row>
    <x:row r="158" s="520" customFormat="1" ht="60" customHeight="1">
      <x:c r="A158" s="519" t="inlineStr">
        <x:is>
          <x:t xml:space="preserve">1989-006590</x:t>
        </x:is>
      </x:c>
      <x:c r="B158" s="536" t="n"/>
      <x:c r="C158" s="536" t="inlineStr">
        <x:is>
          <x:t xml:space="preserve">Mineral Deed</x:t>
        </x:is>
      </x:c>
      <x:c r="D158" s="536" t="inlineStr">
        <x:is>
          <x:t xml:space="preserve">1100/48</x:t>
        </x:is>
      </x:c>
      <x:c r="E158" s="537" t="n">
        <x:v>32847</x:v>
      </x:c>
      <x:c r="F158" s="537" t="n">
        <x:v>32847</x:v>
      </x:c>
      <x:c r="G158" s="538" t="inlineStr">
        <x:is>
          <x:t xml:space="preserve">Mann Group Investment Company</x:t>
        </x:is>
      </x:c>
      <x:c r="H158" s="538" t="inlineStr">
        <x:is>
          <x:t xml:space="preserve">Bluebonnet Investments, Ltd.</x:t>
        </x:is>
      </x:c>
      <x:c r="I158" s="538" t="inlineStr">
        <x:is>
          <x:t xml:space="preserve">E/2 NW/4, SE/4 NE/4, NE/4 SE/4, N/2 NE/4 SW/4 of 31-12N-24W, aol</x:t>
        </x:is>
      </x:c>
      <x:c r="J158" s="538" t="inlineStr">
        <x:is>
          <x:t xml:space="preserve">10/260 interest in 2 sections</x:t>
        </x:is>
      </x:c>
      <x:c r="K158" s="518" t="e">
        <x:f>HYPERLINK("https://okcountyrecords.com/detail/roger+mills/1989-006590","OKCountyRecords: 1989-006590")</x:f>
      </x:c>
      <x:c r="L158" s="519" t="inlineStr">
        <x:is>
          <x:t xml:space="preserve">Mineral; basis Conv Amt(dec). Gross=tract-map basis.</x:t>
        </x:is>
      </x:c>
      <x:c r="M158" s="519" t="n"/>
      <x:c r="N158" s="519" t="n"/>
      <x:c r="O158" s="519" t="inlineStr">
        <x:is>
          <x:t xml:space="preserve">OUTSIDE LANDS</x:t>
        </x:is>
      </x:c>
      <x:c r="P158" s="520" t="inlineStr">
        <x:is>
          <x:t xml:space="preserve">Chain — minerals</x:t>
        </x:is>
      </x:c>
      <x:c r="Q158" s="520" t="inlineStr">
        <x:is>
          <x:t xml:space="preserve">Yes</x:t>
        </x:is>
      </x:c>
      <x:c r="R158" s="520" t="inlineStr">
        <x:is>
          <x:t xml:space="preserve">No</x:t>
        </x:is>
      </x:c>
      <x:c r="S158" s="520" t="inlineStr">
        <x:is>
          <x:t xml:space="preserve">Yes</x:t>
        </x:is>
      </x:c>
      <x:c r="T158" s="520" t="inlineStr">
        <x:is>
          <x:t xml:space="preserve">No</x:t>
        </x:is>
      </x:c>
      <x:c r="U158" s="520" t="inlineStr">
        <x:is>
          <x:t xml:space="preserve">Legal maps to 1, 3, 4, 7, 10; helper says 1, 3, 4, 7, 8</x:t>
        </x:is>
      </x:c>
      <x:c r="V158" s="520" t="inlineStr">
        <x:is>
          <x:t xml:space="preserve">Review</x:t>
        </x:is>
      </x:c>
      <x:c r="W158" s="520" t="inlineStr">
        <x:is>
          <x:t xml:space="preserve">Yes — prior grantee match</x:t>
        </x:is>
      </x:c>
      <x:c r="X158" s="520" t="inlineStr">
        <x:is>
          <x:t xml:space="preserve">Yes — on Tract 3 owner list</x:t>
        </x:is>
      </x:c>
      <x:c r="Y158" s="520" t="inlineStr">
        <x:is>
          <x:t xml:space="preserve">Candidate 0.0384615384615385 (helper — confirm from image)</x:t>
        </x:is>
      </x:c>
      <x:c r="Z158" s="520" t="inlineStr">
        <x:is>
          <x:t xml:space="preserve">Medium — helper value</x:t>
        </x:is>
      </x:c>
      <x:c r="AA158" s="520" t="inlineStr">
        <x:is>
          <x:t xml:space="preserve">Mineral Deed — Mann Group Investment Company to Bluebonnet Investments, Ltd. (1100/48)</x:t>
        </x:is>
      </x:c>
      <x:c r="AB158" s="520" t="inlineStr">
        <x:is>
          <x:t xml:space="preserve">Needs source review: tract</x:t>
        </x:is>
      </x:c>
    </x:row>
    <x:row r="159" s="520" customFormat="1" ht="48" customHeight="1">
      <x:c r="A159" s="519" t="inlineStr">
        <x:is>
          <x:t xml:space="preserve">1989-007000</x:t>
        </x:is>
      </x:c>
      <x:c r="B159" s="536" t="n"/>
      <x:c r="C159" s="536" t="inlineStr">
        <x:is>
          <x:t xml:space="preserve">Mineral Deed</x:t>
        </x:is>
      </x:c>
      <x:c r="D159" s="536" t="inlineStr">
        <x:is>
          <x:t xml:space="preserve">1104/87</x:t>
        </x:is>
      </x:c>
      <x:c r="E159" s="537" t="n">
        <x:v>32869</x:v>
      </x:c>
      <x:c r="F159" s="537" t="n">
        <x:v>32869</x:v>
      </x:c>
      <x:c r="G159" s="538" t="inlineStr">
        <x:is>
          <x:t xml:space="preserve">Ernest Jensen and Wilda Jensen, HW</x:t>
        </x:is>
      </x:c>
      <x:c r="H159" s="538" t="inlineStr">
        <x:is>
          <x:t xml:space="preserve">Hans W. Jensen</x:t>
        </x:is>
      </x:c>
      <x:c r="I159" s="538" t="inlineStr">
        <x:is>
          <x:t xml:space="preserve">SW/4 NE/4, NW/4 SE/4, S/2 SE/4 of 31-12N-24W, aol</x:t>
        </x:is>
      </x:c>
      <x:c r="J159" s="538" t="inlineStr">
        <x:is>
          <x:t xml:space="preserve">An undivided 2/160th (2 acres) in 31-12N-24W, 10/791.47 interest in 2 sections</x:t>
        </x:is>
      </x:c>
      <x:c r="K159" s="518" t="e">
        <x:f>HYPERLINK("https://okcountyrecords.com/detail/roger+mills/1989-007000","OKCountyRecords: 1989-007000")</x:f>
      </x:c>
      <x:c r="L159" s="519" t="inlineStr">
        <x:is>
          <x:t xml:space="preserve">Mineral; basis Conv Amt(dec). Gross=tract-map basis.</x:t>
        </x:is>
      </x:c>
      <x:c r="M159" s="519" t="inlineStr">
        <x:is>
          <x:t xml:space="preserve">CURRENT OWNER SOURCE</x:t>
        </x:is>
      </x:c>
      <x:c r="N159" s="519" t="n"/>
      <x:c r="O159" s="519" t="inlineStr">
        <x:is>
          <x:t xml:space="preserve">OUTSIDE LANDS</x:t>
        </x:is>
      </x:c>
      <x:c r="P159" s="520" t="inlineStr">
        <x:is>
          <x:t xml:space="preserve">Chain — minerals</x:t>
        </x:is>
      </x:c>
      <x:c r="Q159" s="520" t="inlineStr">
        <x:is>
          <x:t xml:space="preserve">Yes</x:t>
        </x:is>
      </x:c>
      <x:c r="R159" s="520" t="inlineStr">
        <x:is>
          <x:t xml:space="preserve">No</x:t>
        </x:is>
      </x:c>
      <x:c r="S159" s="520" t="inlineStr">
        <x:is>
          <x:t xml:space="preserve">Yes</x:t>
        </x:is>
      </x:c>
      <x:c r="T159" s="520" t="inlineStr">
        <x:is>
          <x:t xml:space="preserve">No</x:t>
        </x:is>
      </x:c>
      <x:c r="U159" s="520" t="inlineStr">
        <x:is>
          <x:t xml:space="preserve">Yes: 2 (legal supports)</x:t>
        </x:is>
      </x:c>
      <x:c r="V159" s="520" t="inlineStr">
        <x:is>
          <x:t xml:space="preserve">High</x:t>
        </x:is>
      </x:c>
      <x:c r="W159" s="520" t="inlineStr">
        <x:is>
          <x:t xml:space="preserve">Probable — name-normalized match to Runsheet 154 grantee; confirm</x:t>
        </x:is>
      </x:c>
      <x:c r="X159" s="520" t="inlineStr">
        <x:is>
          <x:t xml:space="preserve">Yes — on Tract 2 owner list</x:t>
        </x:is>
      </x:c>
      <x:c r="Y159" s="520" t="inlineStr">
        <x:is>
          <x:t xml:space="preserve">Candidate 0.0125 (helper — confirm from image)</x:t>
        </x:is>
      </x:c>
      <x:c r="Z159" s="520" t="inlineStr">
        <x:is>
          <x:t xml:space="preserve">Medium — helper value</x:t>
        </x:is>
      </x:c>
      <x:c r="AA159" s="520" t="inlineStr">
        <x:is>
          <x:t xml:space="preserve">Mineral Deed — Ernest Jensen and Wilda Jensen to Hans W. Jensen (1104/87)</x:t>
        </x:is>
      </x:c>
      <x:c r="AB159" s="520" t="inlineStr">
        <x:is>
          <x:t xml:space="preserve">Needs source review: grantor source</x:t>
        </x:is>
      </x:c>
    </x:row>
    <x:row r="160" s="520" customFormat="1" ht="48" customHeight="1">
      <x:c r="A160" s="519" t="inlineStr">
        <x:is>
          <x:t xml:space="preserve">1989-007001</x:t>
        </x:is>
      </x:c>
      <x:c r="B160" s="536" t="n"/>
      <x:c r="C160" s="536" t="inlineStr">
        <x:is>
          <x:t xml:space="preserve">Mineral Deed</x:t>
        </x:is>
      </x:c>
      <x:c r="D160" s="536" t="inlineStr">
        <x:is>
          <x:t xml:space="preserve">1104/90</x:t>
        </x:is>
      </x:c>
      <x:c r="E160" s="537" t="n">
        <x:v>32869</x:v>
      </x:c>
      <x:c r="F160" s="537" t="n">
        <x:v>32869</x:v>
      </x:c>
      <x:c r="G160" s="538" t="inlineStr">
        <x:is>
          <x:t xml:space="preserve">Ernest Jensen and Wilda Jensen, HW</x:t>
        </x:is>
      </x:c>
      <x:c r="H160" s="538" t="inlineStr">
        <x:is>
          <x:t xml:space="preserve">Tim E. Jensen</x:t>
        </x:is>
      </x:c>
      <x:c r="I160" s="538" t="inlineStr">
        <x:is>
          <x:t xml:space="preserve">SW/4 NE/4, NW/4 SE/4, S/2 SE/4 of 31-12N-24W, aol</x:t>
        </x:is>
      </x:c>
      <x:c r="J160" s="538" t="inlineStr">
        <x:is>
          <x:t xml:space="preserve">An undivided 2/160th (2 acres) in 31-12N-24W, 10/791.47 interest in 2 sections</x:t>
        </x:is>
      </x:c>
      <x:c r="K160" s="518" t="e">
        <x:f>HYPERLINK("https://okcountyrecords.com/detail/roger+mills/1989-007001","OKCountyRecords: 1989-007001")</x:f>
      </x:c>
      <x:c r="L160" s="519" t="inlineStr">
        <x:is>
          <x:t xml:space="preserve">Mineral; basis Conv Amt(dec). Gross=tract-map basis.</x:t>
        </x:is>
      </x:c>
      <x:c r="M160" s="519" t="inlineStr">
        <x:is>
          <x:t xml:space="preserve">CURRENT OWNER SOURCE</x:t>
        </x:is>
      </x:c>
      <x:c r="N160" s="519" t="n"/>
      <x:c r="O160" s="519" t="inlineStr">
        <x:is>
          <x:t xml:space="preserve">OUTSIDE LANDS</x:t>
        </x:is>
      </x:c>
      <x:c r="P160" s="520" t="inlineStr">
        <x:is>
          <x:t xml:space="preserve">Chain — minerals</x:t>
        </x:is>
      </x:c>
      <x:c r="Q160" s="520" t="inlineStr">
        <x:is>
          <x:t xml:space="preserve">Yes</x:t>
        </x:is>
      </x:c>
      <x:c r="R160" s="520" t="inlineStr">
        <x:is>
          <x:t xml:space="preserve">No</x:t>
        </x:is>
      </x:c>
      <x:c r="S160" s="520" t="inlineStr">
        <x:is>
          <x:t xml:space="preserve">Yes</x:t>
        </x:is>
      </x:c>
      <x:c r="T160" s="520" t="inlineStr">
        <x:is>
          <x:t xml:space="preserve">No</x:t>
        </x:is>
      </x:c>
      <x:c r="U160" s="520" t="inlineStr">
        <x:is>
          <x:t xml:space="preserve">Yes: 2 (legal supports)</x:t>
        </x:is>
      </x:c>
      <x:c r="V160" s="520" t="inlineStr">
        <x:is>
          <x:t xml:space="preserve">High</x:t>
        </x:is>
      </x:c>
      <x:c r="W160" s="520" t="inlineStr">
        <x:is>
          <x:t xml:space="preserve">Probable — name-normalized match to Runsheet 154 grantee; confirm</x:t>
        </x:is>
      </x:c>
      <x:c r="X160" s="520" t="inlineStr">
        <x:is>
          <x:t xml:space="preserve">Yes — on Tract 2 owner list</x:t>
        </x:is>
      </x:c>
      <x:c r="Y160" s="520" t="inlineStr">
        <x:is>
          <x:t xml:space="preserve">Candidate 0.0125 (helper — confirm from image)</x:t>
        </x:is>
      </x:c>
      <x:c r="Z160" s="520" t="inlineStr">
        <x:is>
          <x:t xml:space="preserve">Medium — helper value</x:t>
        </x:is>
      </x:c>
      <x:c r="AA160" s="520" t="inlineStr">
        <x:is>
          <x:t xml:space="preserve">Mineral Deed — Ernest Jensen and Wilda Jensen to Tim E. Jensen (1104/90)</x:t>
        </x:is>
      </x:c>
      <x:c r="AB160" s="520" t="inlineStr">
        <x:is>
          <x:t xml:space="preserve">Needs source review: grantor source</x:t>
        </x:is>
      </x:c>
    </x:row>
    <x:row r="161" s="520" customFormat="1" ht="48" customHeight="1">
      <x:c r="A161" s="519" t="inlineStr">
        <x:is>
          <x:t xml:space="preserve">1990-000905</x:t>
        </x:is>
      </x:c>
      <x:c r="B161" s="536" t="n"/>
      <x:c r="C161" s="536" t="inlineStr">
        <x:is>
          <x:t xml:space="preserve">Trustee's Mineral Deed</x:t>
        </x:is>
      </x:c>
      <x:c r="D161" s="536" t="inlineStr">
        <x:is>
          <x:t xml:space="preserve">1114/222</x:t>
        </x:is>
      </x:c>
      <x:c r="E161" s="537" t="n">
        <x:v>32920</x:v>
      </x:c>
      <x:c r="F161" s="537" t="n">
        <x:v>32920</x:v>
      </x:c>
      <x:c r="G161" s="538" t="inlineStr">
        <x:is>
          <x:t xml:space="preserve">W. C. Bain Jr., as Trustee under the Trust Agreement executed by Crystal F. Pallo</x:t>
        </x:is>
      </x:c>
      <x:c r="H161" s="538" t="inlineStr">
        <x:is>
          <x:t xml:space="preserve">Juanita M. Wolff</x:t>
        </x:is>
      </x:c>
      <x:c r="I161" s="538" t="inlineStr">
        <x:is>
          <x:t xml:space="preserve">SW/4 NE/4, NW/4 SE/4, S/2 SE/4 of 31-12N-24W, aol</x:t>
        </x:is>
      </x:c>
      <x:c r="J161" s="538" t="inlineStr">
        <x:is>
          <x:t xml:space="preserve">An undivided 3.33333/791.47 interest in 2 sections</x:t>
        </x:is>
      </x:c>
      <x:c r="K161" s="518" t="e">
        <x:f>HYPERLINK("https://okcountyrecords.com/detail/roger+mills/1990-000905","OKCountyRecords: 1990-000905")</x:f>
      </x:c>
      <x:c r="L161" s="519" t="inlineStr">
        <x:is>
          <x:t xml:space="preserve">Mineral; basis Conv Amt(dec). Gross=tract-map basis.</x:t>
        </x:is>
      </x:c>
      <x:c r="M161" s="519" t="inlineStr">
        <x:is>
          <x:t xml:space="preserve">CURRENT OWNER SOURCE</x:t>
        </x:is>
      </x:c>
      <x:c r="N161" s="519" t="n"/>
      <x:c r="O161" s="519" t="inlineStr">
        <x:is>
          <x:t xml:space="preserve">OUTSIDE LANDS</x:t>
        </x:is>
      </x:c>
      <x:c r="P161" s="520" t="inlineStr">
        <x:is>
          <x:t xml:space="preserve">Chain — minerals</x:t>
        </x:is>
      </x:c>
      <x:c r="Q161" s="520" t="inlineStr">
        <x:is>
          <x:t xml:space="preserve">Yes</x:t>
        </x:is>
      </x:c>
      <x:c r="R161" s="520" t="inlineStr">
        <x:is>
          <x:t xml:space="preserve">No</x:t>
        </x:is>
      </x:c>
      <x:c r="S161" s="520" t="inlineStr">
        <x:is>
          <x:t xml:space="preserve">Yes</x:t>
        </x:is>
      </x:c>
      <x:c r="T161" s="520" t="inlineStr">
        <x:is>
          <x:t xml:space="preserve">No</x:t>
        </x:is>
      </x:c>
      <x:c r="U161" s="520" t="inlineStr">
        <x:is>
          <x:t xml:space="preserve">Yes: 2 (legal supports)</x:t>
        </x:is>
      </x:c>
      <x:c r="V161" s="520" t="inlineStr">
        <x:is>
          <x:t xml:space="preserve">High</x:t>
        </x:is>
      </x:c>
      <x:c r="W161" s="520" t="inlineStr">
        <x:is>
          <x:t xml:space="preserve">Probable — name-normalized match to Runsheet 155 grantee; confirm</x:t>
        </x:is>
      </x:c>
      <x:c r="X161" s="520" t="inlineStr">
        <x:is>
          <x:t xml:space="preserve">Yes — on Tract 2 owner list</x:t>
        </x:is>
      </x:c>
      <x:c r="Y161" s="520" t="inlineStr">
        <x:is>
          <x:t xml:space="preserve">Candidate 0.00421156834750528 (helper — confirm from image)</x:t>
        </x:is>
      </x:c>
      <x:c r="Z161" s="520" t="inlineStr">
        <x:is>
          <x:t xml:space="preserve">Medium — helper value</x:t>
        </x:is>
      </x:c>
      <x:c r="AA161" s="520" t="inlineStr">
        <x:is>
          <x:t xml:space="preserve">Trustee's Mineral Deed — W. C. Bain Jr., as Trustee und to Juanita M. Wolff (1114/222)</x:t>
        </x:is>
      </x:c>
      <x:c r="AB161" s="520" t="inlineStr">
        <x:is>
          <x:t xml:space="preserve">Needs source review: grantor source</x:t>
        </x:is>
      </x:c>
    </x:row>
    <x:row r="162" s="520" customFormat="1" ht="48" customHeight="1">
      <x:c r="A162" s="519" t="inlineStr">
        <x:is>
          <x:t xml:space="preserve">1990-000906</x:t>
        </x:is>
      </x:c>
      <x:c r="B162" s="536" t="n"/>
      <x:c r="C162" s="536" t="inlineStr">
        <x:is>
          <x:t xml:space="preserve">Trustee's Mineral Deed</x:t>
        </x:is>
      </x:c>
      <x:c r="D162" s="536" t="inlineStr">
        <x:is>
          <x:t xml:space="preserve">1114/225</x:t>
        </x:is>
      </x:c>
      <x:c r="E162" s="537" t="n">
        <x:v>32920</x:v>
      </x:c>
      <x:c r="F162" s="537" t="n">
        <x:v>32920</x:v>
      </x:c>
      <x:c r="G162" s="538" t="inlineStr">
        <x:is>
          <x:t xml:space="preserve">W. C. Bain Jr., as Trustee under the Trust Agreement executed by Crystal F. Pallo</x:t>
        </x:is>
      </x:c>
      <x:c r="H162" s="538" t="inlineStr">
        <x:is>
          <x:t xml:space="preserve">W. C. Bain Jr.</x:t>
        </x:is>
      </x:c>
      <x:c r="I162" s="538" t="inlineStr">
        <x:is>
          <x:t xml:space="preserve">SW/4 NE/4, NW/4 SE/4, S/2 SE/4 of 31-12N-24W, aol</x:t>
        </x:is>
      </x:c>
      <x:c r="J162" s="538" t="inlineStr">
        <x:is>
          <x:t xml:space="preserve">An undivided 3.33333/791.47 interest in 2 sections</x:t>
        </x:is>
      </x:c>
      <x:c r="K162" s="518" t="e">
        <x:f>HYPERLINK("https://okcountyrecords.com/detail/roger+mills/1990-000906","OKCountyRecords: 1990-000906")</x:f>
      </x:c>
      <x:c r="L162" s="519" t="inlineStr">
        <x:is>
          <x:t xml:space="preserve">Mineral; basis Conv Amt(dec). Gross=tract-map basis.</x:t>
        </x:is>
      </x:c>
      <x:c r="M162" s="519" t="inlineStr">
        <x:is>
          <x:t xml:space="preserve">CURRENT OWNER SOURCE</x:t>
        </x:is>
      </x:c>
      <x:c r="N162" s="519" t="n"/>
      <x:c r="O162" s="519" t="inlineStr">
        <x:is>
          <x:t xml:space="preserve">OUTSIDE LANDS</x:t>
        </x:is>
      </x:c>
      <x:c r="P162" s="520" t="inlineStr">
        <x:is>
          <x:t xml:space="preserve">Chain — minerals</x:t>
        </x:is>
      </x:c>
      <x:c r="Q162" s="520" t="inlineStr">
        <x:is>
          <x:t xml:space="preserve">Yes</x:t>
        </x:is>
      </x:c>
      <x:c r="R162" s="520" t="inlineStr">
        <x:is>
          <x:t xml:space="preserve">No</x:t>
        </x:is>
      </x:c>
      <x:c r="S162" s="520" t="inlineStr">
        <x:is>
          <x:t xml:space="preserve">Yes</x:t>
        </x:is>
      </x:c>
      <x:c r="T162" s="520" t="inlineStr">
        <x:is>
          <x:t xml:space="preserve">No</x:t>
        </x:is>
      </x:c>
      <x:c r="U162" s="520" t="inlineStr">
        <x:is>
          <x:t xml:space="preserve">Yes: 2 (legal supports)</x:t>
        </x:is>
      </x:c>
      <x:c r="V162" s="520" t="inlineStr">
        <x:is>
          <x:t xml:space="preserve">High</x:t>
        </x:is>
      </x:c>
      <x:c r="W162" s="520" t="inlineStr">
        <x:is>
          <x:t xml:space="preserve">Probable — name-normalized match to Runsheet 155 grantee; confirm</x:t>
        </x:is>
      </x:c>
      <x:c r="X162" s="520" t="inlineStr">
        <x:is>
          <x:t xml:space="preserve">Review</x:t>
        </x:is>
      </x:c>
      <x:c r="Y162" s="520" t="inlineStr">
        <x:is>
          <x:t xml:space="preserve">Candidate 0.00421156834750528 (helper — confirm from image)</x:t>
        </x:is>
      </x:c>
      <x:c r="Z162" s="520" t="inlineStr">
        <x:is>
          <x:t xml:space="preserve">Medium — helper value</x:t>
        </x:is>
      </x:c>
      <x:c r="AA162" s="520" t="inlineStr">
        <x:is>
          <x:t xml:space="preserve">Trustee's Mineral Deed — W. C. Bain Jr., as Trustee und to W. C. Bain Jr. (1114/225)</x:t>
        </x:is>
      </x:c>
      <x:c r="AB162" s="520" t="inlineStr">
        <x:is>
          <x:t xml:space="preserve">Needs source review: grantor source</x:t>
        </x:is>
      </x:c>
    </x:row>
    <x:row r="163" s="520" customFormat="1" ht="48" customHeight="1">
      <x:c r="A163" s="519" t="inlineStr">
        <x:is>
          <x:t xml:space="preserve">1990-000907</x:t>
        </x:is>
      </x:c>
      <x:c r="B163" s="536" t="n"/>
      <x:c r="C163" s="536" t="inlineStr">
        <x:is>
          <x:t xml:space="preserve">Trustee's Mineral Deed</x:t>
        </x:is>
      </x:c>
      <x:c r="D163" s="536" t="inlineStr">
        <x:is>
          <x:t xml:space="preserve">1114/228</x:t>
        </x:is>
      </x:c>
      <x:c r="E163" s="537" t="n">
        <x:v>32920</x:v>
      </x:c>
      <x:c r="F163" s="537" t="n">
        <x:v>32920</x:v>
      </x:c>
      <x:c r="G163" s="538" t="inlineStr">
        <x:is>
          <x:t xml:space="preserve">W. C. Bain Jr., as Trustee under the Trust Agreement executed by Crystal F. Pallo</x:t>
        </x:is>
      </x:c>
      <x:c r="H163" s="538" t="inlineStr">
        <x:is>
          <x:t xml:space="preserve">Opal L. Fuchs</x:t>
        </x:is>
      </x:c>
      <x:c r="I163" s="538" t="inlineStr">
        <x:is>
          <x:t xml:space="preserve">SW/4 NE/4, NW/4 SE/4, S/2 SE/4 of 31-12N-24W, aol</x:t>
        </x:is>
      </x:c>
      <x:c r="J163" s="538" t="inlineStr">
        <x:is>
          <x:t xml:space="preserve">An undivided 3.33333/791.47 interest in 2 sections</x:t>
        </x:is>
      </x:c>
      <x:c r="K163" s="518" t="e">
        <x:f>HYPERLINK("https://okcountyrecords.com/detail/roger+mills/1990-000907","OKCountyRecords: 1990-000907")</x:f>
      </x:c>
      <x:c r="L163" s="519" t="inlineStr">
        <x:is>
          <x:t xml:space="preserve">Mineral; basis Conv Amt(dec). Gross=tract-map basis.</x:t>
        </x:is>
      </x:c>
      <x:c r="M163" s="519" t="inlineStr">
        <x:is>
          <x:t xml:space="preserve">CURRENT OWNER SOURCE</x:t>
        </x:is>
      </x:c>
      <x:c r="N163" s="519" t="n"/>
      <x:c r="O163" s="519" t="inlineStr">
        <x:is>
          <x:t xml:space="preserve">OUTSIDE LANDS</x:t>
        </x:is>
      </x:c>
      <x:c r="P163" s="520" t="inlineStr">
        <x:is>
          <x:t xml:space="preserve">Chain — minerals</x:t>
        </x:is>
      </x:c>
      <x:c r="Q163" s="520" t="inlineStr">
        <x:is>
          <x:t xml:space="preserve">Yes</x:t>
        </x:is>
      </x:c>
      <x:c r="R163" s="520" t="inlineStr">
        <x:is>
          <x:t xml:space="preserve">No</x:t>
        </x:is>
      </x:c>
      <x:c r="S163" s="520" t="inlineStr">
        <x:is>
          <x:t xml:space="preserve">Yes</x:t>
        </x:is>
      </x:c>
      <x:c r="T163" s="520" t="inlineStr">
        <x:is>
          <x:t xml:space="preserve">No</x:t>
        </x:is>
      </x:c>
      <x:c r="U163" s="520" t="inlineStr">
        <x:is>
          <x:t xml:space="preserve">Yes: 2 (legal supports)</x:t>
        </x:is>
      </x:c>
      <x:c r="V163" s="520" t="inlineStr">
        <x:is>
          <x:t xml:space="preserve">High</x:t>
        </x:is>
      </x:c>
      <x:c r="W163" s="520" t="inlineStr">
        <x:is>
          <x:t xml:space="preserve">Probable — name-normalized match to Runsheet 155 grantee; confirm</x:t>
        </x:is>
      </x:c>
      <x:c r="X163" s="520" t="inlineStr">
        <x:is>
          <x:t xml:space="preserve">Yes — on Tract 2 owner list</x:t>
        </x:is>
      </x:c>
      <x:c r="Y163" s="520" t="inlineStr">
        <x:is>
          <x:t xml:space="preserve">Candidate 0.00421156834750528 (helper — confirm from image)</x:t>
        </x:is>
      </x:c>
      <x:c r="Z163" s="520" t="inlineStr">
        <x:is>
          <x:t xml:space="preserve">Medium — helper value</x:t>
        </x:is>
      </x:c>
      <x:c r="AA163" s="520" t="inlineStr">
        <x:is>
          <x:t xml:space="preserve">Trustee's Mineral Deed — W. C. Bain Jr., as Trustee und to Opal L. Fuchs (1114/228)</x:t>
        </x:is>
      </x:c>
      <x:c r="AB163" s="520" t="inlineStr">
        <x:is>
          <x:t xml:space="preserve">Needs source review: grantor source</x:t>
        </x:is>
      </x:c>
    </x:row>
    <x:row r="164" s="520" customFormat="1" ht="48" customHeight="1">
      <x:c r="A164" s="519" t="inlineStr">
        <x:is>
          <x:t xml:space="preserve">1990-000908</x:t>
        </x:is>
      </x:c>
      <x:c r="B164" s="536" t="n"/>
      <x:c r="C164" s="536" t="inlineStr">
        <x:is>
          <x:t xml:space="preserve">Trustee's Mineral Deed</x:t>
        </x:is>
      </x:c>
      <x:c r="D164" s="536" t="inlineStr">
        <x:is>
          <x:t xml:space="preserve">1114/231</x:t>
        </x:is>
      </x:c>
      <x:c r="E164" s="537" t="n">
        <x:v>32920</x:v>
      </x:c>
      <x:c r="F164" s="537" t="n">
        <x:v>32920</x:v>
      </x:c>
      <x:c r="G164" s="538" t="inlineStr">
        <x:is>
          <x:t xml:space="preserve">W. C. Bain Jr., as Trustee under the Trust Agreement executed by Crystal F. Pallo</x:t>
        </x:is>
      </x:c>
      <x:c r="H164" s="538" t="inlineStr">
        <x:is>
          <x:t xml:space="preserve">Wilda E. Jensen</x:t>
        </x:is>
      </x:c>
      <x:c r="I164" s="538" t="inlineStr">
        <x:is>
          <x:t xml:space="preserve">SW/4 NE/4, NW/4 SE/4, S/2 SE/4 of 31-12N-24W, aol</x:t>
        </x:is>
      </x:c>
      <x:c r="J164" s="538" t="inlineStr">
        <x:is>
          <x:t xml:space="preserve">An undivided 3.33333/791.47 interest in 2 sections</x:t>
        </x:is>
      </x:c>
      <x:c r="K164" s="518" t="e">
        <x:f>HYPERLINK("https://okcountyrecords.com/detail/roger+mills/1990-000908","OKCountyRecords: 1990-000908")</x:f>
      </x:c>
      <x:c r="L164" s="519" t="inlineStr">
        <x:is>
          <x:t xml:space="preserve">Mineral; basis Conv Amt(dec). Gross=tract-map basis.</x:t>
        </x:is>
      </x:c>
      <x:c r="M164" s="519" t="inlineStr">
        <x:is>
          <x:t xml:space="preserve">CURRENT OWNER SOURCE</x:t>
        </x:is>
      </x:c>
      <x:c r="N164" s="519" t="n"/>
      <x:c r="O164" s="519" t="inlineStr">
        <x:is>
          <x:t xml:space="preserve">OUTSIDE LANDS</x:t>
        </x:is>
      </x:c>
      <x:c r="P164" s="520" t="inlineStr">
        <x:is>
          <x:t xml:space="preserve">Chain — minerals</x:t>
        </x:is>
      </x:c>
      <x:c r="Q164" s="520" t="inlineStr">
        <x:is>
          <x:t xml:space="preserve">Yes</x:t>
        </x:is>
      </x:c>
      <x:c r="R164" s="520" t="inlineStr">
        <x:is>
          <x:t xml:space="preserve">No</x:t>
        </x:is>
      </x:c>
      <x:c r="S164" s="520" t="inlineStr">
        <x:is>
          <x:t xml:space="preserve">Yes</x:t>
        </x:is>
      </x:c>
      <x:c r="T164" s="520" t="inlineStr">
        <x:is>
          <x:t xml:space="preserve">No</x:t>
        </x:is>
      </x:c>
      <x:c r="U164" s="520" t="inlineStr">
        <x:is>
          <x:t xml:space="preserve">Yes: 2 (legal supports)</x:t>
        </x:is>
      </x:c>
      <x:c r="V164" s="520" t="inlineStr">
        <x:is>
          <x:t xml:space="preserve">High</x:t>
        </x:is>
      </x:c>
      <x:c r="W164" s="520" t="inlineStr">
        <x:is>
          <x:t xml:space="preserve">Probable — name-normalized match to Runsheet 155 grantee; confirm</x:t>
        </x:is>
      </x:c>
      <x:c r="X164" s="520" t="inlineStr">
        <x:is>
          <x:t xml:space="preserve">Yes — on Tract 2 owner list</x:t>
        </x:is>
      </x:c>
      <x:c r="Y164" s="520" t="inlineStr">
        <x:is>
          <x:t xml:space="preserve">Candidate 0.00421156834750528 (helper — confirm from image)</x:t>
        </x:is>
      </x:c>
      <x:c r="Z164" s="520" t="inlineStr">
        <x:is>
          <x:t xml:space="preserve">Medium — helper value</x:t>
        </x:is>
      </x:c>
      <x:c r="AA164" s="520" t="inlineStr">
        <x:is>
          <x:t xml:space="preserve">Trustee's Mineral Deed — W. C. Bain Jr., as Trustee und to Wilda E. Jensen (1114/231)</x:t>
        </x:is>
      </x:c>
      <x:c r="AB164" s="520" t="inlineStr">
        <x:is>
          <x:t xml:space="preserve">Needs source review: grantor source</x:t>
        </x:is>
      </x:c>
    </x:row>
    <x:row r="165" s="520" customFormat="1" ht="48" customHeight="1">
      <x:c r="A165" s="519" t="inlineStr">
        <x:is>
          <x:t xml:space="preserve">1990-000909</x:t>
        </x:is>
      </x:c>
      <x:c r="B165" s="536" t="n"/>
      <x:c r="C165" s="536" t="inlineStr">
        <x:is>
          <x:t xml:space="preserve">Trustee's Mineral Deed</x:t>
        </x:is>
      </x:c>
      <x:c r="D165" s="536" t="inlineStr">
        <x:is>
          <x:t xml:space="preserve">1114/234</x:t>
        </x:is>
      </x:c>
      <x:c r="E165" s="537" t="n">
        <x:v>32920</x:v>
      </x:c>
      <x:c r="F165" s="537" t="n">
        <x:v>32920</x:v>
      </x:c>
      <x:c r="G165" s="538" t="inlineStr">
        <x:is>
          <x:t xml:space="preserve">W. C. Bain Jr., as Trustee under the Trust Agreement executed by Crystal F. Pallo</x:t>
        </x:is>
      </x:c>
      <x:c r="H165" s="538" t="inlineStr">
        <x:is>
          <x:t xml:space="preserve">Hazel A. Hamilton</x:t>
        </x:is>
      </x:c>
      <x:c r="I165" s="538" t="inlineStr">
        <x:is>
          <x:t xml:space="preserve">SW/4 NE/4, NW/4 SE/4, S/2 SE/4 of 31-12N-24W, aol</x:t>
        </x:is>
      </x:c>
      <x:c r="J165" s="538" t="inlineStr">
        <x:is>
          <x:t xml:space="preserve">An undivided 3.33333/791.47 interest in 2 sections</x:t>
        </x:is>
      </x:c>
      <x:c r="K165" s="518" t="e">
        <x:f>HYPERLINK("https://okcountyrecords.com/detail/roger+mills/1990-000909","OKCountyRecords: 1990-000909")</x:f>
      </x:c>
      <x:c r="L165" s="519" t="inlineStr">
        <x:is>
          <x:t xml:space="preserve">Mineral; basis Conv Amt(dec). Gross=tract-map basis.</x:t>
        </x:is>
      </x:c>
      <x:c r="M165" s="519" t="inlineStr">
        <x:is>
          <x:t xml:space="preserve">CURRENT OWNER SOURCE</x:t>
        </x:is>
      </x:c>
      <x:c r="N165" s="519" t="n"/>
      <x:c r="O165" s="519" t="inlineStr">
        <x:is>
          <x:t xml:space="preserve">OUTSIDE LANDS</x:t>
        </x:is>
      </x:c>
      <x:c r="P165" s="520" t="inlineStr">
        <x:is>
          <x:t xml:space="preserve">Chain — minerals</x:t>
        </x:is>
      </x:c>
      <x:c r="Q165" s="520" t="inlineStr">
        <x:is>
          <x:t xml:space="preserve">Yes</x:t>
        </x:is>
      </x:c>
      <x:c r="R165" s="520" t="inlineStr">
        <x:is>
          <x:t xml:space="preserve">No</x:t>
        </x:is>
      </x:c>
      <x:c r="S165" s="520" t="inlineStr">
        <x:is>
          <x:t xml:space="preserve">Yes</x:t>
        </x:is>
      </x:c>
      <x:c r="T165" s="520" t="inlineStr">
        <x:is>
          <x:t xml:space="preserve">No</x:t>
        </x:is>
      </x:c>
      <x:c r="U165" s="520" t="inlineStr">
        <x:is>
          <x:t xml:space="preserve">Yes: 2 (legal supports)</x:t>
        </x:is>
      </x:c>
      <x:c r="V165" s="520" t="inlineStr">
        <x:is>
          <x:t xml:space="preserve">High</x:t>
        </x:is>
      </x:c>
      <x:c r="W165" s="520" t="inlineStr">
        <x:is>
          <x:t xml:space="preserve">Probable — name-normalized match to Runsheet 155 grantee; confirm</x:t>
        </x:is>
      </x:c>
      <x:c r="X165" s="520" t="inlineStr">
        <x:is>
          <x:t xml:space="preserve">Yes — on Tract 2 owner list</x:t>
        </x:is>
      </x:c>
      <x:c r="Y165" s="520" t="inlineStr">
        <x:is>
          <x:t xml:space="preserve">Candidate 0.00421156834750528 (helper — confirm from image)</x:t>
        </x:is>
      </x:c>
      <x:c r="Z165" s="520" t="inlineStr">
        <x:is>
          <x:t xml:space="preserve">Medium — helper value</x:t>
        </x:is>
      </x:c>
      <x:c r="AA165" s="520" t="inlineStr">
        <x:is>
          <x:t xml:space="preserve">Trustee's Mineral Deed — W. C. Bain Jr., as Trustee und to Hazel A. Hamilton (1114/234)</x:t>
        </x:is>
      </x:c>
      <x:c r="AB165" s="520" t="inlineStr">
        <x:is>
          <x:t xml:space="preserve">Needs source review: grantor source</x:t>
        </x:is>
      </x:c>
    </x:row>
    <x:row r="166" s="520" customFormat="1" ht="48" customHeight="1">
      <x:c r="A166" s="519" t="inlineStr">
        <x:is>
          <x:t xml:space="preserve">1990-000910</x:t>
        </x:is>
      </x:c>
      <x:c r="B166" s="536" t="n"/>
      <x:c r="C166" s="536" t="inlineStr">
        <x:is>
          <x:t xml:space="preserve">Trustee's Mineral Deed</x:t>
        </x:is>
      </x:c>
      <x:c r="D166" s="536" t="inlineStr">
        <x:is>
          <x:t xml:space="preserve">1114/237</x:t>
        </x:is>
      </x:c>
      <x:c r="E166" s="537" t="n">
        <x:v>32920</x:v>
      </x:c>
      <x:c r="F166" s="537" t="n">
        <x:v>32920</x:v>
      </x:c>
      <x:c r="G166" s="538" t="inlineStr">
        <x:is>
          <x:t xml:space="preserve">W. C. Bain Jr., as Trustee under the Trust Agreement executed by Crystal F. Pallo</x:t>
        </x:is>
      </x:c>
      <x:c r="H166" s="538" t="inlineStr">
        <x:is>
          <x:t xml:space="preserve">Dow C. Bain</x:t>
        </x:is>
      </x:c>
      <x:c r="I166" s="538" t="inlineStr">
        <x:is>
          <x:t xml:space="preserve">SW/4 NE/4, NW/4 SE/4, S/2 SE/4 of 31-12N-24W, aol</x:t>
        </x:is>
      </x:c>
      <x:c r="J166" s="538" t="inlineStr">
        <x:is>
          <x:t xml:space="preserve">An undivided 3.33333/791.47 interest in 2 sections</x:t>
        </x:is>
      </x:c>
      <x:c r="K166" s="518" t="e">
        <x:f>HYPERLINK("https://okcountyrecords.com/detail/roger+mills/1990-000910","OKCountyRecords: 1990-000910")</x:f>
      </x:c>
      <x:c r="L166" s="519" t="inlineStr">
        <x:is>
          <x:t xml:space="preserve">Mineral; basis Conv Amt(dec). Gross=tract-map basis.</x:t>
        </x:is>
      </x:c>
      <x:c r="M166" s="519" t="n"/>
      <x:c r="N166" s="519" t="n"/>
      <x:c r="O166" s="519" t="inlineStr">
        <x:is>
          <x:t xml:space="preserve">OUTSIDE LANDS</x:t>
        </x:is>
      </x:c>
      <x:c r="P166" s="520" t="inlineStr">
        <x:is>
          <x:t xml:space="preserve">Chain — minerals</x:t>
        </x:is>
      </x:c>
      <x:c r="Q166" s="520" t="inlineStr">
        <x:is>
          <x:t xml:space="preserve">Yes</x:t>
        </x:is>
      </x:c>
      <x:c r="R166" s="520" t="inlineStr">
        <x:is>
          <x:t xml:space="preserve">No</x:t>
        </x:is>
      </x:c>
      <x:c r="S166" s="520" t="inlineStr">
        <x:is>
          <x:t xml:space="preserve">Yes</x:t>
        </x:is>
      </x:c>
      <x:c r="T166" s="520" t="inlineStr">
        <x:is>
          <x:t xml:space="preserve">No</x:t>
        </x:is>
      </x:c>
      <x:c r="U166" s="520" t="inlineStr">
        <x:is>
          <x:t xml:space="preserve">Yes: 2 (legal supports)</x:t>
        </x:is>
      </x:c>
      <x:c r="V166" s="520" t="inlineStr">
        <x:is>
          <x:t xml:space="preserve">High</x:t>
        </x:is>
      </x:c>
      <x:c r="W166" s="520" t="inlineStr">
        <x:is>
          <x:t xml:space="preserve">Probable — name-normalized match to Runsheet 155 grantee; confirm</x:t>
        </x:is>
      </x:c>
      <x:c r="X166" s="520" t="inlineStr">
        <x:is>
          <x:t xml:space="preserve">Yes — on Tract 2 owner list</x:t>
        </x:is>
      </x:c>
      <x:c r="Y166" s="520" t="inlineStr">
        <x:is>
          <x:t xml:space="preserve">Candidate 0.00421156834750528 (helper — confirm from image)</x:t>
        </x:is>
      </x:c>
      <x:c r="Z166" s="520" t="inlineStr">
        <x:is>
          <x:t xml:space="preserve">Medium — helper value</x:t>
        </x:is>
      </x:c>
      <x:c r="AA166" s="520" t="inlineStr">
        <x:is>
          <x:t xml:space="preserve">Trustee's Mineral Deed — W. C. Bain Jr., as Trustee und to Dow C. Bain (1114/237)</x:t>
        </x:is>
      </x:c>
      <x:c r="AB166" s="520" t="inlineStr">
        <x:is>
          <x:t xml:space="preserve">Needs source review: grantor source</x:t>
        </x:is>
      </x:c>
    </x:row>
    <x:row r="167" s="520" customFormat="1" ht="48" customHeight="1">
      <x:c r="A167" s="519" t="inlineStr">
        <x:is>
          <x:t xml:space="preserve">1990-000911</x:t>
        </x:is>
      </x:c>
      <x:c r="B167" s="536" t="n"/>
      <x:c r="C167" s="536" t="inlineStr">
        <x:is>
          <x:t xml:space="preserve">Trustee's Mineral Deed</x:t>
        </x:is>
      </x:c>
      <x:c r="D167" s="536" t="inlineStr">
        <x:is>
          <x:t xml:space="preserve">1114/240</x:t>
        </x:is>
      </x:c>
      <x:c r="E167" s="537" t="n">
        <x:v>32920</x:v>
      </x:c>
      <x:c r="F167" s="537" t="n">
        <x:v>32920</x:v>
      </x:c>
      <x:c r="G167" s="538" t="inlineStr">
        <x:is>
          <x:t xml:space="preserve">W. C. Bain Jr., as Trustee under the Trust Agreement executed by Crystal F. Pallo</x:t>
        </x:is>
      </x:c>
      <x:c r="H167" s="538" t="inlineStr">
        <x:is>
          <x:t xml:space="preserve">Billy W. Bain</x:t>
        </x:is>
      </x:c>
      <x:c r="I167" s="538" t="inlineStr">
        <x:is>
          <x:t xml:space="preserve">SW/4 NE/4, NW/4 SE/4, S/2 SE/4 of 31-12N-24W, aol</x:t>
        </x:is>
      </x:c>
      <x:c r="J167" s="538" t="inlineStr">
        <x:is>
          <x:t xml:space="preserve">An undivided 3.33333/791.47 interest in 2 sections</x:t>
        </x:is>
      </x:c>
      <x:c r="K167" s="518" t="e">
        <x:f>HYPERLINK("https://okcountyrecords.com/detail/roger+mills/1990-000911","OKCountyRecords: 1990-000911")</x:f>
      </x:c>
      <x:c r="L167" s="519" t="inlineStr">
        <x:is>
          <x:t xml:space="preserve">Mineral; basis Conv Amt(dec). Gross=tract-map basis.</x:t>
        </x:is>
      </x:c>
      <x:c r="M167" s="519" t="inlineStr">
        <x:is>
          <x:t xml:space="preserve">CURRENT OWNER SOURCE</x:t>
        </x:is>
      </x:c>
      <x:c r="N167" s="519" t="n"/>
      <x:c r="O167" s="519" t="inlineStr">
        <x:is>
          <x:t xml:space="preserve">OUTSIDE LANDS</x:t>
        </x:is>
      </x:c>
      <x:c r="P167" s="520" t="inlineStr">
        <x:is>
          <x:t xml:space="preserve">Chain — minerals</x:t>
        </x:is>
      </x:c>
      <x:c r="Q167" s="520" t="inlineStr">
        <x:is>
          <x:t xml:space="preserve">Yes</x:t>
        </x:is>
      </x:c>
      <x:c r="R167" s="520" t="inlineStr">
        <x:is>
          <x:t xml:space="preserve">No</x:t>
        </x:is>
      </x:c>
      <x:c r="S167" s="520" t="inlineStr">
        <x:is>
          <x:t xml:space="preserve">Yes</x:t>
        </x:is>
      </x:c>
      <x:c r="T167" s="520" t="inlineStr">
        <x:is>
          <x:t xml:space="preserve">No</x:t>
        </x:is>
      </x:c>
      <x:c r="U167" s="520" t="inlineStr">
        <x:is>
          <x:t xml:space="preserve">Yes: 2 (legal supports)</x:t>
        </x:is>
      </x:c>
      <x:c r="V167" s="520" t="inlineStr">
        <x:is>
          <x:t xml:space="preserve">High</x:t>
        </x:is>
      </x:c>
      <x:c r="W167" s="520" t="inlineStr">
        <x:is>
          <x:t xml:space="preserve">Probable — name-normalized match to Runsheet 155 grantee; confirm</x:t>
        </x:is>
      </x:c>
      <x:c r="X167" s="520" t="inlineStr">
        <x:is>
          <x:t xml:space="preserve">Review</x:t>
        </x:is>
      </x:c>
      <x:c r="Y167" s="520" t="inlineStr">
        <x:is>
          <x:t xml:space="preserve">Candidate 0.00421156834750528 (helper — confirm from image)</x:t>
        </x:is>
      </x:c>
      <x:c r="Z167" s="520" t="inlineStr">
        <x:is>
          <x:t xml:space="preserve">Medium — helper value</x:t>
        </x:is>
      </x:c>
      <x:c r="AA167" s="520" t="inlineStr">
        <x:is>
          <x:t xml:space="preserve">Trustee's Mineral Deed — W. C. Bain Jr., as Trustee und to Billy W. Bain (1114/240)</x:t>
        </x:is>
      </x:c>
      <x:c r="AB167" s="520" t="inlineStr">
        <x:is>
          <x:t xml:space="preserve">Needs source review: grantor source</x:t>
        </x:is>
      </x:c>
    </x:row>
    <x:row r="168" s="520" customFormat="1" ht="48" customHeight="1">
      <x:c r="A168" s="519" t="inlineStr">
        <x:is>
          <x:t xml:space="preserve">1990-000912</x:t>
        </x:is>
      </x:c>
      <x:c r="B168" s="536" t="n"/>
      <x:c r="C168" s="536" t="inlineStr">
        <x:is>
          <x:t xml:space="preserve">Trustee's Mineral Deed</x:t>
        </x:is>
      </x:c>
      <x:c r="D168" s="536" t="inlineStr">
        <x:is>
          <x:t xml:space="preserve">1114/243</x:t>
        </x:is>
      </x:c>
      <x:c r="E168" s="537" t="n">
        <x:v>32920</x:v>
      </x:c>
      <x:c r="F168" s="537" t="n">
        <x:v>32920</x:v>
      </x:c>
      <x:c r="G168" s="538" t="inlineStr">
        <x:is>
          <x:t xml:space="preserve">W. C. Bain Jr., as Trustee under the Trust Agreement executed by Crystal F. Pallo</x:t>
        </x:is>
      </x:c>
      <x:c r="H168" s="538" t="inlineStr">
        <x:is>
          <x:t xml:space="preserve">Clarence C. Bain</x:t>
        </x:is>
      </x:c>
      <x:c r="I168" s="538" t="inlineStr">
        <x:is>
          <x:t xml:space="preserve">SW/4 NE/4, NW/4 SE/4, S/2 SE/4 of 31-12N-24W, aol</x:t>
        </x:is>
      </x:c>
      <x:c r="J168" s="538" t="inlineStr">
        <x:is>
          <x:t xml:space="preserve">An undivided 3.33333/791.47 interest in 2 sections</x:t>
        </x:is>
      </x:c>
      <x:c r="K168" s="518" t="e">
        <x:f>HYPERLINK("https://okcountyrecords.com/detail/roger+mills/1990-000912","OKCountyRecords: 1990-000912")</x:f>
      </x:c>
      <x:c r="L168" s="519" t="inlineStr">
        <x:is>
          <x:t xml:space="preserve">Mineral; basis Conv Amt(dec). Gross=tract-map basis.</x:t>
        </x:is>
      </x:c>
      <x:c r="M168" s="519" t="n"/>
      <x:c r="N168" s="519" t="n"/>
      <x:c r="O168" s="519" t="inlineStr">
        <x:is>
          <x:t xml:space="preserve">OUTSIDE LANDS</x:t>
        </x:is>
      </x:c>
      <x:c r="P168" s="520" t="inlineStr">
        <x:is>
          <x:t xml:space="preserve">Chain — minerals</x:t>
        </x:is>
      </x:c>
      <x:c r="Q168" s="520" t="inlineStr">
        <x:is>
          <x:t xml:space="preserve">Yes</x:t>
        </x:is>
      </x:c>
      <x:c r="R168" s="520" t="inlineStr">
        <x:is>
          <x:t xml:space="preserve">No</x:t>
        </x:is>
      </x:c>
      <x:c r="S168" s="520" t="inlineStr">
        <x:is>
          <x:t xml:space="preserve">Yes</x:t>
        </x:is>
      </x:c>
      <x:c r="T168" s="520" t="inlineStr">
        <x:is>
          <x:t xml:space="preserve">No</x:t>
        </x:is>
      </x:c>
      <x:c r="U168" s="520" t="inlineStr">
        <x:is>
          <x:t xml:space="preserve">Yes: 2 (legal supports)</x:t>
        </x:is>
      </x:c>
      <x:c r="V168" s="520" t="inlineStr">
        <x:is>
          <x:t xml:space="preserve">High</x:t>
        </x:is>
      </x:c>
      <x:c r="W168" s="520" t="inlineStr">
        <x:is>
          <x:t xml:space="preserve">Probable — name-normalized match to Runsheet 155 grantee; confirm</x:t>
        </x:is>
      </x:c>
      <x:c r="X168" s="520" t="inlineStr">
        <x:is>
          <x:t xml:space="preserve">Yes — on Tract 2 owner list</x:t>
        </x:is>
      </x:c>
      <x:c r="Y168" s="520" t="inlineStr">
        <x:is>
          <x:t xml:space="preserve">Candidate 0.00421156834750528 (helper — confirm from image)</x:t>
        </x:is>
      </x:c>
      <x:c r="Z168" s="520" t="inlineStr">
        <x:is>
          <x:t xml:space="preserve">Medium — helper value</x:t>
        </x:is>
      </x:c>
      <x:c r="AA168" s="520" t="inlineStr">
        <x:is>
          <x:t xml:space="preserve">Trustee's Mineral Deed — W. C. Bain Jr., as Trustee und to Clarence C. Bain (1114/243)</x:t>
        </x:is>
      </x:c>
      <x:c r="AB168" s="520" t="inlineStr">
        <x:is>
          <x:t xml:space="preserve">Needs source review: grantor source</x:t>
        </x:is>
      </x:c>
    </x:row>
    <x:row r="169" s="520" customFormat="1" ht="48" customHeight="1">
      <x:c r="A169" s="519" t="inlineStr">
        <x:is>
          <x:t xml:space="preserve">1990-000913</x:t>
        </x:is>
      </x:c>
      <x:c r="B169" s="536" t="n"/>
      <x:c r="C169" s="536" t="inlineStr">
        <x:is>
          <x:t xml:space="preserve">Trustee's Mineral Deed</x:t>
        </x:is>
      </x:c>
      <x:c r="D169" s="536" t="inlineStr">
        <x:is>
          <x:t xml:space="preserve">1114/246</x:t>
        </x:is>
      </x:c>
      <x:c r="E169" s="537" t="n">
        <x:v>32920</x:v>
      </x:c>
      <x:c r="F169" s="537" t="n">
        <x:v>32920</x:v>
      </x:c>
      <x:c r="G169" s="538" t="inlineStr">
        <x:is>
          <x:t xml:space="preserve">W. C. Bain Jr., as Trustee under the Trust Agreement executed by Crystal F. Pallo</x:t>
        </x:is>
      </x:c>
      <x:c r="H169" s="538" t="inlineStr">
        <x:is>
          <x:t xml:space="preserve">Carl L. Bain</x:t>
        </x:is>
      </x:c>
      <x:c r="I169" s="538" t="inlineStr">
        <x:is>
          <x:t xml:space="preserve">SW/4 NE/4, NW/4 SE/4, S/2 SE/4 of 31-12N-24W, aol</x:t>
        </x:is>
      </x:c>
      <x:c r="J169" s="538" t="inlineStr">
        <x:is>
          <x:t xml:space="preserve">An undivided 3.33333/791.47 interest in 2 sections</x:t>
        </x:is>
      </x:c>
      <x:c r="K169" s="518" t="e">
        <x:f>HYPERLINK("https://okcountyrecords.com/detail/roger+mills/1990-000913","OKCountyRecords: 1990-000913")</x:f>
      </x:c>
      <x:c r="L169" s="519" t="inlineStr">
        <x:is>
          <x:t xml:space="preserve">Mineral; basis Conv Amt(dec). Gross=tract-map basis.</x:t>
        </x:is>
      </x:c>
      <x:c r="M169" s="519" t="inlineStr">
        <x:is>
          <x:t xml:space="preserve">CURRENT OWNER SOURCE</x:t>
        </x:is>
      </x:c>
      <x:c r="N169" s="519" t="n"/>
      <x:c r="O169" s="519" t="inlineStr">
        <x:is>
          <x:t xml:space="preserve">OUTSIDE LANDS</x:t>
        </x:is>
      </x:c>
      <x:c r="P169" s="520" t="inlineStr">
        <x:is>
          <x:t xml:space="preserve">Chain — minerals</x:t>
        </x:is>
      </x:c>
      <x:c r="Q169" s="520" t="inlineStr">
        <x:is>
          <x:t xml:space="preserve">Yes</x:t>
        </x:is>
      </x:c>
      <x:c r="R169" s="520" t="inlineStr">
        <x:is>
          <x:t xml:space="preserve">No</x:t>
        </x:is>
      </x:c>
      <x:c r="S169" s="520" t="inlineStr">
        <x:is>
          <x:t xml:space="preserve">Yes</x:t>
        </x:is>
      </x:c>
      <x:c r="T169" s="520" t="inlineStr">
        <x:is>
          <x:t xml:space="preserve">No</x:t>
        </x:is>
      </x:c>
      <x:c r="U169" s="520" t="inlineStr">
        <x:is>
          <x:t xml:space="preserve">Yes: 2 (legal supports)</x:t>
        </x:is>
      </x:c>
      <x:c r="V169" s="520" t="inlineStr">
        <x:is>
          <x:t xml:space="preserve">High</x:t>
        </x:is>
      </x:c>
      <x:c r="W169" s="520" t="inlineStr">
        <x:is>
          <x:t xml:space="preserve">Probable — name-normalized match to Runsheet 155 grantee; confirm</x:t>
        </x:is>
      </x:c>
      <x:c r="X169" s="520" t="inlineStr">
        <x:is>
          <x:t xml:space="preserve">Yes — on Tract 2 owner list</x:t>
        </x:is>
      </x:c>
      <x:c r="Y169" s="520" t="inlineStr">
        <x:is>
          <x:t xml:space="preserve">Candidate 0.00421156834750528 (helper — confirm from image)</x:t>
        </x:is>
      </x:c>
      <x:c r="Z169" s="520" t="inlineStr">
        <x:is>
          <x:t xml:space="preserve">Medium — helper value</x:t>
        </x:is>
      </x:c>
      <x:c r="AA169" s="520" t="inlineStr">
        <x:is>
          <x:t xml:space="preserve">Trustee's Mineral Deed — W. C. Bain Jr., as Trustee und to Carl L. Bain (1114/246)</x:t>
        </x:is>
      </x:c>
      <x:c r="AB169" s="520" t="inlineStr">
        <x:is>
          <x:t xml:space="preserve">Needs source review: grantor source</x:t>
        </x:is>
      </x:c>
    </x:row>
    <x:row r="170" s="520" customFormat="1" ht="60" customHeight="1">
      <x:c r="A170" s="519" t="inlineStr">
        <x:is>
          <x:t xml:space="preserve">1990-001592</x:t>
        </x:is>
      </x:c>
      <x:c r="B170" s="536" t="n"/>
      <x:c r="C170" s="536" t="inlineStr">
        <x:is>
          <x:t xml:space="preserve">Order and Final Decree</x:t>
        </x:is>
      </x:c>
      <x:c r="D170" s="536" t="inlineStr">
        <x:is>
          <x:t xml:space="preserve">1122/69</x:t>
        </x:is>
      </x:c>
      <x:c r="E170" s="537" t="n">
        <x:v>32952</x:v>
      </x:c>
      <x:c r="F170" s="537" t="n">
        <x:v>32952</x:v>
      </x:c>
      <x:c r="G170" s="538" t="inlineStr">
        <x:is>
          <x:t xml:space="preserve">Beckham County Court,
RE: In the Matter of the Estate of Evan K. Fuchs, Deceased</x:t>
        </x:is>
      </x:c>
      <x:c r="H170" s="538" t="inlineStr">
        <x:is>
          <x:t xml:space="preserve">Clayton D. Fuchs, 1/4,
Westal W. Fuchs, 1/4,
Chloe Ellen Fuchs Davis, 1/4,
Curtis Fuchs, 1/8,
Rita Wilson, 1/8</x:t>
        </x:is>
      </x:c>
      <x:c r="I170" s="538" t="inlineStr">
        <x:is>
          <x:t xml:space="preserve">SW/4 NE/4, NW/4 SE/4, S/2 SE/4 of 31-12N-24W, aol</x:t>
        </x:is>
      </x:c>
      <x:c r="J170" s="538" t="inlineStr">
        <x:is>
          <x:t xml:space="preserve">ARTI</x:t>
        </x:is>
      </x:c>
      <x:c r="K170" s="518" t="e">
        <x:f>HYPERLINK("https://okcountyrecords.com/detail/roger+mills/1990-001592","OKCountyRecords: 1990-001592")</x:f>
      </x:c>
      <x:c r="L170" s="519" t="inlineStr">
        <x:is>
          <x:t xml:space="preserve">Mineral; basis Conv Amt(dec). Gross=tract-map basis.</x:t>
        </x:is>
      </x:c>
      <x:c r="M170" s="519" t="inlineStr">
        <x:is>
          <x:t xml:space="preserve">CURRENT OWNER SOURCE</x:t>
        </x:is>
      </x:c>
      <x:c r="N170" s="519" t="n"/>
      <x:c r="O170" s="519" t="inlineStr">
        <x:is>
          <x:t xml:space="preserve">OUTSIDE LANDS</x:t>
        </x:is>
      </x:c>
      <x:c r="P170" s="520" t="inlineStr">
        <x:is>
          <x:t xml:space="preserve">Chain — title support (succession/entity/probate)</x:t>
        </x:is>
      </x:c>
      <x:c r="Q170" s="520" t="inlineStr">
        <x:is>
          <x:t xml:space="preserve">Yes</x:t>
        </x:is>
      </x:c>
      <x:c r="R170" s="520" t="inlineStr">
        <x:is>
          <x:t xml:space="preserve">No</x:t>
        </x:is>
      </x:c>
      <x:c r="S170" s="520" t="inlineStr">
        <x:is>
          <x:t xml:space="preserve">Yes</x:t>
        </x:is>
      </x:c>
      <x:c r="T170" s="520" t="inlineStr">
        <x:is>
          <x:t xml:space="preserve">No</x:t>
        </x:is>
      </x:c>
      <x:c r="U170" s="520" t="inlineStr">
        <x:is>
          <x:t xml:space="preserve">Yes: 2 (legal supports)</x:t>
        </x:is>
      </x:c>
      <x:c r="V170" s="520" t="inlineStr">
        <x:is>
          <x:t xml:space="preserve">High</x:t>
        </x:is>
      </x:c>
      <x:c r="W170" s="520" t="inlineStr">
        <x:is>
          <x:t xml:space="preserve">Review — no exact prior-grantee match</x:t>
        </x:is>
      </x:c>
      <x:c r="X170" s="520" t="inlineStr">
        <x:is>
          <x:t xml:space="preserve">Review</x:t>
        </x:is>
      </x:c>
      <x:c r="Y170" s="520" t="inlineStr">
        <x:is>
          <x:t xml:space="preserve">Candidate 1 (helper — confirm from image)</x:t>
        </x:is>
      </x:c>
      <x:c r="Z170" s="520" t="inlineStr">
        <x:is>
          <x:t xml:space="preserve">Medium — helper value</x:t>
        </x:is>
      </x:c>
      <x:c r="AA170" s="520" t="inlineStr">
        <x:is>
          <x:t xml:space="preserve">Order and Final Decree — Beckham County Court, to Clayton D. Fuchs, 1/4, (1122/69)</x:t>
        </x:is>
      </x:c>
      <x:c r="AB170" s="520" t="inlineStr">
        <x:is>
          <x:t xml:space="preserve">Needs source review: grantor source</x:t>
        </x:is>
      </x:c>
    </x:row>
    <x:row r="171" s="520" customFormat="1" ht="48" customHeight="1">
      <x:c r="A171" s="519" t="inlineStr">
        <x:is>
          <x:t xml:space="preserve">1990-001689</x:t>
        </x:is>
      </x:c>
      <x:c r="B171" s="536" t="n"/>
      <x:c r="C171" s="536" t="inlineStr">
        <x:is>
          <x:t xml:space="preserve">Mineral Deed</x:t>
        </x:is>
      </x:c>
      <x:c r="D171" s="536" t="inlineStr">
        <x:is>
          <x:t xml:space="preserve">1122/274</x:t>
        </x:is>
      </x:c>
      <x:c r="E171" s="537" t="n">
        <x:v>32957</x:v>
      </x:c>
      <x:c r="F171" s="537" t="n">
        <x:v>32957</x:v>
      </x:c>
      <x:c r="G171" s="538" t="inlineStr">
        <x:is>
          <x:t xml:space="preserve">Ernest Jensen and Wilda Jensen, HW</x:t>
        </x:is>
      </x:c>
      <x:c r="H171" s="538" t="inlineStr">
        <x:is>
          <x:t xml:space="preserve">Tim E. Jensen</x:t>
        </x:is>
      </x:c>
      <x:c r="I171" s="538" t="inlineStr">
        <x:is>
          <x:t xml:space="preserve">SW/4 NE/4, NW/4 SE/4, S/2 SE/4 of 31-12N-24W, aol</x:t>
        </x:is>
      </x:c>
      <x:c r="J171" s="538" t="inlineStr">
        <x:is>
          <x:t xml:space="preserve">An undivided 2/160th (2 acres) in 31-12N-24W, 10/791.47 interest in 2 sections</x:t>
        </x:is>
      </x:c>
      <x:c r="K171" s="518" t="e">
        <x:f>HYPERLINK("https://okcountyrecords.com/detail/roger+mills/1990-001689","OKCountyRecords: 1990-001689")</x:f>
      </x:c>
      <x:c r="L171" s="519" t="inlineStr">
        <x:is>
          <x:t xml:space="preserve">Mineral; basis Conv Amt(dec). Gross=tract-map basis.</x:t>
        </x:is>
      </x:c>
      <x:c r="M171" s="519" t="inlineStr">
        <x:is>
          <x:t xml:space="preserve">CURRENT OWNER SOURCE</x:t>
        </x:is>
      </x:c>
      <x:c r="N171" s="519" t="n"/>
      <x:c r="O171" s="519" t="inlineStr">
        <x:is>
          <x:t xml:space="preserve">OUTSIDE LANDS</x:t>
        </x:is>
      </x:c>
      <x:c r="P171" s="520" t="inlineStr">
        <x:is>
          <x:t xml:space="preserve">Chain — minerals</x:t>
        </x:is>
      </x:c>
      <x:c r="Q171" s="520" t="inlineStr">
        <x:is>
          <x:t xml:space="preserve">Yes</x:t>
        </x:is>
      </x:c>
      <x:c r="R171" s="520" t="inlineStr">
        <x:is>
          <x:t xml:space="preserve">No</x:t>
        </x:is>
      </x:c>
      <x:c r="S171" s="520" t="inlineStr">
        <x:is>
          <x:t xml:space="preserve">Yes</x:t>
        </x:is>
      </x:c>
      <x:c r="T171" s="520" t="inlineStr">
        <x:is>
          <x:t xml:space="preserve">No</x:t>
        </x:is>
      </x:c>
      <x:c r="U171" s="520" t="inlineStr">
        <x:is>
          <x:t xml:space="preserve">Yes: 2 (legal supports)</x:t>
        </x:is>
      </x:c>
      <x:c r="V171" s="520" t="inlineStr">
        <x:is>
          <x:t xml:space="preserve">High</x:t>
        </x:is>
      </x:c>
      <x:c r="W171" s="520" t="inlineStr">
        <x:is>
          <x:t xml:space="preserve">Probable — name-normalized match to Runsheet 164 grantee; confirm</x:t>
        </x:is>
      </x:c>
      <x:c r="X171" s="520" t="inlineStr">
        <x:is>
          <x:t xml:space="preserve">Yes — on Tract 2 owner list</x:t>
        </x:is>
      </x:c>
      <x:c r="Y171" s="520" t="inlineStr">
        <x:is>
          <x:t xml:space="preserve">Candidate 0.0125 (helper — confirm from image)</x:t>
        </x:is>
      </x:c>
      <x:c r="Z171" s="520" t="inlineStr">
        <x:is>
          <x:t xml:space="preserve">Medium — helper value</x:t>
        </x:is>
      </x:c>
      <x:c r="AA171" s="520" t="inlineStr">
        <x:is>
          <x:t xml:space="preserve">Mineral Deed — Ernest Jensen and Wilda Jensen to Tim E. Jensen (1122/274)</x:t>
        </x:is>
      </x:c>
      <x:c r="AB171" s="520" t="inlineStr">
        <x:is>
          <x:t xml:space="preserve">Needs source review: grantor source</x:t>
        </x:is>
      </x:c>
    </x:row>
    <x:row r="172" s="520" customFormat="1" ht="48" customHeight="1">
      <x:c r="A172" s="519" t="inlineStr">
        <x:is>
          <x:t xml:space="preserve">1990-001690</x:t>
        </x:is>
      </x:c>
      <x:c r="B172" s="536" t="n"/>
      <x:c r="C172" s="536" t="inlineStr">
        <x:is>
          <x:t xml:space="preserve">Mineral Deed</x:t>
        </x:is>
      </x:c>
      <x:c r="D172" s="536" t="inlineStr">
        <x:is>
          <x:t xml:space="preserve">1122/277</x:t>
        </x:is>
      </x:c>
      <x:c r="E172" s="537" t="n">
        <x:v>32957</x:v>
      </x:c>
      <x:c r="F172" s="537" t="n">
        <x:v>32957</x:v>
      </x:c>
      <x:c r="G172" s="538" t="inlineStr">
        <x:is>
          <x:t xml:space="preserve">Ernest Jensen and Wilda Jensen, HW</x:t>
        </x:is>
      </x:c>
      <x:c r="H172" s="538" t="inlineStr">
        <x:is>
          <x:t xml:space="preserve">Hans W. Jensen</x:t>
        </x:is>
      </x:c>
      <x:c r="I172" s="538" t="inlineStr">
        <x:is>
          <x:t xml:space="preserve">SW/4 NE/4, NW/4 SE/4, S/2 SE/4 of 31-12N-24W, aol</x:t>
        </x:is>
      </x:c>
      <x:c r="J172" s="538" t="inlineStr">
        <x:is>
          <x:t xml:space="preserve">An undivided 2/160th (2 acres) in 31-12N-24W, 10/791.47 interest in 2 sections</x:t>
        </x:is>
      </x:c>
      <x:c r="K172" s="518" t="e">
        <x:f>HYPERLINK("https://okcountyrecords.com/detail/roger+mills/1990-001690","OKCountyRecords: 1990-001690")</x:f>
      </x:c>
      <x:c r="L172" s="519" t="inlineStr">
        <x:is>
          <x:t xml:space="preserve">Mineral; basis Conv Amt(dec). Gross=tract-map basis.</x:t>
        </x:is>
      </x:c>
      <x:c r="M172" s="519" t="inlineStr">
        <x:is>
          <x:t xml:space="preserve">CURRENT OWNER SOURCE</x:t>
        </x:is>
      </x:c>
      <x:c r="N172" s="519" t="n"/>
      <x:c r="O172" s="519" t="inlineStr">
        <x:is>
          <x:t xml:space="preserve">OUTSIDE LANDS</x:t>
        </x:is>
      </x:c>
      <x:c r="P172" s="520" t="inlineStr">
        <x:is>
          <x:t xml:space="preserve">Chain — minerals</x:t>
        </x:is>
      </x:c>
      <x:c r="Q172" s="520" t="inlineStr">
        <x:is>
          <x:t xml:space="preserve">Yes</x:t>
        </x:is>
      </x:c>
      <x:c r="R172" s="520" t="inlineStr">
        <x:is>
          <x:t xml:space="preserve">No</x:t>
        </x:is>
      </x:c>
      <x:c r="S172" s="520" t="inlineStr">
        <x:is>
          <x:t xml:space="preserve">Yes</x:t>
        </x:is>
      </x:c>
      <x:c r="T172" s="520" t="inlineStr">
        <x:is>
          <x:t xml:space="preserve">No</x:t>
        </x:is>
      </x:c>
      <x:c r="U172" s="520" t="inlineStr">
        <x:is>
          <x:t xml:space="preserve">Yes: 2 (legal supports)</x:t>
        </x:is>
      </x:c>
      <x:c r="V172" s="520" t="inlineStr">
        <x:is>
          <x:t xml:space="preserve">High</x:t>
        </x:is>
      </x:c>
      <x:c r="W172" s="520" t="inlineStr">
        <x:is>
          <x:t xml:space="preserve">Probable — name-normalized match to Runsheet 164 grantee; confirm</x:t>
        </x:is>
      </x:c>
      <x:c r="X172" s="520" t="inlineStr">
        <x:is>
          <x:t xml:space="preserve">Yes — on Tract 2 owner list</x:t>
        </x:is>
      </x:c>
      <x:c r="Y172" s="520" t="inlineStr">
        <x:is>
          <x:t xml:space="preserve">Candidate 0.0125 (helper — confirm from image)</x:t>
        </x:is>
      </x:c>
      <x:c r="Z172" s="520" t="inlineStr">
        <x:is>
          <x:t xml:space="preserve">Medium — helper value</x:t>
        </x:is>
      </x:c>
      <x:c r="AA172" s="520" t="inlineStr">
        <x:is>
          <x:t xml:space="preserve">Mineral Deed — Ernest Jensen and Wilda Jensen to Hans W. Jensen (1122/277)</x:t>
        </x:is>
      </x:c>
      <x:c r="AB172" s="520" t="inlineStr">
        <x:is>
          <x:t xml:space="preserve">Needs source review: grantor source</x:t>
        </x:is>
      </x:c>
    </x:row>
    <x:row r="173" s="520" customFormat="1" ht="36" customHeight="1">
      <x:c r="A173" s="519" t="inlineStr">
        <x:is>
          <x:t xml:space="preserve">1990-001750</x:t>
        </x:is>
      </x:c>
      <x:c r="B173" s="536" t="n"/>
      <x:c r="C173" s="536" t="inlineStr">
        <x:is>
          <x:t xml:space="preserve">Mineral Deed</x:t>
        </x:is>
      </x:c>
      <x:c r="D173" s="536" t="inlineStr">
        <x:is>
          <x:t xml:space="preserve">1123/100</x:t>
        </x:is>
      </x:c>
      <x:c r="E173" s="537" t="n">
        <x:v>32960</x:v>
      </x:c>
      <x:c r="F173" s="537" t="n">
        <x:v>32960</x:v>
      </x:c>
      <x:c r="G173" s="538" t="inlineStr">
        <x:is>
          <x:t xml:space="preserve">Hazel Hamilton</x:t>
        </x:is>
      </x:c>
      <x:c r="H173" s="538" t="inlineStr">
        <x:is>
          <x:t xml:space="preserve">Hazel Trust Hamilton</x:t>
        </x:is>
      </x:c>
      <x:c r="I173" s="538" t="inlineStr">
        <x:is>
          <x:t xml:space="preserve">SW/4 NE/4, NW/4 SE/4, S/2 SE/4 of 31-12N-24W, aol</x:t>
        </x:is>
      </x:c>
      <x:c r="J173" s="538" t="inlineStr">
        <x:is>
          <x:t xml:space="preserve">ARTI</x:t>
        </x:is>
      </x:c>
      <x:c r="K173" s="518" t="e">
        <x:f>HYPERLINK("https://okcountyrecords.com/detail/roger+mills/1990-001750","OKCountyRecords: 1990-001750")</x:f>
      </x:c>
      <x:c r="L173" s="519" t="inlineStr">
        <x:is>
          <x:t xml:space="preserve">Mineral; basis Conv Amt(dec). Gross=tract-map basis.</x:t>
        </x:is>
      </x:c>
      <x:c r="M173" s="519" t="inlineStr">
        <x:is>
          <x:t xml:space="preserve">CURRENT OWNER SOURCE</x:t>
        </x:is>
      </x:c>
      <x:c r="N173" s="519" t="n"/>
      <x:c r="O173" s="519" t="inlineStr">
        <x:is>
          <x:t xml:space="preserve">OUTSIDE LANDS</x:t>
        </x:is>
      </x:c>
      <x:c r="P173" s="520" t="inlineStr">
        <x:is>
          <x:t xml:space="preserve">Chain — minerals</x:t>
        </x:is>
      </x:c>
      <x:c r="Q173" s="520" t="inlineStr">
        <x:is>
          <x:t xml:space="preserve">Yes</x:t>
        </x:is>
      </x:c>
      <x:c r="R173" s="520" t="inlineStr">
        <x:is>
          <x:t xml:space="preserve">No</x:t>
        </x:is>
      </x:c>
      <x:c r="S173" s="520" t="inlineStr">
        <x:is>
          <x:t xml:space="preserve">Yes</x:t>
        </x:is>
      </x:c>
      <x:c r="T173" s="520" t="inlineStr">
        <x:is>
          <x:t xml:space="preserve">No</x:t>
        </x:is>
      </x:c>
      <x:c r="U173" s="520" t="inlineStr">
        <x:is>
          <x:t xml:space="preserve">Yes: 2 (legal supports)</x:t>
        </x:is>
      </x:c>
      <x:c r="V173" s="520" t="inlineStr">
        <x:is>
          <x:t xml:space="preserve">High</x:t>
        </x:is>
      </x:c>
      <x:c r="W173" s="520" t="inlineStr">
        <x:is>
          <x:t xml:space="preserve">Yes — prior grantee match</x:t>
        </x:is>
      </x:c>
      <x:c r="X173" s="520" t="inlineStr">
        <x:is>
          <x:t xml:space="preserve">Yes — on Tract 2 owner list</x:t>
        </x:is>
      </x:c>
      <x:c r="Y173" s="520" t="inlineStr">
        <x:is>
          <x:t xml:space="preserve">Candidate 1 (helper — confirm from image)</x:t>
        </x:is>
      </x:c>
      <x:c r="Z173" s="520" t="inlineStr">
        <x:is>
          <x:t xml:space="preserve">Medium — helper value</x:t>
        </x:is>
      </x:c>
      <x:c r="AA173" s="520" t="inlineStr">
        <x:is>
          <x:t xml:space="preserve">Mineral Deed — Hazel Hamilton to Hazel Trust Hamilton (1123/100)</x:t>
        </x:is>
      </x:c>
    </x:row>
    <x:row r="174" s="520" customFormat="1" ht="48" customHeight="1">
      <x:c r="A174" s="519" t="inlineStr">
        <x:is>
          <x:t xml:space="preserve">1990-001992</x:t>
        </x:is>
      </x:c>
      <x:c r="B174" s="536" t="n"/>
      <x:c r="C174" s="536" t="inlineStr">
        <x:is>
          <x:t xml:space="preserve">Consent to Sell</x:t>
        </x:is>
      </x:c>
      <x:c r="D174" s="536" t="inlineStr">
        <x:is>
          <x:t xml:space="preserve">1126/229</x:t>
        </x:is>
      </x:c>
      <x:c r="E174" s="537" t="n">
        <x:v>32969</x:v>
      </x:c>
      <x:c r="F174" s="537" t="n">
        <x:v>32969</x:v>
      </x:c>
      <x:c r="G174" s="538" t="inlineStr">
        <x:is>
          <x:t xml:space="preserve">Beckham County Court,
RE: In the Matter of the Estate of Margaret Gray, Deceased</x:t>
        </x:is>
      </x:c>
      <x:c r="H174" s="538" t="inlineStr">
        <x:is>
          <x:t xml:space="preserve">Fred A. Standiford, Jr.</x:t>
        </x:is>
      </x:c>
      <x:c r="I174" s="538" t="inlineStr">
        <x:is>
          <x:t xml:space="preserve">SE/4 SW/4 of 31-12N-24W, aol</x:t>
        </x:is>
      </x:c>
      <x:c r="J174" s="538" t="inlineStr">
        <x:is>
          <x:t xml:space="preserve">An undivided 7/48ths interest
(5.8333 min. ac.)</x:t>
        </x:is>
      </x:c>
      <x:c r="K174" s="518" t="e">
        <x:f>HYPERLINK("https://okcountyrecords.com/detail/roger+mills/1990-001992","OKCountyRecords: 1990-001992")</x:f>
      </x:c>
      <x:c r="L174" s="519" t="inlineStr">
        <x:is>
          <x:t xml:space="preserve">Mineral; amount not stated — confirm from instrument. Gross=tract-map basis.</x:t>
        </x:is>
      </x:c>
      <x:c r="M174" s="519" t="inlineStr">
        <x:is>
          <x:t xml:space="preserve">CURRENT OWNER SOURCE</x:t>
        </x:is>
      </x:c>
      <x:c r="N174" s="519" t="n"/>
      <x:c r="O174" s="519" t="inlineStr">
        <x:is>
          <x:t xml:space="preserve">OUTSIDE LANDS</x:t>
        </x:is>
      </x:c>
      <x:c r="P174" s="520" t="inlineStr">
        <x:is>
          <x:t xml:space="preserve">Chain — title support (succession/entity/probate)</x:t>
        </x:is>
      </x:c>
      <x:c r="Q174" s="520" t="inlineStr">
        <x:is>
          <x:t xml:space="preserve">Yes</x:t>
        </x:is>
      </x:c>
      <x:c r="R174" s="520" t="inlineStr">
        <x:is>
          <x:t xml:space="preserve">No</x:t>
        </x:is>
      </x:c>
      <x:c r="S174" s="520" t="inlineStr">
        <x:is>
          <x:t xml:space="preserve">Yes</x:t>
        </x:is>
      </x:c>
      <x:c r="T174" s="520" t="inlineStr">
        <x:is>
          <x:t xml:space="preserve">No</x:t>
        </x:is>
      </x:c>
      <x:c r="U174" s="520" t="inlineStr">
        <x:is>
          <x:t xml:space="preserve">Yes: 5 (legal supports)</x:t>
        </x:is>
      </x:c>
      <x:c r="V174" s="520" t="inlineStr">
        <x:is>
          <x:t xml:space="preserve">High</x:t>
        </x:is>
      </x:c>
      <x:c r="W174" s="520" t="inlineStr">
        <x:is>
          <x:t xml:space="preserve">Review — no exact prior-grantee match</x:t>
        </x:is>
      </x:c>
      <x:c r="X174" s="520" t="inlineStr">
        <x:is>
          <x:t xml:space="preserve">Yes — on Tract 5 owner list</x:t>
        </x:is>
      </x:c>
      <x:c r="Y174" s="520" t="inlineStr">
        <x:is>
          <x:t xml:space="preserve">Interest amount needs review</x:t>
        </x:is>
      </x:c>
      <x:c r="Z174" s="520" t="inlineStr">
        <x:is>
          <x:t xml:space="preserve">Review</x:t>
        </x:is>
      </x:c>
      <x:c r="AA174" s="520" t="inlineStr">
        <x:is>
          <x:t xml:space="preserve">Consent to Sell — Beckham County Court, to Fred A. Standiford, Jr. (1126/229)</x:t>
        </x:is>
      </x:c>
      <x:c r="AB174" s="520" t="inlineStr">
        <x:is>
          <x:t xml:space="preserve">Needs source review: grantor source, interest amount</x:t>
        </x:is>
      </x:c>
    </x:row>
    <x:row r="175" s="520" customFormat="1" ht="48" customHeight="1">
      <x:c r="A175" s="519" t="inlineStr">
        <x:is>
          <x:t xml:space="preserve">1990-001987</x:t>
        </x:is>
      </x:c>
      <x:c r="B175" s="536" t="n"/>
      <x:c r="C175" s="536" t="inlineStr">
        <x:is>
          <x:t xml:space="preserve">Final Account</x:t>
        </x:is>
      </x:c>
      <x:c r="D175" s="536" t="inlineStr">
        <x:is>
          <x:t xml:space="preserve">1126/210</x:t>
        </x:is>
      </x:c>
      <x:c r="E175" s="537" t="n">
        <x:v>32969</x:v>
      </x:c>
      <x:c r="F175" s="537" t="n">
        <x:v>32969</x:v>
      </x:c>
      <x:c r="G175" s="538" t="inlineStr">
        <x:is>
          <x:t xml:space="preserve">Beckham County Court,
RE: In the Matter of the Estate of Margaret Gray, Deceased</x:t>
        </x:is>
      </x:c>
      <x:c r="H175" s="538" t="inlineStr">
        <x:is>
          <x:t xml:space="preserve">Murrell A. Gray, 1/2,
Fred A. Standiford, Jr., 1/2</x:t>
        </x:is>
      </x:c>
      <x:c r="I175" s="538" t="inlineStr">
        <x:is>
          <x:t xml:space="preserve">SE/4 SW/4 of 31-12N-24W, aol</x:t>
        </x:is>
      </x:c>
      <x:c r="J175" s="538" t="inlineStr">
        <x:is>
          <x:t xml:space="preserve">An undivided 7/48ths interest
(5.8333 min. ac.)</x:t>
        </x:is>
      </x:c>
      <x:c r="K175" s="518" t="e">
        <x:f>HYPERLINK("https://okcountyrecords.com/detail/roger+mills/1990-001987","OKCountyRecords: 1990-001987")</x:f>
      </x:c>
      <x:c r="L175" s="519" t="inlineStr">
        <x:is>
          <x:t xml:space="preserve">Mineral; amount not stated — confirm from instrument. Gross=tract-map basis.</x:t>
        </x:is>
      </x:c>
      <x:c r="M175" s="519" t="inlineStr">
        <x:is>
          <x:t xml:space="preserve">CURRENT OWNER SOURCE</x:t>
        </x:is>
      </x:c>
      <x:c r="N175" s="519" t="n"/>
      <x:c r="O175" s="519" t="inlineStr">
        <x:is>
          <x:t xml:space="preserve">OUTSIDE LANDS</x:t>
        </x:is>
      </x:c>
      <x:c r="P175" s="520" t="inlineStr">
        <x:is>
          <x:t xml:space="preserve">Chain — title support (succession/entity/probate)</x:t>
        </x:is>
      </x:c>
      <x:c r="Q175" s="520" t="inlineStr">
        <x:is>
          <x:t xml:space="preserve">Yes</x:t>
        </x:is>
      </x:c>
      <x:c r="R175" s="520" t="inlineStr">
        <x:is>
          <x:t xml:space="preserve">No</x:t>
        </x:is>
      </x:c>
      <x:c r="S175" s="520" t="inlineStr">
        <x:is>
          <x:t xml:space="preserve">Yes</x:t>
        </x:is>
      </x:c>
      <x:c r="T175" s="520" t="inlineStr">
        <x:is>
          <x:t xml:space="preserve">No</x:t>
        </x:is>
      </x:c>
      <x:c r="U175" s="520" t="inlineStr">
        <x:is>
          <x:t xml:space="preserve">Yes: 5 (legal supports)</x:t>
        </x:is>
      </x:c>
      <x:c r="V175" s="520" t="inlineStr">
        <x:is>
          <x:t xml:space="preserve">High</x:t>
        </x:is>
      </x:c>
      <x:c r="W175" s="520" t="inlineStr">
        <x:is>
          <x:t xml:space="preserve">Review — no exact prior-grantee match</x:t>
        </x:is>
      </x:c>
      <x:c r="X175" s="520" t="inlineStr">
        <x:is>
          <x:t xml:space="preserve">Review</x:t>
        </x:is>
      </x:c>
      <x:c r="Y175" s="520" t="inlineStr">
        <x:is>
          <x:t xml:space="preserve">Interest amount needs review</x:t>
        </x:is>
      </x:c>
      <x:c r="Z175" s="520" t="inlineStr">
        <x:is>
          <x:t xml:space="preserve">Review</x:t>
        </x:is>
      </x:c>
      <x:c r="AA175" s="520" t="inlineStr">
        <x:is>
          <x:t xml:space="preserve">Final Account — Beckham County Court, to Murrell A. Gray, 1/2, (1126/210)</x:t>
        </x:is>
      </x:c>
      <x:c r="AB175" s="520" t="inlineStr">
        <x:is>
          <x:t xml:space="preserve">Needs source review: grantor source, interest amount</x:t>
        </x:is>
      </x:c>
    </x:row>
    <x:row r="176" s="520" customFormat="1" ht="48" customHeight="1">
      <x:c r="A176" s="519" t="inlineStr">
        <x:is>
          <x:t xml:space="preserve">1990-001996</x:t>
        </x:is>
      </x:c>
      <x:c r="B176" s="536" t="n"/>
      <x:c r="C176" s="536" t="inlineStr">
        <x:is>
          <x:t xml:space="preserve">Final Decree</x:t>
        </x:is>
      </x:c>
      <x:c r="D176" s="536" t="inlineStr">
        <x:is>
          <x:t xml:space="preserve">1126/234</x:t>
        </x:is>
      </x:c>
      <x:c r="E176" s="537" t="n">
        <x:v>32969</x:v>
      </x:c>
      <x:c r="F176" s="537" t="n">
        <x:v>32969</x:v>
      </x:c>
      <x:c r="G176" s="538" t="inlineStr">
        <x:is>
          <x:t xml:space="preserve">Beckham County Court,
RE: In the Matter of the Estate of Margaret Gray, Deceased</x:t>
        </x:is>
      </x:c>
      <x:c r="H176" s="538" t="inlineStr">
        <x:is>
          <x:t xml:space="preserve">Murrell A. Gray, 1/3,
Fred A. Standiford, Jr., 1/3,
Alfred W. Standiford, 1/3</x:t>
        </x:is>
      </x:c>
      <x:c r="I176" s="538" t="inlineStr">
        <x:is>
          <x:t xml:space="preserve">SE/4 SW/4 of 31-12N-24W, aol</x:t>
        </x:is>
      </x:c>
      <x:c r="J176" s="538" t="inlineStr">
        <x:is>
          <x:t xml:space="preserve">An undivided 7/48ths interest
(5.8333 min. ac.)</x:t>
        </x:is>
      </x:c>
      <x:c r="K176" s="518" t="e">
        <x:f>HYPERLINK("https://okcountyrecords.com/detail/roger+mills/1990-001996","OKCountyRecords: 1990-001996")</x:f>
      </x:c>
      <x:c r="L176" s="519" t="inlineStr">
        <x:is>
          <x:t xml:space="preserve">Mineral; basis Conv Amt(dec). Gross=tract-map basis.</x:t>
        </x:is>
      </x:c>
      <x:c r="M176" s="519" t="inlineStr">
        <x:is>
          <x:t xml:space="preserve">CURRENT OWNER SOURCE</x:t>
        </x:is>
      </x:c>
      <x:c r="N176" s="519" t="n"/>
      <x:c r="O176" s="519" t="inlineStr">
        <x:is>
          <x:t xml:space="preserve">OUTSIDE LANDS</x:t>
        </x:is>
      </x:c>
      <x:c r="P176" s="520" t="inlineStr">
        <x:is>
          <x:t xml:space="preserve">Chain — title support (succession/entity/probate)</x:t>
        </x:is>
      </x:c>
      <x:c r="Q176" s="520" t="inlineStr">
        <x:is>
          <x:t xml:space="preserve">Yes</x:t>
        </x:is>
      </x:c>
      <x:c r="R176" s="520" t="inlineStr">
        <x:is>
          <x:t xml:space="preserve">No</x:t>
        </x:is>
      </x:c>
      <x:c r="S176" s="520" t="inlineStr">
        <x:is>
          <x:t xml:space="preserve">Yes</x:t>
        </x:is>
      </x:c>
      <x:c r="T176" s="520" t="inlineStr">
        <x:is>
          <x:t xml:space="preserve">No</x:t>
        </x:is>
      </x:c>
      <x:c r="U176" s="520" t="inlineStr">
        <x:is>
          <x:t xml:space="preserve">Yes: 5 (legal supports)</x:t>
        </x:is>
      </x:c>
      <x:c r="V176" s="520" t="inlineStr">
        <x:is>
          <x:t xml:space="preserve">High</x:t>
        </x:is>
      </x:c>
      <x:c r="W176" s="520" t="inlineStr">
        <x:is>
          <x:t xml:space="preserve">Review — no exact prior-grantee match</x:t>
        </x:is>
      </x:c>
      <x:c r="X176" s="520" t="inlineStr">
        <x:is>
          <x:t xml:space="preserve">Review</x:t>
        </x:is>
      </x:c>
      <x:c r="Y176" s="520" t="inlineStr">
        <x:is>
          <x:t xml:space="preserve">Candidate 0.145833333333333 (helper — confirm from image)</x:t>
        </x:is>
      </x:c>
      <x:c r="Z176" s="520" t="inlineStr">
        <x:is>
          <x:t xml:space="preserve">Medium — helper value</x:t>
        </x:is>
      </x:c>
      <x:c r="AA176" s="520" t="inlineStr">
        <x:is>
          <x:t xml:space="preserve">Final Decree — Beckham County Court, to Murrell A. Gray, 1/3, (1126/234)</x:t>
        </x:is>
      </x:c>
      <x:c r="AB176" s="520" t="inlineStr">
        <x:is>
          <x:t xml:space="preserve">Needs source review: grantor source</x:t>
        </x:is>
      </x:c>
    </x:row>
    <x:row r="177" s="520" customFormat="1" ht="48" customHeight="1">
      <x:c r="A177" s="519" t="inlineStr">
        <x:is>
          <x:t xml:space="preserve">1990-001986</x:t>
        </x:is>
      </x:c>
      <x:c r="B177" s="536" t="n"/>
      <x:c r="C177" s="536" t="inlineStr">
        <x:is>
          <x:t xml:space="preserve">General Inventory and Appraisement</x:t>
        </x:is>
      </x:c>
      <x:c r="D177" s="536" t="inlineStr">
        <x:is>
          <x:t xml:space="preserve">1126/202</x:t>
        </x:is>
      </x:c>
      <x:c r="E177" s="537" t="n">
        <x:v>32969</x:v>
      </x:c>
      <x:c r="F177" s="537" t="n">
        <x:v>32969</x:v>
      </x:c>
      <x:c r="G177" s="538" t="inlineStr">
        <x:is>
          <x:t xml:space="preserve">Beckham County Court,
RE: In the Matter of the Estate of Margaret Gray, Deceased</x:t>
        </x:is>
      </x:c>
      <x:c r="H177" s="538" t="inlineStr">
        <x:is>
          <x:t xml:space="preserve">The Public</x:t>
        </x:is>
      </x:c>
      <x:c r="I177" s="538" t="inlineStr">
        <x:is>
          <x:t xml:space="preserve">SE/4 SW/4 of 31-12N-24W, aol</x:t>
        </x:is>
      </x:c>
      <x:c r="J177" s="538" t="inlineStr">
        <x:is>
          <x:t xml:space="preserve">An undivided 7/48ths interest
(5.8333 min. ac.)</x:t>
        </x:is>
      </x:c>
      <x:c r="K177" s="518" t="e">
        <x:f>HYPERLINK("https://okcountyrecords.com/detail/roger+mills/1990-001986","OKCountyRecords: 1990-001986")</x:f>
      </x:c>
      <x:c r="L177" s="519" t="inlineStr">
        <x:is>
          <x:t xml:space="preserve">Mineral; basis Conv Amt(dec). Gross=tract-map basis.</x:t>
        </x:is>
      </x:c>
      <x:c r="M177" s="519" t="inlineStr">
        <x:is>
          <x:t xml:space="preserve">OK</x:t>
        </x:is>
      </x:c>
      <x:c r="N177" s="519" t="inlineStr">
        <x:is>
          <x:t xml:space="preserve">Non-conveying per The Public rule; recorded 7/48 interest noted in Notes (verify if operative deed exists).</x:t>
        </x:is>
      </x:c>
      <x:c r="O177" s="519" t="inlineStr">
        <x:is>
          <x:t xml:space="preserve">OUTSIDE LANDS</x:t>
        </x:is>
      </x:c>
      <x:c r="P177" s="520" t="inlineStr">
        <x:is>
          <x:t xml:space="preserve">Chain — title support (succession/entity/probate)</x:t>
        </x:is>
      </x:c>
      <x:c r="Q177" s="520" t="inlineStr">
        <x:is>
          <x:t xml:space="preserve">Yes</x:t>
        </x:is>
      </x:c>
      <x:c r="R177" s="520" t="inlineStr">
        <x:is>
          <x:t xml:space="preserve">No</x:t>
        </x:is>
      </x:c>
      <x:c r="S177" s="520" t="inlineStr">
        <x:is>
          <x:t xml:space="preserve">Yes</x:t>
        </x:is>
      </x:c>
      <x:c r="T177" s="520" t="inlineStr">
        <x:is>
          <x:t xml:space="preserve">No</x:t>
        </x:is>
      </x:c>
      <x:c r="U177" s="520" t="inlineStr">
        <x:is>
          <x:t xml:space="preserve">Yes: 5 (legal supports)</x:t>
        </x:is>
      </x:c>
      <x:c r="V177" s="520" t="inlineStr">
        <x:is>
          <x:t xml:space="preserve">High</x:t>
        </x:is>
      </x:c>
      <x:c r="W177" s="520" t="inlineStr">
        <x:is>
          <x:t xml:space="preserve">Review — no exact prior-grantee match</x:t>
        </x:is>
      </x:c>
      <x:c r="X177" s="520" t="inlineStr">
        <x:is>
          <x:t xml:space="preserve">Yes — on Tract 5 owner list</x:t>
        </x:is>
      </x:c>
      <x:c r="Y177" s="520" t="inlineStr">
        <x:is>
          <x:t xml:space="preserve">Interest amount needs review</x:t>
        </x:is>
      </x:c>
      <x:c r="Z177" s="520" t="inlineStr">
        <x:is>
          <x:t xml:space="preserve">Review</x:t>
        </x:is>
      </x:c>
      <x:c r="AA177" s="520" t="inlineStr">
        <x:is>
          <x:t xml:space="preserve">General Inventory and Appraiseme — Beckham County Court, to The Public (1126/202)</x:t>
        </x:is>
      </x:c>
      <x:c r="AB177" s="520" t="inlineStr">
        <x:is>
          <x:t xml:space="preserve">Needs source review: grantor source, interest amount</x:t>
        </x:is>
      </x:c>
    </x:row>
    <x:row r="178" s="520" customFormat="1" ht="60" customHeight="1">
      <x:c r="A178" s="519" t="inlineStr">
        <x:is>
          <x:t xml:space="preserve">1990-001993</x:t>
        </x:is>
      </x:c>
      <x:c r="B178" s="536" t="n"/>
      <x:c r="C178" s="536" t="inlineStr">
        <x:is>
          <x:t xml:space="preserve">Order Confirming Sale</x:t>
        </x:is>
      </x:c>
      <x:c r="D178" s="536" t="inlineStr">
        <x:is>
          <x:t xml:space="preserve">1126/231</x:t>
        </x:is>
      </x:c>
      <x:c r="E178" s="537" t="n">
        <x:v>32969</x:v>
      </x:c>
      <x:c r="F178" s="537" t="n">
        <x:v>32969</x:v>
      </x:c>
      <x:c r="G178" s="538" t="inlineStr">
        <x:is>
          <x:t xml:space="preserve">Beckham County Court,
RE: In the Matter of the Estate of Margaret Gray, Deceased</x:t>
        </x:is>
      </x:c>
      <x:c r="H178" s="538" t="inlineStr">
        <x:is>
          <x:t xml:space="preserve">Fred A. Standiford, Jr.</x:t>
        </x:is>
      </x:c>
      <x:c r="I178" s="538" t="inlineStr">
        <x:is>
          <x:t xml:space="preserve">SE/4 SW/4 of 31-12N-24W, aol</x:t>
        </x:is>
      </x:c>
      <x:c r="J178" s="538" t="inlineStr">
        <x:is>
          <x:t xml:space="preserve">An undivided 7/48ths interest
(5.8333 min. ac.)</x:t>
        </x:is>
      </x:c>
      <x:c r="K178" s="518" t="e">
        <x:f>HYPERLINK("https://okcountyrecords.com/detail/roger+mills/1990-001993","OKCountyRecords: 1990-001993")</x:f>
      </x:c>
      <x:c r="L178" s="519" t="inlineStr">
        <x:is>
          <x:t xml:space="preserve">Mineral; amount not stated — confirm from instrument. Gross=tract-map basis.</x:t>
        </x:is>
      </x:c>
      <x:c r="M178" s="519" t="inlineStr">
        <x:is>
          <x:t xml:space="preserve">CURRENT OWNER SOURCE</x:t>
        </x:is>
      </x:c>
      <x:c r="N178" s="519" t="n"/>
      <x:c r="O178" s="519" t="inlineStr">
        <x:is>
          <x:t xml:space="preserve">OUTSIDE LANDS</x:t>
        </x:is>
      </x:c>
      <x:c r="P178" s="520" t="inlineStr">
        <x:is>
          <x:t xml:space="preserve">Chain — title support (succession/entity/probate)</x:t>
        </x:is>
      </x:c>
      <x:c r="Q178" s="520" t="inlineStr">
        <x:is>
          <x:t xml:space="preserve">Yes</x:t>
        </x:is>
      </x:c>
      <x:c r="R178" s="520" t="inlineStr">
        <x:is>
          <x:t xml:space="preserve">No</x:t>
        </x:is>
      </x:c>
      <x:c r="S178" s="520" t="inlineStr">
        <x:is>
          <x:t xml:space="preserve">Yes</x:t>
        </x:is>
      </x:c>
      <x:c r="T178" s="520" t="inlineStr">
        <x:is>
          <x:t xml:space="preserve">No</x:t>
        </x:is>
      </x:c>
      <x:c r="U178" s="520" t="inlineStr">
        <x:is>
          <x:t xml:space="preserve">Yes: 5 (legal supports)</x:t>
        </x:is>
      </x:c>
      <x:c r="V178" s="520" t="inlineStr">
        <x:is>
          <x:t xml:space="preserve">High</x:t>
        </x:is>
      </x:c>
      <x:c r="W178" s="520" t="inlineStr">
        <x:is>
          <x:t xml:space="preserve">Review — no exact prior-grantee match</x:t>
        </x:is>
      </x:c>
      <x:c r="X178" s="520" t="inlineStr">
        <x:is>
          <x:t xml:space="preserve">Yes — on Tract 5 owner list</x:t>
        </x:is>
      </x:c>
      <x:c r="Y178" s="520" t="inlineStr">
        <x:is>
          <x:t xml:space="preserve">Interest amount needs review</x:t>
        </x:is>
      </x:c>
      <x:c r="Z178" s="520" t="inlineStr">
        <x:is>
          <x:t xml:space="preserve">Review</x:t>
        </x:is>
      </x:c>
      <x:c r="AA178" s="520" t="inlineStr">
        <x:is>
          <x:t xml:space="preserve">Order Confirming Sale — Beckham County Court, to Fred A. Standiford, Jr. (1126/231)</x:t>
        </x:is>
      </x:c>
      <x:c r="AB178" s="520" t="inlineStr">
        <x:is>
          <x:t xml:space="preserve">Needs source review: grantor source, interest amount</x:t>
        </x:is>
      </x:c>
    </x:row>
    <x:row r="179" s="520" customFormat="1" ht="48" customHeight="1">
      <x:c r="A179" s="519" t="inlineStr">
        <x:is>
          <x:t xml:space="preserve">1990-001991</x:t>
        </x:is>
      </x:c>
      <x:c r="B179" s="536" t="n"/>
      <x:c r="C179" s="536" t="inlineStr">
        <x:is>
          <x:t xml:space="preserve">Return of Sale</x:t>
        </x:is>
      </x:c>
      <x:c r="D179" s="536" t="inlineStr">
        <x:is>
          <x:t xml:space="preserve">1126/226</x:t>
        </x:is>
      </x:c>
      <x:c r="E179" s="537" t="n">
        <x:v>32969</x:v>
      </x:c>
      <x:c r="F179" s="537" t="n">
        <x:v>32969</x:v>
      </x:c>
      <x:c r="G179" s="538" t="inlineStr">
        <x:is>
          <x:t xml:space="preserve">Beckham County Court,
RE: In the Matter of the Estate of Margaret Gray, Deceased</x:t>
        </x:is>
      </x:c>
      <x:c r="H179" s="538" t="inlineStr">
        <x:is>
          <x:t xml:space="preserve">Fred A. Standiford, Jr.</x:t>
        </x:is>
      </x:c>
      <x:c r="I179" s="538" t="inlineStr">
        <x:is>
          <x:t xml:space="preserve">SE/4 SW/4 of 31-12N-24W, aol</x:t>
        </x:is>
      </x:c>
      <x:c r="J179" s="538" t="inlineStr">
        <x:is>
          <x:t xml:space="preserve">An undivided 7/48ths interest
(5.8333 min. ac.)</x:t>
        </x:is>
      </x:c>
      <x:c r="K179" s="518" t="e">
        <x:f>HYPERLINK("https://okcountyrecords.com/detail/roger+mills/1990-001991","OKCountyRecords: 1990-001991")</x:f>
      </x:c>
      <x:c r="L179" s="519" t="inlineStr">
        <x:is>
          <x:t xml:space="preserve">Mineral; amount not stated — confirm from instrument. Gross=tract-map basis.</x:t>
        </x:is>
      </x:c>
      <x:c r="M179" s="519" t="inlineStr">
        <x:is>
          <x:t xml:space="preserve">CURRENT OWNER SOURCE</x:t>
        </x:is>
      </x:c>
      <x:c r="N179" s="519" t="n"/>
      <x:c r="O179" s="519" t="inlineStr">
        <x:is>
          <x:t xml:space="preserve">OUTSIDE LANDS</x:t>
        </x:is>
      </x:c>
      <x:c r="P179" s="520" t="inlineStr">
        <x:is>
          <x:t xml:space="preserve">Chain — title support (succession/entity/probate)</x:t>
        </x:is>
      </x:c>
      <x:c r="Q179" s="520" t="inlineStr">
        <x:is>
          <x:t xml:space="preserve">Yes</x:t>
        </x:is>
      </x:c>
      <x:c r="R179" s="520" t="inlineStr">
        <x:is>
          <x:t xml:space="preserve">No</x:t>
        </x:is>
      </x:c>
      <x:c r="S179" s="520" t="inlineStr">
        <x:is>
          <x:t xml:space="preserve">Yes</x:t>
        </x:is>
      </x:c>
      <x:c r="T179" s="520" t="inlineStr">
        <x:is>
          <x:t xml:space="preserve">No</x:t>
        </x:is>
      </x:c>
      <x:c r="U179" s="520" t="inlineStr">
        <x:is>
          <x:t xml:space="preserve">Yes: 5 (legal supports)</x:t>
        </x:is>
      </x:c>
      <x:c r="V179" s="520" t="inlineStr">
        <x:is>
          <x:t xml:space="preserve">High</x:t>
        </x:is>
      </x:c>
      <x:c r="W179" s="520" t="inlineStr">
        <x:is>
          <x:t xml:space="preserve">Review — no exact prior-grantee match</x:t>
        </x:is>
      </x:c>
      <x:c r="X179" s="520" t="inlineStr">
        <x:is>
          <x:t xml:space="preserve">Yes — on Tract 5 owner list</x:t>
        </x:is>
      </x:c>
      <x:c r="Y179" s="520" t="inlineStr">
        <x:is>
          <x:t xml:space="preserve">Interest amount needs review</x:t>
        </x:is>
      </x:c>
      <x:c r="Z179" s="520" t="inlineStr">
        <x:is>
          <x:t xml:space="preserve">Review</x:t>
        </x:is>
      </x:c>
      <x:c r="AA179" s="520" t="inlineStr">
        <x:is>
          <x:t xml:space="preserve">Return of Sale — Beckham County Court, to Fred A. Standiford, Jr. (1126/226)</x:t>
        </x:is>
      </x:c>
      <x:c r="AB179" s="520" t="inlineStr">
        <x:is>
          <x:t xml:space="preserve">Needs source review: grantor source, interest amount</x:t>
        </x:is>
      </x:c>
    </x:row>
    <x:row r="180" s="520" customFormat="1" ht="60" customHeight="1">
      <x:c r="A180" s="519" t="inlineStr">
        <x:is>
          <x:t xml:space="preserve">1990-001925</x:t>
        </x:is>
      </x:c>
      <x:c r="B180" s="536" t="n"/>
      <x:c r="C180" s="536" t="inlineStr">
        <x:is>
          <x:t xml:space="preserve">Mineral Quit Claim Deed</x:t>
        </x:is>
      </x:c>
      <x:c r="D180" s="536" t="inlineStr">
        <x:is>
          <x:t xml:space="preserve">1126/98</x:t>
        </x:is>
      </x:c>
      <x:c r="E180" s="537" t="n">
        <x:v>32969</x:v>
      </x:c>
      <x:c r="F180" s="537" t="n">
        <x:v>32969</x:v>
      </x:c>
      <x:c r="G180" s="538" t="inlineStr">
        <x:is>
          <x:t xml:space="preserve">Federal Deposit Insurance Corporation</x:t>
        </x:is>
      </x:c>
      <x:c r="H180" s="538" t="inlineStr">
        <x:is>
          <x:t xml:space="preserve">First State Bank &amp; Trust Company</x:t>
        </x:is>
      </x:c>
      <x:c r="I180" s="538" t="inlineStr">
        <x:is>
          <x:t xml:space="preserve">E/2 NW/4, N/2 NE/4 SW/4, SE/4 NE/4, NE/4 SE/4 of 31-12N-24W</x:t>
        </x:is>
      </x:c>
      <x:c r="J180" s="538" t="inlineStr">
        <x:is>
          <x:t xml:space="preserve">ARTI
Chain note: no source of title into Federal Deposit Insurance Corporation located of record. Confirm ownership before crediting this conveyance.</x:t>
        </x:is>
      </x:c>
      <x:c r="K180" s="518" t="e">
        <x:f>HYPERLINK("https://okcountyrecords.com/detail/roger+mills/1990-001925","OKCountyRecords: 1990-001925")</x:f>
      </x:c>
      <x:c r="L180" s="519" t="inlineStr">
        <x:is>
          <x:t xml:space="preserve">Mineral; basis Conv Amt(dec). Gross=tract-map basis.</x:t>
        </x:is>
      </x:c>
      <x:c r="M180" s="519" t="n"/>
      <x:c r="N180" s="519" t="n"/>
      <x:c r="O180" s="519" t="inlineStr">
        <x:is>
          <x:t xml:space="preserve">EASEMENT</x:t>
        </x:is>
      </x:c>
      <x:c r="P180" s="520" t="inlineStr">
        <x:is>
          <x:t xml:space="preserve">Chain — minerals</x:t>
        </x:is>
      </x:c>
      <x:c r="Q180" s="520" t="inlineStr">
        <x:is>
          <x:t xml:space="preserve">Yes</x:t>
        </x:is>
      </x:c>
      <x:c r="R180" s="520" t="inlineStr">
        <x:is>
          <x:t xml:space="preserve">No</x:t>
        </x:is>
      </x:c>
      <x:c r="S180" s="520" t="inlineStr">
        <x:is>
          <x:t xml:space="preserve">Yes</x:t>
        </x:is>
      </x:c>
      <x:c r="T180" s="520" t="inlineStr">
        <x:is>
          <x:t xml:space="preserve">No</x:t>
        </x:is>
      </x:c>
      <x:c r="U180" s="520" t="inlineStr">
        <x:is>
          <x:t xml:space="preserve">Legal maps to 1, 3, 4, 7, 10; helper says 1, 3, 4, 7, 8</x:t>
        </x:is>
      </x:c>
      <x:c r="V180" s="520" t="inlineStr">
        <x:is>
          <x:t xml:space="preserve">Review</x:t>
        </x:is>
      </x:c>
      <x:c r="W180" s="520" t="inlineStr">
        <x:is>
          <x:t xml:space="preserve">No — no source located</x:t>
        </x:is>
      </x:c>
      <x:c r="X180" s="520" t="inlineStr">
        <x:is>
          <x:t xml:space="preserve">Yes — on Tract 3 owner list</x:t>
        </x:is>
      </x:c>
      <x:c r="Y180" s="520" t="inlineStr">
        <x:is>
          <x:t xml:space="preserve">Candidate 1 (helper — confirm from image)</x:t>
        </x:is>
      </x:c>
      <x:c r="Z180" s="520" t="inlineStr">
        <x:is>
          <x:t xml:space="preserve">Medium — helper value</x:t>
        </x:is>
      </x:c>
      <x:c r="AA180" s="520" t="inlineStr">
        <x:is>
          <x:t xml:space="preserve">Mineral Quit Claim Deed — Federal Deposit Insurance Corp to First State Bank &amp; Trust Compa (1126/98)</x:t>
        </x:is>
      </x:c>
      <x:c r="AB180" s="520" t="inlineStr">
        <x:is>
          <x:t xml:space="preserve">Needs source review: tract, no source of title</x:t>
        </x:is>
      </x:c>
    </x:row>
    <x:row r="181" s="520" customFormat="1" ht="60" customHeight="1">
      <x:c r="A181" s="519" t="inlineStr">
        <x:is>
          <x:t xml:space="preserve">1990-002146</x:t>
        </x:is>
      </x:c>
      <x:c r="B181" s="536" t="n"/>
      <x:c r="C181" s="536" t="inlineStr">
        <x:is>
          <x:t xml:space="preserve">Quit Claim Mineral Deed, Assignment and Conveyance</x:t>
        </x:is>
      </x:c>
      <x:c r="D181" s="536" t="inlineStr">
        <x:is>
          <x:t xml:space="preserve">1128/39</x:t>
        </x:is>
      </x:c>
      <x:c r="E181" s="537" t="n">
        <x:v>32975</x:v>
      </x:c>
      <x:c r="F181" s="537" t="n">
        <x:v>32975</x:v>
      </x:c>
      <x:c r="G181" s="538" t="inlineStr">
        <x:is>
          <x:t xml:space="preserve">State Bank &amp; Trust Company</x:t>
        </x:is>
      </x:c>
      <x:c r="H181" s="538" t="inlineStr">
        <x:is>
          <x:t xml:space="preserve">Arrowhead Resources, Inc.</x:t>
        </x:is>
      </x:c>
      <x:c r="I181" s="538" t="inlineStr">
        <x:is>
          <x:t xml:space="preserve">E/2 NW/4, N/2 NE/4 SW/4, SE/4 NE/4, NE/4 SE/4 of 31-12N-24W</x:t>
        </x:is>
      </x:c>
      <x:c r="J181" s="538" t="inlineStr">
        <x:is>
          <x:t xml:space="preserve">ARTI</x:t>
        </x:is>
      </x:c>
      <x:c r="K181" s="518" t="e">
        <x:f>HYPERLINK("https://okcountyrecords.com/detail/roger+mills/1990-002146","OKCountyRecords: 1990-002146")</x:f>
      </x:c>
      <x:c r="L181" s="519" t="inlineStr">
        <x:is>
          <x:t xml:space="preserve">Mineral; basis Conv Amt(dec). Gross=tract-map basis.</x:t>
        </x:is>
      </x:c>
      <x:c r="M181" s="519" t="inlineStr">
        <x:is>
          <x:t xml:space="preserve">CURRENT OWNER SOURCE</x:t>
        </x:is>
      </x:c>
      <x:c r="N181" s="519" t="n"/>
      <x:c r="O181" s="519" t="inlineStr">
        <x:is>
          <x:t xml:space="preserve">MINERAL DEED</x:t>
        </x:is>
      </x:c>
      <x:c r="P181" s="520" t="inlineStr">
        <x:is>
          <x:t xml:space="preserve">Chain — minerals</x:t>
        </x:is>
      </x:c>
      <x:c r="Q181" s="520" t="inlineStr">
        <x:is>
          <x:t xml:space="preserve">Yes</x:t>
        </x:is>
      </x:c>
      <x:c r="R181" s="520" t="inlineStr">
        <x:is>
          <x:t xml:space="preserve">No</x:t>
        </x:is>
      </x:c>
      <x:c r="S181" s="520" t="inlineStr">
        <x:is>
          <x:t xml:space="preserve">Yes</x:t>
        </x:is>
      </x:c>
      <x:c r="T181" s="520" t="inlineStr">
        <x:is>
          <x:t xml:space="preserve">No</x:t>
        </x:is>
      </x:c>
      <x:c r="U181" s="520" t="inlineStr">
        <x:is>
          <x:t xml:space="preserve">Legal maps to 1, 3, 4, 7, 10; helper says 1, 3, 4, 7, 8</x:t>
        </x:is>
      </x:c>
      <x:c r="V181" s="520" t="inlineStr">
        <x:is>
          <x:t xml:space="preserve">Review</x:t>
        </x:is>
      </x:c>
      <x:c r="W181" s="520" t="inlineStr">
        <x:is>
          <x:t xml:space="preserve">Probable — name-normalized match to Runsheet 180 grantee; confirm</x:t>
        </x:is>
      </x:c>
      <x:c r="X181" s="520" t="inlineStr">
        <x:is>
          <x:t xml:space="preserve">Yes — on Tract 3 owner list</x:t>
        </x:is>
      </x:c>
      <x:c r="Y181" s="520" t="inlineStr">
        <x:is>
          <x:t xml:space="preserve">Candidate 1 (helper — confirm from image)</x:t>
        </x:is>
      </x:c>
      <x:c r="Z181" s="520" t="inlineStr">
        <x:is>
          <x:t xml:space="preserve">Medium — helper value</x:t>
        </x:is>
      </x:c>
      <x:c r="AA181" s="520" t="inlineStr">
        <x:is>
          <x:t xml:space="preserve">Quit Claim Mineral Deed, Assignm — State Bank &amp; Trust Company to Arrowhead Resources, Inc. (1128/39)</x:t>
        </x:is>
      </x:c>
      <x:c r="AB181" s="520" t="inlineStr">
        <x:is>
          <x:t xml:space="preserve">Needs source review: tract, grantor source</x:t>
        </x:is>
      </x:c>
    </x:row>
    <x:row r="182" s="520" customFormat="1" ht="60" customHeight="1">
      <x:c r="A182" s="519" t="inlineStr">
        <x:is>
          <x:t xml:space="preserve">1990-002451</x:t>
        </x:is>
      </x:c>
      <x:c r="B182" s="536" t="n"/>
      <x:c r="C182" s="536" t="inlineStr">
        <x:is>
          <x:t xml:space="preserve">Quit Claim Mineral Deed, Assignment and Conveyance</x:t>
        </x:is>
      </x:c>
      <x:c r="D182" s="536" t="inlineStr">
        <x:is>
          <x:t xml:space="preserve">1131/89</x:t>
        </x:is>
      </x:c>
      <x:c r="E182" s="537" t="n">
        <x:v>32993</x:v>
      </x:c>
      <x:c r="F182" s="537" t="n">
        <x:v>32993</x:v>
      </x:c>
      <x:c r="G182" s="538" t="inlineStr">
        <x:is>
          <x:t xml:space="preserve">Arrowhead Resources, Inc.</x:t>
        </x:is>
      </x:c>
      <x:c r="H182" s="538" t="inlineStr">
        <x:is>
          <x:t xml:space="preserve">Daniel D. Ferson</x:t>
        </x:is>
      </x:c>
      <x:c r="I182" s="538" t="inlineStr">
        <x:is>
          <x:t xml:space="preserve">E/2 NW/4, N/2 NE/4 SW/4, SE/4 NE/4, NE/4 SE/4 of 31-12N-24W</x:t>
        </x:is>
      </x:c>
      <x:c r="J182" s="538" t="inlineStr">
        <x:is>
          <x:t xml:space="preserve">ARTI</x:t>
        </x:is>
      </x:c>
      <x:c r="K182" s="518" t="e">
        <x:f>HYPERLINK("https://okcountyrecords.com/detail/roger+mills/1990-002451","OKCountyRecords: 1990-002451")</x:f>
      </x:c>
      <x:c r="L182" s="519" t="inlineStr">
        <x:is>
          <x:t xml:space="preserve">Mineral; basis Conv Amt(dec). Gross=tract-map basis.</x:t>
        </x:is>
      </x:c>
      <x:c r="M182" s="519" t="inlineStr">
        <x:is>
          <x:t xml:space="preserve">CURRENT OWNER SOURCE</x:t>
        </x:is>
      </x:c>
      <x:c r="N182" s="519" t="n"/>
      <x:c r="O182" s="519" t="inlineStr">
        <x:is>
          <x:t xml:space="preserve">MINERAL DEED</x:t>
        </x:is>
      </x:c>
      <x:c r="P182" s="520" t="inlineStr">
        <x:is>
          <x:t xml:space="preserve">Chain — minerals</x:t>
        </x:is>
      </x:c>
      <x:c r="Q182" s="520" t="inlineStr">
        <x:is>
          <x:t xml:space="preserve">Yes</x:t>
        </x:is>
      </x:c>
      <x:c r="R182" s="520" t="inlineStr">
        <x:is>
          <x:t xml:space="preserve">No</x:t>
        </x:is>
      </x:c>
      <x:c r="S182" s="520" t="inlineStr">
        <x:is>
          <x:t xml:space="preserve">Yes</x:t>
        </x:is>
      </x:c>
      <x:c r="T182" s="520" t="inlineStr">
        <x:is>
          <x:t xml:space="preserve">No</x:t>
        </x:is>
      </x:c>
      <x:c r="U182" s="520" t="inlineStr">
        <x:is>
          <x:t xml:space="preserve">Legal maps to 1, 3, 4, 7, 10; helper says 1, 3, 4, 7, 8</x:t>
        </x:is>
      </x:c>
      <x:c r="V182" s="520" t="inlineStr">
        <x:is>
          <x:t xml:space="preserve">Review</x:t>
        </x:is>
      </x:c>
      <x:c r="W182" s="520" t="inlineStr">
        <x:is>
          <x:t xml:space="preserve">Yes — prior grantee match</x:t>
        </x:is>
      </x:c>
      <x:c r="X182" s="520" t="inlineStr">
        <x:is>
          <x:t xml:space="preserve">Yes — on Tract 3 owner list</x:t>
        </x:is>
      </x:c>
      <x:c r="Y182" s="520" t="inlineStr">
        <x:is>
          <x:t xml:space="preserve">Candidate 1 (helper — confirm from image)</x:t>
        </x:is>
      </x:c>
      <x:c r="Z182" s="520" t="inlineStr">
        <x:is>
          <x:t xml:space="preserve">Medium — helper value</x:t>
        </x:is>
      </x:c>
      <x:c r="AA182" s="520" t="inlineStr">
        <x:is>
          <x:t xml:space="preserve">Quit Claim Mineral Deed, Assignm — Arrowhead Resources, Inc. to Daniel D. Ferson (1131/89)</x:t>
        </x:is>
      </x:c>
      <x:c r="AB182" s="520" t="inlineStr">
        <x:is>
          <x:t xml:space="preserve">Needs source review: tract</x:t>
        </x:is>
      </x:c>
    </x:row>
    <x:row r="183" s="520" customFormat="1" ht="48" customHeight="1">
      <x:c r="A183" s="519" t="inlineStr">
        <x:is>
          <x:t xml:space="preserve">1990-002606</x:t>
        </x:is>
      </x:c>
      <x:c r="B183" s="536" t="n"/>
      <x:c r="C183" s="536" t="inlineStr">
        <x:is>
          <x:t xml:space="preserve">Mineral Deed</x:t>
        </x:is>
      </x:c>
      <x:c r="D183" s="536" t="inlineStr">
        <x:is>
          <x:t xml:space="preserve">1132/285</x:t>
        </x:is>
      </x:c>
      <x:c r="E183" s="537" t="n">
        <x:v>33000</x:v>
      </x:c>
      <x:c r="F183" s="537" t="n">
        <x:v>33000</x:v>
      </x:c>
      <x:c r="G183" s="538" t="inlineStr">
        <x:is>
          <x:t xml:space="preserve">Alfred W. Standiford</x:t>
        </x:is>
      </x:c>
      <x:c r="H183" s="538" t="inlineStr">
        <x:is>
          <x:t xml:space="preserve">Fred A. Standiford, Jr.</x:t>
        </x:is>
      </x:c>
      <x:c r="I183" s="538" t="inlineStr">
        <x:is>
          <x:t xml:space="preserve">SE/4 SW/4 of 31-12N-24W, aol</x:t>
        </x:is>
      </x:c>
      <x:c r="J183" s="538" t="inlineStr">
        <x:is>
          <x:t xml:space="preserve">An undivided 1/3 of 7/48ths interest in all of the mineral interests or undivided interests in oil, gas and other minerals and mineral rights in real property</x:t>
        </x:is>
      </x:c>
      <x:c r="K183" s="518" t="e">
        <x:f>HYPERLINK("https://okcountyrecords.com/detail/roger+mills/1990-002606","OKCountyRecords: 1990-002606")</x:f>
      </x:c>
      <x:c r="L183" s="519" t="inlineStr">
        <x:is>
          <x:t xml:space="preserve">Mineral; basis Conv Amt(dec). Gross=tract-map basis.</x:t>
        </x:is>
      </x:c>
      <x:c r="M183" s="519" t="inlineStr">
        <x:is>
          <x:t xml:space="preserve">CURRENT OWNER SOURCE</x:t>
        </x:is>
      </x:c>
      <x:c r="N183" s="519" t="n"/>
      <x:c r="O183" s="519" t="inlineStr">
        <x:is>
          <x:t xml:space="preserve">OUTSIDE LANDS</x:t>
        </x:is>
      </x:c>
      <x:c r="P183" s="520" t="inlineStr">
        <x:is>
          <x:t xml:space="preserve">Chain — minerals</x:t>
        </x:is>
      </x:c>
      <x:c r="Q183" s="520" t="inlineStr">
        <x:is>
          <x:t xml:space="preserve">Yes</x:t>
        </x:is>
      </x:c>
      <x:c r="R183" s="520" t="inlineStr">
        <x:is>
          <x:t xml:space="preserve">No</x:t>
        </x:is>
      </x:c>
      <x:c r="S183" s="520" t="inlineStr">
        <x:is>
          <x:t xml:space="preserve">Yes</x:t>
        </x:is>
      </x:c>
      <x:c r="T183" s="520" t="inlineStr">
        <x:is>
          <x:t xml:space="preserve">No</x:t>
        </x:is>
      </x:c>
      <x:c r="U183" s="520" t="inlineStr">
        <x:is>
          <x:t xml:space="preserve">Yes: 5 (legal supports)</x:t>
        </x:is>
      </x:c>
      <x:c r="V183" s="520" t="inlineStr">
        <x:is>
          <x:t xml:space="preserve">High</x:t>
        </x:is>
      </x:c>
      <x:c r="W183" s="520" t="inlineStr">
        <x:is>
          <x:t xml:space="preserve">Review — no exact prior-grantee match</x:t>
        </x:is>
      </x:c>
      <x:c r="X183" s="520" t="inlineStr">
        <x:is>
          <x:t xml:space="preserve">Yes — on Tract 5 owner list</x:t>
        </x:is>
      </x:c>
      <x:c r="Y183" s="520" t="inlineStr">
        <x:is>
          <x:t xml:space="preserve">Candidate 0.333333333333333 (helper — confirm from image)</x:t>
        </x:is>
      </x:c>
      <x:c r="Z183" s="520" t="inlineStr">
        <x:is>
          <x:t xml:space="preserve">Medium — helper value</x:t>
        </x:is>
      </x:c>
      <x:c r="AA183" s="520" t="inlineStr">
        <x:is>
          <x:t xml:space="preserve">Mineral Deed — Alfred W. Standiford to Fred A. Standiford, Jr. (1132/285)</x:t>
        </x:is>
      </x:c>
      <x:c r="AB183" s="520" t="inlineStr">
        <x:is>
          <x:t xml:space="preserve">Needs source review: grantor source</x:t>
        </x:is>
      </x:c>
    </x:row>
    <x:row r="184" s="520" customFormat="1" ht="60" customHeight="1">
      <x:c r="A184" s="519" t="inlineStr">
        <x:is>
          <x:t xml:space="preserve">1990-003160</x:t>
        </x:is>
      </x:c>
      <x:c r="B184" s="536" t="n"/>
      <x:c r="C184" s="536" t="inlineStr">
        <x:is>
          <x:t xml:space="preserve">Quit Claim Mineral Deed, Assignment and Conveyance</x:t>
        </x:is>
      </x:c>
      <x:c r="D184" s="536" t="inlineStr">
        <x:is>
          <x:t xml:space="preserve">1140/26</x:t>
        </x:is>
      </x:c>
      <x:c r="E184" s="537" t="n">
        <x:v>33025</x:v>
      </x:c>
      <x:c r="F184" s="537" t="n">
        <x:v>33025</x:v>
      </x:c>
      <x:c r="G184" s="538" t="inlineStr">
        <x:is>
          <x:t xml:space="preserve">First State Bank &amp; Trust Company</x:t>
        </x:is>
      </x:c>
      <x:c r="H184" s="538" t="inlineStr">
        <x:is>
          <x:t xml:space="preserve">Arrowhead Resources, Inc.</x:t>
        </x:is>
      </x:c>
      <x:c r="I184" s="538" t="inlineStr">
        <x:is>
          <x:t xml:space="preserve">E/2 NW/4, N/2 NE/4 SW/4, SE/4 NE/4, NE/4 SE/4 of 31-12N-24W</x:t>
        </x:is>
      </x:c>
      <x:c r="J184" s="538" t="inlineStr">
        <x:is>
          <x:t xml:space="preserve">ARTI</x:t>
        </x:is>
      </x:c>
      <x:c r="K184" s="518" t="e">
        <x:f>HYPERLINK("https://okcountyrecords.com/detail/roger+mills/1990-003160","OKCountyRecords: 1990-003160")</x:f>
      </x:c>
      <x:c r="L184" s="519" t="inlineStr">
        <x:is>
          <x:t xml:space="preserve">Mineral; basis Conv Amt(dec). Gross=tract-map basis.</x:t>
        </x:is>
      </x:c>
      <x:c r="M184" s="519" t="inlineStr">
        <x:is>
          <x:t xml:space="preserve">CURRENT OWNER SOURCE</x:t>
        </x:is>
      </x:c>
      <x:c r="N184" s="519" t="n"/>
      <x:c r="O184" s="519" t="inlineStr">
        <x:is>
          <x:t xml:space="preserve">MINERAL DEED</x:t>
        </x:is>
      </x:c>
      <x:c r="P184" s="520" t="inlineStr">
        <x:is>
          <x:t xml:space="preserve">Chain — minerals</x:t>
        </x:is>
      </x:c>
      <x:c r="Q184" s="520" t="inlineStr">
        <x:is>
          <x:t xml:space="preserve">Yes</x:t>
        </x:is>
      </x:c>
      <x:c r="R184" s="520" t="inlineStr">
        <x:is>
          <x:t xml:space="preserve">No</x:t>
        </x:is>
      </x:c>
      <x:c r="S184" s="520" t="inlineStr">
        <x:is>
          <x:t xml:space="preserve">Yes</x:t>
        </x:is>
      </x:c>
      <x:c r="T184" s="520" t="inlineStr">
        <x:is>
          <x:t xml:space="preserve">No</x:t>
        </x:is>
      </x:c>
      <x:c r="U184" s="520" t="inlineStr">
        <x:is>
          <x:t xml:space="preserve">Legal maps to 1, 3, 4, 7, 10; helper says 1, 3, 4, 7, 8</x:t>
        </x:is>
      </x:c>
      <x:c r="V184" s="520" t="inlineStr">
        <x:is>
          <x:t xml:space="preserve">Review</x:t>
        </x:is>
      </x:c>
      <x:c r="W184" s="520" t="inlineStr">
        <x:is>
          <x:t xml:space="preserve">Yes — prior grantee match</x:t>
        </x:is>
      </x:c>
      <x:c r="X184" s="520" t="inlineStr">
        <x:is>
          <x:t xml:space="preserve">Yes — on Tract 3 owner list</x:t>
        </x:is>
      </x:c>
      <x:c r="Y184" s="520" t="inlineStr">
        <x:is>
          <x:t xml:space="preserve">Candidate 1 (helper — confirm from image)</x:t>
        </x:is>
      </x:c>
      <x:c r="Z184" s="520" t="inlineStr">
        <x:is>
          <x:t xml:space="preserve">Medium — helper value</x:t>
        </x:is>
      </x:c>
      <x:c r="AA184" s="520" t="inlineStr">
        <x:is>
          <x:t xml:space="preserve">Quit Claim Mineral Deed, Assignm — First State Bank &amp; Trust Compa to Arrowhead Resources, Inc. (1140/26)</x:t>
        </x:is>
      </x:c>
      <x:c r="AB184" s="520" t="inlineStr">
        <x:is>
          <x:t xml:space="preserve">Needs source review: tract</x:t>
        </x:is>
      </x:c>
    </x:row>
    <x:row r="185" s="520" customFormat="1" ht="60" customHeight="1">
      <x:c r="A185" s="519" t="inlineStr">
        <x:is>
          <x:t xml:space="preserve">1990-003924</x:t>
        </x:is>
      </x:c>
      <x:c r="B185" s="536" t="n"/>
      <x:c r="C185" s="536" t="inlineStr">
        <x:is>
          <x:t xml:space="preserve">Quit Claim Mineral Deed, Assignment and Conveyance</x:t>
        </x:is>
      </x:c>
      <x:c r="D185" s="536" t="inlineStr">
        <x:is>
          <x:t xml:space="preserve">1147/242</x:t>
        </x:is>
      </x:c>
      <x:c r="E185" s="537" t="n">
        <x:v>33059</x:v>
      </x:c>
      <x:c r="F185" s="537" t="n">
        <x:v>33059</x:v>
      </x:c>
      <x:c r="G185" s="538" t="inlineStr">
        <x:is>
          <x:t xml:space="preserve">Arrowhead Resources, Inc.</x:t>
        </x:is>
      </x:c>
      <x:c r="H185" s="538" t="inlineStr">
        <x:is>
          <x:t xml:space="preserve">The Hefner Corporation</x:t>
        </x:is>
      </x:c>
      <x:c r="I185" s="538" t="inlineStr">
        <x:is>
          <x:t xml:space="preserve">E/2 NW/4, N/2 NE/4 SW/4, SE/4 NE/4, NE/4 SE/4 of 31-12N-24W</x:t>
        </x:is>
      </x:c>
      <x:c r="J185" s="538" t="inlineStr">
        <x:is>
          <x:t xml:space="preserve">ARTI</x:t>
        </x:is>
      </x:c>
      <x:c r="K185" s="518" t="e">
        <x:f>HYPERLINK("https://okcountyrecords.com/detail/roger+mills/1990-003924","OKCountyRecords: 1990-003924")</x:f>
      </x:c>
      <x:c r="L185" s="519" t="inlineStr">
        <x:is>
          <x:t xml:space="preserve">Mineral; basis Conv Amt(dec). Gross=tract-map basis.</x:t>
        </x:is>
      </x:c>
      <x:c r="M185" s="519" t="inlineStr">
        <x:is>
          <x:t xml:space="preserve">CURRENT OWNER SOURCE</x:t>
        </x:is>
      </x:c>
      <x:c r="N185" s="519" t="n"/>
      <x:c r="O185" s="519" t="inlineStr">
        <x:is>
          <x:t xml:space="preserve">MINERAL DEED</x:t>
        </x:is>
      </x:c>
      <x:c r="P185" s="520" t="inlineStr">
        <x:is>
          <x:t xml:space="preserve">Chain — minerals</x:t>
        </x:is>
      </x:c>
      <x:c r="Q185" s="520" t="inlineStr">
        <x:is>
          <x:t xml:space="preserve">Yes</x:t>
        </x:is>
      </x:c>
      <x:c r="R185" s="520" t="inlineStr">
        <x:is>
          <x:t xml:space="preserve">No</x:t>
        </x:is>
      </x:c>
      <x:c r="S185" s="520" t="inlineStr">
        <x:is>
          <x:t xml:space="preserve">Yes</x:t>
        </x:is>
      </x:c>
      <x:c r="T185" s="520" t="inlineStr">
        <x:is>
          <x:t xml:space="preserve">No</x:t>
        </x:is>
      </x:c>
      <x:c r="U185" s="520" t="inlineStr">
        <x:is>
          <x:t xml:space="preserve">Legal maps to 1, 3, 4, 7, 10; helper says 1, 3, 4, 7, 8</x:t>
        </x:is>
      </x:c>
      <x:c r="V185" s="520" t="inlineStr">
        <x:is>
          <x:t xml:space="preserve">Review</x:t>
        </x:is>
      </x:c>
      <x:c r="W185" s="520" t="inlineStr">
        <x:is>
          <x:t xml:space="preserve">Yes — prior grantee match</x:t>
        </x:is>
      </x:c>
      <x:c r="X185" s="520" t="inlineStr">
        <x:is>
          <x:t xml:space="preserve">Yes — on Tract 3 owner list</x:t>
        </x:is>
      </x:c>
      <x:c r="Y185" s="520" t="inlineStr">
        <x:is>
          <x:t xml:space="preserve">Candidate 1 (helper — confirm from image)</x:t>
        </x:is>
      </x:c>
      <x:c r="Z185" s="520" t="inlineStr">
        <x:is>
          <x:t xml:space="preserve">Medium — helper value</x:t>
        </x:is>
      </x:c>
      <x:c r="AA185" s="520" t="inlineStr">
        <x:is>
          <x:t xml:space="preserve">Quit Claim Mineral Deed, Assignm — Arrowhead Resources, Inc. to The Hefner Corporation (1147/242)</x:t>
        </x:is>
      </x:c>
      <x:c r="AB185" s="520" t="inlineStr">
        <x:is>
          <x:t xml:space="preserve">Needs source review: tract</x:t>
        </x:is>
      </x:c>
    </x:row>
    <x:row r="186" s="520" customFormat="1" ht="48" customHeight="1">
      <x:c r="A186" s="519" t="inlineStr">
        <x:is>
          <x:t xml:space="preserve">1990-004213</x:t>
        </x:is>
      </x:c>
      <x:c r="B186" s="536" t="n"/>
      <x:c r="C186" s="536" t="inlineStr">
        <x:is>
          <x:t xml:space="preserve">Quit Claim Deed</x:t>
        </x:is>
      </x:c>
      <x:c r="D186" s="536" t="inlineStr">
        <x:is>
          <x:t xml:space="preserve">1151/107</x:t>
        </x:is>
      </x:c>
      <x:c r="E186" s="537" t="n">
        <x:v>33073</x:v>
      </x:c>
      <x:c r="F186" s="537" t="n">
        <x:v>33073</x:v>
      </x:c>
      <x:c r="G186" s="538" t="inlineStr">
        <x:is>
          <x:t xml:space="preserve">Charles O. Burckhalter</x:t>
        </x:is>
      </x:c>
      <x:c r="H186" s="538" t="inlineStr">
        <x:is>
          <x:t xml:space="preserve">Charles O. Burckhalter, Trustee of the Burckhalter Family Trust dated July 9, 1990</x:t>
        </x:is>
      </x:c>
      <x:c r="I186" s="538" t="inlineStr">
        <x:is>
          <x:t xml:space="preserve">Lot 1, S/2 of Lot 3, S/2 NE/4 SW/4, SE/4 SW/4 of 31-12N-24W, aol</x:t>
        </x:is>
      </x:c>
      <x:c r="J186" s="538" t="inlineStr">
        <x:is>
          <x:t xml:space="preserve">ARTI</x:t>
        </x:is>
      </x:c>
      <x:c r="K186" s="518" t="e">
        <x:f>HYPERLINK("https://okcountyrecords.com/detail/roger+mills/1990-004213","OKCountyRecords: 1990-004213")</x:f>
      </x:c>
      <x:c r="L186" s="519" t="inlineStr">
        <x:is>
          <x:t xml:space="preserve">Mineral; basis Conv Amt(dec). Gross=tract-map basis.</x:t>
        </x:is>
      </x:c>
      <x:c r="M186" s="519" t="inlineStr">
        <x:is>
          <x:t xml:space="preserve">CURRENT OWNER SOURCE</x:t>
        </x:is>
      </x:c>
      <x:c r="N186" s="519" t="n"/>
      <x:c r="O186" s="519" t="inlineStr">
        <x:is>
          <x:t xml:space="preserve">OUTSIDE LANDS</x:t>
        </x:is>
      </x:c>
      <x:c r="P186" s="520" t="inlineStr">
        <x:is>
          <x:t xml:space="preserve">Chain — deed (confirm minerals vs surface from instrument)</x:t>
        </x:is>
      </x:c>
      <x:c r="Q186" s="520" t="inlineStr">
        <x:is>
          <x:t xml:space="preserve">Yes</x:t>
        </x:is>
      </x:c>
      <x:c r="R186" s="520" t="inlineStr">
        <x:is>
          <x:t xml:space="preserve">No</x:t>
        </x:is>
      </x:c>
      <x:c r="S186" s="520" t="inlineStr">
        <x:is>
          <x:t xml:space="preserve">Review</x:t>
        </x:is>
      </x:c>
      <x:c r="T186" s="520" t="inlineStr">
        <x:is>
          <x:t xml:space="preserve">No</x:t>
        </x:is>
      </x:c>
      <x:c r="U186" s="520" t="inlineStr">
        <x:is>
          <x:t xml:space="preserve">Legal maps to 5, 6, 7, 8, 9; helper says 2, 3, 5, 6, 7</x:t>
        </x:is>
      </x:c>
      <x:c r="V186" s="520" t="inlineStr">
        <x:is>
          <x:t xml:space="preserve">Review</x:t>
        </x:is>
      </x:c>
      <x:c r="W186" s="520" t="inlineStr">
        <x:is>
          <x:t xml:space="preserve">Review — no exact prior-grantee match</x:t>
        </x:is>
      </x:c>
      <x:c r="X186" s="520" t="inlineStr">
        <x:is>
          <x:t xml:space="preserve">Yes — on Tract 3 owner list</x:t>
        </x:is>
      </x:c>
      <x:c r="Y186" s="520" t="inlineStr">
        <x:is>
          <x:t xml:space="preserve">Candidate 1 (helper — confirm from image)</x:t>
        </x:is>
      </x:c>
      <x:c r="Z186" s="520" t="inlineStr">
        <x:is>
          <x:t xml:space="preserve">Medium — helper value</x:t>
        </x:is>
      </x:c>
      <x:c r="AA186" s="520" t="inlineStr">
        <x:is>
          <x:t xml:space="preserve">Quit Claim Deed — Charles O. Burckhalter to Charles O. Burckhalter, Truste (1151/107)</x:t>
        </x:is>
      </x:c>
      <x:c r="AB186" s="520" t="inlineStr">
        <x:is>
          <x:t xml:space="preserve">Needs source review: tract, grantor source</x:t>
        </x:is>
      </x:c>
    </x:row>
    <x:row r="187" s="520" customFormat="1" ht="48" customHeight="1">
      <x:c r="A187" s="519" t="inlineStr">
        <x:is>
          <x:t xml:space="preserve">1990-005042</x:t>
        </x:is>
      </x:c>
      <x:c r="B187" s="536" t="n"/>
      <x:c r="C187" s="536" t="inlineStr">
        <x:is>
          <x:t xml:space="preserve">Mineral Deed</x:t>
        </x:is>
      </x:c>
      <x:c r="D187" s="536" t="inlineStr">
        <x:is>
          <x:t xml:space="preserve">1159/224</x:t>
        </x:is>
      </x:c>
      <x:c r="E187" s="537" t="n">
        <x:v>33114</x:v>
      </x:c>
      <x:c r="F187" s="537" t="n">
        <x:v>33114</x:v>
      </x:c>
      <x:c r="G187" s="538" t="inlineStr">
        <x:is>
          <x:t xml:space="preserve">Inter-American Corporation</x:t>
        </x:is>
      </x:c>
      <x:c r="H187" s="538" t="inlineStr">
        <x:is>
          <x:t xml:space="preserve">Hayhurst Oil Properties, Inc.</x:t>
        </x:is>
      </x:c>
      <x:c r="I187" s="538" t="inlineStr">
        <x:is>
          <x:t xml:space="preserve">NE/4 SE/4, SE/4 NE/4, N/2 NE/4 SW/4, E/2 NW/4 of 31-12N-24W, aol</x:t>
        </x:is>
      </x:c>
      <x:c r="J187" s="538" t="inlineStr">
        <x:is>
          <x:t xml:space="preserve">5/260 interest in 2 sections</x:t>
        </x:is>
      </x:c>
      <x:c r="K187" s="518" t="e">
        <x:f>HYPERLINK("https://okcountyrecords.com/detail/roger+mills/1990-005042","OKCountyRecords: 1990-005042")</x:f>
      </x:c>
      <x:c r="L187" s="519" t="inlineStr">
        <x:is>
          <x:t xml:space="preserve">Mineral; basis Conv Amt(dec). Gross=tract-map basis.</x:t>
        </x:is>
      </x:c>
      <x:c r="M187" s="519" t="inlineStr">
        <x:is>
          <x:t xml:space="preserve">CURRENT OWNER SOURCE</x:t>
        </x:is>
      </x:c>
      <x:c r="N187" s="519" t="n"/>
      <x:c r="O187" s="519" t="inlineStr">
        <x:is>
          <x:t xml:space="preserve">OUTSIDE LANDS</x:t>
        </x:is>
      </x:c>
      <x:c r="P187" s="520" t="inlineStr">
        <x:is>
          <x:t xml:space="preserve">Chain — minerals</x:t>
        </x:is>
      </x:c>
      <x:c r="Q187" s="520" t="inlineStr">
        <x:is>
          <x:t xml:space="preserve">Yes</x:t>
        </x:is>
      </x:c>
      <x:c r="R187" s="520" t="inlineStr">
        <x:is>
          <x:t xml:space="preserve">No</x:t>
        </x:is>
      </x:c>
      <x:c r="S187" s="520" t="inlineStr">
        <x:is>
          <x:t xml:space="preserve">Yes</x:t>
        </x:is>
      </x:c>
      <x:c r="T187" s="520" t="inlineStr">
        <x:is>
          <x:t xml:space="preserve">No</x:t>
        </x:is>
      </x:c>
      <x:c r="U187" s="520" t="inlineStr">
        <x:is>
          <x:t xml:space="preserve">Legal maps to 1, 3, 4, 7, 10; helper says 1, 3, 4, 7, 8</x:t>
        </x:is>
      </x:c>
      <x:c r="V187" s="520" t="inlineStr">
        <x:is>
          <x:t xml:space="preserve">Review</x:t>
        </x:is>
      </x:c>
      <x:c r="W187" s="520" t="inlineStr">
        <x:is>
          <x:t xml:space="preserve">Yes — prior grantee match</x:t>
        </x:is>
      </x:c>
      <x:c r="X187" s="520" t="inlineStr">
        <x:is>
          <x:t xml:space="preserve">Yes — on Tract 3 owner list</x:t>
        </x:is>
      </x:c>
      <x:c r="Y187" s="520" t="inlineStr">
        <x:is>
          <x:t xml:space="preserve">Candidate 0.0192307692307692 (helper — confirm from image)</x:t>
        </x:is>
      </x:c>
      <x:c r="Z187" s="520" t="inlineStr">
        <x:is>
          <x:t xml:space="preserve">Medium — helper value</x:t>
        </x:is>
      </x:c>
      <x:c r="AA187" s="520" t="inlineStr">
        <x:is>
          <x:t xml:space="preserve">Mineral Deed — Inter-American Corporation to Hayhurst Oil Properties, Inc. (1159/224)</x:t>
        </x:is>
      </x:c>
      <x:c r="AB187" s="520" t="inlineStr">
        <x:is>
          <x:t xml:space="preserve">Needs source review: tract</x:t>
        </x:is>
      </x:c>
    </x:row>
    <x:row r="188" s="520" customFormat="1" ht="48" customHeight="1">
      <x:c r="A188" s="519" t="inlineStr">
        <x:is>
          <x:t xml:space="preserve">1990-005043</x:t>
        </x:is>
      </x:c>
      <x:c r="B188" s="536" t="n"/>
      <x:c r="C188" s="536" t="inlineStr">
        <x:is>
          <x:t xml:space="preserve">Quit Claim Deed</x:t>
        </x:is>
      </x:c>
      <x:c r="D188" s="536" t="inlineStr">
        <x:is>
          <x:t xml:space="preserve">1159/225</x:t>
        </x:is>
      </x:c>
      <x:c r="E188" s="537" t="n">
        <x:v>33114</x:v>
      </x:c>
      <x:c r="F188" s="537" t="n">
        <x:v>33114</x:v>
      </x:c>
      <x:c r="G188" s="538" t="inlineStr">
        <x:is>
          <x:t xml:space="preserve">Termo Company</x:t>
        </x:is>
      </x:c>
      <x:c r="H188" s="538" t="inlineStr">
        <x:is>
          <x:t xml:space="preserve">Hayhurst Oil Properties, Inc.</x:t>
        </x:is>
      </x:c>
      <x:c r="I188" s="538" t="inlineStr">
        <x:is>
          <x:t xml:space="preserve">NE/4 SE/4, SE/4 NE/4, N/2 NE/4 SW/4, E/2 NW/4 of 31-12N-24W, aol</x:t>
        </x:is>
      </x:c>
      <x:c r="J188" s="538" t="inlineStr">
        <x:is>
          <x:t xml:space="preserve">ARTI</x:t>
        </x:is>
      </x:c>
      <x:c r="K188" s="518" t="e">
        <x:f>HYPERLINK("https://okcountyrecords.com/detail/roger+mills/1990-005043","OKCountyRecords: 1990-005043")</x:f>
      </x:c>
      <x:c r="L188" s="519" t="inlineStr">
        <x:is>
          <x:t xml:space="preserve">Mineral; basis Conv Amt(dec). Gross=tract-map basis.</x:t>
        </x:is>
      </x:c>
      <x:c r="M188" s="519" t="inlineStr">
        <x:is>
          <x:t xml:space="preserve">CURRENT OWNER SOURCE</x:t>
        </x:is>
      </x:c>
      <x:c r="N188" s="519" t="n"/>
      <x:c r="O188" s="519" t="inlineStr">
        <x:is>
          <x:t xml:space="preserve">OUTSIDE LANDS</x:t>
        </x:is>
      </x:c>
      <x:c r="P188" s="520" t="inlineStr">
        <x:is>
          <x:t xml:space="preserve">Chain — deed (confirm minerals vs surface from instrument)</x:t>
        </x:is>
      </x:c>
      <x:c r="Q188" s="520" t="inlineStr">
        <x:is>
          <x:t xml:space="preserve">Yes</x:t>
        </x:is>
      </x:c>
      <x:c r="R188" s="520" t="inlineStr">
        <x:is>
          <x:t xml:space="preserve">No</x:t>
        </x:is>
      </x:c>
      <x:c r="S188" s="520" t="inlineStr">
        <x:is>
          <x:t xml:space="preserve">Review</x:t>
        </x:is>
      </x:c>
      <x:c r="T188" s="520" t="inlineStr">
        <x:is>
          <x:t xml:space="preserve">No</x:t>
        </x:is>
      </x:c>
      <x:c r="U188" s="520" t="inlineStr">
        <x:is>
          <x:t xml:space="preserve">Legal maps to 1, 3, 4, 7, 10; helper says 1, 3, 4, 7, 8</x:t>
        </x:is>
      </x:c>
      <x:c r="V188" s="520" t="inlineStr">
        <x:is>
          <x:t xml:space="preserve">Review</x:t>
        </x:is>
      </x:c>
      <x:c r="W188" s="520" t="inlineStr">
        <x:is>
          <x:t xml:space="preserve">Review — no exact prior-grantee match</x:t>
        </x:is>
      </x:c>
      <x:c r="X188" s="520" t="inlineStr">
        <x:is>
          <x:t xml:space="preserve">Yes — on Tract 3 owner list</x:t>
        </x:is>
      </x:c>
      <x:c r="Y188" s="520" t="inlineStr">
        <x:is>
          <x:t xml:space="preserve">Candidate 1 (helper — confirm from image)</x:t>
        </x:is>
      </x:c>
      <x:c r="Z188" s="520" t="inlineStr">
        <x:is>
          <x:t xml:space="preserve">Medium — helper value</x:t>
        </x:is>
      </x:c>
      <x:c r="AA188" s="520" t="inlineStr">
        <x:is>
          <x:t xml:space="preserve">Quit Claim Deed — Termo Company to Hayhurst Oil Properties, Inc. (1159/225)</x:t>
        </x:is>
      </x:c>
      <x:c r="AB188" s="520" t="inlineStr">
        <x:is>
          <x:t xml:space="preserve">Needs source review: tract, grantor source</x:t>
        </x:is>
      </x:c>
    </x:row>
    <x:row r="189" s="520" customFormat="1" ht="48" customHeight="1">
      <x:c r="A189" s="519" t="inlineStr">
        <x:is>
          <x:t xml:space="preserve">1990-005848</x:t>
        </x:is>
      </x:c>
      <x:c r="B189" s="536" t="n"/>
      <x:c r="C189" s="536" t="inlineStr">
        <x:is>
          <x:t xml:space="preserve">Quit Claim Mineral Deed</x:t>
        </x:is>
      </x:c>
      <x:c r="D189" s="536" t="inlineStr">
        <x:is>
          <x:t xml:space="preserve">1167/200</x:t>
        </x:is>
      </x:c>
      <x:c r="E189" s="537" t="n">
        <x:v>33158</x:v>
      </x:c>
      <x:c r="F189" s="537" t="n">
        <x:v>33158</x:v>
      </x:c>
      <x:c r="G189" s="538" t="inlineStr">
        <x:is>
          <x:t xml:space="preserve">Gilbert C. Fuchs</x:t>
        </x:is>
      </x:c>
      <x:c r="H189" s="538" t="inlineStr">
        <x:is>
          <x:t xml:space="preserve">Fuchs Family Revocable Trust</x:t>
        </x:is>
      </x:c>
      <x:c r="I189" s="538" t="inlineStr">
        <x:is>
          <x:t xml:space="preserve">SW/4 NE/4, NW/4 SE/4, S/2 SE/4 of 31-12N-24W, aol</x:t>
        </x:is>
      </x:c>
      <x:c r="J189" s="538" t="inlineStr">
        <x:is>
          <x:t xml:space="preserve">ARTI</x:t>
        </x:is>
      </x:c>
      <x:c r="K189" s="518" t="e">
        <x:f>HYPERLINK("https://okcountyrecords.com/detail/roger+mills/1990-005848","OKCountyRecords: 1990-005848")</x:f>
      </x:c>
      <x:c r="L189" s="519" t="inlineStr">
        <x:is>
          <x:t xml:space="preserve">Mineral; basis Conv Amt(dec). Gross=tract-map basis.</x:t>
        </x:is>
      </x:c>
      <x:c r="M189" s="519" t="inlineStr">
        <x:is>
          <x:t xml:space="preserve">CURRENT OWNER SOURCE</x:t>
        </x:is>
      </x:c>
      <x:c r="N189" s="519" t="n"/>
      <x:c r="O189" s="519" t="inlineStr">
        <x:is>
          <x:t xml:space="preserve">OUTSIDE LANDS</x:t>
        </x:is>
      </x:c>
      <x:c r="P189" s="520" t="inlineStr">
        <x:is>
          <x:t xml:space="preserve">Chain — minerals</x:t>
        </x:is>
      </x:c>
      <x:c r="Q189" s="520" t="inlineStr">
        <x:is>
          <x:t xml:space="preserve">Yes</x:t>
        </x:is>
      </x:c>
      <x:c r="R189" s="520" t="inlineStr">
        <x:is>
          <x:t xml:space="preserve">No</x:t>
        </x:is>
      </x:c>
      <x:c r="S189" s="520" t="inlineStr">
        <x:is>
          <x:t xml:space="preserve">Yes</x:t>
        </x:is>
      </x:c>
      <x:c r="T189" s="520" t="inlineStr">
        <x:is>
          <x:t xml:space="preserve">No</x:t>
        </x:is>
      </x:c>
      <x:c r="U189" s="520" t="inlineStr">
        <x:is>
          <x:t xml:space="preserve">Yes: 2 (legal supports)</x:t>
        </x:is>
      </x:c>
      <x:c r="V189" s="520" t="inlineStr">
        <x:is>
          <x:t xml:space="preserve">High</x:t>
        </x:is>
      </x:c>
      <x:c r="W189" s="520" t="inlineStr">
        <x:is>
          <x:t xml:space="preserve">Review — no exact prior-grantee match</x:t>
        </x:is>
      </x:c>
      <x:c r="X189" s="520" t="inlineStr">
        <x:is>
          <x:t xml:space="preserve">Yes — on Tract 2 owner list</x:t>
        </x:is>
      </x:c>
      <x:c r="Y189" s="520" t="inlineStr">
        <x:is>
          <x:t xml:space="preserve">Candidate 1 (helper — confirm from image)</x:t>
        </x:is>
      </x:c>
      <x:c r="Z189" s="520" t="inlineStr">
        <x:is>
          <x:t xml:space="preserve">Medium — helper value</x:t>
        </x:is>
      </x:c>
      <x:c r="AA189" s="520" t="inlineStr">
        <x:is>
          <x:t xml:space="preserve">Quit Claim Mineral Deed — Gilbert C. Fuchs to Fuchs Family Revocable Trust (1167/200)</x:t>
        </x:is>
      </x:c>
      <x:c r="AB189" s="520" t="inlineStr">
        <x:is>
          <x:t xml:space="preserve">Needs source review: grantor source</x:t>
        </x:is>
      </x:c>
    </x:row>
    <x:row r="190" s="520" customFormat="1" ht="72" customHeight="1">
      <x:c r="A190" s="519" t="inlineStr">
        <x:is>
          <x:t xml:space="preserve">1990-006747</x:t>
        </x:is>
      </x:c>
      <x:c r="B190" s="536" t="n"/>
      <x:c r="C190" s="536" t="inlineStr">
        <x:is>
          <x:t xml:space="preserve">Order and Final Decree</x:t>
        </x:is>
      </x:c>
      <x:c r="D190" s="536" t="inlineStr">
        <x:is>
          <x:t xml:space="preserve">1176/54</x:t>
        </x:is>
      </x:c>
      <x:c r="E190" s="537" t="n">
        <x:v>33205</x:v>
      </x:c>
      <x:c r="F190" s="537" t="n">
        <x:v>33205</x:v>
      </x:c>
      <x:c r="G190" s="538" t="inlineStr">
        <x:is>
          <x:t xml:space="preserve">Beckham County Court,
RE: In the Matter of the Estate of Annie E. Mitchel, Deceased</x:t>
        </x:is>
      </x:c>
      <x:c r="H190" s="538" t="inlineStr">
        <x:is>
          <x:t xml:space="preserve">Glenn D. Mitchel, 1/3,
Louise Ormand, 1/3,
Mattie Britton, 1/3</x:t>
        </x:is>
      </x:c>
      <x:c r="I190" s="538" t="inlineStr">
        <x:is>
          <x:t xml:space="preserve">E/2 NW/4, N/2 NE/4 SW/4, SE/4 NE/4, NE/4 SE/4 of 31-12N-24W</x:t>
        </x:is>
      </x:c>
      <x:c r="J190" s="538" t="inlineStr">
        <x:is>
          <x:t xml:space="preserve">ARTI, An undivided 1/26th interest
Chain note: source of title — OUTSIDE LANDS 1942-000630 at MIS21/471, Beckham County Court,
RE: In the Matter of the Estate of Swinburn J. Stewart, Deceased to Gladys Priest, 1/4,
Swinburn J. … Full recital in recorded instrument — see Link.</x:t>
        </x:is>
      </x:c>
      <x:c r="K190" s="518" t="e">
        <x:f>HYPERLINK("https://okcountyrecords.com/detail/roger+mills/1990-006747","OKCountyRecords: 1990-006747")</x:f>
      </x:c>
      <x:c r="L190" s="519" t="inlineStr">
        <x:is>
          <x:t xml:space="preserve">Mineral; basis Conv Amt(dec). Gross=tract-map basis.</x:t>
        </x:is>
      </x:c>
      <x:c r="M190" s="519" t="inlineStr">
        <x:is>
          <x:t xml:space="preserve">CURRENT OWNER SOURCE</x:t>
        </x:is>
      </x:c>
      <x:c r="N190" s="519" t="n"/>
      <x:c r="O190" s="519" t="inlineStr">
        <x:is>
          <x:t xml:space="preserve">OUTSIDE LANDS</x:t>
        </x:is>
      </x:c>
      <x:c r="P190" s="520" t="inlineStr">
        <x:is>
          <x:t xml:space="preserve">Chain — title support (succession/entity/probate)</x:t>
        </x:is>
      </x:c>
      <x:c r="Q190" s="520" t="inlineStr">
        <x:is>
          <x:t xml:space="preserve">Yes</x:t>
        </x:is>
      </x:c>
      <x:c r="R190" s="520" t="inlineStr">
        <x:is>
          <x:t xml:space="preserve">No</x:t>
        </x:is>
      </x:c>
      <x:c r="S190" s="520" t="inlineStr">
        <x:is>
          <x:t xml:space="preserve">Yes</x:t>
        </x:is>
      </x:c>
      <x:c r="T190" s="520" t="inlineStr">
        <x:is>
          <x:t xml:space="preserve">No</x:t>
        </x:is>
      </x:c>
      <x:c r="U190" s="520" t="inlineStr">
        <x:is>
          <x:t xml:space="preserve">Legal maps to 1, 3, 4, 7, 10; helper says 1, 3, 4, 7, 8</x:t>
        </x:is>
      </x:c>
      <x:c r="V190" s="520" t="inlineStr">
        <x:is>
          <x:t xml:space="preserve">Review</x:t>
        </x:is>
      </x:c>
      <x:c r="W190" s="520" t="inlineStr">
        <x:is>
          <x:t xml:space="preserve">Review — no exact prior-grantee match</x:t>
        </x:is>
      </x:c>
      <x:c r="X190" s="520" t="inlineStr">
        <x:is>
          <x:t xml:space="preserve">Review</x:t>
        </x:is>
      </x:c>
      <x:c r="Y190" s="520" t="inlineStr">
        <x:is>
          <x:t xml:space="preserve">Candidate 1 (helper — confirm from image)</x:t>
        </x:is>
      </x:c>
      <x:c r="Z190" s="520" t="inlineStr">
        <x:is>
          <x:t xml:space="preserve">Medium — helper value</x:t>
        </x:is>
      </x:c>
      <x:c r="AA190" s="520" t="inlineStr">
        <x:is>
          <x:t xml:space="preserve">Order and Final Decree — Beckham County Court, to Glenn D. Mitchel, 1/3, (1176/54)</x:t>
        </x:is>
      </x:c>
      <x:c r="AB190" s="520" t="inlineStr">
        <x:is>
          <x:t xml:space="preserve">Needs source review: tract, grantor source</x:t>
        </x:is>
      </x:c>
    </x:row>
    <x:row r="191" s="520" customFormat="1" ht="48" customHeight="1">
      <x:c r="A191" s="519" t="inlineStr">
        <x:is>
          <x:t xml:space="preserve">1991-000858</x:t>
        </x:is>
      </x:c>
      <x:c r="B191" s="536" t="n"/>
      <x:c r="C191" s="536" t="inlineStr">
        <x:is>
          <x:t xml:space="preserve">Mineral Deed</x:t>
        </x:is>
      </x:c>
      <x:c r="D191" s="536" t="inlineStr">
        <x:is>
          <x:t xml:space="preserve">1194/257</x:t>
        </x:is>
      </x:c>
      <x:c r="E191" s="537" t="n">
        <x:v>33277</x:v>
      </x:c>
      <x:c r="F191" s="537" t="n">
        <x:v>33277</x:v>
      </x:c>
      <x:c r="G191" s="538" t="inlineStr">
        <x:is>
          <x:t xml:space="preserve">Alpine Investments, Inc.</x:t>
        </x:is>
      </x:c>
      <x:c r="H191" s="538" t="inlineStr">
        <x:is>
          <x:t xml:space="preserve">Estate of Dwight J. Wilson, deceased</x:t>
        </x:is>
      </x:c>
      <x:c r="I191" s="538" t="inlineStr">
        <x:is>
          <x:t xml:space="preserve">SW/4 NE/4, NW/4 SE/4, S/2 SE/4 of 31-12N-24W, aol</x:t>
        </x:is>
      </x:c>
      <x:c r="J191" s="538" t="inlineStr">
        <x:is>
          <x:t xml:space="preserve">ARTI</x:t>
        </x:is>
      </x:c>
      <x:c r="K191" s="518" t="e">
        <x:f>HYPERLINK("https://okcountyrecords.com/detail/roger+mills/1991-000858","OKCountyRecords: 1991-000858")</x:f>
      </x:c>
      <x:c r="L191" s="519" t="inlineStr">
        <x:is>
          <x:t xml:space="preserve">Mineral; basis Conv Amt(dec). Gross=tract-map basis.</x:t>
        </x:is>
      </x:c>
      <x:c r="M191" s="519" t="inlineStr">
        <x:is>
          <x:t xml:space="preserve">CURRENT OWNER SOURCE</x:t>
        </x:is>
      </x:c>
      <x:c r="N191" s="519" t="n"/>
      <x:c r="O191" s="519" t="inlineStr">
        <x:is>
          <x:t xml:space="preserve">OUTSIDE LANDS</x:t>
        </x:is>
      </x:c>
      <x:c r="P191" s="520" t="inlineStr">
        <x:is>
          <x:t xml:space="preserve">Chain — minerals</x:t>
        </x:is>
      </x:c>
      <x:c r="Q191" s="520" t="inlineStr">
        <x:is>
          <x:t xml:space="preserve">Yes</x:t>
        </x:is>
      </x:c>
      <x:c r="R191" s="520" t="inlineStr">
        <x:is>
          <x:t xml:space="preserve">No</x:t>
        </x:is>
      </x:c>
      <x:c r="S191" s="520" t="inlineStr">
        <x:is>
          <x:t xml:space="preserve">Yes</x:t>
        </x:is>
      </x:c>
      <x:c r="T191" s="520" t="inlineStr">
        <x:is>
          <x:t xml:space="preserve">No</x:t>
        </x:is>
      </x:c>
      <x:c r="U191" s="520" t="inlineStr">
        <x:is>
          <x:t xml:space="preserve">Yes: 2 (legal supports)</x:t>
        </x:is>
      </x:c>
      <x:c r="V191" s="520" t="inlineStr">
        <x:is>
          <x:t xml:space="preserve">High</x:t>
        </x:is>
      </x:c>
      <x:c r="W191" s="520" t="inlineStr">
        <x:is>
          <x:t xml:space="preserve">Review — no exact prior-grantee match</x:t>
        </x:is>
      </x:c>
      <x:c r="X191" s="520" t="inlineStr">
        <x:is>
          <x:t xml:space="preserve">Review</x:t>
        </x:is>
      </x:c>
      <x:c r="Y191" s="520" t="inlineStr">
        <x:is>
          <x:t xml:space="preserve">Candidate 1 (helper — confirm from image)</x:t>
        </x:is>
      </x:c>
      <x:c r="Z191" s="520" t="inlineStr">
        <x:is>
          <x:t xml:space="preserve">Medium — helper value</x:t>
        </x:is>
      </x:c>
      <x:c r="AA191" s="520" t="inlineStr">
        <x:is>
          <x:t xml:space="preserve">Mineral Deed — Alpine Investments, Inc. to Estate of Dwight J. Wilson, de (1194/257)</x:t>
        </x:is>
      </x:c>
      <x:c r="AB191" s="520" t="inlineStr">
        <x:is>
          <x:t xml:space="preserve">Needs source review: grantor source</x:t>
        </x:is>
      </x:c>
    </x:row>
    <x:row r="192" s="520" customFormat="1" ht="60" customHeight="1">
      <x:c r="A192" s="519" t="inlineStr">
        <x:is>
          <x:t xml:space="preserve">1991-002734</x:t>
        </x:is>
      </x:c>
      <x:c r="B192" s="536" t="n"/>
      <x:c r="C192" s="536" t="inlineStr">
        <x:is>
          <x:t xml:space="preserve">Affidavit</x:t>
        </x:is>
      </x:c>
      <x:c r="D192" s="536" t="inlineStr">
        <x:is>
          <x:t xml:space="preserve">1218/1</x:t>
        </x:is>
      </x:c>
      <x:c r="E192" s="537" t="n">
        <x:v>33399</x:v>
      </x:c>
      <x:c r="F192" s="537" t="n">
        <x:v>33399</x:v>
      </x:c>
      <x:c r="G192" s="538" t="inlineStr">
        <x:is>
          <x:t xml:space="preserve">Umc Petroleum Corp - Delaware</x:t>
        </x:is>
      </x:c>
      <x:c r="H192" s="538" t="inlineStr">
        <x:is>
          <x:t xml:space="preserve">The Public</x:t>
        </x:is>
      </x:c>
      <x:c r="I192" s="538" t="inlineStr">
        <x:is>
          <x:t xml:space="preserve">All of 31-12N-24W, aol</x:t>
        </x:is>
      </x:c>
      <x:c r="J192" s="538" t="inlineStr">
        <x:is>
          <x:t xml:space="preserve">Certificate dated May 24, 1991 evidencing the Certificate of Merger filed May 23, 1991 with the Secretary of State of Oklahoma evidencing the merger of UMC Petroleum Corporation, a Texas corporation ("Petroloum--Texas"), into UMC Petroleum Corporation, a Delaware corporation ("Petroleum--Delaware"),</x:t>
        </x:is>
      </x:c>
      <x:c r="K192" s="518" t="e">
        <x:f>HYPERLINK("https://okcountyrecords.com/detail/roger+mills/1991-002734","OKCountyRecords: 1991-002734")</x:f>
      </x:c>
      <x:c r="L192" s="519" t="inlineStr">
        <x:is>
          <x:t xml:space="preserve">Other (non-mineral; excluded from mineral NMA). All-section coverage. Gross=tract-map basis.</x:t>
        </x:is>
      </x:c>
      <x:c r="M192" s="519" t="inlineStr">
        <x:is>
          <x:t xml:space="preserve">OK</x:t>
        </x:is>
      </x:c>
      <x:c r="N192" s="519" t="inlineStr">
        <x:is>
          <x:t xml:space="preserve">Non-conveying — notice/affidavit/address change (The Public).</x:t>
        </x:is>
      </x:c>
      <x:c r="O192" s="519" t="inlineStr">
        <x:is>
          <x:t xml:space="preserve">OUTSIDE LANDS</x:t>
        </x:is>
      </x:c>
      <x:c r="P192" s="520" t="inlineStr">
        <x:is>
          <x:t xml:space="preserve">Chain — title support (succession/entity/probate)</x:t>
        </x:is>
      </x:c>
      <x:c r="Q192" s="520" t="inlineStr">
        <x:is>
          <x:t xml:space="preserve">Yes</x:t>
        </x:is>
      </x:c>
      <x:c r="R192" s="520" t="inlineStr">
        <x:is>
          <x:t xml:space="preserve">No</x:t>
        </x:is>
      </x:c>
      <x:c r="S192" s="520" t="inlineStr">
        <x:is>
          <x:t xml:space="preserve">Yes</x:t>
        </x:is>
      </x:c>
      <x:c r="T192" s="520" t="inlineStr">
        <x:is>
          <x:t xml:space="preserve">No</x:t>
        </x:is>
      </x:c>
      <x:c r="U192" s="520" t="inlineStr">
        <x:is>
          <x:t xml:space="preserve">Yes: 1, 8 (broad legal)</x:t>
        </x:is>
      </x:c>
      <x:c r="V192" s="520" t="inlineStr">
        <x:is>
          <x:t xml:space="preserve">Medium</x:t>
        </x:is>
      </x:c>
      <x:c r="W192" s="520" t="inlineStr">
        <x:is>
          <x:t xml:space="preserve">Review — no exact prior-grantee match</x:t>
        </x:is>
      </x:c>
      <x:c r="X192" s="520" t="inlineStr">
        <x:is>
          <x:t xml:space="preserve">Review</x:t>
        </x:is>
      </x:c>
      <x:c r="Y192" s="520" t="inlineStr">
        <x:is>
          <x:t xml:space="preserve">Interest amount needs review</x:t>
        </x:is>
      </x:c>
      <x:c r="Z192" s="520" t="inlineStr">
        <x:is>
          <x:t xml:space="preserve">Review</x:t>
        </x:is>
      </x:c>
      <x:c r="AA192" s="520" t="inlineStr">
        <x:is>
          <x:t xml:space="preserve">Affidavit — Umc Petroleum Corp - Delaware to The Public (1218/1)</x:t>
        </x:is>
      </x:c>
      <x:c r="AB192" s="520" t="inlineStr">
        <x:is>
          <x:t xml:space="preserve">Needs source review: grantor source, interest amount</x:t>
        </x:is>
      </x:c>
    </x:row>
    <x:row r="193" s="520" customFormat="1" ht="60" customHeight="1">
      <x:c r="A193" s="519" t="inlineStr">
        <x:is>
          <x:t xml:space="preserve">1991-003518</x:t>
        </x:is>
      </x:c>
      <x:c r="B193" s="536" t="n"/>
      <x:c r="C193" s="536" t="inlineStr">
        <x:is>
          <x:t xml:space="preserve">Warranty Deed</x:t>
        </x:is>
      </x:c>
      <x:c r="D193" s="536" t="inlineStr">
        <x:is>
          <x:t xml:space="preserve">1229/180</x:t>
        </x:is>
      </x:c>
      <x:c r="E193" s="537" t="n">
        <x:v>33456</x:v>
      </x:c>
      <x:c r="F193" s="537" t="n">
        <x:v>33456</x:v>
      </x:c>
      <x:c r="G193" s="538" t="inlineStr">
        <x:is>
          <x:t xml:space="preserve">Mary Margaret Devenas, f/k/a Mary Margaret Wilson</x:t>
        </x:is>
      </x:c>
      <x:c r="H193" s="538" t="inlineStr">
        <x:is>
          <x:t xml:space="preserve">Joseph Devenas and Mary Margaret Devenas, HW, JTWROS</x:t>
        </x:is>
      </x:c>
      <x:c r="I193" s="538" t="inlineStr">
        <x:is>
          <x:t xml:space="preserve">SE/4 SW/4 of 31-12N-24W, aol</x:t>
        </x:is>
      </x:c>
      <x:c r="J193" s="538" t="inlineStr">
        <x:is>
          <x:t xml:space="preserve">An undivided 7/48ths interest in all of the mineral interests or undivided interests in oil, gas and other minerals and mineral rights in real property (5.8333 min. ac.)</x:t>
        </x:is>
      </x:c>
      <x:c r="K193" s="518" t="e">
        <x:f>HYPERLINK("https://okcountyrecords.com/detail/roger+mills/1991-003518","OKCountyRecords: 1991-003518")</x:f>
      </x:c>
      <x:c r="L193" s="519" t="inlineStr">
        <x:is>
          <x:t xml:space="preserve">Mineral; basis Conv Amt(dec). Gross=tract-map basis.</x:t>
        </x:is>
      </x:c>
      <x:c r="M193" s="519" t="inlineStr">
        <x:is>
          <x:t xml:space="preserve">CURRENT OWNER SOURCE</x:t>
        </x:is>
      </x:c>
      <x:c r="N193" s="519" t="n"/>
      <x:c r="O193" s="519" t="inlineStr">
        <x:is>
          <x:t xml:space="preserve">OUTSIDE LANDS</x:t>
        </x:is>
      </x:c>
      <x:c r="P193" s="520" t="inlineStr">
        <x:is>
          <x:t xml:space="preserve">Chain — deed (confirm minerals vs surface from instrument)</x:t>
        </x:is>
      </x:c>
      <x:c r="Q193" s="520" t="inlineStr">
        <x:is>
          <x:t xml:space="preserve">Yes</x:t>
        </x:is>
      </x:c>
      <x:c r="R193" s="520" t="inlineStr">
        <x:is>
          <x:t xml:space="preserve">No</x:t>
        </x:is>
      </x:c>
      <x:c r="S193" s="520" t="inlineStr">
        <x:is>
          <x:t xml:space="preserve">Review</x:t>
        </x:is>
      </x:c>
      <x:c r="T193" s="520" t="inlineStr">
        <x:is>
          <x:t xml:space="preserve">No</x:t>
        </x:is>
      </x:c>
      <x:c r="U193" s="520" t="inlineStr">
        <x:is>
          <x:t xml:space="preserve">Yes: 5 (legal supports)</x:t>
        </x:is>
      </x:c>
      <x:c r="V193" s="520" t="inlineStr">
        <x:is>
          <x:t xml:space="preserve">High</x:t>
        </x:is>
      </x:c>
      <x:c r="W193" s="520" t="inlineStr">
        <x:is>
          <x:t xml:space="preserve">Review — no exact prior-grantee match</x:t>
        </x:is>
      </x:c>
      <x:c r="X193" s="520" t="inlineStr">
        <x:is>
          <x:t xml:space="preserve">Yes — on Tract 5 owner list</x:t>
        </x:is>
      </x:c>
      <x:c r="Y193" s="520" t="inlineStr">
        <x:is>
          <x:t xml:space="preserve">Candidate 0.145833333333333 (helper — confirm from image)</x:t>
        </x:is>
      </x:c>
      <x:c r="Z193" s="520" t="inlineStr">
        <x:is>
          <x:t xml:space="preserve">Medium — helper value</x:t>
        </x:is>
      </x:c>
      <x:c r="AA193" s="520" t="inlineStr">
        <x:is>
          <x:t xml:space="preserve">Warranty Deed — Mary Margaret Devenas, f/k/a M to Joseph Devenas and Mary Margar (1229/180)</x:t>
        </x:is>
      </x:c>
      <x:c r="AB193" s="520" t="inlineStr">
        <x:is>
          <x:t xml:space="preserve">Needs source review: grantor source</x:t>
        </x:is>
      </x:c>
    </x:row>
    <x:row r="194" s="520" customFormat="1" ht="48" customHeight="1">
      <x:c r="A194" s="519" t="inlineStr">
        <x:is>
          <x:t xml:space="preserve">1991-004456</x:t>
        </x:is>
      </x:c>
      <x:c r="B194" s="536" t="n"/>
      <x:c r="C194" s="536" t="inlineStr">
        <x:is>
          <x:t xml:space="preserve">Conveyance</x:t>
        </x:is>
      </x:c>
      <x:c r="D194" s="536" t="inlineStr">
        <x:is>
          <x:t xml:space="preserve">1240/115</x:t>
        </x:is>
      </x:c>
      <x:c r="E194" s="537" t="n">
        <x:v>33522</x:v>
      </x:c>
      <x:c r="F194" s="537" t="n">
        <x:v>33522</x:v>
      </x:c>
      <x:c r="G194" s="538" t="inlineStr">
        <x:is>
          <x:t xml:space="preserve">El Paso Natural Gas Company</x:t>
        </x:is>
      </x:c>
      <x:c r="H194" s="538" t="inlineStr">
        <x:is>
          <x:t xml:space="preserve">El Paso Production Company</x:t>
        </x:is>
      </x:c>
      <x:c r="I194" s="538" t="inlineStr">
        <x:is>
          <x:t xml:space="preserve">All of 31-12N-24W, aol</x:t>
        </x:is>
      </x:c>
      <x:c r="J194" s="538" t="inlineStr">
        <x:is>
          <x:t xml:space="preserve">ARTI</x:t>
        </x:is>
      </x:c>
      <x:c r="K194" s="518" t="e">
        <x:f>HYPERLINK("https://okcountyrecords.com/detail/roger+mills/1991-004456","OKCountyRecords: 1991-004456")</x:f>
      </x:c>
      <x:c r="L194" s="519" t="inlineStr">
        <x:is>
          <x:t xml:space="preserve">Mineral; basis Conv Amt(dec). All-section coverage. Gross=tract-map basis.</x:t>
        </x:is>
      </x:c>
      <x:c r="M194" s="519" t="inlineStr">
        <x:is>
          <x:t xml:space="preserve">CURRENT OWNER SOURCE</x:t>
        </x:is>
      </x:c>
      <x:c r="N194" s="519" t="n"/>
      <x:c r="O194" s="519" t="inlineStr">
        <x:is>
          <x:t xml:space="preserve">OUTSIDE LANDS</x:t>
        </x:is>
      </x:c>
      <x:c r="P194" s="520" t="inlineStr">
        <x:is>
          <x:t xml:space="preserve">Chain — deed (confirm minerals vs surface from instrument)</x:t>
        </x:is>
      </x:c>
      <x:c r="Q194" s="520" t="inlineStr">
        <x:is>
          <x:t xml:space="preserve">Yes</x:t>
        </x:is>
      </x:c>
      <x:c r="R194" s="520" t="inlineStr">
        <x:is>
          <x:t xml:space="preserve">No</x:t>
        </x:is>
      </x:c>
      <x:c r="S194" s="520" t="inlineStr">
        <x:is>
          <x:t xml:space="preserve">Review</x:t>
        </x:is>
      </x:c>
      <x:c r="T194" s="520" t="inlineStr">
        <x:is>
          <x:t xml:space="preserve">No</x:t>
        </x:is>
      </x:c>
      <x:c r="U194" s="520" t="inlineStr">
        <x:is>
          <x:t xml:space="preserve">Yes: 1, 8 (broad legal)</x:t>
        </x:is>
      </x:c>
      <x:c r="V194" s="520" t="inlineStr">
        <x:is>
          <x:t xml:space="preserve">Medium</x:t>
        </x:is>
      </x:c>
      <x:c r="W194" s="520" t="inlineStr">
        <x:is>
          <x:t xml:space="preserve">Review — no exact prior-grantee match</x:t>
        </x:is>
      </x:c>
      <x:c r="X194" s="520" t="inlineStr">
        <x:is>
          <x:t xml:space="preserve">Review</x:t>
        </x:is>
      </x:c>
      <x:c r="Y194" s="520" t="inlineStr">
        <x:is>
          <x:t xml:space="preserve">Candidate 1 (helper — confirm from image)</x:t>
        </x:is>
      </x:c>
      <x:c r="Z194" s="520" t="inlineStr">
        <x:is>
          <x:t xml:space="preserve">Medium — helper value</x:t>
        </x:is>
      </x:c>
      <x:c r="AA194" s="520" t="inlineStr">
        <x:is>
          <x:t xml:space="preserve">Conveyance — El Paso Natural Gas Company to El Paso Production Company (1240/115)</x:t>
        </x:is>
      </x:c>
      <x:c r="AB194" s="520" t="inlineStr">
        <x:is>
          <x:t xml:space="preserve">Needs source review: grantor source</x:t>
        </x:is>
      </x:c>
    </x:row>
    <x:row r="195" s="520" customFormat="1" ht="60" customHeight="1">
      <x:c r="A195" s="519" t="inlineStr">
        <x:is>
          <x:t xml:space="preserve">1991-005340</x:t>
        </x:is>
      </x:c>
      <x:c r="B195" s="536" t="n"/>
      <x:c r="C195" s="536" t="inlineStr">
        <x:is>
          <x:t xml:space="preserve">Correction Mineral Deed</x:t>
        </x:is>
      </x:c>
      <x:c r="D195" s="536" t="inlineStr">
        <x:is>
          <x:t xml:space="preserve">1249/161</x:t>
        </x:is>
      </x:c>
      <x:c r="E195" s="537" t="n">
        <x:v>33574</x:v>
      </x:c>
      <x:c r="F195" s="537" t="n">
        <x:v>33574</x:v>
      </x:c>
      <x:c r="G195" s="538" t="inlineStr">
        <x:is>
          <x:t xml:space="preserve">Alpine Investments, Inc.</x:t>
        </x:is>
      </x:c>
      <x:c r="H195" s="538" t="inlineStr">
        <x:is>
          <x:t xml:space="preserve">Melinda McCaul Mulvihill, Executor of the Estate of Dwight J. Wilson, deceased</x:t>
        </x:is>
      </x:c>
      <x:c r="I195" s="538" t="inlineStr">
        <x:is>
          <x:t xml:space="preserve">SW/4 NE/4, NW/4 SE/4, S/2 SE/4 of 31-12N-24W, aol</x:t>
        </x:is>
      </x:c>
      <x:c r="J195" s="538" t="inlineStr">
        <x:is>
          <x:t xml:space="preserve">ARTI</x:t>
        </x:is>
      </x:c>
      <x:c r="K195" s="518" t="e">
        <x:f>HYPERLINK("https://okcountyrecords.com/detail/roger+mills/1991-005340","OKCountyRecords: 1991-005340")</x:f>
      </x:c>
      <x:c r="L195" s="519" t="inlineStr">
        <x:is>
          <x:t xml:space="preserve">Mineral; basis Conv Amt(dec). Gross=tract-map basis.</x:t>
        </x:is>
      </x:c>
      <x:c r="M195" s="519" t="inlineStr">
        <x:is>
          <x:t xml:space="preserve">CURRENT OWNER SOURCE</x:t>
        </x:is>
      </x:c>
      <x:c r="N195" s="519" t="n"/>
      <x:c r="O195" s="519" t="inlineStr">
        <x:is>
          <x:t xml:space="preserve">OUTSIDE LANDS</x:t>
        </x:is>
      </x:c>
      <x:c r="P195" s="520" t="inlineStr">
        <x:is>
          <x:t xml:space="preserve">Chain — minerals</x:t>
        </x:is>
      </x:c>
      <x:c r="Q195" s="520" t="inlineStr">
        <x:is>
          <x:t xml:space="preserve">Yes</x:t>
        </x:is>
      </x:c>
      <x:c r="R195" s="520" t="inlineStr">
        <x:is>
          <x:t xml:space="preserve">No</x:t>
        </x:is>
      </x:c>
      <x:c r="S195" s="520" t="inlineStr">
        <x:is>
          <x:t xml:space="preserve">Yes</x:t>
        </x:is>
      </x:c>
      <x:c r="T195" s="520" t="inlineStr">
        <x:is>
          <x:t xml:space="preserve">No</x:t>
        </x:is>
      </x:c>
      <x:c r="U195" s="520" t="inlineStr">
        <x:is>
          <x:t xml:space="preserve">Yes: 2 (legal supports)</x:t>
        </x:is>
      </x:c>
      <x:c r="V195" s="520" t="inlineStr">
        <x:is>
          <x:t xml:space="preserve">High</x:t>
        </x:is>
      </x:c>
      <x:c r="W195" s="520" t="inlineStr">
        <x:is>
          <x:t xml:space="preserve">Review — no exact prior-grantee match</x:t>
        </x:is>
      </x:c>
      <x:c r="X195" s="520" t="inlineStr">
        <x:is>
          <x:t xml:space="preserve">Yes — on Tract 2 owner list</x:t>
        </x:is>
      </x:c>
      <x:c r="Y195" s="520" t="inlineStr">
        <x:is>
          <x:t xml:space="preserve">Candidate 1 (helper — confirm from image)</x:t>
        </x:is>
      </x:c>
      <x:c r="Z195" s="520" t="inlineStr">
        <x:is>
          <x:t xml:space="preserve">Medium — helper value</x:t>
        </x:is>
      </x:c>
      <x:c r="AA195" s="520" t="inlineStr">
        <x:is>
          <x:t xml:space="preserve">Correction Mineral Deed — Alpine Investments, Inc. to Melinda McCaul Mulvihill, Exec (1249/161)</x:t>
        </x:is>
      </x:c>
      <x:c r="AB195" s="520" t="inlineStr">
        <x:is>
          <x:t xml:space="preserve">Needs source review: grantor source</x:t>
        </x:is>
      </x:c>
    </x:row>
    <x:row r="196" s="520" customFormat="1" ht="48" customHeight="1">
      <x:c r="A196" s="519" t="inlineStr">
        <x:is>
          <x:t xml:space="preserve">1992-000943</x:t>
        </x:is>
      </x:c>
      <x:c r="B196" s="536" t="n"/>
      <x:c r="C196" s="536" t="inlineStr">
        <x:is>
          <x:t xml:space="preserve">Affidavit of Address Change</x:t>
        </x:is>
      </x:c>
      <x:c r="D196" s="536" t="inlineStr">
        <x:is>
          <x:t xml:space="preserve">1266/19</x:t>
        </x:is>
      </x:c>
      <x:c r="E196" s="537" t="n">
        <x:v>33682</x:v>
      </x:c>
      <x:c r="F196" s="537" t="n">
        <x:v>33682</x:v>
      </x:c>
      <x:c r="G196" s="538" t="inlineStr">
        <x:is>
          <x:t xml:space="preserve">Daniel D. Ferson</x:t>
        </x:is>
      </x:c>
      <x:c r="H196" s="538" t="inlineStr">
        <x:is>
          <x:t xml:space="preserve">The Public</x:t>
        </x:is>
      </x:c>
      <x:c r="I196" s="538" t="inlineStr">
        <x:is>
          <x:t xml:space="preserve">E/2 NW/4, N/2 NE/4 SW/4, SE/4 NE/4, NE/4 SE/4 of 31-12N-24W</x:t>
        </x:is>
      </x:c>
      <x:c r="J196" s="538" t="inlineStr">
        <x:is>
          <x:t xml:space="preserve">See instrument</x:t>
        </x:is>
      </x:c>
      <x:c r="K196" s="518" t="e">
        <x:f>HYPERLINK("https://okcountyrecords.com/detail/roger+mills/1992-000943","OKCountyRecords: 1992-000943")</x:f>
      </x:c>
      <x:c r="L196" s="519" t="inlineStr">
        <x:is>
          <x:t xml:space="preserve">Other (non-mineral; excluded from mineral NMA). Gross=tract-map basis.</x:t>
        </x:is>
      </x:c>
      <x:c r="M196" s="519" t="inlineStr">
        <x:is>
          <x:t xml:space="preserve">OK</x:t>
        </x:is>
      </x:c>
      <x:c r="N196" s="519" t="inlineStr">
        <x:is>
          <x:t xml:space="preserve">Non-conveying — notice/affidavit/address change (The Public).</x:t>
        </x:is>
      </x:c>
      <x:c r="O196" s="519" t="inlineStr">
        <x:is>
          <x:t xml:space="preserve">AFFIDAVIT / HEIRSHIP / PROBATE</x:t>
        </x:is>
      </x:c>
      <x:c r="P196" s="520" t="inlineStr">
        <x:is>
          <x:t xml:space="preserve">Do Not Chain — address only</x:t>
        </x:is>
      </x:c>
      <x:c r="Q196" s="520" t="inlineStr">
        <x:is>
          <x:t xml:space="preserve">No</x:t>
        </x:is>
      </x:c>
      <x:c r="R196" s="520" t="inlineStr">
        <x:is>
          <x:t xml:space="preserve">No</x:t>
        </x:is>
      </x:c>
      <x:c r="S196" s="520" t="inlineStr">
        <x:is>
          <x:t xml:space="preserve">No</x:t>
        </x:is>
      </x:c>
      <x:c r="T196" s="520" t="inlineStr">
        <x:is>
          <x:t xml:space="preserve">No</x:t>
        </x:is>
      </x:c>
      <x:c r="U196" s="520" t="inlineStr">
        <x:is>
          <x:t xml:space="preserve">Legal maps to 1, 3, 4, 7, 10; helper says 1, 3, 4, 7, 8</x:t>
        </x:is>
      </x:c>
      <x:c r="V196" s="520" t="inlineStr">
        <x:is>
          <x:t xml:space="preserve">Review</x:t>
        </x:is>
      </x:c>
      <x:c r="W196" s="520" t="inlineStr">
        <x:is>
          <x:t xml:space="preserve">Yes — prior grantee match</x:t>
        </x:is>
      </x:c>
      <x:c r="X196" s="520" t="inlineStr">
        <x:is>
          <x:t xml:space="preserve">Yes — on Tract 3 owner list</x:t>
        </x:is>
      </x:c>
      <x:c r="Y196" s="520" t="inlineStr">
        <x:is>
          <x:t xml:space="preserve">Interest amount needs review</x:t>
        </x:is>
      </x:c>
      <x:c r="Z196" s="520" t="inlineStr">
        <x:is>
          <x:t xml:space="preserve">Review</x:t>
        </x:is>
      </x:c>
      <x:c r="AA196" s="520" t="inlineStr">
        <x:is>
          <x:t xml:space="preserve">Affidavit of Address Change — Daniel D. Ferson to The Public (1266/19)</x:t>
        </x:is>
      </x:c>
      <x:c r="AB196" s="520" t="inlineStr">
        <x:is>
          <x:t xml:space="preserve">Needs source review: tract</x:t>
        </x:is>
      </x:c>
    </x:row>
    <x:row r="197" s="520" customFormat="1" ht="48" customHeight="1">
      <x:c r="A197" s="519" t="inlineStr">
        <x:is>
          <x:t xml:space="preserve">1992-001067</x:t>
        </x:is>
      </x:c>
      <x:c r="B197" s="536" t="n"/>
      <x:c r="C197" s="536" t="inlineStr">
        <x:is>
          <x:t xml:space="preserve">Joint Tenancy Mineral Deed</x:t>
        </x:is>
      </x:c>
      <x:c r="D197" s="536" t="inlineStr">
        <x:is>
          <x:t xml:space="preserve">1267/168</x:t>
        </x:is>
      </x:c>
      <x:c r="E197" s="537" t="n">
        <x:v>33693</x:v>
      </x:c>
      <x:c r="F197" s="537" t="n">
        <x:v>33693</x:v>
      </x:c>
      <x:c r="G197" s="538" t="inlineStr">
        <x:is>
          <x:t xml:space="preserve">Mattie C. Britton</x:t>
        </x:is>
      </x:c>
      <x:c r="H197" s="538" t="inlineStr">
        <x:is>
          <x:t xml:space="preserve">Joe Britton and Anna R. Britton, HW, JTWROS</x:t>
        </x:is>
      </x:c>
      <x:c r="I197" s="538" t="inlineStr">
        <x:is>
          <x:t xml:space="preserve">E/2 NW/4, N/2 NE/4 SW/4, SE/4 NE/4, NE/4 SE/4 of 31-12N-24W</x:t>
        </x:is>
      </x:c>
      <x:c r="J197" s="538" t="inlineStr">
        <x:is>
          <x:t xml:space="preserve">ARTI</x:t>
        </x:is>
      </x:c>
      <x:c r="K197" s="518" t="e">
        <x:f>HYPERLINK("https://okcountyrecords.com/detail/roger+mills/1992-001067","OKCountyRecords: 1992-001067")</x:f>
      </x:c>
      <x:c r="L197" s="519" t="inlineStr">
        <x:is>
          <x:t xml:space="preserve">Mineral; basis Conv Amt(dec). Gross=tract-map basis.</x:t>
        </x:is>
      </x:c>
      <x:c r="M197" s="519" t="inlineStr">
        <x:is>
          <x:t xml:space="preserve">CURRENT OWNER SOURCE</x:t>
        </x:is>
      </x:c>
      <x:c r="N197" s="519" t="n"/>
      <x:c r="O197" s="519" t="inlineStr">
        <x:is>
          <x:t xml:space="preserve">MINERAL DEED</x:t>
        </x:is>
      </x:c>
      <x:c r="P197" s="520" t="inlineStr">
        <x:is>
          <x:t xml:space="preserve">Chain — minerals</x:t>
        </x:is>
      </x:c>
      <x:c r="Q197" s="520" t="inlineStr">
        <x:is>
          <x:t xml:space="preserve">Yes</x:t>
        </x:is>
      </x:c>
      <x:c r="R197" s="520" t="inlineStr">
        <x:is>
          <x:t xml:space="preserve">No</x:t>
        </x:is>
      </x:c>
      <x:c r="S197" s="520" t="inlineStr">
        <x:is>
          <x:t xml:space="preserve">Yes</x:t>
        </x:is>
      </x:c>
      <x:c r="T197" s="520" t="inlineStr">
        <x:is>
          <x:t xml:space="preserve">No</x:t>
        </x:is>
      </x:c>
      <x:c r="U197" s="520" t="inlineStr">
        <x:is>
          <x:t xml:space="preserve">Legal maps to 1, 3, 4, 7, 10; helper says 1, 3, 4, 7, 8</x:t>
        </x:is>
      </x:c>
      <x:c r="V197" s="520" t="inlineStr">
        <x:is>
          <x:t xml:space="preserve">Review</x:t>
        </x:is>
      </x:c>
      <x:c r="W197" s="520" t="inlineStr">
        <x:is>
          <x:t xml:space="preserve">Review — no exact prior-grantee match</x:t>
        </x:is>
      </x:c>
      <x:c r="X197" s="520" t="inlineStr">
        <x:is>
          <x:t xml:space="preserve">Yes — on Tract 3 owner list</x:t>
        </x:is>
      </x:c>
      <x:c r="Y197" s="520" t="inlineStr">
        <x:is>
          <x:t xml:space="preserve">Candidate 1 (helper — confirm from image)</x:t>
        </x:is>
      </x:c>
      <x:c r="Z197" s="520" t="inlineStr">
        <x:is>
          <x:t xml:space="preserve">Medium — helper value</x:t>
        </x:is>
      </x:c>
      <x:c r="AA197" s="520" t="inlineStr">
        <x:is>
          <x:t xml:space="preserve">Joint Tenancy Mineral Deed — Mattie C. Britton to Joe Britton and Anna R. Britto (1267/168)</x:t>
        </x:is>
      </x:c>
      <x:c r="AB197" s="520" t="inlineStr">
        <x:is>
          <x:t xml:space="preserve">Needs source review: tract, grantor source</x:t>
        </x:is>
      </x:c>
    </x:row>
    <x:row r="198" s="520" customFormat="1" ht="48" customHeight="1">
      <x:c r="A198" s="519" t="inlineStr">
        <x:is>
          <x:t xml:space="preserve">1992-001682</x:t>
        </x:is>
      </x:c>
      <x:c r="B198" s="536" t="n"/>
      <x:c r="C198" s="536" t="inlineStr">
        <x:is>
          <x:t xml:space="preserve">Mineral Deed</x:t>
        </x:is>
      </x:c>
      <x:c r="D198" s="536" t="inlineStr">
        <x:is>
          <x:t xml:space="preserve">1274/277</x:t>
        </x:is>
      </x:c>
      <x:c r="E198" s="537" t="n">
        <x:v>33737</x:v>
      </x:c>
      <x:c r="F198" s="537" t="n">
        <x:v>33737</x:v>
      </x:c>
      <x:c r="G198" s="538" t="inlineStr">
        <x:is>
          <x:t xml:space="preserve">Hayhurst Oil Properties, Inc.</x:t>
        </x:is>
      </x:c>
      <x:c r="H198" s="538" t="inlineStr">
        <x:is>
          <x:t xml:space="preserve">Minion Investment Company</x:t>
        </x:is>
      </x:c>
      <x:c r="I198" s="538" t="inlineStr">
        <x:is>
          <x:t xml:space="preserve">NE/4 SE/4, SE/4 NE/4, N/2 NE/4 SW/4, E/2 NW/4 of 31-12N-24W, aol</x:t>
        </x:is>
      </x:c>
      <x:c r="J198" s="538" t="inlineStr">
        <x:is>
          <x:t xml:space="preserve">0.69 NMA in 31-12N-24W, 1/260 interest in 2 sections</x:t>
        </x:is>
      </x:c>
      <x:c r="K198" s="518" t="e">
        <x:f>HYPERLINK("https://okcountyrecords.com/detail/roger+mills/1992-001682","OKCountyRecords: 1992-001682")</x:f>
      </x:c>
      <x:c r="L198" s="519" t="inlineStr">
        <x:is>
          <x:t xml:space="preserve">Mineral; basis Conv Amt(dec). Gross=tract-map basis.</x:t>
        </x:is>
      </x:c>
      <x:c r="M198" s="519" t="n"/>
      <x:c r="N198" s="519" t="inlineStr">
        <x:is>
          <x:t xml:space="preserve">Conveys 0.69 NMA per notes; conv. dec = 0.69/gross. Verify denominator/tract from image.</x:t>
        </x:is>
      </x:c>
      <x:c r="O198" s="519" t="inlineStr">
        <x:is>
          <x:t xml:space="preserve">OUTSIDE LANDS</x:t>
        </x:is>
      </x:c>
      <x:c r="P198" s="520" t="inlineStr">
        <x:is>
          <x:t xml:space="preserve">Chain — minerals</x:t>
        </x:is>
      </x:c>
      <x:c r="Q198" s="520" t="inlineStr">
        <x:is>
          <x:t xml:space="preserve">Yes</x:t>
        </x:is>
      </x:c>
      <x:c r="R198" s="520" t="inlineStr">
        <x:is>
          <x:t xml:space="preserve">No</x:t>
        </x:is>
      </x:c>
      <x:c r="S198" s="520" t="inlineStr">
        <x:is>
          <x:t xml:space="preserve">Yes</x:t>
        </x:is>
      </x:c>
      <x:c r="T198" s="520" t="inlineStr">
        <x:is>
          <x:t xml:space="preserve">No</x:t>
        </x:is>
      </x:c>
      <x:c r="U198" s="520" t="inlineStr">
        <x:is>
          <x:t xml:space="preserve">Legal maps to 1, 3, 4, 7, 10; helper says 1, 3, 4, 7, 8</x:t>
        </x:is>
      </x:c>
      <x:c r="V198" s="520" t="inlineStr">
        <x:is>
          <x:t xml:space="preserve">Review</x:t>
        </x:is>
      </x:c>
      <x:c r="W198" s="520" t="inlineStr">
        <x:is>
          <x:t xml:space="preserve">Yes — prior grantee match</x:t>
        </x:is>
      </x:c>
      <x:c r="X198" s="520" t="inlineStr">
        <x:is>
          <x:t xml:space="preserve">Yes — on Tract 3 owner list</x:t>
        </x:is>
      </x:c>
      <x:c r="Y198" s="520" t="inlineStr">
        <x:is>
          <x:t xml:space="preserve">Candidate 0.00246428571428571 (helper — confirm from image)</x:t>
        </x:is>
      </x:c>
      <x:c r="Z198" s="520" t="inlineStr">
        <x:is>
          <x:t xml:space="preserve">Medium — helper value</x:t>
        </x:is>
      </x:c>
      <x:c r="AA198" s="520" t="inlineStr">
        <x:is>
          <x:t xml:space="preserve">Mineral Deed — Hayhurst Oil Properties, Inc. to Minion Investment Company (1274/277)</x:t>
        </x:is>
      </x:c>
      <x:c r="AB198" s="520" t="inlineStr">
        <x:is>
          <x:t xml:space="preserve">Needs source review: tract</x:t>
        </x:is>
      </x:c>
    </x:row>
    <x:row r="199" s="520" customFormat="1" ht="60" customHeight="1">
      <x:c r="A199" s="519" t="inlineStr">
        <x:is>
          <x:t xml:space="preserve">1992-001861</x:t>
        </x:is>
      </x:c>
      <x:c r="B199" s="536" t="n"/>
      <x:c r="C199" s="536" t="inlineStr">
        <x:is>
          <x:t xml:space="preserve">Trustee's Mineral Deed</x:t>
        </x:is>
      </x:c>
      <x:c r="D199" s="536" t="inlineStr">
        <x:is>
          <x:t xml:space="preserve">1276/267</x:t>
        </x:is>
      </x:c>
      <x:c r="E199" s="537" t="n">
        <x:v>33750</x:v>
      </x:c>
      <x:c r="F199" s="537" t="n">
        <x:v>33750</x:v>
      </x:c>
      <x:c r="G199" s="538" t="inlineStr">
        <x:is>
          <x:t xml:space="preserve">William Cobal Bain and Billy Wayne Bain, Co-Trustes of the Will of W. M. Bain for the Benefit of Crystal Pallo</x:t>
        </x:is>
      </x:c>
      <x:c r="H199" s="538" t="inlineStr">
        <x:is>
          <x:t xml:space="preserve">Dow C. Bain and Edris O. Bain, JTWROS</x:t>
        </x:is>
      </x:c>
      <x:c r="I199" s="538" t="inlineStr">
        <x:is>
          <x:t xml:space="preserve">SW/4 NE/4, NW/4 SE/4, S/2 SE/4 of 31-12N-24W, aol</x:t>
        </x:is>
      </x:c>
      <x:c r="J199" s="538" t="inlineStr">
        <x:is>
          <x:t xml:space="preserve">An undivided 4.8329635/791.47th interest in and to the oil, gas and other minerals</x:t>
        </x:is>
      </x:c>
      <x:c r="K199" s="518" t="e">
        <x:f>HYPERLINK("https://okcountyrecords.com/detail/roger+mills/1992-001861","OKCountyRecords: 1992-001861")</x:f>
      </x:c>
      <x:c r="L199" s="519" t="inlineStr">
        <x:is>
          <x:t xml:space="preserve">Mineral; basis Conv Amt(dec). Gross=tract-map basis.</x:t>
        </x:is>
      </x:c>
      <x:c r="M199" s="519" t="n"/>
      <x:c r="N199" s="519" t="n"/>
      <x:c r="O199" s="519" t="inlineStr">
        <x:is>
          <x:t xml:space="preserve">OUTSIDE LANDS</x:t>
        </x:is>
      </x:c>
      <x:c r="P199" s="520" t="inlineStr">
        <x:is>
          <x:t xml:space="preserve">Chain — minerals</x:t>
        </x:is>
      </x:c>
      <x:c r="Q199" s="520" t="inlineStr">
        <x:is>
          <x:t xml:space="preserve">Yes</x:t>
        </x:is>
      </x:c>
      <x:c r="R199" s="520" t="inlineStr">
        <x:is>
          <x:t xml:space="preserve">No</x:t>
        </x:is>
      </x:c>
      <x:c r="S199" s="520" t="inlineStr">
        <x:is>
          <x:t xml:space="preserve">Yes</x:t>
        </x:is>
      </x:c>
      <x:c r="T199" s="520" t="inlineStr">
        <x:is>
          <x:t xml:space="preserve">No</x:t>
        </x:is>
      </x:c>
      <x:c r="U199" s="520" t="inlineStr">
        <x:is>
          <x:t xml:space="preserve">Yes: 2 (legal supports)</x:t>
        </x:is>
      </x:c>
      <x:c r="V199" s="520" t="inlineStr">
        <x:is>
          <x:t xml:space="preserve">High</x:t>
        </x:is>
      </x:c>
      <x:c r="W199" s="520" t="inlineStr">
        <x:is>
          <x:t xml:space="preserve">Probable — name-normalized match to Runsheet 150 grantee; confirm</x:t>
        </x:is>
      </x:c>
      <x:c r="X199" s="520" t="inlineStr">
        <x:is>
          <x:t xml:space="preserve">Yes — on Tract 2 owner list</x:t>
        </x:is>
      </x:c>
      <x:c r="Y199" s="520" t="inlineStr">
        <x:is>
          <x:t xml:space="preserve">Candidate 0.00610631293668743 (helper — confirm from image)</x:t>
        </x:is>
      </x:c>
      <x:c r="Z199" s="520" t="inlineStr">
        <x:is>
          <x:t xml:space="preserve">Medium — helper value</x:t>
        </x:is>
      </x:c>
      <x:c r="AA199" s="520" t="inlineStr">
        <x:is>
          <x:t xml:space="preserve">Trustee's Mineral Deed — William Cobal Bain and Billy W to Dow C. Bain and Edris O. Bain, (1276/267)</x:t>
        </x:is>
      </x:c>
      <x:c r="AB199" s="520" t="inlineStr">
        <x:is>
          <x:t xml:space="preserve">Needs source review: grantor source</x:t>
        </x:is>
      </x:c>
    </x:row>
    <x:row r="200" s="520" customFormat="1" ht="48" customHeight="1">
      <x:c r="A200" s="519" t="inlineStr">
        <x:is>
          <x:t xml:space="preserve">1992-001862</x:t>
        </x:is>
      </x:c>
      <x:c r="B200" s="536" t="n"/>
      <x:c r="C200" s="536" t="inlineStr">
        <x:is>
          <x:t xml:space="preserve">Trustee's Mineral Deed</x:t>
        </x:is>
      </x:c>
      <x:c r="D200" s="536" t="inlineStr">
        <x:is>
          <x:t xml:space="preserve">1276/270</x:t>
        </x:is>
      </x:c>
      <x:c r="E200" s="537" t="n">
        <x:v>33750</x:v>
      </x:c>
      <x:c r="F200" s="537" t="n">
        <x:v>33750</x:v>
      </x:c>
      <x:c r="G200" s="538" t="inlineStr">
        <x:is>
          <x:t xml:space="preserve">William Cobal Bain and Billy Wayne Bain, Co-Trustes of the Will of W. M. Bain for the Benefit of Crystal Pallo</x:t>
        </x:is>
      </x:c>
      <x:c r="H200" s="538" t="inlineStr">
        <x:is>
          <x:t xml:space="preserve">Wilda Jensen</x:t>
        </x:is>
      </x:c>
      <x:c r="I200" s="538" t="inlineStr">
        <x:is>
          <x:t xml:space="preserve">SW/4 NE/4, NW/4 SE/4, S/2 SE/4 of 31-12N-24W, aol</x:t>
        </x:is>
      </x:c>
      <x:c r="J200" s="538" t="inlineStr">
        <x:is>
          <x:t xml:space="preserve">An undivided 4.8329635/791.47th interest in and to the oil, gas and other minerals</x:t>
        </x:is>
      </x:c>
      <x:c r="K200" s="518" t="e">
        <x:f>HYPERLINK("https://okcountyrecords.com/detail/roger+mills/1992-001862","OKCountyRecords: 1992-001862")</x:f>
      </x:c>
      <x:c r="L200" s="519" t="inlineStr">
        <x:is>
          <x:t xml:space="preserve">Mineral; basis Conv Amt(dec). Gross=tract-map basis.</x:t>
        </x:is>
      </x:c>
      <x:c r="M200" s="519" t="inlineStr">
        <x:is>
          <x:t xml:space="preserve">CURRENT OWNER SOURCE</x:t>
        </x:is>
      </x:c>
      <x:c r="N200" s="519" t="n"/>
      <x:c r="O200" s="519" t="inlineStr">
        <x:is>
          <x:t xml:space="preserve">OUTSIDE LANDS</x:t>
        </x:is>
      </x:c>
      <x:c r="P200" s="520" t="inlineStr">
        <x:is>
          <x:t xml:space="preserve">Chain — minerals</x:t>
        </x:is>
      </x:c>
      <x:c r="Q200" s="520" t="inlineStr">
        <x:is>
          <x:t xml:space="preserve">Yes</x:t>
        </x:is>
      </x:c>
      <x:c r="R200" s="520" t="inlineStr">
        <x:is>
          <x:t xml:space="preserve">No</x:t>
        </x:is>
      </x:c>
      <x:c r="S200" s="520" t="inlineStr">
        <x:is>
          <x:t xml:space="preserve">Yes</x:t>
        </x:is>
      </x:c>
      <x:c r="T200" s="520" t="inlineStr">
        <x:is>
          <x:t xml:space="preserve">No</x:t>
        </x:is>
      </x:c>
      <x:c r="U200" s="520" t="inlineStr">
        <x:is>
          <x:t xml:space="preserve">Yes: 2 (legal supports)</x:t>
        </x:is>
      </x:c>
      <x:c r="V200" s="520" t="inlineStr">
        <x:is>
          <x:t xml:space="preserve">High</x:t>
        </x:is>
      </x:c>
      <x:c r="W200" s="520" t="inlineStr">
        <x:is>
          <x:t xml:space="preserve">Probable — name-normalized match to Runsheet 150 grantee; confirm</x:t>
        </x:is>
      </x:c>
      <x:c r="X200" s="520" t="inlineStr">
        <x:is>
          <x:t xml:space="preserve">Review</x:t>
        </x:is>
      </x:c>
      <x:c r="Y200" s="520" t="inlineStr">
        <x:is>
          <x:t xml:space="preserve">Candidate 0.00610631293668743 (helper — confirm from image)</x:t>
        </x:is>
      </x:c>
      <x:c r="Z200" s="520" t="inlineStr">
        <x:is>
          <x:t xml:space="preserve">Medium — helper value</x:t>
        </x:is>
      </x:c>
      <x:c r="AA200" s="520" t="inlineStr">
        <x:is>
          <x:t xml:space="preserve">Trustee's Mineral Deed — William Cobal Bain and Billy W to Wilda Jensen (1276/270)</x:t>
        </x:is>
      </x:c>
      <x:c r="AB200" s="520" t="inlineStr">
        <x:is>
          <x:t xml:space="preserve">Needs source review: grantor source</x:t>
        </x:is>
      </x:c>
    </x:row>
    <x:row r="201" s="520" customFormat="1" ht="48" customHeight="1">
      <x:c r="A201" s="519" t="inlineStr">
        <x:is>
          <x:t xml:space="preserve">1992-001863</x:t>
        </x:is>
      </x:c>
      <x:c r="B201" s="536" t="n"/>
      <x:c r="C201" s="536" t="inlineStr">
        <x:is>
          <x:t xml:space="preserve">Trustee's Mineral Deed</x:t>
        </x:is>
      </x:c>
      <x:c r="D201" s="536" t="inlineStr">
        <x:is>
          <x:t xml:space="preserve">1276/273</x:t>
        </x:is>
      </x:c>
      <x:c r="E201" s="537" t="n">
        <x:v>33750</x:v>
      </x:c>
      <x:c r="F201" s="537" t="n">
        <x:v>33750</x:v>
      </x:c>
      <x:c r="G201" s="538" t="inlineStr">
        <x:is>
          <x:t xml:space="preserve">William Cobal Bain and Billy Wayne Bain, Co-Trustes of the Will of W. M. Bain for the Benefit of Crystal Pallo</x:t>
        </x:is>
      </x:c>
      <x:c r="H201" s="538" t="inlineStr">
        <x:is>
          <x:t xml:space="preserve">Clarence Bain</x:t>
        </x:is>
      </x:c>
      <x:c r="I201" s="538" t="inlineStr">
        <x:is>
          <x:t xml:space="preserve">SW/4 NE/4, NW/4 SE/4, S/2 SE/4 of 31-12N-24W, aol</x:t>
        </x:is>
      </x:c>
      <x:c r="J201" s="538" t="inlineStr">
        <x:is>
          <x:t xml:space="preserve">An undivided 4.8329635/791.47th interest in and to the oil, gas and other minerals</x:t>
        </x:is>
      </x:c>
      <x:c r="K201" s="518" t="e">
        <x:f>HYPERLINK("https://okcountyrecords.com/detail/roger+mills/1992-001863","OKCountyRecords: 1992-001863")</x:f>
      </x:c>
      <x:c r="L201" s="519" t="inlineStr">
        <x:is>
          <x:t xml:space="preserve">Mineral; basis Conv Amt(dec). Gross=tract-map basis.</x:t>
        </x:is>
      </x:c>
      <x:c r="M201" s="519" t="n"/>
      <x:c r="N201" s="519" t="n"/>
      <x:c r="O201" s="519" t="inlineStr">
        <x:is>
          <x:t xml:space="preserve">OUTSIDE LANDS</x:t>
        </x:is>
      </x:c>
      <x:c r="P201" s="520" t="inlineStr">
        <x:is>
          <x:t xml:space="preserve">Chain — minerals</x:t>
        </x:is>
      </x:c>
      <x:c r="Q201" s="520" t="inlineStr">
        <x:is>
          <x:t xml:space="preserve">Yes</x:t>
        </x:is>
      </x:c>
      <x:c r="R201" s="520" t="inlineStr">
        <x:is>
          <x:t xml:space="preserve">No</x:t>
        </x:is>
      </x:c>
      <x:c r="S201" s="520" t="inlineStr">
        <x:is>
          <x:t xml:space="preserve">Yes</x:t>
        </x:is>
      </x:c>
      <x:c r="T201" s="520" t="inlineStr">
        <x:is>
          <x:t xml:space="preserve">No</x:t>
        </x:is>
      </x:c>
      <x:c r="U201" s="520" t="inlineStr">
        <x:is>
          <x:t xml:space="preserve">Yes: 2 (legal supports)</x:t>
        </x:is>
      </x:c>
      <x:c r="V201" s="520" t="inlineStr">
        <x:is>
          <x:t xml:space="preserve">High</x:t>
        </x:is>
      </x:c>
      <x:c r="W201" s="520" t="inlineStr">
        <x:is>
          <x:t xml:space="preserve">Probable — name-normalized match to Runsheet 150 grantee; confirm</x:t>
        </x:is>
      </x:c>
      <x:c r="X201" s="520" t="inlineStr">
        <x:is>
          <x:t xml:space="preserve">Yes — on Tract 2 owner list</x:t>
        </x:is>
      </x:c>
      <x:c r="Y201" s="520" t="inlineStr">
        <x:is>
          <x:t xml:space="preserve">Candidate 0.00610631293668743 (helper — confirm from image)</x:t>
        </x:is>
      </x:c>
      <x:c r="Z201" s="520" t="inlineStr">
        <x:is>
          <x:t xml:space="preserve">Medium — helper value</x:t>
        </x:is>
      </x:c>
      <x:c r="AA201" s="520" t="inlineStr">
        <x:is>
          <x:t xml:space="preserve">Trustee's Mineral Deed — William Cobal Bain and Billy W to Clarence Bain (1276/273)</x:t>
        </x:is>
      </x:c>
      <x:c r="AB201" s="520" t="inlineStr">
        <x:is>
          <x:t xml:space="preserve">Needs source review: grantor source</x:t>
        </x:is>
      </x:c>
    </x:row>
    <x:row r="202" s="520" customFormat="1" ht="48" customHeight="1">
      <x:c r="A202" s="519" t="inlineStr">
        <x:is>
          <x:t xml:space="preserve">1992-001865</x:t>
        </x:is>
      </x:c>
      <x:c r="B202" s="536" t="n"/>
      <x:c r="C202" s="536" t="inlineStr">
        <x:is>
          <x:t xml:space="preserve">Trustee's Mineral Deed</x:t>
        </x:is>
      </x:c>
      <x:c r="D202" s="536" t="inlineStr">
        <x:is>
          <x:t xml:space="preserve">1276/279</x:t>
        </x:is>
      </x:c>
      <x:c r="E202" s="537" t="n">
        <x:v>33750</x:v>
      </x:c>
      <x:c r="F202" s="537" t="n">
        <x:v>33750</x:v>
      </x:c>
      <x:c r="G202" s="538" t="inlineStr">
        <x:is>
          <x:t xml:space="preserve">William Cobal Bain and Billy Wayne Bain, Co-Trustes of the Will of W. M. Bain for the Benefit of Crystal Pallo</x:t>
        </x:is>
      </x:c>
      <x:c r="H202" s="538" t="inlineStr">
        <x:is>
          <x:t xml:space="preserve">Carl Leon Bain</x:t>
        </x:is>
      </x:c>
      <x:c r="I202" s="538" t="inlineStr">
        <x:is>
          <x:t xml:space="preserve">SW/4 NE/4, NW/4 SE/4, S/2 SE/4 of 31-12N-24W, aol</x:t>
        </x:is>
      </x:c>
      <x:c r="J202" s="538" t="inlineStr">
        <x:is>
          <x:t xml:space="preserve">An undivided 4.8329635/791.47th interest in and to the oil, gas and other minerals</x:t>
        </x:is>
      </x:c>
      <x:c r="K202" s="518" t="e">
        <x:f>HYPERLINK("https://okcountyrecords.com/detail/roger+mills/1992-001865","OKCountyRecords: 1992-001865")</x:f>
      </x:c>
      <x:c r="L202" s="519" t="inlineStr">
        <x:is>
          <x:t xml:space="preserve">Mineral; basis Conv Amt(dec). Gross=tract-map basis.</x:t>
        </x:is>
      </x:c>
      <x:c r="M202" s="519" t="inlineStr">
        <x:is>
          <x:t xml:space="preserve">CURRENT OWNER SOURCE</x:t>
        </x:is>
      </x:c>
      <x:c r="N202" s="519" t="n"/>
      <x:c r="O202" s="519" t="inlineStr">
        <x:is>
          <x:t xml:space="preserve">OUTSIDE LANDS</x:t>
        </x:is>
      </x:c>
      <x:c r="P202" s="520" t="inlineStr">
        <x:is>
          <x:t xml:space="preserve">Chain — minerals</x:t>
        </x:is>
      </x:c>
      <x:c r="Q202" s="520" t="inlineStr">
        <x:is>
          <x:t xml:space="preserve">Yes</x:t>
        </x:is>
      </x:c>
      <x:c r="R202" s="520" t="inlineStr">
        <x:is>
          <x:t xml:space="preserve">No</x:t>
        </x:is>
      </x:c>
      <x:c r="S202" s="520" t="inlineStr">
        <x:is>
          <x:t xml:space="preserve">Yes</x:t>
        </x:is>
      </x:c>
      <x:c r="T202" s="520" t="inlineStr">
        <x:is>
          <x:t xml:space="preserve">No</x:t>
        </x:is>
      </x:c>
      <x:c r="U202" s="520" t="inlineStr">
        <x:is>
          <x:t xml:space="preserve">Yes: 2 (legal supports)</x:t>
        </x:is>
      </x:c>
      <x:c r="V202" s="520" t="inlineStr">
        <x:is>
          <x:t xml:space="preserve">High</x:t>
        </x:is>
      </x:c>
      <x:c r="W202" s="520" t="inlineStr">
        <x:is>
          <x:t xml:space="preserve">Probable — name-normalized match to Runsheet 150 grantee; confirm</x:t>
        </x:is>
      </x:c>
      <x:c r="X202" s="520" t="inlineStr">
        <x:is>
          <x:t xml:space="preserve">Yes — on Tract 2 owner list</x:t>
        </x:is>
      </x:c>
      <x:c r="Y202" s="520" t="inlineStr">
        <x:is>
          <x:t xml:space="preserve">Candidate 0.00610631293668743 (helper — confirm from image)</x:t>
        </x:is>
      </x:c>
      <x:c r="Z202" s="520" t="inlineStr">
        <x:is>
          <x:t xml:space="preserve">Medium — helper value</x:t>
        </x:is>
      </x:c>
      <x:c r="AA202" s="520" t="inlineStr">
        <x:is>
          <x:t xml:space="preserve">Trustee's Mineral Deed — William Cobal Bain and Billy W to Carl Leon Bain (1276/279)</x:t>
        </x:is>
      </x:c>
      <x:c r="AB202" s="520" t="inlineStr">
        <x:is>
          <x:t xml:space="preserve">Needs source review: grantor source</x:t>
        </x:is>
      </x:c>
    </x:row>
    <x:row r="203" s="520" customFormat="1" ht="60" customHeight="1">
      <x:c r="A203" s="519" t="inlineStr">
        <x:is>
          <x:t xml:space="preserve">1992-001866</x:t>
        </x:is>
      </x:c>
      <x:c r="B203" s="536" t="n"/>
      <x:c r="C203" s="536" t="inlineStr">
        <x:is>
          <x:t xml:space="preserve">Trustee's Mineral Deed</x:t>
        </x:is>
      </x:c>
      <x:c r="D203" s="536" t="inlineStr">
        <x:is>
          <x:t xml:space="preserve">1276/282</x:t>
        </x:is>
      </x:c>
      <x:c r="E203" s="537" t="n">
        <x:v>33750</x:v>
      </x:c>
      <x:c r="F203" s="537" t="n">
        <x:v>33750</x:v>
      </x:c>
      <x:c r="G203" s="538" t="inlineStr">
        <x:is>
          <x:t xml:space="preserve">William Cobal Bain and Billy Wayne Bain, Co-Trustes of the Will of W. M. Bain for the Benefit of Crystal Pallo</x:t>
        </x:is>
      </x:c>
      <x:c r="H203" s="538" t="inlineStr">
        <x:is>
          <x:t xml:space="preserve">Hazel Ailene Hamilton</x:t>
        </x:is>
      </x:c>
      <x:c r="I203" s="538" t="inlineStr">
        <x:is>
          <x:t xml:space="preserve">SW/4 NE/4, NW/4 SE/4, S/2 SE/4 of 31-12N-24W, aol</x:t>
        </x:is>
      </x:c>
      <x:c r="J203" s="538" t="inlineStr">
        <x:is>
          <x:t xml:space="preserve">An undivided 4.8329635/791.47th interest in and to the oil, gas and other minerals</x:t>
        </x:is>
      </x:c>
      <x:c r="K203" s="539" t="e">
        <x:f>HYPERLINK("https://okcountyrecords.com/detail/roger+mills/1992-001866","OKCountyRecords: 1992-001866")</x:f>
      </x:c>
      <x:c r="L203" s="519" t="inlineStr">
        <x:is>
          <x:t xml:space="preserve">Mineral; basis Conv Amt(dec). Gross=tract-map basis.</x:t>
        </x:is>
      </x:c>
      <x:c r="M203" s="519" t="inlineStr">
        <x:is>
          <x:t xml:space="preserve">CURRENT OWNER SOURCE</x:t>
        </x:is>
      </x:c>
      <x:c r="N203" s="519" t="n"/>
      <x:c r="O203" s="519" t="inlineStr">
        <x:is>
          <x:t xml:space="preserve">OUTSIDE LANDS</x:t>
        </x:is>
      </x:c>
      <x:c r="P203" s="520" t="inlineStr">
        <x:is>
          <x:t xml:space="preserve">Chain — minerals</x:t>
        </x:is>
      </x:c>
      <x:c r="Q203" s="520" t="inlineStr">
        <x:is>
          <x:t xml:space="preserve">Yes</x:t>
        </x:is>
      </x:c>
      <x:c r="R203" s="520" t="inlineStr">
        <x:is>
          <x:t xml:space="preserve">No</x:t>
        </x:is>
      </x:c>
      <x:c r="S203" s="520" t="inlineStr">
        <x:is>
          <x:t xml:space="preserve">Yes</x:t>
        </x:is>
      </x:c>
      <x:c r="T203" s="520" t="inlineStr">
        <x:is>
          <x:t xml:space="preserve">No</x:t>
        </x:is>
      </x:c>
      <x:c r="U203" s="520" t="inlineStr">
        <x:is>
          <x:t xml:space="preserve">Yes: 2 (legal supports)</x:t>
        </x:is>
      </x:c>
      <x:c r="V203" s="520" t="inlineStr">
        <x:is>
          <x:t xml:space="preserve">High</x:t>
        </x:is>
      </x:c>
      <x:c r="W203" s="520" t="inlineStr">
        <x:is>
          <x:t xml:space="preserve">Probable — name-normalized match to Runsheet 150 grantee; confirm</x:t>
        </x:is>
      </x:c>
      <x:c r="X203" s="520" t="inlineStr">
        <x:is>
          <x:t xml:space="preserve">Yes — on Tract 2 owner list</x:t>
        </x:is>
      </x:c>
      <x:c r="Y203" s="520" t="inlineStr">
        <x:is>
          <x:t xml:space="preserve">Candidate 0.00610631293668743 (helper — confirm from image)</x:t>
        </x:is>
      </x:c>
      <x:c r="Z203" s="520" t="inlineStr">
        <x:is>
          <x:t xml:space="preserve">Medium — helper value</x:t>
        </x:is>
      </x:c>
      <x:c r="AA203" s="520" t="inlineStr">
        <x:is>
          <x:t xml:space="preserve">Trustee's Mineral Deed — William Cobal Bain and Billy W to Hazel Ailene Hamilton (1276/282)</x:t>
        </x:is>
      </x:c>
      <x:c r="AB203" s="520" t="inlineStr">
        <x:is>
          <x:t xml:space="preserve">Needs source review: grantor source</x:t>
        </x:is>
      </x:c>
    </x:row>
    <x:row r="204" s="520" customFormat="1" ht="48" customHeight="1">
      <x:c r="A204" s="519" t="inlineStr">
        <x:is>
          <x:t xml:space="preserve">1992-001867</x:t>
        </x:is>
      </x:c>
      <x:c r="B204" s="536" t="n"/>
      <x:c r="C204" s="536" t="inlineStr">
        <x:is>
          <x:t xml:space="preserve">Trustee's Mineral Deed</x:t>
        </x:is>
      </x:c>
      <x:c r="D204" s="536" t="inlineStr">
        <x:is>
          <x:t xml:space="preserve">1276/285</x:t>
        </x:is>
      </x:c>
      <x:c r="E204" s="537" t="n">
        <x:v>33750</x:v>
      </x:c>
      <x:c r="F204" s="537" t="n">
        <x:v>33750</x:v>
      </x:c>
      <x:c r="G204" s="538" t="inlineStr">
        <x:is>
          <x:t xml:space="preserve">William Cobal Bain and Billy Wayne Bain, Co-Trustes of the Will of W. M. Bain for the Benefit of Crystal Pallo</x:t>
        </x:is>
      </x:c>
      <x:c r="H204" s="538" t="inlineStr">
        <x:is>
          <x:t xml:space="preserve">Juanita Wolff</x:t>
        </x:is>
      </x:c>
      <x:c r="I204" s="538" t="inlineStr">
        <x:is>
          <x:t xml:space="preserve">SW/4 NE/4, NW/4 SE/4, S/2 SE/4 of 31-12N-24W, aol</x:t>
        </x:is>
      </x:c>
      <x:c r="J204" s="538" t="inlineStr">
        <x:is>
          <x:t xml:space="preserve">An undivided 4.8329635/791.47th interest in and to the oil, gas and other minerals</x:t>
        </x:is>
      </x:c>
      <x:c r="K204" s="539" t="e">
        <x:f>HYPERLINK("https://okcountyrecords.com/detail/roger+mills/1992-001867","OKCountyRecords: 1992-001867")</x:f>
      </x:c>
      <x:c r="L204" s="519" t="inlineStr">
        <x:is>
          <x:t xml:space="preserve">Mineral; basis Conv Amt(dec). Gross=tract-map basis.</x:t>
        </x:is>
      </x:c>
      <x:c r="M204" s="519" t="inlineStr">
        <x:is>
          <x:t xml:space="preserve">CURRENT OWNER SOURCE</x:t>
        </x:is>
      </x:c>
      <x:c r="N204" s="519" t="n"/>
      <x:c r="O204" s="519" t="inlineStr">
        <x:is>
          <x:t xml:space="preserve">OUTSIDE LANDS</x:t>
        </x:is>
      </x:c>
      <x:c r="P204" s="520" t="inlineStr">
        <x:is>
          <x:t xml:space="preserve">Chain — minerals</x:t>
        </x:is>
      </x:c>
      <x:c r="Q204" s="520" t="inlineStr">
        <x:is>
          <x:t xml:space="preserve">Yes</x:t>
        </x:is>
      </x:c>
      <x:c r="R204" s="520" t="inlineStr">
        <x:is>
          <x:t xml:space="preserve">No</x:t>
        </x:is>
      </x:c>
      <x:c r="S204" s="520" t="inlineStr">
        <x:is>
          <x:t xml:space="preserve">Yes</x:t>
        </x:is>
      </x:c>
      <x:c r="T204" s="520" t="inlineStr">
        <x:is>
          <x:t xml:space="preserve">No</x:t>
        </x:is>
      </x:c>
      <x:c r="U204" s="520" t="inlineStr">
        <x:is>
          <x:t xml:space="preserve">Yes: 2 (legal supports)</x:t>
        </x:is>
      </x:c>
      <x:c r="V204" s="520" t="inlineStr">
        <x:is>
          <x:t xml:space="preserve">High</x:t>
        </x:is>
      </x:c>
      <x:c r="W204" s="520" t="inlineStr">
        <x:is>
          <x:t xml:space="preserve">Probable — name-normalized match to Runsheet 150 grantee; confirm</x:t>
        </x:is>
      </x:c>
      <x:c r="X204" s="520" t="inlineStr">
        <x:is>
          <x:t xml:space="preserve">Review</x:t>
        </x:is>
      </x:c>
      <x:c r="Y204" s="520" t="inlineStr">
        <x:is>
          <x:t xml:space="preserve">Candidate 0.00610631293668743 (helper — confirm from image)</x:t>
        </x:is>
      </x:c>
      <x:c r="Z204" s="520" t="inlineStr">
        <x:is>
          <x:t xml:space="preserve">Medium — helper value</x:t>
        </x:is>
      </x:c>
      <x:c r="AA204" s="520" t="inlineStr">
        <x:is>
          <x:t xml:space="preserve">Trustee's Mineral Deed — William Cobal Bain and Billy W to Juanita Wolff (1276/285)</x:t>
        </x:is>
      </x:c>
      <x:c r="AB204" s="520" t="inlineStr">
        <x:is>
          <x:t xml:space="preserve">Needs source review: grantor source</x:t>
        </x:is>
      </x:c>
    </x:row>
    <x:row r="205" s="520" customFormat="1" ht="48" customHeight="1">
      <x:c r="A205" s="519" t="inlineStr">
        <x:is>
          <x:t xml:space="preserve">1992-003373</x:t>
        </x:is>
      </x:c>
      <x:c r="B205" s="536" t="n"/>
      <x:c r="C205" s="536" t="inlineStr">
        <x:is>
          <x:t xml:space="preserve">Mineral Deed</x:t>
        </x:is>
      </x:c>
      <x:c r="D205" s="536" t="inlineStr">
        <x:is>
          <x:t xml:space="preserve">1294/169</x:t>
        </x:is>
      </x:c>
      <x:c r="E205" s="537" t="n">
        <x:v>33857</x:v>
      </x:c>
      <x:c r="F205" s="537" t="n">
        <x:v>33857</x:v>
      </x:c>
      <x:c r="G205" s="538" t="inlineStr">
        <x:is>
          <x:t xml:space="preserve">Marvin Mitchell Williams</x:t>
        </x:is>
      </x:c>
      <x:c r="H205" s="538" t="inlineStr">
        <x:is>
          <x:t xml:space="preserve">Nancy Mitchell Williams</x:t>
        </x:is>
      </x:c>
      <x:c r="I205" s="538" t="inlineStr">
        <x:is>
          <x:t xml:space="preserve">SW/4 of 31-12N-24W, aol</x:t>
        </x:is>
      </x:c>
      <x:c r="J205" s="538" t="inlineStr">
        <x:is>
          <x:t xml:space="preserve">Undivided 18.835 acre mineral interest in 31-12N-24W, Undivided 42.5 acre mineral interest in and to Sections 30 and 31</x:t>
        </x:is>
      </x:c>
      <x:c r="K205" s="518" t="e">
        <x:f>HYPERLINK("https://okcountyrecords.com/detail/roger+mills/1992-003373","OKCountyRecords: 1992-003373")</x:f>
      </x:c>
      <x:c r="L205" s="519" t="inlineStr">
        <x:is>
          <x:t xml:space="preserve">Mineral; confirm conveyed amount from instrument image. Gross=tract-map basis.</x:t>
        </x:is>
      </x:c>
      <x:c r="M205" s="519" t="inlineStr">
        <x:is>
          <x:t xml:space="preserve">REVIEW</x:t>
        </x:is>
      </x:c>
      <x:c r="N205" s="519" t="inlineStr">
        <x:is>
          <x:t xml:space="preserve">Denominator / tract allocation for 18.835 NMA from instrument image</x:t>
        </x:is>
      </x:c>
      <x:c r="O205" s="519" t="inlineStr">
        <x:is>
          <x:t xml:space="preserve">OUTSIDE LANDS</x:t>
        </x:is>
      </x:c>
      <x:c r="P205" s="520" t="inlineStr">
        <x:is>
          <x:t xml:space="preserve">Chain — minerals</x:t>
        </x:is>
      </x:c>
      <x:c r="Q205" s="520" t="inlineStr">
        <x:is>
          <x:t xml:space="preserve">Yes</x:t>
        </x:is>
      </x:c>
      <x:c r="R205" s="520" t="inlineStr">
        <x:is>
          <x:t xml:space="preserve">No</x:t>
        </x:is>
      </x:c>
      <x:c r="S205" s="520" t="inlineStr">
        <x:is>
          <x:t xml:space="preserve">Yes</x:t>
        </x:is>
      </x:c>
      <x:c r="T205" s="520" t="inlineStr">
        <x:is>
          <x:t xml:space="preserve">No</x:t>
        </x:is>
      </x:c>
      <x:c r="U205" s="520" t="inlineStr">
        <x:is>
          <x:t xml:space="preserve">Legal maps to 5, 7, 8, 9; helper says 5, 6, 7</x:t>
        </x:is>
      </x:c>
      <x:c r="V205" s="520" t="inlineStr">
        <x:is>
          <x:t xml:space="preserve">Review</x:t>
        </x:is>
      </x:c>
      <x:c r="W205" s="520" t="inlineStr">
        <x:is>
          <x:t xml:space="preserve">Probable — name-normalized match to Runsheet 56 grantee; confirm</x:t>
        </x:is>
      </x:c>
      <x:c r="X205" s="520" t="inlineStr">
        <x:is>
          <x:t xml:space="preserve">Yes — on Tract 5 owner list</x:t>
        </x:is>
      </x:c>
      <x:c r="Y205" s="520" t="inlineStr">
        <x:is>
          <x:t xml:space="preserve">Interest amount needs review</x:t>
        </x:is>
      </x:c>
      <x:c r="Z205" s="520" t="inlineStr">
        <x:is>
          <x:t xml:space="preserve">Review</x:t>
        </x:is>
      </x:c>
      <x:c r="AA205" s="520" t="inlineStr">
        <x:is>
          <x:t xml:space="preserve">Mineral Deed — Marvin Mitchell Williams to Nancy Mitchell Williams (1294/169)</x:t>
        </x:is>
      </x:c>
      <x:c r="AB205" s="520" t="inlineStr">
        <x:is>
          <x:t xml:space="preserve">Needs source review: tract, grantor source, interest amount</x:t>
        </x:is>
      </x:c>
    </x:row>
    <x:row r="206" s="520" customFormat="1" ht="48" customHeight="1">
      <x:c r="A206" s="519" t="inlineStr">
        <x:is>
          <x:t xml:space="preserve">1992-003494</x:t>
        </x:is>
      </x:c>
      <x:c r="B206" s="536" t="n"/>
      <x:c r="C206" s="536" t="inlineStr">
        <x:is>
          <x:t xml:space="preserve">Mineral Deed</x:t>
        </x:is>
      </x:c>
      <x:c r="D206" s="536" t="inlineStr">
        <x:is>
          <x:t xml:space="preserve">1296/141</x:t>
        </x:is>
      </x:c>
      <x:c r="E206" s="537" t="n">
        <x:v>33868</x:v>
      </x:c>
      <x:c r="F206" s="537" t="n">
        <x:v>33868</x:v>
      </x:c>
      <x:c r="G206" s="538" t="inlineStr">
        <x:is>
          <x:t xml:space="preserve">Ronald Dean Bain</x:t>
        </x:is>
      </x:c>
      <x:c r="H206" s="538" t="inlineStr">
        <x:is>
          <x:t xml:space="preserve">Clarence C. Bain</x:t>
        </x:is>
      </x:c>
      <x:c r="I206" s="538" t="inlineStr">
        <x:is>
          <x:t xml:space="preserve">SW/4 NE/4, NW/4 SE/4, S/2 SE/4 of 31-12N-24W, aol</x:t>
        </x:is>
      </x:c>
      <x:c r="J206" s="538" t="inlineStr">
        <x:is>
          <x:t xml:space="preserve">5/791.47 (5 FULL ACRES in 2 sections)</x:t>
        </x:is>
      </x:c>
      <x:c r="K206" s="518" t="e">
        <x:f>HYPERLINK("https://okcountyrecords.com/detail/roger+mills/1992-003494","OKCountyRecords: 1992-003494")</x:f>
      </x:c>
      <x:c r="L206" s="519" t="inlineStr">
        <x:is>
          <x:t xml:space="preserve">Mineral; basis Conv Amt(dec). Gross=tract-map basis.</x:t>
        </x:is>
      </x:c>
      <x:c r="M206" s="519" t="n"/>
      <x:c r="N206" s="519" t="n"/>
      <x:c r="O206" s="519" t="inlineStr">
        <x:is>
          <x:t xml:space="preserve">OUTSIDE LANDS</x:t>
        </x:is>
      </x:c>
      <x:c r="P206" s="520" t="inlineStr">
        <x:is>
          <x:t xml:space="preserve">Chain — minerals</x:t>
        </x:is>
      </x:c>
      <x:c r="Q206" s="520" t="inlineStr">
        <x:is>
          <x:t xml:space="preserve">Yes</x:t>
        </x:is>
      </x:c>
      <x:c r="R206" s="520" t="inlineStr">
        <x:is>
          <x:t xml:space="preserve">No</x:t>
        </x:is>
      </x:c>
      <x:c r="S206" s="520" t="inlineStr">
        <x:is>
          <x:t xml:space="preserve">Yes</x:t>
        </x:is>
      </x:c>
      <x:c r="T206" s="520" t="inlineStr">
        <x:is>
          <x:t xml:space="preserve">No</x:t>
        </x:is>
      </x:c>
      <x:c r="U206" s="520" t="inlineStr">
        <x:is>
          <x:t xml:space="preserve">Yes: 2 (legal supports)</x:t>
        </x:is>
      </x:c>
      <x:c r="V206" s="520" t="inlineStr">
        <x:is>
          <x:t xml:space="preserve">High</x:t>
        </x:is>
      </x:c>
      <x:c r="W206" s="520" t="inlineStr">
        <x:is>
          <x:t xml:space="preserve">Yes — prior grantee match</x:t>
        </x:is>
      </x:c>
      <x:c r="X206" s="520" t="inlineStr">
        <x:is>
          <x:t xml:space="preserve">Yes — on Tract 2 owner list</x:t>
        </x:is>
      </x:c>
      <x:c r="Y206" s="520" t="inlineStr">
        <x:is>
          <x:t xml:space="preserve">Candidate 0.00631735883861675 (helper — confirm from image)</x:t>
        </x:is>
      </x:c>
      <x:c r="Z206" s="520" t="inlineStr">
        <x:is>
          <x:t xml:space="preserve">Medium — helper value</x:t>
        </x:is>
      </x:c>
      <x:c r="AA206" s="520" t="inlineStr">
        <x:is>
          <x:t xml:space="preserve">Mineral Deed — Ronald Dean Bain to Clarence C. Bain (1296/141)</x:t>
        </x:is>
      </x:c>
    </x:row>
    <x:row r="207" s="520" customFormat="1" ht="120" customHeight="1">
      <x:c r="A207" s="519" t="inlineStr">
        <x:is>
          <x:t xml:space="preserve">1993-000717</x:t>
        </x:is>
      </x:c>
      <x:c r="B207" s="536" t="n"/>
      <x:c r="C207" s="536" t="inlineStr">
        <x:is>
          <x:t xml:space="preserve">Miscellaneous</x:t>
        </x:is>
      </x:c>
      <x:c r="D207" s="536" t="inlineStr">
        <x:is>
          <x:t xml:space="preserve">1321/53</x:t>
        </x:is>
      </x:c>
      <x:c r="E207" s="537" t="n">
        <x:v>34018</x:v>
      </x:c>
      <x:c r="F207" s="537" t="n">
        <x:v>34018</x:v>
      </x:c>
      <x:c r="G207" s="538" t="inlineStr">
        <x:is>
          <x:t xml:space="preserve">J. F. Barnett,
Olice Herring Coates,
Colonial Oil Co,
Debra Joy Grey,
Elgin Herring Hoover,
Edna Joy Murrell,
Donald Royse,
Holland Meacham Royse,
Sorenson, Oil &amp; Gas,
L. E. Thurman</x:t>
        </x:is>
      </x:c>
      <x:c r="H207" s="538" t="inlineStr">
        <x:is>
          <x:t xml:space="preserve">Adams Little, Inc.,
Don J. Pettyjohn,
D. E. Pinion,
Pinion Oil Co, Ltd.,
Seamus Pinion</x:t>
        </x:is>
      </x:c>
      <x:c r="I207" s="538" t="inlineStr">
        <x:is>
          <x:t xml:space="preserve">31-12N-24W, aol</x:t>
        </x:is>
      </x:c>
      <x:c r="J207" s="538" t="inlineStr">
        <x:is>
          <x:t xml:space="preserve">See instrument</x:t>
        </x:is>
      </x:c>
      <x:c r="K207" s="518" t="e">
        <x:f>HYPERLINK("https://okcountyrecords.com/detail/roger+mills/1993-000717","OKCountyRecords: 1993-000717")</x:f>
      </x:c>
      <x:c r="L207" s="519" t="inlineStr">
        <x:is>
          <x:t xml:space="preserve">Other (non-mineral; excluded from mineral NMA). All-section coverage. Gross=tract-map basis.</x:t>
        </x:is>
      </x:c>
      <x:c r="M207" s="519" t="n"/>
      <x:c r="N207" s="519" t="n"/>
      <x:c r="O207" s="519" t="inlineStr">
        <x:is>
          <x:t xml:space="preserve">OUTSIDE LANDS</x:t>
        </x:is>
      </x:c>
      <x:c r="P207" s="520" t="inlineStr">
        <x:is>
          <x:t xml:space="preserve">Review — read instrument (type unclear)</x:t>
        </x:is>
      </x:c>
      <x:c r="Q207" s="520" t="inlineStr">
        <x:is>
          <x:t xml:space="preserve">Review</x:t>
        </x:is>
      </x:c>
      <x:c r="R207" s="520" t="inlineStr">
        <x:is>
          <x:t xml:space="preserve">Review</x:t>
        </x:is>
      </x:c>
      <x:c r="S207" s="520" t="inlineStr">
        <x:is>
          <x:t xml:space="preserve">Review</x:t>
        </x:is>
      </x:c>
      <x:c r="T207" s="520" t="inlineStr">
        <x:is>
          <x:t xml:space="preserve">Review</x:t>
        </x:is>
      </x:c>
      <x:c r="U207" s="520" t="inlineStr">
        <x:is>
          <x:t xml:space="preserve">Yes: 1, 8 (broad legal)</x:t>
        </x:is>
      </x:c>
      <x:c r="V207" s="520" t="inlineStr">
        <x:is>
          <x:t xml:space="preserve">Medium</x:t>
        </x:is>
      </x:c>
      <x:c r="W207" s="520" t="inlineStr">
        <x:is>
          <x:t xml:space="preserve">Review — no exact prior-grantee match</x:t>
        </x:is>
      </x:c>
      <x:c r="X207" s="520" t="inlineStr">
        <x:is>
          <x:t xml:space="preserve">Review</x:t>
        </x:is>
      </x:c>
      <x:c r="Y207" s="520" t="inlineStr">
        <x:is>
          <x:t xml:space="preserve">Interest amount needs review</x:t>
        </x:is>
      </x:c>
      <x:c r="Z207" s="520" t="inlineStr">
        <x:is>
          <x:t xml:space="preserve">Review</x:t>
        </x:is>
      </x:c>
      <x:c r="AA207" s="520" t="inlineStr">
        <x:is>
          <x:t xml:space="preserve">Miscellaneous — J. F. Barnett, to Adams Little, Inc., (1321/53)</x:t>
        </x:is>
      </x:c>
      <x:c r="AB207" s="520" t="inlineStr">
        <x:is>
          <x:t xml:space="preserve">Needs source review: grantor source, interest amount, instrument type</x:t>
        </x:is>
      </x:c>
    </x:row>
    <x:row r="208" s="520" customFormat="1" ht="48" customHeight="1">
      <x:c r="A208" s="519" t="inlineStr">
        <x:is>
          <x:t xml:space="preserve">1993-000918</x:t>
        </x:is>
      </x:c>
      <x:c r="B208" s="536" t="n"/>
      <x:c r="C208" s="536" t="inlineStr">
        <x:is>
          <x:t xml:space="preserve">Final Decree</x:t>
        </x:is>
      </x:c>
      <x:c r="D208" s="536" t="inlineStr">
        <x:is>
          <x:t xml:space="preserve">1324/22</x:t>
        </x:is>
      </x:c>
      <x:c r="E208" s="537" t="n">
        <x:v>34032</x:v>
      </x:c>
      <x:c r="F208" s="537" t="n">
        <x:v>34032</x:v>
      </x:c>
      <x:c r="G208" s="538" t="inlineStr">
        <x:is>
          <x:t xml:space="preserve">Roger Mills County Court
RE: In the Matter of the Estate of John Klopfenstein, Deceased</x:t>
        </x:is>
      </x:c>
      <x:c r="H208" s="538" t="inlineStr">
        <x:is>
          <x:t xml:space="preserve">Margaret Kirk, 1/4,
Linda Mize, 1/4,
Eleanore Wheeler, 1/4,
Roger Klopfenstein, 1/4</x:t>
        </x:is>
      </x:c>
      <x:c r="I208" s="538" t="inlineStr">
        <x:is>
          <x:t xml:space="preserve">S/2 NE/4 SW/4, South Half of Lot 3, Lot 4, SE/4 SW/4 of 31-12N-24W, aol</x:t>
        </x:is>
      </x:c>
      <x:c r="J208" s="538" t="inlineStr">
        <x:is>
          <x:t xml:space="preserve">An undivided 10 acres of mineral interest</x:t>
        </x:is>
      </x:c>
      <x:c r="K208" s="518" t="e">
        <x:f>HYPERLINK("https://okcountyrecords.com/detail/roger+mills/1993-000918","OKCountyRecords: 1993-000918")</x:f>
      </x:c>
      <x:c r="L208" s="519" t="inlineStr">
        <x:is>
          <x:t xml:space="preserve">Mineral; basis Conv Amt(dec). Gross=tract-map basis.</x:t>
        </x:is>
      </x:c>
      <x:c r="M208" s="519" t="inlineStr">
        <x:is>
          <x:t xml:space="preserve">REVIEW</x:t>
        </x:is>
      </x:c>
      <x:c r="N208" s="519" t="inlineStr">
        <x:is>
          <x:t xml:space="preserve">Conveys 10 NMA per notes; conv. dec = 10/gross. Verify denominator/tract from image.</x:t>
        </x:is>
      </x:c>
      <x:c r="O208" s="519" t="inlineStr">
        <x:is>
          <x:t xml:space="preserve">OUTSIDE LANDS</x:t>
        </x:is>
      </x:c>
      <x:c r="P208" s="520" t="inlineStr">
        <x:is>
          <x:t xml:space="preserve">Chain — title support (succession/entity/probate)</x:t>
        </x:is>
      </x:c>
      <x:c r="Q208" s="520" t="inlineStr">
        <x:is>
          <x:t xml:space="preserve">Yes</x:t>
        </x:is>
      </x:c>
      <x:c r="R208" s="520" t="inlineStr">
        <x:is>
          <x:t xml:space="preserve">No</x:t>
        </x:is>
      </x:c>
      <x:c r="S208" s="520" t="inlineStr">
        <x:is>
          <x:t xml:space="preserve">Yes</x:t>
        </x:is>
      </x:c>
      <x:c r="T208" s="520" t="inlineStr">
        <x:is>
          <x:t xml:space="preserve">No</x:t>
        </x:is>
      </x:c>
      <x:c r="U208" s="520" t="inlineStr">
        <x:is>
          <x:t xml:space="preserve">Legal maps to 5, 7, 9; helper says 2, 3, 5, 6, 7</x:t>
        </x:is>
      </x:c>
      <x:c r="V208" s="520" t="inlineStr">
        <x:is>
          <x:t xml:space="preserve">Review</x:t>
        </x:is>
      </x:c>
      <x:c r="W208" s="520" t="inlineStr">
        <x:is>
          <x:t xml:space="preserve">Review — no exact prior-grantee match</x:t>
        </x:is>
      </x:c>
      <x:c r="X208" s="520" t="inlineStr">
        <x:is>
          <x:t xml:space="preserve">Review</x:t>
        </x:is>
      </x:c>
      <x:c r="Y208" s="520" t="inlineStr">
        <x:is>
          <x:t xml:space="preserve">Candidate 0.0227272727272727 (helper — confirm from image)</x:t>
        </x:is>
      </x:c>
      <x:c r="Z208" s="520" t="inlineStr">
        <x:is>
          <x:t xml:space="preserve">Medium — helper value</x:t>
        </x:is>
      </x:c>
      <x:c r="AA208" s="520" t="inlineStr">
        <x:is>
          <x:t xml:space="preserve">Final Decree — Roger Mills County Court to Margaret Kirk, 1/4, (1324/22)</x:t>
        </x:is>
      </x:c>
      <x:c r="AB208" s="520" t="inlineStr">
        <x:is>
          <x:t xml:space="preserve">Needs source review: tract, grantor source</x:t>
        </x:is>
      </x:c>
    </x:row>
    <x:row r="209" s="520" customFormat="1" ht="72" customHeight="1">
      <x:c r="A209" s="519" t="inlineStr">
        <x:is>
          <x:t xml:space="preserve">1993-000978</x:t>
        </x:is>
      </x:c>
      <x:c r="B209" s="536" t="n"/>
      <x:c r="C209" s="536" t="inlineStr">
        <x:is>
          <x:t xml:space="preserve">Affidavit of Surviving Join Tenant</x:t>
        </x:is>
      </x:c>
      <x:c r="D209" s="536" t="inlineStr">
        <x:is>
          <x:t xml:space="preserve">1326/88</x:t>
        </x:is>
      </x:c>
      <x:c r="E209" s="537" t="n">
        <x:v>34036</x:v>
      </x:c>
      <x:c r="F209" s="537" t="n">
        <x:v>34036</x:v>
      </x:c>
      <x:c r="G209" s="538" t="inlineStr">
        <x:is>
          <x:t xml:space="preserve">Joseph Devenas</x:t>
        </x:is>
      </x:c>
      <x:c r="H209" s="538" t="inlineStr">
        <x:is>
          <x:t xml:space="preserve">The Public
RE: Mary Margaret Devenas, deceased</x:t>
        </x:is>
      </x:c>
      <x:c r="I209" s="538" t="inlineStr">
        <x:is>
          <x:t xml:space="preserve">SE/4 SW/4 of 31-12N-24W, aol</x:t>
        </x:is>
      </x:c>
      <x:c r="J209" s="538" t="inlineStr">
        <x:is>
          <x:t xml:space="preserve">ARTI, An undivided 7/48ths interest
(5.8333 min. ac.)</x:t>
        </x:is>
      </x:c>
      <x:c r="K209" s="518" t="e">
        <x:f>HYPERLINK("https://okcountyrecords.com/detail/roger+mills/1993-000978","OKCountyRecords: 1993-000978")</x:f>
      </x:c>
      <x:c r="L209" s="519" t="inlineStr">
        <x:is>
          <x:t xml:space="preserve">Mineral; basis Conv Amt(dec). grantor indexed as 'The Public' — confirm source instrument. Gross=tract-map basis.</x:t>
        </x:is>
      </x:c>
      <x:c r="M209" s="519" t="inlineStr">
        <x:is>
          <x:t xml:space="preserve">REVIEW</x:t>
        </x:is>
      </x:c>
      <x:c r="N209" s="519" t="inlineStr">
        <x:is>
          <x:t xml:space="preserve">Confirm conveyed mineral acreage from instrument image — named party indexed under 'The Public' (affidavit/notice); identity resolved.</x:t>
        </x:is>
      </x:c>
      <x:c r="O209" s="519" t="inlineStr">
        <x:is>
          <x:t xml:space="preserve">OUTSIDE LANDS</x:t>
        </x:is>
      </x:c>
      <x:c r="P209" s="520" t="inlineStr">
        <x:is>
          <x:t xml:space="preserve">Chain — title support (succession/entity/probate)</x:t>
        </x:is>
      </x:c>
      <x:c r="Q209" s="520" t="inlineStr">
        <x:is>
          <x:t xml:space="preserve">Yes</x:t>
        </x:is>
      </x:c>
      <x:c r="R209" s="520" t="inlineStr">
        <x:is>
          <x:t xml:space="preserve">No</x:t>
        </x:is>
      </x:c>
      <x:c r="S209" s="520" t="inlineStr">
        <x:is>
          <x:t xml:space="preserve">Yes</x:t>
        </x:is>
      </x:c>
      <x:c r="T209" s="520" t="inlineStr">
        <x:is>
          <x:t xml:space="preserve">No</x:t>
        </x:is>
      </x:c>
      <x:c r="U209" s="520" t="inlineStr">
        <x:is>
          <x:t xml:space="preserve">Yes: 5 (legal supports)</x:t>
        </x:is>
      </x:c>
      <x:c r="V209" s="520" t="inlineStr">
        <x:is>
          <x:t xml:space="preserve">High</x:t>
        </x:is>
      </x:c>
      <x:c r="W209" s="520" t="inlineStr">
        <x:is>
          <x:t xml:space="preserve">Probable — name-normalized match to Runsheet 193 grantee; confirm</x:t>
        </x:is>
      </x:c>
      <x:c r="X209" s="520" t="inlineStr">
        <x:is>
          <x:t xml:space="preserve">Yes — on Tract 5 owner list</x:t>
        </x:is>
      </x:c>
      <x:c r="Y209" s="520" t="inlineStr">
        <x:is>
          <x:t xml:space="preserve">Candidate 1 (helper — confirm from image)</x:t>
        </x:is>
      </x:c>
      <x:c r="Z209" s="520" t="inlineStr">
        <x:is>
          <x:t xml:space="preserve">Medium — helper value</x:t>
        </x:is>
      </x:c>
      <x:c r="AA209" s="520" t="inlineStr">
        <x:is>
          <x:t xml:space="preserve">Affidavit of Surviving Join Tena — Joseph Devenas to The Public (1326/88)</x:t>
        </x:is>
      </x:c>
      <x:c r="AB209" s="520" t="inlineStr">
        <x:is>
          <x:t xml:space="preserve">Needs source review: grantor source</x:t>
        </x:is>
      </x:c>
    </x:row>
    <x:row r="210" s="520" customFormat="1" ht="60" customHeight="1">
      <x:c r="A210" s="519" t="inlineStr">
        <x:is>
          <x:t xml:space="preserve">1993-003365</x:t>
        </x:is>
      </x:c>
      <x:c r="B210" s="536" t="n"/>
      <x:c r="C210" s="536" t="inlineStr">
        <x:is>
          <x:t xml:space="preserve">Deed, Conveyance and Assignment</x:t>
        </x:is>
      </x:c>
      <x:c r="D210" s="536" t="inlineStr">
        <x:is>
          <x:t xml:space="preserve">1355/192</x:t>
        </x:is>
      </x:c>
      <x:c r="E210" s="537" t="n">
        <x:v>34199</x:v>
      </x:c>
      <x:c r="F210" s="537" t="n">
        <x:v>34199</x:v>
      </x:c>
      <x:c r="G210" s="538" t="inlineStr">
        <x:is>
          <x:t xml:space="preserve">Transok Gas Company (formerly known as TEX/CON Gas Marketing COMPANY)</x:t>
        </x:is>
      </x:c>
      <x:c r="H210" s="538" t="inlineStr">
        <x:is>
          <x:t xml:space="preserve">West Anadarko Gas Gathering System</x:t>
        </x:is>
      </x:c>
      <x:c r="I210" s="538" t="inlineStr">
        <x:is>
          <x:t xml:space="preserve">All of 31-12N-24W, aol</x:t>
        </x:is>
      </x:c>
      <x:c r="J210" s="538" t="inlineStr">
        <x:is>
          <x:t xml:space="preserve">ARTI</x:t>
        </x:is>
      </x:c>
      <x:c r="K210" s="518" t="e">
        <x:f>HYPERLINK("https://okcountyrecords.com/detail/roger+mills/1993-003365","OKCountyRecords: 1993-003365")</x:f>
      </x:c>
      <x:c r="L210" s="519" t="inlineStr">
        <x:is>
          <x:t xml:space="preserve">Mineral; basis Conv Amt(dec). All-section coverage. Gross=tract-map basis.</x:t>
        </x:is>
      </x:c>
      <x:c r="M210" s="519" t="inlineStr">
        <x:is>
          <x:t xml:space="preserve">CURRENT OWNER SOURCE</x:t>
        </x:is>
      </x:c>
      <x:c r="N210" s="519" t="n"/>
      <x:c r="O210" s="519" t="inlineStr">
        <x:is>
          <x:t xml:space="preserve">OUTSIDE LANDS</x:t>
        </x:is>
      </x:c>
      <x:c r="P210" s="520" t="inlineStr">
        <x:is>
          <x:t xml:space="preserve">Chain — deed (confirm minerals vs surface from instrument)</x:t>
        </x:is>
      </x:c>
      <x:c r="Q210" s="520" t="inlineStr">
        <x:is>
          <x:t xml:space="preserve">Yes</x:t>
        </x:is>
      </x:c>
      <x:c r="R210" s="520" t="inlineStr">
        <x:is>
          <x:t xml:space="preserve">No</x:t>
        </x:is>
      </x:c>
      <x:c r="S210" s="520" t="inlineStr">
        <x:is>
          <x:t xml:space="preserve">Review</x:t>
        </x:is>
      </x:c>
      <x:c r="T210" s="520" t="inlineStr">
        <x:is>
          <x:t xml:space="preserve">No</x:t>
        </x:is>
      </x:c>
      <x:c r="U210" s="520" t="inlineStr">
        <x:is>
          <x:t xml:space="preserve">Yes: 1, 8 (broad legal)</x:t>
        </x:is>
      </x:c>
      <x:c r="V210" s="520" t="inlineStr">
        <x:is>
          <x:t xml:space="preserve">Medium</x:t>
        </x:is>
      </x:c>
      <x:c r="W210" s="520" t="inlineStr">
        <x:is>
          <x:t xml:space="preserve">Review — no exact prior-grantee match</x:t>
        </x:is>
      </x:c>
      <x:c r="X210" s="520" t="inlineStr">
        <x:is>
          <x:t xml:space="preserve">Review</x:t>
        </x:is>
      </x:c>
      <x:c r="Y210" s="520" t="inlineStr">
        <x:is>
          <x:t xml:space="preserve">Candidate 1 (helper — confirm from image)</x:t>
        </x:is>
      </x:c>
      <x:c r="Z210" s="520" t="inlineStr">
        <x:is>
          <x:t xml:space="preserve">Medium — helper value</x:t>
        </x:is>
      </x:c>
      <x:c r="AA210" s="520" t="inlineStr">
        <x:is>
          <x:t xml:space="preserve">Deed, Conveyance and Assignment — Transok Gas Company (formerly to West Anadarko Gas Gathering Sy (1355/192)</x:t>
        </x:is>
      </x:c>
      <x:c r="AB210" s="520" t="inlineStr">
        <x:is>
          <x:t xml:space="preserve">Needs source review: grantor source</x:t>
        </x:is>
      </x:c>
    </x:row>
    <x:row r="211" s="520" customFormat="1" ht="60" customHeight="1">
      <x:c r="A211" s="519" t="inlineStr">
        <x:is>
          <x:t xml:space="preserve">1994-004940</x:t>
        </x:is>
      </x:c>
      <x:c r="B211" s="536" t="n"/>
      <x:c r="C211" s="536" t="inlineStr">
        <x:is>
          <x:t xml:space="preserve">Order and Decree</x:t>
        </x:is>
      </x:c>
      <x:c r="D211" s="536" t="inlineStr">
        <x:is>
          <x:t xml:space="preserve">1405/223</x:t>
        </x:is>
      </x:c>
      <x:c r="E211" s="537" t="n">
        <x:v>34452</x:v>
      </x:c>
      <x:c r="F211" s="537" t="n">
        <x:v>34452</x:v>
      </x:c>
      <x:c r="G211" s="538" t="inlineStr">
        <x:is>
          <x:t xml:space="preserve">Beckham County Court,
RE: In the Matter of the Estate of Gladys R. Priest, Deceased</x:t>
        </x:is>
      </x:c>
      <x:c r="H211" s="538" t="inlineStr">
        <x:is>
          <x:t xml:space="preserve">Alfred W. Standiford, 1/6,
Kimberly D. Standiford, 1/6,
Joe Devenas, Jr., 1/6,
Paul Devenas, 1/6,
Betty L. Stewart, 1/6</x:t>
        </x:is>
      </x:c>
      <x:c r="I211" s="538" t="inlineStr">
        <x:is>
          <x:t xml:space="preserve">SE/4 SW/4 of 31-12N-24W, aol</x:t>
        </x:is>
      </x:c>
      <x:c r="J211" s="538" t="inlineStr">
        <x:is>
          <x:t xml:space="preserve">ARTI, An undivided 5.83333 mineral acres</x:t>
        </x:is>
      </x:c>
      <x:c r="K211" s="539" t="e">
        <x:f>HYPERLINK("https://okcountyrecords.com/detail/roger+mills/1994-004940","OKCountyRecords: 1994-004940")</x:f>
      </x:c>
      <x:c r="L211" s="519" t="inlineStr">
        <x:is>
          <x:t xml:space="preserve">Mineral; basis Conv Amt(dec). Gross=tract-map basis.</x:t>
        </x:is>
      </x:c>
      <x:c r="M211" s="519" t="inlineStr">
        <x:is>
          <x:t xml:space="preserve">CURRENT OWNER SOURCE</x:t>
        </x:is>
      </x:c>
      <x:c r="N211" s="519" t="n"/>
      <x:c r="O211" s="519" t="inlineStr">
        <x:is>
          <x:t xml:space="preserve">OUTSIDE LANDS</x:t>
        </x:is>
      </x:c>
      <x:c r="P211" s="520" t="inlineStr">
        <x:is>
          <x:t xml:space="preserve">Chain — title support (succession/entity/probate)</x:t>
        </x:is>
      </x:c>
      <x:c r="Q211" s="520" t="inlineStr">
        <x:is>
          <x:t xml:space="preserve">Yes</x:t>
        </x:is>
      </x:c>
      <x:c r="R211" s="520" t="inlineStr">
        <x:is>
          <x:t xml:space="preserve">No</x:t>
        </x:is>
      </x:c>
      <x:c r="S211" s="520" t="inlineStr">
        <x:is>
          <x:t xml:space="preserve">Yes</x:t>
        </x:is>
      </x:c>
      <x:c r="T211" s="520" t="inlineStr">
        <x:is>
          <x:t xml:space="preserve">No</x:t>
        </x:is>
      </x:c>
      <x:c r="U211" s="520" t="inlineStr">
        <x:is>
          <x:t xml:space="preserve">Yes: 5 (legal supports)</x:t>
        </x:is>
      </x:c>
      <x:c r="V211" s="520" t="inlineStr">
        <x:is>
          <x:t xml:space="preserve">High</x:t>
        </x:is>
      </x:c>
      <x:c r="W211" s="520" t="inlineStr">
        <x:is>
          <x:t xml:space="preserve">Review — no exact prior-grantee match</x:t>
        </x:is>
      </x:c>
      <x:c r="X211" s="520" t="inlineStr">
        <x:is>
          <x:t xml:space="preserve">Review</x:t>
        </x:is>
      </x:c>
      <x:c r="Y211" s="520" t="inlineStr">
        <x:is>
          <x:t xml:space="preserve">Candidate 1 (helper — confirm from image)</x:t>
        </x:is>
      </x:c>
      <x:c r="Z211" s="520" t="inlineStr">
        <x:is>
          <x:t xml:space="preserve">Medium — helper value</x:t>
        </x:is>
      </x:c>
      <x:c r="AA211" s="520" t="inlineStr">
        <x:is>
          <x:t xml:space="preserve">Order and Decree — Beckham County Court, to Alfred W. Standiford, 1/6, (1405/223)</x:t>
        </x:is>
      </x:c>
      <x:c r="AB211" s="520" t="inlineStr">
        <x:is>
          <x:t xml:space="preserve">Needs source review: grantor source</x:t>
        </x:is>
      </x:c>
    </x:row>
    <x:row r="212" s="520" customFormat="1" ht="48" customHeight="1">
      <x:c r="A212" s="519" t="inlineStr">
        <x:is>
          <x:t xml:space="preserve">1994-006415</x:t>
        </x:is>
      </x:c>
      <x:c r="B212" s="536" t="n"/>
      <x:c r="C212" s="536" t="inlineStr">
        <x:is>
          <x:t xml:space="preserve">Mineral Deed</x:t>
        </x:is>
      </x:c>
      <x:c r="D212" s="536" t="inlineStr">
        <x:is>
          <x:t xml:space="preserve">1422/9</x:t>
        </x:is>
      </x:c>
      <x:c r="E212" s="537" t="n">
        <x:v>34542</x:v>
      </x:c>
      <x:c r="F212" s="537" t="n">
        <x:v>34542</x:v>
      </x:c>
      <x:c r="G212" s="538" t="inlineStr">
        <x:is>
          <x:t xml:space="preserve">Hayhurst Oil Properties, Inc.</x:t>
        </x:is>
      </x:c>
      <x:c r="H212" s="538" t="inlineStr">
        <x:is>
          <x:t xml:space="preserve">Nam Corporation, 1/2,
Tripco, Inc., 1/2</x:t>
        </x:is>
      </x:c>
      <x:c r="I212" s="538" t="inlineStr">
        <x:is>
          <x:t xml:space="preserve">E/2 NW/4, N/2 NE/4 SW/4, NE/4 SE/4, SE/4 NE/4 of 31-12N-24W, aol</x:t>
        </x:is>
      </x:c>
      <x:c r="J212" s="538" t="inlineStr">
        <x:is>
          <x:t xml:space="preserve">2/260 interest in 2 sections</x:t>
        </x:is>
      </x:c>
      <x:c r="K212" s="518" t="e">
        <x:f>HYPERLINK("https://okcountyrecords.com/detail/roger+mills/1994-006415","OKCountyRecords: 1994-006415")</x:f>
      </x:c>
      <x:c r="L212" s="519" t="inlineStr">
        <x:is>
          <x:t xml:space="preserve">Mineral; basis Conv Amt(dec). Gross=tract-map basis.</x:t>
        </x:is>
      </x:c>
      <x:c r="M212" s="519" t="inlineStr">
        <x:is>
          <x:t xml:space="preserve">CURRENT OWNER SOURCE</x:t>
        </x:is>
      </x:c>
      <x:c r="N212" s="519" t="n"/>
      <x:c r="O212" s="519" t="inlineStr">
        <x:is>
          <x:t xml:space="preserve">OUTSIDE LANDS</x:t>
        </x:is>
      </x:c>
      <x:c r="P212" s="520" t="inlineStr">
        <x:is>
          <x:t xml:space="preserve">Chain — minerals</x:t>
        </x:is>
      </x:c>
      <x:c r="Q212" s="520" t="inlineStr">
        <x:is>
          <x:t xml:space="preserve">Yes</x:t>
        </x:is>
      </x:c>
      <x:c r="R212" s="520" t="inlineStr">
        <x:is>
          <x:t xml:space="preserve">No</x:t>
        </x:is>
      </x:c>
      <x:c r="S212" s="520" t="inlineStr">
        <x:is>
          <x:t xml:space="preserve">Yes</x:t>
        </x:is>
      </x:c>
      <x:c r="T212" s="520" t="inlineStr">
        <x:is>
          <x:t xml:space="preserve">No</x:t>
        </x:is>
      </x:c>
      <x:c r="U212" s="520" t="inlineStr">
        <x:is>
          <x:t xml:space="preserve">Legal maps to 1, 3, 4, 7, 10; helper says 1, 3, 4, 7, 8</x:t>
        </x:is>
      </x:c>
      <x:c r="V212" s="520" t="inlineStr">
        <x:is>
          <x:t xml:space="preserve">Review</x:t>
        </x:is>
      </x:c>
      <x:c r="W212" s="520" t="inlineStr">
        <x:is>
          <x:t xml:space="preserve">Yes — prior grantee match</x:t>
        </x:is>
      </x:c>
      <x:c r="X212" s="520" t="inlineStr">
        <x:is>
          <x:t xml:space="preserve">Review</x:t>
        </x:is>
      </x:c>
      <x:c r="Y212" s="520" t="inlineStr">
        <x:is>
          <x:t xml:space="preserve">Candidate 0.00769230769230769 (helper — confirm from image)</x:t>
        </x:is>
      </x:c>
      <x:c r="Z212" s="520" t="inlineStr">
        <x:is>
          <x:t xml:space="preserve">Medium — helper value</x:t>
        </x:is>
      </x:c>
      <x:c r="AA212" s="520" t="inlineStr">
        <x:is>
          <x:t xml:space="preserve">Mineral Deed — Hayhurst Oil Properties, Inc. to Nam Corporation, 1/2, (1422/9)</x:t>
        </x:is>
      </x:c>
      <x:c r="AB212" s="520" t="inlineStr">
        <x:is>
          <x:t xml:space="preserve">Needs source review: tract</x:t>
        </x:is>
      </x:c>
    </x:row>
    <x:row r="213" s="520" customFormat="1" ht="48" customHeight="1">
      <x:c r="A213" s="519" t="inlineStr">
        <x:is>
          <x:t xml:space="preserve">1995-003404</x:t>
        </x:is>
      </x:c>
      <x:c r="B213" s="536" t="n"/>
      <x:c r="C213" s="536" t="inlineStr">
        <x:is>
          <x:t xml:space="preserve">Mineral Deed</x:t>
        </x:is>
      </x:c>
      <x:c r="D213" s="536" t="inlineStr">
        <x:is>
          <x:t xml:space="preserve">1457/173</x:t>
        </x:is>
      </x:c>
      <x:c r="E213" s="537" t="n">
        <x:v>34754</x:v>
      </x:c>
      <x:c r="F213" s="537" t="n">
        <x:v>34754</x:v>
      </x:c>
      <x:c r="G213" s="538" t="inlineStr">
        <x:is>
          <x:t xml:space="preserve">Tripco, Inc.</x:t>
        </x:is>
      </x:c>
      <x:c r="H213" s="538" t="inlineStr">
        <x:is>
          <x:t xml:space="preserve">Prudential Securities, C/F Cynthia L. Pipkin I.R.A. Rollover Dated January 23, 1995</x:t>
        </x:is>
      </x:c>
      <x:c r="I213" s="538" t="inlineStr">
        <x:is>
          <x:t xml:space="preserve">E/2 NW/4, N/2 NE/4 SW/4, NE/4 SE/4, SE/4 NE/4 of 31-12N-24W, aol</x:t>
        </x:is>
      </x:c>
      <x:c r="J213" s="538" t="inlineStr">
        <x:is>
          <x:t xml:space="preserve">ARTI</x:t>
        </x:is>
      </x:c>
      <x:c r="K213" s="518" t="e">
        <x:f>HYPERLINK("https://okcountyrecords.com/detail/roger+mills/1995-003404","OKCountyRecords: 1995-003404")</x:f>
      </x:c>
      <x:c r="L213" s="519" t="inlineStr">
        <x:is>
          <x:t xml:space="preserve">Mineral; basis Conv Amt(dec). Gross=tract-map basis.</x:t>
        </x:is>
      </x:c>
      <x:c r="M213" s="519" t="inlineStr">
        <x:is>
          <x:t xml:space="preserve">CURRENT OWNER SOURCE</x:t>
        </x:is>
      </x:c>
      <x:c r="N213" s="519" t="n"/>
      <x:c r="O213" s="519" t="inlineStr">
        <x:is>
          <x:t xml:space="preserve">OUTSIDE LANDS</x:t>
        </x:is>
      </x:c>
      <x:c r="P213" s="520" t="inlineStr">
        <x:is>
          <x:t xml:space="preserve">Chain — minerals</x:t>
        </x:is>
      </x:c>
      <x:c r="Q213" s="520" t="inlineStr">
        <x:is>
          <x:t xml:space="preserve">Yes</x:t>
        </x:is>
      </x:c>
      <x:c r="R213" s="520" t="inlineStr">
        <x:is>
          <x:t xml:space="preserve">No</x:t>
        </x:is>
      </x:c>
      <x:c r="S213" s="520" t="inlineStr">
        <x:is>
          <x:t xml:space="preserve">Yes</x:t>
        </x:is>
      </x:c>
      <x:c r="T213" s="520" t="inlineStr">
        <x:is>
          <x:t xml:space="preserve">No</x:t>
        </x:is>
      </x:c>
      <x:c r="U213" s="520" t="inlineStr">
        <x:is>
          <x:t xml:space="preserve">Legal maps to 1, 3, 4, 7, 10; helper says 1, 3, 4, 7, 8</x:t>
        </x:is>
      </x:c>
      <x:c r="V213" s="520" t="inlineStr">
        <x:is>
          <x:t xml:space="preserve">Review</x:t>
        </x:is>
      </x:c>
      <x:c r="W213" s="520" t="inlineStr">
        <x:is>
          <x:t xml:space="preserve">Review — no exact prior-grantee match</x:t>
        </x:is>
      </x:c>
      <x:c r="X213" s="520" t="inlineStr">
        <x:is>
          <x:t xml:space="preserve">Yes — on Tract 3 owner list</x:t>
        </x:is>
      </x:c>
      <x:c r="Y213" s="520" t="inlineStr">
        <x:is>
          <x:t xml:space="preserve">Candidate 1 (helper — confirm from image)</x:t>
        </x:is>
      </x:c>
      <x:c r="Z213" s="520" t="inlineStr">
        <x:is>
          <x:t xml:space="preserve">Medium — helper value</x:t>
        </x:is>
      </x:c>
      <x:c r="AA213" s="520" t="inlineStr">
        <x:is>
          <x:t xml:space="preserve">Mineral Deed — Tripco, Inc. to Prudential Securities, C/F Cyn (1457/173)</x:t>
        </x:is>
      </x:c>
      <x:c r="AB213" s="520" t="inlineStr">
        <x:is>
          <x:t xml:space="preserve">Needs source review: tract, grantor source</x:t>
        </x:is>
      </x:c>
    </x:row>
    <x:row r="214" s="520" customFormat="1" ht="48" customHeight="1">
      <x:c r="A214" s="519" t="inlineStr">
        <x:is>
          <x:t xml:space="preserve">1995-003767</x:t>
        </x:is>
      </x:c>
      <x:c r="B214" s="536" t="n"/>
      <x:c r="C214" s="536" t="inlineStr">
        <x:is>
          <x:t xml:space="preserve">Quit Claim Deed</x:t>
        </x:is>
      </x:c>
      <x:c r="D214" s="536" t="inlineStr">
        <x:is>
          <x:t xml:space="preserve">1459/583</x:t>
        </x:is>
      </x:c>
      <x:c r="E214" s="537" t="n">
        <x:v>34778</x:v>
      </x:c>
      <x:c r="F214" s="537" t="n">
        <x:v>34778</x:v>
      </x:c>
      <x:c r="G214" s="538" t="inlineStr">
        <x:is>
          <x:t xml:space="preserve">Joseph Devenas</x:t>
        </x:is>
      </x:c>
      <x:c r="H214" s="538" t="inlineStr">
        <x:is>
          <x:t xml:space="preserve">Joseph Devenas, As Trustee of The Joseph Devenas Trust Declaration Dated September 7, 1994</x:t>
        </x:is>
      </x:c>
      <x:c r="I214" s="538" t="inlineStr">
        <x:is>
          <x:t xml:space="preserve">SE/4 SW/4 of 31-12N-24W, aol</x:t>
        </x:is>
      </x:c>
      <x:c r="J214" s="538" t="inlineStr">
        <x:is>
          <x:t xml:space="preserve">ARTI, An undivided 7/48ths interest
(5.8333 min. ac.)</x:t>
        </x:is>
      </x:c>
      <x:c r="K214" s="518" t="e">
        <x:f>HYPERLINK("https://okcountyrecords.com/detail/roger+mills/1995-003767","OKCountyRecords: 1995-003767")</x:f>
      </x:c>
      <x:c r="L214" s="519" t="inlineStr">
        <x:is>
          <x:t xml:space="preserve">Mineral; basis Conv Amt(dec). Gross=tract-map basis.</x:t>
        </x:is>
      </x:c>
      <x:c r="M214" s="519" t="inlineStr">
        <x:is>
          <x:t xml:space="preserve">CURRENT OWNER SOURCE</x:t>
        </x:is>
      </x:c>
      <x:c r="N214" s="519" t="n"/>
      <x:c r="O214" s="519" t="inlineStr">
        <x:is>
          <x:t xml:space="preserve">OUTSIDE LANDS</x:t>
        </x:is>
      </x:c>
      <x:c r="P214" s="520" t="inlineStr">
        <x:is>
          <x:t xml:space="preserve">Chain — deed (confirm minerals vs surface from instrument)</x:t>
        </x:is>
      </x:c>
      <x:c r="Q214" s="520" t="inlineStr">
        <x:is>
          <x:t xml:space="preserve">Yes</x:t>
        </x:is>
      </x:c>
      <x:c r="R214" s="520" t="inlineStr">
        <x:is>
          <x:t xml:space="preserve">No</x:t>
        </x:is>
      </x:c>
      <x:c r="S214" s="520" t="inlineStr">
        <x:is>
          <x:t xml:space="preserve">Review</x:t>
        </x:is>
      </x:c>
      <x:c r="T214" s="520" t="inlineStr">
        <x:is>
          <x:t xml:space="preserve">No</x:t>
        </x:is>
      </x:c>
      <x:c r="U214" s="520" t="inlineStr">
        <x:is>
          <x:t xml:space="preserve">Yes: 5 (legal supports)</x:t>
        </x:is>
      </x:c>
      <x:c r="V214" s="520" t="inlineStr">
        <x:is>
          <x:t xml:space="preserve">High</x:t>
        </x:is>
      </x:c>
      <x:c r="W214" s="520" t="inlineStr">
        <x:is>
          <x:t xml:space="preserve">Probable — name-normalized match to Runsheet 193 grantee; confirm</x:t>
        </x:is>
      </x:c>
      <x:c r="X214" s="520" t="inlineStr">
        <x:is>
          <x:t xml:space="preserve">Yes — on Tract 5 owner list</x:t>
        </x:is>
      </x:c>
      <x:c r="Y214" s="520" t="inlineStr">
        <x:is>
          <x:t xml:space="preserve">Candidate 1 (helper — confirm from image)</x:t>
        </x:is>
      </x:c>
      <x:c r="Z214" s="520" t="inlineStr">
        <x:is>
          <x:t xml:space="preserve">Medium — helper value</x:t>
        </x:is>
      </x:c>
      <x:c r="AA214" s="520" t="inlineStr">
        <x:is>
          <x:t xml:space="preserve">Quit Claim Deed — Joseph Devenas to Joseph Devenas, As Trustee of (1459/583)</x:t>
        </x:is>
      </x:c>
      <x:c r="AB214" s="520" t="inlineStr">
        <x:is>
          <x:t xml:space="preserve">Needs source review: grantor source</x:t>
        </x:is>
      </x:c>
    </x:row>
    <x:row r="215" s="520" customFormat="1" ht="72" customHeight="1">
      <x:c r="A215" s="519" t="inlineStr">
        <x:is>
          <x:t xml:space="preserve">1995-000396</x:t>
        </x:is>
      </x:c>
      <x:c r="B215" s="536" t="n"/>
      <x:c r="C215" s="536" t="inlineStr">
        <x:is>
          <x:t xml:space="preserve">Mineral Deed</x:t>
        </x:is>
      </x:c>
      <x:c r="D215" s="536" t="inlineStr">
        <x:is>
          <x:t xml:space="preserve">1470/59</x:t>
        </x:is>
      </x:c>
      <x:c r="E215" s="537" t="n">
        <x:v>34920</x:v>
      </x:c>
      <x:c r="F215" s="537" t="n">
        <x:v>34920</x:v>
      </x:c>
      <x:c r="G215" s="538" t="inlineStr">
        <x:is>
          <x:t xml:space="preserve">Alpine Oil and Royalty Co, Inc.</x:t>
        </x:is>
      </x:c>
      <x:c r="H215" s="538" t="inlineStr">
        <x:is>
          <x:t xml:space="preserve">Melinda McCaul Mulvihill, Executor of the Estate of Dwight J. Wilson, deceased</x:t>
        </x:is>
      </x:c>
      <x:c r="I215" s="538" t="inlineStr">
        <x:is>
          <x:t xml:space="preserve">NW/4 SE/4, SW/4 NE/4, S/2 SE/4 of 31-12N-24W, aol</x:t>
        </x:is>
      </x:c>
      <x:c r="J215" s="538" t="inlineStr">
        <x:is>
          <x:t xml:space="preserve">ARTI
It is the intention of the Grantor to grant, bargain, sell, convey, transfer, assign and deliver unto aboved named Grantees, all the right title and interest in the above described land held in the name of Alpine Oil &amp; Royalty Co., Inc, Alpine Oil &amp; Royalty, Alpine Oil &amp; Royalty Co., or Alpine Royalty, all being one and the same company, and Alpine Investments, Inc.or Union Royalty Company.</x:t>
        </x:is>
      </x:c>
      <x:c r="K215" s="518" t="e">
        <x:f>HYPERLINK("https://okcountyrecords.com/detail/roger+mills/1995-000396","OKCountyRecords: 1995-000396")</x:f>
      </x:c>
      <x:c r="L215" s="519" t="inlineStr">
        <x:is>
          <x:t xml:space="preserve">Mineral; basis Conv Amt(dec). Gross=tract-map basis.</x:t>
        </x:is>
      </x:c>
      <x:c r="M215" s="519" t="inlineStr">
        <x:is>
          <x:t xml:space="preserve">CURRENT OWNER SOURCE</x:t>
        </x:is>
      </x:c>
      <x:c r="N215" s="519" t="n"/>
      <x:c r="O215" s="519" t="inlineStr">
        <x:is>
          <x:t xml:space="preserve">OUTSIDE LANDS</x:t>
        </x:is>
      </x:c>
      <x:c r="P215" s="520" t="inlineStr">
        <x:is>
          <x:t xml:space="preserve">Chain — minerals</x:t>
        </x:is>
      </x:c>
      <x:c r="Q215" s="520" t="inlineStr">
        <x:is>
          <x:t xml:space="preserve">Yes</x:t>
        </x:is>
      </x:c>
      <x:c r="R215" s="520" t="inlineStr">
        <x:is>
          <x:t xml:space="preserve">No</x:t>
        </x:is>
      </x:c>
      <x:c r="S215" s="520" t="inlineStr">
        <x:is>
          <x:t xml:space="preserve">Yes</x:t>
        </x:is>
      </x:c>
      <x:c r="T215" s="520" t="inlineStr">
        <x:is>
          <x:t xml:space="preserve">No</x:t>
        </x:is>
      </x:c>
      <x:c r="U215" s="520" t="inlineStr">
        <x:is>
          <x:t xml:space="preserve">Yes: 2 (legal supports)</x:t>
        </x:is>
      </x:c>
      <x:c r="V215" s="520" t="inlineStr">
        <x:is>
          <x:t xml:space="preserve">High</x:t>
        </x:is>
      </x:c>
      <x:c r="W215" s="520" t="inlineStr">
        <x:is>
          <x:t xml:space="preserve">Review — no exact prior-grantee match</x:t>
        </x:is>
      </x:c>
      <x:c r="X215" s="520" t="inlineStr">
        <x:is>
          <x:t xml:space="preserve">Yes — on Tract 2 owner list</x:t>
        </x:is>
      </x:c>
      <x:c r="Y215" s="520" t="inlineStr">
        <x:is>
          <x:t xml:space="preserve">Candidate 1 (helper — confirm from image)</x:t>
        </x:is>
      </x:c>
      <x:c r="Z215" s="520" t="inlineStr">
        <x:is>
          <x:t xml:space="preserve">Medium — helper value</x:t>
        </x:is>
      </x:c>
      <x:c r="AA215" s="520" t="inlineStr">
        <x:is>
          <x:t xml:space="preserve">Mineral Deed — Alpine Oil and Royalty Co, Inc to Melinda McCaul Mulvihill, Exec (1470/59)</x:t>
        </x:is>
      </x:c>
      <x:c r="AB215" s="520" t="inlineStr">
        <x:is>
          <x:t xml:space="preserve">Needs source review: grantor source</x:t>
        </x:is>
      </x:c>
    </x:row>
    <x:row r="216" s="520" customFormat="1" ht="108" customHeight="1">
      <x:c r="A216" s="519" t="inlineStr">
        <x:is>
          <x:t xml:space="preserve">1995-000748</x:t>
        </x:is>
      </x:c>
      <x:c r="B216" s="536" t="n"/>
      <x:c r="C216" s="536" t="inlineStr">
        <x:is>
          <x:t xml:space="preserve">Quit Claim Mineral Deed</x:t>
        </x:is>
      </x:c>
      <x:c r="D216" s="536" t="inlineStr">
        <x:is>
          <x:t xml:space="preserve">1471/574</x:t>
        </x:is>
      </x:c>
      <x:c r="E216" s="537" t="n">
        <x:v>34950</x:v>
      </x:c>
      <x:c r="F216" s="537" t="n">
        <x:v>34950</x:v>
      </x:c>
      <x:c r="G216" s="538" t="inlineStr">
        <x:is>
          <x:t xml:space="preserve">Charles R. Atha, a/k/a Charles Atha and Letty Atha, HW</x:t>
        </x:is>
      </x:c>
      <x:c r="H216" s="538" t="inlineStr">
        <x:is>
          <x:t xml:space="preserve">Charles R. Atha, a/k/a Charles Atha and Letty Atha, HW, JTWROS</x:t>
        </x:is>
      </x:c>
      <x:c r="I216" s="538" t="inlineStr">
        <x:is>
          <x:t xml:space="preserve">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 aol</x:t>
        </x:is>
      </x:c>
      <x:c r="J216" s="538" t="inlineStr">
        <x:is>
          <x:t xml:space="preserve">ARTI in minerals</x:t>
        </x:is>
      </x:c>
      <x:c r="K216" s="518" t="e">
        <x:f>HYPERLINK("https://okcountyrecords.com/detail/roger+mills/1995-000748","OKCountyRecords: 1995-000748")</x:f>
      </x:c>
      <x:c r="L216" s="519" t="inlineStr">
        <x:is>
          <x:t xml:space="preserve">Mineral; basis Conv Amt(dec). Gross=tract-map basis.</x:t>
        </x:is>
      </x:c>
      <x:c r="M216" s="519" t="n"/>
      <x:c r="N216" s="519" t="n"/>
      <x:c r="O216" s="519" t="inlineStr">
        <x:is>
          <x:t xml:space="preserve">OUTSIDE LANDS</x:t>
        </x:is>
      </x:c>
      <x:c r="P216" s="520" t="inlineStr">
        <x:is>
          <x:t xml:space="preserve">Chain — minerals</x:t>
        </x:is>
      </x:c>
      <x:c r="Q216" s="520" t="inlineStr">
        <x:is>
          <x:t xml:space="preserve">Yes</x:t>
        </x:is>
      </x:c>
      <x:c r="R216" s="520" t="inlineStr">
        <x:is>
          <x:t xml:space="preserve">No</x:t>
        </x:is>
      </x:c>
      <x:c r="S216" s="520" t="inlineStr">
        <x:is>
          <x:t xml:space="preserve">Yes</x:t>
        </x:is>
      </x:c>
      <x:c r="T216" s="520" t="inlineStr">
        <x:is>
          <x:t xml:space="preserve">No</x:t>
        </x:is>
      </x:c>
      <x:c r="U216" s="520" t="inlineStr">
        <x:is>
          <x:t xml:space="preserve">Yes: 4, 5 (broad legal)</x:t>
        </x:is>
      </x:c>
      <x:c r="V216" s="520" t="inlineStr">
        <x:is>
          <x:t xml:space="preserve">Medium</x:t>
        </x:is>
      </x:c>
      <x:c r="W216" s="520" t="inlineStr">
        <x:is>
          <x:t xml:space="preserve">Review — no exact prior-grantee match</x:t>
        </x:is>
      </x:c>
      <x:c r="X216" s="520" t="inlineStr">
        <x:is>
          <x:t xml:space="preserve">Yes — on Tract 4 owner list</x:t>
        </x:is>
      </x:c>
      <x:c r="Y216" s="520" t="inlineStr">
        <x:is>
          <x:t xml:space="preserve">Candidate 1 (helper — confirm from image)</x:t>
        </x:is>
      </x:c>
      <x:c r="Z216" s="520" t="inlineStr">
        <x:is>
          <x:t xml:space="preserve">Medium — helper value</x:t>
        </x:is>
      </x:c>
      <x:c r="AA216" s="520" t="inlineStr">
        <x:is>
          <x:t xml:space="preserve">Quit Claim Mineral Deed — Charles R. Atha, a/k/a Charles to Charles R. Atha, a/k/a Charles (1471/574)</x:t>
        </x:is>
      </x:c>
      <x:c r="AB216" s="520" t="inlineStr">
        <x:is>
          <x:t xml:space="preserve">Needs source review: grantor source</x:t>
        </x:is>
      </x:c>
    </x:row>
    <x:row r="217" s="520" customFormat="1" ht="72" customHeight="1">
      <x:c r="A217" s="519" t="inlineStr">
        <x:is>
          <x:t xml:space="preserve">1995-001954</x:t>
        </x:is>
      </x:c>
      <x:c r="B217" s="536" t="n"/>
      <x:c r="C217" s="536" t="inlineStr">
        <x:is>
          <x:t xml:space="preserve">Final Decree</x:t>
        </x:is>
      </x:c>
      <x:c r="D217" s="536" t="inlineStr">
        <x:is>
          <x:t xml:space="preserve">1479/191</x:t>
        </x:is>
      </x:c>
      <x:c r="E217" s="537" t="n">
        <x:v>35038</x:v>
      </x:c>
      <x:c r="F217" s="537" t="n">
        <x:v>35038</x:v>
      </x:c>
      <x:c r="G217" s="538" t="inlineStr">
        <x:is>
          <x:t xml:space="preserve">Kingfisher County Court,
RE: In the Matter of the Estate of Dwight J. Wilson, Deceased</x:t>
        </x:is>
      </x:c>
      <x:c r="H217" s="538" t="inlineStr">
        <x:is>
          <x:t xml:space="preserve">Rogene E. Williams, 28.571%
Rive Lind McCaul, 28.571%
Dwight J. Williams, 14.286%
on T. Williams, Jr., 14.286%
Jan Ann Schroff, 14.286%
Melinda Ann Mulvihill, 14.286%</x:t>
        </x:is>
      </x:c>
      <x:c r="I217" s="538" t="inlineStr">
        <x:is>
          <x:t xml:space="preserve">NW/4 SE/4, S/2 SE/4, SW/4 NE/4 of 31-12N-24W, aol</x:t>
        </x:is>
      </x:c>
      <x:c r="J217" s="538" t="inlineStr">
        <x:is>
          <x:t xml:space="preserve">ARTI, An undivided 10/791.47ths interest in the oil, gas and other minerals</x:t>
        </x:is>
      </x:c>
      <x:c r="K217" s="518" t="e">
        <x:f>HYPERLINK("https://okcountyrecords.com/detail/roger+mills/1995-001954","OKCountyRecords: 1995-001954")</x:f>
      </x:c>
      <x:c r="L217" s="519" t="inlineStr">
        <x:is>
          <x:t xml:space="preserve">Mineral; basis Conv Amt(dec). Gross=tract-map basis.</x:t>
        </x:is>
      </x:c>
      <x:c r="M217" s="519" t="inlineStr">
        <x:is>
          <x:t xml:space="preserve">CURRENT OWNER SOURCE</x:t>
        </x:is>
      </x:c>
      <x:c r="N217" s="519" t="n"/>
      <x:c r="O217" s="519" t="inlineStr">
        <x:is>
          <x:t xml:space="preserve">OUTSIDE LANDS</x:t>
        </x:is>
      </x:c>
      <x:c r="P217" s="520" t="inlineStr">
        <x:is>
          <x:t xml:space="preserve">Chain — title support (succession/entity/probate)</x:t>
        </x:is>
      </x:c>
      <x:c r="Q217" s="520" t="inlineStr">
        <x:is>
          <x:t xml:space="preserve">Yes</x:t>
        </x:is>
      </x:c>
      <x:c r="R217" s="520" t="inlineStr">
        <x:is>
          <x:t xml:space="preserve">No</x:t>
        </x:is>
      </x:c>
      <x:c r="S217" s="520" t="inlineStr">
        <x:is>
          <x:t xml:space="preserve">Yes</x:t>
        </x:is>
      </x:c>
      <x:c r="T217" s="520" t="inlineStr">
        <x:is>
          <x:t xml:space="preserve">No</x:t>
        </x:is>
      </x:c>
      <x:c r="U217" s="520" t="inlineStr">
        <x:is>
          <x:t xml:space="preserve">Yes: 2 (legal supports)</x:t>
        </x:is>
      </x:c>
      <x:c r="V217" s="520" t="inlineStr">
        <x:is>
          <x:t xml:space="preserve">High</x:t>
        </x:is>
      </x:c>
      <x:c r="W217" s="520" t="inlineStr">
        <x:is>
          <x:t xml:space="preserve">Review — no exact prior-grantee match</x:t>
        </x:is>
      </x:c>
      <x:c r="X217" s="520" t="inlineStr">
        <x:is>
          <x:t xml:space="preserve">Review</x:t>
        </x:is>
      </x:c>
      <x:c r="Y217" s="520" t="inlineStr">
        <x:is>
          <x:t xml:space="preserve">Candidate 1 (helper — confirm from image)</x:t>
        </x:is>
      </x:c>
      <x:c r="Z217" s="520" t="inlineStr">
        <x:is>
          <x:t xml:space="preserve">Medium — helper value</x:t>
        </x:is>
      </x:c>
      <x:c r="AA217" s="520" t="inlineStr">
        <x:is>
          <x:t xml:space="preserve">Final Decree — Kingfisher County Court, to Rogene E. Williams, 28.571% (1479/191)</x:t>
        </x:is>
      </x:c>
      <x:c r="AB217" s="520" t="inlineStr">
        <x:is>
          <x:t xml:space="preserve">Needs source review: grantor source</x:t>
        </x:is>
      </x:c>
    </x:row>
    <x:row r="218" s="520" customFormat="1" ht="48" customHeight="1">
      <x:c r="A218" s="519" t="inlineStr">
        <x:is>
          <x:t xml:space="preserve">1997-006370</x:t>
        </x:is>
      </x:c>
      <x:c r="B218" s="536" t="n"/>
      <x:c r="C218" s="536" t="inlineStr">
        <x:is>
          <x:t xml:space="preserve">Quit Claim Deed</x:t>
        </x:is>
      </x:c>
      <x:c r="D218" s="536" t="inlineStr">
        <x:is>
          <x:t xml:space="preserve">1510/566</x:t>
        </x:is>
      </x:c>
      <x:c r="E218" s="537" t="n">
        <x:v>35430</x:v>
      </x:c>
      <x:c r="F218" s="537" t="n">
        <x:v>35432</x:v>
      </x:c>
      <x:c r="G218" s="538" t="inlineStr">
        <x:is>
          <x:t xml:space="preserve">Eula Cross, also known as Eula G. Cross, a single person</x:t>
        </x:is>
      </x:c>
      <x:c r="H218" s="538" t="inlineStr">
        <x:is>
          <x:t xml:space="preserve">Patsy J. Crouse</x:t>
        </x:is>
      </x:c>
      <x:c r="I218" s="538" t="inlineStr">
        <x:is>
          <x:t xml:space="preserve">NE/4 of 31-12N-24W, aol</x:t>
        </x:is>
      </x:c>
      <x:c r="J218" s="538" t="inlineStr">
        <x:is>
          <x:t xml:space="preserve">ARTI</x:t>
        </x:is>
      </x:c>
      <x:c r="K218" s="539" t="e">
        <x:f>HYPERLINK("https://okcountyrecords.com/detail/roger+mills/1997-006370","OKCountyRecords: 1997-006370")</x:f>
      </x:c>
      <x:c r="L218" s="519" t="inlineStr">
        <x:is>
          <x:t xml:space="preserve">Mineral; basis Conv Amt(dec). Gross=tract-map basis.</x:t>
        </x:is>
      </x:c>
      <x:c r="M218" s="519" t="inlineStr">
        <x:is>
          <x:t xml:space="preserve">CURRENT OWNER SOURCE</x:t>
        </x:is>
      </x:c>
      <x:c r="N218" s="519" t="n"/>
      <x:c r="O218" s="519" t="inlineStr">
        <x:is>
          <x:t xml:space="preserve">OUTSIDE LANDS</x:t>
        </x:is>
      </x:c>
      <x:c r="P218" s="520" t="inlineStr">
        <x:is>
          <x:t xml:space="preserve">Chain — deed (confirm minerals vs surface from instrument)</x:t>
        </x:is>
      </x:c>
      <x:c r="Q218" s="520" t="inlineStr">
        <x:is>
          <x:t xml:space="preserve">Yes</x:t>
        </x:is>
      </x:c>
      <x:c r="R218" s="520" t="inlineStr">
        <x:is>
          <x:t xml:space="preserve">No</x:t>
        </x:is>
      </x:c>
      <x:c r="S218" s="520" t="inlineStr">
        <x:is>
          <x:t xml:space="preserve">Review</x:t>
        </x:is>
      </x:c>
      <x:c r="T218" s="520" t="inlineStr">
        <x:is>
          <x:t xml:space="preserve">No</x:t>
        </x:is>
      </x:c>
      <x:c r="U218" s="520" t="inlineStr">
        <x:is>
          <x:t xml:space="preserve">Yes: 1, 2, 3 (broad legal)</x:t>
        </x:is>
      </x:c>
      <x:c r="V218" s="520" t="inlineStr">
        <x:is>
          <x:t xml:space="preserve">Medium</x:t>
        </x:is>
      </x:c>
      <x:c r="W218" s="520" t="inlineStr">
        <x:is>
          <x:t xml:space="preserve">Review — no exact prior-grantee match</x:t>
        </x:is>
      </x:c>
      <x:c r="X218" s="520" t="inlineStr">
        <x:is>
          <x:t xml:space="preserve">Yes — on Tract 3 owner list</x:t>
        </x:is>
      </x:c>
      <x:c r="Y218" s="520" t="inlineStr">
        <x:is>
          <x:t xml:space="preserve">Candidate 1 (helper — confirm from image)</x:t>
        </x:is>
      </x:c>
      <x:c r="Z218" s="520" t="inlineStr">
        <x:is>
          <x:t xml:space="preserve">Medium — helper value</x:t>
        </x:is>
      </x:c>
      <x:c r="AA218" s="520" t="inlineStr">
        <x:is>
          <x:t xml:space="preserve">Quit Claim Deed — Eula Cross, also known as Eula to Patsy J. Crouse (1510/566)</x:t>
        </x:is>
      </x:c>
      <x:c r="AB218" s="520" t="inlineStr">
        <x:is>
          <x:t xml:space="preserve">Needs source review: grantor source</x:t>
        </x:is>
      </x:c>
    </x:row>
    <x:row r="219" s="520" customFormat="1" ht="48" customHeight="1">
      <x:c r="A219" s="519" t="inlineStr">
        <x:is>
          <x:t xml:space="preserve">1997-005183</x:t>
        </x:is>
      </x:c>
      <x:c r="B219" s="536" t="n"/>
      <x:c r="C219" s="536" t="inlineStr">
        <x:is>
          <x:t xml:space="preserve">Quit Claim Deed</x:t>
        </x:is>
      </x:c>
      <x:c r="D219" s="536" t="inlineStr">
        <x:is>
          <x:t xml:space="preserve">1511/32</x:t>
        </x:is>
      </x:c>
      <x:c r="E219" s="537" t="n">
        <x:v>35432</x:v>
      </x:c>
      <x:c r="F219" s="537" t="n">
        <x:v>35433</x:v>
      </x:c>
      <x:c r="G219" s="538" t="inlineStr">
        <x:is>
          <x:t xml:space="preserve">Eula Cross, also known as Eula G. Cross, a single person</x:t>
        </x:is>
      </x:c>
      <x:c r="H219" s="538" t="inlineStr">
        <x:is>
          <x:t xml:space="preserve">Patsy J. Crouse</x:t>
        </x:is>
      </x:c>
      <x:c r="I219" s="538" t="inlineStr">
        <x:is>
          <x:t xml:space="preserve">NE/4 of 31-12N-24W, aol</x:t>
        </x:is>
      </x:c>
      <x:c r="J219" s="538" t="inlineStr">
        <x:is>
          <x:t xml:space="preserve">ARTI</x:t>
        </x:is>
      </x:c>
      <x:c r="K219" s="518" t="e">
        <x:f>HYPERLINK("https://okcountyrecords.com/detail/roger+mills/1997-005183","OKCountyRecords: 1997-005183")</x:f>
      </x:c>
      <x:c r="L219" s="519" t="inlineStr">
        <x:is>
          <x:t xml:space="preserve">Mineral; basis Conv Amt(dec). Gross=tract-map basis.</x:t>
        </x:is>
      </x:c>
      <x:c r="M219" s="519" t="inlineStr">
        <x:is>
          <x:t xml:space="preserve">CURRENT OWNER SOURCE</x:t>
        </x:is>
      </x:c>
      <x:c r="N219" s="519" t="n"/>
      <x:c r="O219" s="519" t="inlineStr">
        <x:is>
          <x:t xml:space="preserve">OUTSIDE LANDS</x:t>
        </x:is>
      </x:c>
      <x:c r="P219" s="520" t="inlineStr">
        <x:is>
          <x:t xml:space="preserve">Chain — deed (confirm minerals vs surface from instrument)</x:t>
        </x:is>
      </x:c>
      <x:c r="Q219" s="520" t="inlineStr">
        <x:is>
          <x:t xml:space="preserve">Yes</x:t>
        </x:is>
      </x:c>
      <x:c r="R219" s="520" t="inlineStr">
        <x:is>
          <x:t xml:space="preserve">No</x:t>
        </x:is>
      </x:c>
      <x:c r="S219" s="520" t="inlineStr">
        <x:is>
          <x:t xml:space="preserve">Review</x:t>
        </x:is>
      </x:c>
      <x:c r="T219" s="520" t="inlineStr">
        <x:is>
          <x:t xml:space="preserve">No</x:t>
        </x:is>
      </x:c>
      <x:c r="U219" s="520" t="inlineStr">
        <x:is>
          <x:t xml:space="preserve">Yes: 1, 2, 3 (broad legal)</x:t>
        </x:is>
      </x:c>
      <x:c r="V219" s="520" t="inlineStr">
        <x:is>
          <x:t xml:space="preserve">Medium</x:t>
        </x:is>
      </x:c>
      <x:c r="W219" s="520" t="inlineStr">
        <x:is>
          <x:t xml:space="preserve">Review — no exact prior-grantee match</x:t>
        </x:is>
      </x:c>
      <x:c r="X219" s="520" t="inlineStr">
        <x:is>
          <x:t xml:space="preserve">Yes — on Tract 3 owner list</x:t>
        </x:is>
      </x:c>
      <x:c r="Y219" s="520" t="inlineStr">
        <x:is>
          <x:t xml:space="preserve">Candidate 1 (helper — confirm from image)</x:t>
        </x:is>
      </x:c>
      <x:c r="Z219" s="520" t="inlineStr">
        <x:is>
          <x:t xml:space="preserve">Medium — helper value</x:t>
        </x:is>
      </x:c>
      <x:c r="AA219" s="520" t="inlineStr">
        <x:is>
          <x:t xml:space="preserve">Quit Claim Deed — Eula Cross, also known as Eula to Patsy J. Crouse (1511/32)</x:t>
        </x:is>
      </x:c>
      <x:c r="AB219" s="520" t="inlineStr">
        <x:is>
          <x:t xml:space="preserve">Needs source review: grantor source</x:t>
        </x:is>
      </x:c>
    </x:row>
    <x:row r="220" s="520" customFormat="1" ht="72" customHeight="1">
      <x:c r="A220" s="519" t="inlineStr">
        <x:is>
          <x:t xml:space="preserve">1997-003023</x:t>
        </x:is>
      </x:c>
      <x:c r="B220" s="536" t="n"/>
      <x:c r="C220" s="536" t="inlineStr">
        <x:is>
          <x:t xml:space="preserve">Warranty Deed</x:t>
        </x:is>
      </x:c>
      <x:c r="D220" s="536" t="inlineStr">
        <x:is>
          <x:t xml:space="preserve">1514/525</x:t>
        </x:is>
      </x:c>
      <x:c r="E220" s="537" t="n">
        <x:v>35479</x:v>
      </x:c>
      <x:c r="F220" s="537" t="n">
        <x:v>35479</x:v>
      </x:c>
      <x:c r="G220" s="538" t="inlineStr">
        <x:is>
          <x:t xml:space="preserve">Eula Cross, a single person</x:t>
        </x:is>
      </x:c>
      <x:c r="H220" s="538" t="inlineStr">
        <x:is>
          <x:t xml:space="preserve">Leonard Herzperg and Mary Alice Herzperg, HW, Jtwors</x:t>
        </x:is>
      </x:c>
      <x:c r="I220" s="538" t="inlineStr">
        <x:is>
          <x:t xml:space="preserve">A tract of land in Lot One 1 of 31-12N-24W described as follows: Beginning at the NW corner of said Lot 1, thence East 420.58 feet, thence South 725 feet, thence West 420.58 feet, and thence North 725 feet to the point of beginning, containing 7 acres, more or less</x:t>
        </x:is>
      </x:c>
      <x:c r="J220" s="538" t="inlineStr">
        <x:is>
          <x:t xml:space="preserve">ARTI
Chain note: source of title — OUTSIDE LANDS 1989-005656 at 1088/5, Beckham County Court,
RE: In the Matter of the Estate of Eula M. Bain, Deceased to Billy Wayne Bain, covering SW/4 NE/4, NW/4 SE/4, S/2 SE/4 of 31-12N-24W, aol, interest stated: ARTI. Confirm source instrument before relying on this conveyance.</x:t>
        </x:is>
      </x:c>
      <x:c r="K220" s="518" t="e">
        <x:f>HYPERLINK("https://okcountyrecords.com/detail/roger+mills/1997-003023","OKCountyRecords: 1997-003023")</x:f>
      </x:c>
      <x:c r="L220" s="519" t="inlineStr">
        <x:is>
          <x:t xml:space="preserve">Mineral; basis Conv Amt(dec). Gross=tract-map basis.</x:t>
        </x:is>
      </x:c>
      <x:c r="M220" s="519" t="inlineStr">
        <x:is>
          <x:t xml:space="preserve">CURRENT OWNER SOURCE</x:t>
        </x:is>
      </x:c>
      <x:c r="N220" s="519" t="n"/>
      <x:c r="O220" s="519" t="inlineStr">
        <x:is>
          <x:t xml:space="preserve">OUTSIDE LANDS</x:t>
        </x:is>
      </x:c>
      <x:c r="P220" s="520" t="inlineStr">
        <x:is>
          <x:t xml:space="preserve">Chain — deed (confirm minerals vs surface from instrument)</x:t>
        </x:is>
      </x:c>
      <x:c r="Q220" s="520" t="inlineStr">
        <x:is>
          <x:t xml:space="preserve">Yes</x:t>
        </x:is>
      </x:c>
      <x:c r="R220" s="520" t="inlineStr">
        <x:is>
          <x:t xml:space="preserve">No</x:t>
        </x:is>
      </x:c>
      <x:c r="S220" s="520" t="inlineStr">
        <x:is>
          <x:t xml:space="preserve">Review</x:t>
        </x:is>
      </x:c>
      <x:c r="T220" s="520" t="inlineStr">
        <x:is>
          <x:t xml:space="preserve">No</x:t>
        </x:is>
      </x:c>
      <x:c r="U220" s="520" t="inlineStr">
        <x:is>
          <x:t xml:space="preserve">Yes: 5 (legal supports)</x:t>
        </x:is>
      </x:c>
      <x:c r="V220" s="520" t="inlineStr">
        <x:is>
          <x:t xml:space="preserve">High</x:t>
        </x:is>
      </x:c>
      <x:c r="W220" s="520" t="inlineStr">
        <x:is>
          <x:t xml:space="preserve">Review — no exact prior-grantee match</x:t>
        </x:is>
      </x:c>
      <x:c r="X220" s="520" t="inlineStr">
        <x:is>
          <x:t xml:space="preserve">Yes — on Tract 5 owner list</x:t>
        </x:is>
      </x:c>
      <x:c r="Y220" s="520" t="inlineStr">
        <x:is>
          <x:t xml:space="preserve">Candidate 1 (helper — confirm from image)</x:t>
        </x:is>
      </x:c>
      <x:c r="Z220" s="520" t="inlineStr">
        <x:is>
          <x:t xml:space="preserve">Medium — helper value</x:t>
        </x:is>
      </x:c>
      <x:c r="AA220" s="520" t="inlineStr">
        <x:is>
          <x:t xml:space="preserve">Warranty Deed — Eula Cross, a single person to Leonard Herzperg and Mary Alic (1514/525)</x:t>
        </x:is>
      </x:c>
      <x:c r="AB220" s="520" t="inlineStr">
        <x:is>
          <x:t xml:space="preserve">Needs source review: grantor source</x:t>
        </x:is>
      </x:c>
    </x:row>
    <x:row r="221" s="520" customFormat="1" ht="108" customHeight="1">
      <x:c r="A221" s="519" t="inlineStr">
        <x:is>
          <x:t xml:space="preserve">1997-004254</x:t>
        </x:is>
      </x:c>
      <x:c r="B221" s="536" t="n"/>
      <x:c r="C221" s="536" t="inlineStr">
        <x:is>
          <x:t xml:space="preserve">Affidavit of Surviving Join Tenant</x:t>
        </x:is>
      </x:c>
      <x:c r="D221" s="536" t="inlineStr">
        <x:is>
          <x:t xml:space="preserve">1522/215</x:t>
        </x:is>
      </x:c>
      <x:c r="E221" s="537" t="n">
        <x:v>35549</x:v>
      </x:c>
      <x:c r="F221" s="537" t="n">
        <x:v>35549</x:v>
      </x:c>
      <x:c r="G221" s="538" t="inlineStr">
        <x:is>
          <x:t xml:space="preserve">Letty Jane Atha, a/k/a Letty Atha</x:t>
        </x:is>
      </x:c>
      <x:c r="H221" s="538" t="inlineStr">
        <x:is>
          <x:t xml:space="preserve">The Public
RE: Charles R. Atha, deceased</x:t>
        </x:is>
      </x:c>
      <x:c r="I221" s="538" t="inlineStr">
        <x:is>
          <x:t xml:space="preserve">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x:t>
        </x:is>
      </x:c>
      <x:c r="J221" s="538" t="inlineStr">
        <x:is>
          <x:t xml:space="preserve">ARTI, Charles R. Atha died intestate on March 12, 1997 Evidence of ownership is by Quit Claim Joint Tenancy Mineral Deed dated August 18, 1995, which deed was filed August 21, 1995, and recorded in Book 1804, Page 440 of the records in the office of the County Clerk of Grady County, Oklahoma, and filed … Full recital in recorded instrument — see Link.</x:t>
        </x:is>
      </x:c>
      <x:c r="K221" s="518" t="e">
        <x:f>HYPERLINK("https://okcountyrecords.com/detail/roger+mills/1997-004254","OKCountyRecords: 1997-004254")</x:f>
      </x:c>
      <x:c r="L221" s="519" t="inlineStr">
        <x:is>
          <x:t xml:space="preserve">Mineral; basis Conv Amt(dec). grantor indexed as 'The Public' — confirm source instrument. Gross=tract-map basis.</x:t>
        </x:is>
      </x:c>
      <x:c r="M221" s="519" t="inlineStr">
        <x:is>
          <x:t xml:space="preserve">REVIEW</x:t>
        </x:is>
      </x:c>
      <x:c r="N221" s="519" t="inlineStr">
        <x:is>
          <x:t xml:space="preserve">Confirm conveyed mineral acreage from instrument image — named party indexed under 'The Public' (affidavit/notice); identity resolved.</x:t>
        </x:is>
      </x:c>
      <x:c r="O221" s="519" t="inlineStr">
        <x:is>
          <x:t xml:space="preserve">MINERAL DEED</x:t>
        </x:is>
      </x:c>
      <x:c r="P221" s="520" t="inlineStr">
        <x:is>
          <x:t xml:space="preserve">Chain — title support (succession/entity/probate)</x:t>
        </x:is>
      </x:c>
      <x:c r="Q221" s="520" t="inlineStr">
        <x:is>
          <x:t xml:space="preserve">Yes</x:t>
        </x:is>
      </x:c>
      <x:c r="R221" s="520" t="inlineStr">
        <x:is>
          <x:t xml:space="preserve">No</x:t>
        </x:is>
      </x:c>
      <x:c r="S221" s="520" t="inlineStr">
        <x:is>
          <x:t xml:space="preserve">Yes</x:t>
        </x:is>
      </x:c>
      <x:c r="T221" s="520" t="inlineStr">
        <x:is>
          <x:t xml:space="preserve">No</x:t>
        </x:is>
      </x:c>
      <x:c r="U221" s="520" t="inlineStr">
        <x:is>
          <x:t xml:space="preserve">Yes: 4, 5 (broad legal)</x:t>
        </x:is>
      </x:c>
      <x:c r="V221" s="520" t="inlineStr">
        <x:is>
          <x:t xml:space="preserve">Medium</x:t>
        </x:is>
      </x:c>
      <x:c r="W221" s="520" t="inlineStr">
        <x:is>
          <x:t xml:space="preserve">Review — no exact prior-grantee match</x:t>
        </x:is>
      </x:c>
      <x:c r="X221" s="520" t="inlineStr">
        <x:is>
          <x:t xml:space="preserve">Yes — on Tract 4 owner list</x:t>
        </x:is>
      </x:c>
      <x:c r="Y221" s="520" t="inlineStr">
        <x:is>
          <x:t xml:space="preserve">Candidate 1 (helper — confirm from image)</x:t>
        </x:is>
      </x:c>
      <x:c r="Z221" s="520" t="inlineStr">
        <x:is>
          <x:t xml:space="preserve">Medium — helper value</x:t>
        </x:is>
      </x:c>
      <x:c r="AA221" s="520" t="inlineStr">
        <x:is>
          <x:t xml:space="preserve">Affidavit of Surviving Join Tena — Letty Jane Atha, a/k/a Letty A to The Public (1522/215)</x:t>
        </x:is>
      </x:c>
      <x:c r="AB221" s="520" t="inlineStr">
        <x:is>
          <x:t xml:space="preserve">Needs source review: grantor source</x:t>
        </x:is>
      </x:c>
    </x:row>
    <x:row r="222" s="520" customFormat="1" ht="60" customHeight="1">
      <x:c r="A222" s="519" t="inlineStr">
        <x:is>
          <x:t xml:space="preserve">1998-000584</x:t>
        </x:is>
      </x:c>
      <x:c r="B222" s="536" t="n"/>
      <x:c r="C222" s="536" t="inlineStr">
        <x:is>
          <x:t xml:space="preserve">Quit Claim Mineral Deed</x:t>
        </x:is>
      </x:c>
      <x:c r="D222" s="536" t="inlineStr">
        <x:is>
          <x:t xml:space="preserve">1564/310</x:t>
        </x:is>
      </x:c>
      <x:c r="E222" s="537" t="n">
        <x:v>36026</x:v>
      </x:c>
      <x:c r="F222" s="537" t="n">
        <x:v>36026</x:v>
      </x:c>
      <x:c r="G222" s="538" t="inlineStr">
        <x:is>
          <x:t xml:space="preserve">Jon T. Williams and Rogene E. Williams, HW</x:t>
        </x:is>
      </x:c>
      <x:c r="H222" s="538" t="inlineStr">
        <x:is>
          <x:t xml:space="preserve">Jon T. Williams and Rogene E. Williams, Trustees of The Jon T. and Rogene E. Williams Trust under Trust Agreement dated April 6, 1998</x:t>
        </x:is>
      </x:c>
      <x:c r="I222" s="538" t="inlineStr">
        <x:is>
          <x:t xml:space="preserve">NW/4 SE/4, S/2 SE/4, SW/4 NE/4 of 31-12N-24W, aol</x:t>
        </x:is>
      </x:c>
      <x:c r="J222" s="538" t="inlineStr">
        <x:is>
          <x:t xml:space="preserve">ARTI</x:t>
        </x:is>
      </x:c>
      <x:c r="K222" s="518" t="e">
        <x:f>HYPERLINK("https://okcountyrecords.com/detail/roger+mills/1998-000584","OKCountyRecords: 1998-000584")</x:f>
      </x:c>
      <x:c r="L222" s="519" t="inlineStr">
        <x:is>
          <x:t xml:space="preserve">Mineral; basis Conv Amt(dec). Gross=tract-map basis.</x:t>
        </x:is>
      </x:c>
      <x:c r="M222" s="519" t="inlineStr">
        <x:is>
          <x:t xml:space="preserve">CURRENT OWNER SOURCE</x:t>
        </x:is>
      </x:c>
      <x:c r="N222" s="519" t="n"/>
      <x:c r="O222" s="519" t="inlineStr">
        <x:is>
          <x:t xml:space="preserve">OUTSIDE LANDS</x:t>
        </x:is>
      </x:c>
      <x:c r="P222" s="520" t="inlineStr">
        <x:is>
          <x:t xml:space="preserve">Chain — minerals</x:t>
        </x:is>
      </x:c>
      <x:c r="Q222" s="520" t="inlineStr">
        <x:is>
          <x:t xml:space="preserve">Yes</x:t>
        </x:is>
      </x:c>
      <x:c r="R222" s="520" t="inlineStr">
        <x:is>
          <x:t xml:space="preserve">No</x:t>
        </x:is>
      </x:c>
      <x:c r="S222" s="520" t="inlineStr">
        <x:is>
          <x:t xml:space="preserve">Yes</x:t>
        </x:is>
      </x:c>
      <x:c r="T222" s="520" t="inlineStr">
        <x:is>
          <x:t xml:space="preserve">No</x:t>
        </x:is>
      </x:c>
      <x:c r="U222" s="520" t="inlineStr">
        <x:is>
          <x:t xml:space="preserve">Yes: 2 (legal supports)</x:t>
        </x:is>
      </x:c>
      <x:c r="V222" s="520" t="inlineStr">
        <x:is>
          <x:t xml:space="preserve">High</x:t>
        </x:is>
      </x:c>
      <x:c r="W222" s="520" t="inlineStr">
        <x:is>
          <x:t xml:space="preserve">Probable — name-normalized match to Runsheet 217 grantee; confirm</x:t>
        </x:is>
      </x:c>
      <x:c r="X222" s="520" t="inlineStr">
        <x:is>
          <x:t xml:space="preserve">Review</x:t>
        </x:is>
      </x:c>
      <x:c r="Y222" s="520" t="inlineStr">
        <x:is>
          <x:t xml:space="preserve">Candidate 1 (helper — confirm from image)</x:t>
        </x:is>
      </x:c>
      <x:c r="Z222" s="520" t="inlineStr">
        <x:is>
          <x:t xml:space="preserve">Medium — helper value</x:t>
        </x:is>
      </x:c>
      <x:c r="AA222" s="520" t="inlineStr">
        <x:is>
          <x:t xml:space="preserve">Quit Claim Mineral Deed — Jon T. Williams and Rogene E. to Jon T. Williams and Rogene E. (1564/310)</x:t>
        </x:is>
      </x:c>
      <x:c r="AB222" s="520" t="inlineStr">
        <x:is>
          <x:t xml:space="preserve">Needs source review: grantor source</x:t>
        </x:is>
      </x:c>
    </x:row>
    <x:row r="223" s="520" customFormat="1" ht="48" customHeight="1">
      <x:c r="A223" s="519" t="inlineStr">
        <x:is>
          <x:t xml:space="preserve">1998-000907</x:t>
        </x:is>
      </x:c>
      <x:c r="B223" s="536" t="n"/>
      <x:c r="C223" s="536" t="inlineStr">
        <x:is>
          <x:t xml:space="preserve">Quit Claim Mineral Deed</x:t>
        </x:is>
      </x:c>
      <x:c r="D223" s="536" t="inlineStr">
        <x:is>
          <x:t xml:space="preserve">1567/245</x:t>
        </x:is>
      </x:c>
      <x:c r="E223" s="537" t="n">
        <x:v>36043</x:v>
      </x:c>
      <x:c r="F223" s="537" t="n">
        <x:v>36059</x:v>
      </x:c>
      <x:c r="G223" s="538" t="inlineStr">
        <x:is>
          <x:t xml:space="preserve">Jan A. Schroff</x:t>
        </x:is>
      </x:c>
      <x:c r="H223" s="538" t="inlineStr">
        <x:is>
          <x:t xml:space="preserve">Jan A. Schroff, Trustee of The Jan A. Schroff Trust under Trust Agreement dated April 8, 1998</x:t>
        </x:is>
      </x:c>
      <x:c r="I223" s="538" t="inlineStr">
        <x:is>
          <x:t xml:space="preserve">NW/4 SE/4, S/2 SE/4, SW/4 NE/4 of 31-12N-24W, aol</x:t>
        </x:is>
      </x:c>
      <x:c r="J223" s="538" t="inlineStr">
        <x:is>
          <x:t xml:space="preserve">ARTI, Jan Ann Schroff, 14.286% ARTI, An undivided 10/791.47ths interest in the oil, gas and other minerals by Final Decree at 1479/191</x:t>
        </x:is>
      </x:c>
      <x:c r="K223" s="518" t="e">
        <x:f>HYPERLINK("https://okcountyrecords.com/detail/roger+mills/1998-000907","OKCountyRecords: 1998-000907")</x:f>
      </x:c>
      <x:c r="L223" s="519" t="inlineStr">
        <x:is>
          <x:t xml:space="preserve">Mineral; basis Conv Amt(dec). Gross=tract-map basis.</x:t>
        </x:is>
      </x:c>
      <x:c r="M223" s="519" t="inlineStr">
        <x:is>
          <x:t xml:space="preserve">CURRENT OWNER SOURCE</x:t>
        </x:is>
      </x:c>
      <x:c r="N223" s="519" t="n"/>
      <x:c r="O223" s="519" t="inlineStr">
        <x:is>
          <x:t xml:space="preserve">OUTSIDE LANDS</x:t>
        </x:is>
      </x:c>
      <x:c r="P223" s="520" t="inlineStr">
        <x:is>
          <x:t xml:space="preserve">Chain — minerals</x:t>
        </x:is>
      </x:c>
      <x:c r="Q223" s="520" t="inlineStr">
        <x:is>
          <x:t xml:space="preserve">Yes</x:t>
        </x:is>
      </x:c>
      <x:c r="R223" s="520" t="inlineStr">
        <x:is>
          <x:t xml:space="preserve">No</x:t>
        </x:is>
      </x:c>
      <x:c r="S223" s="520" t="inlineStr">
        <x:is>
          <x:t xml:space="preserve">Yes</x:t>
        </x:is>
      </x:c>
      <x:c r="T223" s="520" t="inlineStr">
        <x:is>
          <x:t xml:space="preserve">No</x:t>
        </x:is>
      </x:c>
      <x:c r="U223" s="520" t="inlineStr">
        <x:is>
          <x:t xml:space="preserve">Yes: 2 (legal supports)</x:t>
        </x:is>
      </x:c>
      <x:c r="V223" s="520" t="inlineStr">
        <x:is>
          <x:t xml:space="preserve">High</x:t>
        </x:is>
      </x:c>
      <x:c r="W223" s="520" t="inlineStr">
        <x:is>
          <x:t xml:space="preserve">Review — no exact prior-grantee match</x:t>
        </x:is>
      </x:c>
      <x:c r="X223" s="520" t="inlineStr">
        <x:is>
          <x:t xml:space="preserve">Review</x:t>
        </x:is>
      </x:c>
      <x:c r="Y223" s="520" t="inlineStr">
        <x:is>
          <x:t xml:space="preserve">Candidate 1 (helper — confirm from image)</x:t>
        </x:is>
      </x:c>
      <x:c r="Z223" s="520" t="inlineStr">
        <x:is>
          <x:t xml:space="preserve">Medium — helper value</x:t>
        </x:is>
      </x:c>
      <x:c r="AA223" s="520" t="inlineStr">
        <x:is>
          <x:t xml:space="preserve">Quit Claim Mineral Deed — Jan A. Schroff to Jan A. Schroff, Trustee of The (1567/245)</x:t>
        </x:is>
      </x:c>
      <x:c r="AB223" s="520" t="inlineStr">
        <x:is>
          <x:t xml:space="preserve">Needs source review: grantor source</x:t>
        </x:is>
      </x:c>
    </x:row>
    <x:row r="224" s="520" customFormat="1" ht="48" customHeight="1">
      <x:c r="A224" s="519" t="inlineStr">
        <x:is>
          <x:t xml:space="preserve">1999-002220</x:t>
        </x:is>
      </x:c>
      <x:c r="B224" s="536" t="n"/>
      <x:c r="C224" s="536" t="inlineStr">
        <x:is>
          <x:t xml:space="preserve">Mineral Deed</x:t>
        </x:is>
      </x:c>
      <x:c r="D224" s="536" t="inlineStr">
        <x:is>
          <x:t xml:space="preserve">1576/222</x:t>
        </x:is>
      </x:c>
      <x:c r="E224" s="537" t="n">
        <x:v>36175</x:v>
      </x:c>
      <x:c r="F224" s="537" t="n">
        <x:v>36175</x:v>
      </x:c>
      <x:c r="G224" s="538" t="inlineStr">
        <x:is>
          <x:t xml:space="preserve">David Slobin</x:t>
        </x:is>
      </x:c>
      <x:c r="H224" s="538" t="inlineStr">
        <x:is>
          <x:t xml:space="preserve">Myron V. Slobin</x:t>
        </x:is>
      </x:c>
      <x:c r="I224" s="538" t="inlineStr">
        <x:is>
          <x:t xml:space="preserve">NW/4 SE/4, S/2 SE/4, SW/4 NE/4 of 31-12N-24W, aol</x:t>
        </x:is>
      </x:c>
      <x:c r="J224" s="538" t="inlineStr">
        <x:is>
          <x:t xml:space="preserve">An undivided 1/791.47 interest in 2 sections</x:t>
        </x:is>
      </x:c>
      <x:c r="K224" s="518" t="e">
        <x:f>HYPERLINK("https://okcountyrecords.com/detail/roger+mills/1999-002220","OKCountyRecords: 1999-002220")</x:f>
      </x:c>
      <x:c r="L224" s="519" t="inlineStr">
        <x:is>
          <x:t xml:space="preserve">Mineral; basis Conv Amt(dec). Gross=tract-map basis.</x:t>
        </x:is>
      </x:c>
      <x:c r="M224" s="519" t="n"/>
      <x:c r="N224" s="519" t="n"/>
      <x:c r="O224" s="519" t="inlineStr">
        <x:is>
          <x:t xml:space="preserve">OUTSIDE LANDS</x:t>
        </x:is>
      </x:c>
      <x:c r="P224" s="520" t="inlineStr">
        <x:is>
          <x:t xml:space="preserve">Chain — minerals</x:t>
        </x:is>
      </x:c>
      <x:c r="Q224" s="520" t="inlineStr">
        <x:is>
          <x:t xml:space="preserve">Yes</x:t>
        </x:is>
      </x:c>
      <x:c r="R224" s="520" t="inlineStr">
        <x:is>
          <x:t xml:space="preserve">No</x:t>
        </x:is>
      </x:c>
      <x:c r="S224" s="520" t="inlineStr">
        <x:is>
          <x:t xml:space="preserve">Yes</x:t>
        </x:is>
      </x:c>
      <x:c r="T224" s="520" t="inlineStr">
        <x:is>
          <x:t xml:space="preserve">No</x:t>
        </x:is>
      </x:c>
      <x:c r="U224" s="520" t="inlineStr">
        <x:is>
          <x:t xml:space="preserve">Yes: 2 (legal supports)</x:t>
        </x:is>
      </x:c>
      <x:c r="V224" s="520" t="inlineStr">
        <x:is>
          <x:t xml:space="preserve">High</x:t>
        </x:is>
      </x:c>
      <x:c r="W224" s="520" t="inlineStr">
        <x:is>
          <x:t xml:space="preserve">Yes — prior grantee match</x:t>
        </x:is>
      </x:c>
      <x:c r="X224" s="520" t="inlineStr">
        <x:is>
          <x:t xml:space="preserve">Yes — on Tract 2 owner list</x:t>
        </x:is>
      </x:c>
      <x:c r="Y224" s="520" t="inlineStr">
        <x:is>
          <x:t xml:space="preserve">Candidate 0.00126347176772335 (helper — confirm from image)</x:t>
        </x:is>
      </x:c>
      <x:c r="Z224" s="520" t="inlineStr">
        <x:is>
          <x:t xml:space="preserve">Medium — helper value</x:t>
        </x:is>
      </x:c>
      <x:c r="AA224" s="520" t="inlineStr">
        <x:is>
          <x:t xml:space="preserve">Mineral Deed — David Slobin to Myron V. Slobin (1576/222)</x:t>
        </x:is>
      </x:c>
    </x:row>
    <x:row r="225" s="520" customFormat="1" ht="48" customHeight="1">
      <x:c r="A225" s="519" t="inlineStr">
        <x:is>
          <x:t xml:space="preserve">1999-002219</x:t>
        </x:is>
      </x:c>
      <x:c r="B225" s="536" t="n"/>
      <x:c r="C225" s="536" t="inlineStr">
        <x:is>
          <x:t xml:space="preserve">Mineral Deed</x:t>
        </x:is>
      </x:c>
      <x:c r="D225" s="536" t="inlineStr">
        <x:is>
          <x:t xml:space="preserve">1576/219</x:t>
        </x:is>
      </x:c>
      <x:c r="E225" s="537" t="n">
        <x:v>36175</x:v>
      </x:c>
      <x:c r="F225" s="537" t="n">
        <x:v>36175</x:v>
      </x:c>
      <x:c r="G225" s="538" t="inlineStr">
        <x:is>
          <x:t xml:space="preserve">David Slobin</x:t>
        </x:is>
      </x:c>
      <x:c r="H225" s="538" t="inlineStr">
        <x:is>
          <x:t xml:space="preserve">Myron V. Slobin</x:t>
        </x:is>
      </x:c>
      <x:c r="I225" s="538" t="inlineStr">
        <x:is>
          <x:t xml:space="preserve">NW/4 SE/4, S/2 SE/4, SW/4 NE/4 of 31-12N-24W, aol</x:t>
        </x:is>
      </x:c>
      <x:c r="J225" s="538" t="inlineStr">
        <x:is>
          <x:t xml:space="preserve">An undivided 6/791.47 interest in 2 sections</x:t>
        </x:is>
      </x:c>
      <x:c r="K225" s="518" t="e">
        <x:f>HYPERLINK("https://okcountyrecords.com/detail/roger+mills/1999-002219","OKCountyRecords: 1999-002219")</x:f>
      </x:c>
      <x:c r="L225" s="519" t="inlineStr">
        <x:is>
          <x:t xml:space="preserve">Mineral; basis Conv Amt(dec). Gross=tract-map basis.</x:t>
        </x:is>
      </x:c>
      <x:c r="M225" s="519" t="n"/>
      <x:c r="N225" s="519" t="n"/>
      <x:c r="O225" s="519" t="inlineStr">
        <x:is>
          <x:t xml:space="preserve">OUTSIDE LANDS</x:t>
        </x:is>
      </x:c>
      <x:c r="P225" s="520" t="inlineStr">
        <x:is>
          <x:t xml:space="preserve">Chain — minerals</x:t>
        </x:is>
      </x:c>
      <x:c r="Q225" s="520" t="inlineStr">
        <x:is>
          <x:t xml:space="preserve">Yes</x:t>
        </x:is>
      </x:c>
      <x:c r="R225" s="520" t="inlineStr">
        <x:is>
          <x:t xml:space="preserve">No</x:t>
        </x:is>
      </x:c>
      <x:c r="S225" s="520" t="inlineStr">
        <x:is>
          <x:t xml:space="preserve">Yes</x:t>
        </x:is>
      </x:c>
      <x:c r="T225" s="520" t="inlineStr">
        <x:is>
          <x:t xml:space="preserve">No</x:t>
        </x:is>
      </x:c>
      <x:c r="U225" s="520" t="inlineStr">
        <x:is>
          <x:t xml:space="preserve">Yes: 2 (legal supports)</x:t>
        </x:is>
      </x:c>
      <x:c r="V225" s="520" t="inlineStr">
        <x:is>
          <x:t xml:space="preserve">High</x:t>
        </x:is>
      </x:c>
      <x:c r="W225" s="520" t="inlineStr">
        <x:is>
          <x:t xml:space="preserve">Yes — prior grantee match</x:t>
        </x:is>
      </x:c>
      <x:c r="X225" s="520" t="inlineStr">
        <x:is>
          <x:t xml:space="preserve">Yes — on Tract 2 owner list</x:t>
        </x:is>
      </x:c>
      <x:c r="Y225" s="520" t="inlineStr">
        <x:is>
          <x:t xml:space="preserve">Candidate 0.0075808306063401 (helper — confirm from image)</x:t>
        </x:is>
      </x:c>
      <x:c r="Z225" s="520" t="inlineStr">
        <x:is>
          <x:t xml:space="preserve">Medium — helper value</x:t>
        </x:is>
      </x:c>
      <x:c r="AA225" s="520" t="inlineStr">
        <x:is>
          <x:t xml:space="preserve">Mineral Deed — David Slobin to Myron V. Slobin (1576/219)</x:t>
        </x:is>
      </x:c>
    </x:row>
    <x:row r="226" s="520" customFormat="1" ht="60" customHeight="1">
      <x:c r="A226" s="519" t="inlineStr">
        <x:is>
          <x:t xml:space="preserve">1999-002739</x:t>
        </x:is>
      </x:c>
      <x:c r="B226" s="536" t="n"/>
      <x:c r="C226" s="536" t="inlineStr">
        <x:is>
          <x:t xml:space="preserve">Quit Claim Mineral Deed</x:t>
        </x:is>
      </x:c>
      <x:c r="D226" s="536" t="inlineStr">
        <x:is>
          <x:t xml:space="preserve">1579/358</x:t>
        </x:is>
      </x:c>
      <x:c r="E226" s="537" t="n">
        <x:v>36215</x:v>
      </x:c>
      <x:c r="F226" s="537" t="n">
        <x:v>36215</x:v>
      </x:c>
      <x:c r="G226" s="538" t="inlineStr">
        <x:is>
          <x:t xml:space="preserve">Melinda McCaul Mulvihill, a/k/a Melinda Ann McCaul, a single person</x:t>
        </x:is>
      </x:c>
      <x:c r="H226" s="538" t="inlineStr">
        <x:is>
          <x:t xml:space="preserve">Melinda McCaul Mulvihill</x:t>
        </x:is>
      </x:c>
      <x:c r="I226" s="538" t="inlineStr">
        <x:is>
          <x:t xml:space="preserve">NW/4 SE/4, S/2 SE/4, SW/4 NE/4 of 31-12N-24W, aol</x:t>
        </x:is>
      </x:c>
      <x:c r="J226" s="538" t="inlineStr">
        <x:is>
          <x:t xml:space="preserve">ARTI</x:t>
        </x:is>
      </x:c>
      <x:c r="K226" s="518" t="e">
        <x:f>HYPERLINK("https://okcountyrecords.com/detail/roger+mills/1999-002739","OKCountyRecords: 1999-002739")</x:f>
      </x:c>
      <x:c r="L226" s="519" t="inlineStr">
        <x:is>
          <x:t xml:space="preserve">Mineral; basis Conv Amt(dec). Gross=tract-map basis.</x:t>
        </x:is>
      </x:c>
      <x:c r="M226" s="519" t="inlineStr">
        <x:is>
          <x:t xml:space="preserve">CURRENT OWNER SOURCE</x:t>
        </x:is>
      </x:c>
      <x:c r="N226" s="519" t="n"/>
      <x:c r="O226" s="519" t="inlineStr">
        <x:is>
          <x:t xml:space="preserve">OUTSIDE LANDS</x:t>
        </x:is>
      </x:c>
      <x:c r="P226" s="520" t="inlineStr">
        <x:is>
          <x:t xml:space="preserve">Chain — minerals</x:t>
        </x:is>
      </x:c>
      <x:c r="Q226" s="520" t="inlineStr">
        <x:is>
          <x:t xml:space="preserve">Yes</x:t>
        </x:is>
      </x:c>
      <x:c r="R226" s="520" t="inlineStr">
        <x:is>
          <x:t xml:space="preserve">No</x:t>
        </x:is>
      </x:c>
      <x:c r="S226" s="520" t="inlineStr">
        <x:is>
          <x:t xml:space="preserve">Yes</x:t>
        </x:is>
      </x:c>
      <x:c r="T226" s="520" t="inlineStr">
        <x:is>
          <x:t xml:space="preserve">No</x:t>
        </x:is>
      </x:c>
      <x:c r="U226" s="520" t="inlineStr">
        <x:is>
          <x:t xml:space="preserve">Yes: 2 (legal supports)</x:t>
        </x:is>
      </x:c>
      <x:c r="V226" s="520" t="inlineStr">
        <x:is>
          <x:t xml:space="preserve">High</x:t>
        </x:is>
      </x:c>
      <x:c r="W226" s="520" t="inlineStr">
        <x:is>
          <x:t xml:space="preserve">Review — no exact prior-grantee match</x:t>
        </x:is>
      </x:c>
      <x:c r="X226" s="520" t="inlineStr">
        <x:is>
          <x:t xml:space="preserve">Review</x:t>
        </x:is>
      </x:c>
      <x:c r="Y226" s="520" t="inlineStr">
        <x:is>
          <x:t xml:space="preserve">Candidate 1 (helper — confirm from image)</x:t>
        </x:is>
      </x:c>
      <x:c r="Z226" s="520" t="inlineStr">
        <x:is>
          <x:t xml:space="preserve">Medium — helper value</x:t>
        </x:is>
      </x:c>
      <x:c r="AA226" s="520" t="inlineStr">
        <x:is>
          <x:t xml:space="preserve">Quit Claim Mineral Deed — Melinda McCaul Mulvihill, a/k/ to Melinda McCaul Mulvihill (1579/358)</x:t>
        </x:is>
      </x:c>
      <x:c r="AB226" s="520" t="inlineStr">
        <x:is>
          <x:t xml:space="preserve">Needs source review: grantor source</x:t>
        </x:is>
      </x:c>
    </x:row>
    <x:row r="227" s="520" customFormat="1" ht="144" customHeight="1">
      <x:c r="A227" s="519" t="inlineStr">
        <x:is>
          <x:t xml:space="preserve">1999-003117</x:t>
        </x:is>
      </x:c>
      <x:c r="B227" s="536" t="n"/>
      <x:c r="C227" s="536" t="inlineStr">
        <x:is>
          <x:t xml:space="preserve">Affidavit Surviving Joint Tenant</x:t>
        </x:is>
      </x:c>
      <x:c r="D227" s="536" t="inlineStr">
        <x:is>
          <x:t xml:space="preserve">1581/316</x:t>
        </x:is>
      </x:c>
      <x:c r="E227" s="537" t="n">
        <x:v>36250</x:v>
      </x:c>
      <x:c r="F227" s="537" t="n">
        <x:v>36250</x:v>
      </x:c>
      <x:c r="G227" s="538" t="inlineStr">
        <x:is>
          <x:t xml:space="preserve">Ella Pearl Kirk</x:t>
        </x:is>
      </x:c>
      <x:c r="H227" s="538" t="inlineStr">
        <x:is>
          <x:t xml:space="preserve">The Public</x:t>
        </x:is>
      </x:c>
      <x:c r="I227" s="538" t="inlineStr">
        <x:is>
          <x:t xml:space="preserve">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x:t>
        </x:is>
      </x:c>
      <x:c r="J227" s="538" t="inlineStr">
        <x:is>
          <x:t xml:space="preserve">On the 16th day of November, 1977, there was conveyed to GORDON E. KIRK and ELLA PEARL KIRK, Husband and Wife, by Warranty Deed, as joint tenants and not as tenants in common, with full rights of survivorship, which said Deed was recorded in the office of the County Clerk of Roger Mills County, Oklahoma, in Book 227 of Misc. at page 89. GORDON E. KIRK died on the 25th day of May, 1998, and on the said 25th day of May, 1998.</x:t>
        </x:is>
      </x:c>
      <x:c r="K227" s="518" t="e">
        <x:f>HYPERLINK("https://okcountyrecords.com/detail/roger+mills/1999-003117","OKCountyRecords: 1999-003117")</x:f>
      </x:c>
      <x:c r="L227" s="519" t="inlineStr">
        <x:is>
          <x:t xml:space="preserve">Mineral; confirm conveyed amount from instrument image. Gross=tract-map basis.</x:t>
        </x:is>
      </x:c>
      <x:c r="M227" s="519" t="inlineStr">
        <x:is>
          <x:t xml:space="preserve">OK</x:t>
        </x:is>
      </x:c>
      <x:c r="N227" s="519" t="inlineStr">
        <x:is>
          <x:t xml:space="preserve">Resolved into Tract 9: affidavit of surviving joint tenant vests full interest in Ella Pearl Kirk.</x:t>
        </x:is>
      </x:c>
      <x:c r="O227" s="519" t="inlineStr">
        <x:is>
          <x:t xml:space="preserve">MINERAL DEED</x:t>
        </x:is>
      </x:c>
      <x:c r="P227" s="520" t="inlineStr">
        <x:is>
          <x:t xml:space="preserve">Chain — title support (succession/entity/probate)</x:t>
        </x:is>
      </x:c>
      <x:c r="Q227" s="520" t="inlineStr">
        <x:is>
          <x:t xml:space="preserve">Yes</x:t>
        </x:is>
      </x:c>
      <x:c r="R227" s="520" t="inlineStr">
        <x:is>
          <x:t xml:space="preserve">No</x:t>
        </x:is>
      </x:c>
      <x:c r="S227" s="520" t="inlineStr">
        <x:is>
          <x:t xml:space="preserve">Yes</x:t>
        </x:is>
      </x:c>
      <x:c r="T227" s="520" t="inlineStr">
        <x:is>
          <x:t xml:space="preserve">No</x:t>
        </x:is>
      </x:c>
      <x:c r="U227" s="520" t="inlineStr">
        <x:is>
          <x:t xml:space="preserve">Legal maps to 6; helper says 4, 5</x:t>
        </x:is>
      </x:c>
      <x:c r="V227" s="520" t="inlineStr">
        <x:is>
          <x:t xml:space="preserve">Review</x:t>
        </x:is>
      </x:c>
      <x:c r="W227" s="520" t="inlineStr">
        <x:is>
          <x:t xml:space="preserve">Review — no exact prior-grantee match</x:t>
        </x:is>
      </x:c>
      <x:c r="X227" s="520" t="inlineStr">
        <x:is>
          <x:t xml:space="preserve">Yes — on Tract 4 owner list</x:t>
        </x:is>
      </x:c>
      <x:c r="Y227" s="520" t="inlineStr">
        <x:is>
          <x:t xml:space="preserve">Interest amount needs review</x:t>
        </x:is>
      </x:c>
      <x:c r="Z227" s="520" t="inlineStr">
        <x:is>
          <x:t xml:space="preserve">Review</x:t>
        </x:is>
      </x:c>
      <x:c r="AA227" s="520" t="inlineStr">
        <x:is>
          <x:t xml:space="preserve">Affidavit Surviving Joint Tenant — Ella Pearl Kirk to The Public (1581/316)</x:t>
        </x:is>
      </x:c>
      <x:c r="AB227" s="520" t="inlineStr">
        <x:is>
          <x:t xml:space="preserve">Needs source review: tract, grantor source, interest amount</x:t>
        </x:is>
      </x:c>
    </x:row>
    <x:row r="228" s="520" customFormat="1" ht="228" customHeight="1">
      <x:c r="A228" s="519" t="inlineStr">
        <x:is>
          <x:t xml:space="preserve">1999-003362</x:t>
        </x:is>
      </x:c>
      <x:c r="B228" s="536" t="n"/>
      <x:c r="C228" s="536" t="inlineStr">
        <x:is>
          <x:t xml:space="preserve">Affidavit</x:t>
        </x:is>
      </x:c>
      <x:c r="D228" s="536" t="inlineStr">
        <x:is>
          <x:t xml:space="preserve">1583/389</x:t>
        </x:is>
      </x:c>
      <x:c r="E228" s="537" t="n">
        <x:v>36270</x:v>
      </x:c>
      <x:c r="F228" s="537" t="n">
        <x:v>36270</x:v>
      </x:c>
      <x:c r="G228" s="538" t="inlineStr">
        <x:is>
          <x:t xml:space="preserve">Albert Earnest Fuchs</x:t>
        </x:is>
      </x:c>
      <x:c r="H228" s="538" t="inlineStr">
        <x:is>
          <x:t xml:space="preserve">The Public
RE: Opal Fuchs, Deceased
Heirs:
Aquilla Fuchs,
Delbert Norwood Fuchs,
Eldred Stephen Fuchs,
Eunice Evelyn Cook,
Isa May Smith,
Jesse William Fuchs,
LaDon Gilbert Fuchs,
Lola Fern Richard,
Maretha Opal Karezman,
Mark Joel Fuchs,
Mary Lou Dowell,
Ocie Harlon Fuchs,
Olivia Leah Lemmons,
Raymond Marcus Fuchs,
Rocilla Jewel Dilger,
Albert Earnest Fuchs</x:t>
        </x:is>
      </x:c>
      <x:c r="I228" s="538" t="inlineStr">
        <x:is>
          <x:t xml:space="preserve">NW/4 SE/4, S/2 SE/4, SW/4 NE/4 of 31-12N-24W, aol</x:t>
        </x:is>
      </x:c>
      <x:c r="J228" s="538" t="inlineStr">
        <x:is>
          <x:t xml:space="preserve">ARTI, An undivided 4.8329635/791.47 interest</x:t>
        </x:is>
      </x:c>
      <x:c r="K228" s="518" t="e">
        <x:f>HYPERLINK("https://okcountyrecords.com/detail/roger+mills/1999-003362","OKCountyRecords: 1999-003362")</x:f>
      </x:c>
      <x:c r="L228" s="519" t="inlineStr">
        <x:is>
          <x:t xml:space="preserve">Mineral; basis Conv Amt(dec). grantor indexed as 'The Public' — confirm source instrument. Gross=tract-map basis.</x:t>
        </x:is>
      </x:c>
      <x:c r="M228" s="519" t="inlineStr">
        <x:is>
          <x:t xml:space="preserve">REVIEW</x:t>
        </x:is>
      </x:c>
      <x:c r="N228" s="519" t="inlineStr">
        <x:is>
          <x:t xml:space="preserve">Confirm conveyed mineral acreage from instrument image — named party indexed under 'The Public' (affidavit/notice); identity resolved.</x:t>
        </x:is>
      </x:c>
      <x:c r="O228" s="519" t="inlineStr">
        <x:is>
          <x:t xml:space="preserve">OUTSIDE LANDS</x:t>
        </x:is>
      </x:c>
      <x:c r="P228" s="520" t="inlineStr">
        <x:is>
          <x:t xml:space="preserve">Chain — title support (succession/entity/probate)</x:t>
        </x:is>
      </x:c>
      <x:c r="Q228" s="520" t="inlineStr">
        <x:is>
          <x:t xml:space="preserve">Yes</x:t>
        </x:is>
      </x:c>
      <x:c r="R228" s="520" t="inlineStr">
        <x:is>
          <x:t xml:space="preserve">No</x:t>
        </x:is>
      </x:c>
      <x:c r="S228" s="520" t="inlineStr">
        <x:is>
          <x:t xml:space="preserve">Yes</x:t>
        </x:is>
      </x:c>
      <x:c r="T228" s="520" t="inlineStr">
        <x:is>
          <x:t xml:space="preserve">No</x:t>
        </x:is>
      </x:c>
      <x:c r="U228" s="520" t="inlineStr">
        <x:is>
          <x:t xml:space="preserve">Yes: 2 (legal supports)</x:t>
        </x:is>
      </x:c>
      <x:c r="V228" s="520" t="inlineStr">
        <x:is>
          <x:t xml:space="preserve">High</x:t>
        </x:is>
      </x:c>
      <x:c r="W228" s="520" t="inlineStr">
        <x:is>
          <x:t xml:space="preserve">Review — no exact prior-grantee match</x:t>
        </x:is>
      </x:c>
      <x:c r="X228" s="520" t="inlineStr">
        <x:is>
          <x:t xml:space="preserve">Review</x:t>
        </x:is>
      </x:c>
      <x:c r="Y228" s="520" t="inlineStr">
        <x:is>
          <x:t xml:space="preserve">Candidate 1 (helper — confirm from image)</x:t>
        </x:is>
      </x:c>
      <x:c r="Z228" s="520" t="inlineStr">
        <x:is>
          <x:t xml:space="preserve">Medium — helper value</x:t>
        </x:is>
      </x:c>
      <x:c r="AA228" s="520" t="inlineStr">
        <x:is>
          <x:t xml:space="preserve">Affidavit — Albert Earnest Fuchs to The Public (1583/389)</x:t>
        </x:is>
      </x:c>
      <x:c r="AB228" s="520" t="inlineStr">
        <x:is>
          <x:t xml:space="preserve">Needs source review: grantor source</x:t>
        </x:is>
      </x:c>
    </x:row>
    <x:row r="229" s="520" customFormat="1" ht="216" customHeight="1">
      <x:c r="A229" s="519" t="inlineStr">
        <x:is>
          <x:t xml:space="preserve">1999-003363</x:t>
        </x:is>
      </x:c>
      <x:c r="B229" s="536" t="n"/>
      <x:c r="C229" s="536" t="inlineStr">
        <x:is>
          <x:t xml:space="preserve">Mineral Deed</x:t>
        </x:is>
      </x:c>
      <x:c r="D229" s="536" t="inlineStr">
        <x:is>
          <x:t xml:space="preserve">1583/391</x:t>
        </x:is>
      </x:c>
      <x:c r="E229" s="537" t="n">
        <x:v>36270</x:v>
      </x:c>
      <x:c r="F229" s="537" t="n">
        <x:v>36270</x:v>
      </x:c>
      <x:c r="G229" s="538" t="inlineStr">
        <x:is>
          <x:t xml:space="preserve">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x:t>
        </x:is>
      </x:c>
      <x:c r="H229" s="538" t="inlineStr">
        <x:is>
          <x:t xml:space="preserve">Lola F. Richrads</x:t>
        </x:is>
      </x:c>
      <x:c r="I229" s="538" t="inlineStr">
        <x:is>
          <x:t xml:space="preserve">NW/4 SE/4, S/2 SE/4, SW/4 NE/4 of 31-12N-24W, aol</x:t>
        </x:is>
      </x:c>
      <x:c r="J229" s="538" t="inlineStr">
        <x:is>
          <x:t xml:space="preserve">An undivided 11.457870/791.47 interest in and to all of the oil, gas and other minerals</x:t>
        </x:is>
      </x:c>
      <x:c r="K229" s="518" t="e">
        <x:f>HYPERLINK("https://okcountyrecords.com/detail/roger+mills/1999-003363","OKCountyRecords: 1999-003363")</x:f>
      </x:c>
      <x:c r="L229" s="519" t="inlineStr">
        <x:is>
          <x:t xml:space="preserve">Mineral; basis Conv Amt(dec). Gross=tract-map basis.</x:t>
        </x:is>
      </x:c>
      <x:c r="M229" s="519" t="inlineStr">
        <x:is>
          <x:t xml:space="preserve">CURRENT OWNER SOURCE</x:t>
        </x:is>
      </x:c>
      <x:c r="N229" s="519" t="n"/>
      <x:c r="O229" s="519" t="inlineStr">
        <x:is>
          <x:t xml:space="preserve">OUTSIDE LANDS</x:t>
        </x:is>
      </x:c>
      <x:c r="P229" s="520" t="inlineStr">
        <x:is>
          <x:t xml:space="preserve">Chain — minerals</x:t>
        </x:is>
      </x:c>
      <x:c r="Q229" s="520" t="inlineStr">
        <x:is>
          <x:t xml:space="preserve">Yes</x:t>
        </x:is>
      </x:c>
      <x:c r="R229" s="520" t="inlineStr">
        <x:is>
          <x:t xml:space="preserve">No</x:t>
        </x:is>
      </x:c>
      <x:c r="S229" s="520" t="inlineStr">
        <x:is>
          <x:t xml:space="preserve">Yes</x:t>
        </x:is>
      </x:c>
      <x:c r="T229" s="520" t="inlineStr">
        <x:is>
          <x:t xml:space="preserve">No</x:t>
        </x:is>
      </x:c>
      <x:c r="U229" s="520" t="inlineStr">
        <x:is>
          <x:t xml:space="preserve">Yes: 2 (legal supports)</x:t>
        </x:is>
      </x:c>
      <x:c r="V229" s="520" t="inlineStr">
        <x:is>
          <x:t xml:space="preserve">High</x:t>
        </x:is>
      </x:c>
      <x:c r="W229" s="520" t="inlineStr">
        <x:is>
          <x:t xml:space="preserve">Review — no exact prior-grantee match</x:t>
        </x:is>
      </x:c>
      <x:c r="X229" s="520" t="inlineStr">
        <x:is>
          <x:t xml:space="preserve">Review</x:t>
        </x:is>
      </x:c>
      <x:c r="Y229" s="520" t="inlineStr">
        <x:is>
          <x:t xml:space="preserve">Candidate 0.0144766952632443 (helper — confirm from image)</x:t>
        </x:is>
      </x:c>
      <x:c r="Z229" s="520" t="inlineStr">
        <x:is>
          <x:t xml:space="preserve">Medium — helper value</x:t>
        </x:is>
      </x:c>
      <x:c r="AA229" s="520" t="inlineStr">
        <x:is>
          <x:t xml:space="preserve">Mineral Deed — Eunice Evelyn Cook, to Lola F. Richrads (1583/391)</x:t>
        </x:is>
      </x:c>
      <x:c r="AB229" s="520" t="inlineStr">
        <x:is>
          <x:t xml:space="preserve">Needs source review: grantor source</x:t>
        </x:is>
      </x:c>
    </x:row>
    <x:row r="230" s="520" customFormat="1" ht="216" customHeight="1">
      <x:c r="A230" s="519" t="inlineStr">
        <x:is>
          <x:t xml:space="preserve">1999-003365</x:t>
        </x:is>
      </x:c>
      <x:c r="B230" s="536" t="n"/>
      <x:c r="C230" s="536" t="inlineStr">
        <x:is>
          <x:t xml:space="preserve">Mineral Deed</x:t>
        </x:is>
      </x:c>
      <x:c r="D230" s="536" t="inlineStr">
        <x:is>
          <x:t xml:space="preserve">1583/405</x:t>
        </x:is>
      </x:c>
      <x:c r="E230" s="537" t="n">
        <x:v>36270</x:v>
      </x:c>
      <x:c r="F230" s="537" t="n">
        <x:v>36270</x:v>
      </x:c>
      <x:c r="G230" s="538" t="inlineStr">
        <x:is>
          <x:t xml:space="preserve">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x:t>
        </x:is>
      </x:c>
      <x:c r="H230" s="538" t="inlineStr">
        <x:is>
          <x:t xml:space="preserve">Jessie W. Fuchs</x:t>
        </x:is>
      </x:c>
      <x:c r="I230" s="538" t="inlineStr">
        <x:is>
          <x:t xml:space="preserve">NW/4 SE/4, S/2 SE/4, SW/4 NE/4 of 31-12N-24W, aol</x:t>
        </x:is>
      </x:c>
      <x:c r="J230" s="538" t="inlineStr">
        <x:is>
          <x:t xml:space="preserve">An undivided 22.915741/791.47 interest in and to all of the oil, gas and other minerals</x:t>
        </x:is>
      </x:c>
      <x:c r="K230" s="518" t="e">
        <x:f>HYPERLINK("https://okcountyrecords.com/detail/roger+mills/1999-003365","OKCountyRecords: 1999-003365")</x:f>
      </x:c>
      <x:c r="L230" s="519" t="inlineStr">
        <x:is>
          <x:t xml:space="preserve">Mineral; basis Conv Amt(dec). Gross=tract-map basis.</x:t>
        </x:is>
      </x:c>
      <x:c r="M230" s="519" t="inlineStr">
        <x:is>
          <x:t xml:space="preserve">CURRENT OWNER SOURCE</x:t>
        </x:is>
      </x:c>
      <x:c r="N230" s="519" t="n"/>
      <x:c r="O230" s="519" t="inlineStr">
        <x:is>
          <x:t xml:space="preserve">OUTSIDE LANDS</x:t>
        </x:is>
      </x:c>
      <x:c r="P230" s="520" t="inlineStr">
        <x:is>
          <x:t xml:space="preserve">Chain — minerals</x:t>
        </x:is>
      </x:c>
      <x:c r="Q230" s="520" t="inlineStr">
        <x:is>
          <x:t xml:space="preserve">Yes</x:t>
        </x:is>
      </x:c>
      <x:c r="R230" s="520" t="inlineStr">
        <x:is>
          <x:t xml:space="preserve">No</x:t>
        </x:is>
      </x:c>
      <x:c r="S230" s="520" t="inlineStr">
        <x:is>
          <x:t xml:space="preserve">Yes</x:t>
        </x:is>
      </x:c>
      <x:c r="T230" s="520" t="inlineStr">
        <x:is>
          <x:t xml:space="preserve">No</x:t>
        </x:is>
      </x:c>
      <x:c r="U230" s="520" t="inlineStr">
        <x:is>
          <x:t xml:space="preserve">Yes: 2 (legal supports)</x:t>
        </x:is>
      </x:c>
      <x:c r="V230" s="520" t="inlineStr">
        <x:is>
          <x:t xml:space="preserve">High</x:t>
        </x:is>
      </x:c>
      <x:c r="W230" s="520" t="inlineStr">
        <x:is>
          <x:t xml:space="preserve">Review — no exact prior-grantee match</x:t>
        </x:is>
      </x:c>
      <x:c r="X230" s="520" t="inlineStr">
        <x:is>
          <x:t xml:space="preserve">Review</x:t>
        </x:is>
      </x:c>
      <x:c r="Y230" s="520" t="inlineStr">
        <x:is>
          <x:t xml:space="preserve">Candidate 0.0289533917899605 (helper — confirm from image)</x:t>
        </x:is>
      </x:c>
      <x:c r="Z230" s="520" t="inlineStr">
        <x:is>
          <x:t xml:space="preserve">Medium — helper value</x:t>
        </x:is>
      </x:c>
      <x:c r="AA230" s="520" t="inlineStr">
        <x:is>
          <x:t xml:space="preserve">Mineral Deed — Eunice Evelyn Cook, to Jessie W. Fuchs (1583/405)</x:t>
        </x:is>
      </x:c>
      <x:c r="AB230" s="520" t="inlineStr">
        <x:is>
          <x:t xml:space="preserve">Needs source review: grantor source</x:t>
        </x:is>
      </x:c>
    </x:row>
    <x:row r="231" s="520" customFormat="1" ht="216" customHeight="1">
      <x:c r="A231" s="519" t="inlineStr">
        <x:is>
          <x:t xml:space="preserve">1999-003366</x:t>
        </x:is>
      </x:c>
      <x:c r="B231" s="536" t="n"/>
      <x:c r="C231" s="536" t="inlineStr">
        <x:is>
          <x:t xml:space="preserve">Mineral Deed</x:t>
        </x:is>
      </x:c>
      <x:c r="D231" s="536" t="inlineStr">
        <x:is>
          <x:t xml:space="preserve">1583/412</x:t>
        </x:is>
      </x:c>
      <x:c r="E231" s="537" t="n">
        <x:v>36270</x:v>
      </x:c>
      <x:c r="F231" s="537" t="n">
        <x:v>36270</x:v>
      </x:c>
      <x:c r="G231" s="538" t="inlineStr">
        <x:is>
          <x:t xml:space="preserve">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x:t>
        </x:is>
      </x:c>
      <x:c r="H231" s="538" t="inlineStr">
        <x:is>
          <x:t xml:space="preserve">Raymond M. Fuchs</x:t>
        </x:is>
      </x:c>
      <x:c r="I231" s="538" t="inlineStr">
        <x:is>
          <x:t xml:space="preserve">NW/4 SE/4, S/2 SE/4, SW/4 NE/4 of 31-12N-24W, aol</x:t>
        </x:is>
      </x:c>
      <x:c r="J231" s="538" t="inlineStr">
        <x:is>
          <x:t xml:space="preserve">An undivided 22.915741/791.47 interest in and to all of the oil, gas and other minerals</x:t>
        </x:is>
      </x:c>
      <x:c r="K231" s="518" t="e">
        <x:f>HYPERLINK("https://okcountyrecords.com/detail/roger+mills/1999-003366","OKCountyRecords: 1999-003366")</x:f>
      </x:c>
      <x:c r="L231" s="519" t="inlineStr">
        <x:is>
          <x:t xml:space="preserve">Mineral; basis Conv Amt(dec). Gross=tract-map basis.</x:t>
        </x:is>
      </x:c>
      <x:c r="M231" s="519" t="inlineStr">
        <x:is>
          <x:t xml:space="preserve">CURRENT OWNER SOURCE</x:t>
        </x:is>
      </x:c>
      <x:c r="N231" s="519" t="n"/>
      <x:c r="O231" s="519" t="inlineStr">
        <x:is>
          <x:t xml:space="preserve">OUTSIDE LANDS</x:t>
        </x:is>
      </x:c>
      <x:c r="P231" s="520" t="inlineStr">
        <x:is>
          <x:t xml:space="preserve">Chain — minerals</x:t>
        </x:is>
      </x:c>
      <x:c r="Q231" s="520" t="inlineStr">
        <x:is>
          <x:t xml:space="preserve">Yes</x:t>
        </x:is>
      </x:c>
      <x:c r="R231" s="520" t="inlineStr">
        <x:is>
          <x:t xml:space="preserve">No</x:t>
        </x:is>
      </x:c>
      <x:c r="S231" s="520" t="inlineStr">
        <x:is>
          <x:t xml:space="preserve">Yes</x:t>
        </x:is>
      </x:c>
      <x:c r="T231" s="520" t="inlineStr">
        <x:is>
          <x:t xml:space="preserve">No</x:t>
        </x:is>
      </x:c>
      <x:c r="U231" s="520" t="inlineStr">
        <x:is>
          <x:t xml:space="preserve">Yes: 2 (legal supports)</x:t>
        </x:is>
      </x:c>
      <x:c r="V231" s="520" t="inlineStr">
        <x:is>
          <x:t xml:space="preserve">High</x:t>
        </x:is>
      </x:c>
      <x:c r="W231" s="520" t="inlineStr">
        <x:is>
          <x:t xml:space="preserve">Review — no exact prior-grantee match</x:t>
        </x:is>
      </x:c>
      <x:c r="X231" s="520" t="inlineStr">
        <x:is>
          <x:t xml:space="preserve">Review</x:t>
        </x:is>
      </x:c>
      <x:c r="Y231" s="520" t="inlineStr">
        <x:is>
          <x:t xml:space="preserve">Candidate 0.0289533917899605 (helper — confirm from image)</x:t>
        </x:is>
      </x:c>
      <x:c r="Z231" s="520" t="inlineStr">
        <x:is>
          <x:t xml:space="preserve">Medium — helper value</x:t>
        </x:is>
      </x:c>
      <x:c r="AA231" s="520" t="inlineStr">
        <x:is>
          <x:t xml:space="preserve">Mineral Deed — Eunice Evelyn Cook, to Raymond M. Fuchs (1583/412)</x:t>
        </x:is>
      </x:c>
      <x:c r="AB231" s="520" t="inlineStr">
        <x:is>
          <x:t xml:space="preserve">Needs source review: grantor source</x:t>
        </x:is>
      </x:c>
    </x:row>
    <x:row r="232" s="520" customFormat="1" ht="216" customHeight="1">
      <x:c r="A232" s="519" t="inlineStr">
        <x:is>
          <x:t xml:space="preserve">1999-003367</x:t>
        </x:is>
      </x:c>
      <x:c r="B232" s="536" t="n"/>
      <x:c r="C232" s="536" t="inlineStr">
        <x:is>
          <x:t xml:space="preserve">Mineral Deed</x:t>
        </x:is>
      </x:c>
      <x:c r="D232" s="536" t="inlineStr">
        <x:is>
          <x:t xml:space="preserve">1583/419</x:t>
        </x:is>
      </x:c>
      <x:c r="E232" s="537" t="n">
        <x:v>36270</x:v>
      </x:c>
      <x:c r="F232" s="537" t="n">
        <x:v>36270</x:v>
      </x:c>
      <x:c r="G232" s="538" t="inlineStr">
        <x:is>
          <x:t xml:space="preserve">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x:t>
        </x:is>
      </x:c>
      <x:c r="H232" s="538" t="inlineStr">
        <x:is>
          <x:t xml:space="preserve">Isa May Smith</x:t>
        </x:is>
      </x:c>
      <x:c r="I232" s="538" t="inlineStr">
        <x:is>
          <x:t xml:space="preserve">NW/4 SE/4, S/2 SE/4, SW/4 NE/4 of 31-12N-24W, aol</x:t>
        </x:is>
      </x:c>
      <x:c r="J232" s="538" t="inlineStr">
        <x:is>
          <x:t xml:space="preserve">An undivided 28.644676/791.47 interest in and to all of the oil, gas and other minerals</x:t>
        </x:is>
      </x:c>
      <x:c r="K232" s="518" t="e">
        <x:f>HYPERLINK("https://okcountyrecords.com/detail/roger+mills/1999-003367","OKCountyRecords: 1999-003367")</x:f>
      </x:c>
      <x:c r="L232" s="519" t="inlineStr">
        <x:is>
          <x:t xml:space="preserve">Mineral; basis Conv Amt(dec). Gross=tract-map basis.</x:t>
        </x:is>
      </x:c>
      <x:c r="M232" s="519" t="inlineStr">
        <x:is>
          <x:t xml:space="preserve">CURRENT OWNER SOURCE</x:t>
        </x:is>
      </x:c>
      <x:c r="N232" s="519" t="n"/>
      <x:c r="O232" s="519" t="inlineStr">
        <x:is>
          <x:t xml:space="preserve">OUTSIDE LANDS</x:t>
        </x:is>
      </x:c>
      <x:c r="P232" s="520" t="inlineStr">
        <x:is>
          <x:t xml:space="preserve">Chain — minerals</x:t>
        </x:is>
      </x:c>
      <x:c r="Q232" s="520" t="inlineStr">
        <x:is>
          <x:t xml:space="preserve">Yes</x:t>
        </x:is>
      </x:c>
      <x:c r="R232" s="520" t="inlineStr">
        <x:is>
          <x:t xml:space="preserve">No</x:t>
        </x:is>
      </x:c>
      <x:c r="S232" s="520" t="inlineStr">
        <x:is>
          <x:t xml:space="preserve">Yes</x:t>
        </x:is>
      </x:c>
      <x:c r="T232" s="520" t="inlineStr">
        <x:is>
          <x:t xml:space="preserve">No</x:t>
        </x:is>
      </x:c>
      <x:c r="U232" s="520" t="inlineStr">
        <x:is>
          <x:t xml:space="preserve">Yes: 2 (legal supports)</x:t>
        </x:is>
      </x:c>
      <x:c r="V232" s="520" t="inlineStr">
        <x:is>
          <x:t xml:space="preserve">High</x:t>
        </x:is>
      </x:c>
      <x:c r="W232" s="520" t="inlineStr">
        <x:is>
          <x:t xml:space="preserve">Review — no exact prior-grantee match</x:t>
        </x:is>
      </x:c>
      <x:c r="X232" s="520" t="inlineStr">
        <x:is>
          <x:t xml:space="preserve">Review</x:t>
        </x:is>
      </x:c>
      <x:c r="Y232" s="520" t="inlineStr">
        <x:is>
          <x:t xml:space="preserve">Candidate 0.0361917394215826 (helper — confirm from image)</x:t>
        </x:is>
      </x:c>
      <x:c r="Z232" s="520" t="inlineStr">
        <x:is>
          <x:t xml:space="preserve">Medium — helper value</x:t>
        </x:is>
      </x:c>
      <x:c r="AA232" s="520" t="inlineStr">
        <x:is>
          <x:t xml:space="preserve">Mineral Deed — Eunice Evelyn Cook, to Isa May Smith (1583/419)</x:t>
        </x:is>
      </x:c>
      <x:c r="AB232" s="520" t="inlineStr">
        <x:is>
          <x:t xml:space="preserve">Needs source review: grantor source</x:t>
        </x:is>
      </x:c>
    </x:row>
    <x:row r="233" s="520" customFormat="1" ht="216" customHeight="1">
      <x:c r="A233" s="519" t="inlineStr">
        <x:is>
          <x:t xml:space="preserve">1999-003368</x:t>
        </x:is>
      </x:c>
      <x:c r="B233" s="536" t="n"/>
      <x:c r="C233" s="536" t="inlineStr">
        <x:is>
          <x:t xml:space="preserve">Mineral Deed</x:t>
        </x:is>
      </x:c>
      <x:c r="D233" s="536" t="inlineStr">
        <x:is>
          <x:t xml:space="preserve">1583/426</x:t>
        </x:is>
      </x:c>
      <x:c r="E233" s="537" t="n">
        <x:v>36270</x:v>
      </x:c>
      <x:c r="F233" s="537" t="n">
        <x:v>36270</x:v>
      </x:c>
      <x:c r="G233" s="538" t="inlineStr">
        <x:is>
          <x:t xml:space="preserve">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x:t>
        </x:is>
      </x:c>
      <x:c r="H233" s="538" t="inlineStr">
        <x:is>
          <x:t xml:space="preserve">Ocie H. Fuchs and Albert E. Fuchs, as Trustees of the Fuchs Family</x:t>
        </x:is>
      </x:c>
      <x:c r="I233" s="538" t="inlineStr">
        <x:is>
          <x:t xml:space="preserve">NW/4 SE/4, S/2 SE/4, SW/4 NE/4 of 31-12N-24W, aol</x:t>
        </x:is>
      </x:c>
      <x:c r="J233" s="538" t="inlineStr">
        <x:is>
          <x:t xml:space="preserve">An undivided 4.8329635/791.47 interest</x:t>
        </x:is>
      </x:c>
      <x:c r="K233" s="518" t="e">
        <x:f>HYPERLINK("https://okcountyrecords.com/detail/roger+mills/1999-003368","OKCountyRecords: 1999-003368")</x:f>
      </x:c>
      <x:c r="L233" s="519" t="inlineStr">
        <x:is>
          <x:t xml:space="preserve">Mineral; basis Conv Amt(dec). Gross=tract-map basis.</x:t>
        </x:is>
      </x:c>
      <x:c r="M233" s="519" t="inlineStr">
        <x:is>
          <x:t xml:space="preserve">CURRENT OWNER SOURCE</x:t>
        </x:is>
      </x:c>
      <x:c r="N233" s="519" t="n"/>
      <x:c r="O233" s="519" t="inlineStr">
        <x:is>
          <x:t xml:space="preserve">OUTSIDE LANDS</x:t>
        </x:is>
      </x:c>
      <x:c r="P233" s="520" t="inlineStr">
        <x:is>
          <x:t xml:space="preserve">Chain — minerals</x:t>
        </x:is>
      </x:c>
      <x:c r="Q233" s="520" t="inlineStr">
        <x:is>
          <x:t xml:space="preserve">Yes</x:t>
        </x:is>
      </x:c>
      <x:c r="R233" s="520" t="inlineStr">
        <x:is>
          <x:t xml:space="preserve">No</x:t>
        </x:is>
      </x:c>
      <x:c r="S233" s="520" t="inlineStr">
        <x:is>
          <x:t xml:space="preserve">Yes</x:t>
        </x:is>
      </x:c>
      <x:c r="T233" s="520" t="inlineStr">
        <x:is>
          <x:t xml:space="preserve">No</x:t>
        </x:is>
      </x:c>
      <x:c r="U233" s="520" t="inlineStr">
        <x:is>
          <x:t xml:space="preserve">Yes: 2 (legal supports)</x:t>
        </x:is>
      </x:c>
      <x:c r="V233" s="520" t="inlineStr">
        <x:is>
          <x:t xml:space="preserve">High</x:t>
        </x:is>
      </x:c>
      <x:c r="W233" s="520" t="inlineStr">
        <x:is>
          <x:t xml:space="preserve">Review — no exact prior-grantee match</x:t>
        </x:is>
      </x:c>
      <x:c r="X233" s="520" t="inlineStr">
        <x:is>
          <x:t xml:space="preserve">Review</x:t>
        </x:is>
      </x:c>
      <x:c r="Y233" s="520" t="inlineStr">
        <x:is>
          <x:t xml:space="preserve">Candidate 0.00610631293668743 (helper — confirm from image)</x:t>
        </x:is>
      </x:c>
      <x:c r="Z233" s="520" t="inlineStr">
        <x:is>
          <x:t xml:space="preserve">Medium — helper value</x:t>
        </x:is>
      </x:c>
      <x:c r="AA233" s="520" t="inlineStr">
        <x:is>
          <x:t xml:space="preserve">Mineral Deed — Eunice Evelyn Cook, to Ocie H. Fuchs and Albert E. Fu (1583/426)</x:t>
        </x:is>
      </x:c>
      <x:c r="AB233" s="520" t="inlineStr">
        <x:is>
          <x:t xml:space="preserve">Needs source review: grantor source</x:t>
        </x:is>
      </x:c>
    </x:row>
    <x:row r="234" s="520" customFormat="1" ht="216" customHeight="1">
      <x:c r="A234" s="519" t="inlineStr">
        <x:is>
          <x:t xml:space="preserve">1999-003364</x:t>
        </x:is>
      </x:c>
      <x:c r="B234" s="536" t="n"/>
      <x:c r="C234" s="536" t="inlineStr">
        <x:is>
          <x:t xml:space="preserve">Mineral Deed</x:t>
        </x:is>
      </x:c>
      <x:c r="D234" s="536" t="inlineStr">
        <x:is>
          <x:t xml:space="preserve">1583/398</x:t>
        </x:is>
      </x:c>
      <x:c r="E234" s="537" t="n">
        <x:v>36270</x:v>
      </x:c>
      <x:c r="F234" s="537" t="n">
        <x:v>36270</x:v>
      </x:c>
      <x:c r="G234" s="538" t="inlineStr">
        <x:is>
          <x:t xml:space="preserve">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x:t>
        </x:is>
      </x:c>
      <x:c r="H234" s="538" t="inlineStr">
        <x:is>
          <x:t xml:space="preserve">Mark J. Fuchs</x:t>
        </x:is>
      </x:c>
      <x:c r="I234" s="538" t="inlineStr">
        <x:is>
          <x:t xml:space="preserve">NW/4 SE/4, S/2 SE/4, SW/4 NE/4 of 31-12N-24W, aol</x:t>
        </x:is>
      </x:c>
      <x:c r="J234" s="538" t="inlineStr">
        <x:is>
          <x:t xml:space="preserve">An undivided 5.728935/791.47 interest in and to all of the oil, gas and other minerals</x:t>
        </x:is>
      </x:c>
      <x:c r="K234" s="518" t="e">
        <x:f>HYPERLINK("https://okcountyrecords.com/detail/roger+mills/1999-003364","OKCountyRecords: 1999-003364")</x:f>
      </x:c>
      <x:c r="L234" s="519" t="inlineStr">
        <x:is>
          <x:t xml:space="preserve">Mineral; basis Conv Amt(dec). Gross=tract-map basis.</x:t>
        </x:is>
      </x:c>
      <x:c r="M234" s="519" t="inlineStr">
        <x:is>
          <x:t xml:space="preserve">CURRENT OWNER SOURCE</x:t>
        </x:is>
      </x:c>
      <x:c r="N234" s="519" t="n"/>
      <x:c r="O234" s="519" t="inlineStr">
        <x:is>
          <x:t xml:space="preserve">OUTSIDE LANDS</x:t>
        </x:is>
      </x:c>
      <x:c r="P234" s="520" t="inlineStr">
        <x:is>
          <x:t xml:space="preserve">Chain — minerals</x:t>
        </x:is>
      </x:c>
      <x:c r="Q234" s="520" t="inlineStr">
        <x:is>
          <x:t xml:space="preserve">Yes</x:t>
        </x:is>
      </x:c>
      <x:c r="R234" s="520" t="inlineStr">
        <x:is>
          <x:t xml:space="preserve">No</x:t>
        </x:is>
      </x:c>
      <x:c r="S234" s="520" t="inlineStr">
        <x:is>
          <x:t xml:space="preserve">Yes</x:t>
        </x:is>
      </x:c>
      <x:c r="T234" s="520" t="inlineStr">
        <x:is>
          <x:t xml:space="preserve">No</x:t>
        </x:is>
      </x:c>
      <x:c r="U234" s="520" t="inlineStr">
        <x:is>
          <x:t xml:space="preserve">Yes: 2 (legal supports)</x:t>
        </x:is>
      </x:c>
      <x:c r="V234" s="520" t="inlineStr">
        <x:is>
          <x:t xml:space="preserve">High</x:t>
        </x:is>
      </x:c>
      <x:c r="W234" s="520" t="inlineStr">
        <x:is>
          <x:t xml:space="preserve">Review — no exact prior-grantee match</x:t>
        </x:is>
      </x:c>
      <x:c r="X234" s="520" t="inlineStr">
        <x:is>
          <x:t xml:space="preserve">Review</x:t>
        </x:is>
      </x:c>
      <x:c r="Y234" s="520" t="inlineStr">
        <x:is>
          <x:t xml:space="preserve">Candidate 0.00723834763162217 (helper — confirm from image)</x:t>
        </x:is>
      </x:c>
      <x:c r="Z234" s="520" t="inlineStr">
        <x:is>
          <x:t xml:space="preserve">Medium — helper value</x:t>
        </x:is>
      </x:c>
      <x:c r="AA234" s="520" t="inlineStr">
        <x:is>
          <x:t xml:space="preserve">Mineral Deed — Eunice Evelyn Cook, to Mark J. Fuchs (1583/398)</x:t>
        </x:is>
      </x:c>
      <x:c r="AB234" s="520" t="inlineStr">
        <x:is>
          <x:t xml:space="preserve">Needs source review: grantor source</x:t>
        </x:is>
      </x:c>
    </x:row>
    <x:row r="235" s="520" customFormat="1" ht="48" customHeight="1">
      <x:c r="A235" s="519" t="inlineStr">
        <x:is>
          <x:t xml:space="preserve">2016-002265</x:t>
        </x:is>
      </x:c>
      <x:c r="B235" s="536" t="n"/>
      <x:c r="C235" s="536" t="inlineStr">
        <x:is>
          <x:t xml:space="preserve">Certificate</x:t>
        </x:is>
      </x:c>
      <x:c r="D235" s="536" t="inlineStr">
        <x:is>
          <x:t xml:space="preserve">2348/288</x:t>
        </x:is>
      </x:c>
      <x:c r="E235" s="537" t="n">
        <x:v>36389</x:v>
      </x:c>
      <x:c r="F235" s="537" t="n">
        <x:v>42642</x:v>
      </x:c>
      <x:c r="G235" s="538" t="inlineStr">
        <x:is>
          <x:t xml:space="preserve">Bryan Living Trust,
Marilyn K. Bryan, Trustee,
Norman B. Bryan, Trustee</x:t>
        </x:is>
      </x:c>
      <x:c r="H235" s="538" t="inlineStr">
        <x:is>
          <x:t xml:space="preserve">The Public</x:t>
        </x:is>
      </x:c>
      <x:c r="I235" s="538" t="inlineStr">
        <x:is>
          <x:t xml:space="preserve">SE/4 SW/4 Lot 4 of 31-12N-24W, aol</x:t>
        </x:is>
      </x:c>
      <x:c r="J235" s="538" t="inlineStr">
        <x:is>
          <x:t xml:space="preserve">Trust</x:t>
        </x:is>
      </x:c>
      <x:c r="K235" s="518" t="e">
        <x:f>HYPERLINK("https://okcountyrecords.com/detail/roger+mills/2016-002265","OKCountyRecords: 2016-002265")</x:f>
      </x:c>
      <x:c r="L235" s="519" t="inlineStr">
        <x:is>
          <x:t xml:space="preserve">Other (non-mineral; excluded from mineral NMA). Gross=tract-map basis.</x:t>
        </x:is>
      </x:c>
      <x:c r="M235" s="519" t="inlineStr">
        <x:is>
          <x:t xml:space="preserve">OK</x:t>
        </x:is>
      </x:c>
      <x:c r="N235" s="519" t="inlineStr">
        <x:is>
          <x:t xml:space="preserve">Non-conveying — notice/affidavit/address change (The Public).</x:t>
        </x:is>
      </x:c>
      <x:c r="O235" s="519" t="inlineStr">
        <x:is>
          <x:t xml:space="preserve">OUTSIDE LANDS</x:t>
        </x:is>
      </x:c>
      <x:c r="P235" s="520" t="inlineStr">
        <x:is>
          <x:t xml:space="preserve">Chain — title support (succession/entity/probate)</x:t>
        </x:is>
      </x:c>
      <x:c r="Q235" s="520" t="inlineStr">
        <x:is>
          <x:t xml:space="preserve">Yes</x:t>
        </x:is>
      </x:c>
      <x:c r="R235" s="520" t="inlineStr">
        <x:is>
          <x:t xml:space="preserve">No</x:t>
        </x:is>
      </x:c>
      <x:c r="S235" s="520" t="inlineStr">
        <x:is>
          <x:t xml:space="preserve">Yes</x:t>
        </x:is>
      </x:c>
      <x:c r="T235" s="520" t="inlineStr">
        <x:is>
          <x:t xml:space="preserve">No</x:t>
        </x:is>
      </x:c>
      <x:c r="U235" s="520" t="inlineStr">
        <x:is>
          <x:t xml:space="preserve">Legal maps to 5, 9; helper says 5, 6</x:t>
        </x:is>
      </x:c>
      <x:c r="V235" s="520" t="inlineStr">
        <x:is>
          <x:t xml:space="preserve">Review</x:t>
        </x:is>
      </x:c>
      <x:c r="W235" s="520" t="inlineStr">
        <x:is>
          <x:t xml:space="preserve">Review — no exact prior-grantee match</x:t>
        </x:is>
      </x:c>
      <x:c r="X235" s="520" t="inlineStr">
        <x:is>
          <x:t xml:space="preserve">Yes — on Tract 5 owner list</x:t>
        </x:is>
      </x:c>
      <x:c r="Y235" s="520" t="inlineStr">
        <x:is>
          <x:t xml:space="preserve">Interest amount needs review</x:t>
        </x:is>
      </x:c>
      <x:c r="Z235" s="520" t="inlineStr">
        <x:is>
          <x:t xml:space="preserve">Review</x:t>
        </x:is>
      </x:c>
      <x:c r="AA235" s="520" t="inlineStr">
        <x:is>
          <x:t xml:space="preserve">Certificate — Bryan Living Trust, to The Public (2348/288)</x:t>
        </x:is>
      </x:c>
      <x:c r="AB235" s="520" t="inlineStr">
        <x:is>
          <x:t xml:space="preserve">Needs source review: tract, grantor source, interest amount</x:t>
        </x:is>
      </x:c>
    </x:row>
    <x:row r="236" s="520" customFormat="1" ht="60" customHeight="1">
      <x:c r="A236" s="519" t="inlineStr">
        <x:is>
          <x:t xml:space="preserve">1999-005522</x:t>
        </x:is>
      </x:c>
      <x:c r="B236" s="536" t="n"/>
      <x:c r="C236" s="536" t="inlineStr">
        <x:is>
          <x:t xml:space="preserve">Quit Claim Deed</x:t>
        </x:is>
      </x:c>
      <x:c r="D236" s="536" t="inlineStr">
        <x:is>
          <x:t xml:space="preserve">1597/174</x:t>
        </x:is>
      </x:c>
      <x:c r="E236" s="537" t="n">
        <x:v>36481</x:v>
      </x:c>
      <x:c r="F236" s="537" t="n">
        <x:v>36481</x:v>
      </x:c>
      <x:c r="G236" s="538" t="inlineStr">
        <x:is>
          <x:t xml:space="preserve">Jack Mahoney</x:t>
        </x:is>
      </x:c>
      <x:c r="H236" s="538" t="inlineStr">
        <x:is>
          <x:t xml:space="preserve">The Mahoney Childrens Trust</x:t>
        </x:is>
      </x:c>
      <x:c r="I236" s="538" t="inlineStr">
        <x:is>
          <x:t xml:space="preserve">All of 31-12N-24W, aol</x:t>
        </x:is>
      </x:c>
      <x:c r="J236" s="538" t="inlineStr">
        <x:is>
          <x:t xml:space="preserve">ARTI</x:t>
        </x:is>
      </x:c>
      <x:c r="K236" s="518" t="e">
        <x:f>HYPERLINK("https://okcountyrecords.com/detail/roger+mills/1999-005522","OKCountyRecords: 1999-005522")</x:f>
      </x:c>
      <x:c r="L236" s="519" t="inlineStr">
        <x:is>
          <x:t xml:space="preserve">Surface (non-mineral; excluded from mineral NMA). All-section coverage. Gross=tract-map basis.</x:t>
        </x:is>
      </x:c>
      <x:c r="M236" s="519" t="inlineStr">
        <x:is>
          <x:t xml:space="preserve">CURRENT OWNER SOURCE</x:t>
        </x:is>
      </x:c>
      <x:c r="N236" s="519" t="n"/>
      <x:c r="O236" s="519" t="inlineStr">
        <x:is>
          <x:t xml:space="preserve">OUTSIDE LANDS</x:t>
        </x:is>
      </x:c>
      <x:c r="P236" s="520" t="inlineStr">
        <x:is>
          <x:t xml:space="preserve">Chain — deed (confirm minerals vs surface from instrument)</x:t>
        </x:is>
      </x:c>
      <x:c r="Q236" s="520" t="inlineStr">
        <x:is>
          <x:t xml:space="preserve">Yes</x:t>
        </x:is>
      </x:c>
      <x:c r="R236" s="520" t="inlineStr">
        <x:is>
          <x:t xml:space="preserve">No</x:t>
        </x:is>
      </x:c>
      <x:c r="S236" s="520" t="inlineStr">
        <x:is>
          <x:t xml:space="preserve">Review</x:t>
        </x:is>
      </x:c>
      <x:c r="T236" s="520" t="inlineStr">
        <x:is>
          <x:t xml:space="preserve">No</x:t>
        </x:is>
      </x:c>
      <x:c r="U236" s="520" t="inlineStr">
        <x:is>
          <x:t xml:space="preserve">Yes: 1, 8 (broad legal)</x:t>
        </x:is>
      </x:c>
      <x:c r="V236" s="520" t="inlineStr">
        <x:is>
          <x:t xml:space="preserve">Medium</x:t>
        </x:is>
      </x:c>
      <x:c r="W236" s="520" t="inlineStr">
        <x:is>
          <x:t xml:space="preserve">Review — no exact prior-grantee match</x:t>
        </x:is>
      </x:c>
      <x:c r="X236" s="520" t="inlineStr">
        <x:is>
          <x:t xml:space="preserve">Review</x:t>
        </x:is>
      </x:c>
      <x:c r="Y236" s="520" t="inlineStr">
        <x:is>
          <x:t xml:space="preserve">Candidate 1 (helper — confirm from image)</x:t>
        </x:is>
      </x:c>
      <x:c r="Z236" s="520" t="inlineStr">
        <x:is>
          <x:t xml:space="preserve">Medium — helper value</x:t>
        </x:is>
      </x:c>
      <x:c r="AA236" s="520" t="inlineStr">
        <x:is>
          <x:t xml:space="preserve">Quit Claim Deed — Jack Mahoney to The Mahoney Childrens Trust (1597/174)</x:t>
        </x:is>
      </x:c>
      <x:c r="AB236" s="520" t="inlineStr">
        <x:is>
          <x:t xml:space="preserve">Needs source review: grantor source</x:t>
        </x:is>
      </x:c>
    </x:row>
    <x:row r="237" s="520" customFormat="1" ht="108" customHeight="1">
      <x:c r="A237" s="519" t="inlineStr">
        <x:is>
          <x:t xml:space="preserve">1999-005936</x:t>
        </x:is>
      </x:c>
      <x:c r="B237" s="536" t="n"/>
      <x:c r="C237" s="536" t="inlineStr">
        <x:is>
          <x:t xml:space="preserve">Decree</x:t>
        </x:is>
      </x:c>
      <x:c r="D237" s="536" t="inlineStr">
        <x:is>
          <x:t xml:space="preserve">1600/1</x:t>
        </x:is>
      </x:c>
      <x:c r="E237" s="537" t="n">
        <x:v>36511</x:v>
      </x:c>
      <x:c r="F237" s="537" t="n">
        <x:v>36511</x:v>
      </x:c>
      <x:c r="G237" s="538" t="inlineStr">
        <x:is>
          <x:t xml:space="preserve">Roger Mills County Court
RE: In the Matter of the Estate of Letty Jane Atha, Deceased</x:t>
        </x:is>
      </x:c>
      <x:c r="H237" s="538" t="inlineStr">
        <x:is>
          <x:t xml:space="preserve">Charles Allen Atha</x:t>
        </x:is>
      </x:c>
      <x:c r="I237" s="538" t="inlineStr">
        <x:is>
          <x:t xml:space="preserve">A tract of land lying in 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x:t>
        </x:is>
      </x:c>
      <x:c r="J237" s="538" t="inlineStr">
        <x:is>
          <x:t xml:space="preserve">ARTI, An undivided 23 acre interest in and to the OIL, GAS AND OTHER MINERALS</x:t>
        </x:is>
      </x:c>
      <x:c r="K237" s="518" t="e">
        <x:f>HYPERLINK("https://okcountyrecords.com/detail/roger+mills/1999-005936","OKCountyRecords: 1999-005936")</x:f>
      </x:c>
      <x:c r="L237" s="519" t="inlineStr">
        <x:is>
          <x:t xml:space="preserve">Mineral; basis Conv Amt(dec). Gross=tract-map basis.</x:t>
        </x:is>
      </x:c>
      <x:c r="M237" s="519" t="inlineStr">
        <x:is>
          <x:t xml:space="preserve">CURRENT OWNER SOURCE</x:t>
        </x:is>
      </x:c>
      <x:c r="N237" s="519" t="n"/>
      <x:c r="O237" s="519" t="inlineStr">
        <x:is>
          <x:t xml:space="preserve">MINERAL DEED</x:t>
        </x:is>
      </x:c>
      <x:c r="P237" s="520" t="inlineStr">
        <x:is>
          <x:t xml:space="preserve">Chain — title support (succession/entity/probate)</x:t>
        </x:is>
      </x:c>
      <x:c r="Q237" s="520" t="inlineStr">
        <x:is>
          <x:t xml:space="preserve">Yes</x:t>
        </x:is>
      </x:c>
      <x:c r="R237" s="520" t="inlineStr">
        <x:is>
          <x:t xml:space="preserve">No</x:t>
        </x:is>
      </x:c>
      <x:c r="S237" s="520" t="inlineStr">
        <x:is>
          <x:t xml:space="preserve">Yes</x:t>
        </x:is>
      </x:c>
      <x:c r="T237" s="520" t="inlineStr">
        <x:is>
          <x:t xml:space="preserve">No</x:t>
        </x:is>
      </x:c>
      <x:c r="U237" s="520" t="inlineStr">
        <x:is>
          <x:t xml:space="preserve">Yes: 4, 5 (broad legal)</x:t>
        </x:is>
      </x:c>
      <x:c r="V237" s="520" t="inlineStr">
        <x:is>
          <x:t xml:space="preserve">Medium</x:t>
        </x:is>
      </x:c>
      <x:c r="W237" s="520" t="inlineStr">
        <x:is>
          <x:t xml:space="preserve">Review — no exact prior-grantee match</x:t>
        </x:is>
      </x:c>
      <x:c r="X237" s="520" t="inlineStr">
        <x:is>
          <x:t xml:space="preserve">Yes — on Tract 4 owner list</x:t>
        </x:is>
      </x:c>
      <x:c r="Y237" s="520" t="inlineStr">
        <x:is>
          <x:t xml:space="preserve">Candidate 1 (helper — confirm from image)</x:t>
        </x:is>
      </x:c>
      <x:c r="Z237" s="520" t="inlineStr">
        <x:is>
          <x:t xml:space="preserve">Medium — helper value</x:t>
        </x:is>
      </x:c>
      <x:c r="AA237" s="520" t="inlineStr">
        <x:is>
          <x:t xml:space="preserve">Decree — Roger Mills County Court to Charles Allen Atha (1600/1)</x:t>
        </x:is>
      </x:c>
      <x:c r="AB237" s="520" t="inlineStr">
        <x:is>
          <x:t xml:space="preserve">Needs source review: grantor source</x:t>
        </x:is>
      </x:c>
    </x:row>
    <x:row r="238" s="520" customFormat="1" ht="72" customHeight="1">
      <x:c r="A238" s="519" t="inlineStr">
        <x:is>
          <x:t xml:space="preserve">2000-006764</x:t>
        </x:is>
      </x:c>
      <x:c r="B238" s="536" t="n"/>
      <x:c r="C238" s="536" t="inlineStr">
        <x:is>
          <x:t xml:space="preserve">Proof of Death</x:t>
        </x:is>
      </x:c>
      <x:c r="D238" s="536" t="inlineStr">
        <x:is>
          <x:t xml:space="preserve">1604/455</x:t>
        </x:is>
      </x:c>
      <x:c r="E238" s="537" t="n">
        <x:v>36572</x:v>
      </x:c>
      <x:c r="F238" s="537" t="n">
        <x:v>36572</x:v>
      </x:c>
      <x:c r="G238" s="538" t="inlineStr">
        <x:is>
          <x:t xml:space="preserve">Nanalee Faye Barnett</x:t>
        </x:is>
      </x:c>
      <x:c r="H238" s="538" t="inlineStr">
        <x:is>
          <x:t xml:space="preserve">The Public
RE: J.E. Barnett, Deceased
Heirs:
Nanalee Faye Barnett, 1/2,
Karen Barnett Taylor, 1/4,
Jacqueline Barnett Logan, 1/4</x:t>
        </x:is>
      </x:c>
      <x:c r="I238" s="538" t="inlineStr">
        <x:is>
          <x:t xml:space="preserve">E/2 NW/4, N/2 NE/4 SW/4, NE/4 SE/4, SE/4 NE/4 of 31-12N-24W</x:t>
        </x:is>
      </x:c>
      <x:c r="J238" s="538" t="inlineStr">
        <x:is>
          <x:t xml:space="preserve">ARTI, J. E. Barnett died on 11/7/1990
Chain note: source of title — OUTSIDE LANDS 1975-000869 at 176/144, Marie Lister to J. E. Barnett, covering E/2 NW/4, SE/4 NE/4, NE/4 SE/4, N/2 NE/4 SW/4 of 31-12N-24W, aol, interest stated: 10/260 interest in 2 sections. Confirm source instrument before relying on this conveyance.</x:t>
        </x:is>
      </x:c>
      <x:c r="K238" s="518" t="e">
        <x:f>HYPERLINK("https://okcountyrecords.com/detail/roger+mills/2000-006764","OKCountyRecords: 2000-006764")</x:f>
      </x:c>
      <x:c r="L238" s="519" t="inlineStr">
        <x:is>
          <x:t xml:space="preserve">Mineral; basis Conv Amt(dec). grantor indexed as 'The Public' — confirm source instrument. Gross=tract-map basis.</x:t>
        </x:is>
      </x:c>
      <x:c r="M238" s="519" t="inlineStr">
        <x:is>
          <x:t xml:space="preserve">REVIEW</x:t>
        </x:is>
      </x:c>
      <x:c r="N238" s="519" t="inlineStr">
        <x:is>
          <x:t xml:space="preserve">Confirm conveyed mineral acreage from instrument image — named party indexed under 'The Public' (affidavit/notice); identity resolved.</x:t>
        </x:is>
      </x:c>
      <x:c r="O238" s="519" t="inlineStr">
        <x:is>
          <x:t xml:space="preserve">OUTSIDE LANDS</x:t>
        </x:is>
      </x:c>
      <x:c r="P238" s="520" t="inlineStr">
        <x:is>
          <x:t xml:space="preserve">Chain — title support (succession/entity/probate)</x:t>
        </x:is>
      </x:c>
      <x:c r="Q238" s="520" t="inlineStr">
        <x:is>
          <x:t xml:space="preserve">Yes</x:t>
        </x:is>
      </x:c>
      <x:c r="R238" s="520" t="inlineStr">
        <x:is>
          <x:t xml:space="preserve">No</x:t>
        </x:is>
      </x:c>
      <x:c r="S238" s="520" t="inlineStr">
        <x:is>
          <x:t xml:space="preserve">Yes</x:t>
        </x:is>
      </x:c>
      <x:c r="T238" s="520" t="inlineStr">
        <x:is>
          <x:t xml:space="preserve">No</x:t>
        </x:is>
      </x:c>
      <x:c r="U238" s="520" t="inlineStr">
        <x:is>
          <x:t xml:space="preserve">Legal maps to 1, 3, 4, 7, 10; helper says 1, 3, 4, 7, 8</x:t>
        </x:is>
      </x:c>
      <x:c r="V238" s="520" t="inlineStr">
        <x:is>
          <x:t xml:space="preserve">Review</x:t>
        </x:is>
      </x:c>
      <x:c r="W238" s="520" t="inlineStr">
        <x:is>
          <x:t xml:space="preserve">Review — no exact prior-grantee match</x:t>
        </x:is>
      </x:c>
      <x:c r="X238" s="520" t="inlineStr">
        <x:is>
          <x:t xml:space="preserve">Yes — on Tract 3 owner list</x:t>
        </x:is>
      </x:c>
      <x:c r="Y238" s="520" t="inlineStr">
        <x:is>
          <x:t xml:space="preserve">Candidate 1 (helper — confirm from image)</x:t>
        </x:is>
      </x:c>
      <x:c r="Z238" s="520" t="inlineStr">
        <x:is>
          <x:t xml:space="preserve">Medium — helper value</x:t>
        </x:is>
      </x:c>
      <x:c r="AA238" s="520" t="inlineStr">
        <x:is>
          <x:t xml:space="preserve">Proof of Death — Nanalee Faye Barnett to The Public (1604/455)</x:t>
        </x:is>
      </x:c>
      <x:c r="AB238" s="520" t="inlineStr">
        <x:is>
          <x:t xml:space="preserve">Needs source review: tract, grantor source</x:t>
        </x:is>
      </x:c>
    </x:row>
    <x:row r="239" s="520" customFormat="1" ht="48" customHeight="1">
      <x:c r="A239" s="519" t="inlineStr">
        <x:is>
          <x:t xml:space="preserve">2000-007685</x:t>
        </x:is>
      </x:c>
      <x:c r="B239" s="536" t="n"/>
      <x:c r="C239" s="536" t="inlineStr">
        <x:is>
          <x:t xml:space="preserve">Mineral Deed</x:t>
        </x:is>
      </x:c>
      <x:c r="D239" s="536" t="inlineStr">
        <x:is>
          <x:t xml:space="preserve">1611/503</x:t>
        </x:is>
      </x:c>
      <x:c r="E239" s="537" t="n">
        <x:v>36647</x:v>
      </x:c>
      <x:c r="F239" s="537" t="n">
        <x:v>36647</x:v>
      </x:c>
      <x:c r="G239" s="538" t="inlineStr">
        <x:is>
          <x:t xml:space="preserve">Fer-Scher Exploration, LLC</x:t>
        </x:is>
      </x:c>
      <x:c r="H239" s="538" t="inlineStr">
        <x:is>
          <x:t xml:space="preserve">Aspen Minerals Group</x:t>
        </x:is>
      </x:c>
      <x:c r="I239" s="538" t="inlineStr">
        <x:is>
          <x:t xml:space="preserve">E/2 NW/4, N/2 NE/4 SW/4, NE/4 SE/4, SE/4 NE/4 of 31-12N-24W, aol</x:t>
        </x:is>
      </x:c>
      <x:c r="J239" s="538" t="inlineStr">
        <x:is>
          <x:t xml:space="preserve">ARTI</x:t>
        </x:is>
      </x:c>
      <x:c r="K239" s="518" t="e">
        <x:f>HYPERLINK("https://okcountyrecords.com/detail/roger+mills/2000-007685","OKCountyRecords: 2000-007685")</x:f>
      </x:c>
      <x:c r="L239" s="519" t="inlineStr">
        <x:is>
          <x:t xml:space="preserve">Mineral; basis Conv Amt(dec). Gross=tract-map basis.</x:t>
        </x:is>
      </x:c>
      <x:c r="M239" s="519" t="inlineStr">
        <x:is>
          <x:t xml:space="preserve">CURRENT OWNER SOURCE</x:t>
        </x:is>
      </x:c>
      <x:c r="N239" s="519" t="n"/>
      <x:c r="O239" s="519" t="inlineStr">
        <x:is>
          <x:t xml:space="preserve">OUTSIDE LANDS</x:t>
        </x:is>
      </x:c>
      <x:c r="P239" s="520" t="inlineStr">
        <x:is>
          <x:t xml:space="preserve">Chain — minerals</x:t>
        </x:is>
      </x:c>
      <x:c r="Q239" s="520" t="inlineStr">
        <x:is>
          <x:t xml:space="preserve">Yes</x:t>
        </x:is>
      </x:c>
      <x:c r="R239" s="520" t="inlineStr">
        <x:is>
          <x:t xml:space="preserve">No</x:t>
        </x:is>
      </x:c>
      <x:c r="S239" s="520" t="inlineStr">
        <x:is>
          <x:t xml:space="preserve">Yes</x:t>
        </x:is>
      </x:c>
      <x:c r="T239" s="520" t="inlineStr">
        <x:is>
          <x:t xml:space="preserve">No</x:t>
        </x:is>
      </x:c>
      <x:c r="U239" s="520" t="inlineStr">
        <x:is>
          <x:t xml:space="preserve">Legal maps to 1, 3, 4, 7, 10; helper says 1, 3, 4, 7, 8</x:t>
        </x:is>
      </x:c>
      <x:c r="V239" s="520" t="inlineStr">
        <x:is>
          <x:t xml:space="preserve">Review</x:t>
        </x:is>
      </x:c>
      <x:c r="W239" s="520" t="inlineStr">
        <x:is>
          <x:t xml:space="preserve">Review — no exact prior-grantee match</x:t>
        </x:is>
      </x:c>
      <x:c r="X239" s="520" t="inlineStr">
        <x:is>
          <x:t xml:space="preserve">Yes — on Tract 3 owner list</x:t>
        </x:is>
      </x:c>
      <x:c r="Y239" s="520" t="inlineStr">
        <x:is>
          <x:t xml:space="preserve">Candidate 1 (helper — confirm from image)</x:t>
        </x:is>
      </x:c>
      <x:c r="Z239" s="520" t="inlineStr">
        <x:is>
          <x:t xml:space="preserve">Medium — helper value</x:t>
        </x:is>
      </x:c>
      <x:c r="AA239" s="520" t="inlineStr">
        <x:is>
          <x:t xml:space="preserve">Mineral Deed — Fer-Scher Exploration, LLC to Aspen Minerals Group (1611/503)</x:t>
        </x:is>
      </x:c>
      <x:c r="AB239" s="520" t="inlineStr">
        <x:is>
          <x:t xml:space="preserve">Needs source review: tract, grantor source</x:t>
        </x:is>
      </x:c>
    </x:row>
    <x:row r="240" s="520" customFormat="1" ht="60" customHeight="1">
      <x:c r="A240" s="519" t="inlineStr">
        <x:is>
          <x:t xml:space="preserve">2000-010180</x:t>
        </x:is>
      </x:c>
      <x:c r="B240" s="536" t="n"/>
      <x:c r="C240" s="536" t="inlineStr">
        <x:is>
          <x:t xml:space="preserve">Quit Claim Mineral Deed</x:t>
        </x:is>
      </x:c>
      <x:c r="D240" s="536" t="inlineStr">
        <x:is>
          <x:t xml:space="preserve">1625/440</x:t>
        </x:is>
      </x:c>
      <x:c r="E240" s="537" t="n">
        <x:v>36802</x:v>
      </x:c>
      <x:c r="F240" s="537" t="n">
        <x:v>36815</x:v>
      </x:c>
      <x:c r="G240" s="538" t="inlineStr">
        <x:is>
          <x:t xml:space="preserve">Melinda McCaul Mulvihill, Trustee of the "Melinda McCaul Mulvihill Trust" under Trust Agreement dated August 30, 1995</x:t>
        </x:is>
      </x:c>
      <x:c r="H240" s="538" t="inlineStr">
        <x:is>
          <x:t xml:space="preserve">Stephen M. Criser, Trustee of the "RIVE Lind McCAUL TRUST" under Trust Agreement dated August 11, 1995, and Amendment dated February 17, 1998</x:t>
        </x:is>
      </x:c>
      <x:c r="I240" s="538" t="inlineStr">
        <x:is>
          <x:t xml:space="preserve">NW/4 SE/4, S/2 SE/4, SW/4 NE/4 of 31-12N-24W, aol</x:t>
        </x:is>
      </x:c>
      <x:c r="J240" s="538" t="inlineStr">
        <x:is>
          <x:t xml:space="preserve">ARTI</x:t>
        </x:is>
      </x:c>
      <x:c r="K240" s="518" t="e">
        <x:f>HYPERLINK("https://okcountyrecords.com/detail/roger+mills/2000-010180","OKCountyRecords: 2000-010180")</x:f>
      </x:c>
      <x:c r="L240" s="519" t="inlineStr">
        <x:is>
          <x:t xml:space="preserve">Mineral; basis Conv Amt(dec). Gross=tract-map basis.</x:t>
        </x:is>
      </x:c>
      <x:c r="M240" s="519" t="inlineStr">
        <x:is>
          <x:t xml:space="preserve">CURRENT OWNER SOURCE</x:t>
        </x:is>
      </x:c>
      <x:c r="N240" s="519" t="n"/>
      <x:c r="O240" s="519" t="inlineStr">
        <x:is>
          <x:t xml:space="preserve">OUTSIDE LANDS</x:t>
        </x:is>
      </x:c>
      <x:c r="P240" s="520" t="inlineStr">
        <x:is>
          <x:t xml:space="preserve">Chain — minerals</x:t>
        </x:is>
      </x:c>
      <x:c r="Q240" s="520" t="inlineStr">
        <x:is>
          <x:t xml:space="preserve">Yes</x:t>
        </x:is>
      </x:c>
      <x:c r="R240" s="520" t="inlineStr">
        <x:is>
          <x:t xml:space="preserve">No</x:t>
        </x:is>
      </x:c>
      <x:c r="S240" s="520" t="inlineStr">
        <x:is>
          <x:t xml:space="preserve">Yes</x:t>
        </x:is>
      </x:c>
      <x:c r="T240" s="520" t="inlineStr">
        <x:is>
          <x:t xml:space="preserve">No</x:t>
        </x:is>
      </x:c>
      <x:c r="U240" s="520" t="inlineStr">
        <x:is>
          <x:t xml:space="preserve">Yes: 2 (legal supports)</x:t>
        </x:is>
      </x:c>
      <x:c r="V240" s="520" t="inlineStr">
        <x:is>
          <x:t xml:space="preserve">High</x:t>
        </x:is>
      </x:c>
      <x:c r="W240" s="520" t="inlineStr">
        <x:is>
          <x:t xml:space="preserve">Probable — name-normalized match to Runsheet 226 grantee; confirm</x:t>
        </x:is>
      </x:c>
      <x:c r="X240" s="520" t="inlineStr">
        <x:is>
          <x:t xml:space="preserve">Review</x:t>
        </x:is>
      </x:c>
      <x:c r="Y240" s="520" t="inlineStr">
        <x:is>
          <x:t xml:space="preserve">Candidate 1 (helper — confirm from image)</x:t>
        </x:is>
      </x:c>
      <x:c r="Z240" s="520" t="inlineStr">
        <x:is>
          <x:t xml:space="preserve">Medium — helper value</x:t>
        </x:is>
      </x:c>
      <x:c r="AA240" s="520" t="inlineStr">
        <x:is>
          <x:t xml:space="preserve">Quit Claim Mineral Deed — Melinda McCaul Mulvihill, Trus to Stephen M. Criser, Trustee of (1625/440)</x:t>
        </x:is>
      </x:c>
      <x:c r="AB240" s="520" t="inlineStr">
        <x:is>
          <x:t xml:space="preserve">Needs source review: grantor source</x:t>
        </x:is>
      </x:c>
    </x:row>
    <x:row r="241" s="520" customFormat="1" ht="36" customHeight="1">
      <x:c r="A241" s="519" t="inlineStr">
        <x:is>
          <x:t xml:space="preserve">2007-000723</x:t>
        </x:is>
      </x:c>
      <x:c r="B241" s="536" t="n"/>
      <x:c r="C241" s="536" t="inlineStr">
        <x:is>
          <x:t xml:space="preserve">Order</x:t>
        </x:is>
      </x:c>
      <x:c r="D241" s="536" t="inlineStr">
        <x:is>
          <x:t xml:space="preserve">1866/238</x:t>
        </x:is>
      </x:c>
      <x:c r="E241" s="537" t="n">
        <x:v>36835</x:v>
      </x:c>
      <x:c r="F241" s="537" t="n">
        <x:v>39133</x:v>
      </x:c>
      <x:c r="G241" s="538" t="inlineStr">
        <x:is>
          <x:t xml:space="preserve">Beckham County Court,
RE: In the Matter of the Estate of Paul Devenas, Deceased</x:t>
        </x:is>
      </x:c>
      <x:c r="H241" s="538" t="inlineStr">
        <x:is>
          <x:t xml:space="preserve">Martha Ann Devenas</x:t>
        </x:is>
      </x:c>
      <x:c r="I241" s="538" t="inlineStr">
        <x:is>
          <x:t xml:space="preserve">SE/4 SW/4 of 31-12N-24W, aol</x:t>
        </x:is>
      </x:c>
      <x:c r="J241" s="538" t="inlineStr">
        <x:is>
          <x:t xml:space="preserve">An undivided ½ interest in 5.83333 mineral acres (No Production)</x:t>
        </x:is>
      </x:c>
      <x:c r="K241" s="518" t="e">
        <x:f>HYPERLINK("https://okcountyrecords.com/detail/roger+mills/2007-000723","OKCountyRecords: 2007-000723")</x:f>
      </x:c>
      <x:c r="L241" s="519" t="inlineStr">
        <x:is>
          <x:t xml:space="preserve">Mineral; basis Conv Amt(dec). Gross=tract-map basis.</x:t>
        </x:is>
      </x:c>
      <x:c r="M241" s="519" t="n"/>
      <x:c r="N241" s="519" t="n"/>
      <x:c r="O241" s="519" t="inlineStr">
        <x:is>
          <x:t xml:space="preserve">OUTSIDE LANDS</x:t>
        </x:is>
      </x:c>
      <x:c r="P241" s="520" t="inlineStr">
        <x:is>
          <x:t xml:space="preserve">Chain — title support (succession/entity/probate)</x:t>
        </x:is>
      </x:c>
      <x:c r="Q241" s="520" t="inlineStr">
        <x:is>
          <x:t xml:space="preserve">Yes</x:t>
        </x:is>
      </x:c>
      <x:c r="R241" s="520" t="inlineStr">
        <x:is>
          <x:t xml:space="preserve">No</x:t>
        </x:is>
      </x:c>
      <x:c r="S241" s="520" t="inlineStr">
        <x:is>
          <x:t xml:space="preserve">Yes</x:t>
        </x:is>
      </x:c>
      <x:c r="T241" s="520" t="inlineStr">
        <x:is>
          <x:t xml:space="preserve">No</x:t>
        </x:is>
      </x:c>
      <x:c r="U241" s="520" t="inlineStr">
        <x:is>
          <x:t xml:space="preserve">Yes: 5 (legal supports)</x:t>
        </x:is>
      </x:c>
      <x:c r="V241" s="520" t="inlineStr">
        <x:is>
          <x:t xml:space="preserve">High</x:t>
        </x:is>
      </x:c>
      <x:c r="W241" s="520" t="inlineStr">
        <x:is>
          <x:t xml:space="preserve">Review — no exact prior-grantee match</x:t>
        </x:is>
      </x:c>
      <x:c r="X241" s="520" t="inlineStr">
        <x:is>
          <x:t xml:space="preserve">Yes — on Tract 5 owner list</x:t>
        </x:is>
      </x:c>
      <x:c r="Y241" s="520" t="inlineStr">
        <x:is>
          <x:t xml:space="preserve">Candidate 0.5 (helper — confirm from image)</x:t>
        </x:is>
      </x:c>
      <x:c r="Z241" s="520" t="inlineStr">
        <x:is>
          <x:t xml:space="preserve">Medium — helper value</x:t>
        </x:is>
      </x:c>
      <x:c r="AA241" s="520" t="inlineStr">
        <x:is>
          <x:t xml:space="preserve">Order — Beckham County Court, to Martha Ann Devenas (1866/238)</x:t>
        </x:is>
      </x:c>
      <x:c r="AB241" s="520" t="inlineStr">
        <x:is>
          <x:t xml:space="preserve">Needs source review: grantor source</x:t>
        </x:is>
      </x:c>
    </x:row>
    <x:row r="242" s="520" customFormat="1" ht="48" customHeight="1">
      <x:c r="A242" s="519" t="inlineStr">
        <x:is>
          <x:t xml:space="preserve">2001-000618</x:t>
        </x:is>
      </x:c>
      <x:c r="B242" s="536" t="n"/>
      <x:c r="C242" s="536" t="inlineStr">
        <x:is>
          <x:t xml:space="preserve">Order</x:t>
        </x:is>
      </x:c>
      <x:c r="D242" s="536" t="inlineStr">
        <x:is>
          <x:t xml:space="preserve">1634/353</x:t>
        </x:is>
      </x:c>
      <x:c r="E242" s="537" t="n">
        <x:v>36877</x:v>
      </x:c>
      <x:c r="F242" s="537" t="n">
        <x:v>36935</x:v>
      </x:c>
      <x:c r="G242" s="538" t="inlineStr">
        <x:is>
          <x:t xml:space="preserve">Oklahoma County Court,
RE: In the Matter of the Estate of Patsy J. Crouse, Deceased</x:t>
        </x:is>
      </x:c>
      <x:c r="H242" s="538" t="inlineStr">
        <x:is>
          <x:t xml:space="preserve">Laurence L. Crouse, 1/4,
Lara L. Smoot 1/4,
Anagale L. Best 1/4,
Letha M. Crouse 1/4</x:t>
        </x:is>
      </x:c>
      <x:c r="I242" s="538" t="inlineStr">
        <x:is>
          <x:t xml:space="preserve">NE/4 of 31-12N-24W, aol</x:t>
        </x:is>
      </x:c>
      <x:c r="J242" s="538" t="inlineStr">
        <x:is>
          <x:t xml:space="preserve">ARTI</x:t>
        </x:is>
      </x:c>
      <x:c r="K242" s="518" t="e">
        <x:f>HYPERLINK("https://okcountyrecords.com/detail/roger+mills/2001-000618","OKCountyRecords: 2001-000618")</x:f>
      </x:c>
      <x:c r="L242" s="519" t="inlineStr">
        <x:is>
          <x:t xml:space="preserve">Mineral; amount not stated — confirm from instrument. Gross=tract-map basis.</x:t>
        </x:is>
      </x:c>
      <x:c r="M242" s="519" t="inlineStr">
        <x:is>
          <x:t xml:space="preserve">CURRENT OWNER SOURCE</x:t>
        </x:is>
      </x:c>
      <x:c r="N242" s="519" t="n"/>
      <x:c r="O242" s="519" t="inlineStr">
        <x:is>
          <x:t xml:space="preserve">OUTSIDE LANDS</x:t>
        </x:is>
      </x:c>
      <x:c r="P242" s="520" t="inlineStr">
        <x:is>
          <x:t xml:space="preserve">Chain — title support (succession/entity/probate)</x:t>
        </x:is>
      </x:c>
      <x:c r="Q242" s="520" t="inlineStr">
        <x:is>
          <x:t xml:space="preserve">Yes</x:t>
        </x:is>
      </x:c>
      <x:c r="R242" s="520" t="inlineStr">
        <x:is>
          <x:t xml:space="preserve">No</x:t>
        </x:is>
      </x:c>
      <x:c r="S242" s="520" t="inlineStr">
        <x:is>
          <x:t xml:space="preserve">Yes</x:t>
        </x:is>
      </x:c>
      <x:c r="T242" s="520" t="inlineStr">
        <x:is>
          <x:t xml:space="preserve">No</x:t>
        </x:is>
      </x:c>
      <x:c r="U242" s="520" t="inlineStr">
        <x:is>
          <x:t xml:space="preserve">Yes: 1, 2, 3 (broad legal)</x:t>
        </x:is>
      </x:c>
      <x:c r="V242" s="520" t="inlineStr">
        <x:is>
          <x:t xml:space="preserve">Medium</x:t>
        </x:is>
      </x:c>
      <x:c r="W242" s="520" t="inlineStr">
        <x:is>
          <x:t xml:space="preserve">Review — no exact prior-grantee match</x:t>
        </x:is>
      </x:c>
      <x:c r="X242" s="520" t="inlineStr">
        <x:is>
          <x:t xml:space="preserve">Review</x:t>
        </x:is>
      </x:c>
      <x:c r="Y242" s="520" t="inlineStr">
        <x:is>
          <x:t xml:space="preserve">Interest amount needs review</x:t>
        </x:is>
      </x:c>
      <x:c r="Z242" s="520" t="inlineStr">
        <x:is>
          <x:t xml:space="preserve">Review</x:t>
        </x:is>
      </x:c>
      <x:c r="AA242" s="520" t="inlineStr">
        <x:is>
          <x:t xml:space="preserve">Order — Oklahoma County Court, to Laurence L. Crouse, 1/4, (1634/353)</x:t>
        </x:is>
      </x:c>
      <x:c r="AB242" s="520" t="inlineStr">
        <x:is>
          <x:t xml:space="preserve">Needs source review: grantor source, interest amount</x:t>
        </x:is>
      </x:c>
    </x:row>
    <x:row r="243" s="520" customFormat="1" ht="84" customHeight="1">
      <x:c r="A243" s="519" t="inlineStr">
        <x:is>
          <x:t xml:space="preserve">2001-000619</x:t>
        </x:is>
      </x:c>
      <x:c r="B243" s="536" t="n"/>
      <x:c r="C243" s="536" t="inlineStr">
        <x:is>
          <x:t xml:space="preserve">Quit Claim Deed</x:t>
        </x:is>
      </x:c>
      <x:c r="D243" s="536" t="inlineStr">
        <x:is>
          <x:t xml:space="preserve">1634/367</x:t>
        </x:is>
      </x:c>
      <x:c r="E243" s="537" t="n">
        <x:v>36881</x:v>
      </x:c>
      <x:c r="F243" s="537" t="n">
        <x:v>36935</x:v>
      </x:c>
      <x:c r="G243" s="538" t="inlineStr">
        <x:is>
          <x:t xml:space="preserve">Michael Best and Angale L. Best, HW,
Letha M. Crouse, a single woman,
Aaron Smoot and Lara L. Smoot, HW</x:t>
        </x:is>
      </x:c>
      <x:c r="H243" s="538" t="inlineStr">
        <x:is>
          <x:t xml:space="preserve">The Crouse Family TRUST, a Trust dated October 8. 1999</x:t>
        </x:is>
      </x:c>
      <x:c r="I243" s="538" t="inlineStr">
        <x:is>
          <x:t xml:space="preserve">NE/4, a tract of land in 1-12N-24W, described by metes and bounds as follows: Beginning at a point 1281.6 feet West of the NW corner of the NE/4, thence East 64.8 feet, thence South 3300 feet, thence East 64.8 feet, thence North 3300 feet to the point of beginning, containing 4.91 acres, more or less, aol</x:t>
        </x:is>
      </x:c>
      <x:c r="J243" s="538" t="inlineStr">
        <x:is>
          <x:t xml:space="preserve">ARTI,
Letha M. Crouse received 1/4 of Patsy J. Crouse's estate by 1634/353
Lara L. Smoot received 1/4 of Patsy J. Crouse's estate by 1634/353
Anagale L. Best received 1/4 of Patsy J. Crouse's estate by 1634/353</x:t>
        </x:is>
      </x:c>
      <x:c r="K243" s="518" t="e">
        <x:f>HYPERLINK("https://okcountyrecords.com/detail/roger+mills/2001-000619","OKCountyRecords: 2001-000619")</x:f>
      </x:c>
      <x:c r="L243" s="519" t="inlineStr">
        <x:is>
          <x:t xml:space="preserve">Mineral; basis Conv Amt(dec). Gross=tract-map basis.</x:t>
        </x:is>
      </x:c>
      <x:c r="M243" s="519" t="n"/>
      <x:c r="N243" s="519" t="n"/>
      <x:c r="O243" s="519" t="inlineStr">
        <x:is>
          <x:t xml:space="preserve">OUTSIDE LANDS</x:t>
        </x:is>
      </x:c>
      <x:c r="P243" s="520" t="inlineStr">
        <x:is>
          <x:t xml:space="preserve">Chain — deed (confirm minerals vs surface from instrument)</x:t>
        </x:is>
      </x:c>
      <x:c r="Q243" s="520" t="inlineStr">
        <x:is>
          <x:t xml:space="preserve">Yes</x:t>
        </x:is>
      </x:c>
      <x:c r="R243" s="520" t="inlineStr">
        <x:is>
          <x:t xml:space="preserve">No</x:t>
        </x:is>
      </x:c>
      <x:c r="S243" s="520" t="inlineStr">
        <x:is>
          <x:t xml:space="preserve">Review</x:t>
        </x:is>
      </x:c>
      <x:c r="T243" s="520" t="inlineStr">
        <x:is>
          <x:t xml:space="preserve">No</x:t>
        </x:is>
      </x:c>
      <x:c r="U243" s="520" t="inlineStr">
        <x:is>
          <x:t xml:space="preserve">Yes: 1, 2, 3 (broad legal)</x:t>
        </x:is>
      </x:c>
      <x:c r="V243" s="520" t="inlineStr">
        <x:is>
          <x:t xml:space="preserve">Medium</x:t>
        </x:is>
      </x:c>
      <x:c r="W243" s="520" t="inlineStr">
        <x:is>
          <x:t xml:space="preserve">Review — no exact prior-grantee match</x:t>
        </x:is>
      </x:c>
      <x:c r="X243" s="520" t="inlineStr">
        <x:is>
          <x:t xml:space="preserve">Yes — on Tract 3 owner list</x:t>
        </x:is>
      </x:c>
      <x:c r="Y243" s="520" t="inlineStr">
        <x:is>
          <x:t xml:space="preserve">Candidate 1 (helper — confirm from image)</x:t>
        </x:is>
      </x:c>
      <x:c r="Z243" s="520" t="inlineStr">
        <x:is>
          <x:t xml:space="preserve">Medium — helper value</x:t>
        </x:is>
      </x:c>
      <x:c r="AA243" s="520" t="inlineStr">
        <x:is>
          <x:t xml:space="preserve">Quit Claim Deed — Michael Best and Angale L. Bes to The Crouse Family TRUST, a Tru (1634/367)</x:t>
        </x:is>
      </x:c>
      <x:c r="AB243" s="520" t="inlineStr">
        <x:is>
          <x:t xml:space="preserve">Needs source review: grantor source</x:t>
        </x:is>
      </x:c>
    </x:row>
    <x:row r="244" s="520" customFormat="1" ht="72" customHeight="1">
      <x:c r="A244" s="519" t="inlineStr">
        <x:is>
          <x:t xml:space="preserve">2001-000103</x:t>
        </x:is>
      </x:c>
      <x:c r="B244" s="536" t="n"/>
      <x:c r="C244" s="536" t="inlineStr">
        <x:is>
          <x:t xml:space="preserve">Mineral Deed</x:t>
        </x:is>
      </x:c>
      <x:c r="D244" s="536" t="inlineStr">
        <x:is>
          <x:t xml:space="preserve">1631/416</x:t>
        </x:is>
      </x:c>
      <x:c r="E244" s="537" t="n">
        <x:v>36896</x:v>
      </x:c>
      <x:c r="F244" s="537" t="n">
        <x:v>36899</x:v>
      </x:c>
      <x:c r="G244" s="538" t="inlineStr">
        <x:is>
          <x:t xml:space="preserve">William C. Bain Jr.</x:t>
        </x:is>
      </x:c>
      <x:c r="H244" s="538" t="inlineStr">
        <x:is>
          <x:t xml:space="preserve">Donald R. Bain,
Melvin F. Bain,
Peggy J. Brawner,
Marilyn L. Broyles,
Leona I. Degrande,
Charlotte F. Willert</x:t>
        </x:is>
      </x:c>
      <x:c r="I244" s="538" t="inlineStr">
        <x:is>
          <x:t xml:space="preserve">NW/4 SE/4, S/2 SE/4, SW/4 NE/4 of 31-12N-24W, aol</x:t>
        </x:is>
      </x:c>
      <x:c r="J244" s="538" t="inlineStr">
        <x:is>
          <x:t xml:space="preserve">ARTI</x:t>
        </x:is>
      </x:c>
      <x:c r="K244" s="518" t="e">
        <x:f>HYPERLINK("https://okcountyrecords.com/detail/roger+mills/2001-000103","OKCountyRecords: 2001-000103")</x:f>
      </x:c>
      <x:c r="L244" s="519" t="inlineStr">
        <x:is>
          <x:t xml:space="preserve">Mineral; basis Conv Amt(dec). Gross=tract-map basis.</x:t>
        </x:is>
      </x:c>
      <x:c r="M244" s="519" t="inlineStr">
        <x:is>
          <x:t xml:space="preserve">CURRENT OWNER SOURCE</x:t>
        </x:is>
      </x:c>
      <x:c r="N244" s="519" t="n"/>
      <x:c r="O244" s="519" t="inlineStr">
        <x:is>
          <x:t xml:space="preserve">OUTSIDE LANDS</x:t>
        </x:is>
      </x:c>
      <x:c r="P244" s="520" t="inlineStr">
        <x:is>
          <x:t xml:space="preserve">Chain — minerals</x:t>
        </x:is>
      </x:c>
      <x:c r="Q244" s="520" t="inlineStr">
        <x:is>
          <x:t xml:space="preserve">Yes</x:t>
        </x:is>
      </x:c>
      <x:c r="R244" s="520" t="inlineStr">
        <x:is>
          <x:t xml:space="preserve">No</x:t>
        </x:is>
      </x:c>
      <x:c r="S244" s="520" t="inlineStr">
        <x:is>
          <x:t xml:space="preserve">Yes</x:t>
        </x:is>
      </x:c>
      <x:c r="T244" s="520" t="inlineStr">
        <x:is>
          <x:t xml:space="preserve">No</x:t>
        </x:is>
      </x:c>
      <x:c r="U244" s="520" t="inlineStr">
        <x:is>
          <x:t xml:space="preserve">Yes: 2 (legal supports)</x:t>
        </x:is>
      </x:c>
      <x:c r="V244" s="520" t="inlineStr">
        <x:is>
          <x:t xml:space="preserve">High</x:t>
        </x:is>
      </x:c>
      <x:c r="W244" s="520" t="inlineStr">
        <x:is>
          <x:t xml:space="preserve">Yes — prior grantee match</x:t>
        </x:is>
      </x:c>
      <x:c r="X244" s="520" t="inlineStr">
        <x:is>
          <x:t xml:space="preserve">Yes — on Tract 2 owner list</x:t>
        </x:is>
      </x:c>
      <x:c r="Y244" s="520" t="inlineStr">
        <x:is>
          <x:t xml:space="preserve">Candidate 1 (helper — confirm from image)</x:t>
        </x:is>
      </x:c>
      <x:c r="Z244" s="520" t="inlineStr">
        <x:is>
          <x:t xml:space="preserve">Medium — helper value</x:t>
        </x:is>
      </x:c>
      <x:c r="AA244" s="520" t="inlineStr">
        <x:is>
          <x:t xml:space="preserve">Mineral Deed — William C. Bain Jr. to Donald R. Bain, (1631/416)</x:t>
        </x:is>
      </x:c>
    </x:row>
    <x:row r="245" s="520" customFormat="1" ht="48" customHeight="1">
      <x:c r="A245" s="519" t="inlineStr">
        <x:is>
          <x:t xml:space="preserve">2001-000921</x:t>
        </x:is>
      </x:c>
      <x:c r="B245" s="536" t="n"/>
      <x:c r="C245" s="536" t="inlineStr">
        <x:is>
          <x:t xml:space="preserve">Mineral Deed</x:t>
        </x:is>
      </x:c>
      <x:c r="D245" s="536" t="inlineStr">
        <x:is>
          <x:t xml:space="preserve">1636/544</x:t>
        </x:is>
      </x:c>
      <x:c r="E245" s="537" t="n">
        <x:v>36921</x:v>
      </x:c>
      <x:c r="F245" s="537" t="n">
        <x:v>36956</x:v>
      </x:c>
      <x:c r="G245" s="538" t="inlineStr">
        <x:is>
          <x:t xml:space="preserve">Dow C. Bain</x:t>
        </x:is>
      </x:c>
      <x:c r="H245" s="538" t="inlineStr">
        <x:is>
          <x:t xml:space="preserve">Dow C. Bain and Edris O. Bain Trustees, or their Successors in Trust, under The Bain Family Trust</x:t>
        </x:is>
      </x:c>
      <x:c r="I245" s="538" t="inlineStr">
        <x:is>
          <x:t xml:space="preserve">NW/4 SE/4, S/2 SE/4, SW/4 NE/4 of 31-12N-24W</x:t>
        </x:is>
      </x:c>
      <x:c r="J245" s="538" t="inlineStr">
        <x:is>
          <x:t xml:space="preserve">An undivided 3.33333/791.47 acre interest in and to the oil, gas and other minerals in 2 sections</x:t>
        </x:is>
      </x:c>
      <x:c r="K245" s="518" t="e">
        <x:f>HYPERLINK("https://okcountyrecords.com/detail/roger+mills/2001-000921","OKCountyRecords: 2001-000921")</x:f>
      </x:c>
      <x:c r="L245" s="519" t="inlineStr">
        <x:is>
          <x:t xml:space="preserve">Mineral; basis Conv Amt(dec). Gross=tract-map basis.</x:t>
        </x:is>
      </x:c>
      <x:c r="M245" s="519" t="inlineStr">
        <x:is>
          <x:t xml:space="preserve">CURRENT OWNER SOURCE</x:t>
        </x:is>
      </x:c>
      <x:c r="N245" s="519" t="n"/>
      <x:c r="O245" s="519" t="inlineStr">
        <x:is>
          <x:t xml:space="preserve">MINERAL DEED</x:t>
        </x:is>
      </x:c>
      <x:c r="P245" s="520" t="inlineStr">
        <x:is>
          <x:t xml:space="preserve">Chain — minerals</x:t>
        </x:is>
      </x:c>
      <x:c r="Q245" s="520" t="inlineStr">
        <x:is>
          <x:t xml:space="preserve">Yes</x:t>
        </x:is>
      </x:c>
      <x:c r="R245" s="520" t="inlineStr">
        <x:is>
          <x:t xml:space="preserve">No</x:t>
        </x:is>
      </x:c>
      <x:c r="S245" s="520" t="inlineStr">
        <x:is>
          <x:t xml:space="preserve">Yes</x:t>
        </x:is>
      </x:c>
      <x:c r="T245" s="520" t="inlineStr">
        <x:is>
          <x:t xml:space="preserve">No</x:t>
        </x:is>
      </x:c>
      <x:c r="U245" s="520" t="inlineStr">
        <x:is>
          <x:t xml:space="preserve">Yes: 2 (legal supports)</x:t>
        </x:is>
      </x:c>
      <x:c r="V245" s="520" t="inlineStr">
        <x:is>
          <x:t xml:space="preserve">High</x:t>
        </x:is>
      </x:c>
      <x:c r="W245" s="520" t="inlineStr">
        <x:is>
          <x:t xml:space="preserve">Yes — prior grantee match</x:t>
        </x:is>
      </x:c>
      <x:c r="X245" s="520" t="inlineStr">
        <x:is>
          <x:t xml:space="preserve">Review</x:t>
        </x:is>
      </x:c>
      <x:c r="Y245" s="520" t="inlineStr">
        <x:is>
          <x:t xml:space="preserve">Candidate 0.00421156834750528 (helper — confirm from image)</x:t>
        </x:is>
      </x:c>
      <x:c r="Z245" s="520" t="inlineStr">
        <x:is>
          <x:t xml:space="preserve">Medium — helper value</x:t>
        </x:is>
      </x:c>
      <x:c r="AA245" s="520" t="inlineStr">
        <x:is>
          <x:t xml:space="preserve">Mineral Deed — Dow C. Bain to Dow C. Bain and Edris O. Bain (1636/544)</x:t>
        </x:is>
      </x:c>
    </x:row>
    <x:row r="246" s="520" customFormat="1" ht="48" customHeight="1">
      <x:c r="A246" s="519" t="inlineStr">
        <x:is>
          <x:t xml:space="preserve">2001-000926</x:t>
        </x:is>
      </x:c>
      <x:c r="B246" s="536" t="n"/>
      <x:c r="C246" s="536" t="inlineStr">
        <x:is>
          <x:t xml:space="preserve">Mineral Deed</x:t>
        </x:is>
      </x:c>
      <x:c r="D246" s="536" t="inlineStr">
        <x:is>
          <x:t xml:space="preserve">1636/554</x:t>
        </x:is>
      </x:c>
      <x:c r="E246" s="537" t="n">
        <x:v>36921</x:v>
      </x:c>
      <x:c r="F246" s="537" t="n">
        <x:v>36956</x:v>
      </x:c>
      <x:c r="G246" s="538" t="inlineStr">
        <x:is>
          <x:t xml:space="preserve">Dow C. Bain and Edris O. Bain, HW</x:t>
        </x:is>
      </x:c>
      <x:c r="H246" s="538" t="inlineStr">
        <x:is>
          <x:t xml:space="preserve">Dow C. Bain and Edris O. Bain Trustees, or their Successors in Trust, under The Bain Family Trust</x:t>
        </x:is>
      </x:c>
      <x:c r="I246" s="538" t="inlineStr">
        <x:is>
          <x:t xml:space="preserve">NW/4 SE/4, S/2 SE/4, SW/4 NE/4 of 31-12N-24W, aol</x:t>
        </x:is>
      </x:c>
      <x:c r="J246" s="538" t="inlineStr">
        <x:is>
          <x:t xml:space="preserve">ARTI</x:t>
        </x:is>
      </x:c>
      <x:c r="K246" s="518" t="e">
        <x:f>HYPERLINK("https://okcountyrecords.com/detail/roger+mills/2001-000926","OKCountyRecords: 2001-000926")</x:f>
      </x:c>
      <x:c r="L246" s="519" t="inlineStr">
        <x:is>
          <x:t xml:space="preserve">Mineral; basis Conv Amt(dec). Gross=tract-map basis.</x:t>
        </x:is>
      </x:c>
      <x:c r="M246" s="519" t="inlineStr">
        <x:is>
          <x:t xml:space="preserve">CURRENT OWNER SOURCE</x:t>
        </x:is>
      </x:c>
      <x:c r="N246" s="519" t="n"/>
      <x:c r="O246" s="519" t="inlineStr">
        <x:is>
          <x:t xml:space="preserve">OUTSIDE LANDS</x:t>
        </x:is>
      </x:c>
      <x:c r="P246" s="520" t="inlineStr">
        <x:is>
          <x:t xml:space="preserve">Chain — minerals</x:t>
        </x:is>
      </x:c>
      <x:c r="Q246" s="520" t="inlineStr">
        <x:is>
          <x:t xml:space="preserve">Yes</x:t>
        </x:is>
      </x:c>
      <x:c r="R246" s="520" t="inlineStr">
        <x:is>
          <x:t xml:space="preserve">No</x:t>
        </x:is>
      </x:c>
      <x:c r="S246" s="520" t="inlineStr">
        <x:is>
          <x:t xml:space="preserve">Yes</x:t>
        </x:is>
      </x:c>
      <x:c r="T246" s="520" t="inlineStr">
        <x:is>
          <x:t xml:space="preserve">No</x:t>
        </x:is>
      </x:c>
      <x:c r="U246" s="520" t="inlineStr">
        <x:is>
          <x:t xml:space="preserve">Yes: 2 (legal supports)</x:t>
        </x:is>
      </x:c>
      <x:c r="V246" s="520" t="inlineStr">
        <x:is>
          <x:t xml:space="preserve">High</x:t>
        </x:is>
      </x:c>
      <x:c r="W246" s="520" t="inlineStr">
        <x:is>
          <x:t xml:space="preserve">Probable — name-normalized match to Runsheet 245 grantee; confirm</x:t>
        </x:is>
      </x:c>
      <x:c r="X246" s="520" t="inlineStr">
        <x:is>
          <x:t xml:space="preserve">Review</x:t>
        </x:is>
      </x:c>
      <x:c r="Y246" s="520" t="inlineStr">
        <x:is>
          <x:t xml:space="preserve">Candidate 1 (helper — confirm from image)</x:t>
        </x:is>
      </x:c>
      <x:c r="Z246" s="520" t="inlineStr">
        <x:is>
          <x:t xml:space="preserve">Medium — helper value</x:t>
        </x:is>
      </x:c>
      <x:c r="AA246" s="520" t="inlineStr">
        <x:is>
          <x:t xml:space="preserve">Mineral Deed — Dow C. Bain and Edris O. Bain, to Dow C. Bain and Edris O. Bain (1636/554)</x:t>
        </x:is>
      </x:c>
      <x:c r="AB246" s="520" t="inlineStr">
        <x:is>
          <x:t xml:space="preserve">Needs source review: grantor source</x:t>
        </x:is>
      </x:c>
    </x:row>
    <x:row r="247" s="520" customFormat="1" ht="48" customHeight="1">
      <x:c r="A247" s="519" t="inlineStr">
        <x:is>
          <x:t xml:space="preserve">2001-000927</x:t>
        </x:is>
      </x:c>
      <x:c r="B247" s="536" t="n"/>
      <x:c r="C247" s="536" t="inlineStr">
        <x:is>
          <x:t xml:space="preserve">Mineral Deed</x:t>
        </x:is>
      </x:c>
      <x:c r="D247" s="536" t="inlineStr">
        <x:is>
          <x:t xml:space="preserve">1636/556</x:t>
        </x:is>
      </x:c>
      <x:c r="E247" s="537" t="n">
        <x:v>36921</x:v>
      </x:c>
      <x:c r="F247" s="537" t="n">
        <x:v>36956</x:v>
      </x:c>
      <x:c r="G247" s="538" t="inlineStr">
        <x:is>
          <x:t xml:space="preserve">Dow C. Bain and Or Edris O. Bain, HW, JTWROS</x:t>
        </x:is>
      </x:c>
      <x:c r="H247" s="538" t="inlineStr">
        <x:is>
          <x:t xml:space="preserve">Dow C. Bain and Edris O. Bain Trustees, or their Successors in Trust, under The Bain Family Trust</x:t>
        </x:is>
      </x:c>
      <x:c r="I247" s="538" t="inlineStr">
        <x:is>
          <x:t xml:space="preserve">NW/4 SE/4, S/2 SE/4, SW/4 NE/4 of 31-12N-24W</x:t>
        </x:is>
      </x:c>
      <x:c r="J247" s="538" t="inlineStr">
        <x:is>
          <x:t xml:space="preserve">ARTI, It is the intent to convey 8.0862 acres.</x:t>
        </x:is>
      </x:c>
      <x:c r="K247" s="518" t="e">
        <x:f>HYPERLINK("https://okcountyrecords.com/detail/roger+mills/2001-000927","OKCountyRecords: 2001-000927")</x:f>
      </x:c>
      <x:c r="L247" s="519" t="inlineStr">
        <x:is>
          <x:t xml:space="preserve">Mineral; basis Conv Amt(dec). Gross=tract-map basis.</x:t>
        </x:is>
      </x:c>
      <x:c r="M247" s="519" t="inlineStr">
        <x:is>
          <x:t xml:space="preserve">CURRENT OWNER SOURCE</x:t>
        </x:is>
      </x:c>
      <x:c r="N247" s="519" t="inlineStr">
        <x:is>
          <x:t xml:space="preserve">Conveys 8.0862 acres per notes; conv. dec = 8.0862/gross. Verify denominator/tract from image.</x:t>
        </x:is>
      </x:c>
      <x:c r="O247" s="519" t="inlineStr">
        <x:is>
          <x:t xml:space="preserve">MINERAL DEED</x:t>
        </x:is>
      </x:c>
      <x:c r="P247" s="520" t="inlineStr">
        <x:is>
          <x:t xml:space="preserve">Chain — minerals</x:t>
        </x:is>
      </x:c>
      <x:c r="Q247" s="520" t="inlineStr">
        <x:is>
          <x:t xml:space="preserve">Yes</x:t>
        </x:is>
      </x:c>
      <x:c r="R247" s="520" t="inlineStr">
        <x:is>
          <x:t xml:space="preserve">No</x:t>
        </x:is>
      </x:c>
      <x:c r="S247" s="520" t="inlineStr">
        <x:is>
          <x:t xml:space="preserve">Yes</x:t>
        </x:is>
      </x:c>
      <x:c r="T247" s="520" t="inlineStr">
        <x:is>
          <x:t xml:space="preserve">No</x:t>
        </x:is>
      </x:c>
      <x:c r="U247" s="520" t="inlineStr">
        <x:is>
          <x:t xml:space="preserve">Yes: 2 (legal supports)</x:t>
        </x:is>
      </x:c>
      <x:c r="V247" s="520" t="inlineStr">
        <x:is>
          <x:t xml:space="preserve">High</x:t>
        </x:is>
      </x:c>
      <x:c r="W247" s="520" t="inlineStr">
        <x:is>
          <x:t xml:space="preserve">Probable — name-normalized match to Runsheet 246 grantee; confirm</x:t>
        </x:is>
      </x:c>
      <x:c r="X247" s="520" t="inlineStr">
        <x:is>
          <x:t xml:space="preserve">Review</x:t>
        </x:is>
      </x:c>
      <x:c r="Y247" s="520" t="inlineStr">
        <x:is>
          <x:t xml:space="preserve">Candidate 0.05053875 (helper — confirm from image)</x:t>
        </x:is>
      </x:c>
      <x:c r="Z247" s="520" t="inlineStr">
        <x:is>
          <x:t xml:space="preserve">Medium — helper value</x:t>
        </x:is>
      </x:c>
      <x:c r="AA247" s="520" t="inlineStr">
        <x:is>
          <x:t xml:space="preserve">Mineral Deed — Dow C. Bain and Or Edris O. Ba to Dow C. Bain and Edris O. Bain (1636/556)</x:t>
        </x:is>
      </x:c>
      <x:c r="AB247" s="520" t="inlineStr">
        <x:is>
          <x:t xml:space="preserve">Needs source review: grantor source</x:t>
        </x:is>
      </x:c>
    </x:row>
    <x:row r="248" s="520" customFormat="1" ht="48" customHeight="1">
      <x:c r="A248" s="519" t="inlineStr">
        <x:is>
          <x:t xml:space="preserve">2001-000957</x:t>
        </x:is>
      </x:c>
      <x:c r="B248" s="536" t="n"/>
      <x:c r="C248" s="536" t="inlineStr">
        <x:is>
          <x:t xml:space="preserve">Mineral Deed</x:t>
        </x:is>
      </x:c>
      <x:c r="D248" s="536" t="inlineStr">
        <x:is>
          <x:t xml:space="preserve">1637/26</x:t>
        </x:is>
      </x:c>
      <x:c r="E248" s="537" t="n">
        <x:v>36922</x:v>
      </x:c>
      <x:c r="F248" s="537" t="n">
        <x:v>36957</x:v>
      </x:c>
      <x:c r="G248" s="538" t="inlineStr">
        <x:is>
          <x:t xml:space="preserve">Nanalee Faye Barnett</x:t>
        </x:is>
      </x:c>
      <x:c r="H248" s="538" t="inlineStr">
        <x:is>
          <x:t xml:space="preserve">Arrowhead Resources, Inc.</x:t>
        </x:is>
      </x:c>
      <x:c r="I248" s="538" t="inlineStr">
        <x:is>
          <x:t xml:space="preserve">E/2 NW/4, N/2 NE/4 SW/4, NE/4 SE/4, SE/4 NE/4 of 31-12N-24W, aol</x:t>
        </x:is>
      </x:c>
      <x:c r="J248" s="538" t="inlineStr">
        <x:is>
          <x:t xml:space="preserve">ARTI</x:t>
        </x:is>
      </x:c>
      <x:c r="K248" s="518" t="e">
        <x:f>HYPERLINK("https://okcountyrecords.com/detail/roger+mills/2001-000957","OKCountyRecords: 2001-000957")</x:f>
      </x:c>
      <x:c r="L248" s="519" t="inlineStr">
        <x:is>
          <x:t xml:space="preserve">Mineral; basis Conv Amt(dec). Gross=tract-map basis.</x:t>
        </x:is>
      </x:c>
      <x:c r="M248" s="519" t="inlineStr">
        <x:is>
          <x:t xml:space="preserve">CURRENT OWNER SOURCE</x:t>
        </x:is>
      </x:c>
      <x:c r="N248" s="519" t="n"/>
      <x:c r="O248" s="519" t="inlineStr">
        <x:is>
          <x:t xml:space="preserve">OUTSIDE LANDS</x:t>
        </x:is>
      </x:c>
      <x:c r="P248" s="520" t="inlineStr">
        <x:is>
          <x:t xml:space="preserve">Chain — minerals</x:t>
        </x:is>
      </x:c>
      <x:c r="Q248" s="520" t="inlineStr">
        <x:is>
          <x:t xml:space="preserve">Yes</x:t>
        </x:is>
      </x:c>
      <x:c r="R248" s="520" t="inlineStr">
        <x:is>
          <x:t xml:space="preserve">No</x:t>
        </x:is>
      </x:c>
      <x:c r="S248" s="520" t="inlineStr">
        <x:is>
          <x:t xml:space="preserve">Yes</x:t>
        </x:is>
      </x:c>
      <x:c r="T248" s="520" t="inlineStr">
        <x:is>
          <x:t xml:space="preserve">No</x:t>
        </x:is>
      </x:c>
      <x:c r="U248" s="520" t="inlineStr">
        <x:is>
          <x:t xml:space="preserve">Legal maps to 1, 3, 4, 7, 10; helper says 1, 3, 4, 7, 8</x:t>
        </x:is>
      </x:c>
      <x:c r="V248" s="520" t="inlineStr">
        <x:is>
          <x:t xml:space="preserve">Review</x:t>
        </x:is>
      </x:c>
      <x:c r="W248" s="520" t="inlineStr">
        <x:is>
          <x:t xml:space="preserve">Review — no exact prior-grantee match</x:t>
        </x:is>
      </x:c>
      <x:c r="X248" s="520" t="inlineStr">
        <x:is>
          <x:t xml:space="preserve">Yes — on Tract 3 owner list</x:t>
        </x:is>
      </x:c>
      <x:c r="Y248" s="520" t="inlineStr">
        <x:is>
          <x:t xml:space="preserve">Candidate 1 (helper — confirm from image)</x:t>
        </x:is>
      </x:c>
      <x:c r="Z248" s="520" t="inlineStr">
        <x:is>
          <x:t xml:space="preserve">Medium — helper value</x:t>
        </x:is>
      </x:c>
      <x:c r="AA248" s="520" t="inlineStr">
        <x:is>
          <x:t xml:space="preserve">Mineral Deed — Nanalee Faye Barnett to Arrowhead Resources, Inc. (1637/26)</x:t>
        </x:is>
      </x:c>
      <x:c r="AB248" s="520" t="inlineStr">
        <x:is>
          <x:t xml:space="preserve">Needs source review: tract, grantor source</x:t>
        </x:is>
      </x:c>
    </x:row>
    <x:row r="249" s="520" customFormat="1" ht="48" customHeight="1">
      <x:c r="A249" s="519" t="inlineStr">
        <x:is>
          <x:t xml:space="preserve">2001-001091</x:t>
        </x:is>
      </x:c>
      <x:c r="B249" s="536" t="n"/>
      <x:c r="C249" s="536" t="inlineStr">
        <x:is>
          <x:t xml:space="preserve">Affidavit</x:t>
        </x:is>
      </x:c>
      <x:c r="D249" s="536" t="inlineStr">
        <x:is>
          <x:t xml:space="preserve">1637/471</x:t>
        </x:is>
      </x:c>
      <x:c r="E249" s="537" t="n">
        <x:v>36949</x:v>
      </x:c>
      <x:c r="F249" s="537" t="n">
        <x:v>36969</x:v>
      </x:c>
      <x:c r="G249" s="538" t="inlineStr">
        <x:is>
          <x:t xml:space="preserve">Thomas B. Goodwin</x:t>
        </x:is>
      </x:c>
      <x:c r="H249" s="538" t="inlineStr">
        <x:is>
          <x:t xml:space="preserve">The Public</x:t>
        </x:is>
      </x:c>
      <x:c r="I249" s="538" t="inlineStr">
        <x:is>
          <x:t xml:space="preserve">NW/4 NE/4 of 31-12N-24W, aol</x:t>
        </x:is>
      </x:c>
      <x:c r="J249" s="538" t="inlineStr">
        <x:is>
          <x:t xml:space="preserve">Affidavit and Certificate of Trust, which is in the possession of Laurence L. Crouse, Trustee of the Crouse Family Trust dated October 8, 1999.</x:t>
        </x:is>
      </x:c>
      <x:c r="K249" s="518" t="e">
        <x:f>HYPERLINK("https://okcountyrecords.com/detail/roger+mills/2001-001091","OKCountyRecords: 2001-001091")</x:f>
      </x:c>
      <x:c r="L249" s="519" t="inlineStr">
        <x:is>
          <x:t xml:space="preserve">Other (non-mineral; excluded from mineral NMA). Gross=tract-map basis.</x:t>
        </x:is>
      </x:c>
      <x:c r="M249" s="519" t="inlineStr">
        <x:is>
          <x:t xml:space="preserve">OK</x:t>
        </x:is>
      </x:c>
      <x:c r="N249" s="519" t="inlineStr">
        <x:is>
          <x:t xml:space="preserve">Non-conveying — notice/affidavit/address change (The Public).</x:t>
        </x:is>
      </x:c>
      <x:c r="O249" s="519" t="inlineStr">
        <x:is>
          <x:t xml:space="preserve">OUTSIDE LANDS</x:t>
        </x:is>
      </x:c>
      <x:c r="P249" s="520" t="inlineStr">
        <x:is>
          <x:t xml:space="preserve">Chain — title support (succession/entity/probate)</x:t>
        </x:is>
      </x:c>
      <x:c r="Q249" s="520" t="inlineStr">
        <x:is>
          <x:t xml:space="preserve">Yes</x:t>
        </x:is>
      </x:c>
      <x:c r="R249" s="520" t="inlineStr">
        <x:is>
          <x:t xml:space="preserve">No</x:t>
        </x:is>
      </x:c>
      <x:c r="S249" s="520" t="inlineStr">
        <x:is>
          <x:t xml:space="preserve">Yes</x:t>
        </x:is>
      </x:c>
      <x:c r="T249" s="520" t="inlineStr">
        <x:is>
          <x:t xml:space="preserve">No</x:t>
        </x:is>
      </x:c>
      <x:c r="U249" s="520" t="inlineStr">
        <x:is>
          <x:t xml:space="preserve">Yes: 1 (legal supports)</x:t>
        </x:is>
      </x:c>
      <x:c r="V249" s="520" t="inlineStr">
        <x:is>
          <x:t xml:space="preserve">High</x:t>
        </x:is>
      </x:c>
      <x:c r="W249" s="520" t="inlineStr">
        <x:is>
          <x:t xml:space="preserve">Review — no exact prior-grantee match</x:t>
        </x:is>
      </x:c>
      <x:c r="X249" s="520" t="inlineStr">
        <x:is>
          <x:t xml:space="preserve">Review</x:t>
        </x:is>
      </x:c>
      <x:c r="Y249" s="520" t="inlineStr">
        <x:is>
          <x:t xml:space="preserve">Interest amount needs review</x:t>
        </x:is>
      </x:c>
      <x:c r="Z249" s="520" t="inlineStr">
        <x:is>
          <x:t xml:space="preserve">Review</x:t>
        </x:is>
      </x:c>
      <x:c r="AA249" s="520" t="inlineStr">
        <x:is>
          <x:t xml:space="preserve">Affidavit — Thomas B. Goodwin to The Public (1637/471)</x:t>
        </x:is>
      </x:c>
      <x:c r="AB249" s="520" t="inlineStr">
        <x:is>
          <x:t xml:space="preserve">Needs source review: grantor source, interest amount</x:t>
        </x:is>
      </x:c>
    </x:row>
    <x:row r="250" s="520" customFormat="1" ht="84" customHeight="1">
      <x:c r="A250" s="519" t="inlineStr">
        <x:is>
          <x:t xml:space="preserve">2001-001092</x:t>
        </x:is>
      </x:c>
      <x:c r="B250" s="536" t="n"/>
      <x:c r="C250" s="536" t="inlineStr">
        <x:is>
          <x:t xml:space="preserve">Quit Claim Deed</x:t>
        </x:is>
      </x:c>
      <x:c r="D250" s="536" t="inlineStr">
        <x:is>
          <x:t xml:space="preserve">1637/476</x:t>
        </x:is>
      </x:c>
      <x:c r="E250" s="537" t="n">
        <x:v>36955</x:v>
      </x:c>
      <x:c r="F250" s="537" t="n">
        <x:v>36969</x:v>
      </x:c>
      <x:c r="G250" s="538" t="inlineStr">
        <x:is>
          <x:t xml:space="preserve">The Crouse Family Trust, a Trust dated October 8, 1999</x:t>
        </x:is>
      </x:c>
      <x:c r="H250" s="538" t="inlineStr">
        <x:is>
          <x:t xml:space="preserve">The Crouse Family Limited Partnership, a limited partnership dated October 12, 1999</x:t>
        </x:is>
      </x:c>
      <x:c r="I250" s="538" t="inlineStr">
        <x:is>
          <x:t xml:space="preserve">NE/4, a tract of land in 1-12N-24W, described by metes and bounds as follows: Beginning at a point 1281.6 feet West of the NW corner of the NE/4, thence East 64.8 feet, thence South 3300 feet, thence East 64.8 feet, thence North 3300 feet to the point of beginning, containing 4.91 acres, more or less, aol</x:t>
        </x:is>
      </x:c>
      <x:c r="J250" s="538" t="inlineStr">
        <x:is>
          <x:t xml:space="preserve">ARTI</x:t>
        </x:is>
      </x:c>
      <x:c r="K250" s="518" t="e">
        <x:f>HYPERLINK("https://okcountyrecords.com/detail/roger+mills/2001-001092","OKCountyRecords: 2001-001092")</x:f>
      </x:c>
      <x:c r="L250" s="519" t="inlineStr">
        <x:is>
          <x:t xml:space="preserve">Mineral; basis Conv Amt(dec). Gross=tract-map basis.</x:t>
        </x:is>
      </x:c>
      <x:c r="M250" s="519" t="inlineStr">
        <x:is>
          <x:t xml:space="preserve">CURRENT OWNER SOURCE</x:t>
        </x:is>
      </x:c>
      <x:c r="N250" s="519" t="n"/>
      <x:c r="O250" s="519" t="inlineStr">
        <x:is>
          <x:t xml:space="preserve">OUTSIDE LANDS</x:t>
        </x:is>
      </x:c>
      <x:c r="P250" s="520" t="inlineStr">
        <x:is>
          <x:t xml:space="preserve">Chain — deed (confirm minerals vs surface from instrument)</x:t>
        </x:is>
      </x:c>
      <x:c r="Q250" s="520" t="inlineStr">
        <x:is>
          <x:t xml:space="preserve">Yes</x:t>
        </x:is>
      </x:c>
      <x:c r="R250" s="520" t="inlineStr">
        <x:is>
          <x:t xml:space="preserve">No</x:t>
        </x:is>
      </x:c>
      <x:c r="S250" s="520" t="inlineStr">
        <x:is>
          <x:t xml:space="preserve">Review</x:t>
        </x:is>
      </x:c>
      <x:c r="T250" s="520" t="inlineStr">
        <x:is>
          <x:t xml:space="preserve">No</x:t>
        </x:is>
      </x:c>
      <x:c r="U250" s="520" t="inlineStr">
        <x:is>
          <x:t xml:space="preserve">Yes: 1, 2, 3 (broad legal)</x:t>
        </x:is>
      </x:c>
      <x:c r="V250" s="520" t="inlineStr">
        <x:is>
          <x:t xml:space="preserve">Medium</x:t>
        </x:is>
      </x:c>
      <x:c r="W250" s="520" t="inlineStr">
        <x:is>
          <x:t xml:space="preserve">Yes — prior grantee match</x:t>
        </x:is>
      </x:c>
      <x:c r="X250" s="520" t="inlineStr">
        <x:is>
          <x:t xml:space="preserve">Yes — on Tract 3 owner list</x:t>
        </x:is>
      </x:c>
      <x:c r="Y250" s="520" t="inlineStr">
        <x:is>
          <x:t xml:space="preserve">Candidate 1 (helper — confirm from image)</x:t>
        </x:is>
      </x:c>
      <x:c r="Z250" s="520" t="inlineStr">
        <x:is>
          <x:t xml:space="preserve">Medium — helper value</x:t>
        </x:is>
      </x:c>
      <x:c r="AA250" s="520" t="inlineStr">
        <x:is>
          <x:t xml:space="preserve">Quit Claim Deed — The Crouse Family Trust, a Tru to The Crouse Family Limited Part (1637/476)</x:t>
        </x:is>
      </x:c>
    </x:row>
    <x:row r="251" s="520" customFormat="1" ht="108" customHeight="1">
      <x:c r="A251" s="519" t="inlineStr">
        <x:is>
          <x:t xml:space="preserve">2001-001414</x:t>
        </x:is>
      </x:c>
      <x:c r="B251" s="536" t="n"/>
      <x:c r="C251" s="536" t="inlineStr">
        <x:is>
          <x:t xml:space="preserve">Mineral Deed</x:t>
        </x:is>
      </x:c>
      <x:c r="D251" s="536" t="inlineStr">
        <x:is>
          <x:t xml:space="preserve">1639/206</x:t>
        </x:is>
      </x:c>
      <x:c r="E251" s="537" t="n">
        <x:v>36957</x:v>
      </x:c>
      <x:c r="F251" s="537" t="n">
        <x:v>36987</x:v>
      </x:c>
      <x:c r="G251" s="538" t="inlineStr">
        <x:is>
          <x:t xml:space="preserve">Louise Ormand, now Louise Ormand McLerran</x:t>
        </x:is>
      </x:c>
      <x:c r="H251" s="538" t="inlineStr">
        <x:is>
          <x:t xml:space="preserve">Arrowhead Resources, Inc.</x:t>
        </x:is>
      </x:c>
      <x:c r="I251" s="538" t="inlineStr">
        <x:is>
          <x:t xml:space="preserve">E/2 NW/4, N/2 NE/4 SW/4, NE/4 SE/4, SE/4 NE/4 of 31-12N-24W</x:t>
        </x:is>
      </x:c>
      <x:c r="J251" s="538" t="inlineStr">
        <x:is>
          <x:t xml:space="preserve">ARTI
Chain note: source of title — MINERAL DEED 1990-006747 at 1176/54, Beckham County Court,
RE: In the Matter of the Estate of Annie E. Mitchel, Deceased to Glenn D. Mitchel, 1/3,
Louise Ormand, 1/3,
Mattie Britton, 1/3, covering E/2 NW/4, N/2 NE/4 SW/4, SE/4 NE/4, NE/4 SE/4 of 31-12N-24W, interest stated: ARTI, An undivided 1/26th interest. Confirm source instrument before relying on this conveyance.</x:t>
        </x:is>
      </x:c>
      <x:c r="K251" s="518" t="e">
        <x:f>HYPERLINK("https://okcountyrecords.com/detail/roger+mills/2001-001414","OKCountyRecords: 2001-001414")</x:f>
      </x:c>
      <x:c r="L251" s="519" t="inlineStr">
        <x:is>
          <x:t xml:space="preserve">Mineral; basis Conv Amt(dec). Gross=tract-map basis.</x:t>
        </x:is>
      </x:c>
      <x:c r="M251" s="519" t="inlineStr">
        <x:is>
          <x:t xml:space="preserve">CURRENT OWNER SOURCE</x:t>
        </x:is>
      </x:c>
      <x:c r="N251" s="519" t="n"/>
      <x:c r="O251" s="519" t="inlineStr">
        <x:is>
          <x:t xml:space="preserve">MINERAL DEED</x:t>
        </x:is>
      </x:c>
      <x:c r="P251" s="520" t="inlineStr">
        <x:is>
          <x:t xml:space="preserve">Chain — minerals</x:t>
        </x:is>
      </x:c>
      <x:c r="Q251" s="520" t="inlineStr">
        <x:is>
          <x:t xml:space="preserve">Yes</x:t>
        </x:is>
      </x:c>
      <x:c r="R251" s="520" t="inlineStr">
        <x:is>
          <x:t xml:space="preserve">No</x:t>
        </x:is>
      </x:c>
      <x:c r="S251" s="520" t="inlineStr">
        <x:is>
          <x:t xml:space="preserve">Yes</x:t>
        </x:is>
      </x:c>
      <x:c r="T251" s="520" t="inlineStr">
        <x:is>
          <x:t xml:space="preserve">No</x:t>
        </x:is>
      </x:c>
      <x:c r="U251" s="520" t="inlineStr">
        <x:is>
          <x:t xml:space="preserve">Legal maps to 1, 3, 4, 7, 10; helper says 1, 3, 4, 7, 8</x:t>
        </x:is>
      </x:c>
      <x:c r="V251" s="520" t="inlineStr">
        <x:is>
          <x:t xml:space="preserve">Review</x:t>
        </x:is>
      </x:c>
      <x:c r="W251" s="520" t="inlineStr">
        <x:is>
          <x:t xml:space="preserve">Review — no exact prior-grantee match</x:t>
        </x:is>
      </x:c>
      <x:c r="X251" s="520" t="inlineStr">
        <x:is>
          <x:t xml:space="preserve">Yes — on Tract 3 owner list</x:t>
        </x:is>
      </x:c>
      <x:c r="Y251" s="520" t="inlineStr">
        <x:is>
          <x:t xml:space="preserve">Candidate 1 (helper — confirm from image)</x:t>
        </x:is>
      </x:c>
      <x:c r="Z251" s="520" t="inlineStr">
        <x:is>
          <x:t xml:space="preserve">Medium — helper value</x:t>
        </x:is>
      </x:c>
      <x:c r="AA251" s="520" t="inlineStr">
        <x:is>
          <x:t xml:space="preserve">Mineral Deed — Louise Ormand, now Louise Orma to Arrowhead Resources, Inc. (1639/206)</x:t>
        </x:is>
      </x:c>
      <x:c r="AB251" s="520" t="inlineStr">
        <x:is>
          <x:t xml:space="preserve">Needs source review: tract, grantor source</x:t>
        </x:is>
      </x:c>
    </x:row>
    <x:row r="252" s="520" customFormat="1" ht="60" customHeight="1">
      <x:c r="A252" s="519" t="inlineStr">
        <x:is>
          <x:t xml:space="preserve">2001-001463</x:t>
        </x:is>
      </x:c>
      <x:c r="B252" s="536" t="n"/>
      <x:c r="C252" s="536" t="inlineStr">
        <x:is>
          <x:t xml:space="preserve">Mineral Deed</x:t>
        </x:is>
      </x:c>
      <x:c r="D252" s="536" t="inlineStr">
        <x:is>
          <x:t xml:space="preserve">1639/426</x:t>
        </x:is>
      </x:c>
      <x:c r="E252" s="537" t="n">
        <x:v>36963</x:v>
      </x:c>
      <x:c r="F252" s="537" t="n">
        <x:v>36991</x:v>
      </x:c>
      <x:c r="G252" s="538" t="inlineStr">
        <x:is>
          <x:t xml:space="preserve">Glenn D. Mitchel, a/k/a Glen D. Mitchel</x:t>
        </x:is>
      </x:c>
      <x:c r="H252" s="538" t="inlineStr">
        <x:is>
          <x:t xml:space="preserve">Arrowhead Resources, Inc.</x:t>
        </x:is>
      </x:c>
      <x:c r="I252" s="538" t="inlineStr">
        <x:is>
          <x:t xml:space="preserve">E/2 NW/4, N/2 NE/4 SW/4, NE/4 SE/4, SE/4 NE/4 of 31-12N-24W, aol</x:t>
        </x:is>
      </x:c>
      <x:c r="J252" s="538" t="inlineStr">
        <x:is>
          <x:t xml:space="preserve">ARTI</x:t>
        </x:is>
      </x:c>
      <x:c r="K252" s="518" t="e">
        <x:f>HYPERLINK("https://okcountyrecords.com/detail/roger+mills/2001-001463","OKCountyRecords: 2001-001463")</x:f>
      </x:c>
      <x:c r="L252" s="519" t="inlineStr">
        <x:is>
          <x:t xml:space="preserve">Mineral; basis Conv Amt(dec). Gross=tract-map basis.</x:t>
        </x:is>
      </x:c>
      <x:c r="M252" s="519" t="inlineStr">
        <x:is>
          <x:t xml:space="preserve">CURRENT OWNER SOURCE</x:t>
        </x:is>
      </x:c>
      <x:c r="N252" s="519" t="n"/>
      <x:c r="O252" s="519" t="inlineStr">
        <x:is>
          <x:t xml:space="preserve">OUTSIDE LANDS</x:t>
        </x:is>
      </x:c>
      <x:c r="P252" s="520" t="inlineStr">
        <x:is>
          <x:t xml:space="preserve">Chain — minerals</x:t>
        </x:is>
      </x:c>
      <x:c r="Q252" s="520" t="inlineStr">
        <x:is>
          <x:t xml:space="preserve">Yes</x:t>
        </x:is>
      </x:c>
      <x:c r="R252" s="520" t="inlineStr">
        <x:is>
          <x:t xml:space="preserve">No</x:t>
        </x:is>
      </x:c>
      <x:c r="S252" s="520" t="inlineStr">
        <x:is>
          <x:t xml:space="preserve">Yes</x:t>
        </x:is>
      </x:c>
      <x:c r="T252" s="520" t="inlineStr">
        <x:is>
          <x:t xml:space="preserve">No</x:t>
        </x:is>
      </x:c>
      <x:c r="U252" s="520" t="inlineStr">
        <x:is>
          <x:t xml:space="preserve">Legal maps to 1, 3, 4, 7, 10; helper says 1, 3, 4, 7, 8</x:t>
        </x:is>
      </x:c>
      <x:c r="V252" s="520" t="inlineStr">
        <x:is>
          <x:t xml:space="preserve">Review</x:t>
        </x:is>
      </x:c>
      <x:c r="W252" s="520" t="inlineStr">
        <x:is>
          <x:t xml:space="preserve">Probable — name-normalized match to Runsheet 190 grantee; confirm</x:t>
        </x:is>
      </x:c>
      <x:c r="X252" s="520" t="inlineStr">
        <x:is>
          <x:t xml:space="preserve">Yes — on Tract 3 owner list</x:t>
        </x:is>
      </x:c>
      <x:c r="Y252" s="520" t="inlineStr">
        <x:is>
          <x:t xml:space="preserve">Candidate 1 (helper — confirm from image)</x:t>
        </x:is>
      </x:c>
      <x:c r="Z252" s="520" t="inlineStr">
        <x:is>
          <x:t xml:space="preserve">Medium — helper value</x:t>
        </x:is>
      </x:c>
      <x:c r="AA252" s="520" t="inlineStr">
        <x:is>
          <x:t xml:space="preserve">Mineral Deed — Glenn D. Mitchel, a/k/a Glen D to Arrowhead Resources, Inc. (1639/426)</x:t>
        </x:is>
      </x:c>
      <x:c r="AB252" s="520" t="inlineStr">
        <x:is>
          <x:t xml:space="preserve">Needs source review: tract, grantor source</x:t>
        </x:is>
      </x:c>
    </x:row>
    <x:row r="253" s="520" customFormat="1" ht="36" customHeight="1">
      <x:c r="A253" s="519" t="inlineStr">
        <x:is>
          <x:t xml:space="preserve">2001-002342</x:t>
        </x:is>
      </x:c>
      <x:c r="B253" s="536" t="n"/>
      <x:c r="C253" s="536" t="inlineStr">
        <x:is>
          <x:t xml:space="preserve">Decree</x:t>
        </x:is>
      </x:c>
      <x:c r="D253" s="536" t="inlineStr">
        <x:is>
          <x:t xml:space="preserve">1643/389</x:t>
        </x:is>
      </x:c>
      <x:c r="E253" s="537" t="n">
        <x:v>37014</x:v>
      </x:c>
      <x:c r="F253" s="537" t="n">
        <x:v>37034</x:v>
      </x:c>
      <x:c r="G253" s="538" t="inlineStr">
        <x:is>
          <x:t xml:space="preserve">Roger Mills County Court
RE: In the Matter of the Estate of Jack E. Barnett, Deceased</x:t>
        </x:is>
      </x:c>
      <x:c r="H253" s="538" t="inlineStr">
        <x:is>
          <x:t xml:space="preserve">Nanalee Faye Barnett</x:t>
        </x:is>
      </x:c>
      <x:c r="I253" s="538" t="inlineStr">
        <x:is>
          <x:t xml:space="preserve">E/2 NW/4, N/2 NE/4 SW/4, NE/4 SE/4, SE/4 NE/4 of 31-12N-24W, aol</x:t>
        </x:is>
      </x:c>
      <x:c r="J253" s="538" t="inlineStr">
        <x:is>
          <x:t xml:space="preserve">ARTI, an undivided 6.92307 mineral acres interest</x:t>
        </x:is>
      </x:c>
      <x:c r="K253" s="518" t="e">
        <x:f>HYPERLINK("https://okcountyrecords.com/detail/roger+mills/2001-002342","OKCountyRecords: 2001-002342")</x:f>
      </x:c>
      <x:c r="L253" s="519" t="inlineStr">
        <x:is>
          <x:t xml:space="preserve">Mineral; basis Conv Amt(dec). Gross=tract-map basis.</x:t>
        </x:is>
      </x:c>
      <x:c r="M253" s="519" t="n"/>
      <x:c r="N253" s="519" t="n"/>
      <x:c r="O253" s="519" t="inlineStr">
        <x:is>
          <x:t xml:space="preserve">OUTSIDE LANDS</x:t>
        </x:is>
      </x:c>
      <x:c r="P253" s="520" t="inlineStr">
        <x:is>
          <x:t xml:space="preserve">Chain — title support (succession/entity/probate)</x:t>
        </x:is>
      </x:c>
      <x:c r="Q253" s="520" t="inlineStr">
        <x:is>
          <x:t xml:space="preserve">Yes</x:t>
        </x:is>
      </x:c>
      <x:c r="R253" s="520" t="inlineStr">
        <x:is>
          <x:t xml:space="preserve">No</x:t>
        </x:is>
      </x:c>
      <x:c r="S253" s="520" t="inlineStr">
        <x:is>
          <x:t xml:space="preserve">Yes</x:t>
        </x:is>
      </x:c>
      <x:c r="T253" s="520" t="inlineStr">
        <x:is>
          <x:t xml:space="preserve">No</x:t>
        </x:is>
      </x:c>
      <x:c r="U253" s="520" t="inlineStr">
        <x:is>
          <x:t xml:space="preserve">Legal maps to 1, 3, 4, 7, 10; helper says 1, 3, 4, 7, 8</x:t>
        </x:is>
      </x:c>
      <x:c r="V253" s="520" t="inlineStr">
        <x:is>
          <x:t xml:space="preserve">Review</x:t>
        </x:is>
      </x:c>
      <x:c r="W253" s="520" t="inlineStr">
        <x:is>
          <x:t xml:space="preserve">Review — no exact prior-grantee match</x:t>
        </x:is>
      </x:c>
      <x:c r="X253" s="520" t="inlineStr">
        <x:is>
          <x:t xml:space="preserve">Yes — on Tract 3 owner list</x:t>
        </x:is>
      </x:c>
      <x:c r="Y253" s="520" t="inlineStr">
        <x:is>
          <x:t xml:space="preserve">Candidate 1 (helper — confirm from image)</x:t>
        </x:is>
      </x:c>
      <x:c r="Z253" s="520" t="inlineStr">
        <x:is>
          <x:t xml:space="preserve">Medium — helper value</x:t>
        </x:is>
      </x:c>
      <x:c r="AA253" s="520" t="inlineStr">
        <x:is>
          <x:t xml:space="preserve">Decree — Roger Mills County Court to Nanalee Faye Barnett (1643/389)</x:t>
        </x:is>
      </x:c>
      <x:c r="AB253" s="520" t="inlineStr">
        <x:is>
          <x:t xml:space="preserve">Needs source review: tract, grantor source</x:t>
        </x:is>
      </x:c>
    </x:row>
    <x:row r="254" s="520" customFormat="1" ht="72" customHeight="1">
      <x:c r="A254" s="519" t="inlineStr">
        <x:is>
          <x:t xml:space="preserve">2001-002190</x:t>
        </x:is>
      </x:c>
      <x:c r="B254" s="536" t="n"/>
      <x:c r="C254" s="536" t="inlineStr">
        <x:is>
          <x:t xml:space="preserve">Quit Claim Deed</x:t>
        </x:is>
      </x:c>
      <x:c r="D254" s="536" t="inlineStr">
        <x:is>
          <x:t xml:space="preserve">1642/532</x:t>
        </x:is>
      </x:c>
      <x:c r="E254" s="537" t="n">
        <x:v>37022</x:v>
      </x:c>
      <x:c r="F254" s="537" t="n">
        <x:v>37029</x:v>
      </x:c>
      <x:c r="G254" s="538" t="inlineStr">
        <x:is>
          <x:t xml:space="preserve">Leonard Herzberg and Mary Alice Herzberg, HW</x:t>
        </x:is>
      </x:c>
      <x:c r="H254" s="538" t="inlineStr">
        <x:is>
          <x:t xml:space="preserve">Mary Alice Herzberg</x:t>
        </x:is>
      </x:c>
      <x:c r="I254" s="538" t="inlineStr">
        <x:is>
          <x:t xml:space="preserve">A tract of land in Lot 1 of 31-12N-24W, described as follows: Beginning at the NW corner of said Lot 1, thence East 420.58 feet, thence South 725 feet, thence West 420.58 feet, and thence North 725 feet to the point of beginning, containing 7 acres, more or less.</x:t>
        </x:is>
      </x:c>
      <x:c r="J254" s="538" t="inlineStr">
        <x:is>
          <x:t xml:space="preserve">ARTI
Chain note: source of title — MINERAL DEED 1997-003023 at 1514/525, Eula Cross, a single person to Leonard Herzperg and Mary Alice Herzperg, HW, Jtwors, covering A tract of land in Lot One 1 of 31-12N-24W described as follows: Beginning at the NW corner of said Lot 1, thence East 420.58 feet, thence … Full recital in recorded instrument — see Link.</x:t>
        </x:is>
      </x:c>
      <x:c r="K254" s="518" t="e">
        <x:f>HYPERLINK("https://okcountyrecords.com/detail/roger+mills/2001-002190","OKCountyRecords: 2001-002190")</x:f>
      </x:c>
      <x:c r="L254" s="519" t="inlineStr">
        <x:is>
          <x:t xml:space="preserve">Mineral; basis Conv Amt(dec). Gross=tract-map basis.</x:t>
        </x:is>
      </x:c>
      <x:c r="M254" s="519" t="inlineStr">
        <x:is>
          <x:t xml:space="preserve">CURRENT OWNER SOURCE</x:t>
        </x:is>
      </x:c>
      <x:c r="N254" s="519" t="n"/>
      <x:c r="O254" s="519" t="inlineStr">
        <x:is>
          <x:t xml:space="preserve">MINERAL DEED</x:t>
        </x:is>
      </x:c>
      <x:c r="P254" s="520" t="inlineStr">
        <x:is>
          <x:t xml:space="preserve">Chain — deed (confirm minerals vs surface from instrument)</x:t>
        </x:is>
      </x:c>
      <x:c r="Q254" s="520" t="inlineStr">
        <x:is>
          <x:t xml:space="preserve">Yes</x:t>
        </x:is>
      </x:c>
      <x:c r="R254" s="520" t="inlineStr">
        <x:is>
          <x:t xml:space="preserve">No</x:t>
        </x:is>
      </x:c>
      <x:c r="S254" s="520" t="inlineStr">
        <x:is>
          <x:t xml:space="preserve">Review</x:t>
        </x:is>
      </x:c>
      <x:c r="T254" s="520" t="inlineStr">
        <x:is>
          <x:t xml:space="preserve">No</x:t>
        </x:is>
      </x:c>
      <x:c r="U254" s="520" t="inlineStr">
        <x:is>
          <x:t xml:space="preserve">Yes: 5 (legal supports)</x:t>
        </x:is>
      </x:c>
      <x:c r="V254" s="520" t="inlineStr">
        <x:is>
          <x:t xml:space="preserve">High</x:t>
        </x:is>
      </x:c>
      <x:c r="W254" s="520" t="inlineStr">
        <x:is>
          <x:t xml:space="preserve">Review — no exact prior-grantee match</x:t>
        </x:is>
      </x:c>
      <x:c r="X254" s="520" t="inlineStr">
        <x:is>
          <x:t xml:space="preserve">Yes — on Tract 5 owner list</x:t>
        </x:is>
      </x:c>
      <x:c r="Y254" s="520" t="inlineStr">
        <x:is>
          <x:t xml:space="preserve">Candidate 1 (helper — confirm from image)</x:t>
        </x:is>
      </x:c>
      <x:c r="Z254" s="520" t="inlineStr">
        <x:is>
          <x:t xml:space="preserve">Medium — helper value</x:t>
        </x:is>
      </x:c>
      <x:c r="AA254" s="520" t="inlineStr">
        <x:is>
          <x:t xml:space="preserve">Quit Claim Deed — Leonard Herzberg and Mary Alic to Mary Alice Herzberg (1642/532)</x:t>
        </x:is>
      </x:c>
      <x:c r="AB254" s="520" t="inlineStr">
        <x:is>
          <x:t xml:space="preserve">Needs source review: grantor source</x:t>
        </x:is>
      </x:c>
    </x:row>
    <x:row r="255" s="520" customFormat="1" ht="60" customHeight="1">
      <x:c r="A255" s="519" t="inlineStr">
        <x:is>
          <x:t xml:space="preserve">2002-002227</x:t>
        </x:is>
      </x:c>
      <x:c r="B255" s="536" t="n"/>
      <x:c r="C255" s="536" t="inlineStr">
        <x:is>
          <x:t xml:space="preserve">Deed, Assignment and Bill of Sale</x:t>
        </x:is>
      </x:c>
      <x:c r="D255" s="536" t="inlineStr">
        <x:is>
          <x:t xml:space="preserve">1680/318</x:t>
        </x:is>
      </x:c>
      <x:c r="E255" s="537" t="n">
        <x:v>37406</x:v>
      </x:c>
      <x:c r="F255" s="537" t="n">
        <x:v>37407</x:v>
      </x:c>
      <x:c r="G255" s="538" t="inlineStr">
        <x:is>
          <x:t xml:space="preserve">Arrowhead Resources, Inc.</x:t>
        </x:is>
      </x:c>
      <x:c r="H255" s="538" t="inlineStr">
        <x:is>
          <x:t xml:space="preserve">Bhch Mineral, Ltd., 47.5%,
Bhch Properties, Ltd., 2.5%,
Garg Oil, 50.0%</x:t>
        </x:is>
      </x:c>
      <x:c r="I255" s="538" t="inlineStr">
        <x:is>
          <x:t xml:space="preserve">ALL of 31-12N-24W, aol</x:t>
        </x:is>
      </x:c>
      <x:c r="J255" s="538" t="inlineStr">
        <x:is>
          <x:t xml:space="preserve">11.5385 NMA
From 1637/26, 1639/206, 1639/426</x:t>
        </x:is>
      </x:c>
      <x:c r="K255" s="518" t="e">
        <x:f>HYPERLINK("https://okcountyrecords.com/detail/roger+mills/2002-002227","OKCountyRecords: 2002-002227")</x:f>
      </x:c>
      <x:c r="L255" s="519" t="inlineStr">
        <x:is>
          <x:t xml:space="preserve">Mineral; basis Conv Amt(dec). All-section coverage. Gross=tract-map basis.</x:t>
        </x:is>
      </x:c>
      <x:c r="M255" s="519" t="inlineStr">
        <x:is>
          <x:t xml:space="preserve">REVIEW</x:t>
        </x:is>
      </x:c>
      <x:c r="N255" s="519" t="inlineStr">
        <x:is>
          <x:t xml:space="preserve">Conveys 11.5385 NMA per notes; conv. dec = 11.5385/gross. Verify denominator/tract from image.</x:t>
        </x:is>
      </x:c>
      <x:c r="O255" s="519" t="inlineStr">
        <x:is>
          <x:t xml:space="preserve">OUTSIDE LANDS</x:t>
        </x:is>
      </x:c>
      <x:c r="P255" s="520" t="inlineStr">
        <x:is>
          <x:t xml:space="preserve">Chain — WI/leasehold assignment</x:t>
        </x:is>
      </x:c>
      <x:c r="Q255" s="520" t="inlineStr">
        <x:is>
          <x:t xml:space="preserve">No</x:t>
        </x:is>
      </x:c>
      <x:c r="R255" s="520" t="inlineStr">
        <x:is>
          <x:t xml:space="preserve">Yes</x:t>
        </x:is>
      </x:c>
      <x:c r="S255" s="520" t="inlineStr">
        <x:is>
          <x:t xml:space="preserve">Review</x:t>
        </x:is>
      </x:c>
      <x:c r="T255" s="520" t="inlineStr">
        <x:is>
          <x:t xml:space="preserve">Yes</x:t>
        </x:is>
      </x:c>
      <x:c r="U255" s="520" t="inlineStr">
        <x:is>
          <x:t xml:space="preserve">Yes: 1, 8 (broad legal)</x:t>
        </x:is>
      </x:c>
      <x:c r="V255" s="520" t="inlineStr">
        <x:is>
          <x:t xml:space="preserve">Medium</x:t>
        </x:is>
      </x:c>
      <x:c r="W255" s="520" t="inlineStr">
        <x:is>
          <x:t xml:space="preserve">Yes — prior grantee match</x:t>
        </x:is>
      </x:c>
      <x:c r="X255" s="520" t="inlineStr">
        <x:is>
          <x:t xml:space="preserve">Review</x:t>
        </x:is>
      </x:c>
      <x:c r="Y255" s="520" t="inlineStr">
        <x:is>
          <x:t xml:space="preserve">Candidate 0.01802890625 (helper — confirm from image)</x:t>
        </x:is>
      </x:c>
      <x:c r="Z255" s="520" t="inlineStr">
        <x:is>
          <x:t xml:space="preserve">Medium — helper value</x:t>
        </x:is>
      </x:c>
      <x:c r="AA255" s="520" t="inlineStr">
        <x:is>
          <x:t xml:space="preserve">Deed, Assignment and Bill of Sal — Arrowhead Resources, Inc. to Bhch Mineral, Ltd., 47.5%, (1680/318)</x:t>
        </x:is>
      </x:c>
    </x:row>
    <x:row r="256" s="520" customFormat="1" ht="60" customHeight="1">
      <x:c r="A256" s="519" t="inlineStr">
        <x:is>
          <x:t xml:space="preserve">2002-003563</x:t>
        </x:is>
      </x:c>
      <x:c r="B256" s="536" t="n"/>
      <x:c r="C256" s="536" t="inlineStr">
        <x:is>
          <x:t xml:space="preserve">Mineral Deed</x:t>
        </x:is>
      </x:c>
      <x:c r="D256" s="536" t="inlineStr">
        <x:is>
          <x:t xml:space="preserve">1688/374</x:t>
        </x:is>
      </x:c>
      <x:c r="E256" s="537" t="n">
        <x:v>37482</x:v>
      </x:c>
      <x:c r="F256" s="537" t="n">
        <x:v>37505</x:v>
      </x:c>
      <x:c r="G256" s="538" t="inlineStr">
        <x:is>
          <x:t xml:space="preserve">Oleta Florene Flanagan, formerly Stewart, a/k/a Oleta Florene Wylie</x:t>
        </x:is>
      </x:c>
      <x:c r="H256" s="538" t="inlineStr">
        <x:is>
          <x:t xml:space="preserve">Arrowhead Resources, Inc.</x:t>
        </x:is>
      </x:c>
      <x:c r="I256" s="538" t="inlineStr">
        <x:is>
          <x:t xml:space="preserve">SE/4 SW/4 of 31-12N-24W</x:t>
        </x:is>
      </x:c>
      <x:c r="J256" s="538" t="inlineStr">
        <x:is>
          <x:t xml:space="preserve">ARTI, a 2.5 net mineral acre interest, in and to all of the oil, gas and other minerals
Chain note: no source of title into Oleta Florene Flanagan, formerly Stewart, a/k/a Oleta Florene Wylie located of record. Confirm ownership before crediting this conveyance.</x:t>
        </x:is>
      </x:c>
      <x:c r="K256" s="518" t="e">
        <x:f>HYPERLINK("https://okcountyrecords.com/detail/roger+mills/2002-003563","OKCountyRecords: 2002-003563")</x:f>
      </x:c>
      <x:c r="L256" s="519" t="inlineStr">
        <x:is>
          <x:t xml:space="preserve">Mineral; basis Conv Amt(dec). Gross=tract-map basis.</x:t>
        </x:is>
      </x:c>
      <x:c r="M256" s="519" t="inlineStr">
        <x:is>
          <x:t xml:space="preserve">CURRENT OWNER SOURCE</x:t>
        </x:is>
      </x:c>
      <x:c r="N256" s="519" t="n"/>
      <x:c r="O256" s="519" t="inlineStr">
        <x:is>
          <x:t xml:space="preserve">EASEMENT</x:t>
        </x:is>
      </x:c>
      <x:c r="P256" s="520" t="inlineStr">
        <x:is>
          <x:t xml:space="preserve">Chain — minerals</x:t>
        </x:is>
      </x:c>
      <x:c r="Q256" s="520" t="inlineStr">
        <x:is>
          <x:t xml:space="preserve">Yes</x:t>
        </x:is>
      </x:c>
      <x:c r="R256" s="520" t="inlineStr">
        <x:is>
          <x:t xml:space="preserve">No</x:t>
        </x:is>
      </x:c>
      <x:c r="S256" s="520" t="inlineStr">
        <x:is>
          <x:t xml:space="preserve">Yes</x:t>
        </x:is>
      </x:c>
      <x:c r="T256" s="520" t="inlineStr">
        <x:is>
          <x:t xml:space="preserve">No</x:t>
        </x:is>
      </x:c>
      <x:c r="U256" s="520" t="inlineStr">
        <x:is>
          <x:t xml:space="preserve">Yes: 5 (legal supports)</x:t>
        </x:is>
      </x:c>
      <x:c r="V256" s="520" t="inlineStr">
        <x:is>
          <x:t xml:space="preserve">High</x:t>
        </x:is>
      </x:c>
      <x:c r="W256" s="520" t="inlineStr">
        <x:is>
          <x:t xml:space="preserve">No — no source located</x:t>
        </x:is>
      </x:c>
      <x:c r="X256" s="520" t="inlineStr">
        <x:is>
          <x:t xml:space="preserve">Yes — on Tract 5 owner list</x:t>
        </x:is>
      </x:c>
      <x:c r="Y256" s="520" t="inlineStr">
        <x:is>
          <x:t xml:space="preserve">Candidate 1 (helper — confirm from image)</x:t>
        </x:is>
      </x:c>
      <x:c r="Z256" s="520" t="inlineStr">
        <x:is>
          <x:t xml:space="preserve">Medium — helper value</x:t>
        </x:is>
      </x:c>
      <x:c r="AA256" s="520" t="inlineStr">
        <x:is>
          <x:t xml:space="preserve">Mineral Deed — Oleta Florene Flanagan, former to Arrowhead Resources, Inc. (1688/374)</x:t>
        </x:is>
      </x:c>
      <x:c r="AB256" s="520" t="inlineStr">
        <x:is>
          <x:t xml:space="preserve">Needs source review: no source of title</x:t>
        </x:is>
      </x:c>
    </x:row>
    <x:row r="257" s="520" customFormat="1" ht="72" customHeight="1">
      <x:c r="A257" s="519" t="inlineStr">
        <x:is>
          <x:t xml:space="preserve">2002-004378</x:t>
        </x:is>
      </x:c>
      <x:c r="B257" s="536" t="n"/>
      <x:c r="C257" s="536" t="inlineStr">
        <x:is>
          <x:t xml:space="preserve">Mineral Deed</x:t>
        </x:is>
      </x:c>
      <x:c r="D257" s="536" t="inlineStr">
        <x:is>
          <x:t xml:space="preserve">1694/156</x:t>
        </x:is>
      </x:c>
      <x:c r="E257" s="537" t="n">
        <x:v>37536</x:v>
      </x:c>
      <x:c r="F257" s="537" t="n">
        <x:v>37573</x:v>
      </x:c>
      <x:c r="G257" s="538" t="inlineStr">
        <x:is>
          <x:t xml:space="preserve">William Cobal Bain and Billy Wayne Bain, Co-Trustees of the Testamentary Trust created under the Will of W. M. Bain for the benefit of Hazel Hamilton,
Billy Wayne Bain, Trustee ofthe Hazel Hamilton Inter Vivos Trust</x:t>
        </x:is>
      </x:c>
      <x:c r="H257" s="538" t="inlineStr">
        <x:is>
          <x:t xml:space="preserve">Deeanne Browning, 2/6,
Darrell E. Hamilton, 2/6,
Stacy L. Smith, 1/6,
Travis L. Smith, 1/6</x:t>
        </x:is>
      </x:c>
      <x:c r="I257" s="538" t="inlineStr">
        <x:is>
          <x:t xml:space="preserve">NW/4 SE/4, S/2 SE/4, SW/4 NE/4 of 31-12N-24W, aol</x:t>
        </x:is>
      </x:c>
      <x:c r="J257" s="538" t="inlineStr">
        <x:is>
          <x:t xml:space="preserve">An undivided 43.496672/791.47ths interest in and to all ofthe oil, gas, and other minerals in 2 sections</x:t>
        </x:is>
      </x:c>
      <x:c r="K257" s="518" t="e">
        <x:f>HYPERLINK("https://okcountyrecords.com/detail/roger+mills/2002-004378","OKCountyRecords: 2002-004378")</x:f>
      </x:c>
      <x:c r="L257" s="519" t="inlineStr">
        <x:is>
          <x:t xml:space="preserve">Mineral; basis Conv Amt(dec). Gross=tract-map basis.</x:t>
        </x:is>
      </x:c>
      <x:c r="M257" s="519" t="inlineStr">
        <x:is>
          <x:t xml:space="preserve">CURRENT OWNER SOURCE</x:t>
        </x:is>
      </x:c>
      <x:c r="N257" s="519" t="n"/>
      <x:c r="O257" s="519" t="inlineStr">
        <x:is>
          <x:t xml:space="preserve">OUTSIDE LANDS</x:t>
        </x:is>
      </x:c>
      <x:c r="P257" s="520" t="inlineStr">
        <x:is>
          <x:t xml:space="preserve">Chain — minerals</x:t>
        </x:is>
      </x:c>
      <x:c r="Q257" s="520" t="inlineStr">
        <x:is>
          <x:t xml:space="preserve">Yes</x:t>
        </x:is>
      </x:c>
      <x:c r="R257" s="520" t="inlineStr">
        <x:is>
          <x:t xml:space="preserve">No</x:t>
        </x:is>
      </x:c>
      <x:c r="S257" s="520" t="inlineStr">
        <x:is>
          <x:t xml:space="preserve">Yes</x:t>
        </x:is>
      </x:c>
      <x:c r="T257" s="520" t="inlineStr">
        <x:is>
          <x:t xml:space="preserve">No</x:t>
        </x:is>
      </x:c>
      <x:c r="U257" s="520" t="inlineStr">
        <x:is>
          <x:t xml:space="preserve">Yes: 2 (legal supports)</x:t>
        </x:is>
      </x:c>
      <x:c r="V257" s="520" t="inlineStr">
        <x:is>
          <x:t xml:space="preserve">High</x:t>
        </x:is>
      </x:c>
      <x:c r="W257" s="520" t="inlineStr">
        <x:is>
          <x:t xml:space="preserve">Probable — name-normalized match to Runsheet 150 grantee; confirm</x:t>
        </x:is>
      </x:c>
      <x:c r="X257" s="520" t="inlineStr">
        <x:is>
          <x:t xml:space="preserve">Review</x:t>
        </x:is>
      </x:c>
      <x:c r="Y257" s="520" t="inlineStr">
        <x:is>
          <x:t xml:space="preserve">Candidate 0.0549568170619227 (helper — confirm from image)</x:t>
        </x:is>
      </x:c>
      <x:c r="Z257" s="520" t="inlineStr">
        <x:is>
          <x:t xml:space="preserve">Medium — helper value</x:t>
        </x:is>
      </x:c>
      <x:c r="AA257" s="520" t="inlineStr">
        <x:is>
          <x:t xml:space="preserve">Mineral Deed — William Cobal Bain and Billy W to Deeanne Browning, 2/6, (1694/156)</x:t>
        </x:is>
      </x:c>
      <x:c r="AB257" s="520" t="inlineStr">
        <x:is>
          <x:t xml:space="preserve">Needs source review: grantor source</x:t>
        </x:is>
      </x:c>
    </x:row>
    <x:row r="258" s="520" customFormat="1" ht="60" customHeight="1">
      <x:c r="A258" s="519" t="inlineStr">
        <x:is>
          <x:t xml:space="preserve">2002-004595</x:t>
        </x:is>
      </x:c>
      <x:c r="B258" s="536" t="n"/>
      <x:c r="C258" s="536" t="inlineStr">
        <x:is>
          <x:t xml:space="preserve">Mineral Deed</x:t>
        </x:is>
      </x:c>
      <x:c r="D258" s="536" t="inlineStr">
        <x:is>
          <x:t xml:space="preserve">1695/238</x:t>
        </x:is>
      </x:c>
      <x:c r="E258" s="537" t="n">
        <x:v>37586</x:v>
      </x:c>
      <x:c r="F258" s="537" t="n">
        <x:v>37592</x:v>
      </x:c>
      <x:c r="G258" s="538" t="inlineStr">
        <x:is>
          <x:t xml:space="preserve">Hayhurst Oil Properties, Inc.</x:t>
        </x:is>
      </x:c>
      <x:c r="H258" s="538" t="inlineStr">
        <x:is>
          <x:t xml:space="preserve">Peggy J. HAYHURST, TRUSTEE, of the Peggy J. Hayhurst Revocable Trust datedrNovember 9, 1993</x:t>
        </x:is>
      </x:c>
      <x:c r="I258" s="538" t="inlineStr">
        <x:is>
          <x:t xml:space="preserve">E/2 NW/4, N/2 NE/4 SW/4, NE/4 SE/4, SE/4 NE/4 of 31-12N-24W, aol</x:t>
        </x:is>
      </x:c>
      <x:c r="J258" s="538" t="inlineStr">
        <x:is>
          <x:t xml:space="preserve">All its mineral interest (being appx 1.386 net acres m/1) (Re: Bk 1159, Pg 224)</x:t>
        </x:is>
      </x:c>
      <x:c r="K258" s="518" t="e">
        <x:f>HYPERLINK("https://okcountyrecords.com/detail/roger+mills/2002-004595","OKCountyRecords: 2002-004595")</x:f>
      </x:c>
      <x:c r="L258" s="519" t="inlineStr">
        <x:is>
          <x:t xml:space="preserve">Mineral; basis Conv Amt(dec). Gross=tract-map basis.</x:t>
        </x:is>
      </x:c>
      <x:c r="M258" s="519" t="inlineStr">
        <x:is>
          <x:t xml:space="preserve">REVIEW</x:t>
        </x:is>
      </x:c>
      <x:c r="N258" s="519" t="inlineStr">
        <x:is>
          <x:t xml:space="preserve">Denominator / tract allocation for 1.386 NMA from instrument image</x:t>
        </x:is>
      </x:c>
      <x:c r="O258" s="519" t="inlineStr">
        <x:is>
          <x:t xml:space="preserve">OUTSIDE LANDS</x:t>
        </x:is>
      </x:c>
      <x:c r="P258" s="520" t="inlineStr">
        <x:is>
          <x:t xml:space="preserve">Chain — minerals</x:t>
        </x:is>
      </x:c>
      <x:c r="Q258" s="520" t="inlineStr">
        <x:is>
          <x:t xml:space="preserve">Yes</x:t>
        </x:is>
      </x:c>
      <x:c r="R258" s="520" t="inlineStr">
        <x:is>
          <x:t xml:space="preserve">No</x:t>
        </x:is>
      </x:c>
      <x:c r="S258" s="520" t="inlineStr">
        <x:is>
          <x:t xml:space="preserve">Yes</x:t>
        </x:is>
      </x:c>
      <x:c r="T258" s="520" t="inlineStr">
        <x:is>
          <x:t xml:space="preserve">No</x:t>
        </x:is>
      </x:c>
      <x:c r="U258" s="520" t="inlineStr">
        <x:is>
          <x:t xml:space="preserve">Legal maps to 1, 3, 4, 7, 10; helper says 1, 3, 4, 7, 8</x:t>
        </x:is>
      </x:c>
      <x:c r="V258" s="520" t="inlineStr">
        <x:is>
          <x:t xml:space="preserve">Review</x:t>
        </x:is>
      </x:c>
      <x:c r="W258" s="520" t="inlineStr">
        <x:is>
          <x:t xml:space="preserve">Yes — prior grantee match</x:t>
        </x:is>
      </x:c>
      <x:c r="X258" s="520" t="inlineStr">
        <x:is>
          <x:t xml:space="preserve">Yes — on Tract 4 owner list</x:t>
        </x:is>
      </x:c>
      <x:c r="Y258" s="520" t="inlineStr">
        <x:is>
          <x:t xml:space="preserve">Candidate 1 (helper — confirm from image)</x:t>
        </x:is>
      </x:c>
      <x:c r="Z258" s="520" t="inlineStr">
        <x:is>
          <x:t xml:space="preserve">Medium — helper value</x:t>
        </x:is>
      </x:c>
      <x:c r="AA258" s="520" t="inlineStr">
        <x:is>
          <x:t xml:space="preserve">Mineral Deed — Hayhurst Oil Properties, Inc. to Peggy J. HAYHURST, TRUSTEE, of (1695/238)</x:t>
        </x:is>
      </x:c>
      <x:c r="AB258" s="520" t="inlineStr">
        <x:is>
          <x:t xml:space="preserve">Needs source review: tract</x:t>
        </x:is>
      </x:c>
    </x:row>
    <x:row r="259" s="520" customFormat="1" ht="48" customHeight="1">
      <x:c r="A259" s="519" t="inlineStr">
        <x:is>
          <x:t xml:space="preserve">2003-001558</x:t>
        </x:is>
      </x:c>
      <x:c r="B259" s="536" t="n"/>
      <x:c r="C259" s="536" t="inlineStr">
        <x:is>
          <x:t xml:space="preserve">Assignment</x:t>
        </x:is>
      </x:c>
      <x:c r="D259" s="536" t="inlineStr">
        <x:is>
          <x:t xml:space="preserve">1706/384</x:t>
        </x:is>
      </x:c>
      <x:c r="E259" s="537" t="n">
        <x:v>37710</x:v>
      </x:c>
      <x:c r="F259" s="537" t="n">
        <x:v>37715</x:v>
      </x:c>
      <x:c r="G259" s="538" t="inlineStr">
        <x:is>
          <x:t xml:space="preserve">Dorothy G. Hamilton, Executrix</x:t>
        </x:is>
      </x:c>
      <x:c r="H259" s="538" t="inlineStr">
        <x:is>
          <x:t xml:space="preserve">Dorothy G. Hamilton and Harold D. Rogers, Trustees of the Dorothy Trust</x:t>
        </x:is>
      </x:c>
      <x:c r="I259" s="538" t="inlineStr">
        <x:is>
          <x:t xml:space="preserve">E/2 NW/4, N/2 NE/4 SW/4, NE/4 SE/4, SE/4 NE/4 of 31-12N-24W, aol</x:t>
        </x:is>
      </x:c>
      <x:c r="J259" s="538" t="inlineStr">
        <x:is>
          <x:t xml:space="preserve">ARTI</x:t>
        </x:is>
      </x:c>
      <x:c r="K259" s="518" t="e">
        <x:f>HYPERLINK("https://okcountyrecords.com/detail/roger+mills/2003-001558","OKCountyRecords: 2003-001558")</x:f>
      </x:c>
      <x:c r="L259" s="519" t="inlineStr">
        <x:is>
          <x:t xml:space="preserve">Mineral; amount not stated — confirm from instrument. Gross=tract-map basis.</x:t>
        </x:is>
      </x:c>
      <x:c r="M259" s="519" t="n"/>
      <x:c r="N259" s="519" t="n"/>
      <x:c r="O259" s="519" t="inlineStr">
        <x:is>
          <x:t xml:space="preserve">OUTSIDE LANDS</x:t>
        </x:is>
      </x:c>
      <x:c r="P259" s="520" t="inlineStr">
        <x:is>
          <x:t xml:space="preserve">Chain — assignment (WI or minerals — read granting clause)</x:t>
        </x:is>
      </x:c>
      <x:c r="Q259" s="520" t="inlineStr">
        <x:is>
          <x:t xml:space="preserve">Review</x:t>
        </x:is>
      </x:c>
      <x:c r="R259" s="520" t="inlineStr">
        <x:is>
          <x:t xml:space="preserve">Yes</x:t>
        </x:is>
      </x:c>
      <x:c r="S259" s="520" t="inlineStr">
        <x:is>
          <x:t xml:space="preserve">Review</x:t>
        </x:is>
      </x:c>
      <x:c r="T259" s="520" t="inlineStr">
        <x:is>
          <x:t xml:space="preserve">Yes</x:t>
        </x:is>
      </x:c>
      <x:c r="U259" s="520" t="inlineStr">
        <x:is>
          <x:t xml:space="preserve">Legal maps to 1, 3, 4, 7, 10; helper says 1, 3, 4, 7, 8</x:t>
        </x:is>
      </x:c>
      <x:c r="V259" s="520" t="inlineStr">
        <x:is>
          <x:t xml:space="preserve">Review</x:t>
        </x:is>
      </x:c>
      <x:c r="W259" s="520" t="inlineStr">
        <x:is>
          <x:t xml:space="preserve">Review — no exact prior-grantee match</x:t>
        </x:is>
      </x:c>
      <x:c r="X259" s="520" t="inlineStr">
        <x:is>
          <x:t xml:space="preserve">Review</x:t>
        </x:is>
      </x:c>
      <x:c r="Y259" s="520" t="inlineStr">
        <x:is>
          <x:t xml:space="preserve">Interest amount needs review</x:t>
        </x:is>
      </x:c>
      <x:c r="Z259" s="520" t="inlineStr">
        <x:is>
          <x:t xml:space="preserve">Review</x:t>
        </x:is>
      </x:c>
      <x:c r="AA259" s="520" t="inlineStr">
        <x:is>
          <x:t xml:space="preserve">Assignment — Dorothy G. Hamilton, Executrix to Dorothy G. Hamilton and Harold (1706/384)</x:t>
        </x:is>
      </x:c>
      <x:c r="AB259" s="520" t="inlineStr">
        <x:is>
          <x:t xml:space="preserve">Needs source review: tract, grantor source, interest amount</x:t>
        </x:is>
      </x:c>
    </x:row>
    <x:row r="260" s="520" customFormat="1" ht="48" customHeight="1">
      <x:c r="A260" s="519" t="inlineStr">
        <x:is>
          <x:t xml:space="preserve">2003-001559</x:t>
        </x:is>
      </x:c>
      <x:c r="B260" s="536" t="n"/>
      <x:c r="C260" s="536" t="inlineStr">
        <x:is>
          <x:t xml:space="preserve">Assignment</x:t>
        </x:is>
      </x:c>
      <x:c r="D260" s="536" t="inlineStr">
        <x:is>
          <x:t xml:space="preserve">1706/386</x:t>
        </x:is>
      </x:c>
      <x:c r="E260" s="537" t="n">
        <x:v>37711</x:v>
      </x:c>
      <x:c r="F260" s="537" t="n">
        <x:v>37715</x:v>
      </x:c>
      <x:c r="G260" s="538" t="inlineStr">
        <x:is>
          <x:t xml:space="preserve">Dorothy G. Hamilton and Harold D. Rogers, Trustees of the Dorothy Trust</x:t>
        </x:is>
      </x:c>
      <x:c r="H260" s="538" t="inlineStr">
        <x:is>
          <x:t xml:space="preserve">Dorothy G. Hamilton</x:t>
        </x:is>
      </x:c>
      <x:c r="I260" s="538" t="inlineStr">
        <x:is>
          <x:t xml:space="preserve">E/2 NW/4, N/2 NE/4 SW/4, NE/4 SE/4, SE/4 NE/4 of 31-12N-24W, aol</x:t>
        </x:is>
      </x:c>
      <x:c r="J260" s="538" t="inlineStr">
        <x:is>
          <x:t xml:space="preserve">ARTI</x:t>
        </x:is>
      </x:c>
      <x:c r="K260" s="518" t="e">
        <x:f>HYPERLINK("https://okcountyrecords.com/detail/roger+mills/2003-001559","OKCountyRecords: 2003-001559")</x:f>
      </x:c>
      <x:c r="L260" s="519" t="inlineStr">
        <x:is>
          <x:t xml:space="preserve">Mineral; amount not stated — confirm from instrument. Gross=tract-map basis.</x:t>
        </x:is>
      </x:c>
      <x:c r="M260" s="519" t="n"/>
      <x:c r="N260" s="519" t="n"/>
      <x:c r="O260" s="519" t="inlineStr">
        <x:is>
          <x:t xml:space="preserve">OUTSIDE LANDS</x:t>
        </x:is>
      </x:c>
      <x:c r="P260" s="520" t="inlineStr">
        <x:is>
          <x:t xml:space="preserve">Chain — assignment (WI or minerals — read granting clause)</x:t>
        </x:is>
      </x:c>
      <x:c r="Q260" s="520" t="inlineStr">
        <x:is>
          <x:t xml:space="preserve">Review</x:t>
        </x:is>
      </x:c>
      <x:c r="R260" s="520" t="inlineStr">
        <x:is>
          <x:t xml:space="preserve">Yes</x:t>
        </x:is>
      </x:c>
      <x:c r="S260" s="520" t="inlineStr">
        <x:is>
          <x:t xml:space="preserve">Review</x:t>
        </x:is>
      </x:c>
      <x:c r="T260" s="520" t="inlineStr">
        <x:is>
          <x:t xml:space="preserve">Yes</x:t>
        </x:is>
      </x:c>
      <x:c r="U260" s="520" t="inlineStr">
        <x:is>
          <x:t xml:space="preserve">Legal maps to 1, 3, 4, 7, 10; helper says 1, 3, 4, 7, 8</x:t>
        </x:is>
      </x:c>
      <x:c r="V260" s="520" t="inlineStr">
        <x:is>
          <x:t xml:space="preserve">Review</x:t>
        </x:is>
      </x:c>
      <x:c r="W260" s="520" t="inlineStr">
        <x:is>
          <x:t xml:space="preserve">Yes — prior grantee match</x:t>
        </x:is>
      </x:c>
      <x:c r="X260" s="520" t="inlineStr">
        <x:is>
          <x:t xml:space="preserve">Review</x:t>
        </x:is>
      </x:c>
      <x:c r="Y260" s="520" t="inlineStr">
        <x:is>
          <x:t xml:space="preserve">Interest amount needs review</x:t>
        </x:is>
      </x:c>
      <x:c r="Z260" s="520" t="inlineStr">
        <x:is>
          <x:t xml:space="preserve">Review</x:t>
        </x:is>
      </x:c>
      <x:c r="AA260" s="520" t="inlineStr">
        <x:is>
          <x:t xml:space="preserve">Assignment — Dorothy G. Hamilton and Harold to Dorothy G. Hamilton (1706/386)</x:t>
        </x:is>
      </x:c>
      <x:c r="AB260" s="520" t="inlineStr">
        <x:is>
          <x:t xml:space="preserve">Needs source review: tract, interest amount</x:t>
        </x:is>
      </x:c>
    </x:row>
    <x:row r="261" s="520" customFormat="1" ht="60" customHeight="1">
      <x:c r="A261" s="519" t="inlineStr">
        <x:is>
          <x:t xml:space="preserve">2003-001781</x:t>
        </x:is>
      </x:c>
      <x:c r="B261" s="536" t="n"/>
      <x:c r="C261" s="536" t="inlineStr">
        <x:is>
          <x:t xml:space="preserve">Disclaimer</x:t>
        </x:is>
      </x:c>
      <x:c r="D261" s="536" t="inlineStr">
        <x:is>
          <x:t xml:space="preserve">1707/512</x:t>
        </x:is>
      </x:c>
      <x:c r="E261" s="537" t="n">
        <x:v>37729</x:v>
      </x:c>
      <x:c r="F261" s="537" t="n">
        <x:v>37732</x:v>
      </x:c>
      <x:c r="G261" s="538" t="inlineStr">
        <x:is>
          <x:t xml:space="preserve">Beckham County Court,
RE: In the Matter of the Estate of Glenn Douglas Mitchel, Deceased,
Billy George Mitchel</x:t>
        </x:is>
      </x:c>
      <x:c r="H261" s="538" t="inlineStr">
        <x:is>
          <x:t xml:space="preserve">The Public</x:t>
        </x:is>
      </x:c>
      <x:c r="I261" s="538" t="inlineStr">
        <x:is>
          <x:t xml:space="preserve">E/2 NW/4, N/2 NE/4 SE/4, NE/4 SE/4, SE/4 NE/4 of 31-12N-24W, aol</x:t>
        </x:is>
      </x:c>
      <x:c r="J261" s="538" t="inlineStr">
        <x:is>
          <x:t xml:space="preserve">Irrevocably and unconditionally disclaims and renounces all claim, right, title and interest whatsoever that I might otherwise have acquired as an heir at law, legatee or devisee of Decedent, or as beneficiary of the Glenn Douglas Mitchel and Hazel Pearl Mitchel Trust, dated October 26, 1988, as from time to time amended</x:t>
        </x:is>
      </x:c>
      <x:c r="K261" s="518" t="e">
        <x:f>HYPERLINK("https://okcountyrecords.com/detail/roger+mills/2003-001781","OKCountyRecords: 2003-001781")</x:f>
      </x:c>
      <x:c r="L261" s="519" t="inlineStr">
        <x:is>
          <x:t xml:space="preserve">Other (non-mineral; excluded from mineral NMA). Gross=tract-map basis.</x:t>
        </x:is>
      </x:c>
      <x:c r="M261" s="519" t="inlineStr">
        <x:is>
          <x:t xml:space="preserve">OK</x:t>
        </x:is>
      </x:c>
      <x:c r="N261" s="519" t="inlineStr">
        <x:is>
          <x:t xml:space="preserve">Non-conveying — notice/affidavit/address change (The Public).</x:t>
        </x:is>
      </x:c>
      <x:c r="O261" s="519" t="inlineStr">
        <x:is>
          <x:t xml:space="preserve">OUTSIDE LANDS</x:t>
        </x:is>
      </x:c>
      <x:c r="P261" s="520" t="inlineStr">
        <x:is>
          <x:t xml:space="preserve">Chain — title support (succession/entity/probate)</x:t>
        </x:is>
      </x:c>
      <x:c r="Q261" s="520" t="inlineStr">
        <x:is>
          <x:t xml:space="preserve">Yes</x:t>
        </x:is>
      </x:c>
      <x:c r="R261" s="520" t="inlineStr">
        <x:is>
          <x:t xml:space="preserve">No</x:t>
        </x:is>
      </x:c>
      <x:c r="S261" s="520" t="inlineStr">
        <x:is>
          <x:t xml:space="preserve">Yes</x:t>
        </x:is>
      </x:c>
      <x:c r="T261" s="520" t="inlineStr">
        <x:is>
          <x:t xml:space="preserve">No</x:t>
        </x:is>
      </x:c>
      <x:c r="U261" s="520" t="inlineStr">
        <x:is>
          <x:t xml:space="preserve">Legal maps to 1, 3, 4, 10; helper says 1, 3, 4, 8</x:t>
        </x:is>
      </x:c>
      <x:c r="V261" s="520" t="inlineStr">
        <x:is>
          <x:t xml:space="preserve">Review</x:t>
        </x:is>
      </x:c>
      <x:c r="W261" s="520" t="inlineStr">
        <x:is>
          <x:t xml:space="preserve">Review — no exact prior-grantee match</x:t>
        </x:is>
      </x:c>
      <x:c r="X261" s="520" t="inlineStr">
        <x:is>
          <x:t xml:space="preserve">Yes — on Tract 3 owner list</x:t>
        </x:is>
      </x:c>
      <x:c r="Y261" s="520" t="inlineStr">
        <x:is>
          <x:t xml:space="preserve">Interest amount needs review</x:t>
        </x:is>
      </x:c>
      <x:c r="Z261" s="520" t="inlineStr">
        <x:is>
          <x:t xml:space="preserve">Review</x:t>
        </x:is>
      </x:c>
      <x:c r="AA261" s="520" t="inlineStr">
        <x:is>
          <x:t xml:space="preserve">Disclaimer — Beckham County Court, to The Public (1707/512)</x:t>
        </x:is>
      </x:c>
      <x:c r="AB261" s="520" t="inlineStr">
        <x:is>
          <x:t xml:space="preserve">Needs source review: tract, grantor source, interest amount</x:t>
        </x:is>
      </x:c>
    </x:row>
    <x:row r="262" s="520" customFormat="1" ht="36" customHeight="1">
      <x:c r="A262" s="519" t="inlineStr">
        <x:is>
          <x:t xml:space="preserve">2003-005699</x:t>
        </x:is>
      </x:c>
      <x:c r="B262" s="536" t="n"/>
      <x:c r="C262" s="536" t="inlineStr">
        <x:is>
          <x:t xml:space="preserve">Final Decree</x:t>
        </x:is>
      </x:c>
      <x:c r="D262" s="536" t="inlineStr">
        <x:is>
          <x:t xml:space="preserve">1728/457</x:t>
        </x:is>
      </x:c>
      <x:c r="E262" s="537" t="n">
        <x:v>37802</x:v>
      </x:c>
      <x:c r="F262" s="537" t="n">
        <x:v>37937</x:v>
      </x:c>
      <x:c r="G262" s="538" t="inlineStr">
        <x:is>
          <x:t xml:space="preserve">Beckham County Court,
RE: In the Matter of the Estate of Glenn Douglas Mitchel, Deceased</x:t>
        </x:is>
      </x:c>
      <x:c r="H262" s="538" t="inlineStr">
        <x:is>
          <x:t xml:space="preserve">The Public</x:t>
        </x:is>
      </x:c>
      <x:c r="I262" s="538" t="inlineStr">
        <x:is>
          <x:t xml:space="preserve">E/2 NW/4, SE/4 NE/4, NE/4 SE/4, N/2 NE/4, SE/4of 31-12N-24W, aol</x:t>
        </x:is>
      </x:c>
      <x:c r="J262" s="538" t="inlineStr">
        <x:is>
          <x:t xml:space="preserve">ARTI, An undivided 1/78th (2.308 min. ac.) interest</x:t>
        </x:is>
      </x:c>
      <x:c r="K262" s="518" t="e">
        <x:f>HYPERLINK("https://okcountyrecords.com/detail/roger+mills/2003-005699","OKCountyRecords: 2003-005699")</x:f>
      </x:c>
      <x:c r="L262" s="519" t="inlineStr">
        <x:is>
          <x:t xml:space="preserve">Mineral; basis Conv Amt(dec). Gross=tract-map basis.</x:t>
        </x:is>
      </x:c>
      <x:c r="M262" s="519" t="inlineStr">
        <x:is>
          <x:t xml:space="preserve">OK</x:t>
        </x:is>
      </x:c>
      <x:c r="N262" s="519" t="inlineStr">
        <x:is>
          <x:t xml:space="preserve">ARTI in Notes — interest retained as conveyed per affidavit (The Public notice).</x:t>
        </x:is>
      </x:c>
      <x:c r="O262" s="519" t="inlineStr">
        <x:is>
          <x:t xml:space="preserve">OUTSIDE LANDS</x:t>
        </x:is>
      </x:c>
      <x:c r="P262" s="520" t="inlineStr">
        <x:is>
          <x:t xml:space="preserve">Chain — title support (succession/entity/probate)</x:t>
        </x:is>
      </x:c>
      <x:c r="Q262" s="520" t="inlineStr">
        <x:is>
          <x:t xml:space="preserve">Yes</x:t>
        </x:is>
      </x:c>
      <x:c r="R262" s="520" t="inlineStr">
        <x:is>
          <x:t xml:space="preserve">No</x:t>
        </x:is>
      </x:c>
      <x:c r="S262" s="520" t="inlineStr">
        <x:is>
          <x:t xml:space="preserve">Yes</x:t>
        </x:is>
      </x:c>
      <x:c r="T262" s="520" t="inlineStr">
        <x:is>
          <x:t xml:space="preserve">No</x:t>
        </x:is>
      </x:c>
      <x:c r="U262" s="520" t="inlineStr">
        <x:is>
          <x:t xml:space="preserve">Legal maps to 1, 3, 4, 10; helper says 1, 3, 4, 8</x:t>
        </x:is>
      </x:c>
      <x:c r="V262" s="520" t="inlineStr">
        <x:is>
          <x:t xml:space="preserve">Review</x:t>
        </x:is>
      </x:c>
      <x:c r="W262" s="520" t="inlineStr">
        <x:is>
          <x:t xml:space="preserve">Review — no exact prior-grantee match</x:t>
        </x:is>
      </x:c>
      <x:c r="X262" s="520" t="inlineStr">
        <x:is>
          <x:t xml:space="preserve">Yes — on Tract 3 owner list</x:t>
        </x:is>
      </x:c>
      <x:c r="Y262" s="520" t="inlineStr">
        <x:is>
          <x:t xml:space="preserve">Candidate 1 (helper — confirm from image)</x:t>
        </x:is>
      </x:c>
      <x:c r="Z262" s="520" t="inlineStr">
        <x:is>
          <x:t xml:space="preserve">Medium — helper value</x:t>
        </x:is>
      </x:c>
      <x:c r="AA262" s="520" t="inlineStr">
        <x:is>
          <x:t xml:space="preserve">Final Decree — Beckham County Court, to The Public (1728/457)</x:t>
        </x:is>
      </x:c>
      <x:c r="AB262" s="520" t="inlineStr">
        <x:is>
          <x:t xml:space="preserve">Needs source review: tract, grantor source</x:t>
        </x:is>
      </x:c>
    </x:row>
    <x:row r="263" s="520" customFormat="1" ht="60" customHeight="1">
      <x:c r="A263" s="519" t="inlineStr">
        <x:is>
          <x:t xml:space="preserve">2003-004945</x:t>
        </x:is>
      </x:c>
      <x:c r="B263" s="536" t="n"/>
      <x:c r="C263" s="536" t="inlineStr">
        <x:is>
          <x:t xml:space="preserve">Special Warranty Deed, Assignment and Bill of Sale</x:t>
        </x:is>
      </x:c>
      <x:c r="D263" s="536" t="inlineStr">
        <x:is>
          <x:t xml:space="preserve">1724/582</x:t>
        </x:is>
      </x:c>
      <x:c r="E263" s="537" t="n">
        <x:v>37848</x:v>
      </x:c>
      <x:c r="F263" s="537" t="n">
        <x:v>37897</x:v>
      </x:c>
      <x:c r="G263" s="538" t="inlineStr">
        <x:is>
          <x:t xml:space="preserve">Bluebonnet Investments, Ltd.</x:t>
        </x:is>
      </x:c>
      <x:c r="H263" s="538" t="inlineStr">
        <x:is>
          <x:t xml:space="preserve">White Birch, L.P.</x:t>
        </x:is>
      </x:c>
      <x:c r="I263" s="538" t="inlineStr">
        <x:is>
          <x:t xml:space="preserve">E/2 NW/4, N/2 NE/4 SW/4, NE/4 SE/4, SE/4 NE/4 of 31-12N-24W, aol</x:t>
        </x:is>
      </x:c>
      <x:c r="J263" s="538" t="inlineStr">
        <x:is>
          <x:t xml:space="preserve">ARTI, being the same property conveyed in Mineral Deed dated May 24, 1974, from Marie Lister to Mann Children's Trust, recorded in Book 165, Page 87 of the Mineral Records of Roger Mills County, Oklahoma, SAVE AND EXCEPT: The above described Property shall not include any contingent beneficiary interest, … Full recital in recorded instrument — see Link.</x:t>
        </x:is>
      </x:c>
      <x:c r="K263" s="518" t="e">
        <x:f>HYPERLINK("https://okcountyrecords.com/detail/roger+mills/2003-004945","OKCountyRecords: 2003-004945")</x:f>
      </x:c>
      <x:c r="L263" s="519" t="inlineStr">
        <x:is>
          <x:t xml:space="preserve">Mineral; basis Conv Amt(dec). Gross=tract-map basis.</x:t>
        </x:is>
      </x:c>
      <x:c r="M263" s="519" t="inlineStr">
        <x:is>
          <x:t xml:space="preserve">CURRENT OWNER SOURCE</x:t>
        </x:is>
      </x:c>
      <x:c r="N263" s="519" t="n"/>
      <x:c r="O263" s="519" t="inlineStr">
        <x:is>
          <x:t xml:space="preserve">OUTSIDE LANDS</x:t>
        </x:is>
      </x:c>
      <x:c r="P263" s="520" t="inlineStr">
        <x:is>
          <x:t xml:space="preserve">Chain — WI/leasehold assignment</x:t>
        </x:is>
      </x:c>
      <x:c r="Q263" s="520" t="inlineStr">
        <x:is>
          <x:t xml:space="preserve">No</x:t>
        </x:is>
      </x:c>
      <x:c r="R263" s="520" t="inlineStr">
        <x:is>
          <x:t xml:space="preserve">Yes</x:t>
        </x:is>
      </x:c>
      <x:c r="S263" s="520" t="inlineStr">
        <x:is>
          <x:t xml:space="preserve">Review</x:t>
        </x:is>
      </x:c>
      <x:c r="T263" s="520" t="inlineStr">
        <x:is>
          <x:t xml:space="preserve">Yes</x:t>
        </x:is>
      </x:c>
      <x:c r="U263" s="520" t="inlineStr">
        <x:is>
          <x:t xml:space="preserve">Legal maps to 1, 3, 4, 7, 10; helper says 1, 3, 4, 7, 8</x:t>
        </x:is>
      </x:c>
      <x:c r="V263" s="520" t="inlineStr">
        <x:is>
          <x:t xml:space="preserve">Review</x:t>
        </x:is>
      </x:c>
      <x:c r="W263" s="520" t="inlineStr">
        <x:is>
          <x:t xml:space="preserve">Yes — prior grantee match</x:t>
        </x:is>
      </x:c>
      <x:c r="X263" s="520" t="inlineStr">
        <x:is>
          <x:t xml:space="preserve">Yes — on Tract 3 owner list</x:t>
        </x:is>
      </x:c>
      <x:c r="Y263" s="520" t="inlineStr">
        <x:is>
          <x:t xml:space="preserve">Candidate 1 (helper — confirm from image)</x:t>
        </x:is>
      </x:c>
      <x:c r="Z263" s="520" t="inlineStr">
        <x:is>
          <x:t xml:space="preserve">Medium — helper value</x:t>
        </x:is>
      </x:c>
      <x:c r="AA263" s="520" t="inlineStr">
        <x:is>
          <x:t xml:space="preserve">Special Warranty Deed, Assignmen — Bluebonnet Investments, Ltd. to White Birch, L.P. (1724/582)</x:t>
        </x:is>
      </x:c>
      <x:c r="AB263" s="520" t="inlineStr">
        <x:is>
          <x:t xml:space="preserve">Needs source review: tract</x:t>
        </x:is>
      </x:c>
    </x:row>
    <x:row r="264" s="520" customFormat="1" ht="48" customHeight="1">
      <x:c r="A264" s="519" t="inlineStr">
        <x:is>
          <x:t xml:space="preserve">2004-000099</x:t>
        </x:is>
      </x:c>
      <x:c r="B264" s="536" t="n"/>
      <x:c r="C264" s="536" t="inlineStr">
        <x:is>
          <x:t xml:space="preserve">Final Decree</x:t>
        </x:is>
      </x:c>
      <x:c r="D264" s="536" t="inlineStr">
        <x:is>
          <x:t xml:space="preserve">1734/14</x:t>
        </x:is>
      </x:c>
      <x:c r="E264" s="537" t="n">
        <x:v>37990</x:v>
      </x:c>
      <x:c r="F264" s="537" t="n">
        <x:v>37994</x:v>
      </x:c>
      <x:c r="G264" s="538" t="inlineStr">
        <x:is>
          <x:t xml:space="preserve">Beckham County Court,
RE: In the Matter of the Estate of Evelyn Louise McLerran, Deceased</x:t>
        </x:is>
      </x:c>
      <x:c r="H264" s="538" t="inlineStr">
        <x:is>
          <x:t xml:space="preserve">Nana Lou Jones</x:t>
        </x:is>
      </x:c>
      <x:c r="I264" s="538" t="inlineStr">
        <x:is>
          <x:t xml:space="preserve">E/2 NW/4, N/2 NE/4 SW/4, NE/4 SE/4, SE/4 NE/4 of 31-12N-24W, aol</x:t>
        </x:is>
      </x:c>
      <x:c r="J264" s="538" t="inlineStr">
        <x:is>
          <x:t xml:space="preserve">ARTI</x:t>
        </x:is>
      </x:c>
      <x:c r="K264" s="518" t="e">
        <x:f>HYPERLINK("https://okcountyrecords.com/detail/roger+mills/2004-000099","OKCountyRecords: 2004-000099")</x:f>
      </x:c>
      <x:c r="L264" s="519" t="inlineStr">
        <x:is>
          <x:t xml:space="preserve">Mineral; basis Conv Amt(dec). Gross=tract-map basis.</x:t>
        </x:is>
      </x:c>
      <x:c r="M264" s="519" t="inlineStr">
        <x:is>
          <x:t xml:space="preserve">CURRENT OWNER SOURCE</x:t>
        </x:is>
      </x:c>
      <x:c r="N264" s="519" t="n"/>
      <x:c r="O264" s="519" t="inlineStr">
        <x:is>
          <x:t xml:space="preserve">OUTSIDE LANDS</x:t>
        </x:is>
      </x:c>
      <x:c r="P264" s="520" t="inlineStr">
        <x:is>
          <x:t xml:space="preserve">Chain — title support (succession/entity/probate)</x:t>
        </x:is>
      </x:c>
      <x:c r="Q264" s="520" t="inlineStr">
        <x:is>
          <x:t xml:space="preserve">Yes</x:t>
        </x:is>
      </x:c>
      <x:c r="R264" s="520" t="inlineStr">
        <x:is>
          <x:t xml:space="preserve">No</x:t>
        </x:is>
      </x:c>
      <x:c r="S264" s="520" t="inlineStr">
        <x:is>
          <x:t xml:space="preserve">Yes</x:t>
        </x:is>
      </x:c>
      <x:c r="T264" s="520" t="inlineStr">
        <x:is>
          <x:t xml:space="preserve">No</x:t>
        </x:is>
      </x:c>
      <x:c r="U264" s="520" t="inlineStr">
        <x:is>
          <x:t xml:space="preserve">Legal maps to 1, 3, 4, 7, 10; helper says 1, 3, 4, 7, 8</x:t>
        </x:is>
      </x:c>
      <x:c r="V264" s="520" t="inlineStr">
        <x:is>
          <x:t xml:space="preserve">Review</x:t>
        </x:is>
      </x:c>
      <x:c r="W264" s="520" t="inlineStr">
        <x:is>
          <x:t xml:space="preserve">Review — no exact prior-grantee match</x:t>
        </x:is>
      </x:c>
      <x:c r="X264" s="520" t="inlineStr">
        <x:is>
          <x:t xml:space="preserve">Yes — on Tract 3 owner list</x:t>
        </x:is>
      </x:c>
      <x:c r="Y264" s="520" t="inlineStr">
        <x:is>
          <x:t xml:space="preserve">Candidate 1 (helper — confirm from image)</x:t>
        </x:is>
      </x:c>
      <x:c r="Z264" s="520" t="inlineStr">
        <x:is>
          <x:t xml:space="preserve">Medium — helper value</x:t>
        </x:is>
      </x:c>
      <x:c r="AA264" s="520" t="inlineStr">
        <x:is>
          <x:t xml:space="preserve">Final Decree — Beckham County Court, to Nana Lou Jones (1734/14)</x:t>
        </x:is>
      </x:c>
      <x:c r="AB264" s="520" t="inlineStr">
        <x:is>
          <x:t xml:space="preserve">Needs source review: tract, grantor source</x:t>
        </x:is>
      </x:c>
    </x:row>
    <x:row r="265" s="520" customFormat="1" ht="60" customHeight="1">
      <x:c r="A265" s="519" t="inlineStr">
        <x:is>
          <x:t xml:space="preserve">2004-000723</x:t>
        </x:is>
      </x:c>
      <x:c r="B265" s="536" t="n">
        <x:v>1</x:v>
      </x:c>
      <x:c r="C265" s="536" t="inlineStr">
        <x:is>
          <x:t xml:space="preserve">Oil and Gas Lease</x:t>
        </x:is>
      </x:c>
      <x:c r="D265" s="536" t="inlineStr">
        <x:is>
          <x:t xml:space="preserve">1736/594</x:t>
        </x:is>
      </x:c>
      <x:c r="E265" s="537" t="n">
        <x:v>38000</x:v>
      </x:c>
      <x:c r="F265" s="537" t="n">
        <x:v>38029</x:v>
      </x:c>
      <x:c r="G265" s="538" t="inlineStr">
        <x:is>
          <x:t xml:space="preserve">Carrie Leeann Mitchell
1880 Old Salem Road
Watkinsville, GA 30308</x:t>
        </x:is>
      </x:c>
      <x:c r="H265" s="538" t="inlineStr">
        <x:is>
          <x:t xml:space="preserve">R. Michael Lortz</x:t>
        </x:is>
      </x:c>
      <x:c r="I265" s="538" t="inlineStr">
        <x:is>
          <x:t xml:space="preserve">E/2 NW/4, N/2 NE/4, N/2 NE/4 SW/4, Lot 4, S/2 of Lot 3, NE/4 SE/4, S/2 NE/4 SW/4, SE/4 NE/4, SE/4 SW/4 of 31-12N-24W</x:t>
        </x:is>
      </x:c>
      <x:c r="J265" s="538" t="inlineStr">
        <x:is>
          <x:t xml:space="preserve">375.335 gross acres
3 yrs
3/16ths royalty</x:t>
        </x:is>
      </x:c>
      <x:c r="K265" s="518" t="e">
        <x:f>HYPERLINK("https://okcountyrecords.com/detail/roger+mills/2004-000723","OKCountyRecords: 2004-000723")</x:f>
      </x:c>
      <x:c r="L265" s="519" t="inlineStr">
        <x:is>
          <x:t xml:space="preserve">Leasehold (non-mineral; excluded from mineral NMA). All-section coverage. Gross=tract-map basis.</x:t>
        </x:is>
      </x:c>
      <x:c r="M265" s="519" t="inlineStr">
        <x:is>
          <x:t xml:space="preserve">CURRENT LEASE SOURCE</x:t>
        </x:is>
      </x:c>
      <x:c r="N265" s="519" t="n"/>
      <x:c r="O265" s="519" t="inlineStr">
        <x:is>
          <x:t xml:space="preserve">OGL / BASE LEASE</x:t>
        </x:is>
      </x:c>
      <x:c r="P265" s="520" t="inlineStr">
        <x:is>
          <x:t xml:space="preserve">Chain — leasehold (OGL)</x:t>
        </x:is>
      </x:c>
      <x:c r="Q265" s="520" t="inlineStr">
        <x:is>
          <x:t xml:space="preserve">No</x:t>
        </x:is>
      </x:c>
      <x:c r="R265" s="520" t="inlineStr">
        <x:is>
          <x:t xml:space="preserve">Yes</x:t>
        </x:is>
      </x:c>
      <x:c r="S265" s="520" t="inlineStr">
        <x:is>
          <x:t xml:space="preserve">No</x:t>
        </x:is>
      </x:c>
      <x:c r="T265" s="520" t="inlineStr">
        <x:is>
          <x:t xml:space="preserve">Yes</x:t>
        </x:is>
      </x:c>
      <x:c r="U265" s="520" t="inlineStr">
        <x:is>
          <x:t xml:space="preserve">Legal maps to 1, 3, 4, 5, 7, 9, 10; helper says 1, 8</x:t>
        </x:is>
      </x:c>
      <x:c r="V265" s="520" t="inlineStr">
        <x:is>
          <x:t xml:space="preserve">Review</x:t>
        </x:is>
      </x:c>
      <x:c r="W265" s="520" t="inlineStr">
        <x:is>
          <x:t xml:space="preserve">Review — no exact prior-grantee match</x:t>
        </x:is>
      </x:c>
      <x:c r="X265" s="520" t="inlineStr">
        <x:is>
          <x:t xml:space="preserve">Review</x:t>
        </x:is>
      </x:c>
      <x:c r="Y265" s="520" t="inlineStr">
        <x:is>
          <x:t xml:space="preserve">Interest amount needs review</x:t>
        </x:is>
      </x:c>
      <x:c r="Z265" s="520" t="inlineStr">
        <x:is>
          <x:t xml:space="preserve">Review</x:t>
        </x:is>
      </x:c>
      <x:c r="AA265" s="520" t="inlineStr">
        <x:is>
          <x:t xml:space="preserve">Oil and Gas Lease — Carrie Leeann Mitchell to R. Michael Lortz (1736/594)</x:t>
        </x:is>
      </x:c>
      <x:c r="AB265" s="520" t="inlineStr">
        <x:is>
          <x:t xml:space="preserve">Needs source review: tract, grantor source, interest amount</x:t>
        </x:is>
      </x:c>
    </x:row>
    <x:row r="266" s="520" customFormat="1" ht="60" customHeight="1">
      <x:c r="A266" s="519" t="inlineStr">
        <x:is>
          <x:t xml:space="preserve">2004-000727</x:t>
        </x:is>
      </x:c>
      <x:c r="B266" s="536" t="n">
        <x:v>3</x:v>
      </x:c>
      <x:c r="C266" s="536" t="inlineStr">
        <x:is>
          <x:t xml:space="preserve">Oil and Gas Lease</x:t>
        </x:is>
      </x:c>
      <x:c r="D266" s="536" t="inlineStr">
        <x:is>
          <x:t xml:space="preserve">1736/602</x:t>
        </x:is>
      </x:c>
      <x:c r="E266" s="537" t="n">
        <x:v>38000</x:v>
      </x:c>
      <x:c r="F266" s="537" t="n">
        <x:v>38029</x:v>
      </x:c>
      <x:c r="G266" s="538" t="inlineStr">
        <x:is>
          <x:t xml:space="preserve">Gena W. Moore aka Gena Williams
3890 Windyke Drive
Memphis, TN 38125</x:t>
        </x:is>
      </x:c>
      <x:c r="H266" s="538" t="inlineStr">
        <x:is>
          <x:t xml:space="preserve">R. Michael Lortz</x:t>
        </x:is>
      </x:c>
      <x:c r="I266" s="538" t="inlineStr">
        <x:is>
          <x:t xml:space="preserve">E/2 NW/4, N/2 NE/4, N/2 NE/4 SW/4, Lot 4, S/2 of Lot 3, NE/4 SE/4, S/2 NE/4 SW/4, SE/4 NE/4, SE/4 SW/4 of 31-12N-24W</x:t>
        </x:is>
      </x:c>
      <x:c r="J266" s="538" t="inlineStr">
        <x:is>
          <x:t xml:space="preserve">375.335 gross acres
3 yrs
3/16ths royalty</x:t>
        </x:is>
      </x:c>
      <x:c r="K266" s="518" t="e">
        <x:f>HYPERLINK("https://okcountyrecords.com/detail/roger+mills/2004-000727","OKCountyRecords: 2004-000727")</x:f>
      </x:c>
      <x:c r="L266" s="519" t="inlineStr">
        <x:is>
          <x:t xml:space="preserve">Leasehold (non-mineral; excluded from mineral NMA). All-section coverage. Gross=tract-map basis.</x:t>
        </x:is>
      </x:c>
      <x:c r="M266" s="519" t="inlineStr">
        <x:is>
          <x:t xml:space="preserve">CURRENT LEASE SOURCE</x:t>
        </x:is>
      </x:c>
      <x:c r="N266" s="519" t="n"/>
      <x:c r="O266" s="519" t="inlineStr">
        <x:is>
          <x:t xml:space="preserve">OGL / BASE LEASE</x:t>
        </x:is>
      </x:c>
      <x:c r="P266" s="520" t="inlineStr">
        <x:is>
          <x:t xml:space="preserve">Chain — leasehold (OGL)</x:t>
        </x:is>
      </x:c>
      <x:c r="Q266" s="520" t="inlineStr">
        <x:is>
          <x:t xml:space="preserve">No</x:t>
        </x:is>
      </x:c>
      <x:c r="R266" s="520" t="inlineStr">
        <x:is>
          <x:t xml:space="preserve">Yes</x:t>
        </x:is>
      </x:c>
      <x:c r="S266" s="520" t="inlineStr">
        <x:is>
          <x:t xml:space="preserve">No</x:t>
        </x:is>
      </x:c>
      <x:c r="T266" s="520" t="inlineStr">
        <x:is>
          <x:t xml:space="preserve">Yes</x:t>
        </x:is>
      </x:c>
      <x:c r="U266" s="520" t="inlineStr">
        <x:is>
          <x:t xml:space="preserve">Legal maps to 1, 3, 4, 5, 7, 9, 10; helper says 1, 8</x:t>
        </x:is>
      </x:c>
      <x:c r="V266" s="520" t="inlineStr">
        <x:is>
          <x:t xml:space="preserve">Review</x:t>
        </x:is>
      </x:c>
      <x:c r="W266" s="520" t="inlineStr">
        <x:is>
          <x:t xml:space="preserve">Review — no exact prior-grantee match</x:t>
        </x:is>
      </x:c>
      <x:c r="X266" s="520" t="inlineStr">
        <x:is>
          <x:t xml:space="preserve">Review</x:t>
        </x:is>
      </x:c>
      <x:c r="Y266" s="520" t="inlineStr">
        <x:is>
          <x:t xml:space="preserve">Interest amount needs review</x:t>
        </x:is>
      </x:c>
      <x:c r="Z266" s="520" t="inlineStr">
        <x:is>
          <x:t xml:space="preserve">Review</x:t>
        </x:is>
      </x:c>
      <x:c r="AA266" s="520" t="inlineStr">
        <x:is>
          <x:t xml:space="preserve">Oil and Gas Lease — Gena W. Moore aka Gena William to R. Michael Lortz (1736/602)</x:t>
        </x:is>
      </x:c>
      <x:c r="AB266" s="520" t="inlineStr">
        <x:is>
          <x:t xml:space="preserve">Needs source review: tract, grantor source, interest amount</x:t>
        </x:is>
      </x:c>
    </x:row>
    <x:row r="267" s="520" customFormat="1" ht="60" customHeight="1">
      <x:c r="A267" s="519" t="inlineStr">
        <x:is>
          <x:t xml:space="preserve">2004-000722</x:t>
        </x:is>
      </x:c>
      <x:c r="B267" s="536" t="n">
        <x:v>4</x:v>
      </x:c>
      <x:c r="C267" s="536" t="inlineStr">
        <x:is>
          <x:t xml:space="preserve">Oil and Gas Lease</x:t>
        </x:is>
      </x:c>
      <x:c r="D267" s="536" t="inlineStr">
        <x:is>
          <x:t xml:space="preserve">1736/592</x:t>
        </x:is>
      </x:c>
      <x:c r="E267" s="537" t="n">
        <x:v>38000</x:v>
      </x:c>
      <x:c r="F267" s="537" t="n">
        <x:v>38029</x:v>
      </x:c>
      <x:c r="G267" s="538" t="inlineStr">
        <x:is>
          <x:t xml:space="preserve">Nancy Mitchell Williams
100 West Dogwood
Hobart, OK 73651</x:t>
        </x:is>
      </x:c>
      <x:c r="H267" s="538" t="inlineStr">
        <x:is>
          <x:t xml:space="preserve">R. Michael Lortz</x:t>
        </x:is>
      </x:c>
      <x:c r="I267" s="538" t="inlineStr">
        <x:is>
          <x:t xml:space="preserve">E/2 NW/4, N/2 NE/4, N/2 NE/4 SW/4, Lot 4, S/2 of Lot 3, NE/4 SE/4, S/2 NE/4 SW/4, SE/4 NE/4, SE/4 SW/4 of 31-12N-24W</x:t>
        </x:is>
      </x:c>
      <x:c r="J267" s="538" t="inlineStr">
        <x:is>
          <x:t xml:space="preserve">375.335 gross acres
3 yrs
3/16ths royalty</x:t>
        </x:is>
      </x:c>
      <x:c r="K267" s="518" t="e">
        <x:f>HYPERLINK("https://okcountyrecords.com/detail/roger+mills/2004-000722","OKCountyRecords: 2004-000722")</x:f>
      </x:c>
      <x:c r="L267" s="519" t="inlineStr">
        <x:is>
          <x:t xml:space="preserve">Leasehold (non-mineral; excluded from mineral NMA). All-section coverage. Gross=tract-map basis.</x:t>
        </x:is>
      </x:c>
      <x:c r="M267" s="519" t="inlineStr">
        <x:is>
          <x:t xml:space="preserve">CURRENT LEASE SOURCE</x:t>
        </x:is>
      </x:c>
      <x:c r="N267" s="519" t="n"/>
      <x:c r="O267" s="519" t="inlineStr">
        <x:is>
          <x:t xml:space="preserve">OGL / BASE LEASE</x:t>
        </x:is>
      </x:c>
      <x:c r="P267" s="520" t="inlineStr">
        <x:is>
          <x:t xml:space="preserve">Chain — leasehold (OGL)</x:t>
        </x:is>
      </x:c>
      <x:c r="Q267" s="520" t="inlineStr">
        <x:is>
          <x:t xml:space="preserve">No</x:t>
        </x:is>
      </x:c>
      <x:c r="R267" s="520" t="inlineStr">
        <x:is>
          <x:t xml:space="preserve">Yes</x:t>
        </x:is>
      </x:c>
      <x:c r="S267" s="520" t="inlineStr">
        <x:is>
          <x:t xml:space="preserve">No</x:t>
        </x:is>
      </x:c>
      <x:c r="T267" s="520" t="inlineStr">
        <x:is>
          <x:t xml:space="preserve">Yes</x:t>
        </x:is>
      </x:c>
      <x:c r="U267" s="520" t="inlineStr">
        <x:is>
          <x:t xml:space="preserve">Legal maps to 1, 3, 4, 5, 7, 9, 10; helper says 1, 8</x:t>
        </x:is>
      </x:c>
      <x:c r="V267" s="520" t="inlineStr">
        <x:is>
          <x:t xml:space="preserve">Review</x:t>
        </x:is>
      </x:c>
      <x:c r="W267" s="520" t="inlineStr">
        <x:is>
          <x:t xml:space="preserve">Yes — prior grantee match</x:t>
        </x:is>
      </x:c>
      <x:c r="X267" s="520" t="inlineStr">
        <x:is>
          <x:t xml:space="preserve">Review</x:t>
        </x:is>
      </x:c>
      <x:c r="Y267" s="520" t="inlineStr">
        <x:is>
          <x:t xml:space="preserve">Interest amount needs review</x:t>
        </x:is>
      </x:c>
      <x:c r="Z267" s="520" t="inlineStr">
        <x:is>
          <x:t xml:space="preserve">Review</x:t>
        </x:is>
      </x:c>
      <x:c r="AA267" s="520" t="inlineStr">
        <x:is>
          <x:t xml:space="preserve">Oil and Gas Lease — Nancy Mitchell Williams to R. Michael Lortz (1736/592)</x:t>
        </x:is>
      </x:c>
      <x:c r="AB267" s="520" t="inlineStr">
        <x:is>
          <x:t xml:space="preserve">Needs source review: tract, interest amount</x:t>
        </x:is>
      </x:c>
    </x:row>
    <x:row r="268" s="520" customFormat="1" ht="60" customHeight="1">
      <x:c r="A268" s="519" t="inlineStr">
        <x:is>
          <x:t xml:space="preserve">2004-000726</x:t>
        </x:is>
      </x:c>
      <x:c r="B268" s="536" t="n">
        <x:v>2</x:v>
      </x:c>
      <x:c r="C268" s="536" t="inlineStr">
        <x:is>
          <x:t xml:space="preserve">Oil and Gas Lease</x:t>
        </x:is>
      </x:c>
      <x:c r="D268" s="536" t="inlineStr">
        <x:is>
          <x:t xml:space="preserve">1736/600</x:t>
        </x:is>
      </x:c>
      <x:c r="E268" s="537" t="n">
        <x:v>38000</x:v>
      </x:c>
      <x:c r="F268" s="537" t="n">
        <x:v>38029</x:v>
      </x:c>
      <x:c r="G268" s="538" t="inlineStr">
        <x:is>
          <x:t xml:space="preserve">Nancy Susan Mitchell
753 Velma
Memphis, TN 38104</x:t>
        </x:is>
      </x:c>
      <x:c r="H268" s="538" t="inlineStr">
        <x:is>
          <x:t xml:space="preserve">R. Michael Lortz</x:t>
        </x:is>
      </x:c>
      <x:c r="I268" s="538" t="inlineStr">
        <x:is>
          <x:t xml:space="preserve">E/2 NW/4, N/2 NE/4, N/2 NE/4 SW/4, Lot 4, S/2 of Lot 3, NE/4 SE/4, S/2 NE/4 SW/4, SE/4 NE/4, SE/4 SW/4 of 31-12N-24W</x:t>
        </x:is>
      </x:c>
      <x:c r="J268" s="538" t="inlineStr">
        <x:is>
          <x:t xml:space="preserve">375.335 gross acres
3 yrs
3/16ths royalty</x:t>
        </x:is>
      </x:c>
      <x:c r="K268" s="518" t="e">
        <x:f>HYPERLINK("https://okcountyrecords.com/detail/roger+mills/2004-000726","OKCountyRecords: 2004-000726")</x:f>
      </x:c>
      <x:c r="L268" s="519" t="inlineStr">
        <x:is>
          <x:t xml:space="preserve">Leasehold (non-mineral; excluded from mineral NMA). All-section coverage. Gross=tract-map basis.</x:t>
        </x:is>
      </x:c>
      <x:c r="M268" s="519" t="inlineStr">
        <x:is>
          <x:t xml:space="preserve">CURRENT LEASE SOURCE</x:t>
        </x:is>
      </x:c>
      <x:c r="N268" s="519" t="n"/>
      <x:c r="O268" s="519" t="inlineStr">
        <x:is>
          <x:t xml:space="preserve">OGL / BASE LEASE</x:t>
        </x:is>
      </x:c>
      <x:c r="P268" s="520" t="inlineStr">
        <x:is>
          <x:t xml:space="preserve">Chain — leasehold (OGL)</x:t>
        </x:is>
      </x:c>
      <x:c r="Q268" s="520" t="inlineStr">
        <x:is>
          <x:t xml:space="preserve">No</x:t>
        </x:is>
      </x:c>
      <x:c r="R268" s="520" t="inlineStr">
        <x:is>
          <x:t xml:space="preserve">Yes</x:t>
        </x:is>
      </x:c>
      <x:c r="S268" s="520" t="inlineStr">
        <x:is>
          <x:t xml:space="preserve">No</x:t>
        </x:is>
      </x:c>
      <x:c r="T268" s="520" t="inlineStr">
        <x:is>
          <x:t xml:space="preserve">Yes</x:t>
        </x:is>
      </x:c>
      <x:c r="U268" s="520" t="inlineStr">
        <x:is>
          <x:t xml:space="preserve">Legal maps to 1, 3, 4, 5, 7, 9, 10; helper says 1, 8</x:t>
        </x:is>
      </x:c>
      <x:c r="V268" s="520" t="inlineStr">
        <x:is>
          <x:t xml:space="preserve">Review</x:t>
        </x:is>
      </x:c>
      <x:c r="W268" s="520" t="inlineStr">
        <x:is>
          <x:t xml:space="preserve">Review — no exact prior-grantee match</x:t>
        </x:is>
      </x:c>
      <x:c r="X268" s="520" t="inlineStr">
        <x:is>
          <x:t xml:space="preserve">Review</x:t>
        </x:is>
      </x:c>
      <x:c r="Y268" s="520" t="inlineStr">
        <x:is>
          <x:t xml:space="preserve">Interest amount needs review</x:t>
        </x:is>
      </x:c>
      <x:c r="Z268" s="520" t="inlineStr">
        <x:is>
          <x:t xml:space="preserve">Review</x:t>
        </x:is>
      </x:c>
      <x:c r="AA268" s="520" t="inlineStr">
        <x:is>
          <x:t xml:space="preserve">Oil and Gas Lease — Nancy Susan Mitchell to R. Michael Lortz (1736/600)</x:t>
        </x:is>
      </x:c>
      <x:c r="AB268" s="520" t="inlineStr">
        <x:is>
          <x:t xml:space="preserve">Needs source review: tract, grantor source, interest amount</x:t>
        </x:is>
      </x:c>
    </x:row>
    <x:row r="269" s="520" customFormat="1" ht="48" customHeight="1">
      <x:c r="A269" s="519" t="inlineStr">
        <x:is>
          <x:t xml:space="preserve">2004-000724</x:t>
        </x:is>
      </x:c>
      <x:c r="B269" s="536" t="n">
        <x:v>54</x:v>
      </x:c>
      <x:c r="C269" s="536" t="inlineStr">
        <x:is>
          <x:t xml:space="preserve">Oil and Gas Lease</x:t>
        </x:is>
      </x:c>
      <x:c r="D269" s="536" t="inlineStr">
        <x:is>
          <x:t xml:space="preserve">1736/596</x:t>
        </x:is>
      </x:c>
      <x:c r="E269" s="537" t="n">
        <x:v>38002</x:v>
      </x:c>
      <x:c r="F269" s="537" t="n">
        <x:v>38029</x:v>
      </x:c>
      <x:c r="G269" s="538" t="inlineStr">
        <x:is>
          <x:t xml:space="preserve">Carl L. Bain aka Carl Leon Bain
1517 Twichell
Dumas, TX 79029</x:t>
        </x:is>
      </x:c>
      <x:c r="H269" s="538" t="inlineStr">
        <x:is>
          <x:t xml:space="preserve">R. Michael Lortz</x:t>
        </x:is>
      </x:c>
      <x:c r="I269" s="538" t="inlineStr">
        <x:is>
          <x:t xml:space="preserve">NW/4 SE/4, S/2 SE/4, SW/4 NE/4 of 31-12N-24W</x:t>
        </x:is>
      </x:c>
      <x:c r="J269" s="538" t="inlineStr">
        <x:is>
          <x:t xml:space="preserve">160 gross acres
3 yrs
3/16ths royalty</x:t>
        </x:is>
      </x:c>
      <x:c r="K269" s="518" t="e">
        <x:f>HYPERLINK("https://okcountyrecords.com/detail/roger+mills/2004-000724","OKCountyRecords: 2004-000724")</x:f>
      </x:c>
      <x:c r="L269" s="519" t="inlineStr">
        <x:is>
          <x:t xml:space="preserve">Leasehold (non-mineral; excluded from mineral NMA). Gross=tract-map basis.</x:t>
        </x:is>
      </x:c>
      <x:c r="M269" s="519" t="inlineStr">
        <x:is>
          <x:t xml:space="preserve">CURRENT LEASE SOURCE</x:t>
        </x:is>
      </x:c>
      <x:c r="N269" s="519" t="n"/>
      <x:c r="O269" s="519" t="inlineStr">
        <x:is>
          <x:t xml:space="preserve">OGL / BASE LEASE</x:t>
        </x:is>
      </x:c>
      <x:c r="P269" s="520" t="inlineStr">
        <x:is>
          <x:t xml:space="preserve">Chain — leasehold (OGL)</x:t>
        </x:is>
      </x:c>
      <x:c r="Q269" s="520" t="inlineStr">
        <x:is>
          <x:t xml:space="preserve">No</x:t>
        </x:is>
      </x:c>
      <x:c r="R269" s="520" t="inlineStr">
        <x:is>
          <x:t xml:space="preserve">Yes</x:t>
        </x:is>
      </x:c>
      <x:c r="S269" s="520" t="inlineStr">
        <x:is>
          <x:t xml:space="preserve">No</x:t>
        </x:is>
      </x:c>
      <x:c r="T269" s="520" t="inlineStr">
        <x:is>
          <x:t xml:space="preserve">Yes</x:t>
        </x:is>
      </x:c>
      <x:c r="U269" s="520" t="inlineStr">
        <x:is>
          <x:t xml:space="preserve">Yes: 2 (legal supports)</x:t>
        </x:is>
      </x:c>
      <x:c r="V269" s="520" t="inlineStr">
        <x:is>
          <x:t xml:space="preserve">High</x:t>
        </x:is>
      </x:c>
      <x:c r="W269" s="520" t="inlineStr">
        <x:is>
          <x:t xml:space="preserve">Probable — name-normalized match to Runsheet 202 grantee; confirm</x:t>
        </x:is>
      </x:c>
      <x:c r="X269" s="520" t="inlineStr">
        <x:is>
          <x:t xml:space="preserve">Review</x:t>
        </x:is>
      </x:c>
      <x:c r="Y269" s="520" t="inlineStr">
        <x:is>
          <x:t xml:space="preserve">Interest amount needs review</x:t>
        </x:is>
      </x:c>
      <x:c r="Z269" s="520" t="inlineStr">
        <x:is>
          <x:t xml:space="preserve">Review</x:t>
        </x:is>
      </x:c>
      <x:c r="AA269" s="520" t="inlineStr">
        <x:is>
          <x:t xml:space="preserve">Oil and Gas Lease — Carl L. Bain aka Carl Leon Bai to R. Michael Lortz (1736/596)</x:t>
        </x:is>
      </x:c>
      <x:c r="AB269" s="520" t="inlineStr">
        <x:is>
          <x:t xml:space="preserve">Needs source review: grantor source, interest amount</x:t>
        </x:is>
      </x:c>
    </x:row>
    <x:row r="270" s="520" customFormat="1" ht="96" customHeight="1">
      <x:c r="A270" s="519" t="inlineStr">
        <x:is>
          <x:t xml:space="preserve">2004-000725</x:t>
        </x:is>
      </x:c>
      <x:c r="B270" s="536" t="n">
        <x:v>6</x:v>
      </x:c>
      <x:c r="C270" s="536" t="inlineStr">
        <x:is>
          <x:t xml:space="preserve">Oil and Gas Lease</x:t>
        </x:is>
      </x:c>
      <x:c r="D270" s="536" t="inlineStr">
        <x:is>
          <x:t xml:space="preserve">1736/598</x:t>
        </x:is>
      </x:c>
      <x:c r="E270" s="537" t="n">
        <x:v>38002</x:v>
      </x:c>
      <x:c r="F270" s="537" t="n">
        <x:v>38029</x:v>
      </x:c>
      <x:c r="G270" s="538" t="inlineStr">
        <x:is>
          <x:t xml:space="preserve">Dow C. Bain and Edris O. Bain, HW
961 Country Road
Idaho Falls, ID 83402</x:t>
        </x:is>
      </x:c>
      <x:c r="H270" s="538" t="inlineStr">
        <x:is>
          <x:t xml:space="preserve">R. Michael Lortz</x:t>
        </x:is>
      </x:c>
      <x:c r="I270" s="538" t="inlineStr">
        <x:is>
          <x:t xml:space="preserve">NW/4 SE/4, S/2 SE/4, SW/4 NE/4 of 31-12N-24W</x:t>
        </x:is>
      </x:c>
      <x:c r="J270" s="538" t="inlineStr">
        <x:is>
          <x:t xml:space="preserve">160 gross acres
3 yrs
3/16ths royalty
Chain note: source of title — MINERAL DEED 1927-000706 at D38/162, Mark Hambrook, (Widower) to Panhandle Co-operative Royalty Company, covering W/2 NW/4 of 31-12N-24W, interest stated: An undivided 1/2 interest in all of the oil, gas, coal and other minerals. Confirm source instrument before relying on this conveyance.</x:t>
        </x:is>
      </x:c>
      <x:c r="K270" s="518" t="e">
        <x:f>HYPERLINK("https://okcountyrecords.com/detail/roger+mills/2004-000725","OKCountyRecords: 2004-000725")</x:f>
      </x:c>
      <x:c r="L270" s="519" t="inlineStr">
        <x:is>
          <x:t xml:space="preserve">Leasehold (non-mineral; excluded from mineral NMA). Gross=tract-map basis.</x:t>
        </x:is>
      </x:c>
      <x:c r="M270" s="519" t="inlineStr">
        <x:is>
          <x:t xml:space="preserve">CURRENT LEASE SOURCE</x:t>
        </x:is>
      </x:c>
      <x:c r="N270" s="519" t="n"/>
      <x:c r="O270" s="519" t="inlineStr">
        <x:is>
          <x:t xml:space="preserve">OGL / BASE LEASE</x:t>
        </x:is>
      </x:c>
      <x:c r="P270" s="520" t="inlineStr">
        <x:is>
          <x:t xml:space="preserve">Chain — leasehold (OGL)</x:t>
        </x:is>
      </x:c>
      <x:c r="Q270" s="520" t="inlineStr">
        <x:is>
          <x:t xml:space="preserve">No</x:t>
        </x:is>
      </x:c>
      <x:c r="R270" s="520" t="inlineStr">
        <x:is>
          <x:t xml:space="preserve">Yes</x:t>
        </x:is>
      </x:c>
      <x:c r="S270" s="520" t="inlineStr">
        <x:is>
          <x:t xml:space="preserve">No</x:t>
        </x:is>
      </x:c>
      <x:c r="T270" s="520" t="inlineStr">
        <x:is>
          <x:t xml:space="preserve">Yes</x:t>
        </x:is>
      </x:c>
      <x:c r="U270" s="520" t="inlineStr">
        <x:is>
          <x:t xml:space="preserve">Yes: 2 (legal supports)</x:t>
        </x:is>
      </x:c>
      <x:c r="V270" s="520" t="inlineStr">
        <x:is>
          <x:t xml:space="preserve">High</x:t>
        </x:is>
      </x:c>
      <x:c r="W270" s="520" t="inlineStr">
        <x:is>
          <x:t xml:space="preserve">Probable — name-normalized match to Runsheet 247 grantee; confirm</x:t>
        </x:is>
      </x:c>
      <x:c r="X270" s="520" t="inlineStr">
        <x:is>
          <x:t xml:space="preserve">Review</x:t>
        </x:is>
      </x:c>
      <x:c r="Y270" s="520" t="inlineStr">
        <x:is>
          <x:t xml:space="preserve">Interest amount needs review</x:t>
        </x:is>
      </x:c>
      <x:c r="Z270" s="520" t="inlineStr">
        <x:is>
          <x:t xml:space="preserve">Review</x:t>
        </x:is>
      </x:c>
      <x:c r="AA270" s="520" t="inlineStr">
        <x:is>
          <x:t xml:space="preserve">Oil and Gas Lease — Dow C. Bain and Edris O. Bain, to R. Michael Lortz (1736/598)</x:t>
        </x:is>
      </x:c>
      <x:c r="AB270" s="520" t="inlineStr">
        <x:is>
          <x:t xml:space="preserve">Needs source review: grantor source, interest amount</x:t>
        </x:is>
      </x:c>
    </x:row>
    <x:row r="271" s="520" customFormat="1" ht="96" customHeight="1">
      <x:c r="A271" s="519" t="inlineStr">
        <x:is>
          <x:t xml:space="preserve">2004-000580</x:t>
        </x:is>
      </x:c>
      <x:c r="B271" s="536" t="n">
        <x:v>51</x:v>
      </x:c>
      <x:c r="C271" s="536" t="inlineStr">
        <x:is>
          <x:t xml:space="preserve">Oil and Gas Lease</x:t>
        </x:is>
      </x:c>
      <x:c r="D271" s="536" t="inlineStr">
        <x:is>
          <x:t xml:space="preserve">1736/195</x:t>
        </x:is>
      </x:c>
      <x:c r="E271" s="537" t="n">
        <x:v>38002</x:v>
      </x:c>
      <x:c r="F271" s="537" t="n">
        <x:v>38020</x:v>
      </x:c>
      <x:c r="G271" s="538" t="inlineStr">
        <x:is>
          <x:t xml:space="preserve">Hans W. Jensen
317 Major Way
Sun Prairie, WI 53590</x:t>
        </x:is>
      </x:c>
      <x:c r="H271" s="538" t="inlineStr">
        <x:is>
          <x:t xml:space="preserve">R. Michael Lortz</x:t>
        </x:is>
      </x:c>
      <x:c r="I271" s="538" t="inlineStr">
        <x:is>
          <x:t xml:space="preserve">NW/4 SE/4, S/2 SE/4, SW/4 NE/4 of 31-12N-24W</x:t>
        </x:is>
      </x:c>
      <x:c r="J271" s="538" t="inlineStr">
        <x:is>
          <x:t xml:space="preserve">160 gross acres
3 yrs
3/16ths royalty
Chain note: source of title — OUTSIDE LANDS 1989-007000 at 1104/87, Ernest Jensen and Wilda Jensen, HW to Hans W. Jensen, covering SW/4 NE/4, NW/4 SE/4, S/2 SE/4 of 31-12N-24W, aol, interest stated: An undivided 2/160th (2 acres) in 31-12N-24W, 10/791.47 interest in 2 sections. Confirm source instrument before relying on this conveyance.</x:t>
        </x:is>
      </x:c>
      <x:c r="K271" s="518" t="e">
        <x:f>HYPERLINK("https://okcountyrecords.com/detail/roger+mills/2004-000580","OKCountyRecords: 2004-000580")</x:f>
      </x:c>
      <x:c r="L271" s="519" t="inlineStr">
        <x:is>
          <x:t xml:space="preserve">Leasehold (non-mineral; excluded from mineral NMA). Gross=tract-map basis.</x:t>
        </x:is>
      </x:c>
      <x:c r="M271" s="519" t="inlineStr">
        <x:is>
          <x:t xml:space="preserve">CURRENT LEASE SOURCE</x:t>
        </x:is>
      </x:c>
      <x:c r="N271" s="519" t="n"/>
      <x:c r="O271" s="519" t="inlineStr">
        <x:is>
          <x:t xml:space="preserve">OUTSIDE LANDS</x:t>
        </x:is>
      </x:c>
      <x:c r="P271" s="520" t="inlineStr">
        <x:is>
          <x:t xml:space="preserve">Chain — leasehold (OGL)</x:t>
        </x:is>
      </x:c>
      <x:c r="Q271" s="520" t="inlineStr">
        <x:is>
          <x:t xml:space="preserve">No</x:t>
        </x:is>
      </x:c>
      <x:c r="R271" s="520" t="inlineStr">
        <x:is>
          <x:t xml:space="preserve">Yes</x:t>
        </x:is>
      </x:c>
      <x:c r="S271" s="520" t="inlineStr">
        <x:is>
          <x:t xml:space="preserve">No</x:t>
        </x:is>
      </x:c>
      <x:c r="T271" s="520" t="inlineStr">
        <x:is>
          <x:t xml:space="preserve">Yes</x:t>
        </x:is>
      </x:c>
      <x:c r="U271" s="520" t="inlineStr">
        <x:is>
          <x:t xml:space="preserve">Yes: 2 (legal supports)</x:t>
        </x:is>
      </x:c>
      <x:c r="V271" s="520" t="inlineStr">
        <x:is>
          <x:t xml:space="preserve">High</x:t>
        </x:is>
      </x:c>
      <x:c r="W271" s="520" t="inlineStr">
        <x:is>
          <x:t xml:space="preserve">Yes — prior grantee match</x:t>
        </x:is>
      </x:c>
      <x:c r="X271" s="520" t="inlineStr">
        <x:is>
          <x:t xml:space="preserve">Review</x:t>
        </x:is>
      </x:c>
      <x:c r="Y271" s="520" t="inlineStr">
        <x:is>
          <x:t xml:space="preserve">Interest amount needs review</x:t>
        </x:is>
      </x:c>
      <x:c r="Z271" s="520" t="inlineStr">
        <x:is>
          <x:t xml:space="preserve">Review</x:t>
        </x:is>
      </x:c>
      <x:c r="AA271" s="520" t="inlineStr">
        <x:is>
          <x:t xml:space="preserve">Oil and Gas Lease — Hans W. Jensen to R. Michael Lortz (1736/195)</x:t>
        </x:is>
      </x:c>
      <x:c r="AB271" s="520" t="inlineStr">
        <x:is>
          <x:t xml:space="preserve">Needs source review: interest amount</x:t>
        </x:is>
      </x:c>
    </x:row>
    <x:row r="272" s="520" customFormat="1" ht="96" customHeight="1">
      <x:c r="A272" s="519" t="inlineStr">
        <x:is>
          <x:t xml:space="preserve">2004-000721</x:t>
        </x:is>
      </x:c>
      <x:c r="B272" s="536" t="n">
        <x:v>53</x:v>
      </x:c>
      <x:c r="C272" s="536" t="inlineStr">
        <x:is>
          <x:t xml:space="preserve">Oil and Gas Lease</x:t>
        </x:is>
      </x:c>
      <x:c r="D272" s="536" t="inlineStr">
        <x:is>
          <x:t xml:space="preserve">1736/590</x:t>
        </x:is>
      </x:c>
      <x:c r="E272" s="537" t="n">
        <x:v>38002</x:v>
      </x:c>
      <x:c r="F272" s="537" t="n">
        <x:v>38029</x:v>
      </x:c>
      <x:c r="G272" s="538" t="inlineStr">
        <x:is>
          <x:t xml:space="preserve">Juanita M. Wolff
P. O. Box 182
Sioux City, IA 51102</x:t>
        </x:is>
      </x:c>
      <x:c r="H272" s="538" t="inlineStr">
        <x:is>
          <x:t xml:space="preserve">R. Michael Lortz</x:t>
        </x:is>
      </x:c>
      <x:c r="I272" s="538" t="inlineStr">
        <x:is>
          <x:t xml:space="preserve">NW/4 SE/4, S/2 SE/4, SW/4 NE/4 of 31-12N-24W</x:t>
        </x:is>
      </x:c>
      <x:c r="J272" s="538" t="inlineStr">
        <x:is>
          <x:t xml:space="preserve">160 gross acres
3 yrs
3/16ths royalty
Chain note: source of title — OUTSIDE LANDS 1979-004881 at 274/566, Juanita M. Wolff to Alpine Oil &amp; Royalty Company Incorporated, covering SW/4 NE/4, NW/4 SE/4, S/2 SE/4 of 31-12N-24W, aol, interest stated: 10/791.47 interest in 2 sections. Confirm source instrument before relying on this conveyance.</x:t>
        </x:is>
      </x:c>
      <x:c r="K272" s="518" t="e">
        <x:f>HYPERLINK("https://okcountyrecords.com/detail/roger+mills/2004-000721","OKCountyRecords: 2004-000721")</x:f>
      </x:c>
      <x:c r="L272" s="519" t="inlineStr">
        <x:is>
          <x:t xml:space="preserve">Leasehold (non-mineral; excluded from mineral NMA). Gross=tract-map basis.</x:t>
        </x:is>
      </x:c>
      <x:c r="M272" s="519" t="inlineStr">
        <x:is>
          <x:t xml:space="preserve">CURRENT LEASE SOURCE</x:t>
        </x:is>
      </x:c>
      <x:c r="N272" s="519" t="n"/>
      <x:c r="O272" s="519" t="inlineStr">
        <x:is>
          <x:t xml:space="preserve">OUTSIDE LANDS</x:t>
        </x:is>
      </x:c>
      <x:c r="P272" s="520" t="inlineStr">
        <x:is>
          <x:t xml:space="preserve">Chain — leasehold (OGL)</x:t>
        </x:is>
      </x:c>
      <x:c r="Q272" s="520" t="inlineStr">
        <x:is>
          <x:t xml:space="preserve">No</x:t>
        </x:is>
      </x:c>
      <x:c r="R272" s="520" t="inlineStr">
        <x:is>
          <x:t xml:space="preserve">Yes</x:t>
        </x:is>
      </x:c>
      <x:c r="S272" s="520" t="inlineStr">
        <x:is>
          <x:t xml:space="preserve">No</x:t>
        </x:is>
      </x:c>
      <x:c r="T272" s="520" t="inlineStr">
        <x:is>
          <x:t xml:space="preserve">Yes</x:t>
        </x:is>
      </x:c>
      <x:c r="U272" s="520" t="inlineStr">
        <x:is>
          <x:t xml:space="preserve">Yes: 2 (legal supports)</x:t>
        </x:is>
      </x:c>
      <x:c r="V272" s="520" t="inlineStr">
        <x:is>
          <x:t xml:space="preserve">High</x:t>
        </x:is>
      </x:c>
      <x:c r="W272" s="520" t="inlineStr">
        <x:is>
          <x:t xml:space="preserve">Yes — prior grantee match</x:t>
        </x:is>
      </x:c>
      <x:c r="X272" s="520" t="inlineStr">
        <x:is>
          <x:t xml:space="preserve">Review</x:t>
        </x:is>
      </x:c>
      <x:c r="Y272" s="520" t="inlineStr">
        <x:is>
          <x:t xml:space="preserve">Interest amount needs review</x:t>
        </x:is>
      </x:c>
      <x:c r="Z272" s="520" t="inlineStr">
        <x:is>
          <x:t xml:space="preserve">Review</x:t>
        </x:is>
      </x:c>
      <x:c r="AA272" s="520" t="inlineStr">
        <x:is>
          <x:t xml:space="preserve">Oil and Gas Lease — Juanita M. Wolff to R. Michael Lortz (1736/590)</x:t>
        </x:is>
      </x:c>
      <x:c r="AB272" s="520" t="inlineStr">
        <x:is>
          <x:t xml:space="preserve">Needs source review: interest amount</x:t>
        </x:is>
      </x:c>
    </x:row>
    <x:row r="273" s="520" customFormat="1" ht="96" customHeight="1">
      <x:c r="A273" s="519" t="inlineStr">
        <x:is>
          <x:t xml:space="preserve">2004-000582</x:t>
        </x:is>
      </x:c>
      <x:c r="B273" s="536" t="n">
        <x:v>52</x:v>
      </x:c>
      <x:c r="C273" s="536" t="inlineStr">
        <x:is>
          <x:t xml:space="preserve">Oil and Gas Lease</x:t>
        </x:is>
      </x:c>
      <x:c r="D273" s="536" t="inlineStr">
        <x:is>
          <x:t xml:space="preserve">1736/199</x:t>
        </x:is>
      </x:c>
      <x:c r="E273" s="537" t="n">
        <x:v>38002</x:v>
      </x:c>
      <x:c r="F273" s="537" t="n">
        <x:v>38020</x:v>
      </x:c>
      <x:c r="G273" s="538" t="inlineStr">
        <x:is>
          <x:t xml:space="preserve">Tim E. Jensen
5673 Doschadis
Waterloo, WI 53594</x:t>
        </x:is>
      </x:c>
      <x:c r="H273" s="538" t="inlineStr">
        <x:is>
          <x:t xml:space="preserve">R. Michael Lortz</x:t>
        </x:is>
      </x:c>
      <x:c r="I273" s="538" t="inlineStr">
        <x:is>
          <x:t xml:space="preserve">NW/4 SE/4, S/2 SE/4, SW/4 NE/4 of 31-12N-24W</x:t>
        </x:is>
      </x:c>
      <x:c r="J273" s="538" t="inlineStr">
        <x:is>
          <x:t xml:space="preserve">160 gross acres
3 yrs
3/16ths royalty
Chain note: source of title — OUTSIDE LANDS 1989-007001 at 1104/90, Ernest Jensen and Wilda Jensen, HW to Tim E. Jensen, covering SW/4 NE/4, NW/4 SE/4, S/2 SE/4 of 31-12N-24W, aol, interest stated: An undivided 2/160th (2 acres) in 31-12N-24W, 10/791.47 interest in 2 sections. Confirm source instrument before relying on this conveyance.</x:t>
        </x:is>
      </x:c>
      <x:c r="K273" s="518" t="e">
        <x:f>HYPERLINK("https://okcountyrecords.com/detail/roger+mills/2004-000582","OKCountyRecords: 2004-000582")</x:f>
      </x:c>
      <x:c r="L273" s="519" t="inlineStr">
        <x:is>
          <x:t xml:space="preserve">Leasehold (non-mineral; excluded from mineral NMA). Gross=tract-map basis.</x:t>
        </x:is>
      </x:c>
      <x:c r="M273" s="519" t="inlineStr">
        <x:is>
          <x:t xml:space="preserve">CURRENT LEASE SOURCE</x:t>
        </x:is>
      </x:c>
      <x:c r="N273" s="519" t="n"/>
      <x:c r="O273" s="519" t="inlineStr">
        <x:is>
          <x:t xml:space="preserve">OUTSIDE LANDS</x:t>
        </x:is>
      </x:c>
      <x:c r="P273" s="520" t="inlineStr">
        <x:is>
          <x:t xml:space="preserve">Chain — leasehold (OGL)</x:t>
        </x:is>
      </x:c>
      <x:c r="Q273" s="520" t="inlineStr">
        <x:is>
          <x:t xml:space="preserve">No</x:t>
        </x:is>
      </x:c>
      <x:c r="R273" s="520" t="inlineStr">
        <x:is>
          <x:t xml:space="preserve">Yes</x:t>
        </x:is>
      </x:c>
      <x:c r="S273" s="520" t="inlineStr">
        <x:is>
          <x:t xml:space="preserve">No</x:t>
        </x:is>
      </x:c>
      <x:c r="T273" s="520" t="inlineStr">
        <x:is>
          <x:t xml:space="preserve">Yes</x:t>
        </x:is>
      </x:c>
      <x:c r="U273" s="520" t="inlineStr">
        <x:is>
          <x:t xml:space="preserve">Yes: 2 (legal supports)</x:t>
        </x:is>
      </x:c>
      <x:c r="V273" s="520" t="inlineStr">
        <x:is>
          <x:t xml:space="preserve">High</x:t>
        </x:is>
      </x:c>
      <x:c r="W273" s="520" t="inlineStr">
        <x:is>
          <x:t xml:space="preserve">Yes — prior grantee match</x:t>
        </x:is>
      </x:c>
      <x:c r="X273" s="520" t="inlineStr">
        <x:is>
          <x:t xml:space="preserve">Review</x:t>
        </x:is>
      </x:c>
      <x:c r="Y273" s="520" t="inlineStr">
        <x:is>
          <x:t xml:space="preserve">Interest amount needs review</x:t>
        </x:is>
      </x:c>
      <x:c r="Z273" s="520" t="inlineStr">
        <x:is>
          <x:t xml:space="preserve">Review</x:t>
        </x:is>
      </x:c>
      <x:c r="AA273" s="520" t="inlineStr">
        <x:is>
          <x:t xml:space="preserve">Oil and Gas Lease — Tim E. Jensen to R. Michael Lortz (1736/199)</x:t>
        </x:is>
      </x:c>
      <x:c r="AB273" s="520" t="inlineStr">
        <x:is>
          <x:t xml:space="preserve">Needs source review: interest amount</x:t>
        </x:is>
      </x:c>
    </x:row>
    <x:row r="274" s="520" customFormat="1" ht="108" customHeight="1">
      <x:c r="A274" s="519" t="inlineStr">
        <x:is>
          <x:t xml:space="preserve">2004-000579</x:t>
        </x:is>
      </x:c>
      <x:c r="B274" s="536" t="n">
        <x:v>5</x:v>
      </x:c>
      <x:c r="C274" s="536" t="inlineStr">
        <x:is>
          <x:t xml:space="preserve">Oil and Gas Lease</x:t>
        </x:is>
      </x:c>
      <x:c r="D274" s="536" t="inlineStr">
        <x:is>
          <x:t xml:space="preserve">1736/193</x:t>
        </x:is>
      </x:c>
      <x:c r="E274" s="537" t="n">
        <x:v>38002</x:v>
      </x:c>
      <x:c r="F274" s="537" t="n">
        <x:v>38020</x:v>
      </x:c>
      <x:c r="G274" s="538" t="inlineStr">
        <x:is>
          <x:t xml:space="preserve">Wilda E. Jensen
317 Major Way
Sun Prairie, WI 53590</x:t>
        </x:is>
      </x:c>
      <x:c r="H274" s="538" t="inlineStr">
        <x:is>
          <x:t xml:space="preserve">R. Michael Lortz</x:t>
        </x:is>
      </x:c>
      <x:c r="I274" s="538" t="inlineStr">
        <x:is>
          <x:t xml:space="preserve">NW/4 SE/4, S/2 SE/4, SW/4 NE/4 of 31-12N-24W</x:t>
        </x:is>
      </x:c>
      <x:c r="J274" s="538" t="inlineStr">
        <x:is>
          <x:t xml:space="preserve">160 gross acres
3 yrs
3/16ths royalty
Chain note: source of title — OUTSIDE LANDS 1989-004255 at 1070/203, William Cobal Bain, Jr. and Billy Wayne Bain, Trustees of the Willaim C. Bain Trust to Wilda Jensen, covering SW/4 NE/4, NW/4 SE/4, S/2 SE/4 of 31-12N-24W, aol, interest stated: An undivided 43.496666/791.47th interest in and to the oil, gas and other minerals. Confirm source instrument before relying on this conveyance.</x:t>
        </x:is>
      </x:c>
      <x:c r="K274" s="518" t="e">
        <x:f>HYPERLINK("https://okcountyrecords.com/detail/roger+mills/2004-000579","OKCountyRecords: 2004-000579")</x:f>
      </x:c>
      <x:c r="L274" s="519" t="inlineStr">
        <x:is>
          <x:t xml:space="preserve">Leasehold (non-mineral; excluded from mineral NMA). Gross=tract-map basis.</x:t>
        </x:is>
      </x:c>
      <x:c r="M274" s="519" t="inlineStr">
        <x:is>
          <x:t xml:space="preserve">CURRENT LEASE SOURCE</x:t>
        </x:is>
      </x:c>
      <x:c r="N274" s="519" t="n"/>
      <x:c r="O274" s="519" t="inlineStr">
        <x:is>
          <x:t xml:space="preserve">OUTSIDE LANDS</x:t>
        </x:is>
      </x:c>
      <x:c r="P274" s="520" t="inlineStr">
        <x:is>
          <x:t xml:space="preserve">Chain — leasehold (OGL)</x:t>
        </x:is>
      </x:c>
      <x:c r="Q274" s="520" t="inlineStr">
        <x:is>
          <x:t xml:space="preserve">No</x:t>
        </x:is>
      </x:c>
      <x:c r="R274" s="520" t="inlineStr">
        <x:is>
          <x:t xml:space="preserve">Yes</x:t>
        </x:is>
      </x:c>
      <x:c r="S274" s="520" t="inlineStr">
        <x:is>
          <x:t xml:space="preserve">No</x:t>
        </x:is>
      </x:c>
      <x:c r="T274" s="520" t="inlineStr">
        <x:is>
          <x:t xml:space="preserve">Yes</x:t>
        </x:is>
      </x:c>
      <x:c r="U274" s="520" t="inlineStr">
        <x:is>
          <x:t xml:space="preserve">Yes: 2 (legal supports)</x:t>
        </x:is>
      </x:c>
      <x:c r="V274" s="520" t="inlineStr">
        <x:is>
          <x:t xml:space="preserve">High</x:t>
        </x:is>
      </x:c>
      <x:c r="W274" s="520" t="inlineStr">
        <x:is>
          <x:t xml:space="preserve">Yes — prior grantee match</x:t>
        </x:is>
      </x:c>
      <x:c r="X274" s="520" t="inlineStr">
        <x:is>
          <x:t xml:space="preserve">Review</x:t>
        </x:is>
      </x:c>
      <x:c r="Y274" s="520" t="inlineStr">
        <x:is>
          <x:t xml:space="preserve">Interest amount needs review</x:t>
        </x:is>
      </x:c>
      <x:c r="Z274" s="520" t="inlineStr">
        <x:is>
          <x:t xml:space="preserve">Review</x:t>
        </x:is>
      </x:c>
      <x:c r="AA274" s="520" t="inlineStr">
        <x:is>
          <x:t xml:space="preserve">Oil and Gas Lease — Wilda E. Jensen to R. Michael Lortz (1736/193)</x:t>
        </x:is>
      </x:c>
      <x:c r="AB274" s="520" t="inlineStr">
        <x:is>
          <x:t xml:space="preserve">Needs source review: interest amount</x:t>
        </x:is>
      </x:c>
    </x:row>
    <x:row r="275" s="520" customFormat="1" ht="108" customHeight="1">
      <x:c r="A275" s="519" t="inlineStr">
        <x:is>
          <x:t xml:space="preserve">2006-001223</x:t>
        </x:is>
      </x:c>
      <x:c r="B275" s="536" t="n">
        <x:v>7</x:v>
      </x:c>
      <x:c r="C275" s="536" t="inlineStr">
        <x:is>
          <x:t xml:space="preserve">Oil and Gas Lease</x:t>
        </x:is>
      </x:c>
      <x:c r="D275" s="536" t="inlineStr">
        <x:is>
          <x:t xml:space="preserve">1824/181</x:t>
        </x:is>
      </x:c>
      <x:c r="E275" s="537" t="n">
        <x:v>38002</x:v>
      </x:c>
      <x:c r="F275" s="537" t="n">
        <x:v>38762</x:v>
      </x:c>
      <x:c r="G275" s="538" t="inlineStr">
        <x:is>
          <x:t xml:space="preserve">Wilda E. Jensen
317 Major Way
Sun Prairie, WI 53590</x:t>
        </x:is>
      </x:c>
      <x:c r="H275" s="538" t="inlineStr">
        <x:is>
          <x:t xml:space="preserve">R. Michael Lortz</x:t>
        </x:is>
      </x:c>
      <x:c r="I275" s="538" t="inlineStr">
        <x:is>
          <x:t xml:space="preserve">NW/4 SE/4, S/2 SE/4, SW/4 NE/4 of 31-12N-24W</x:t>
        </x:is>
      </x:c>
      <x:c r="J275" s="538" t="inlineStr">
        <x:is>
          <x:t xml:space="preserve">160 gross acres
3 yrs
3/16ths royalty
Chain note: source of title — OUTSIDE LANDS 1989-004255 at 1070/203, William Cobal Bain, Jr. and Billy Wayne Bain, Trustees of the Willaim C. Bain Trust to Wilda Jensen, covering SW/4 NE/4, NW/4 SE/4, S/2 SE/4 of 31-12N-24W, aol, interest stated: An undivided 43.496666/791.47th interest in and to the oil, gas and other minerals. Confirm source instrument before relying on this conveyance.</x:t>
        </x:is>
      </x:c>
      <x:c r="K275" s="518" t="e">
        <x:f>HYPERLINK("https://okcountyrecords.com/detail/roger+mills/2006-001223","OKCountyRecords: 2006-001223")</x:f>
      </x:c>
      <x:c r="L275" s="519" t="inlineStr">
        <x:is>
          <x:t xml:space="preserve">Leasehold (non-mineral; excluded from mineral NMA). Gross=tract-map basis.</x:t>
        </x:is>
      </x:c>
      <x:c r="M275" s="519" t="inlineStr">
        <x:is>
          <x:t xml:space="preserve">CURRENT LEASE SOURCE</x:t>
        </x:is>
      </x:c>
      <x:c r="N275" s="519" t="n"/>
      <x:c r="O275" s="519" t="inlineStr">
        <x:is>
          <x:t xml:space="preserve">OUTSIDE LANDS</x:t>
        </x:is>
      </x:c>
      <x:c r="P275" s="520" t="inlineStr">
        <x:is>
          <x:t xml:space="preserve">Chain — leasehold (OGL)</x:t>
        </x:is>
      </x:c>
      <x:c r="Q275" s="520" t="inlineStr">
        <x:is>
          <x:t xml:space="preserve">No</x:t>
        </x:is>
      </x:c>
      <x:c r="R275" s="520" t="inlineStr">
        <x:is>
          <x:t xml:space="preserve">Yes</x:t>
        </x:is>
      </x:c>
      <x:c r="S275" s="520" t="inlineStr">
        <x:is>
          <x:t xml:space="preserve">No</x:t>
        </x:is>
      </x:c>
      <x:c r="T275" s="520" t="inlineStr">
        <x:is>
          <x:t xml:space="preserve">Yes</x:t>
        </x:is>
      </x:c>
      <x:c r="U275" s="520" t="inlineStr">
        <x:is>
          <x:t xml:space="preserve">Yes: 2 (legal supports)</x:t>
        </x:is>
      </x:c>
      <x:c r="V275" s="520" t="inlineStr">
        <x:is>
          <x:t xml:space="preserve">High</x:t>
        </x:is>
      </x:c>
      <x:c r="W275" s="520" t="inlineStr">
        <x:is>
          <x:t xml:space="preserve">Yes — prior grantee match</x:t>
        </x:is>
      </x:c>
      <x:c r="X275" s="520" t="inlineStr">
        <x:is>
          <x:t xml:space="preserve">Review</x:t>
        </x:is>
      </x:c>
      <x:c r="Y275" s="520" t="inlineStr">
        <x:is>
          <x:t xml:space="preserve">Interest amount needs review</x:t>
        </x:is>
      </x:c>
      <x:c r="Z275" s="520" t="inlineStr">
        <x:is>
          <x:t xml:space="preserve">Review</x:t>
        </x:is>
      </x:c>
      <x:c r="AA275" s="520" t="inlineStr">
        <x:is>
          <x:t xml:space="preserve">Oil and Gas Lease — Wilda E. Jensen to R. Michael Lortz (1824/181)</x:t>
        </x:is>
      </x:c>
      <x:c r="AB275" s="520" t="inlineStr">
        <x:is>
          <x:t xml:space="preserve">Needs source review: interest amount</x:t>
        </x:is>
      </x:c>
    </x:row>
    <x:row r="276" s="520" customFormat="1" ht="84" customHeight="1">
      <x:c r="A276" s="519" t="inlineStr">
        <x:is>
          <x:t xml:space="preserve">2004-000720</x:t>
        </x:is>
      </x:c>
      <x:c r="B276" s="536" t="n">
        <x:v>11</x:v>
      </x:c>
      <x:c r="C276" s="536" t="inlineStr">
        <x:is>
          <x:t xml:space="preserve">Oil and Gas Lease</x:t>
        </x:is>
      </x:c>
      <x:c r="D276" s="536" t="inlineStr">
        <x:is>
          <x:t xml:space="preserve">1736/588</x:t>
        </x:is>
      </x:c>
      <x:c r="E276" s="537" t="n">
        <x:v>38007</x:v>
      </x:c>
      <x:c r="F276" s="537" t="n">
        <x:v>38029</x:v>
      </x:c>
      <x:c r="G276" s="538" t="inlineStr">
        <x:is>
          <x:t xml:space="preserve">Clarence C. Bain, Trustee of the CDB Trust dated January 10, 1994
3236 West Cactus Road
Phoenix, AZ 85029</x:t>
        </x:is>
      </x:c>
      <x:c r="H276" s="538" t="inlineStr">
        <x:is>
          <x:t xml:space="preserve">R. Michael Lortz</x:t>
        </x:is>
      </x:c>
      <x:c r="I276" s="538" t="inlineStr">
        <x:is>
          <x:t xml:space="preserve">NW/4 SE/4, S/2 SE/4, SW/4 NE/4 of 31-12N-24W</x:t>
        </x:is>
      </x:c>
      <x:c r="J276" s="538" t="inlineStr">
        <x:is>
          <x:t xml:space="preserve">160 gross acres
3 yrs
3/16ths royalty
Chain note: source of title — OUTSIDE LANDS 1986-004476 at 829/7, Billy W. Bain to Clarence C. Bain, covering S/2 SE/4, NW/4 SE/4, SW/4 NE/4 of 31-12N-24W, aol, interest stated: 3/791.47 interest in 2 sections. Confirm source instrument before relying on this conveyance.</x:t>
        </x:is>
      </x:c>
      <x:c r="K276" s="518" t="e">
        <x:f>HYPERLINK("https://okcountyrecords.com/detail/roger+mills/2004-000720","OKCountyRecords: 2004-000720")</x:f>
      </x:c>
      <x:c r="L276" s="519" t="inlineStr">
        <x:is>
          <x:t xml:space="preserve">Leasehold (non-mineral; excluded from mineral NMA). Gross=tract-map basis.</x:t>
        </x:is>
      </x:c>
      <x:c r="M276" s="519" t="inlineStr">
        <x:is>
          <x:t xml:space="preserve">CURRENT LEASE SOURCE</x:t>
        </x:is>
      </x:c>
      <x:c r="N276" s="519" t="n"/>
      <x:c r="O276" s="519" t="inlineStr">
        <x:is>
          <x:t xml:space="preserve">OUTSIDE LANDS</x:t>
        </x:is>
      </x:c>
      <x:c r="P276" s="520" t="inlineStr">
        <x:is>
          <x:t xml:space="preserve">Chain — leasehold (OGL)</x:t>
        </x:is>
      </x:c>
      <x:c r="Q276" s="520" t="inlineStr">
        <x:is>
          <x:t xml:space="preserve">No</x:t>
        </x:is>
      </x:c>
      <x:c r="R276" s="520" t="inlineStr">
        <x:is>
          <x:t xml:space="preserve">Yes</x:t>
        </x:is>
      </x:c>
      <x:c r="S276" s="520" t="inlineStr">
        <x:is>
          <x:t xml:space="preserve">No</x:t>
        </x:is>
      </x:c>
      <x:c r="T276" s="520" t="inlineStr">
        <x:is>
          <x:t xml:space="preserve">Yes</x:t>
        </x:is>
      </x:c>
      <x:c r="U276" s="520" t="inlineStr">
        <x:is>
          <x:t xml:space="preserve">Yes: 2 (legal supports)</x:t>
        </x:is>
      </x:c>
      <x:c r="V276" s="520" t="inlineStr">
        <x:is>
          <x:t xml:space="preserve">High</x:t>
        </x:is>
      </x:c>
      <x:c r="W276" s="520" t="inlineStr">
        <x:is>
          <x:t xml:space="preserve">Probable — name-normalized match to Runsheet 206 grantee; confirm</x:t>
        </x:is>
      </x:c>
      <x:c r="X276" s="520" t="inlineStr">
        <x:is>
          <x:t xml:space="preserve">Review</x:t>
        </x:is>
      </x:c>
      <x:c r="Y276" s="520" t="inlineStr">
        <x:is>
          <x:t xml:space="preserve">Interest amount needs review</x:t>
        </x:is>
      </x:c>
      <x:c r="Z276" s="520" t="inlineStr">
        <x:is>
          <x:t xml:space="preserve">Review</x:t>
        </x:is>
      </x:c>
      <x:c r="AA276" s="520" t="inlineStr">
        <x:is>
          <x:t xml:space="preserve">Oil and Gas Lease — Clarence C. Bain, Trustee of t to R. Michael Lortz (1736/588)</x:t>
        </x:is>
      </x:c>
      <x:c r="AB276" s="520" t="inlineStr">
        <x:is>
          <x:t xml:space="preserve">Needs source review: grantor source, interest amount</x:t>
        </x:is>
      </x:c>
    </x:row>
    <x:row r="277" s="520" customFormat="1" ht="72" customHeight="1">
      <x:c r="A277" s="519" t="inlineStr">
        <x:is>
          <x:t xml:space="preserve">2004-000690</x:t>
        </x:is>
      </x:c>
      <x:c r="B277" s="536" t="n">
        <x:v>57</x:v>
      </x:c>
      <x:c r="C277" s="536" t="inlineStr">
        <x:is>
          <x:t xml:space="preserve">Oil and Gas Lease</x:t>
        </x:is>
      </x:c>
      <x:c r="D277" s="536" t="inlineStr">
        <x:is>
          <x:t xml:space="preserve">1736/496</x:t>
        </x:is>
      </x:c>
      <x:c r="E277" s="537" t="n">
        <x:v>38013</x:v>
      </x:c>
      <x:c r="F277" s="537" t="n">
        <x:v>38027</x:v>
      </x:c>
      <x:c r="G277" s="538" t="inlineStr">
        <x:is>
          <x:t xml:space="preserve">John W. Bain, Joseph A. Bain and Anna T. Gibson, formerly Williams,
sole and only heirs of Billy W. Bain aka Billy Wayne Bain, deceased
229 North Chemical
Hutchinson, KS 67501</x:t>
        </x:is>
      </x:c>
      <x:c r="H277" s="538" t="inlineStr">
        <x:is>
          <x:t xml:space="preserve">R. Michael Lortz</x:t>
        </x:is>
      </x:c>
      <x:c r="I277" s="538" t="inlineStr">
        <x:is>
          <x:t xml:space="preserve">NW/4 SE/4, S/2 SE/4, SW/4 NE/4 of 31-12N-24W</x:t>
        </x:is>
      </x:c>
      <x:c r="J277" s="538" t="inlineStr">
        <x:is>
          <x:t xml:space="preserve">160 gross acres
3 yrs
3/16ths royalty</x:t>
        </x:is>
      </x:c>
      <x:c r="K277" s="518" t="e">
        <x:f>HYPERLINK("https://okcountyrecords.com/detail/roger+mills/2004-000690","OKCountyRecords: 2004-000690")</x:f>
      </x:c>
      <x:c r="L277" s="519" t="inlineStr">
        <x:is>
          <x:t xml:space="preserve">Leasehold (non-mineral; excluded from mineral NMA). Gross=tract-map basis.</x:t>
        </x:is>
      </x:c>
      <x:c r="M277" s="519" t="inlineStr">
        <x:is>
          <x:t xml:space="preserve">CURRENT LEASE SOURCE</x:t>
        </x:is>
      </x:c>
      <x:c r="N277" s="519" t="n"/>
      <x:c r="O277" s="519" t="inlineStr">
        <x:is>
          <x:t xml:space="preserve">OGL / BASE LEASE</x:t>
        </x:is>
      </x:c>
      <x:c r="P277" s="520" t="inlineStr">
        <x:is>
          <x:t xml:space="preserve">Chain — leasehold (OGL)</x:t>
        </x:is>
      </x:c>
      <x:c r="Q277" s="520" t="inlineStr">
        <x:is>
          <x:t xml:space="preserve">No</x:t>
        </x:is>
      </x:c>
      <x:c r="R277" s="520" t="inlineStr">
        <x:is>
          <x:t xml:space="preserve">Yes</x:t>
        </x:is>
      </x:c>
      <x:c r="S277" s="520" t="inlineStr">
        <x:is>
          <x:t xml:space="preserve">No</x:t>
        </x:is>
      </x:c>
      <x:c r="T277" s="520" t="inlineStr">
        <x:is>
          <x:t xml:space="preserve">Yes</x:t>
        </x:is>
      </x:c>
      <x:c r="U277" s="520" t="inlineStr">
        <x:is>
          <x:t xml:space="preserve">Yes: 2 (legal supports)</x:t>
        </x:is>
      </x:c>
      <x:c r="V277" s="520" t="inlineStr">
        <x:is>
          <x:t xml:space="preserve">High</x:t>
        </x:is>
      </x:c>
      <x:c r="W277" s="520" t="inlineStr">
        <x:is>
          <x:t xml:space="preserve">Probable — name-normalized match to Runsheet 162 grantee; confirm</x:t>
        </x:is>
      </x:c>
      <x:c r="X277" s="520" t="inlineStr">
        <x:is>
          <x:t xml:space="preserve">Review</x:t>
        </x:is>
      </x:c>
      <x:c r="Y277" s="520" t="inlineStr">
        <x:is>
          <x:t xml:space="preserve">Interest amount needs review</x:t>
        </x:is>
      </x:c>
      <x:c r="Z277" s="520" t="inlineStr">
        <x:is>
          <x:t xml:space="preserve">Review</x:t>
        </x:is>
      </x:c>
      <x:c r="AA277" s="520" t="inlineStr">
        <x:is>
          <x:t xml:space="preserve">Oil and Gas Lease — John W. Bain, Joseph A. Bain a to R. Michael Lortz (1736/496)</x:t>
        </x:is>
      </x:c>
      <x:c r="AB277" s="520" t="inlineStr">
        <x:is>
          <x:t xml:space="preserve">Needs source review: grantor source, interest amount</x:t>
        </x:is>
      </x:c>
    </x:row>
    <x:row r="278" s="520" customFormat="1" ht="72" customHeight="1">
      <x:c r="A278" s="519" t="inlineStr">
        <x:is>
          <x:t xml:space="preserve">2004-000691</x:t>
        </x:is>
      </x:c>
      <x:c r="B278" s="536" t="n"/>
      <x:c r="C278" s="536" t="inlineStr">
        <x:is>
          <x:t xml:space="preserve">Proof of Death</x:t>
        </x:is>
      </x:c>
      <x:c r="D278" s="536" t="inlineStr">
        <x:is>
          <x:t xml:space="preserve">1736/498</x:t>
        </x:is>
      </x:c>
      <x:c r="E278" s="537" t="n">
        <x:v>38014</x:v>
      </x:c>
      <x:c r="F278" s="537" t="n">
        <x:v>38027</x:v>
      </x:c>
      <x:c r="G278" s="538" t="inlineStr">
        <x:is>
          <x:t xml:space="preserve">John W. Bain</x:t>
        </x:is>
      </x:c>
      <x:c r="H278" s="538" t="inlineStr">
        <x:is>
          <x:t xml:space="preserve">The Public
RE: Billy Bain aka Billy Wayne Bain, Deceased
Heirs:
John W. Bain,
Joseph A. Bain,
Anna T. Bain now Gibson, formerly Williams</x:t>
        </x:is>
      </x:c>
      <x:c r="I278" s="538" t="inlineStr">
        <x:is>
          <x:t xml:space="preserve">NW/4 SE/4, S/2 SE/4, SW/4 NE/4 of 31-12N-24W</x:t>
        </x:is>
      </x:c>
      <x:c r="J278" s="538" t="inlineStr">
        <x:is>
          <x:t xml:space="preserve">ARTI</x:t>
        </x:is>
      </x:c>
      <x:c r="K278" s="518" t="e">
        <x:f>HYPERLINK("https://okcountyrecords.com/detail/roger+mills/2004-000691","OKCountyRecords: 2004-000691")</x:f>
      </x:c>
      <x:c r="L278" s="519" t="inlineStr">
        <x:is>
          <x:t xml:space="preserve">Mineral; basis Conv Amt(dec). grantor indexed as 'The Public' — confirm source instrument. Gross=tract-map basis.</x:t>
        </x:is>
      </x:c>
      <x:c r="M278" s="519" t="inlineStr">
        <x:is>
          <x:t xml:space="preserve">REVIEW</x:t>
        </x:is>
      </x:c>
      <x:c r="N278" s="519" t="inlineStr">
        <x:is>
          <x:t xml:space="preserve">Confirm conveyed mineral acreage from instrument image — named party indexed under 'The Public' (affidavit/notice); identity resolved.</x:t>
        </x:is>
      </x:c>
      <x:c r="O278" s="519" t="inlineStr">
        <x:is>
          <x:t xml:space="preserve">MINERAL DEED</x:t>
        </x:is>
      </x:c>
      <x:c r="P278" s="520" t="inlineStr">
        <x:is>
          <x:t xml:space="preserve">Chain — title support (succession/entity/probate)</x:t>
        </x:is>
      </x:c>
      <x:c r="Q278" s="520" t="inlineStr">
        <x:is>
          <x:t xml:space="preserve">Yes</x:t>
        </x:is>
      </x:c>
      <x:c r="R278" s="520" t="inlineStr">
        <x:is>
          <x:t xml:space="preserve">No</x:t>
        </x:is>
      </x:c>
      <x:c r="S278" s="520" t="inlineStr">
        <x:is>
          <x:t xml:space="preserve">Yes</x:t>
        </x:is>
      </x:c>
      <x:c r="T278" s="520" t="inlineStr">
        <x:is>
          <x:t xml:space="preserve">No</x:t>
        </x:is>
      </x:c>
      <x:c r="U278" s="520" t="inlineStr">
        <x:is>
          <x:t xml:space="preserve">Yes: 2 (legal supports)</x:t>
        </x:is>
      </x:c>
      <x:c r="V278" s="520" t="inlineStr">
        <x:is>
          <x:t xml:space="preserve">High</x:t>
        </x:is>
      </x:c>
      <x:c r="W278" s="520" t="inlineStr">
        <x:is>
          <x:t xml:space="preserve">Review — no exact prior-grantee match</x:t>
        </x:is>
      </x:c>
      <x:c r="X278" s="520" t="inlineStr">
        <x:is>
          <x:t xml:space="preserve">Review</x:t>
        </x:is>
      </x:c>
      <x:c r="Y278" s="520" t="inlineStr">
        <x:is>
          <x:t xml:space="preserve">Candidate 1 (helper — confirm from image)</x:t>
        </x:is>
      </x:c>
      <x:c r="Z278" s="520" t="inlineStr">
        <x:is>
          <x:t xml:space="preserve">Medium — helper value</x:t>
        </x:is>
      </x:c>
      <x:c r="AA278" s="520" t="inlineStr">
        <x:is>
          <x:t xml:space="preserve">Proof of Death — John W. Bain to The Public (1736/498)</x:t>
        </x:is>
      </x:c>
      <x:c r="AB278" s="520" t="inlineStr">
        <x:is>
          <x:t xml:space="preserve">Needs source review: grantor source</x:t>
        </x:is>
      </x:c>
    </x:row>
    <x:row r="279" s="520" customFormat="1" ht="48" customHeight="1">
      <x:c r="A279" s="519" t="inlineStr">
        <x:is>
          <x:t xml:space="preserve">2004-000581</x:t>
        </x:is>
      </x:c>
      <x:c r="B279" s="536" t="n">
        <x:v>9</x:v>
      </x:c>
      <x:c r="C279" s="536" t="inlineStr">
        <x:is>
          <x:t xml:space="preserve">Oil and Gas Lease</x:t>
        </x:is>
      </x:c>
      <x:c r="D279" s="536" t="inlineStr">
        <x:is>
          <x:t xml:space="preserve">1736/197</x:t>
        </x:is>
      </x:c>
      <x:c r="E279" s="537" t="n">
        <x:v>38016</x:v>
      </x:c>
      <x:c r="F279" s="537" t="n">
        <x:v>38020</x:v>
      </x:c>
      <x:c r="G279" s="538" t="inlineStr">
        <x:is>
          <x:t xml:space="preserve">A. C. Campbell aka Audy C. Campbell
Rt. 2 Box 153
Sayre, OK 73662</x:t>
        </x:is>
      </x:c>
      <x:c r="H279" s="538" t="inlineStr">
        <x:is>
          <x:t xml:space="preserve">R. Michael Lortz</x:t>
        </x:is>
      </x:c>
      <x:c r="I279" s="538" t="inlineStr">
        <x:is>
          <x:t xml:space="preserve">S/2 NE/4 SW/4, Lot 4, SE/4 SW/4, S/2 of Lot 3 of 31-12N-24W</x:t>
        </x:is>
      </x:c>
      <x:c r="J279" s="538" t="inlineStr">
        <x:is>
          <x:t xml:space="preserve">115.335 gross acres
3/16ths royalty</x:t>
        </x:is>
      </x:c>
      <x:c r="K279" s="518" t="e">
        <x:f>HYPERLINK("https://okcountyrecords.com/detail/roger+mills/2004-000581","OKCountyRecords: 2004-000581")</x:f>
      </x:c>
      <x:c r="L279" s="519" t="inlineStr">
        <x:is>
          <x:t xml:space="preserve">Leasehold (non-mineral; excluded from mineral NMA). Gross=tract-map basis.</x:t>
        </x:is>
      </x:c>
      <x:c r="M279" s="519" t="inlineStr">
        <x:is>
          <x:t xml:space="preserve">CURRENT LEASE SOURCE</x:t>
        </x:is>
      </x:c>
      <x:c r="N279" s="519" t="n"/>
      <x:c r="O279" s="519" t="inlineStr">
        <x:is>
          <x:t xml:space="preserve">OGL / BASE LEASE</x:t>
        </x:is>
      </x:c>
      <x:c r="P279" s="520" t="inlineStr">
        <x:is>
          <x:t xml:space="preserve">Chain — leasehold (OGL)</x:t>
        </x:is>
      </x:c>
      <x:c r="Q279" s="520" t="inlineStr">
        <x:is>
          <x:t xml:space="preserve">No</x:t>
        </x:is>
      </x:c>
      <x:c r="R279" s="520" t="inlineStr">
        <x:is>
          <x:t xml:space="preserve">Yes</x:t>
        </x:is>
      </x:c>
      <x:c r="S279" s="520" t="inlineStr">
        <x:is>
          <x:t xml:space="preserve">No</x:t>
        </x:is>
      </x:c>
      <x:c r="T279" s="520" t="inlineStr">
        <x:is>
          <x:t xml:space="preserve">Yes</x:t>
        </x:is>
      </x:c>
      <x:c r="U279" s="520" t="inlineStr">
        <x:is>
          <x:t xml:space="preserve">Legal maps to 5, 7, 9; helper says 2, 3, 5, 6, 7</x:t>
        </x:is>
      </x:c>
      <x:c r="V279" s="520" t="inlineStr">
        <x:is>
          <x:t xml:space="preserve">Review</x:t>
        </x:is>
      </x:c>
      <x:c r="W279" s="520" t="inlineStr">
        <x:is>
          <x:t xml:space="preserve">Probable — name-normalized match to Runsheet 54 grantee; confirm</x:t>
        </x:is>
      </x:c>
      <x:c r="X279" s="520" t="inlineStr">
        <x:is>
          <x:t xml:space="preserve">Review</x:t>
        </x:is>
      </x:c>
      <x:c r="Y279" s="520" t="inlineStr">
        <x:is>
          <x:t xml:space="preserve">Interest amount needs review</x:t>
        </x:is>
      </x:c>
      <x:c r="Z279" s="520" t="inlineStr">
        <x:is>
          <x:t xml:space="preserve">Review</x:t>
        </x:is>
      </x:c>
      <x:c r="AA279" s="520" t="inlineStr">
        <x:is>
          <x:t xml:space="preserve">Oil and Gas Lease — A. C. Campbell aka Audy C. Cam to R. Michael Lortz (1736/197)</x:t>
        </x:is>
      </x:c>
      <x:c r="AB279" s="520" t="inlineStr">
        <x:is>
          <x:t xml:space="preserve">Needs source review: tract, grantor source, interest amount</x:t>
        </x:is>
      </x:c>
    </x:row>
    <x:row r="280" s="520" customFormat="1" ht="48" customHeight="1">
      <x:c r="A280" s="519" t="inlineStr">
        <x:is>
          <x:t xml:space="preserve">2004-000685</x:t>
        </x:is>
      </x:c>
      <x:c r="B280" s="536" t="n">
        <x:v>8</x:v>
      </x:c>
      <x:c r="C280" s="536" t="inlineStr">
        <x:is>
          <x:t xml:space="preserve">Oil and Gas Lease</x:t>
        </x:is>
      </x:c>
      <x:c r="D280" s="536" t="inlineStr">
        <x:is>
          <x:t xml:space="preserve">1736/485</x:t>
        </x:is>
      </x:c>
      <x:c r="E280" s="537" t="n">
        <x:v>38020</x:v>
      </x:c>
      <x:c r="F280" s="537" t="n">
        <x:v>38027</x:v>
      </x:c>
      <x:c r="G280" s="538" t="inlineStr">
        <x:is>
          <x:t xml:space="preserve">L. E. Thurman
Rt. 2 Box 34B
Sayre, OK 73662</x:t>
        </x:is>
      </x:c>
      <x:c r="H280" s="538" t="inlineStr">
        <x:is>
          <x:t xml:space="preserve">R. Michael Lortz</x:t>
        </x:is>
      </x:c>
      <x:c r="I280" s="538" t="inlineStr">
        <x:is>
          <x:t xml:space="preserve">E/2 NW/4, N/2 NE/4 SW/4, NE/4 SE/4, SE/4 NE/4 of 31-12N-24W</x:t>
        </x:is>
      </x:c>
      <x:c r="J280" s="538" t="inlineStr">
        <x:is>
          <x:t xml:space="preserve">180 gross acres
3 yrs
3/16ths royalty</x:t>
        </x:is>
      </x:c>
      <x:c r="K280" s="518" t="e">
        <x:f>HYPERLINK("https://okcountyrecords.com/detail/roger+mills/2004-000685","OKCountyRecords: 2004-000685")</x:f>
      </x:c>
      <x:c r="L280" s="519" t="inlineStr">
        <x:is>
          <x:t xml:space="preserve">Leasehold (non-mineral; excluded from mineral NMA). Gross=tract-map basis.</x:t>
        </x:is>
      </x:c>
      <x:c r="M280" s="519" t="inlineStr">
        <x:is>
          <x:t xml:space="preserve">CURRENT LEASE SOURCE</x:t>
        </x:is>
      </x:c>
      <x:c r="N280" s="519" t="n"/>
      <x:c r="O280" s="519" t="inlineStr">
        <x:is>
          <x:t xml:space="preserve">OGL / BASE LEASE</x:t>
        </x:is>
      </x:c>
      <x:c r="P280" s="520" t="inlineStr">
        <x:is>
          <x:t xml:space="preserve">Chain — leasehold (OGL)</x:t>
        </x:is>
      </x:c>
      <x:c r="Q280" s="520" t="inlineStr">
        <x:is>
          <x:t xml:space="preserve">No</x:t>
        </x:is>
      </x:c>
      <x:c r="R280" s="520" t="inlineStr">
        <x:is>
          <x:t xml:space="preserve">Yes</x:t>
        </x:is>
      </x:c>
      <x:c r="S280" s="520" t="inlineStr">
        <x:is>
          <x:t xml:space="preserve">No</x:t>
        </x:is>
      </x:c>
      <x:c r="T280" s="520" t="inlineStr">
        <x:is>
          <x:t xml:space="preserve">Yes</x:t>
        </x:is>
      </x:c>
      <x:c r="U280" s="520" t="inlineStr">
        <x:is>
          <x:t xml:space="preserve">Legal maps to 1, 3, 4, 7, 10; helper says 1, 3, 4, 7, 8</x:t>
        </x:is>
      </x:c>
      <x:c r="V280" s="520" t="inlineStr">
        <x:is>
          <x:t xml:space="preserve">Review</x:t>
        </x:is>
      </x:c>
      <x:c r="W280" s="520" t="inlineStr">
        <x:is>
          <x:t xml:space="preserve">Review — no exact prior-grantee match</x:t>
        </x:is>
      </x:c>
      <x:c r="X280" s="520" t="inlineStr">
        <x:is>
          <x:t xml:space="preserve">Review</x:t>
        </x:is>
      </x:c>
      <x:c r="Y280" s="520" t="inlineStr">
        <x:is>
          <x:t xml:space="preserve">Interest amount needs review</x:t>
        </x:is>
      </x:c>
      <x:c r="Z280" s="520" t="inlineStr">
        <x:is>
          <x:t xml:space="preserve">Review</x:t>
        </x:is>
      </x:c>
      <x:c r="AA280" s="520" t="inlineStr">
        <x:is>
          <x:t xml:space="preserve">Oil and Gas Lease — L. E. Thurman to R. Michael Lortz (1736/485)</x:t>
        </x:is>
      </x:c>
      <x:c r="AB280" s="520" t="inlineStr">
        <x:is>
          <x:t xml:space="preserve">Needs source review: tract, grantor source, interest amount</x:t>
        </x:is>
      </x:c>
    </x:row>
    <x:row r="281" s="520" customFormat="1" ht="72" customHeight="1">
      <x:c r="A281" s="519" t="inlineStr">
        <x:is>
          <x:t xml:space="preserve">2004-001426</x:t>
        </x:is>
      </x:c>
      <x:c r="B281" s="536" t="n"/>
      <x:c r="C281" s="536" t="inlineStr">
        <x:is>
          <x:t xml:space="preserve">Assignment</x:t>
        </x:is>
      </x:c>
      <x:c r="D281" s="536" t="inlineStr">
        <x:is>
          <x:t xml:space="preserve">1740/424</x:t>
        </x:is>
      </x:c>
      <x:c r="E281" s="537" t="n">
        <x:v>38022</x:v>
      </x:c>
      <x:c r="F281" s="537" t="n">
        <x:v>38068</x:v>
      </x:c>
      <x:c r="G281" s="538" t="inlineStr">
        <x:is>
          <x:t xml:space="preserve">R. Michael Lortz</x:t>
        </x:is>
      </x:c>
      <x:c r="H281" s="538" t="inlineStr">
        <x:is>
          <x:t xml:space="preserve">Axis Exploration, LLC</x:t>
        </x:is>
      </x:c>
      <x:c r="I281" s="538" t="inlineStr">
        <x:is>
          <x:t xml:space="preserve">S/2 of Lot 3, NW/4 SE/4, S/2 NE/4 SW/4, S/2 SE/4, SE/4 SW/4 Lot 4, SW/4 NE/4 of 31-12N-24W</x:t>
        </x:is>
      </x:c>
      <x:c r="J281" s="538" t="inlineStr">
        <x:is>
          <x:t xml:space="preserve">ARTI in OGLs at 1736/193, 1736/195, 1736/197, 1736/199, 1736/496, 1736/588, 1736/590, 1736/602,
Assignor reserves unto himself, his heirs, successors and assigns an overriding royalty interest equal to the difference between existing lease burdens and twenty-one hundredths percent (21.00%) of all oil, … Full recital in recorded instrument — see Link.</x:t>
        </x:is>
      </x:c>
      <x:c r="K281" s="518" t="e">
        <x:f>HYPERLINK("https://okcountyrecords.com/detail/roger+mills/2004-001426","OKCountyRecords: 2004-001426")</x:f>
      </x:c>
      <x:c r="L281" s="519" t="inlineStr">
        <x:is>
          <x:t xml:space="preserve">Leasehold (non-mineral; excluded from mineral NMA). Gross=tract-map basis.</x:t>
        </x:is>
      </x:c>
      <x:c r="M281" s="519" t="n"/>
      <x:c r="N281" s="519" t="n"/>
      <x:c r="O281" s="519" t="inlineStr">
        <x:is>
          <x:t xml:space="preserve">LEASE ASSIGNMENT</x:t>
        </x:is>
      </x:c>
      <x:c r="P281" s="520" t="inlineStr">
        <x:is>
          <x:t xml:space="preserve">Chain — assignment (WI or minerals — read granting clause)</x:t>
        </x:is>
      </x:c>
      <x:c r="Q281" s="520" t="inlineStr">
        <x:is>
          <x:t xml:space="preserve">Review</x:t>
        </x:is>
      </x:c>
      <x:c r="R281" s="520" t="inlineStr">
        <x:is>
          <x:t xml:space="preserve">Yes</x:t>
        </x:is>
      </x:c>
      <x:c r="S281" s="520" t="inlineStr">
        <x:is>
          <x:t xml:space="preserve">Review</x:t>
        </x:is>
      </x:c>
      <x:c r="T281" s="520" t="inlineStr">
        <x:is>
          <x:t xml:space="preserve">Yes</x:t>
        </x:is>
      </x:c>
      <x:c r="U281" s="520" t="inlineStr">
        <x:is>
          <x:t xml:space="preserve">Legal maps to 2, 5, 7, 9; helper says 2, 3, 5, 6, 7</x:t>
        </x:is>
      </x:c>
      <x:c r="V281" s="520" t="inlineStr">
        <x:is>
          <x:t xml:space="preserve">Review</x:t>
        </x:is>
      </x:c>
      <x:c r="W281" s="520" t="inlineStr">
        <x:is>
          <x:t xml:space="preserve">Yes — prior grantee match</x:t>
        </x:is>
      </x:c>
      <x:c r="X281" s="520" t="inlineStr">
        <x:is>
          <x:t xml:space="preserve">Review</x:t>
        </x:is>
      </x:c>
      <x:c r="Y281" s="520" t="inlineStr">
        <x:is>
          <x:t xml:space="preserve">Interest amount needs review</x:t>
        </x:is>
      </x:c>
      <x:c r="Z281" s="520" t="inlineStr">
        <x:is>
          <x:t xml:space="preserve">Review</x:t>
        </x:is>
      </x:c>
      <x:c r="AA281" s="520" t="inlineStr">
        <x:is>
          <x:t xml:space="preserve">Assignment — R. Michael Lortz to Axis Exploration, LLC (1740/424)</x:t>
        </x:is>
      </x:c>
      <x:c r="AB281" s="520" t="inlineStr">
        <x:is>
          <x:t xml:space="preserve">Needs source review: tract, interest amount</x:t>
        </x:is>
      </x:c>
    </x:row>
    <x:row r="282" s="520" customFormat="1" ht="48" customHeight="1">
      <x:c r="A282" s="519" t="inlineStr">
        <x:is>
          <x:t xml:space="preserve">2004-001053</x:t>
        </x:is>
      </x:c>
      <x:c r="B282" s="536" t="n">
        <x:v>17</x:v>
      </x:c>
      <x:c r="C282" s="536" t="inlineStr">
        <x:is>
          <x:t xml:space="preserve">Oil and Gas Lease</x:t>
        </x:is>
      </x:c>
      <x:c r="D282" s="536" t="inlineStr">
        <x:is>
          <x:t xml:space="preserve">1738/479</x:t>
        </x:is>
      </x:c>
      <x:c r="E282" s="537" t="n">
        <x:v>38023</x:v>
      </x:c>
      <x:c r="F282" s="537" t="n">
        <x:v>38049</x:v>
      </x:c>
      <x:c r="G282" s="538" t="inlineStr">
        <x:is>
          <x:t xml:space="preserve">Lola F. Richards aka Lola Richards
Rt. 2 Box 141
Wanette, OK 74878</x:t>
        </x:is>
      </x:c>
      <x:c r="H282" s="538" t="inlineStr">
        <x:is>
          <x:t xml:space="preserve">R. Michael Lortz</x:t>
        </x:is>
      </x:c>
      <x:c r="I282" s="538" t="inlineStr">
        <x:is>
          <x:t xml:space="preserve">NW/4 SE/4, S/2 SE/4, SW/4 NE/4 of 31-12N-24W</x:t>
        </x:is>
      </x:c>
      <x:c r="J282" s="538" t="inlineStr">
        <x:is>
          <x:t xml:space="preserve">160 gross acres
3 yrs
3/16ths royalty</x:t>
        </x:is>
      </x:c>
      <x:c r="K282" s="518" t="e">
        <x:f>HYPERLINK("https://okcountyrecords.com/detail/roger+mills/2004-001053","OKCountyRecords: 2004-001053")</x:f>
      </x:c>
      <x:c r="L282" s="519" t="inlineStr">
        <x:is>
          <x:t xml:space="preserve">Leasehold (non-mineral; excluded from mineral NMA). Gross=tract-map basis.</x:t>
        </x:is>
      </x:c>
      <x:c r="M282" s="519" t="inlineStr">
        <x:is>
          <x:t xml:space="preserve">CURRENT LEASE SOURCE</x:t>
        </x:is>
      </x:c>
      <x:c r="N282" s="519" t="n"/>
      <x:c r="O282" s="519" t="inlineStr">
        <x:is>
          <x:t xml:space="preserve">OGL / BASE LEASE</x:t>
        </x:is>
      </x:c>
      <x:c r="P282" s="520" t="inlineStr">
        <x:is>
          <x:t xml:space="preserve">Chain — leasehold (OGL)</x:t>
        </x:is>
      </x:c>
      <x:c r="Q282" s="520" t="inlineStr">
        <x:is>
          <x:t xml:space="preserve">No</x:t>
        </x:is>
      </x:c>
      <x:c r="R282" s="520" t="inlineStr">
        <x:is>
          <x:t xml:space="preserve">Yes</x:t>
        </x:is>
      </x:c>
      <x:c r="S282" s="520" t="inlineStr">
        <x:is>
          <x:t xml:space="preserve">No</x:t>
        </x:is>
      </x:c>
      <x:c r="T282" s="520" t="inlineStr">
        <x:is>
          <x:t xml:space="preserve">Yes</x:t>
        </x:is>
      </x:c>
      <x:c r="U282" s="520" t="inlineStr">
        <x:is>
          <x:t xml:space="preserve">Yes: 2 (legal supports)</x:t>
        </x:is>
      </x:c>
      <x:c r="V282" s="520" t="inlineStr">
        <x:is>
          <x:t xml:space="preserve">High</x:t>
        </x:is>
      </x:c>
      <x:c r="W282" s="520" t="inlineStr">
        <x:is>
          <x:t xml:space="preserve">Review — no exact prior-grantee match</x:t>
        </x:is>
      </x:c>
      <x:c r="X282" s="520" t="inlineStr">
        <x:is>
          <x:t xml:space="preserve">Review</x:t>
        </x:is>
      </x:c>
      <x:c r="Y282" s="520" t="inlineStr">
        <x:is>
          <x:t xml:space="preserve">Interest amount needs review</x:t>
        </x:is>
      </x:c>
      <x:c r="Z282" s="520" t="inlineStr">
        <x:is>
          <x:t xml:space="preserve">Review</x:t>
        </x:is>
      </x:c>
      <x:c r="AA282" s="520" t="inlineStr">
        <x:is>
          <x:t xml:space="preserve">Oil and Gas Lease — Lola F. Richards aka Lola Rich to R. Michael Lortz (1738/479)</x:t>
        </x:is>
      </x:c>
      <x:c r="AB282" s="520" t="inlineStr">
        <x:is>
          <x:t xml:space="preserve">Needs source review: grantor source, interest amount</x:t>
        </x:is>
      </x:c>
    </x:row>
    <x:row r="283" s="520" customFormat="1" ht="84" customHeight="1">
      <x:c r="A283" s="519" t="inlineStr">
        <x:is>
          <x:t xml:space="preserve">2004-000679</x:t>
        </x:is>
      </x:c>
      <x:c r="B283" s="536" t="n">
        <x:v>10</x:v>
      </x:c>
      <x:c r="C283" s="536" t="inlineStr">
        <x:is>
          <x:t xml:space="preserve">Oil and Gas Lease</x:t>
        </x:is>
      </x:c>
      <x:c r="D283" s="536" t="inlineStr">
        <x:is>
          <x:t xml:space="preserve">1736/473</x:t>
        </x:is>
      </x:c>
      <x:c r="E283" s="537" t="n">
        <x:v>38026</x:v>
      </x:c>
      <x:c r="F283" s="537" t="n">
        <x:v>38027</x:v>
      </x:c>
      <x:c r="G283" s="538" t="inlineStr">
        <x:is>
          <x:t xml:space="preserve">Charles Allen Atha
Rt. 1 Box 124
Cheyenne, OK 73628</x:t>
        </x:is>
      </x:c>
      <x:c r="H283" s="538" t="inlineStr">
        <x:is>
          <x:t xml:space="preserve">R. Michael Lortz</x:t>
        </x:is>
      </x:c>
      <x:c r="I283" s="538" t="inlineStr">
        <x:is>
          <x:t xml:space="preserve">Lots 1 and 2, N/2 of Lot 3 of 31-12N-24W</x:t>
        </x:is>
      </x:c>
      <x:c r="J283" s="538" t="inlineStr">
        <x:is>
          <x:t xml:space="preserve">92.135 gross acres
3 yrs
3/16ths royalty
Chain note: source of title — OUTSIDE LANDS I-1907-002036 at FR2/199, General Land Office to Charles F. Kennett, covering SW/4 NE/4, W/2 SE/4, SE/4 SE/4 of 31-12N-24W, aol, interest stated: ARTI. Confirm source instrument before relying on this conveyance.</x:t>
        </x:is>
      </x:c>
      <x:c r="K283" s="518" t="e">
        <x:f>HYPERLINK("https://okcountyrecords.com/detail/roger+mills/2004-000679","OKCountyRecords: 2004-000679")</x:f>
      </x:c>
      <x:c r="L283" s="519" t="inlineStr">
        <x:is>
          <x:t xml:space="preserve">Leasehold (non-mineral; excluded from mineral NMA). Gross=tract-map basis.</x:t>
        </x:is>
      </x:c>
      <x:c r="M283" s="519" t="inlineStr">
        <x:is>
          <x:t xml:space="preserve">CURRENT LEASE SOURCE</x:t>
        </x:is>
      </x:c>
      <x:c r="N283" s="519" t="n"/>
      <x:c r="O283" s="519" t="inlineStr">
        <x:is>
          <x:t xml:space="preserve">OUTSIDE LANDS</x:t>
        </x:is>
      </x:c>
      <x:c r="P283" s="520" t="inlineStr">
        <x:is>
          <x:t xml:space="preserve">Chain — leasehold (OGL)</x:t>
        </x:is>
      </x:c>
      <x:c r="Q283" s="520" t="inlineStr">
        <x:is>
          <x:t xml:space="preserve">No</x:t>
        </x:is>
      </x:c>
      <x:c r="R283" s="520" t="inlineStr">
        <x:is>
          <x:t xml:space="preserve">Yes</x:t>
        </x:is>
      </x:c>
      <x:c r="S283" s="520" t="inlineStr">
        <x:is>
          <x:t xml:space="preserve">No</x:t>
        </x:is>
      </x:c>
      <x:c r="T283" s="520" t="inlineStr">
        <x:is>
          <x:t xml:space="preserve">Yes</x:t>
        </x:is>
      </x:c>
      <x:c r="U283" s="520" t="inlineStr">
        <x:is>
          <x:t xml:space="preserve">Yes: 5, 6 (legal supports)</x:t>
        </x:is>
      </x:c>
      <x:c r="V283" s="520" t="inlineStr">
        <x:is>
          <x:t xml:space="preserve">High</x:t>
        </x:is>
      </x:c>
      <x:c r="W283" s="520" t="inlineStr">
        <x:is>
          <x:t xml:space="preserve">Yes — prior grantee match</x:t>
        </x:is>
      </x:c>
      <x:c r="X283" s="520" t="inlineStr">
        <x:is>
          <x:t xml:space="preserve">Review</x:t>
        </x:is>
      </x:c>
      <x:c r="Y283" s="520" t="inlineStr">
        <x:is>
          <x:t xml:space="preserve">Interest amount needs review</x:t>
        </x:is>
      </x:c>
      <x:c r="Z283" s="520" t="inlineStr">
        <x:is>
          <x:t xml:space="preserve">Review</x:t>
        </x:is>
      </x:c>
      <x:c r="AA283" s="520" t="inlineStr">
        <x:is>
          <x:t xml:space="preserve">Oil and Gas Lease — Charles Allen Atha to R. Michael Lortz (1736/473)</x:t>
        </x:is>
      </x:c>
      <x:c r="AB283" s="520" t="inlineStr">
        <x:is>
          <x:t xml:space="preserve">Needs source review: interest amount</x:t>
        </x:is>
      </x:c>
    </x:row>
    <x:row r="284" s="520" customFormat="1" ht="48" customHeight="1">
      <x:c r="A284" s="519" t="inlineStr">
        <x:is>
          <x:t xml:space="preserve">2004-002305</x:t>
        </x:is>
      </x:c>
      <x:c r="B284" s="536" t="n"/>
      <x:c r="C284" s="536" t="inlineStr">
        <x:is>
          <x:t xml:space="preserve">Assignment</x:t>
        </x:is>
      </x:c>
      <x:c r="D284" s="536" t="inlineStr">
        <x:is>
          <x:t xml:space="preserve">1745/48</x:t>
        </x:is>
      </x:c>
      <x:c r="E284" s="537" t="n">
        <x:v>38029</x:v>
      </x:c>
      <x:c r="F284" s="537" t="n">
        <x:v>38117</x:v>
      </x:c>
      <x:c r="G284" s="538" t="inlineStr">
        <x:is>
          <x:t xml:space="preserve">R. Michael Lortz</x:t>
        </x:is>
      </x:c>
      <x:c r="H284" s="538" t="inlineStr">
        <x:is>
          <x:t xml:space="preserve">B&amp;W Exploration, Inc.</x:t>
        </x:is>
      </x:c>
      <x:c r="I284" s="538" t="inlineStr">
        <x:is>
          <x:t xml:space="preserve">E/2 NW/4, S/2 of Lot 3, Lot 4, N/2 NE/4, N/2 NE/4 SW/4, NE/4 SE/4, S/2 NE/4 SW/4, SE/4 NE/4, SE/4 SW/4 of 31-12N-24W</x:t>
        </x:is>
      </x:c>
      <x:c r="J284" s="538" t="inlineStr">
        <x:is>
          <x:t xml:space="preserve">ARTI in OGLs at 1736/592, 1736/594, 1736/600, 1736/602,</x:t>
        </x:is>
      </x:c>
      <x:c r="K284" s="518" t="e">
        <x:f>HYPERLINK("https://okcountyrecords.com/detail/roger+mills/2004-002305","OKCountyRecords: 2004-002305")</x:f>
      </x:c>
      <x:c r="L284" s="519" t="inlineStr">
        <x:is>
          <x:t xml:space="preserve">Leasehold (non-mineral; excluded from mineral NMA). Gross=tract-map basis.</x:t>
        </x:is>
      </x:c>
      <x:c r="M284" s="519" t="inlineStr">
        <x:is>
          <x:t xml:space="preserve">Confirm lease effect</x:t>
        </x:is>
      </x:c>
      <x:c r="N284" s="519" t="n"/>
      <x:c r="O284" s="519" t="inlineStr">
        <x:is>
          <x:t xml:space="preserve">LEASE ASSIGNMENT</x:t>
        </x:is>
      </x:c>
      <x:c r="P284" s="520" t="inlineStr">
        <x:is>
          <x:t xml:space="preserve">Chain — assignment (WI or minerals — read granting clause)</x:t>
        </x:is>
      </x:c>
      <x:c r="Q284" s="520" t="inlineStr">
        <x:is>
          <x:t xml:space="preserve">Review</x:t>
        </x:is>
      </x:c>
      <x:c r="R284" s="520" t="inlineStr">
        <x:is>
          <x:t xml:space="preserve">Yes</x:t>
        </x:is>
      </x:c>
      <x:c r="S284" s="520" t="inlineStr">
        <x:is>
          <x:t xml:space="preserve">Review</x:t>
        </x:is>
      </x:c>
      <x:c r="T284" s="520" t="inlineStr">
        <x:is>
          <x:t xml:space="preserve">Yes</x:t>
        </x:is>
      </x:c>
      <x:c r="U284" s="520" t="inlineStr">
        <x:is>
          <x:t xml:space="preserve">Legal maps to 1, 3, 4, 5, 7, 9, 10; helper says 1, 2, 3, 4, 5, 7, 8</x:t>
        </x:is>
      </x:c>
      <x:c r="V284" s="520" t="inlineStr">
        <x:is>
          <x:t xml:space="preserve">Review</x:t>
        </x:is>
      </x:c>
      <x:c r="W284" s="520" t="inlineStr">
        <x:is>
          <x:t xml:space="preserve">Yes — prior grantee match</x:t>
        </x:is>
      </x:c>
      <x:c r="X284" s="520" t="inlineStr">
        <x:is>
          <x:t xml:space="preserve">Review</x:t>
        </x:is>
      </x:c>
      <x:c r="Y284" s="520" t="inlineStr">
        <x:is>
          <x:t xml:space="preserve">Interest amount needs review</x:t>
        </x:is>
      </x:c>
      <x:c r="Z284" s="520" t="inlineStr">
        <x:is>
          <x:t xml:space="preserve">Review</x:t>
        </x:is>
      </x:c>
      <x:c r="AA284" s="520" t="inlineStr">
        <x:is>
          <x:t xml:space="preserve">Assignment — R. Michael Lortz to B&amp;W Exploration, Inc. (1745/48)</x:t>
        </x:is>
      </x:c>
      <x:c r="AB284" s="520" t="inlineStr">
        <x:is>
          <x:t xml:space="preserve">Needs source review: tract, interest amount</x:t>
        </x:is>
      </x:c>
    </x:row>
    <x:row r="285" s="520" customFormat="1" ht="84" customHeight="1">
      <x:c r="A285" s="519" t="inlineStr">
        <x:is>
          <x:t xml:space="preserve">2004-000880</x:t>
        </x:is>
      </x:c>
      <x:c r="B285" s="536" t="n">
        <x:v>12</x:v>
      </x:c>
      <x:c r="C285" s="536" t="inlineStr">
        <x:is>
          <x:t xml:space="preserve">Oil and Gas Lease</x:t>
        </x:is>
      </x:c>
      <x:c r="D285" s="536" t="inlineStr">
        <x:is>
          <x:t xml:space="preserve">1737/580</x:t>
        </x:is>
      </x:c>
      <x:c r="E285" s="537" t="n">
        <x:v>38032</x:v>
      </x:c>
      <x:c r="F285" s="537" t="n">
        <x:v>38040</x:v>
      </x:c>
      <x:c r="G285" s="538" t="inlineStr">
        <x:is>
          <x:t xml:space="preserve">Sandra Lorrain York
PO Box 34
Fort Cobb, OK 73038</x:t>
        </x:is>
      </x:c>
      <x:c r="H285" s="538" t="inlineStr">
        <x:is>
          <x:t xml:space="preserve">Kodiak Production Company</x:t>
        </x:is>
      </x:c>
      <x:c r="I285" s="538" t="inlineStr">
        <x:is>
          <x:t xml:space="preserve">Lots 1 and 2, N/2 of Lot 3 of 31-12N-24W</x:t>
        </x:is>
      </x:c>
      <x:c r="J285" s="538" t="inlineStr">
        <x:is>
          <x:t xml:space="preserve">92.0850 gross acres
3 years
3/16ths royalty
Chain note: no source of title into Sandra Lorrain York
PO Box 34
Fort Cobb, OK 73038 located of record. Confirm ownership before crediting this conveyance.</x:t>
        </x:is>
      </x:c>
      <x:c r="K285" s="518" t="e">
        <x:f>HYPERLINK("https://okcountyrecords.com/detail/roger+mills/2004-000880","OKCountyRecords: 2004-000880")</x:f>
      </x:c>
      <x:c r="L285" s="519" t="inlineStr">
        <x:is>
          <x:t xml:space="preserve">Leasehold (non-mineral; excluded from mineral NMA). All-section coverage. Gross=tract-map basis.</x:t>
        </x:is>
      </x:c>
      <x:c r="M285" s="519" t="inlineStr">
        <x:is>
          <x:t xml:space="preserve">CURRENT LEASE SOURCE</x:t>
        </x:is>
      </x:c>
      <x:c r="N285" s="519" t="n"/>
      <x:c r="O285" s="519" t="inlineStr">
        <x:is>
          <x:t xml:space="preserve">EASEMENT</x:t>
        </x:is>
      </x:c>
      <x:c r="P285" s="520" t="inlineStr">
        <x:is>
          <x:t xml:space="preserve">Chain — leasehold (OGL)</x:t>
        </x:is>
      </x:c>
      <x:c r="Q285" s="520" t="inlineStr">
        <x:is>
          <x:t xml:space="preserve">No</x:t>
        </x:is>
      </x:c>
      <x:c r="R285" s="520" t="inlineStr">
        <x:is>
          <x:t xml:space="preserve">Yes</x:t>
        </x:is>
      </x:c>
      <x:c r="S285" s="520" t="inlineStr">
        <x:is>
          <x:t xml:space="preserve">No</x:t>
        </x:is>
      </x:c>
      <x:c r="T285" s="520" t="inlineStr">
        <x:is>
          <x:t xml:space="preserve">Yes</x:t>
        </x:is>
      </x:c>
      <x:c r="U285" s="520" t="inlineStr">
        <x:is>
          <x:t xml:space="preserve">Legal maps to 5, 6, 8, 9; helper says 1, 8</x:t>
        </x:is>
      </x:c>
      <x:c r="V285" s="520" t="inlineStr">
        <x:is>
          <x:t xml:space="preserve">Review</x:t>
        </x:is>
      </x:c>
      <x:c r="W285" s="520" t="inlineStr">
        <x:is>
          <x:t xml:space="preserve">No — no source located</x:t>
        </x:is>
      </x:c>
      <x:c r="X285" s="520" t="inlineStr">
        <x:is>
          <x:t xml:space="preserve">Review</x:t>
        </x:is>
      </x:c>
      <x:c r="Y285" s="520" t="inlineStr">
        <x:is>
          <x:t xml:space="preserve">Interest amount needs review</x:t>
        </x:is>
      </x:c>
      <x:c r="Z285" s="520" t="inlineStr">
        <x:is>
          <x:t xml:space="preserve">Review</x:t>
        </x:is>
      </x:c>
      <x:c r="AA285" s="520" t="inlineStr">
        <x:is>
          <x:t xml:space="preserve">Oil and Gas Lease — Sandra Lorrain York to Kodiak Production Company (1737/580)</x:t>
        </x:is>
      </x:c>
      <x:c r="AB285" s="520" t="inlineStr">
        <x:is>
          <x:t xml:space="preserve">Needs source review: tract, no source of title, interest amount</x:t>
        </x:is>
      </x:c>
    </x:row>
    <x:row r="286" s="520" customFormat="1" ht="48" customHeight="1">
      <x:c r="A286" s="519" t="inlineStr">
        <x:is>
          <x:t xml:space="preserve">2004-003392</x:t>
        </x:is>
      </x:c>
      <x:c r="B286" s="536" t="n"/>
      <x:c r="C286" s="536" t="inlineStr">
        <x:is>
          <x:t xml:space="preserve">Assignment</x:t>
        </x:is>
      </x:c>
      <x:c r="D286" s="536" t="inlineStr">
        <x:is>
          <x:t xml:space="preserve">1751/168</x:t>
        </x:is>
      </x:c>
      <x:c r="E286" s="537" t="n">
        <x:v>38041</x:v>
      </x:c>
      <x:c r="F286" s="537" t="n">
        <x:v>38168</x:v>
      </x:c>
      <x:c r="G286" s="538" t="inlineStr">
        <x:is>
          <x:t xml:space="preserve">R. Michael Lortz</x:t>
        </x:is>
      </x:c>
      <x:c r="H286" s="538" t="inlineStr">
        <x:is>
          <x:t xml:space="preserve">Yale Oil Association, Inc.</x:t>
        </x:is>
      </x:c>
      <x:c r="I286" s="538" t="inlineStr">
        <x:is>
          <x:t xml:space="preserve">Lots 1, 2, N/2 of Lot 3 of 31-12N-24W</x:t>
        </x:is>
      </x:c>
      <x:c r="J286" s="538" t="inlineStr">
        <x:is>
          <x:t xml:space="preserve">ARTI in OGL at 1736/473</x:t>
        </x:is>
      </x:c>
      <x:c r="K286" s="518" t="e">
        <x:f>HYPERLINK("https://okcountyrecords.com/detail/roger+mills/2004-003392","OKCountyRecords: 2004-003392")</x:f>
      </x:c>
      <x:c r="L286" s="519" t="inlineStr">
        <x:is>
          <x:t xml:space="preserve">Leasehold (non-mineral; excluded from mineral NMA). Gross=tract-map basis.</x:t>
        </x:is>
      </x:c>
      <x:c r="M286" s="519" t="n"/>
      <x:c r="N286" s="519" t="n"/>
      <x:c r="O286" s="519" t="inlineStr">
        <x:is>
          <x:t xml:space="preserve">LEASE ASSIGNMENT</x:t>
        </x:is>
      </x:c>
      <x:c r="P286" s="520" t="inlineStr">
        <x:is>
          <x:t xml:space="preserve">Chain — assignment (WI or minerals — read granting clause)</x:t>
        </x:is>
      </x:c>
      <x:c r="Q286" s="520" t="inlineStr">
        <x:is>
          <x:t xml:space="preserve">Review</x:t>
        </x:is>
      </x:c>
      <x:c r="R286" s="520" t="inlineStr">
        <x:is>
          <x:t xml:space="preserve">Yes</x:t>
        </x:is>
      </x:c>
      <x:c r="S286" s="520" t="inlineStr">
        <x:is>
          <x:t xml:space="preserve">Review</x:t>
        </x:is>
      </x:c>
      <x:c r="T286" s="520" t="inlineStr">
        <x:is>
          <x:t xml:space="preserve">Yes</x:t>
        </x:is>
      </x:c>
      <x:c r="U286" s="520" t="inlineStr">
        <x:is>
          <x:t xml:space="preserve">Yes: 5, 6 (legal supports)</x:t>
        </x:is>
      </x:c>
      <x:c r="V286" s="520" t="inlineStr">
        <x:is>
          <x:t xml:space="preserve">High</x:t>
        </x:is>
      </x:c>
      <x:c r="W286" s="520" t="inlineStr">
        <x:is>
          <x:t xml:space="preserve">Yes — prior grantee match</x:t>
        </x:is>
      </x:c>
      <x:c r="X286" s="520" t="inlineStr">
        <x:is>
          <x:t xml:space="preserve">Review</x:t>
        </x:is>
      </x:c>
      <x:c r="Y286" s="520" t="inlineStr">
        <x:is>
          <x:t xml:space="preserve">Interest amount needs review</x:t>
        </x:is>
      </x:c>
      <x:c r="Z286" s="520" t="inlineStr">
        <x:is>
          <x:t xml:space="preserve">Review</x:t>
        </x:is>
      </x:c>
      <x:c r="AA286" s="520" t="inlineStr">
        <x:is>
          <x:t xml:space="preserve">Assignment — R. Michael Lortz to Yale Oil Association, Inc. (1751/168)</x:t>
        </x:is>
      </x:c>
      <x:c r="AB286" s="520" t="inlineStr">
        <x:is>
          <x:t xml:space="preserve">Needs source review: interest amount</x:t>
        </x:is>
      </x:c>
    </x:row>
    <x:row r="287" s="520" customFormat="1" ht="72" customHeight="1">
      <x:c r="A287" s="519" t="inlineStr">
        <x:is>
          <x:t xml:space="preserve">2004-001493</x:t>
        </x:is>
      </x:c>
      <x:c r="B287" s="536" t="n"/>
      <x:c r="C287" s="536" t="inlineStr">
        <x:is>
          <x:t xml:space="preserve">Assignment</x:t>
        </x:is>
      </x:c>
      <x:c r="D287" s="536" t="inlineStr">
        <x:is>
          <x:t xml:space="preserve">1741/70</x:t>
        </x:is>
      </x:c>
      <x:c r="E287" s="537" t="n">
        <x:v>38041</x:v>
      </x:c>
      <x:c r="F287" s="537" t="n">
        <x:v>38071</x:v>
      </x:c>
      <x:c r="G287" s="538" t="inlineStr">
        <x:is>
          <x:t xml:space="preserve">R. Michael Lortz</x:t>
        </x:is>
      </x:c>
      <x:c r="H287" s="538" t="inlineStr">
        <x:is>
          <x:t xml:space="preserve">Cirrus Production Company</x:t>
        </x:is>
      </x:c>
      <x:c r="I287" s="538" t="inlineStr">
        <x:is>
          <x:t xml:space="preserve">E/2 NW/4, N/2 NE/4 SW/4, NE/4 SE/4, SE/4 NE/4 of 31-12N-24W</x:t>
        </x:is>
      </x:c>
      <x:c r="J287" s="538" t="inlineStr">
        <x:is>
          <x:t xml:space="preserve">ARTI in OGL at 1736/485
Assignor reserves unto himself, his heirs, successors and assigns an overriding royalty interest equal to the difference between existing lease burdens and twenty-one percent (21.00%) of all oil, gas, casinghead gas, and other hydrocarbons, produced, saved, and sold from the lands … Full recital in recorded instrument — see Link.</x:t>
        </x:is>
      </x:c>
      <x:c r="K287" s="518" t="e">
        <x:f>HYPERLINK("https://okcountyrecords.com/detail/roger+mills/2004-001493","OKCountyRecords: 2004-001493")</x:f>
      </x:c>
      <x:c r="L287" s="519" t="inlineStr">
        <x:is>
          <x:t xml:space="preserve">Leasehold (non-mineral; excluded from mineral NMA). Gross=tract-map basis.</x:t>
        </x:is>
      </x:c>
      <x:c r="M287" s="519" t="inlineStr">
        <x:is>
          <x:t xml:space="preserve">Confirm lease effect</x:t>
        </x:is>
      </x:c>
      <x:c r="N287" s="519" t="n"/>
      <x:c r="O287" s="519" t="inlineStr">
        <x:is>
          <x:t xml:space="preserve">LEASE ASSIGNMENT</x:t>
        </x:is>
      </x:c>
      <x:c r="P287" s="520" t="inlineStr">
        <x:is>
          <x:t xml:space="preserve">Chain — assignment (WI or minerals — read granting clause)</x:t>
        </x:is>
      </x:c>
      <x:c r="Q287" s="520" t="inlineStr">
        <x:is>
          <x:t xml:space="preserve">Review</x:t>
        </x:is>
      </x:c>
      <x:c r="R287" s="520" t="inlineStr">
        <x:is>
          <x:t xml:space="preserve">Yes</x:t>
        </x:is>
      </x:c>
      <x:c r="S287" s="520" t="inlineStr">
        <x:is>
          <x:t xml:space="preserve">Review</x:t>
        </x:is>
      </x:c>
      <x:c r="T287" s="520" t="inlineStr">
        <x:is>
          <x:t xml:space="preserve">Yes</x:t>
        </x:is>
      </x:c>
      <x:c r="U287" s="520" t="inlineStr">
        <x:is>
          <x:t xml:space="preserve">Legal maps to 1, 3, 4, 7, 10; helper says 1, 3, 4, 7, 8</x:t>
        </x:is>
      </x:c>
      <x:c r="V287" s="520" t="inlineStr">
        <x:is>
          <x:t xml:space="preserve">Review</x:t>
        </x:is>
      </x:c>
      <x:c r="W287" s="520" t="inlineStr">
        <x:is>
          <x:t xml:space="preserve">Yes — prior grantee match</x:t>
        </x:is>
      </x:c>
      <x:c r="X287" s="520" t="inlineStr">
        <x:is>
          <x:t xml:space="preserve">Review</x:t>
        </x:is>
      </x:c>
      <x:c r="Y287" s="520" t="inlineStr">
        <x:is>
          <x:t xml:space="preserve">Interest amount needs review</x:t>
        </x:is>
      </x:c>
      <x:c r="Z287" s="520" t="inlineStr">
        <x:is>
          <x:t xml:space="preserve">Review</x:t>
        </x:is>
      </x:c>
      <x:c r="AA287" s="520" t="inlineStr">
        <x:is>
          <x:t xml:space="preserve">Assignment — R. Michael Lortz to Cirrus Production Company (1741/70)</x:t>
        </x:is>
      </x:c>
      <x:c r="AB287" s="520" t="inlineStr">
        <x:is>
          <x:t xml:space="preserve">Needs source review: tract, interest amount</x:t>
        </x:is>
      </x:c>
    </x:row>
    <x:row r="288" s="520" customFormat="1" ht="72" customHeight="1">
      <x:c r="A288" s="519" t="inlineStr">
        <x:is>
          <x:t xml:space="preserve">2004-001735</x:t>
        </x:is>
      </x:c>
      <x:c r="B288" s="536" t="n"/>
      <x:c r="C288" s="536" t="inlineStr">
        <x:is>
          <x:t xml:space="preserve">Affidavit of Termination of Join Tenancy</x:t>
        </x:is>
      </x:c>
      <x:c r="D288" s="536" t="inlineStr">
        <x:is>
          <x:t xml:space="preserve">1742/271</x:t>
        </x:is>
      </x:c>
      <x:c r="E288" s="537" t="n">
        <x:v>38078</x:v>
      </x:c>
      <x:c r="F288" s="537" t="n">
        <x:v>38084</x:v>
      </x:c>
      <x:c r="G288" s="538" t="inlineStr">
        <x:is>
          <x:t xml:space="preserve">Joe H. Britton</x:t>
        </x:is>
      </x:c>
      <x:c r="H288" s="538" t="inlineStr">
        <x:is>
          <x:t xml:space="preserve">The Public
Re: Anna R. BRITTON, Deceased</x:t>
        </x:is>
      </x:c>
      <x:c r="I288" s="538" t="inlineStr">
        <x:is>
          <x:t xml:space="preserve">E/2 NW/4, N/2 NE/4 SW/4, NE/4 SE/4, SE/4 NE/4 of 31-12N-24W, aol</x:t>
        </x:is>
      </x:c>
      <x:c r="J288" s="538" t="inlineStr">
        <x:is>
          <x:t xml:space="preserve">An undivided 2.30769 mineral acres interest, deed was duly recorded on March 30, 1992, in Book 1267 at page 168 of the records of the County Clerk of Roger Mills County, Oklahoma. Anna R. Britton, same person as Anna Leta Britton, herein called "Decedent", died on February 15, 2004</x:t>
        </x:is>
      </x:c>
      <x:c r="K288" s="518" t="e">
        <x:f>HYPERLINK("https://okcountyrecords.com/detail/roger+mills/2004-001735","OKCountyRecords: 2004-001735")</x:f>
      </x:c>
      <x:c r="L288" s="519" t="inlineStr">
        <x:is>
          <x:t xml:space="preserve">Mineral; basis Conv Amt(dec). grantor indexed as 'The Public' — confirm source instrument. Gross=tract-map basis.</x:t>
        </x:is>
      </x:c>
      <x:c r="M288" s="519" t="inlineStr">
        <x:is>
          <x:t xml:space="preserve">REVIEW</x:t>
        </x:is>
      </x:c>
      <x:c r="N288" s="519" t="inlineStr">
        <x:is>
          <x:t xml:space="preserve">Confirm conveyed mineral acreage from instrument image — named party indexed under 'The Public' (affidavit/notice); identity resolved.</x:t>
        </x:is>
      </x:c>
      <x:c r="O288" s="519" t="inlineStr">
        <x:is>
          <x:t xml:space="preserve">OUTSIDE LANDS</x:t>
        </x:is>
      </x:c>
      <x:c r="P288" s="520" t="inlineStr">
        <x:is>
          <x:t xml:space="preserve">Chain — title support (succession/entity/probate)</x:t>
        </x:is>
      </x:c>
      <x:c r="Q288" s="520" t="inlineStr">
        <x:is>
          <x:t xml:space="preserve">Yes</x:t>
        </x:is>
      </x:c>
      <x:c r="R288" s="520" t="inlineStr">
        <x:is>
          <x:t xml:space="preserve">No</x:t>
        </x:is>
      </x:c>
      <x:c r="S288" s="520" t="inlineStr">
        <x:is>
          <x:t xml:space="preserve">Yes</x:t>
        </x:is>
      </x:c>
      <x:c r="T288" s="520" t="inlineStr">
        <x:is>
          <x:t xml:space="preserve">No</x:t>
        </x:is>
      </x:c>
      <x:c r="U288" s="520" t="inlineStr">
        <x:is>
          <x:t xml:space="preserve">Legal maps to 1, 3, 4, 7, 10; helper says 1, 3, 4, 7, 8</x:t>
        </x:is>
      </x:c>
      <x:c r="V288" s="520" t="inlineStr">
        <x:is>
          <x:t xml:space="preserve">Review</x:t>
        </x:is>
      </x:c>
      <x:c r="W288" s="520" t="inlineStr">
        <x:is>
          <x:t xml:space="preserve">Probable — name-normalized match to Runsheet 197 grantee; confirm</x:t>
        </x:is>
      </x:c>
      <x:c r="X288" s="520" t="inlineStr">
        <x:is>
          <x:t xml:space="preserve">Yes — on Tract 3 owner list</x:t>
        </x:is>
      </x:c>
      <x:c r="Y288" s="520" t="inlineStr">
        <x:is>
          <x:t xml:space="preserve">Candidate 0.00824175 (helper — confirm from image)</x:t>
        </x:is>
      </x:c>
      <x:c r="Z288" s="520" t="inlineStr">
        <x:is>
          <x:t xml:space="preserve">Medium — helper value</x:t>
        </x:is>
      </x:c>
      <x:c r="AA288" s="520" t="inlineStr">
        <x:is>
          <x:t xml:space="preserve">Affidavit of Termination of Join — Joe H. Britton to The Public (1742/271)</x:t>
        </x:is>
      </x:c>
      <x:c r="AB288" s="520" t="inlineStr">
        <x:is>
          <x:t xml:space="preserve">Needs source review: tract, grantor source</x:t>
        </x:is>
      </x:c>
    </x:row>
    <x:row r="289" s="520" customFormat="1" ht="72" customHeight="1">
      <x:c r="A289" s="519" t="inlineStr">
        <x:is>
          <x:t xml:space="preserve">2004-002491</x:t>
        </x:is>
      </x:c>
      <x:c r="B289" s="536" t="n"/>
      <x:c r="C289" s="536" t="inlineStr">
        <x:is>
          <x:t xml:space="preserve">Affidavit of Surviving Remainderman</x:t>
        </x:is>
      </x:c>
      <x:c r="D289" s="536" t="inlineStr">
        <x:is>
          <x:t xml:space="preserve">1746/158</x:t>
        </x:is>
      </x:c>
      <x:c r="E289" s="537" t="n">
        <x:v>38112</x:v>
      </x:c>
      <x:c r="F289" s="537" t="n">
        <x:v>38121</x:v>
      </x:c>
      <x:c r="G289" s="538" t="inlineStr">
        <x:is>
          <x:t xml:space="preserve">Peggy Brawner</x:t>
        </x:is>
      </x:c>
      <x:c r="H289" s="538" t="inlineStr">
        <x:is>
          <x:t xml:space="preserve">The Public
RE: William Cobal Bain, Jr., deceased</x:t>
        </x:is>
      </x:c>
      <x:c r="I289" s="538" t="inlineStr">
        <x:is>
          <x:t xml:space="preserve">NW/4 SE/4, S/2 SE/4, SW/4 NE/4 of 31-12N-24W, aol</x:t>
        </x:is>
      </x:c>
      <x:c r="J289" s="538" t="inlineStr">
        <x:is>
          <x:t xml:space="preserve">Mineral deed was recorded in the records of the County Clerk of Roger Mills County, Oklahoma, in Book 1631, Page 416. There is attached hereto a certified copy of the death certificate of William Cobal Bain, Jr., deceased, issued by the State of Colorado, showing that the deceased life tenant died on the 26th day of October, 2003.</x:t>
        </x:is>
      </x:c>
      <x:c r="K289" s="518" t="e">
        <x:f>HYPERLINK("https://okcountyrecords.com/detail/roger+mills/2004-002491","OKCountyRecords: 2004-002491")</x:f>
      </x:c>
      <x:c r="L289" s="519" t="inlineStr">
        <x:is>
          <x:t xml:space="preserve">Mineral; basis Conv Amt(dec). grantor indexed as 'The Public' — confirm source instrument. Gross=tract-map basis.</x:t>
        </x:is>
      </x:c>
      <x:c r="M289" s="519" t="inlineStr">
        <x:is>
          <x:t xml:space="preserve">REVIEW</x:t>
        </x:is>
      </x:c>
      <x:c r="N289" s="519" t="inlineStr">
        <x:is>
          <x:t xml:space="preserve">Confirm conveyed mineral acreage from instrument image — named party indexed under 'The Public' (affidavit/notice); identity resolved.</x:t>
        </x:is>
      </x:c>
      <x:c r="O289" s="519" t="inlineStr">
        <x:is>
          <x:t xml:space="preserve">OUTSIDE LANDS</x:t>
        </x:is>
      </x:c>
      <x:c r="P289" s="520" t="inlineStr">
        <x:is>
          <x:t xml:space="preserve">Chain — title support (succession/entity/probate)</x:t>
        </x:is>
      </x:c>
      <x:c r="Q289" s="520" t="inlineStr">
        <x:is>
          <x:t xml:space="preserve">Yes</x:t>
        </x:is>
      </x:c>
      <x:c r="R289" s="520" t="inlineStr">
        <x:is>
          <x:t xml:space="preserve">No</x:t>
        </x:is>
      </x:c>
      <x:c r="S289" s="520" t="inlineStr">
        <x:is>
          <x:t xml:space="preserve">Yes</x:t>
        </x:is>
      </x:c>
      <x:c r="T289" s="520" t="inlineStr">
        <x:is>
          <x:t xml:space="preserve">No</x:t>
        </x:is>
      </x:c>
      <x:c r="U289" s="520" t="inlineStr">
        <x:is>
          <x:t xml:space="preserve">Yes: 2 (legal supports)</x:t>
        </x:is>
      </x:c>
      <x:c r="V289" s="520" t="inlineStr">
        <x:is>
          <x:t xml:space="preserve">High</x:t>
        </x:is>
      </x:c>
      <x:c r="W289" s="520" t="inlineStr">
        <x:is>
          <x:t xml:space="preserve">Review — no exact prior-grantee match</x:t>
        </x:is>
      </x:c>
      <x:c r="X289" s="520" t="inlineStr">
        <x:is>
          <x:t xml:space="preserve">Review</x:t>
        </x:is>
      </x:c>
      <x:c r="Y289" s="520" t="inlineStr">
        <x:is>
          <x:t xml:space="preserve">Candidate 1 (helper — confirm from image)</x:t>
        </x:is>
      </x:c>
      <x:c r="Z289" s="520" t="inlineStr">
        <x:is>
          <x:t xml:space="preserve">Medium — helper value</x:t>
        </x:is>
      </x:c>
      <x:c r="AA289" s="520" t="inlineStr">
        <x:is>
          <x:t xml:space="preserve">Affidavit of Surviving Remainder — Peggy Brawner to The Public (1746/158)</x:t>
        </x:is>
      </x:c>
      <x:c r="AB289" s="520" t="inlineStr">
        <x:is>
          <x:t xml:space="preserve">Needs source review: grantor source</x:t>
        </x:is>
      </x:c>
    </x:row>
    <x:row r="290" s="520" customFormat="1" ht="48" customHeight="1">
      <x:c r="A290" s="519" t="inlineStr">
        <x:is>
          <x:t xml:space="preserve">2004-002933</x:t>
        </x:is>
      </x:c>
      <x:c r="B290" s="536" t="n"/>
      <x:c r="C290" s="536" t="inlineStr">
        <x:is>
          <x:t xml:space="preserve">Assignment</x:t>
        </x:is>
      </x:c>
      <x:c r="D290" s="536" t="inlineStr">
        <x:is>
          <x:t xml:space="preserve">1749/49</x:t>
        </x:is>
      </x:c>
      <x:c r="E290" s="537" t="n">
        <x:v>38127</x:v>
      </x:c>
      <x:c r="F290" s="537" t="n">
        <x:v>38145</x:v>
      </x:c>
      <x:c r="G290" s="538" t="inlineStr">
        <x:is>
          <x:t xml:space="preserve">B. &amp; W. Exploration, Inc.</x:t>
        </x:is>
      </x:c>
      <x:c r="H290" s="538" t="inlineStr">
        <x:is>
          <x:t xml:space="preserve">R. Michael Lortz</x:t>
        </x:is>
      </x:c>
      <x:c r="I290" s="538" t="inlineStr">
        <x:is>
          <x:t xml:space="preserve">N/2 NE/4, E/2 NW/4, E/2 SW/4, N/2 NE/4 SW/4, S/2 Lots 3, Lot 4, NE/4 SE/4, SE/4 NE/4 of 31-12N-24W</x:t>
        </x:is>
      </x:c>
      <x:c r="J290" s="538" t="inlineStr">
        <x:is>
          <x:t xml:space="preserve">ARTI in OGLs at 1736/592, 1736/594, 1736/600, 1736/602,</x:t>
        </x:is>
      </x:c>
      <x:c r="K290" s="518" t="e">
        <x:f>HYPERLINK("https://okcountyrecords.com/detail/roger+mills/2004-002933","OKCountyRecords: 2004-002933")</x:f>
      </x:c>
      <x:c r="L290" s="519" t="inlineStr">
        <x:is>
          <x:t xml:space="preserve">Leasehold (non-mineral; excluded from mineral NMA). Gross=tract-map basis.</x:t>
        </x:is>
      </x:c>
      <x:c r="M290" s="519" t="n"/>
      <x:c r="N290" s="519" t="n"/>
      <x:c r="O290" s="519" t="inlineStr">
        <x:is>
          <x:t xml:space="preserve">LEASE ASSIGNMENT</x:t>
        </x:is>
      </x:c>
      <x:c r="P290" s="520" t="inlineStr">
        <x:is>
          <x:t xml:space="preserve">Chain — assignment (WI or minerals — read granting clause)</x:t>
        </x:is>
      </x:c>
      <x:c r="Q290" s="520" t="inlineStr">
        <x:is>
          <x:t xml:space="preserve">Review</x:t>
        </x:is>
      </x:c>
      <x:c r="R290" s="520" t="inlineStr">
        <x:is>
          <x:t xml:space="preserve">Yes</x:t>
        </x:is>
      </x:c>
      <x:c r="S290" s="520" t="inlineStr">
        <x:is>
          <x:t xml:space="preserve">Review</x:t>
        </x:is>
      </x:c>
      <x:c r="T290" s="520" t="inlineStr">
        <x:is>
          <x:t xml:space="preserve">Yes</x:t>
        </x:is>
      </x:c>
      <x:c r="U290" s="520" t="inlineStr">
        <x:is>
          <x:t xml:space="preserve">Legal maps to 1, 3, 4, 7, 9, 10; helper says 1, 3, 4, 5, 6, 7, 8</x:t>
        </x:is>
      </x:c>
      <x:c r="V290" s="520" t="inlineStr">
        <x:is>
          <x:t xml:space="preserve">Review</x:t>
        </x:is>
      </x:c>
      <x:c r="W290" s="520" t="inlineStr">
        <x:is>
          <x:t xml:space="preserve">Yes — prior grantee match</x:t>
        </x:is>
      </x:c>
      <x:c r="X290" s="520" t="inlineStr">
        <x:is>
          <x:t xml:space="preserve">Review</x:t>
        </x:is>
      </x:c>
      <x:c r="Y290" s="520" t="inlineStr">
        <x:is>
          <x:t xml:space="preserve">Interest amount needs review</x:t>
        </x:is>
      </x:c>
      <x:c r="Z290" s="520" t="inlineStr">
        <x:is>
          <x:t xml:space="preserve">Review</x:t>
        </x:is>
      </x:c>
      <x:c r="AA290" s="520" t="inlineStr">
        <x:is>
          <x:t xml:space="preserve">Assignment — B. &amp; W. Exploration, Inc. to R. Michael Lortz (1749/49)</x:t>
        </x:is>
      </x:c>
      <x:c r="AB290" s="520" t="inlineStr">
        <x:is>
          <x:t xml:space="preserve">Needs source review: tract, interest amount</x:t>
        </x:is>
      </x:c>
    </x:row>
    <x:row r="291" s="520" customFormat="1" ht="72" customHeight="1">
      <x:c r="A291" s="519" t="inlineStr">
        <x:is>
          <x:t xml:space="preserve">2004-002934</x:t>
        </x:is>
      </x:c>
      <x:c r="B291" s="536" t="n"/>
      <x:c r="C291" s="536" t="inlineStr">
        <x:is>
          <x:t xml:space="preserve">Assignment</x:t>
        </x:is>
      </x:c>
      <x:c r="D291" s="536" t="inlineStr">
        <x:is>
          <x:t xml:space="preserve">1749/51</x:t>
        </x:is>
      </x:c>
      <x:c r="E291" s="537" t="n">
        <x:v>38139</x:v>
      </x:c>
      <x:c r="F291" s="537" t="n">
        <x:v>38145</x:v>
      </x:c>
      <x:c r="G291" s="538" t="inlineStr">
        <x:is>
          <x:t xml:space="preserve">R. Michael Lortz</x:t>
        </x:is>
      </x:c>
      <x:c r="H291" s="538" t="inlineStr">
        <x:is>
          <x:t xml:space="preserve">Newfield Exploration Mid Cont, Inc.</x:t>
        </x:is>
      </x:c>
      <x:c r="I291" s="538" t="inlineStr">
        <x:is>
          <x:t xml:space="preserve">N/2 NE/4, E/2 NW/4, E/2 SW/4, N/2 NE/4 SW/4, S/2 Lots 3, Lot 4, NE/4 SE/4, SE/4 NE/4 of 31-12N-24W</x:t>
        </x:is>
      </x:c>
      <x:c r="J291" s="538" t="inlineStr">
        <x:is>
          <x:t xml:space="preserve">ARTI in OGLs at 1736/592, 1736/594, 1736/600, 1736/602,
Assignor reserves unto himself, his heirs, successors and assigns an overriding royalty interest equal to the difference between existing lease burdens and twenty-one hundredths percent (21.00%) of all oil, gas, casinghead gas, and other hydrocarbons, … Full recital in recorded instrument — see Link.</x:t>
        </x:is>
      </x:c>
      <x:c r="K291" s="518" t="e">
        <x:f>HYPERLINK("https://okcountyrecords.com/detail/roger+mills/2004-002934","OKCountyRecords: 2004-002934")</x:f>
      </x:c>
      <x:c r="L291" s="519" t="inlineStr">
        <x:is>
          <x:t xml:space="preserve">Leasehold (non-mineral; excluded from mineral NMA). Gross=tract-map basis.</x:t>
        </x:is>
      </x:c>
      <x:c r="M291" s="519" t="inlineStr">
        <x:is>
          <x:t xml:space="preserve">Confirm lease effect</x:t>
        </x:is>
      </x:c>
      <x:c r="N291" s="519" t="n"/>
      <x:c r="O291" s="519" t="inlineStr">
        <x:is>
          <x:t xml:space="preserve">LEASE ASSIGNMENT</x:t>
        </x:is>
      </x:c>
      <x:c r="P291" s="520" t="inlineStr">
        <x:is>
          <x:t xml:space="preserve">Chain — assignment (WI or minerals — read granting clause)</x:t>
        </x:is>
      </x:c>
      <x:c r="Q291" s="520" t="inlineStr">
        <x:is>
          <x:t xml:space="preserve">Review</x:t>
        </x:is>
      </x:c>
      <x:c r="R291" s="520" t="inlineStr">
        <x:is>
          <x:t xml:space="preserve">Yes</x:t>
        </x:is>
      </x:c>
      <x:c r="S291" s="520" t="inlineStr">
        <x:is>
          <x:t xml:space="preserve">Review</x:t>
        </x:is>
      </x:c>
      <x:c r="T291" s="520" t="inlineStr">
        <x:is>
          <x:t xml:space="preserve">Yes</x:t>
        </x:is>
      </x:c>
      <x:c r="U291" s="520" t="inlineStr">
        <x:is>
          <x:t xml:space="preserve">Legal maps to 1, 3, 4, 7, 9, 10; helper says 1, 3, 4, 5, 6, 7, 8</x:t>
        </x:is>
      </x:c>
      <x:c r="V291" s="520" t="inlineStr">
        <x:is>
          <x:t xml:space="preserve">Review</x:t>
        </x:is>
      </x:c>
      <x:c r="W291" s="520" t="inlineStr">
        <x:is>
          <x:t xml:space="preserve">Yes — prior grantee match</x:t>
        </x:is>
      </x:c>
      <x:c r="X291" s="520" t="inlineStr">
        <x:is>
          <x:t xml:space="preserve">Review</x:t>
        </x:is>
      </x:c>
      <x:c r="Y291" s="520" t="inlineStr">
        <x:is>
          <x:t xml:space="preserve">Interest amount needs review</x:t>
        </x:is>
      </x:c>
      <x:c r="Z291" s="520" t="inlineStr">
        <x:is>
          <x:t xml:space="preserve">Review</x:t>
        </x:is>
      </x:c>
      <x:c r="AA291" s="520" t="inlineStr">
        <x:is>
          <x:t xml:space="preserve">Assignment — R. Michael Lortz to Newfield Exploration Mid Cont, (1749/51)</x:t>
        </x:is>
      </x:c>
      <x:c r="AB291" s="520" t="inlineStr">
        <x:is>
          <x:t xml:space="preserve">Needs source review: tract, interest amount</x:t>
        </x:is>
      </x:c>
    </x:row>
    <x:row r="292" s="520" customFormat="1" ht="48" customHeight="1">
      <x:c r="A292" s="519" t="inlineStr">
        <x:is>
          <x:t xml:space="preserve">2004-005686</x:t>
        </x:is>
      </x:c>
      <x:c r="B292" s="536" t="n">
        <x:v>18</x:v>
      </x:c>
      <x:c r="C292" s="536" t="inlineStr">
        <x:is>
          <x:t xml:space="preserve">Oil and Gas Lease</x:t>
        </x:is>
      </x:c>
      <x:c r="D292" s="536" t="inlineStr">
        <x:is>
          <x:t xml:space="preserve">1764/122</x:t>
        </x:is>
      </x:c>
      <x:c r="E292" s="537" t="n">
        <x:v>38251</x:v>
      </x:c>
      <x:c r="F292" s="537" t="n">
        <x:v>38272</x:v>
      </x:c>
      <x:c r="G292" s="538" t="inlineStr">
        <x:is>
          <x:t xml:space="preserve">Darrell E. Hamilton
1709 SW High, Apt. #1
Topeka, KS 66604</x:t>
        </x:is>
      </x:c>
      <x:c r="H292" s="538" t="inlineStr">
        <x:is>
          <x:t xml:space="preserve">R. Michael Lortz</x:t>
        </x:is>
      </x:c>
      <x:c r="I292" s="538" t="inlineStr">
        <x:is>
          <x:t xml:space="preserve">NW/4 SE/4, S/2 SE/4, SW/4 NE/4 of 31-12N-24W</x:t>
        </x:is>
      </x:c>
      <x:c r="J292" s="538" t="inlineStr">
        <x:is>
          <x:t xml:space="preserve">160 gross acres
3 yrs
3/16ths royalty</x:t>
        </x:is>
      </x:c>
      <x:c r="K292" s="518" t="e">
        <x:f>HYPERLINK("https://okcountyrecords.com/detail/roger+mills/2004-005686","OKCountyRecords: 2004-005686")</x:f>
      </x:c>
      <x:c r="L292" s="519" t="inlineStr">
        <x:is>
          <x:t xml:space="preserve">Leasehold (non-mineral; excluded from mineral NMA). Gross=tract-map basis.</x:t>
        </x:is>
      </x:c>
      <x:c r="M292" s="519" t="inlineStr">
        <x:is>
          <x:t xml:space="preserve">CURRENT LEASE SOURCE</x:t>
        </x:is>
      </x:c>
      <x:c r="N292" s="519" t="n"/>
      <x:c r="O292" s="519" t="inlineStr">
        <x:is>
          <x:t xml:space="preserve">TOP LEASE</x:t>
        </x:is>
      </x:c>
      <x:c r="P292" s="520" t="inlineStr">
        <x:is>
          <x:t xml:space="preserve">Chain — leasehold (OGL)</x:t>
        </x:is>
      </x:c>
      <x:c r="Q292" s="520" t="inlineStr">
        <x:is>
          <x:t xml:space="preserve">No</x:t>
        </x:is>
      </x:c>
      <x:c r="R292" s="520" t="inlineStr">
        <x:is>
          <x:t xml:space="preserve">Yes</x:t>
        </x:is>
      </x:c>
      <x:c r="S292" s="520" t="inlineStr">
        <x:is>
          <x:t xml:space="preserve">No</x:t>
        </x:is>
      </x:c>
      <x:c r="T292" s="520" t="inlineStr">
        <x:is>
          <x:t xml:space="preserve">Yes</x:t>
        </x:is>
      </x:c>
      <x:c r="U292" s="520" t="inlineStr">
        <x:is>
          <x:t xml:space="preserve">Yes: 2 (legal supports)</x:t>
        </x:is>
      </x:c>
      <x:c r="V292" s="520" t="inlineStr">
        <x:is>
          <x:t xml:space="preserve">High</x:t>
        </x:is>
      </x:c>
      <x:c r="W292" s="520" t="inlineStr">
        <x:is>
          <x:t xml:space="preserve">Review — no exact prior-grantee match</x:t>
        </x:is>
      </x:c>
      <x:c r="X292" s="520" t="inlineStr">
        <x:is>
          <x:t xml:space="preserve">Review</x:t>
        </x:is>
      </x:c>
      <x:c r="Y292" s="520" t="inlineStr">
        <x:is>
          <x:t xml:space="preserve">Interest amount needs review</x:t>
        </x:is>
      </x:c>
      <x:c r="Z292" s="520" t="inlineStr">
        <x:is>
          <x:t xml:space="preserve">Review</x:t>
        </x:is>
      </x:c>
      <x:c r="AA292" s="520" t="inlineStr">
        <x:is>
          <x:t xml:space="preserve">Oil and Gas Lease — Darrell E. Hamilton to R. Michael Lortz (1764/122)</x:t>
        </x:is>
      </x:c>
      <x:c r="AB292" s="520" t="inlineStr">
        <x:is>
          <x:t xml:space="preserve">Needs source review: grantor source, interest amount</x:t>
        </x:is>
      </x:c>
    </x:row>
    <x:row r="293" s="520" customFormat="1" ht="48" customHeight="1">
      <x:c r="A293" s="519" t="inlineStr">
        <x:is>
          <x:t xml:space="preserve">2004-005687</x:t>
        </x:is>
      </x:c>
      <x:c r="B293" s="536" t="n">
        <x:v>19</x:v>
      </x:c>
      <x:c r="C293" s="536" t="inlineStr">
        <x:is>
          <x:t xml:space="preserve">Oil and Gas Lease</x:t>
        </x:is>
      </x:c>
      <x:c r="D293" s="536" t="inlineStr">
        <x:is>
          <x:t xml:space="preserve">1764/124</x:t>
        </x:is>
      </x:c>
      <x:c r="E293" s="537" t="n">
        <x:v>38251</x:v>
      </x:c>
      <x:c r="F293" s="537" t="n">
        <x:v>38272</x:v>
      </x:c>
      <x:c r="G293" s="538" t="inlineStr">
        <x:is>
          <x:t xml:space="preserve">Deeanne Browning
3510 West 2nd Street
Wichita, KS 67203</x:t>
        </x:is>
      </x:c>
      <x:c r="H293" s="538" t="inlineStr">
        <x:is>
          <x:t xml:space="preserve">R. Michael Lortz</x:t>
        </x:is>
      </x:c>
      <x:c r="I293" s="538" t="inlineStr">
        <x:is>
          <x:t xml:space="preserve">NW/4 SE/4, S/2 SE/4, SW/4 NE/4 of 31-12N-24W</x:t>
        </x:is>
      </x:c>
      <x:c r="J293" s="538" t="inlineStr">
        <x:is>
          <x:t xml:space="preserve">160 gross acres
3 yrs
3/16ths royalty</x:t>
        </x:is>
      </x:c>
      <x:c r="K293" s="518" t="e">
        <x:f>HYPERLINK("https://okcountyrecords.com/detail/roger+mills/2004-005687","OKCountyRecords: 2004-005687")</x:f>
      </x:c>
      <x:c r="L293" s="519" t="inlineStr">
        <x:is>
          <x:t xml:space="preserve">Leasehold (non-mineral; excluded from mineral NMA). Gross=tract-map basis.</x:t>
        </x:is>
      </x:c>
      <x:c r="M293" s="519" t="inlineStr">
        <x:is>
          <x:t xml:space="preserve">CURRENT LEASE SOURCE</x:t>
        </x:is>
      </x:c>
      <x:c r="N293" s="519" t="n"/>
      <x:c r="O293" s="519" t="inlineStr">
        <x:is>
          <x:t xml:space="preserve">OGL / BASE LEASE</x:t>
        </x:is>
      </x:c>
      <x:c r="P293" s="520" t="inlineStr">
        <x:is>
          <x:t xml:space="preserve">Chain — leasehold (OGL)</x:t>
        </x:is>
      </x:c>
      <x:c r="Q293" s="520" t="inlineStr">
        <x:is>
          <x:t xml:space="preserve">No</x:t>
        </x:is>
      </x:c>
      <x:c r="R293" s="520" t="inlineStr">
        <x:is>
          <x:t xml:space="preserve">Yes</x:t>
        </x:is>
      </x:c>
      <x:c r="S293" s="520" t="inlineStr">
        <x:is>
          <x:t xml:space="preserve">No</x:t>
        </x:is>
      </x:c>
      <x:c r="T293" s="520" t="inlineStr">
        <x:is>
          <x:t xml:space="preserve">Yes</x:t>
        </x:is>
      </x:c>
      <x:c r="U293" s="520" t="inlineStr">
        <x:is>
          <x:t xml:space="preserve">Yes: 2 (legal supports)</x:t>
        </x:is>
      </x:c>
      <x:c r="V293" s="520" t="inlineStr">
        <x:is>
          <x:t xml:space="preserve">High</x:t>
        </x:is>
      </x:c>
      <x:c r="W293" s="520" t="inlineStr">
        <x:is>
          <x:t xml:space="preserve">Probable — name-normalized match to Runsheet 257 grantee; confirm</x:t>
        </x:is>
      </x:c>
      <x:c r="X293" s="520" t="inlineStr">
        <x:is>
          <x:t xml:space="preserve">Review</x:t>
        </x:is>
      </x:c>
      <x:c r="Y293" s="520" t="inlineStr">
        <x:is>
          <x:t xml:space="preserve">Interest amount needs review</x:t>
        </x:is>
      </x:c>
      <x:c r="Z293" s="520" t="inlineStr">
        <x:is>
          <x:t xml:space="preserve">Review</x:t>
        </x:is>
      </x:c>
      <x:c r="AA293" s="520" t="inlineStr">
        <x:is>
          <x:t xml:space="preserve">Oil and Gas Lease — Deeanne Browning to R. Michael Lortz (1764/124)</x:t>
        </x:is>
      </x:c>
      <x:c r="AB293" s="520" t="inlineStr">
        <x:is>
          <x:t xml:space="preserve">Needs source review: grantor source, interest amount</x:t>
        </x:is>
      </x:c>
    </x:row>
    <x:row r="294" s="520" customFormat="1" ht="84" customHeight="1">
      <x:c r="A294" s="519" t="inlineStr">
        <x:is>
          <x:t xml:space="preserve">2004-005689</x:t>
        </x:is>
      </x:c>
      <x:c r="B294" s="536" t="n">
        <x:v>20</x:v>
      </x:c>
      <x:c r="C294" s="536" t="inlineStr">
        <x:is>
          <x:t xml:space="preserve">Oil and Gas Lease</x:t>
        </x:is>
      </x:c>
      <x:c r="D294" s="536" t="inlineStr">
        <x:is>
          <x:t xml:space="preserve">1764/128</x:t>
        </x:is>
      </x:c>
      <x:c r="E294" s="537" t="n">
        <x:v>38251</x:v>
      </x:c>
      <x:c r="F294" s="537" t="n">
        <x:v>38272</x:v>
      </x:c>
      <x:c r="G294" s="538" t="inlineStr">
        <x:is>
          <x:t xml:space="preserve">Travis L. Smith
P. O. Box 129
Silver City, NM 88061</x:t>
        </x:is>
      </x:c>
      <x:c r="H294" s="538" t="inlineStr">
        <x:is>
          <x:t xml:space="preserve">R. Michael Lortz</x:t>
        </x:is>
      </x:c>
      <x:c r="I294" s="538" t="inlineStr">
        <x:is>
          <x:t xml:space="preserve">NW/4 SE/4, S/2 SE/4, SW/4 NE/4 of 31-12N-24W</x:t>
        </x:is>
      </x:c>
      <x:c r="J294" s="538" t="inlineStr">
        <x:is>
          <x:t xml:space="preserve">160 gross acres
3 yrs
3/16ths royalty
Chain note: source of title — OUTSIDE LANDS 2002-004378 at 1694/156, William Cobal Bain and Billy Wayne Bain, Co-Trustees of the Testamentary Trust created under the Will of W. M. … Full recital in recorded instrument — see Link.</x:t>
        </x:is>
      </x:c>
      <x:c r="K294" s="518" t="e">
        <x:f>HYPERLINK("https://okcountyrecords.com/detail/roger+mills/2004-005689","OKCountyRecords: 2004-005689")</x:f>
      </x:c>
      <x:c r="L294" s="519" t="inlineStr">
        <x:is>
          <x:t xml:space="preserve">Leasehold (non-mineral; excluded from mineral NMA). Gross=tract-map basis.</x:t>
        </x:is>
      </x:c>
      <x:c r="M294" s="519" t="inlineStr">
        <x:is>
          <x:t xml:space="preserve">CURRENT LEASE SOURCE</x:t>
        </x:is>
      </x:c>
      <x:c r="N294" s="519" t="n"/>
      <x:c r="O294" s="519" t="inlineStr">
        <x:is>
          <x:t xml:space="preserve">OUTSIDE LANDS</x:t>
        </x:is>
      </x:c>
      <x:c r="P294" s="520" t="inlineStr">
        <x:is>
          <x:t xml:space="preserve">Chain — leasehold (OGL)</x:t>
        </x:is>
      </x:c>
      <x:c r="Q294" s="520" t="inlineStr">
        <x:is>
          <x:t xml:space="preserve">No</x:t>
        </x:is>
      </x:c>
      <x:c r="R294" s="520" t="inlineStr">
        <x:is>
          <x:t xml:space="preserve">Yes</x:t>
        </x:is>
      </x:c>
      <x:c r="S294" s="520" t="inlineStr">
        <x:is>
          <x:t xml:space="preserve">No</x:t>
        </x:is>
      </x:c>
      <x:c r="T294" s="520" t="inlineStr">
        <x:is>
          <x:t xml:space="preserve">Yes</x:t>
        </x:is>
      </x:c>
      <x:c r="U294" s="520" t="inlineStr">
        <x:is>
          <x:t xml:space="preserve">Legal maps to 2; helper says 2, 5</x:t>
        </x:is>
      </x:c>
      <x:c r="V294" s="520" t="inlineStr">
        <x:is>
          <x:t xml:space="preserve">Review</x:t>
        </x:is>
      </x:c>
      <x:c r="W294" s="520" t="inlineStr">
        <x:is>
          <x:t xml:space="preserve">Review — no exact prior-grantee match</x:t>
        </x:is>
      </x:c>
      <x:c r="X294" s="520" t="inlineStr">
        <x:is>
          <x:t xml:space="preserve">Review</x:t>
        </x:is>
      </x:c>
      <x:c r="Y294" s="520" t="inlineStr">
        <x:is>
          <x:t xml:space="preserve">Interest amount needs review</x:t>
        </x:is>
      </x:c>
      <x:c r="Z294" s="520" t="inlineStr">
        <x:is>
          <x:t xml:space="preserve">Review</x:t>
        </x:is>
      </x:c>
      <x:c r="AA294" s="520" t="inlineStr">
        <x:is>
          <x:t xml:space="preserve">Oil and Gas Lease — Travis L. Smith to R. Michael Lortz (1764/128)</x:t>
        </x:is>
      </x:c>
      <x:c r="AB294" s="520" t="inlineStr">
        <x:is>
          <x:t xml:space="preserve">Needs source review: tract, grantor source, interest amount</x:t>
        </x:is>
      </x:c>
    </x:row>
    <x:row r="295" s="520" customFormat="1" ht="108" customHeight="1">
      <x:c r="A295" s="519" t="inlineStr">
        <x:is>
          <x:t xml:space="preserve">2004-005738</x:t>
        </x:is>
      </x:c>
      <x:c r="B295" s="536" t="n"/>
      <x:c r="C295" s="536" t="inlineStr">
        <x:is>
          <x:t xml:space="preserve">Mineral Deed</x:t>
        </x:is>
      </x:c>
      <x:c r="D295" s="536" t="inlineStr">
        <x:is>
          <x:t xml:space="preserve">1764/344</x:t>
        </x:is>
      </x:c>
      <x:c r="E295" s="537" t="n">
        <x:v>38260</x:v>
      </x:c>
      <x:c r="F295" s="537" t="n">
        <x:v>38274</x:v>
      </x:c>
      <x:c r="G295" s="538" t="inlineStr">
        <x:is>
          <x:t xml:space="preserve">Sandra Lorraine York</x:t>
        </x:is>
      </x:c>
      <x:c r="H295" s="538" t="inlineStr">
        <x:is>
          <x:t xml:space="preserve">Koala Production Company</x:t>
        </x:is>
      </x:c>
      <x:c r="I295" s="538" t="inlineStr">
        <x:is>
          <x:t xml:space="preserve">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x:t>
        </x:is>
      </x:c>
      <x:c r="J295" s="538" t="inlineStr">
        <x:is>
          <x:t xml:space="preserve">An undivided 10 acre mineral interest
Chain note: source of title — OGL / BASE LEASE 2004-000880 at 1737/580, Sandra Lorrain York
PO Box 34
Fort Cobb, OK 73038 to Kodiak Production Company, covering Lots 1 and 2, N/2 of Lot 3 of 31-12N-24W, interest stated: 92.0850 gross acres
3 years
3/16ths royalty. Confirm source instrument before relying on this conveyance.</x:t>
        </x:is>
      </x:c>
      <x:c r="K295" s="518" t="e">
        <x:f>HYPERLINK("https://okcountyrecords.com/detail/roger+mills/2004-005738","OKCountyRecords: 2004-005738")</x:f>
      </x:c>
      <x:c r="L295" s="519" t="inlineStr">
        <x:is>
          <x:t xml:space="preserve">Mineral; basis Conv Amt(dec). Gross=tract-map basis.</x:t>
        </x:is>
      </x:c>
      <x:c r="M295" s="519" t="inlineStr">
        <x:is>
          <x:t xml:space="preserve">REVIEW</x:t>
        </x:is>
      </x:c>
      <x:c r="N295" s="519" t="inlineStr">
        <x:is>
          <x:t xml:space="preserve">Denominator / tract allocation for 10 NMA from instrument image</x:t>
        </x:is>
      </x:c>
      <x:c r="O295" s="519" t="inlineStr">
        <x:is>
          <x:t xml:space="preserve">MINERAL DEED</x:t>
        </x:is>
      </x:c>
      <x:c r="P295" s="520" t="inlineStr">
        <x:is>
          <x:t xml:space="preserve">Chain — minerals</x:t>
        </x:is>
      </x:c>
      <x:c r="Q295" s="520" t="inlineStr">
        <x:is>
          <x:t xml:space="preserve">Yes</x:t>
        </x:is>
      </x:c>
      <x:c r="R295" s="520" t="inlineStr">
        <x:is>
          <x:t xml:space="preserve">No</x:t>
        </x:is>
      </x:c>
      <x:c r="S295" s="520" t="inlineStr">
        <x:is>
          <x:t xml:space="preserve">Yes</x:t>
        </x:is>
      </x:c>
      <x:c r="T295" s="520" t="inlineStr">
        <x:is>
          <x:t xml:space="preserve">No</x:t>
        </x:is>
      </x:c>
      <x:c r="U295" s="520" t="inlineStr">
        <x:is>
          <x:t xml:space="preserve">Legal maps to 5, 6, 8, 9; helper says 4, 5, 6</x:t>
        </x:is>
      </x:c>
      <x:c r="V295" s="520" t="inlineStr">
        <x:is>
          <x:t xml:space="preserve">Review</x:t>
        </x:is>
      </x:c>
      <x:c r="W295" s="520" t="inlineStr">
        <x:is>
          <x:t xml:space="preserve">Review — no exact prior-grantee match</x:t>
        </x:is>
      </x:c>
      <x:c r="X295" s="520" t="inlineStr">
        <x:is>
          <x:t xml:space="preserve">Yes — on Tract 4 owner list</x:t>
        </x:is>
      </x:c>
      <x:c r="Y295" s="520" t="inlineStr">
        <x:is>
          <x:t xml:space="preserve">Candidate 0.0357142857142857 (helper — confirm from image)</x:t>
        </x:is>
      </x:c>
      <x:c r="Z295" s="520" t="inlineStr">
        <x:is>
          <x:t xml:space="preserve">Medium — helper value</x:t>
        </x:is>
      </x:c>
      <x:c r="AA295" s="520" t="inlineStr">
        <x:is>
          <x:t xml:space="preserve">Mineral Deed — Sandra Lorraine York to Koala Production Company (1764/344)</x:t>
        </x:is>
      </x:c>
      <x:c r="AB295" s="520" t="inlineStr">
        <x:is>
          <x:t xml:space="preserve">Needs source review: tract, grantor source</x:t>
        </x:is>
      </x:c>
    </x:row>
    <x:row r="296" s="520" customFormat="1" ht="72" customHeight="1">
      <x:c r="A296" s="519" t="inlineStr">
        <x:is>
          <x:t xml:space="preserve">2004-005692</x:t>
        </x:is>
      </x:c>
      <x:c r="B296" s="536" t="n"/>
      <x:c r="C296" s="536" t="inlineStr">
        <x:is>
          <x:t xml:space="preserve">Assignment</x:t>
        </x:is>
      </x:c>
      <x:c r="D296" s="536" t="inlineStr">
        <x:is>
          <x:t xml:space="preserve">1764/133</x:t>
        </x:is>
      </x:c>
      <x:c r="E296" s="537" t="n">
        <x:v>38266</x:v>
      </x:c>
      <x:c r="F296" s="537" t="n">
        <x:v>38272</x:v>
      </x:c>
      <x:c r="G296" s="538" t="inlineStr">
        <x:is>
          <x:t xml:space="preserve">R. Michael Lortz</x:t>
        </x:is>
      </x:c>
      <x:c r="H296" s="538" t="inlineStr">
        <x:is>
          <x:t xml:space="preserve">Panhandle Royalty Company</x:t>
        </x:is>
      </x:c>
      <x:c r="I296" s="538" t="inlineStr">
        <x:is>
          <x:t xml:space="preserve">NW/4 SE/4, S/2 SE/4, SW/4 NE/4 of 31-12N-24W</x:t>
        </x:is>
      </x:c>
      <x:c r="J296" s="538" t="inlineStr">
        <x:is>
          <x:t xml:space="preserve">ARTI in OGLs at 1764/122, 1764/124, 1764/126, 1764/128
Assignor reserves unto himself, his heirs, successors and assigns an overriding royalty interest equal to the difference between existing lease burdens and twenty-one percent (21.00%) of all oil, gas, casinghead gas, and other hydrocarbons, produced, … Full recital in recorded instrument — see Link.</x:t>
        </x:is>
      </x:c>
      <x:c r="K296" s="518" t="e">
        <x:f>HYPERLINK("https://okcountyrecords.com/detail/roger+mills/2004-005692","OKCountyRecords: 2004-005692")</x:f>
      </x:c>
      <x:c r="L296" s="519" t="inlineStr">
        <x:is>
          <x:t xml:space="preserve">Leasehold (non-mineral; excluded from mineral NMA). Gross=tract-map basis.</x:t>
        </x:is>
      </x:c>
      <x:c r="M296" s="519" t="inlineStr">
        <x:is>
          <x:t xml:space="preserve">Confirm lease effect</x:t>
        </x:is>
      </x:c>
      <x:c r="N296" s="519" t="n"/>
      <x:c r="O296" s="519" t="inlineStr">
        <x:is>
          <x:t xml:space="preserve">LEASE ASSIGNMENT</x:t>
        </x:is>
      </x:c>
      <x:c r="P296" s="520" t="inlineStr">
        <x:is>
          <x:t xml:space="preserve">Chain — assignment (WI or minerals — read granting clause)</x:t>
        </x:is>
      </x:c>
      <x:c r="Q296" s="520" t="inlineStr">
        <x:is>
          <x:t xml:space="preserve">Review</x:t>
        </x:is>
      </x:c>
      <x:c r="R296" s="520" t="inlineStr">
        <x:is>
          <x:t xml:space="preserve">Yes</x:t>
        </x:is>
      </x:c>
      <x:c r="S296" s="520" t="inlineStr">
        <x:is>
          <x:t xml:space="preserve">Review</x:t>
        </x:is>
      </x:c>
      <x:c r="T296" s="520" t="inlineStr">
        <x:is>
          <x:t xml:space="preserve">Yes</x:t>
        </x:is>
      </x:c>
      <x:c r="U296" s="520" t="inlineStr">
        <x:is>
          <x:t xml:space="preserve">Yes: 2 (legal supports)</x:t>
        </x:is>
      </x:c>
      <x:c r="V296" s="520" t="inlineStr">
        <x:is>
          <x:t xml:space="preserve">High</x:t>
        </x:is>
      </x:c>
      <x:c r="W296" s="520" t="inlineStr">
        <x:is>
          <x:t xml:space="preserve">Yes — prior grantee match</x:t>
        </x:is>
      </x:c>
      <x:c r="X296" s="520" t="inlineStr">
        <x:is>
          <x:t xml:space="preserve">Review</x:t>
        </x:is>
      </x:c>
      <x:c r="Y296" s="520" t="inlineStr">
        <x:is>
          <x:t xml:space="preserve">Interest amount needs review</x:t>
        </x:is>
      </x:c>
      <x:c r="Z296" s="520" t="inlineStr">
        <x:is>
          <x:t xml:space="preserve">Review</x:t>
        </x:is>
      </x:c>
      <x:c r="AA296" s="520" t="inlineStr">
        <x:is>
          <x:t xml:space="preserve">Assignment — R. Michael Lortz to Panhandle Royalty Company (1764/133)</x:t>
        </x:is>
      </x:c>
      <x:c r="AB296" s="520" t="inlineStr">
        <x:is>
          <x:t xml:space="preserve">Needs source review: interest amount</x:t>
        </x:is>
      </x:c>
    </x:row>
    <x:row r="297" s="520" customFormat="1" ht="108" customHeight="1">
      <x:c r="A297" s="519" t="inlineStr">
        <x:is>
          <x:t xml:space="preserve">2004-005739</x:t>
        </x:is>
      </x:c>
      <x:c r="B297" s="536" t="n"/>
      <x:c r="C297" s="536" t="inlineStr">
        <x:is>
          <x:t xml:space="preserve">Mineral Deed</x:t>
        </x:is>
      </x:c>
      <x:c r="D297" s="536" t="inlineStr">
        <x:is>
          <x:t xml:space="preserve">1764/345</x:t>
        </x:is>
      </x:c>
      <x:c r="E297" s="537" t="n">
        <x:v>38267</x:v>
      </x:c>
      <x:c r="F297" s="537" t="n">
        <x:v>38274</x:v>
      </x:c>
      <x:c r="G297" s="538" t="inlineStr">
        <x:is>
          <x:t xml:space="preserve">Sandra Lorraine York</x:t>
        </x:is>
      </x:c>
      <x:c r="H297" s="538" t="inlineStr">
        <x:is>
          <x:t xml:space="preserve">Koala Production Company</x:t>
        </x:is>
      </x:c>
      <x:c r="I297" s="538" t="inlineStr">
        <x:is>
          <x:t xml:space="preserve">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x:t>
        </x:is>
      </x:c>
      <x:c r="J297" s="538" t="inlineStr">
        <x:is>
          <x:t xml:space="preserve">An undivided 5 acre mineral interest
Chain note: source of title — OGL / BASE LEASE 2004-000880 at 1737/580, Sandra Lorrain York
PO Box 34
Fort Cobb, OK 73038 to Kodiak Production Company, covering Lots 1 and 2, N/2 of Lot 3 of 31-12N-24W, interest stated: 92.0850 gross acres
3 years
3/16ths royalty. Confirm source instrument before relying on this conveyance.</x:t>
        </x:is>
      </x:c>
      <x:c r="K297" s="518" t="e">
        <x:f>HYPERLINK("https://okcountyrecords.com/detail/roger+mills/2004-005739","OKCountyRecords: 2004-005739")</x:f>
      </x:c>
      <x:c r="L297" s="519" t="inlineStr">
        <x:is>
          <x:t xml:space="preserve">Mineral; basis Conv Amt(dec). Gross=tract-map basis.</x:t>
        </x:is>
      </x:c>
      <x:c r="M297" s="519" t="inlineStr">
        <x:is>
          <x:t xml:space="preserve">REVIEW</x:t>
        </x:is>
      </x:c>
      <x:c r="N297" s="519" t="inlineStr">
        <x:is>
          <x:t xml:space="preserve">Denominator / tract allocation for 5 NMA from instrument image</x:t>
        </x:is>
      </x:c>
      <x:c r="O297" s="519" t="inlineStr">
        <x:is>
          <x:t xml:space="preserve">MINERAL DEED</x:t>
        </x:is>
      </x:c>
      <x:c r="P297" s="520" t="inlineStr">
        <x:is>
          <x:t xml:space="preserve">Chain — minerals</x:t>
        </x:is>
      </x:c>
      <x:c r="Q297" s="520" t="inlineStr">
        <x:is>
          <x:t xml:space="preserve">Yes</x:t>
        </x:is>
      </x:c>
      <x:c r="R297" s="520" t="inlineStr">
        <x:is>
          <x:t xml:space="preserve">No</x:t>
        </x:is>
      </x:c>
      <x:c r="S297" s="520" t="inlineStr">
        <x:is>
          <x:t xml:space="preserve">Yes</x:t>
        </x:is>
      </x:c>
      <x:c r="T297" s="520" t="inlineStr">
        <x:is>
          <x:t xml:space="preserve">No</x:t>
        </x:is>
      </x:c>
      <x:c r="U297" s="520" t="inlineStr">
        <x:is>
          <x:t xml:space="preserve">Legal maps to 5, 6, 8, 9; helper says 4, 5, 6</x:t>
        </x:is>
      </x:c>
      <x:c r="V297" s="520" t="inlineStr">
        <x:is>
          <x:t xml:space="preserve">Review</x:t>
        </x:is>
      </x:c>
      <x:c r="W297" s="520" t="inlineStr">
        <x:is>
          <x:t xml:space="preserve">Review — no exact prior-grantee match</x:t>
        </x:is>
      </x:c>
      <x:c r="X297" s="520" t="inlineStr">
        <x:is>
          <x:t xml:space="preserve">Yes — on Tract 4 owner list</x:t>
        </x:is>
      </x:c>
      <x:c r="Y297" s="520" t="inlineStr">
        <x:is>
          <x:t xml:space="preserve">Candidate 0.0178571428571429 (helper — confirm from image)</x:t>
        </x:is>
      </x:c>
      <x:c r="Z297" s="520" t="inlineStr">
        <x:is>
          <x:t xml:space="preserve">Medium — helper value</x:t>
        </x:is>
      </x:c>
      <x:c r="AA297" s="520" t="inlineStr">
        <x:is>
          <x:t xml:space="preserve">Mineral Deed — Sandra Lorraine York to Koala Production Company (1764/345)</x:t>
        </x:is>
      </x:c>
      <x:c r="AB297" s="520" t="inlineStr">
        <x:is>
          <x:t xml:space="preserve">Needs source review: tract, grantor source</x:t>
        </x:is>
      </x:c>
    </x:row>
    <x:row r="298" s="520" customFormat="1" ht="48" customHeight="1">
      <x:c r="A298" s="519" t="inlineStr">
        <x:is>
          <x:t xml:space="preserve">2004-005901</x:t>
        </x:is>
      </x:c>
      <x:c r="B298" s="536" t="n"/>
      <x:c r="C298" s="536" t="inlineStr">
        <x:is>
          <x:t xml:space="preserve">Mineral Deed</x:t>
        </x:is>
      </x:c>
      <x:c r="D298" s="536" t="inlineStr">
        <x:is>
          <x:t xml:space="preserve">1765/306</x:t>
        </x:is>
      </x:c>
      <x:c r="E298" s="537" t="n">
        <x:v>38275</x:v>
      </x:c>
      <x:c r="F298" s="537" t="n">
        <x:v>38281</x:v>
      </x:c>
      <x:c r="G298" s="538" t="inlineStr">
        <x:is>
          <x:t xml:space="preserve">Aspen Energy Group, Inc.</x:t>
        </x:is>
      </x:c>
      <x:c r="H298" s="538" t="inlineStr">
        <x:is>
          <x:t xml:space="preserve">Crusader Energy Corporation</x:t>
        </x:is>
      </x:c>
      <x:c r="I298" s="538" t="inlineStr">
        <x:is>
          <x:t xml:space="preserve">E/2 NW/4, N/2 NE/4 SW/4, NE/4 SE/4, SE/4 NE/4 of 31-12N-24W, aol</x:t>
        </x:is>
      </x:c>
      <x:c r="J298" s="538" t="inlineStr">
        <x:is>
          <x:t xml:space="preserve">ARTI</x:t>
        </x:is>
      </x:c>
      <x:c r="K298" s="518" t="e">
        <x:f>HYPERLINK("https://okcountyrecords.com/detail/roger+mills/2004-005901","OKCountyRecords: 2004-005901")</x:f>
      </x:c>
      <x:c r="L298" s="519" t="inlineStr">
        <x:is>
          <x:t xml:space="preserve">Mineral; basis Conv Amt(dec). Gross=tract-map basis.</x:t>
        </x:is>
      </x:c>
      <x:c r="M298" s="519" t="inlineStr">
        <x:is>
          <x:t xml:space="preserve">CURRENT OWNER SOURCE</x:t>
        </x:is>
      </x:c>
      <x:c r="N298" s="519" t="n"/>
      <x:c r="O298" s="519" t="inlineStr">
        <x:is>
          <x:t xml:space="preserve">OUTSIDE LANDS</x:t>
        </x:is>
      </x:c>
      <x:c r="P298" s="520" t="inlineStr">
        <x:is>
          <x:t xml:space="preserve">Chain — minerals</x:t>
        </x:is>
      </x:c>
      <x:c r="Q298" s="520" t="inlineStr">
        <x:is>
          <x:t xml:space="preserve">Yes</x:t>
        </x:is>
      </x:c>
      <x:c r="R298" s="520" t="inlineStr">
        <x:is>
          <x:t xml:space="preserve">No</x:t>
        </x:is>
      </x:c>
      <x:c r="S298" s="520" t="inlineStr">
        <x:is>
          <x:t xml:space="preserve">Yes</x:t>
        </x:is>
      </x:c>
      <x:c r="T298" s="520" t="inlineStr">
        <x:is>
          <x:t xml:space="preserve">No</x:t>
        </x:is>
      </x:c>
      <x:c r="U298" s="520" t="inlineStr">
        <x:is>
          <x:t xml:space="preserve">Legal maps to 1, 3, 4, 7, 10; helper says 1, 3, 4, 7, 8</x:t>
        </x:is>
      </x:c>
      <x:c r="V298" s="520" t="inlineStr">
        <x:is>
          <x:t xml:space="preserve">Review</x:t>
        </x:is>
      </x:c>
      <x:c r="W298" s="520" t="inlineStr">
        <x:is>
          <x:t xml:space="preserve">Probable — name-normalized match to Runsheet 105 grantee; confirm</x:t>
        </x:is>
      </x:c>
      <x:c r="X298" s="520" t="inlineStr">
        <x:is>
          <x:t xml:space="preserve">Yes — on Tract 3 owner list</x:t>
        </x:is>
      </x:c>
      <x:c r="Y298" s="520" t="inlineStr">
        <x:is>
          <x:t xml:space="preserve">Candidate 1 (helper — confirm from image)</x:t>
        </x:is>
      </x:c>
      <x:c r="Z298" s="520" t="inlineStr">
        <x:is>
          <x:t xml:space="preserve">Medium — helper value</x:t>
        </x:is>
      </x:c>
      <x:c r="AA298" s="520" t="inlineStr">
        <x:is>
          <x:t xml:space="preserve">Mineral Deed — Aspen Energy Group, Inc. to Crusader Energy Corporation (1765/306)</x:t>
        </x:is>
      </x:c>
      <x:c r="AB298" s="520" t="inlineStr">
        <x:is>
          <x:t xml:space="preserve">Needs source review: tract, grantor source</x:t>
        </x:is>
      </x:c>
    </x:row>
    <x:row r="299" s="520" customFormat="1" ht="108" customHeight="1">
      <x:c r="A299" s="519" t="inlineStr">
        <x:is>
          <x:t xml:space="preserve">2008-006536</x:t>
        </x:is>
      </x:c>
      <x:c r="B299" s="536" t="n"/>
      <x:c r="C299" s="536" t="inlineStr">
        <x:is>
          <x:t xml:space="preserve">Mineral Deed</x:t>
        </x:is>
      </x:c>
      <x:c r="D299" s="536" t="inlineStr">
        <x:is>
          <x:t xml:space="preserve">1937/418</x:t>
        </x:is>
      </x:c>
      <x:c r="E299" s="537" t="n">
        <x:v>38286</x:v>
      </x:c>
      <x:c r="F299" s="537" t="n">
        <x:v>39748</x:v>
      </x:c>
      <x:c r="G299" s="538" t="inlineStr">
        <x:is>
          <x:t xml:space="preserve">Koala Production Company</x:t>
        </x:is>
      </x:c>
      <x:c r="H299" s="538" t="inlineStr">
        <x:is>
          <x:t xml:space="preserve">Fleshman Agency, Inc.</x:t>
        </x:is>
      </x:c>
      <x:c r="I299" s="538" t="inlineStr">
        <x:is>
          <x:t xml:space="preserve">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x:t>
        </x:is>
      </x:c>
      <x:c r="J299" s="538" t="inlineStr">
        <x:is>
          <x:t xml:space="preserve">An undivided 5 acre mineral interest</x:t>
        </x:is>
      </x:c>
      <x:c r="K299" s="518" t="e">
        <x:f>HYPERLINK("https://okcountyrecords.com/detail/roger+mills/2008-006536","OKCountyRecords: 2008-006536")</x:f>
      </x:c>
      <x:c r="L299" s="519" t="inlineStr">
        <x:is>
          <x:t xml:space="preserve">Mineral; basis Conv Amt(dec). Gross=tract-map basis.</x:t>
        </x:is>
      </x:c>
      <x:c r="M299" s="519" t="inlineStr">
        <x:is>
          <x:t xml:space="preserve">REVIEW</x:t>
        </x:is>
      </x:c>
      <x:c r="N299" s="519" t="inlineStr">
        <x:is>
          <x:t xml:space="preserve">Denominator / tract allocation for 5 NMA from instrument image</x:t>
        </x:is>
      </x:c>
      <x:c r="O299" s="519" t="inlineStr">
        <x:is>
          <x:t xml:space="preserve">MINERAL DEED</x:t>
        </x:is>
      </x:c>
      <x:c r="P299" s="520" t="inlineStr">
        <x:is>
          <x:t xml:space="preserve">Chain — minerals</x:t>
        </x:is>
      </x:c>
      <x:c r="Q299" s="520" t="inlineStr">
        <x:is>
          <x:t xml:space="preserve">Yes</x:t>
        </x:is>
      </x:c>
      <x:c r="R299" s="520" t="inlineStr">
        <x:is>
          <x:t xml:space="preserve">No</x:t>
        </x:is>
      </x:c>
      <x:c r="S299" s="520" t="inlineStr">
        <x:is>
          <x:t xml:space="preserve">Yes</x:t>
        </x:is>
      </x:c>
      <x:c r="T299" s="520" t="inlineStr">
        <x:is>
          <x:t xml:space="preserve">No</x:t>
        </x:is>
      </x:c>
      <x:c r="U299" s="520" t="inlineStr">
        <x:is>
          <x:t xml:space="preserve">Legal maps to 5, 6, 8, 9; helper says 4, 5, 6</x:t>
        </x:is>
      </x:c>
      <x:c r="V299" s="520" t="inlineStr">
        <x:is>
          <x:t xml:space="preserve">Review</x:t>
        </x:is>
      </x:c>
      <x:c r="W299" s="520" t="inlineStr">
        <x:is>
          <x:t xml:space="preserve">Yes — prior grantee match</x:t>
        </x:is>
      </x:c>
      <x:c r="X299" s="520" t="inlineStr">
        <x:is>
          <x:t xml:space="preserve">Yes — on Tract 4 owner list</x:t>
        </x:is>
      </x:c>
      <x:c r="Y299" s="520" t="inlineStr">
        <x:is>
          <x:t xml:space="preserve">Candidate 0.0178571428571429 (helper — confirm from image)</x:t>
        </x:is>
      </x:c>
      <x:c r="Z299" s="520" t="inlineStr">
        <x:is>
          <x:t xml:space="preserve">Medium — helper value</x:t>
        </x:is>
      </x:c>
      <x:c r="AA299" s="520" t="inlineStr">
        <x:is>
          <x:t xml:space="preserve">Mineral Deed — Koala Production Company to Fleshman Agency, Inc. (1937/418)</x:t>
        </x:is>
      </x:c>
      <x:c r="AB299" s="520" t="inlineStr">
        <x:is>
          <x:t xml:space="preserve">Needs source review: tract</x:t>
        </x:is>
      </x:c>
    </x:row>
    <x:row r="300" s="520" customFormat="1" ht="96" customHeight="1">
      <x:c r="A300" s="519" t="inlineStr">
        <x:is>
          <x:t xml:space="preserve">2004-006577</x:t>
        </x:is>
      </x:c>
      <x:c r="B300" s="536" t="n"/>
      <x:c r="C300" s="536" t="inlineStr">
        <x:is>
          <x:t xml:space="preserve">Mineral Deed</x:t>
        </x:is>
      </x:c>
      <x:c r="D300" s="536" t="inlineStr">
        <x:is>
          <x:t xml:space="preserve">1768/339</x:t>
        </x:is>
      </x:c>
      <x:c r="E300" s="537" t="n">
        <x:v>38292</x:v>
      </x:c>
      <x:c r="F300" s="537" t="n">
        <x:v>38308</x:v>
      </x:c>
      <x:c r="G300" s="538" t="inlineStr">
        <x:is>
          <x:t xml:space="preserve">Sandra York, aka Sandra Lorraine York, aka Sandra Lorrain York, Individually and as heir of Virgil Hambrook</x:t>
        </x:is>
      </x:c>
      <x:c r="H300" s="538" t="inlineStr">
        <x:is>
          <x:t xml:space="preserve">Arrowhead Resources, Inc.</x:t>
        </x:is>
      </x:c>
      <x:c r="I300" s="538" t="inlineStr">
        <x:is>
          <x:t xml:space="preserve">Lots 1 and 2 also described as the W/2 NW/4 and the N/2 of Lot 3 of 31-12N-24W</x:t>
        </x:is>
      </x:c>
      <x:c r="J300" s="538" t="inlineStr">
        <x:is>
          <x:t xml:space="preserve">ARTI
Chain note: source of title — OGL / BASE LEASE 2004-000880 at 1737/580, Sandra Lorrain York
PO Box 34
Fort Cobb, OK 73038 to Kodiak Production Company, covering Lots 1 and 2, N/2 of Lot 3 of 31-12N-24W, interest stated: 92.0850 gross acres
3 years
3/16ths royalty. Confirm source instrument before relying on this conveyance.</x:t>
        </x:is>
      </x:c>
      <x:c r="K300" s="518" t="e">
        <x:f>HYPERLINK("https://okcountyrecords.com/detail/roger+mills/2004-006577","OKCountyRecords: 2004-006577")</x:f>
      </x:c>
      <x:c r="L300" s="519" t="inlineStr">
        <x:is>
          <x:t xml:space="preserve">Mineral; basis Conv Amt(dec). Gross=tract-map basis.</x:t>
        </x:is>
      </x:c>
      <x:c r="M300" s="519" t="inlineStr">
        <x:is>
          <x:t xml:space="preserve">CURRENT OWNER SOURCE</x:t>
        </x:is>
      </x:c>
      <x:c r="N300" s="519" t="n"/>
      <x:c r="O300" s="519" t="inlineStr">
        <x:is>
          <x:t xml:space="preserve">MINERAL DEED</x:t>
        </x:is>
      </x:c>
      <x:c r="P300" s="520" t="inlineStr">
        <x:is>
          <x:t xml:space="preserve">Chain — minerals</x:t>
        </x:is>
      </x:c>
      <x:c r="Q300" s="520" t="inlineStr">
        <x:is>
          <x:t xml:space="preserve">Yes</x:t>
        </x:is>
      </x:c>
      <x:c r="R300" s="520" t="inlineStr">
        <x:is>
          <x:t xml:space="preserve">No</x:t>
        </x:is>
      </x:c>
      <x:c r="S300" s="520" t="inlineStr">
        <x:is>
          <x:t xml:space="preserve">Yes</x:t>
        </x:is>
      </x:c>
      <x:c r="T300" s="520" t="inlineStr">
        <x:is>
          <x:t xml:space="preserve">No</x:t>
        </x:is>
      </x:c>
      <x:c r="U300" s="520" t="inlineStr">
        <x:is>
          <x:t xml:space="preserve">Yes: 5, 6 (legal supports)</x:t>
        </x:is>
      </x:c>
      <x:c r="V300" s="520" t="inlineStr">
        <x:is>
          <x:t xml:space="preserve">High</x:t>
        </x:is>
      </x:c>
      <x:c r="W300" s="520" t="inlineStr">
        <x:is>
          <x:t xml:space="preserve">Probable — name-normalized match to Runsheet 74 grantee; confirm</x:t>
        </x:is>
      </x:c>
      <x:c r="X300" s="520" t="inlineStr">
        <x:is>
          <x:t xml:space="preserve">Yes — on Tract 5 owner list</x:t>
        </x:is>
      </x:c>
      <x:c r="Y300" s="520" t="inlineStr">
        <x:is>
          <x:t xml:space="preserve">Candidate 1 (helper — confirm from image)</x:t>
        </x:is>
      </x:c>
      <x:c r="Z300" s="520" t="inlineStr">
        <x:is>
          <x:t xml:space="preserve">Medium — helper value</x:t>
        </x:is>
      </x:c>
      <x:c r="AA300" s="520" t="inlineStr">
        <x:is>
          <x:t xml:space="preserve">Mineral Deed — Sandra York, aka Sandra Lorrai to Arrowhead Resources, Inc. (1768/339)</x:t>
        </x:is>
      </x:c>
      <x:c r="AB300" s="520" t="inlineStr">
        <x:is>
          <x:t xml:space="preserve">Needs source review: grantor source</x:t>
        </x:is>
      </x:c>
    </x:row>
    <x:row r="301" s="520" customFormat="1" ht="72" customHeight="1">
      <x:c r="A301" s="519" t="inlineStr">
        <x:is>
          <x:t xml:space="preserve">2005-000347</x:t>
        </x:is>
      </x:c>
      <x:c r="B301" s="536" t="n"/>
      <x:c r="C301" s="536" t="inlineStr">
        <x:is>
          <x:t xml:space="preserve">Blanket Deed and Conveyance</x:t>
        </x:is>
      </x:c>
      <x:c r="D301" s="536" t="inlineStr">
        <x:is>
          <x:t xml:space="preserve">1775/296</x:t>
        </x:is>
      </x:c>
      <x:c r="E301" s="537" t="n">
        <x:v>38338</x:v>
      </x:c>
      <x:c r="F301" s="537" t="n">
        <x:v>38376</x:v>
      </x:c>
      <x:c r="G301" s="538" t="inlineStr">
        <x:is>
          <x:t xml:space="preserve">The Estate of Barbara Fasken, by Robert Dickson and Norbert J. Dickman, Co-Personal Representatives</x:t>
        </x:is>
      </x:c>
      <x:c r="H301" s="538" t="inlineStr">
        <x:is>
          <x:t xml:space="preserve">Fasken Land and Minerals, Ltd.</x:t>
        </x:is>
      </x:c>
      <x:c r="I301" s="538" t="inlineStr">
        <x:is>
          <x:t xml:space="preserve">Lot 1, 2, N/2 of 3, NW/4 SE/4, S/2 SE/4, SW/4 NE/4 of 31-12N-24W, aol</x:t>
        </x:is>
      </x:c>
      <x:c r="J301" s="538" t="inlineStr">
        <x:is>
          <x:t xml:space="preserve">ARTI</x:t>
        </x:is>
      </x:c>
      <x:c r="K301" s="518" t="e">
        <x:f>HYPERLINK("https://okcountyrecords.com/detail/roger+mills/2005-000347","OKCountyRecords: 2005-000347")</x:f>
      </x:c>
      <x:c r="L301" s="519" t="inlineStr">
        <x:is>
          <x:t xml:space="preserve">Mineral; basis Conv Amt(dec). Gross=tract-map basis.</x:t>
        </x:is>
      </x:c>
      <x:c r="M301" s="519" t="inlineStr">
        <x:is>
          <x:t xml:space="preserve">CURRENT OWNER SOURCE</x:t>
        </x:is>
      </x:c>
      <x:c r="N301" s="519" t="n"/>
      <x:c r="O301" s="519" t="inlineStr">
        <x:is>
          <x:t xml:space="preserve">OUTSIDE LANDS</x:t>
        </x:is>
      </x:c>
      <x:c r="P301" s="520" t="inlineStr">
        <x:is>
          <x:t xml:space="preserve">Chain — deed (confirm minerals vs surface from instrument)</x:t>
        </x:is>
      </x:c>
      <x:c r="Q301" s="520" t="inlineStr">
        <x:is>
          <x:t xml:space="preserve">Yes</x:t>
        </x:is>
      </x:c>
      <x:c r="R301" s="520" t="inlineStr">
        <x:is>
          <x:t xml:space="preserve">No</x:t>
        </x:is>
      </x:c>
      <x:c r="S301" s="520" t="inlineStr">
        <x:is>
          <x:t xml:space="preserve">Review</x:t>
        </x:is>
      </x:c>
      <x:c r="T301" s="520" t="inlineStr">
        <x:is>
          <x:t xml:space="preserve">No</x:t>
        </x:is>
      </x:c>
      <x:c r="U301" s="520" t="inlineStr">
        <x:is>
          <x:t xml:space="preserve">Yes: 2, 5 (legal supports)</x:t>
        </x:is>
      </x:c>
      <x:c r="V301" s="520" t="inlineStr">
        <x:is>
          <x:t xml:space="preserve">High</x:t>
        </x:is>
      </x:c>
      <x:c r="W301" s="520" t="inlineStr">
        <x:is>
          <x:t xml:space="preserve">Review — no exact prior-grantee match</x:t>
        </x:is>
      </x:c>
      <x:c r="X301" s="520" t="inlineStr">
        <x:is>
          <x:t xml:space="preserve">Yes — on Tract 5 owner list</x:t>
        </x:is>
      </x:c>
      <x:c r="Y301" s="520" t="inlineStr">
        <x:is>
          <x:t xml:space="preserve">Candidate 1 (helper — confirm from image)</x:t>
        </x:is>
      </x:c>
      <x:c r="Z301" s="520" t="inlineStr">
        <x:is>
          <x:t xml:space="preserve">Medium — helper value</x:t>
        </x:is>
      </x:c>
      <x:c r="AA301" s="520" t="inlineStr">
        <x:is>
          <x:t xml:space="preserve">Blanket Deed and Conveyance — The Estate of Barbara Fasken, to Fasken Land and Minerals, Ltd. (1775/296)</x:t>
        </x:is>
      </x:c>
      <x:c r="AB301" s="520" t="inlineStr">
        <x:is>
          <x:t xml:space="preserve">Needs source review: grantor source</x:t>
        </x:is>
      </x:c>
    </x:row>
    <x:row r="302" s="520" customFormat="1" ht="36" customHeight="1">
      <x:c r="A302" s="519" t="inlineStr">
        <x:is>
          <x:t xml:space="preserve">2005-000158</x:t>
        </x:is>
      </x:c>
      <x:c r="B302" s="536" t="n"/>
      <x:c r="C302" s="536" t="inlineStr">
        <x:is>
          <x:t xml:space="preserve">Mineral Deed</x:t>
        </x:is>
      </x:c>
      <x:c r="D302" s="536" t="inlineStr">
        <x:is>
          <x:t xml:space="preserve">1774/309</x:t>
        </x:is>
      </x:c>
      <x:c r="E302" s="537" t="n">
        <x:v>38362</x:v>
      </x:c>
      <x:c r="F302" s="537" t="n">
        <x:v>38365</x:v>
      </x:c>
      <x:c r="G302" s="538" t="inlineStr">
        <x:is>
          <x:t xml:space="preserve">Minion Investment Co,
Brian L. Rice</x:t>
        </x:is>
      </x:c>
      <x:c r="H302" s="538" t="inlineStr">
        <x:is>
          <x:t xml:space="preserve">Prism Energy, Inc.</x:t>
        </x:is>
      </x:c>
      <x:c r="I302" s="538" t="inlineStr">
        <x:is>
          <x:t xml:space="preserve">E/2 NW/4, N/2 NE/4 SW/4, NE/4 SE/4, SE/4 NE/4 of 31-12N-24W, aol</x:t>
        </x:is>
      </x:c>
      <x:c r="J302" s="538" t="inlineStr">
        <x:is>
          <x:t xml:space="preserve">ARTI (.69 net acre interest in 31-12N-24W)</x:t>
        </x:is>
      </x:c>
      <x:c r="K302" s="518" t="e">
        <x:f>HYPERLINK("https://okcountyrecords.com/detail/roger+mills/2005-000158","OKCountyRecords: 2005-000158")</x:f>
      </x:c>
      <x:c r="L302" s="519" t="inlineStr">
        <x:is>
          <x:t xml:space="preserve">Mineral; basis Conv Amt(dec). Gross=tract-map basis.</x:t>
        </x:is>
      </x:c>
      <x:c r="M302" s="519" t="inlineStr">
        <x:is>
          <x:t xml:space="preserve">CURRENT OWNER SOURCE</x:t>
        </x:is>
      </x:c>
      <x:c r="N302" s="519" t="n"/>
      <x:c r="O302" s="519" t="inlineStr">
        <x:is>
          <x:t xml:space="preserve">OUTSIDE LANDS</x:t>
        </x:is>
      </x:c>
      <x:c r="P302" s="520" t="inlineStr">
        <x:is>
          <x:t xml:space="preserve">Chain — minerals</x:t>
        </x:is>
      </x:c>
      <x:c r="Q302" s="520" t="inlineStr">
        <x:is>
          <x:t xml:space="preserve">Yes</x:t>
        </x:is>
      </x:c>
      <x:c r="R302" s="520" t="inlineStr">
        <x:is>
          <x:t xml:space="preserve">No</x:t>
        </x:is>
      </x:c>
      <x:c r="S302" s="520" t="inlineStr">
        <x:is>
          <x:t xml:space="preserve">Yes</x:t>
        </x:is>
      </x:c>
      <x:c r="T302" s="520" t="inlineStr">
        <x:is>
          <x:t xml:space="preserve">No</x:t>
        </x:is>
      </x:c>
      <x:c r="U302" s="520" t="inlineStr">
        <x:is>
          <x:t xml:space="preserve">Legal maps to 1, 3, 4, 7, 10; helper says 1, 3, 4, 7, 8</x:t>
        </x:is>
      </x:c>
      <x:c r="V302" s="520" t="inlineStr">
        <x:is>
          <x:t xml:space="preserve">Review</x:t>
        </x:is>
      </x:c>
      <x:c r="W302" s="520" t="inlineStr">
        <x:is>
          <x:t xml:space="preserve">Review — no exact prior-grantee match</x:t>
        </x:is>
      </x:c>
      <x:c r="X302" s="520" t="inlineStr">
        <x:is>
          <x:t xml:space="preserve">Yes — on Tract 3 owner list</x:t>
        </x:is>
      </x:c>
      <x:c r="Y302" s="520" t="inlineStr">
        <x:is>
          <x:t xml:space="preserve">Candidate 1 (helper — confirm from image)</x:t>
        </x:is>
      </x:c>
      <x:c r="Z302" s="520" t="inlineStr">
        <x:is>
          <x:t xml:space="preserve">Medium — helper value</x:t>
        </x:is>
      </x:c>
      <x:c r="AA302" s="520" t="inlineStr">
        <x:is>
          <x:t xml:space="preserve">Mineral Deed — Minion Investment Co, to Prism Energy, Inc. (1774/309)</x:t>
        </x:is>
      </x:c>
      <x:c r="AB302" s="520" t="inlineStr">
        <x:is>
          <x:t xml:space="preserve">Needs source review: tract, grantor source</x:t>
        </x:is>
      </x:c>
    </x:row>
    <x:row r="303" s="520" customFormat="1" ht="84" customHeight="1">
      <x:c r="A303" s="519" t="inlineStr">
        <x:is>
          <x:t xml:space="preserve">2005-001365</x:t>
        </x:is>
      </x:c>
      <x:c r="B303" s="536" t="n">
        <x:v>13</x:v>
      </x:c>
      <x:c r="C303" s="536" t="inlineStr">
        <x:is>
          <x:t xml:space="preserve">Oil and Gas Lease</x:t>
        </x:is>
      </x:c>
      <x:c r="D303" s="536" t="inlineStr">
        <x:is>
          <x:t xml:space="preserve">1780/409</x:t>
        </x:is>
      </x:c>
      <x:c r="E303" s="537" t="n">
        <x:v>38407</x:v>
      </x:c>
      <x:c r="F303" s="537" t="n">
        <x:v>38420</x:v>
      </x:c>
      <x:c r="G303" s="538" t="inlineStr">
        <x:is>
          <x:t xml:space="preserve">Jesse W. Fuchs, a single person
13053 Maguire Road
Noble, OK 73068</x:t>
        </x:is>
      </x:c>
      <x:c r="H303" s="538" t="inlineStr">
        <x:is>
          <x:t xml:space="preserve">N/G Discovery, LLC</x:t>
        </x:is>
      </x:c>
      <x:c r="I303" s="538" t="inlineStr">
        <x:is>
          <x:t xml:space="preserve">NW/4 SE/4, S/2 SE/4, SW/4 NE/4 of 31-12N-24W</x:t>
        </x:is>
      </x:c>
      <x:c r="J303" s="538" t="inlineStr">
        <x:is>
          <x:t xml:space="preserve">160 gross acres
2 yrs
1/4th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x:t>
        </x:is>
      </x:c>
      <x:c r="K303" s="518" t="e">
        <x:f>HYPERLINK("https://okcountyrecords.com/detail/roger+mills/2005-001365","OKCountyRecords: 2005-001365")</x:f>
      </x:c>
      <x:c r="L303" s="519" t="inlineStr">
        <x:is>
          <x:t xml:space="preserve">Leasehold (non-mineral; excluded from mineral NMA). Gross=tract-map basis.</x:t>
        </x:is>
      </x:c>
      <x:c r="M303" s="519" t="inlineStr">
        <x:is>
          <x:t xml:space="preserve">CURRENT LEASE SOURCE</x:t>
        </x:is>
      </x:c>
      <x:c r="N303" s="519" t="n"/>
      <x:c r="O303" s="519" t="inlineStr">
        <x:is>
          <x:t xml:space="preserve">RELEASE</x:t>
        </x:is>
      </x:c>
      <x:c r="P303" s="520" t="inlineStr">
        <x:is>
          <x:t xml:space="preserve">Chain — leasehold (OGL)</x:t>
        </x:is>
      </x:c>
      <x:c r="Q303" s="520" t="inlineStr">
        <x:is>
          <x:t xml:space="preserve">No</x:t>
        </x:is>
      </x:c>
      <x:c r="R303" s="520" t="inlineStr">
        <x:is>
          <x:t xml:space="preserve">Yes</x:t>
        </x:is>
      </x:c>
      <x:c r="S303" s="520" t="inlineStr">
        <x:is>
          <x:t xml:space="preserve">No</x:t>
        </x:is>
      </x:c>
      <x:c r="T303" s="520" t="inlineStr">
        <x:is>
          <x:t xml:space="preserve">Yes</x:t>
        </x:is>
      </x:c>
      <x:c r="U303" s="520" t="inlineStr">
        <x:is>
          <x:t xml:space="preserve">Yes: 2 (legal supports)</x:t>
        </x:is>
      </x:c>
      <x:c r="V303" s="520" t="inlineStr">
        <x:is>
          <x:t xml:space="preserve">High</x:t>
        </x:is>
      </x:c>
      <x:c r="W303" s="520" t="inlineStr">
        <x:is>
          <x:t xml:space="preserve">Review — no exact prior-grantee match</x:t>
        </x:is>
      </x:c>
      <x:c r="X303" s="520" t="inlineStr">
        <x:is>
          <x:t xml:space="preserve">Review</x:t>
        </x:is>
      </x:c>
      <x:c r="Y303" s="520" t="inlineStr">
        <x:is>
          <x:t xml:space="preserve">Interest amount needs review</x:t>
        </x:is>
      </x:c>
      <x:c r="Z303" s="520" t="inlineStr">
        <x:is>
          <x:t xml:space="preserve">Review</x:t>
        </x:is>
      </x:c>
      <x:c r="AA303" s="520" t="inlineStr">
        <x:is>
          <x:t xml:space="preserve">Oil and Gas Lease — Jesse W. Fuchs, a single perso to N/G Discovery, LLC (1780/409)</x:t>
        </x:is>
      </x:c>
      <x:c r="AB303" s="520" t="inlineStr">
        <x:is>
          <x:t xml:space="preserve">Needs source review: grantor source, interest amount</x:t>
        </x:is>
      </x:c>
    </x:row>
    <x:row r="304" s="520" customFormat="1" ht="84" customHeight="1">
      <x:c r="A304" s="519" t="inlineStr">
        <x:is>
          <x:t xml:space="preserve">2005-001688</x:t>
        </x:is>
      </x:c>
      <x:c r="B304" s="536" t="n">
        <x:v>14</x:v>
      </x:c>
      <x:c r="C304" s="536" t="inlineStr">
        <x:is>
          <x:t xml:space="preserve">Oil and Gas Lease</x:t>
        </x:is>
      </x:c>
      <x:c r="D304" s="536" t="inlineStr">
        <x:is>
          <x:t xml:space="preserve">1782/261</x:t>
        </x:is>
      </x:c>
      <x:c r="E304" s="537" t="n">
        <x:v>38408</x:v>
      </x:c>
      <x:c r="F304" s="537" t="n">
        <x:v>38432</x:v>
      </x:c>
      <x:c r="G304" s="538" t="inlineStr">
        <x:is>
          <x:t xml:space="preserve">Isa May Smith, a married woman dealing in her sole separate property
Route 1, Box 233
Macomb, OK 74852</x:t>
        </x:is>
      </x:c>
      <x:c r="H304" s="538" t="inlineStr">
        <x:is>
          <x:t xml:space="preserve">N/G Discovery, LLC</x:t>
        </x:is>
      </x:c>
      <x:c r="I304" s="538" t="inlineStr">
        <x:is>
          <x:t xml:space="preserve">NW/4 SE/4, S/2 SE/4, SW/4 NE/4 of 31-12N-24W</x:t>
        </x:is>
      </x:c>
      <x:c r="J304" s="538" t="inlineStr">
        <x:is>
          <x:t xml:space="preserve">160 gross acres
2 yrs
1/4th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x:t>
        </x:is>
      </x:c>
      <x:c r="K304" s="518" t="e">
        <x:f>HYPERLINK("https://okcountyrecords.com/detail/roger+mills/2005-001688","OKCountyRecords: 2005-001688")</x:f>
      </x:c>
      <x:c r="L304" s="519" t="inlineStr">
        <x:is>
          <x:t xml:space="preserve">Leasehold (non-mineral; excluded from mineral NMA). Gross=tract-map basis.</x:t>
        </x:is>
      </x:c>
      <x:c r="M304" s="519" t="inlineStr">
        <x:is>
          <x:t xml:space="preserve">CURRENT LEASE SOURCE</x:t>
        </x:is>
      </x:c>
      <x:c r="N304" s="519" t="n"/>
      <x:c r="O304" s="519" t="inlineStr">
        <x:is>
          <x:t xml:space="preserve">RELEASE</x:t>
        </x:is>
      </x:c>
      <x:c r="P304" s="520" t="inlineStr">
        <x:is>
          <x:t xml:space="preserve">Chain — leasehold (OGL)</x:t>
        </x:is>
      </x:c>
      <x:c r="Q304" s="520" t="inlineStr">
        <x:is>
          <x:t xml:space="preserve">No</x:t>
        </x:is>
      </x:c>
      <x:c r="R304" s="520" t="inlineStr">
        <x:is>
          <x:t xml:space="preserve">Yes</x:t>
        </x:is>
      </x:c>
      <x:c r="S304" s="520" t="inlineStr">
        <x:is>
          <x:t xml:space="preserve">No</x:t>
        </x:is>
      </x:c>
      <x:c r="T304" s="520" t="inlineStr">
        <x:is>
          <x:t xml:space="preserve">Yes</x:t>
        </x:is>
      </x:c>
      <x:c r="U304" s="520" t="inlineStr">
        <x:is>
          <x:t xml:space="preserve">Yes: 2 (legal supports)</x:t>
        </x:is>
      </x:c>
      <x:c r="V304" s="520" t="inlineStr">
        <x:is>
          <x:t xml:space="preserve">High</x:t>
        </x:is>
      </x:c>
      <x:c r="W304" s="520" t="inlineStr">
        <x:is>
          <x:t xml:space="preserve">Review — no exact prior-grantee match</x:t>
        </x:is>
      </x:c>
      <x:c r="X304" s="520" t="inlineStr">
        <x:is>
          <x:t xml:space="preserve">Review</x:t>
        </x:is>
      </x:c>
      <x:c r="Y304" s="520" t="inlineStr">
        <x:is>
          <x:t xml:space="preserve">Interest amount needs review</x:t>
        </x:is>
      </x:c>
      <x:c r="Z304" s="520" t="inlineStr">
        <x:is>
          <x:t xml:space="preserve">Review</x:t>
        </x:is>
      </x:c>
      <x:c r="AA304" s="520" t="inlineStr">
        <x:is>
          <x:t xml:space="preserve">Oil and Gas Lease — Isa May Smith, a married woman to N/G Discovery, LLC (1782/261)</x:t>
        </x:is>
      </x:c>
      <x:c r="AB304" s="520" t="inlineStr">
        <x:is>
          <x:t xml:space="preserve">Needs source review: grantor source, interest amount</x:t>
        </x:is>
      </x:c>
    </x:row>
    <x:row r="305" s="520" customFormat="1" ht="84" customHeight="1">
      <x:c r="A305" s="519" t="inlineStr">
        <x:is>
          <x:t xml:space="preserve">2005-001690</x:t>
        </x:is>
      </x:c>
      <x:c r="B305" s="536" t="n">
        <x:v>16</x:v>
      </x:c>
      <x:c r="C305" s="536" t="inlineStr">
        <x:is>
          <x:t xml:space="preserve">Oil and Gas Lease</x:t>
        </x:is>
      </x:c>
      <x:c r="D305" s="536" t="inlineStr">
        <x:is>
          <x:t xml:space="preserve">1782/267</x:t>
        </x:is>
      </x:c>
      <x:c r="E305" s="537" t="n">
        <x:v>38412</x:v>
      </x:c>
      <x:c r="F305" s="537" t="n">
        <x:v>38432</x:v>
      </x:c>
      <x:c r="G305" s="538" t="inlineStr">
        <x:is>
          <x:t xml:space="preserve">Mark J. Fuchs
2951 Black Locust Court
Norman, OK 73071</x:t>
        </x:is>
      </x:c>
      <x:c r="H305" s="538" t="inlineStr">
        <x:is>
          <x:t xml:space="preserve">N/G Discovery, LLC</x:t>
        </x:is>
      </x:c>
      <x:c r="I305" s="538" t="inlineStr">
        <x:is>
          <x:t xml:space="preserve">NW/4 SE/4, S/2 SE/4, SW/4 NE/4 of 31-12N-24W</x:t>
        </x:is>
      </x:c>
      <x:c r="J305" s="538" t="inlineStr">
        <x:is>
          <x:t xml:space="preserve">160 gross acres
2 yrs
1/4th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x:t>
        </x:is>
      </x:c>
      <x:c r="K305" s="518" t="e">
        <x:f>HYPERLINK("https://okcountyrecords.com/detail/roger+mills/2005-001690","OKCountyRecords: 2005-001690")</x:f>
      </x:c>
      <x:c r="L305" s="519" t="inlineStr">
        <x:is>
          <x:t xml:space="preserve">Leasehold (non-mineral; excluded from mineral NMA). Gross=tract-map basis.</x:t>
        </x:is>
      </x:c>
      <x:c r="M305" s="519" t="inlineStr">
        <x:is>
          <x:t xml:space="preserve">CURRENT LEASE SOURCE</x:t>
        </x:is>
      </x:c>
      <x:c r="N305" s="519" t="n"/>
      <x:c r="O305" s="519" t="inlineStr">
        <x:is>
          <x:t xml:space="preserve">RELEASE</x:t>
        </x:is>
      </x:c>
      <x:c r="P305" s="520" t="inlineStr">
        <x:is>
          <x:t xml:space="preserve">Chain — leasehold (OGL)</x:t>
        </x:is>
      </x:c>
      <x:c r="Q305" s="520" t="inlineStr">
        <x:is>
          <x:t xml:space="preserve">No</x:t>
        </x:is>
      </x:c>
      <x:c r="R305" s="520" t="inlineStr">
        <x:is>
          <x:t xml:space="preserve">Yes</x:t>
        </x:is>
      </x:c>
      <x:c r="S305" s="520" t="inlineStr">
        <x:is>
          <x:t xml:space="preserve">No</x:t>
        </x:is>
      </x:c>
      <x:c r="T305" s="520" t="inlineStr">
        <x:is>
          <x:t xml:space="preserve">Yes</x:t>
        </x:is>
      </x:c>
      <x:c r="U305" s="520" t="inlineStr">
        <x:is>
          <x:t xml:space="preserve">Yes: 2 (legal supports)</x:t>
        </x:is>
      </x:c>
      <x:c r="V305" s="520" t="inlineStr">
        <x:is>
          <x:t xml:space="preserve">High</x:t>
        </x:is>
      </x:c>
      <x:c r="W305" s="520" t="inlineStr">
        <x:is>
          <x:t xml:space="preserve">Yes — prior grantee match</x:t>
        </x:is>
      </x:c>
      <x:c r="X305" s="520" t="inlineStr">
        <x:is>
          <x:t xml:space="preserve">Review</x:t>
        </x:is>
      </x:c>
      <x:c r="Y305" s="520" t="inlineStr">
        <x:is>
          <x:t xml:space="preserve">Interest amount needs review</x:t>
        </x:is>
      </x:c>
      <x:c r="Z305" s="520" t="inlineStr">
        <x:is>
          <x:t xml:space="preserve">Review</x:t>
        </x:is>
      </x:c>
      <x:c r="AA305" s="520" t="inlineStr">
        <x:is>
          <x:t xml:space="preserve">Oil and Gas Lease — Mark J. Fuchs to N/G Discovery, LLC (1782/267)</x:t>
        </x:is>
      </x:c>
      <x:c r="AB305" s="520" t="inlineStr">
        <x:is>
          <x:t xml:space="preserve">Needs source review: interest amount</x:t>
        </x:is>
      </x:c>
    </x:row>
    <x:row r="306" s="520" customFormat="1" ht="84" customHeight="1">
      <x:c r="A306" s="519" t="inlineStr">
        <x:is>
          <x:t xml:space="preserve">2005-001515</x:t>
        </x:is>
      </x:c>
      <x:c r="B306" s="536" t="n">
        <x:v>15</x:v>
      </x:c>
      <x:c r="C306" s="536" t="inlineStr">
        <x:is>
          <x:t xml:space="preserve">Oil and Gas Lease</x:t>
        </x:is>
      </x:c>
      <x:c r="D306" s="536" t="inlineStr">
        <x:is>
          <x:t xml:space="preserve">1781/204</x:t>
        </x:is>
      </x:c>
      <x:c r="E306" s="537" t="n">
        <x:v>38412</x:v>
      </x:c>
      <x:c r="F306" s="537" t="n">
        <x:v>38426</x:v>
      </x:c>
      <x:c r="G306" s="538" t="inlineStr">
        <x:is>
          <x:t xml:space="preserve">Raymond M. Fuchs
5502 100th Avenue
Norman, OK 73026</x:t>
        </x:is>
      </x:c>
      <x:c r="H306" s="538" t="inlineStr">
        <x:is>
          <x:t xml:space="preserve">N/G Discovery, LLC</x:t>
        </x:is>
      </x:c>
      <x:c r="I306" s="538" t="inlineStr">
        <x:is>
          <x:t xml:space="preserve">NW/4 SE/4, S/2 SE/4, SW/4 NE/4 of 31-12N-24W</x:t>
        </x:is>
      </x:c>
      <x:c r="J306" s="538" t="inlineStr">
        <x:is>
          <x:t xml:space="preserve">160 gross acres
2 yrs
3/16ths royalty
Depth clause: Depth Limitation: All formations 100 feet below the stratigraphic equivalent of the deepest depth drilled in any well during the primary term of this lease shall be released at the expiration of the primary term herein. … Full recital in recorded instrument — see Link.</x:t>
        </x:is>
      </x:c>
      <x:c r="K306" s="518" t="e">
        <x:f>HYPERLINK("https://okcountyrecords.com/detail/roger+mills/2005-001515","OKCountyRecords: 2005-001515")</x:f>
      </x:c>
      <x:c r="L306" s="519" t="inlineStr">
        <x:is>
          <x:t xml:space="preserve">Leasehold (non-mineral; excluded from mineral NMA). Gross=tract-map basis.</x:t>
        </x:is>
      </x:c>
      <x:c r="M306" s="519" t="inlineStr">
        <x:is>
          <x:t xml:space="preserve">CURRENT LEASE SOURCE</x:t>
        </x:is>
      </x:c>
      <x:c r="N306" s="519" t="n"/>
      <x:c r="O306" s="519" t="inlineStr">
        <x:is>
          <x:t xml:space="preserve">RELEASE</x:t>
        </x:is>
      </x:c>
      <x:c r="P306" s="520" t="inlineStr">
        <x:is>
          <x:t xml:space="preserve">Chain — leasehold (OGL)</x:t>
        </x:is>
      </x:c>
      <x:c r="Q306" s="520" t="inlineStr">
        <x:is>
          <x:t xml:space="preserve">No</x:t>
        </x:is>
      </x:c>
      <x:c r="R306" s="520" t="inlineStr">
        <x:is>
          <x:t xml:space="preserve">Yes</x:t>
        </x:is>
      </x:c>
      <x:c r="S306" s="520" t="inlineStr">
        <x:is>
          <x:t xml:space="preserve">No</x:t>
        </x:is>
      </x:c>
      <x:c r="T306" s="520" t="inlineStr">
        <x:is>
          <x:t xml:space="preserve">Yes</x:t>
        </x:is>
      </x:c>
      <x:c r="U306" s="520" t="inlineStr">
        <x:is>
          <x:t xml:space="preserve">Yes: 2 (legal supports)</x:t>
        </x:is>
      </x:c>
      <x:c r="V306" s="520" t="inlineStr">
        <x:is>
          <x:t xml:space="preserve">High</x:t>
        </x:is>
      </x:c>
      <x:c r="W306" s="520" t="inlineStr">
        <x:is>
          <x:t xml:space="preserve">Yes — prior grantee match</x:t>
        </x:is>
      </x:c>
      <x:c r="X306" s="520" t="inlineStr">
        <x:is>
          <x:t xml:space="preserve">Review</x:t>
        </x:is>
      </x:c>
      <x:c r="Y306" s="520" t="inlineStr">
        <x:is>
          <x:t xml:space="preserve">Interest amount needs review</x:t>
        </x:is>
      </x:c>
      <x:c r="Z306" s="520" t="inlineStr">
        <x:is>
          <x:t xml:space="preserve">Review</x:t>
        </x:is>
      </x:c>
      <x:c r="AA306" s="520" t="inlineStr">
        <x:is>
          <x:t xml:space="preserve">Oil and Gas Lease — Raymond M. Fuchs to N/G Discovery, LLC (1781/204)</x:t>
        </x:is>
      </x:c>
      <x:c r="AB306" s="520" t="inlineStr">
        <x:is>
          <x:t xml:space="preserve">Needs source review: interest amount</x:t>
        </x:is>
      </x:c>
    </x:row>
    <x:row r="307" s="520" customFormat="1" ht="48" customHeight="1">
      <x:c r="A307" s="519" t="inlineStr">
        <x:is>
          <x:t xml:space="preserve">2005-002326</x:t>
        </x:is>
      </x:c>
      <x:c r="B307" s="536" t="n">
        <x:v>21</x:v>
      </x:c>
      <x:c r="C307" s="536" t="inlineStr">
        <x:is>
          <x:t xml:space="preserve">Oil and Gas Lease</x:t>
        </x:is>
      </x:c>
      <x:c r="D307" s="536" t="inlineStr">
        <x:is>
          <x:t xml:space="preserve">1785/274</x:t>
        </x:is>
      </x:c>
      <x:c r="E307" s="537" t="n">
        <x:v>38419</x:v>
      </x:c>
      <x:c r="F307" s="537" t="n">
        <x:v>38457</x:v>
      </x:c>
      <x:c r="G307" s="538" t="inlineStr">
        <x:is>
          <x:t xml:space="preserve">Joe Devenas, Jr.
1302 Highland Avenue
Waukegan, IL 60085</x:t>
        </x:is>
      </x:c>
      <x:c r="H307" s="538" t="inlineStr">
        <x:is>
          <x:t xml:space="preserve">EOG Resources, Inc.</x:t>
        </x:is>
      </x:c>
      <x:c r="I307" s="538" t="inlineStr">
        <x:is>
          <x:t xml:space="preserve">SE/4 SW/4 of 31-12N-24W</x:t>
        </x:is>
      </x:c>
      <x:c r="J307" s="538" t="inlineStr">
        <x:is>
          <x:t xml:space="preserve">40 gross acres
3 yrs
3/16ths royalty</x:t>
        </x:is>
      </x:c>
      <x:c r="K307" s="518" t="e">
        <x:f>HYPERLINK("https://okcountyrecords.com/detail/roger+mills/2005-002326","OKCountyRecords: 2005-002326")</x:f>
      </x:c>
      <x:c r="L307" s="519" t="inlineStr">
        <x:is>
          <x:t xml:space="preserve">Leasehold (non-mineral; excluded from mineral NMA). Gross=tract-map basis.</x:t>
        </x:is>
      </x:c>
      <x:c r="M307" s="519" t="inlineStr">
        <x:is>
          <x:t xml:space="preserve">CURRENT LEASE SOURCE</x:t>
        </x:is>
      </x:c>
      <x:c r="N307" s="519" t="n"/>
      <x:c r="O307" s="519" t="inlineStr">
        <x:is>
          <x:t xml:space="preserve">OGL / BASE LEASE</x:t>
        </x:is>
      </x:c>
      <x:c r="P307" s="520" t="inlineStr">
        <x:is>
          <x:t xml:space="preserve">Chain — leasehold (OGL)</x:t>
        </x:is>
      </x:c>
      <x:c r="Q307" s="520" t="inlineStr">
        <x:is>
          <x:t xml:space="preserve">No</x:t>
        </x:is>
      </x:c>
      <x:c r="R307" s="520" t="inlineStr">
        <x:is>
          <x:t xml:space="preserve">Yes</x:t>
        </x:is>
      </x:c>
      <x:c r="S307" s="520" t="inlineStr">
        <x:is>
          <x:t xml:space="preserve">No</x:t>
        </x:is>
      </x:c>
      <x:c r="T307" s="520" t="inlineStr">
        <x:is>
          <x:t xml:space="preserve">Yes</x:t>
        </x:is>
      </x:c>
      <x:c r="U307" s="520" t="inlineStr">
        <x:is>
          <x:t xml:space="preserve">Yes: 5 (legal supports)</x:t>
        </x:is>
      </x:c>
      <x:c r="V307" s="520" t="inlineStr">
        <x:is>
          <x:t xml:space="preserve">High</x:t>
        </x:is>
      </x:c>
      <x:c r="W307" s="520" t="inlineStr">
        <x:is>
          <x:t xml:space="preserve">Review — no exact prior-grantee match</x:t>
        </x:is>
      </x:c>
      <x:c r="X307" s="520" t="inlineStr">
        <x:is>
          <x:t xml:space="preserve">Review</x:t>
        </x:is>
      </x:c>
      <x:c r="Y307" s="520" t="inlineStr">
        <x:is>
          <x:t xml:space="preserve">Interest amount needs review</x:t>
        </x:is>
      </x:c>
      <x:c r="Z307" s="520" t="inlineStr">
        <x:is>
          <x:t xml:space="preserve">Review</x:t>
        </x:is>
      </x:c>
      <x:c r="AA307" s="520" t="inlineStr">
        <x:is>
          <x:t xml:space="preserve">Oil and Gas Lease — Joe Devenas, Jr. to EOG Resources, Inc. (1785/274)</x:t>
        </x:is>
      </x:c>
      <x:c r="AB307" s="520" t="inlineStr">
        <x:is>
          <x:t xml:space="preserve">Needs source review: grantor source, interest amount</x:t>
        </x:is>
      </x:c>
    </x:row>
    <x:row r="308" s="520" customFormat="1" ht="96" customHeight="1">
      <x:c r="A308" s="519" t="inlineStr">
        <x:is>
          <x:t xml:space="preserve">2005-002328</x:t>
        </x:is>
      </x:c>
      <x:c r="B308" s="536" t="n">
        <x:v>22</x:v>
      </x:c>
      <x:c r="C308" s="536" t="inlineStr">
        <x:is>
          <x:t xml:space="preserve">Oil and Gas Lease</x:t>
        </x:is>
      </x:c>
      <x:c r="D308" s="536" t="inlineStr">
        <x:is>
          <x:t xml:space="preserve">1785/278</x:t>
        </x:is>
      </x:c>
      <x:c r="E308" s="537" t="n">
        <x:v>38419</x:v>
      </x:c>
      <x:c r="F308" s="537" t="n">
        <x:v>38457</x:v>
      </x:c>
      <x:c r="G308" s="538" t="inlineStr">
        <x:is>
          <x:t xml:space="preserve">Joseph Devenas, as Trustee of the Joseph Devenas Trust Declaration dated September 7, 1994
1302 Highland Avenue
Waukegan, IL 60085</x:t>
        </x:is>
      </x:c>
      <x:c r="H308" s="538" t="inlineStr">
        <x:is>
          <x:t xml:space="preserve">EOG Resources, Inc.</x:t>
        </x:is>
      </x:c>
      <x:c r="I308" s="538" t="inlineStr">
        <x:is>
          <x:t xml:space="preserve">SE/4 SW/4 of 31-12N-24W</x:t>
        </x:is>
      </x:c>
      <x:c r="J308" s="538" t="inlineStr">
        <x:is>
          <x:t xml:space="preserve">40 gross acres
3 yrs
3/16ths royalty
Chain note: source of title — OUTSIDE LANDS 1991-003518 at 1229/180, Mary Margaret Devenas, f/k/a Mary Margaret Wilson to Joseph Devenas and Mary Margaret Devenas, HW, JTWROS, covering SE/4 SW/4 of 31-12N-24W, aol, interest stated: An undivided 7/48ths interest in … Full recital in recorded instrument — see Link.</x:t>
        </x:is>
      </x:c>
      <x:c r="K308" s="518" t="e">
        <x:f>HYPERLINK("https://okcountyrecords.com/detail/roger+mills/2005-002328","OKCountyRecords: 2005-002328")</x:f>
      </x:c>
      <x:c r="L308" s="519" t="inlineStr">
        <x:is>
          <x:t xml:space="preserve">Leasehold (non-mineral; excluded from mineral NMA). Gross=tract-map basis.</x:t>
        </x:is>
      </x:c>
      <x:c r="M308" s="519" t="inlineStr">
        <x:is>
          <x:t xml:space="preserve">CURRENT LEASE SOURCE</x:t>
        </x:is>
      </x:c>
      <x:c r="N308" s="519" t="n"/>
      <x:c r="O308" s="519" t="inlineStr">
        <x:is>
          <x:t xml:space="preserve">OUTSIDE LANDS</x:t>
        </x:is>
      </x:c>
      <x:c r="P308" s="520" t="inlineStr">
        <x:is>
          <x:t xml:space="preserve">Chain — leasehold (OGL)</x:t>
        </x:is>
      </x:c>
      <x:c r="Q308" s="520" t="inlineStr">
        <x:is>
          <x:t xml:space="preserve">No</x:t>
        </x:is>
      </x:c>
      <x:c r="R308" s="520" t="inlineStr">
        <x:is>
          <x:t xml:space="preserve">Yes</x:t>
        </x:is>
      </x:c>
      <x:c r="S308" s="520" t="inlineStr">
        <x:is>
          <x:t xml:space="preserve">No</x:t>
        </x:is>
      </x:c>
      <x:c r="T308" s="520" t="inlineStr">
        <x:is>
          <x:t xml:space="preserve">Yes</x:t>
        </x:is>
      </x:c>
      <x:c r="U308" s="520" t="inlineStr">
        <x:is>
          <x:t xml:space="preserve">Yes: 5 (legal supports)</x:t>
        </x:is>
      </x:c>
      <x:c r="V308" s="520" t="inlineStr">
        <x:is>
          <x:t xml:space="preserve">High</x:t>
        </x:is>
      </x:c>
      <x:c r="W308" s="520" t="inlineStr">
        <x:is>
          <x:t xml:space="preserve">Yes — prior grantee match</x:t>
        </x:is>
      </x:c>
      <x:c r="X308" s="520" t="inlineStr">
        <x:is>
          <x:t xml:space="preserve">Review</x:t>
        </x:is>
      </x:c>
      <x:c r="Y308" s="520" t="inlineStr">
        <x:is>
          <x:t xml:space="preserve">Interest amount needs review</x:t>
        </x:is>
      </x:c>
      <x:c r="Z308" s="520" t="inlineStr">
        <x:is>
          <x:t xml:space="preserve">Review</x:t>
        </x:is>
      </x:c>
      <x:c r="AA308" s="520" t="inlineStr">
        <x:is>
          <x:t xml:space="preserve">Oil and Gas Lease — Joseph Devenas, as Trustee of to EOG Resources, Inc. (1785/278)</x:t>
        </x:is>
      </x:c>
      <x:c r="AB308" s="520" t="inlineStr">
        <x:is>
          <x:t xml:space="preserve">Needs source review: interest amount</x:t>
        </x:is>
      </x:c>
    </x:row>
    <x:row r="309" s="520" customFormat="1" ht="132" customHeight="1">
      <x:c r="A309" s="519" t="inlineStr">
        <x:is>
          <x:t xml:space="preserve">2005-002327</x:t>
        </x:is>
      </x:c>
      <x:c r="B309" s="536" t="n">
        <x:v>23</x:v>
      </x:c>
      <x:c r="C309" s="536" t="inlineStr">
        <x:is>
          <x:t xml:space="preserve">Oil and Gas Lease</x:t>
        </x:is>
      </x:c>
      <x:c r="D309" s="536" t="inlineStr">
        <x:is>
          <x:t xml:space="preserve">1785/276</x:t>
        </x:is>
      </x:c>
      <x:c r="E309" s="537" t="n">
        <x:v>38420</x:v>
      </x:c>
      <x:c r="F309" s="537" t="n">
        <x:v>38457</x:v>
      </x:c>
      <x:c r="G309" s="538" t="inlineStr">
        <x:is>
          <x:t xml:space="preserve">Eleanore Wheeler
Route 2, Box 154
Sayre, OK 73662</x:t>
        </x:is>
      </x:c>
      <x:c r="H309" s="538" t="inlineStr">
        <x:is>
          <x:t xml:space="preserve">EOG Resources, Inc.</x:t>
        </x:is>
      </x:c>
      <x:c r="I309" s="538" t="inlineStr">
        <x:is>
          <x:t xml:space="preserve">Lot 4 &amp; S/2 of Lot 3 &amp; S/2 NE/4 SW/4 &amp; SE/4 SW/4, less and except a tract of land described as: Beginning at the SE/corner of the SW/4; then North 946 feet; then West 2547.60 feet: then South 946 feet; then East 2547.60 feet to the point of beginning.of 31-12N-24W</x:t>
        </x:is>
      </x:c>
      <x:c r="J309" s="538" t="inlineStr">
        <x:is>
          <x:t xml:space="preserve">115.34 gross acres
3/16ths royalty
3 yrs
Chain note: source of title — OUTSIDE LANDS 1993-000918 at 1324/22, Roger Mills County Court
RE: In the Matter of the Estate of John Klopfenstein, Deceased to Margaret Kirk, 1/4,
Linda Mize, 1/4,
Eleanore Wheeler, 1/4,
Roger Klopfenstein, 1/4, covering S/2 NE/4 … Full recital in recorded instrument — see Link.</x:t>
        </x:is>
      </x:c>
      <x:c r="K309" s="518" t="e">
        <x:f>HYPERLINK("https://okcountyrecords.com/detail/roger+mills/2005-002327","OKCountyRecords: 2005-002327")</x:f>
      </x:c>
      <x:c r="L309" s="519" t="inlineStr">
        <x:is>
          <x:t xml:space="preserve">Leasehold (non-mineral; excluded from mineral NMA). Gross=tract-map basis.</x:t>
        </x:is>
      </x:c>
      <x:c r="M309" s="519" t="inlineStr">
        <x:is>
          <x:t xml:space="preserve">CURRENT LEASE SOURCE</x:t>
        </x:is>
      </x:c>
      <x:c r="N309" s="519" t="n"/>
      <x:c r="O309" s="519" t="inlineStr">
        <x:is>
          <x:t xml:space="preserve">OUTSIDE LANDS</x:t>
        </x:is>
      </x:c>
      <x:c r="P309" s="520" t="inlineStr">
        <x:is>
          <x:t xml:space="preserve">Chain — leasehold (OGL)</x:t>
        </x:is>
      </x:c>
      <x:c r="Q309" s="520" t="inlineStr">
        <x:is>
          <x:t xml:space="preserve">No</x:t>
        </x:is>
      </x:c>
      <x:c r="R309" s="520" t="inlineStr">
        <x:is>
          <x:t xml:space="preserve">Yes</x:t>
        </x:is>
      </x:c>
      <x:c r="S309" s="520" t="inlineStr">
        <x:is>
          <x:t xml:space="preserve">No</x:t>
        </x:is>
      </x:c>
      <x:c r="T309" s="520" t="inlineStr">
        <x:is>
          <x:t xml:space="preserve">Yes</x:t>
        </x:is>
      </x:c>
      <x:c r="U309" s="520" t="inlineStr">
        <x:is>
          <x:t xml:space="preserve">Legal maps to 5, 7, 9; helper says 2, 3, 5, 6, 7</x:t>
        </x:is>
      </x:c>
      <x:c r="V309" s="520" t="inlineStr">
        <x:is>
          <x:t xml:space="preserve">Review</x:t>
        </x:is>
      </x:c>
      <x:c r="W309" s="520" t="inlineStr">
        <x:is>
          <x:t xml:space="preserve">Review — no exact prior-grantee match</x:t>
        </x:is>
      </x:c>
      <x:c r="X309" s="520" t="inlineStr">
        <x:is>
          <x:t xml:space="preserve">Review</x:t>
        </x:is>
      </x:c>
      <x:c r="Y309" s="520" t="inlineStr">
        <x:is>
          <x:t xml:space="preserve">Interest amount needs review</x:t>
        </x:is>
      </x:c>
      <x:c r="Z309" s="520" t="inlineStr">
        <x:is>
          <x:t xml:space="preserve">Review</x:t>
        </x:is>
      </x:c>
      <x:c r="AA309" s="520" t="inlineStr">
        <x:is>
          <x:t xml:space="preserve">Oil and Gas Lease — Eleanore Wheeler to EOG Resources, Inc. (1785/276)</x:t>
        </x:is>
      </x:c>
      <x:c r="AB309" s="520" t="inlineStr">
        <x:is>
          <x:t xml:space="preserve">Needs source review: tract, grantor source, interest amount</x:t>
        </x:is>
      </x:c>
    </x:row>
    <x:row r="310" s="520" customFormat="1" ht="72" customHeight="1">
      <x:c r="A310" s="519" t="inlineStr">
        <x:is>
          <x:t xml:space="preserve">2005-001839</x:t>
        </x:is>
      </x:c>
      <x:c r="B310" s="536" t="n"/>
      <x:c r="C310" s="536" t="inlineStr">
        <x:is>
          <x:t xml:space="preserve">Affidavit of Surviving Joint Tenant</x:t>
        </x:is>
      </x:c>
      <x:c r="D310" s="536" t="inlineStr">
        <x:is>
          <x:t xml:space="preserve">1783/99</x:t>
        </x:is>
      </x:c>
      <x:c r="E310" s="537" t="n">
        <x:v>38427</x:v>
      </x:c>
      <x:c r="F310" s="537" t="n">
        <x:v>38440</x:v>
      </x:c>
      <x:c r="G310" s="538" t="inlineStr">
        <x:is>
          <x:t xml:space="preserve">Clarence Bain</x:t>
        </x:is>
      </x:c>
      <x:c r="H310" s="538" t="inlineStr">
        <x:is>
          <x:t xml:space="preserve">The Public
RE: Dorothy J. Bain, Deceased
Surviving JT: Clarence Bain</x:t>
        </x:is>
      </x:c>
      <x:c r="I310" s="538" t="inlineStr">
        <x:is>
          <x:t xml:space="preserve">NW/4 SE/4, SW/4 NE/4 of 31-12N-24W, aol</x:t>
        </x:is>
      </x:c>
      <x:c r="J310" s="538" t="inlineStr">
        <x:is>
          <x:t xml:space="preserve">ARTI</x:t>
        </x:is>
      </x:c>
      <x:c r="K310" s="518" t="e">
        <x:f>HYPERLINK("https://okcountyrecords.com/detail/roger+mills/2005-001839","OKCountyRecords: 2005-001839")</x:f>
      </x:c>
      <x:c r="L310" s="519" t="inlineStr">
        <x:is>
          <x:t xml:space="preserve">Mineral; basis Conv Amt(dec). grantor indexed as 'The Public' — confirm source instrument. Gross=tract-map basis.</x:t>
        </x:is>
      </x:c>
      <x:c r="M310" s="519" t="inlineStr">
        <x:is>
          <x:t xml:space="preserve">REVIEW</x:t>
        </x:is>
      </x:c>
      <x:c r="N310" s="519" t="inlineStr">
        <x:is>
          <x:t xml:space="preserve">Confirm conveyed mineral acreage from instrument image — named party indexed under 'The Public' (affidavit/notice); identity resolved.</x:t>
        </x:is>
      </x:c>
      <x:c r="O310" s="519" t="inlineStr">
        <x:is>
          <x:t xml:space="preserve">OUTSIDE LANDS</x:t>
        </x:is>
      </x:c>
      <x:c r="P310" s="520" t="inlineStr">
        <x:is>
          <x:t xml:space="preserve">Chain — title support (succession/entity/probate)</x:t>
        </x:is>
      </x:c>
      <x:c r="Q310" s="520" t="inlineStr">
        <x:is>
          <x:t xml:space="preserve">Yes</x:t>
        </x:is>
      </x:c>
      <x:c r="R310" s="520" t="inlineStr">
        <x:is>
          <x:t xml:space="preserve">No</x:t>
        </x:is>
      </x:c>
      <x:c r="S310" s="520" t="inlineStr">
        <x:is>
          <x:t xml:space="preserve">Yes</x:t>
        </x:is>
      </x:c>
      <x:c r="T310" s="520" t="inlineStr">
        <x:is>
          <x:t xml:space="preserve">No</x:t>
        </x:is>
      </x:c>
      <x:c r="U310" s="520" t="inlineStr">
        <x:is>
          <x:t xml:space="preserve">Yes: 2 (legal supports)</x:t>
        </x:is>
      </x:c>
      <x:c r="V310" s="520" t="inlineStr">
        <x:is>
          <x:t xml:space="preserve">High</x:t>
        </x:is>
      </x:c>
      <x:c r="W310" s="520" t="inlineStr">
        <x:is>
          <x:t xml:space="preserve">Yes — prior grantee match</x:t>
        </x:is>
      </x:c>
      <x:c r="X310" s="520" t="inlineStr">
        <x:is>
          <x:t xml:space="preserve">Review</x:t>
        </x:is>
      </x:c>
      <x:c r="Y310" s="520" t="inlineStr">
        <x:is>
          <x:t xml:space="preserve">Candidate 1 (helper — confirm from image)</x:t>
        </x:is>
      </x:c>
      <x:c r="Z310" s="520" t="inlineStr">
        <x:is>
          <x:t xml:space="preserve">Medium — helper value</x:t>
        </x:is>
      </x:c>
      <x:c r="AA310" s="520" t="inlineStr">
        <x:is>
          <x:t xml:space="preserve">Affidavit of Surviving Joint Ten — Clarence Bain to The Public (1783/99)</x:t>
        </x:is>
      </x:c>
    </x:row>
    <x:row r="311" s="520" customFormat="1" ht="108" customHeight="1">
      <x:c r="A311" s="519" t="inlineStr">
        <x:is>
          <x:t xml:space="preserve">2005-002646</x:t>
        </x:is>
      </x:c>
      <x:c r="B311" s="536" t="n">
        <x:v>24</x:v>
      </x:c>
      <x:c r="C311" s="536" t="inlineStr">
        <x:is>
          <x:t xml:space="preserve">Oil and Gas Lease</x:t>
        </x:is>
      </x:c>
      <x:c r="D311" s="536" t="inlineStr">
        <x:is>
          <x:t xml:space="preserve">1787/47</x:t>
        </x:is>
      </x:c>
      <x:c r="E311" s="537" t="n">
        <x:v>38436</x:v>
      </x:c>
      <x:c r="F311" s="537" t="n">
        <x:v>38464</x:v>
      </x:c>
      <x:c r="G311" s="538" t="inlineStr">
        <x:is>
          <x:t xml:space="preserve">Marchelle Sorenson Daigle and Michelle Sorenson Johnson, Trustees of the Sorenson Oil and Gas Trust, 13529 Darwin
Lane, Austin, TX 78729</x:t>
        </x:is>
      </x:c>
      <x:c r="H311" s="538" t="inlineStr">
        <x:is>
          <x:t xml:space="preserve">N/G Discovery, LLC</x:t>
        </x:is>
      </x:c>
      <x:c r="I311" s="538" t="inlineStr">
        <x:is>
          <x:t xml:space="preserve">E/2 NW/4, N/2 NE/4 SW/4, NE/4 SE/4, SE/4 NE/4 of 31-12N-24W</x:t>
        </x:is>
      </x:c>
      <x:c r="J311" s="538" t="inlineStr">
        <x:is>
          <x:t xml:space="preserve">180 gross acres
3 yrs
3/16ths royalty
Chain note: source of title — OUTSIDE LANDS 1982-004342 at 432/110, W. H. Sorenson to Sorenson Oil &amp; Gas Trust,
Michelle Sorenson Johnson, Trustee,
Marchelle Sorenson Uaigle, Trustee, covering E/2 NW/4, SE/4 NE/4, NE/4 SE/4, N/2 NE/4 SW/4 of 31-12N-24W, aol, interest stated: 40/260 interest in 2 sections. Confirm source instrument before relying on this conveyance.</x:t>
        </x:is>
      </x:c>
      <x:c r="K311" s="518" t="e">
        <x:f>HYPERLINK("https://okcountyrecords.com/detail/roger+mills/2005-002646","OKCountyRecords: 2005-002646")</x:f>
      </x:c>
      <x:c r="L311" s="519" t="inlineStr">
        <x:is>
          <x:t xml:space="preserve">Leasehold (non-mineral; excluded from mineral NMA). Gross=tract-map basis.</x:t>
        </x:is>
      </x:c>
      <x:c r="M311" s="519" t="inlineStr">
        <x:is>
          <x:t xml:space="preserve">CURRENT LEASE SOURCE</x:t>
        </x:is>
      </x:c>
      <x:c r="N311" s="519" t="n"/>
      <x:c r="O311" s="519" t="inlineStr">
        <x:is>
          <x:t xml:space="preserve">OUTSIDE LANDS</x:t>
        </x:is>
      </x:c>
      <x:c r="P311" s="520" t="inlineStr">
        <x:is>
          <x:t xml:space="preserve">Chain — leasehold (OGL)</x:t>
        </x:is>
      </x:c>
      <x:c r="Q311" s="520" t="inlineStr">
        <x:is>
          <x:t xml:space="preserve">No</x:t>
        </x:is>
      </x:c>
      <x:c r="R311" s="520" t="inlineStr">
        <x:is>
          <x:t xml:space="preserve">Yes</x:t>
        </x:is>
      </x:c>
      <x:c r="S311" s="520" t="inlineStr">
        <x:is>
          <x:t xml:space="preserve">No</x:t>
        </x:is>
      </x:c>
      <x:c r="T311" s="520" t="inlineStr">
        <x:is>
          <x:t xml:space="preserve">Yes</x:t>
        </x:is>
      </x:c>
      <x:c r="U311" s="520" t="inlineStr">
        <x:is>
          <x:t xml:space="preserve">Legal maps to 1, 3, 4, 7, 10; helper says 1, 3, 4, 7, 8</x:t>
        </x:is>
      </x:c>
      <x:c r="V311" s="520" t="inlineStr">
        <x:is>
          <x:t xml:space="preserve">Review</x:t>
        </x:is>
      </x:c>
      <x:c r="W311" s="520" t="inlineStr">
        <x:is>
          <x:t xml:space="preserve">Review — no exact prior-grantee match</x:t>
        </x:is>
      </x:c>
      <x:c r="X311" s="520" t="inlineStr">
        <x:is>
          <x:t xml:space="preserve">Review</x:t>
        </x:is>
      </x:c>
      <x:c r="Y311" s="520" t="inlineStr">
        <x:is>
          <x:t xml:space="preserve">Interest amount needs review</x:t>
        </x:is>
      </x:c>
      <x:c r="Z311" s="520" t="inlineStr">
        <x:is>
          <x:t xml:space="preserve">Review</x:t>
        </x:is>
      </x:c>
      <x:c r="AA311" s="520" t="inlineStr">
        <x:is>
          <x:t xml:space="preserve">Oil and Gas Lease — Marchelle Sorenson Daigle and to N/G Discovery, LLC (1787/47)</x:t>
        </x:is>
      </x:c>
      <x:c r="AB311" s="520" t="inlineStr">
        <x:is>
          <x:t xml:space="preserve">Needs source review: tract, grantor source, interest amount</x:t>
        </x:is>
      </x:c>
    </x:row>
    <x:row r="312" s="520" customFormat="1" ht="48" customHeight="1">
      <x:c r="A312" s="519" t="inlineStr">
        <x:is>
          <x:t xml:space="preserve">2005-003940</x:t>
        </x:is>
      </x:c>
      <x:c r="B312" s="536" t="n">
        <x:v>36</x:v>
      </x:c>
      <x:c r="C312" s="536" t="inlineStr">
        <x:is>
          <x:t xml:space="preserve">Ratification</x:t>
        </x:is>
      </x:c>
      <x:c r="D312" s="536" t="inlineStr">
        <x:is>
          <x:t xml:space="preserve">1793/502</x:t>
        </x:is>
      </x:c>
      <x:c r="E312" s="537" t="n">
        <x:v>38441</x:v>
      </x:c>
      <x:c r="F312" s="537" t="n">
        <x:v>38511</x:v>
      </x:c>
      <x:c r="G312" s="538" t="inlineStr">
        <x:is>
          <x:t xml:space="preserve">Joe Deveanas
862 West Church Street
Newark, OH 43055</x:t>
        </x:is>
      </x:c>
      <x:c r="H312" s="538" t="inlineStr">
        <x:is>
          <x:t xml:space="preserve">EOG Resources, Inc.</x:t>
        </x:is>
      </x:c>
      <x:c r="I312" s="538" t="inlineStr">
        <x:is>
          <x:t xml:space="preserve">SE/4 SW/4 of 31-12N-24W</x:t>
        </x:is>
      </x:c>
      <x:c r="J312" s="538" t="inlineStr">
        <x:is>
          <x:t xml:space="preserve">Ratification of Oil and Gas Lease at 1792/517</x:t>
        </x:is>
      </x:c>
      <x:c r="K312" s="518" t="e">
        <x:f>HYPERLINK("https://okcountyrecords.com/detail/roger+mills/2005-003940","OKCountyRecords: 2005-003940")</x:f>
      </x:c>
      <x:c r="L312" s="519" t="inlineStr">
        <x:is>
          <x:t xml:space="preserve">Leasehold (non-mineral; excluded from mineral NMA). Gross=tract-map basis.</x:t>
        </x:is>
      </x:c>
      <x:c r="M312" s="519" t="inlineStr">
        <x:is>
          <x:t xml:space="preserve">CURRENT LEASE SOURCE</x:t>
        </x:is>
      </x:c>
      <x:c r="N312" s="519" t="n"/>
      <x:c r="O312" s="519" t="inlineStr">
        <x:is>
          <x:t xml:space="preserve">IGNORE FOR MINERAL OWNERSHIP</x:t>
        </x:is>
      </x:c>
      <x:c r="P312" s="520" t="inlineStr">
        <x:is>
          <x:t xml:space="preserve">Chain — leasehold (ratification/memo)</x:t>
        </x:is>
      </x:c>
      <x:c r="Q312" s="520" t="inlineStr">
        <x:is>
          <x:t xml:space="preserve">No</x:t>
        </x:is>
      </x:c>
      <x:c r="R312" s="520" t="inlineStr">
        <x:is>
          <x:t xml:space="preserve">Yes</x:t>
        </x:is>
      </x:c>
      <x:c r="S312" s="520" t="inlineStr">
        <x:is>
          <x:t xml:space="preserve">No</x:t>
        </x:is>
      </x:c>
      <x:c r="T312" s="520" t="inlineStr">
        <x:is>
          <x:t xml:space="preserve">Yes</x:t>
        </x:is>
      </x:c>
      <x:c r="U312" s="520" t="inlineStr">
        <x:is>
          <x:t xml:space="preserve">Yes: 5 (legal supports)</x:t>
        </x:is>
      </x:c>
      <x:c r="V312" s="520" t="inlineStr">
        <x:is>
          <x:t xml:space="preserve">High</x:t>
        </x:is>
      </x:c>
      <x:c r="W312" s="520" t="inlineStr">
        <x:is>
          <x:t xml:space="preserve">Review — no exact prior-grantee match</x:t>
        </x:is>
      </x:c>
      <x:c r="X312" s="520" t="inlineStr">
        <x:is>
          <x:t xml:space="preserve">Review</x:t>
        </x:is>
      </x:c>
      <x:c r="Y312" s="520" t="inlineStr">
        <x:is>
          <x:t xml:space="preserve">Interest amount needs review</x:t>
        </x:is>
      </x:c>
      <x:c r="Z312" s="520" t="inlineStr">
        <x:is>
          <x:t xml:space="preserve">Review</x:t>
        </x:is>
      </x:c>
      <x:c r="AA312" s="520" t="inlineStr">
        <x:is>
          <x:t xml:space="preserve">Ratification — Joe Deveanas to EOG Resources, Inc. (1793/502)</x:t>
        </x:is>
      </x:c>
      <x:c r="AB312" s="520" t="inlineStr">
        <x:is>
          <x:t xml:space="preserve">Needs source review: grantor source, interest amount</x:t>
        </x:is>
      </x:c>
    </x:row>
    <x:row r="313" s="520" customFormat="1" ht="60" customHeight="1">
      <x:c r="A313" s="519" t="inlineStr">
        <x:is>
          <x:t xml:space="preserve">2005-003756</x:t>
        </x:is>
      </x:c>
      <x:c r="B313" s="536" t="n">
        <x:v>34</x:v>
      </x:c>
      <x:c r="C313" s="536" t="inlineStr">
        <x:is>
          <x:t xml:space="preserve">Oil and Gas Lease</x:t>
        </x:is>
      </x:c>
      <x:c r="D313" s="536" t="inlineStr">
        <x:is>
          <x:t xml:space="preserve">1792/517</x:t>
        </x:is>
      </x:c>
      <x:c r="E313" s="537" t="n">
        <x:v>38441</x:v>
      </x:c>
      <x:c r="F313" s="537" t="n">
        <x:v>38504</x:v>
      </x:c>
      <x:c r="G313" s="538" t="inlineStr">
        <x:is>
          <x:t xml:space="preserve">Martha Ann Devenas a/k/a Ann Devenas
862 West Church Street
Newark, OH 43055</x:t>
        </x:is>
      </x:c>
      <x:c r="H313" s="538" t="inlineStr">
        <x:is>
          <x:t xml:space="preserve">EOG Resources, Inc.</x:t>
        </x:is>
      </x:c>
      <x:c r="I313" s="538" t="inlineStr">
        <x:is>
          <x:t xml:space="preserve">SE/4 SW/4 of 31-12N-24W</x:t>
        </x:is>
      </x:c>
      <x:c r="J313" s="538" t="inlineStr">
        <x:is>
          <x:t xml:space="preserve">40 gross acres
3 yrs
3/16ths royalty</x:t>
        </x:is>
      </x:c>
      <x:c r="K313" s="518" t="e">
        <x:f>HYPERLINK("https://okcountyrecords.com/detail/roger+mills/2005-003756","OKCountyRecords: 2005-003756")</x:f>
      </x:c>
      <x:c r="L313" s="519" t="inlineStr">
        <x:is>
          <x:t xml:space="preserve">Leasehold (non-mineral; excluded from mineral NMA). Gross=tract-map basis.</x:t>
        </x:is>
      </x:c>
      <x:c r="M313" s="519" t="inlineStr">
        <x:is>
          <x:t xml:space="preserve">CURRENT LEASE SOURCE</x:t>
        </x:is>
      </x:c>
      <x:c r="N313" s="519" t="n"/>
      <x:c r="O313" s="519" t="inlineStr">
        <x:is>
          <x:t xml:space="preserve">OGL / BASE LEASE</x:t>
        </x:is>
      </x:c>
      <x:c r="P313" s="520" t="inlineStr">
        <x:is>
          <x:t xml:space="preserve">Chain — leasehold (OGL)</x:t>
        </x:is>
      </x:c>
      <x:c r="Q313" s="520" t="inlineStr">
        <x:is>
          <x:t xml:space="preserve">No</x:t>
        </x:is>
      </x:c>
      <x:c r="R313" s="520" t="inlineStr">
        <x:is>
          <x:t xml:space="preserve">Yes</x:t>
        </x:is>
      </x:c>
      <x:c r="S313" s="520" t="inlineStr">
        <x:is>
          <x:t xml:space="preserve">No</x:t>
        </x:is>
      </x:c>
      <x:c r="T313" s="520" t="inlineStr">
        <x:is>
          <x:t xml:space="preserve">Yes</x:t>
        </x:is>
      </x:c>
      <x:c r="U313" s="520" t="inlineStr">
        <x:is>
          <x:t xml:space="preserve">Yes: 5 (legal supports)</x:t>
        </x:is>
      </x:c>
      <x:c r="V313" s="520" t="inlineStr">
        <x:is>
          <x:t xml:space="preserve">High</x:t>
        </x:is>
      </x:c>
      <x:c r="W313" s="520" t="inlineStr">
        <x:is>
          <x:t xml:space="preserve">Probable — name-normalized match to Runsheet 241 grantee; confirm</x:t>
        </x:is>
      </x:c>
      <x:c r="X313" s="520" t="inlineStr">
        <x:is>
          <x:t xml:space="preserve">Review</x:t>
        </x:is>
      </x:c>
      <x:c r="Y313" s="520" t="inlineStr">
        <x:is>
          <x:t xml:space="preserve">Interest amount needs review</x:t>
        </x:is>
      </x:c>
      <x:c r="Z313" s="520" t="inlineStr">
        <x:is>
          <x:t xml:space="preserve">Review</x:t>
        </x:is>
      </x:c>
      <x:c r="AA313" s="520" t="inlineStr">
        <x:is>
          <x:t xml:space="preserve">Oil and Gas Lease — Martha Ann Devenas a/k/a Ann D to EOG Resources, Inc. (1792/517)</x:t>
        </x:is>
      </x:c>
      <x:c r="AB313" s="520" t="inlineStr">
        <x:is>
          <x:t xml:space="preserve">Needs source review: grantor source, interest amount</x:t>
        </x:is>
      </x:c>
    </x:row>
    <x:row r="314" s="520" customFormat="1" ht="60" customHeight="1">
      <x:c r="A314" s="519" t="inlineStr">
        <x:is>
          <x:t xml:space="preserve">2005-003939</x:t>
        </x:is>
      </x:c>
      <x:c r="B314" s="536" t="n">
        <x:v>35</x:v>
      </x:c>
      <x:c r="C314" s="536" t="inlineStr">
        <x:is>
          <x:t xml:space="preserve">Ratification of Oil and Gas Lease</x:t>
        </x:is>
      </x:c>
      <x:c r="D314" s="536" t="inlineStr">
        <x:is>
          <x:t xml:space="preserve">1793/501</x:t>
        </x:is>
      </x:c>
      <x:c r="E314" s="537" t="n">
        <x:v>38441</x:v>
      </x:c>
      <x:c r="F314" s="537" t="n">
        <x:v>38511</x:v>
      </x:c>
      <x:c r="G314" s="538" t="inlineStr">
        <x:is>
          <x:t xml:space="preserve">Molly Devenas
862 West Church Street
Newark, OH 43055</x:t>
        </x:is>
      </x:c>
      <x:c r="H314" s="538" t="inlineStr">
        <x:is>
          <x:t xml:space="preserve">EOG Resources, Inc.</x:t>
        </x:is>
      </x:c>
      <x:c r="I314" s="538" t="inlineStr">
        <x:is>
          <x:t xml:space="preserve">SE/4 SW/4 of 31-12N-24W</x:t>
        </x:is>
      </x:c>
      <x:c r="J314" s="538" t="inlineStr">
        <x:is>
          <x:t xml:space="preserve">Ratification of Oil and Gas Lease at 1792/517
Chain note: no source of title into Molly Devenas
862 West Church Street
Newark, OH 43055 located of record. Confirm ownership before crediting this conveyance.</x:t>
        </x:is>
      </x:c>
      <x:c r="K314" s="518" t="e">
        <x:f>HYPERLINK("https://okcountyrecords.com/detail/roger+mills/2005-003939","OKCountyRecords: 2005-003939")</x:f>
      </x:c>
      <x:c r="L314" s="519" t="inlineStr">
        <x:is>
          <x:t xml:space="preserve">Leasehold (non-mineral; excluded from mineral NMA). Gross=tract-map basis.</x:t>
        </x:is>
      </x:c>
      <x:c r="M314" s="519" t="inlineStr">
        <x:is>
          <x:t xml:space="preserve">CURRENT LEASE SOURCE</x:t>
        </x:is>
      </x:c>
      <x:c r="N314" s="519" t="n"/>
      <x:c r="O314" s="519" t="inlineStr">
        <x:is>
          <x:t xml:space="preserve">EASEMENT</x:t>
        </x:is>
      </x:c>
      <x:c r="P314" s="520" t="inlineStr">
        <x:is>
          <x:t xml:space="preserve">Chain — leasehold (ratification/memo)</x:t>
        </x:is>
      </x:c>
      <x:c r="Q314" s="520" t="inlineStr">
        <x:is>
          <x:t xml:space="preserve">No</x:t>
        </x:is>
      </x:c>
      <x:c r="R314" s="520" t="inlineStr">
        <x:is>
          <x:t xml:space="preserve">Yes</x:t>
        </x:is>
      </x:c>
      <x:c r="S314" s="520" t="inlineStr">
        <x:is>
          <x:t xml:space="preserve">No</x:t>
        </x:is>
      </x:c>
      <x:c r="T314" s="520" t="inlineStr">
        <x:is>
          <x:t xml:space="preserve">Yes</x:t>
        </x:is>
      </x:c>
      <x:c r="U314" s="520" t="inlineStr">
        <x:is>
          <x:t xml:space="preserve">Yes: 5 (legal supports)</x:t>
        </x:is>
      </x:c>
      <x:c r="V314" s="520" t="inlineStr">
        <x:is>
          <x:t xml:space="preserve">High</x:t>
        </x:is>
      </x:c>
      <x:c r="W314" s="520" t="inlineStr">
        <x:is>
          <x:t xml:space="preserve">No — no source located</x:t>
        </x:is>
      </x:c>
      <x:c r="X314" s="520" t="inlineStr">
        <x:is>
          <x:t xml:space="preserve">Review</x:t>
        </x:is>
      </x:c>
      <x:c r="Y314" s="520" t="inlineStr">
        <x:is>
          <x:t xml:space="preserve">Interest amount needs review</x:t>
        </x:is>
      </x:c>
      <x:c r="Z314" s="520" t="inlineStr">
        <x:is>
          <x:t xml:space="preserve">Review</x:t>
        </x:is>
      </x:c>
      <x:c r="AA314" s="520" t="inlineStr">
        <x:is>
          <x:t xml:space="preserve">Ratification of Oil and Gas Leas — Molly Devenas to EOG Resources, Inc. (1793/501)</x:t>
        </x:is>
      </x:c>
      <x:c r="AB314" s="520" t="inlineStr">
        <x:is>
          <x:t xml:space="preserve">Needs source review: no source of title, interest amount</x:t>
        </x:is>
      </x:c>
    </x:row>
    <x:row r="315" s="520" customFormat="1" ht="48" customHeight="1">
      <x:c r="A315" s="519" t="inlineStr">
        <x:is>
          <x:t xml:space="preserve">2005-001909</x:t>
        </x:is>
      </x:c>
      <x:c r="B315" s="536" t="n"/>
      <x:c r="C315" s="536" t="inlineStr">
        <x:is>
          <x:t xml:space="preserve">Mineral Deed</x:t>
        </x:is>
      </x:c>
      <x:c r="D315" s="536" t="inlineStr">
        <x:is>
          <x:t xml:space="preserve">1783/306</x:t>
        </x:is>
      </x:c>
      <x:c r="E315" s="537" t="n">
        <x:v>38446</x:v>
      </x:c>
      <x:c r="F315" s="537" t="n">
        <x:v>38446</x:v>
      </x:c>
      <x:c r="G315" s="538" t="inlineStr">
        <x:is>
          <x:t xml:space="preserve">John William Bain</x:t>
        </x:is>
      </x:c>
      <x:c r="H315" s="538" t="inlineStr">
        <x:is>
          <x:t xml:space="preserve">G. &amp; T. Partnership, C/O Michelle Martin, Manager</x:t>
        </x:is>
      </x:c>
      <x:c r="I315" s="538" t="inlineStr">
        <x:is>
          <x:t xml:space="preserve">NW/4 SE/4, S/2 SE/4, SW/4 NE/4 of 31-12N-24W, aol</x:t>
        </x:is>
      </x:c>
      <x:c r="J315" s="538" t="inlineStr">
        <x:is>
          <x:t xml:space="preserve">ARTI
It is the Intent to convey All Grantor's mineral interest he now possesses and may acquire as heir of Billy Wayne Bain, deceased</x:t>
        </x:is>
      </x:c>
      <x:c r="K315" s="518" t="e">
        <x:f>HYPERLINK("https://okcountyrecords.com/detail/roger+mills/2005-001909","OKCountyRecords: 2005-001909")</x:f>
      </x:c>
      <x:c r="L315" s="519" t="inlineStr">
        <x:is>
          <x:t xml:space="preserve">Mineral; basis Conv Amt(dec). Gross=tract-map basis.</x:t>
        </x:is>
      </x:c>
      <x:c r="M315" s="519" t="inlineStr">
        <x:is>
          <x:t xml:space="preserve">CURRENT OWNER SOURCE</x:t>
        </x:is>
      </x:c>
      <x:c r="N315" s="519" t="n"/>
      <x:c r="O315" s="519" t="inlineStr">
        <x:is>
          <x:t xml:space="preserve">OUTSIDE LANDS</x:t>
        </x:is>
      </x:c>
      <x:c r="P315" s="520" t="inlineStr">
        <x:is>
          <x:t xml:space="preserve">Chain — minerals</x:t>
        </x:is>
      </x:c>
      <x:c r="Q315" s="520" t="inlineStr">
        <x:is>
          <x:t xml:space="preserve">Yes</x:t>
        </x:is>
      </x:c>
      <x:c r="R315" s="520" t="inlineStr">
        <x:is>
          <x:t xml:space="preserve">No</x:t>
        </x:is>
      </x:c>
      <x:c r="S315" s="520" t="inlineStr">
        <x:is>
          <x:t xml:space="preserve">Yes</x:t>
        </x:is>
      </x:c>
      <x:c r="T315" s="520" t="inlineStr">
        <x:is>
          <x:t xml:space="preserve">No</x:t>
        </x:is>
      </x:c>
      <x:c r="U315" s="520" t="inlineStr">
        <x:is>
          <x:t xml:space="preserve">Yes: 2 (legal supports)</x:t>
        </x:is>
      </x:c>
      <x:c r="V315" s="520" t="inlineStr">
        <x:is>
          <x:t xml:space="preserve">High</x:t>
        </x:is>
      </x:c>
      <x:c r="W315" s="520" t="inlineStr">
        <x:is>
          <x:t xml:space="preserve">Probable — name-normalized match to Runsheet 70 grantee; confirm</x:t>
        </x:is>
      </x:c>
      <x:c r="X315" s="520" t="inlineStr">
        <x:is>
          <x:t xml:space="preserve">Review</x:t>
        </x:is>
      </x:c>
      <x:c r="Y315" s="520" t="inlineStr">
        <x:is>
          <x:t xml:space="preserve">Candidate 1 (helper — confirm from image)</x:t>
        </x:is>
      </x:c>
      <x:c r="Z315" s="520" t="inlineStr">
        <x:is>
          <x:t xml:space="preserve">Medium — helper value</x:t>
        </x:is>
      </x:c>
      <x:c r="AA315" s="520" t="inlineStr">
        <x:is>
          <x:t xml:space="preserve">Mineral Deed — John William Bain to G. &amp; T. Partnership, C/O Miche (1783/306)</x:t>
        </x:is>
      </x:c>
      <x:c r="AB315" s="520" t="inlineStr">
        <x:is>
          <x:t xml:space="preserve">Needs source review: grantor source</x:t>
        </x:is>
      </x:c>
    </x:row>
    <x:row r="316" s="520" customFormat="1" ht="96" customHeight="1">
      <x:c r="A316" s="519" t="inlineStr">
        <x:is>
          <x:t xml:space="preserve">2005-002552</x:t>
        </x:is>
      </x:c>
      <x:c r="B316" s="536" t="n">
        <x:v>25</x:v>
      </x:c>
      <x:c r="C316" s="536" t="inlineStr">
        <x:is>
          <x:t xml:space="preserve">Oil and Gas Lease</x:t>
        </x:is>
      </x:c>
      <x:c r="D316" s="536" t="inlineStr">
        <x:is>
          <x:t xml:space="preserve">1786/335</x:t>
        </x:is>
      </x:c>
      <x:c r="E316" s="537" t="n">
        <x:v>38447</x:v>
      </x:c>
      <x:c r="F316" s="537" t="n">
        <x:v>38462</x:v>
      </x:c>
      <x:c r="G316" s="538" t="inlineStr">
        <x:is>
          <x:t xml:space="preserve">Roger Klopfenstein and Linda Klopfenstein. HW
508 Willow
Tuttle, OK 73084</x:t>
        </x:is>
      </x:c>
      <x:c r="H316" s="538" t="inlineStr">
        <x:is>
          <x:t xml:space="preserve">Chesapeake Exploration Limited Partnership, an Oklahoma limited partnership</x:t>
        </x:is>
      </x:c>
      <x:c r="I316" s="538" t="inlineStr">
        <x:is>
          <x:t xml:space="preserve">Lot 4 &amp; S/2 of Lot 3 , S/2 NE/4 SW/4, SE/4 SW/4 of 31-12N-24W</x:t>
        </x:is>
      </x:c>
      <x:c r="J316" s="538" t="inlineStr">
        <x:is>
          <x:t xml:space="preserve">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 Full recital in recorded instrument — see Link.</x:t>
        </x:is>
      </x:c>
      <x:c r="K316" s="518" t="e">
        <x:f>HYPERLINK("https://okcountyrecords.com/detail/roger+mills/2005-002552","OKCountyRecords: 2005-002552")</x:f>
      </x:c>
      <x:c r="L316" s="519" t="inlineStr">
        <x:is>
          <x:t xml:space="preserve">Leasehold (non-mineral; excluded from mineral NMA). Gross=tract-map basis.</x:t>
        </x:is>
      </x:c>
      <x:c r="M316" s="519" t="inlineStr">
        <x:is>
          <x:t xml:space="preserve">CURRENT LEASE SOURCE</x:t>
        </x:is>
      </x:c>
      <x:c r="N316" s="519" t="n"/>
      <x:c r="O316" s="519" t="inlineStr">
        <x:is>
          <x:t xml:space="preserve">OGL / BASE LEASE</x:t>
        </x:is>
      </x:c>
      <x:c r="P316" s="520" t="inlineStr">
        <x:is>
          <x:t xml:space="preserve">Chain — leasehold (OGL)</x:t>
        </x:is>
      </x:c>
      <x:c r="Q316" s="520" t="inlineStr">
        <x:is>
          <x:t xml:space="preserve">No</x:t>
        </x:is>
      </x:c>
      <x:c r="R316" s="520" t="inlineStr">
        <x:is>
          <x:t xml:space="preserve">Yes</x:t>
        </x:is>
      </x:c>
      <x:c r="S316" s="520" t="inlineStr">
        <x:is>
          <x:t xml:space="preserve">No</x:t>
        </x:is>
      </x:c>
      <x:c r="T316" s="520" t="inlineStr">
        <x:is>
          <x:t xml:space="preserve">Yes</x:t>
        </x:is>
      </x:c>
      <x:c r="U316" s="520" t="inlineStr">
        <x:is>
          <x:t xml:space="preserve">Legal maps to 5, 7, 9; helper says 2, 3, 5, 7</x:t>
        </x:is>
      </x:c>
      <x:c r="V316" s="520" t="inlineStr">
        <x:is>
          <x:t xml:space="preserve">Review</x:t>
        </x:is>
      </x:c>
      <x:c r="W316" s="520" t="inlineStr">
        <x:is>
          <x:t xml:space="preserve">Review — no exact prior-grantee match</x:t>
        </x:is>
      </x:c>
      <x:c r="X316" s="520" t="inlineStr">
        <x:is>
          <x:t xml:space="preserve">Review</x:t>
        </x:is>
      </x:c>
      <x:c r="Y316" s="520" t="inlineStr">
        <x:is>
          <x:t xml:space="preserve">Interest amount needs review</x:t>
        </x:is>
      </x:c>
      <x:c r="Z316" s="520" t="inlineStr">
        <x:is>
          <x:t xml:space="preserve">Review</x:t>
        </x:is>
      </x:c>
      <x:c r="AA316" s="520" t="inlineStr">
        <x:is>
          <x:t xml:space="preserve">Oil and Gas Lease — Roger Klopfenstein and Linda K to Chesapeake Exploration Limited (1786/335)</x:t>
        </x:is>
      </x:c>
      <x:c r="AB316" s="520" t="inlineStr">
        <x:is>
          <x:t xml:space="preserve">Needs source review: tract, grantor source, interest amount</x:t>
        </x:is>
      </x:c>
    </x:row>
    <x:row r="317" s="520" customFormat="1" ht="60" customHeight="1">
      <x:c r="A317" s="519" t="inlineStr">
        <x:is>
          <x:t xml:space="preserve">2005-002196</x:t>
        </x:is>
      </x:c>
      <x:c r="B317" s="536" t="n"/>
      <x:c r="C317" s="536" t="inlineStr">
        <x:is>
          <x:t xml:space="preserve">Decree</x:t>
        </x:is>
      </x:c>
      <x:c r="D317" s="536" t="inlineStr">
        <x:is>
          <x:t xml:space="preserve">1784/591</x:t>
        </x:is>
      </x:c>
      <x:c r="E317" s="537" t="n">
        <x:v>38455</x:v>
      </x:c>
      <x:c r="F317" s="537" t="n">
        <x:v>38455</x:v>
      </x:c>
      <x:c r="G317" s="538" t="inlineStr">
        <x:is>
          <x:t xml:space="preserve">Roger Mills County Court
RE: In the Matter of the Estate of Virgil Mark Hambrook, Deceased</x:t>
        </x:is>
      </x:c>
      <x:c r="H317" s="538" t="inlineStr">
        <x:is>
          <x:t xml:space="preserve">Sandra York, a/k/a Sandra Lorraine York, a/k/a Sandra Lorrain
York</x:t>
        </x:is>
      </x:c>
      <x:c r="I317" s="538" t="inlineStr">
        <x:is>
          <x:t xml:space="preserve">Lots 1, 2, a/d/a W/2 NW/4, N/2 of Lot 3 of 31-12N-24W</x:t>
        </x:is>
      </x:c>
      <x:c r="J317" s="538" t="inlineStr">
        <x:is>
          <x:t xml:space="preserve">ARTI, 25.1002, NMA
Tract 1: An undivided 16.38915 mineral acres interest, more or less, lying under Lots 1 and 2, a/d/a the W/2 NW/4 of 31-12N-24W
Tract 2: An undivided 8.71105 mineral acres interest, more or less, lying under the North Half of Lot 3 of 31-12N-24W, aol</x:t>
        </x:is>
      </x:c>
      <x:c r="K317" s="518" t="e">
        <x:f>HYPERLINK("https://okcountyrecords.com/detail/roger+mills/2005-002196","OKCountyRecords: 2005-002196")</x:f>
      </x:c>
      <x:c r="L317" s="519" t="inlineStr">
        <x:is>
          <x:t xml:space="preserve">Mineral; basis Conv Amt(dec). Gross=tract-map basis.</x:t>
        </x:is>
      </x:c>
      <x:c r="M317" s="519" t="inlineStr">
        <x:is>
          <x:t xml:space="preserve">CURRENT OWNER SOURCE</x:t>
        </x:is>
      </x:c>
      <x:c r="N317" s="519" t="n"/>
      <x:c r="O317" s="519" t="inlineStr">
        <x:is>
          <x:t xml:space="preserve">OUTSIDE LANDS</x:t>
        </x:is>
      </x:c>
      <x:c r="P317" s="520" t="inlineStr">
        <x:is>
          <x:t xml:space="preserve">Chain — title support (succession/entity/probate)</x:t>
        </x:is>
      </x:c>
      <x:c r="Q317" s="520" t="inlineStr">
        <x:is>
          <x:t xml:space="preserve">Yes</x:t>
        </x:is>
      </x:c>
      <x:c r="R317" s="520" t="inlineStr">
        <x:is>
          <x:t xml:space="preserve">No</x:t>
        </x:is>
      </x:c>
      <x:c r="S317" s="520" t="inlineStr">
        <x:is>
          <x:t xml:space="preserve">Yes</x:t>
        </x:is>
      </x:c>
      <x:c r="T317" s="520" t="inlineStr">
        <x:is>
          <x:t xml:space="preserve">No</x:t>
        </x:is>
      </x:c>
      <x:c r="U317" s="520" t="inlineStr">
        <x:is>
          <x:t xml:space="preserve">Yes: 5, 6 (legal supports)</x:t>
        </x:is>
      </x:c>
      <x:c r="V317" s="520" t="inlineStr">
        <x:is>
          <x:t xml:space="preserve">High</x:t>
        </x:is>
      </x:c>
      <x:c r="W317" s="520" t="inlineStr">
        <x:is>
          <x:t xml:space="preserve">Review — no exact prior-grantee match</x:t>
        </x:is>
      </x:c>
      <x:c r="X317" s="520" t="inlineStr">
        <x:is>
          <x:t xml:space="preserve">Review</x:t>
        </x:is>
      </x:c>
      <x:c r="Y317" s="520" t="inlineStr">
        <x:is>
          <x:t xml:space="preserve">Candidate 1 (helper — confirm from image)</x:t>
        </x:is>
      </x:c>
      <x:c r="Z317" s="520" t="inlineStr">
        <x:is>
          <x:t xml:space="preserve">Medium — helper value</x:t>
        </x:is>
      </x:c>
      <x:c r="AA317" s="520" t="inlineStr">
        <x:is>
          <x:t xml:space="preserve">Decree — Roger Mills County Court to Sandra York, a/k/a Sandra Lorr (1784/591)</x:t>
        </x:is>
      </x:c>
      <x:c r="AB317" s="520" t="inlineStr">
        <x:is>
          <x:t xml:space="preserve">Needs source review: grantor source</x:t>
        </x:is>
      </x:c>
    </x:row>
    <x:row r="318" s="520" customFormat="1" ht="48" customHeight="1">
      <x:c r="A318" s="519" t="inlineStr">
        <x:is>
          <x:t xml:space="preserve">2005-002831</x:t>
        </x:is>
      </x:c>
      <x:c r="B318" s="536" t="n">
        <x:v>63</x:v>
      </x:c>
      <x:c r="C318" s="536" t="inlineStr">
        <x:is>
          <x:t xml:space="preserve">Oil and Gas Lease</x:t>
        </x:is>
      </x:c>
      <x:c r="D318" s="536" t="inlineStr">
        <x:is>
          <x:t xml:space="preserve">1788/24</x:t>
        </x:is>
      </x:c>
      <x:c r="E318" s="537" t="n">
        <x:v>38457</x:v>
      </x:c>
      <x:c r="F318" s="537" t="n">
        <x:v>38474</x:v>
      </x:c>
      <x:c r="G318" s="538" t="inlineStr">
        <x:is>
          <x:t xml:space="preserve">Arrowhead Resources, Inc.</x:t>
        </x:is>
      </x:c>
      <x:c r="H318" s="538" t="inlineStr">
        <x:is>
          <x:t xml:space="preserve">Arrowhead Explor &amp; Prod Co.</x:t>
        </x:is>
      </x:c>
      <x:c r="I318" s="538" t="inlineStr">
        <x:is>
          <x:t xml:space="preserve">SE/4 SW/4 of 31-12N-24W</x:t>
        </x:is>
      </x:c>
      <x:c r="J318" s="538" t="inlineStr">
        <x:is>
          <x:t xml:space="preserve">40 gross acres
5 yrs
3/16ths royalty</x:t>
        </x:is>
      </x:c>
      <x:c r="K318" s="518" t="e">
        <x:f>HYPERLINK("https://okcountyrecords.com/detail/roger+mills/2005-002831","OKCountyRecords: 2005-002831")</x:f>
      </x:c>
      <x:c r="L318" s="519" t="inlineStr">
        <x:is>
          <x:t xml:space="preserve">Leasehold (non-mineral; excluded from mineral NMA). Gross=tract-map basis.</x:t>
        </x:is>
      </x:c>
      <x:c r="M318" s="519" t="inlineStr">
        <x:is>
          <x:t xml:space="preserve">CURRENT LEASE SOURCE</x:t>
        </x:is>
      </x:c>
      <x:c r="N318" s="519" t="n"/>
      <x:c r="O318" s="519" t="inlineStr">
        <x:is>
          <x:t xml:space="preserve">OGL / BASE LEASE</x:t>
        </x:is>
      </x:c>
      <x:c r="P318" s="520" t="inlineStr">
        <x:is>
          <x:t xml:space="preserve">Chain — leasehold (OGL)</x:t>
        </x:is>
      </x:c>
      <x:c r="Q318" s="520" t="inlineStr">
        <x:is>
          <x:t xml:space="preserve">No</x:t>
        </x:is>
      </x:c>
      <x:c r="R318" s="520" t="inlineStr">
        <x:is>
          <x:t xml:space="preserve">Yes</x:t>
        </x:is>
      </x:c>
      <x:c r="S318" s="520" t="inlineStr">
        <x:is>
          <x:t xml:space="preserve">No</x:t>
        </x:is>
      </x:c>
      <x:c r="T318" s="520" t="inlineStr">
        <x:is>
          <x:t xml:space="preserve">Yes</x:t>
        </x:is>
      </x:c>
      <x:c r="U318" s="520" t="inlineStr">
        <x:is>
          <x:t xml:space="preserve">Yes: 5 (legal supports)</x:t>
        </x:is>
      </x:c>
      <x:c r="V318" s="520" t="inlineStr">
        <x:is>
          <x:t xml:space="preserve">High</x:t>
        </x:is>
      </x:c>
      <x:c r="W318" s="520" t="inlineStr">
        <x:is>
          <x:t xml:space="preserve">Yes — prior grantee match</x:t>
        </x:is>
      </x:c>
      <x:c r="X318" s="520" t="inlineStr">
        <x:is>
          <x:t xml:space="preserve">Review</x:t>
        </x:is>
      </x:c>
      <x:c r="Y318" s="520" t="inlineStr">
        <x:is>
          <x:t xml:space="preserve">Interest amount needs review</x:t>
        </x:is>
      </x:c>
      <x:c r="Z318" s="520" t="inlineStr">
        <x:is>
          <x:t xml:space="preserve">Review</x:t>
        </x:is>
      </x:c>
      <x:c r="AA318" s="520" t="inlineStr">
        <x:is>
          <x:t xml:space="preserve">Oil and Gas Lease — Arrowhead Resources, Inc. to Arrowhead Explor &amp; Prod Co. (1788/24)</x:t>
        </x:is>
      </x:c>
      <x:c r="AB318" s="520" t="inlineStr">
        <x:is>
          <x:t xml:space="preserve">Needs source review: interest amount</x:t>
        </x:is>
      </x:c>
    </x:row>
    <x:row r="319" s="520" customFormat="1" ht="48" customHeight="1">
      <x:c r="A319" s="519" t="inlineStr">
        <x:is>
          <x:t xml:space="preserve">2005-004817</x:t>
        </x:is>
      </x:c>
      <x:c r="B319" s="536" t="n">
        <x:v>26</x:v>
      </x:c>
      <x:c r="C319" s="536" t="inlineStr">
        <x:is>
          <x:t xml:space="preserve">Oil and Gas Lease</x:t>
        </x:is>
      </x:c>
      <x:c r="D319" s="536" t="inlineStr">
        <x:is>
          <x:t xml:space="preserve">1798/148</x:t>
        </x:is>
      </x:c>
      <x:c r="E319" s="537" t="n">
        <x:v>38468</x:v>
      </x:c>
      <x:c r="F319" s="537" t="n">
        <x:v>38551</x:v>
      </x:c>
      <x:c r="G319" s="538" t="inlineStr">
        <x:is>
          <x:t xml:space="preserve">Dwight J. Williams
c/o Robert M. Collins.
100 N. Main #608
Wichita, KS 67202</x:t>
        </x:is>
      </x:c>
      <x:c r="H319" s="538" t="inlineStr">
        <x:is>
          <x:t xml:space="preserve">Chesapeake Exploration Limited Partnership, an Oklahoma limited partnership</x:t>
        </x:is>
      </x:c>
      <x:c r="I319" s="538" t="inlineStr">
        <x:is>
          <x:t xml:space="preserve">NW/4 SE/4, S/2 SE/4, SW/4 NE/4 of 31-12N-24W</x:t>
        </x:is>
      </x:c>
      <x:c r="J319" s="538" t="inlineStr">
        <x:is>
          <x:t xml:space="preserve">160 gross acres
3 yrs
3/16ths royalty</x:t>
        </x:is>
      </x:c>
      <x:c r="K319" s="518" t="e">
        <x:f>HYPERLINK("https://okcountyrecords.com/detail/roger+mills/2005-004817","OKCountyRecords: 2005-004817")</x:f>
      </x:c>
      <x:c r="L319" s="519" t="inlineStr">
        <x:is>
          <x:t xml:space="preserve">Leasehold (non-mineral; excluded from mineral NMA). Gross=tract-map basis.</x:t>
        </x:is>
      </x:c>
      <x:c r="M319" s="519" t="inlineStr">
        <x:is>
          <x:t xml:space="preserve">CURRENT LEASE SOURCE</x:t>
        </x:is>
      </x:c>
      <x:c r="N319" s="519" t="n"/>
      <x:c r="O319" s="519" t="inlineStr">
        <x:is>
          <x:t xml:space="preserve">OGL / BASE LEASE</x:t>
        </x:is>
      </x:c>
      <x:c r="P319" s="520" t="inlineStr">
        <x:is>
          <x:t xml:space="preserve">Chain — leasehold (OGL)</x:t>
        </x:is>
      </x:c>
      <x:c r="Q319" s="520" t="inlineStr">
        <x:is>
          <x:t xml:space="preserve">No</x:t>
        </x:is>
      </x:c>
      <x:c r="R319" s="520" t="inlineStr">
        <x:is>
          <x:t xml:space="preserve">Yes</x:t>
        </x:is>
      </x:c>
      <x:c r="S319" s="520" t="inlineStr">
        <x:is>
          <x:t xml:space="preserve">No</x:t>
        </x:is>
      </x:c>
      <x:c r="T319" s="520" t="inlineStr">
        <x:is>
          <x:t xml:space="preserve">Yes</x:t>
        </x:is>
      </x:c>
      <x:c r="U319" s="520" t="inlineStr">
        <x:is>
          <x:t xml:space="preserve">Yes: 2 (legal supports)</x:t>
        </x:is>
      </x:c>
      <x:c r="V319" s="520" t="inlineStr">
        <x:is>
          <x:t xml:space="preserve">High</x:t>
        </x:is>
      </x:c>
      <x:c r="W319" s="520" t="inlineStr">
        <x:is>
          <x:t xml:space="preserve">Review — no exact prior-grantee match</x:t>
        </x:is>
      </x:c>
      <x:c r="X319" s="520" t="inlineStr">
        <x:is>
          <x:t xml:space="preserve">Review</x:t>
        </x:is>
      </x:c>
      <x:c r="Y319" s="520" t="inlineStr">
        <x:is>
          <x:t xml:space="preserve">Interest amount needs review</x:t>
        </x:is>
      </x:c>
      <x:c r="Z319" s="520" t="inlineStr">
        <x:is>
          <x:t xml:space="preserve">Review</x:t>
        </x:is>
      </x:c>
      <x:c r="AA319" s="520" t="inlineStr">
        <x:is>
          <x:t xml:space="preserve">Oil and Gas Lease — Dwight J. Williams to Chesapeake Exploration Limited (1798/148)</x:t>
        </x:is>
      </x:c>
      <x:c r="AB319" s="520" t="inlineStr">
        <x:is>
          <x:t xml:space="preserve">Needs source review: grantor source, interest amount</x:t>
        </x:is>
      </x:c>
    </x:row>
    <x:row r="320" s="520" customFormat="1" ht="72" customHeight="1">
      <x:c r="A320" s="519" t="inlineStr">
        <x:is>
          <x:t xml:space="preserve">2005-004863</x:t>
        </x:is>
      </x:c>
      <x:c r="B320" s="536" t="n">
        <x:v>28</x:v>
      </x:c>
      <x:c r="C320" s="536" t="inlineStr">
        <x:is>
          <x:t xml:space="preserve">Oil and Gas Lease</x:t>
        </x:is>
      </x:c>
      <x:c r="D320" s="536" t="inlineStr">
        <x:is>
          <x:t xml:space="preserve">1798/292</x:t>
        </x:is>
      </x:c>
      <x:c r="E320" s="537" t="n">
        <x:v>38468</x:v>
      </x:c>
      <x:c r="F320" s="537" t="n">
        <x:v>38552</x:v>
      </x:c>
      <x:c r="G320" s="538" t="inlineStr">
        <x:is>
          <x:t xml:space="preserve">Jan A. Schroff. Trustee of The Jan A. Schroff Trust under Trust Agreement dated Anril 8. 1998
c/o Robert M. Collins
100 N. Main #608
Wichita, KS 67202</x:t>
        </x:is>
      </x:c>
      <x:c r="H320" s="538" t="inlineStr">
        <x:is>
          <x:t xml:space="preserve">Chesapeake Exploration Limited Partnership, an Oklahoma limited partnership</x:t>
        </x:is>
      </x:c>
      <x:c r="I320" s="538" t="inlineStr">
        <x:is>
          <x:t xml:space="preserve">NW/4 SE/4, S/2 SE/4, SW/4 NE/4 of 31-12N-24W</x:t>
        </x:is>
      </x:c>
      <x:c r="J320" s="538" t="inlineStr">
        <x:is>
          <x:t xml:space="preserve">160 gross acres
3 yrs
3/16ths royalty
Jan Ann Schroff, 14.286% ARTI, An undivided 10/791.47ths interest in the oil, gas and other minerals by Final Decree at 1479/191</x:t>
        </x:is>
      </x:c>
      <x:c r="K320" s="518" t="e">
        <x:f>HYPERLINK("https://okcountyrecords.com/detail/roger+mills/2005-004863","OKCountyRecords: 2005-004863")</x:f>
      </x:c>
      <x:c r="L320" s="519" t="inlineStr">
        <x:is>
          <x:t xml:space="preserve">Leasehold (non-mineral; excluded from mineral NMA). Gross=tract-map basis.</x:t>
        </x:is>
      </x:c>
      <x:c r="M320" s="519" t="inlineStr">
        <x:is>
          <x:t xml:space="preserve">CURRENT LEASE SOURCE</x:t>
        </x:is>
      </x:c>
      <x:c r="N320" s="519" t="n"/>
      <x:c r="O320" s="519" t="inlineStr">
        <x:is>
          <x:t xml:space="preserve">OGL / BASE LEASE</x:t>
        </x:is>
      </x:c>
      <x:c r="P320" s="520" t="inlineStr">
        <x:is>
          <x:t xml:space="preserve">Chain — leasehold (OGL)</x:t>
        </x:is>
      </x:c>
      <x:c r="Q320" s="520" t="inlineStr">
        <x:is>
          <x:t xml:space="preserve">No</x:t>
        </x:is>
      </x:c>
      <x:c r="R320" s="520" t="inlineStr">
        <x:is>
          <x:t xml:space="preserve">Yes</x:t>
        </x:is>
      </x:c>
      <x:c r="S320" s="520" t="inlineStr">
        <x:is>
          <x:t xml:space="preserve">No</x:t>
        </x:is>
      </x:c>
      <x:c r="T320" s="520" t="inlineStr">
        <x:is>
          <x:t xml:space="preserve">Yes</x:t>
        </x:is>
      </x:c>
      <x:c r="U320" s="520" t="inlineStr">
        <x:is>
          <x:t xml:space="preserve">Yes: 2 (legal supports)</x:t>
        </x:is>
      </x:c>
      <x:c r="V320" s="520" t="inlineStr">
        <x:is>
          <x:t xml:space="preserve">High</x:t>
        </x:is>
      </x:c>
      <x:c r="W320" s="520" t="inlineStr">
        <x:is>
          <x:t xml:space="preserve">Probable — name-normalized match to Runsheet 223 grantee; confirm</x:t>
        </x:is>
      </x:c>
      <x:c r="X320" s="520" t="inlineStr">
        <x:is>
          <x:t xml:space="preserve">Review</x:t>
        </x:is>
      </x:c>
      <x:c r="Y320" s="520" t="inlineStr">
        <x:is>
          <x:t xml:space="preserve">Interest amount needs review</x:t>
        </x:is>
      </x:c>
      <x:c r="Z320" s="520" t="inlineStr">
        <x:is>
          <x:t xml:space="preserve">Review</x:t>
        </x:is>
      </x:c>
      <x:c r="AA320" s="520" t="inlineStr">
        <x:is>
          <x:t xml:space="preserve">Oil and Gas Lease — Jan A. Schroff. Trustee of The to Chesapeake Exploration Limited (1798/292)</x:t>
        </x:is>
      </x:c>
      <x:c r="AB320" s="520" t="inlineStr">
        <x:is>
          <x:t xml:space="preserve">Needs source review: grantor source, interest amount</x:t>
        </x:is>
      </x:c>
    </x:row>
    <x:row r="321" s="520" customFormat="1" ht="72" customHeight="1">
      <x:c r="A321" s="519" t="inlineStr">
        <x:is>
          <x:t xml:space="preserve">2005-004816</x:t>
        </x:is>
      </x:c>
      <x:c r="B321" s="536" t="n">
        <x:v>38</x:v>
      </x:c>
      <x:c r="C321" s="536" t="inlineStr">
        <x:is>
          <x:t xml:space="preserve">Oil and Gas Lease</x:t>
        </x:is>
      </x:c>
      <x:c r="D321" s="536" t="inlineStr">
        <x:is>
          <x:t xml:space="preserve">1798/146</x:t>
        </x:is>
      </x:c>
      <x:c r="E321" s="537" t="n">
        <x:v>38468</x:v>
      </x:c>
      <x:c r="F321" s="537" t="n">
        <x:v>38551</x:v>
      </x:c>
      <x:c r="G321" s="538" t="inlineStr">
        <x:is>
          <x:t xml:space="preserve">Rogene E. Williams. Trustee of the Jon T. Williams and Rogene E. Williams Trust dated 4-6-98
c/o Robert M. Collins.
100 N. Main #608
Wichita, KS 67202</x:t>
        </x:is>
      </x:c>
      <x:c r="H321" s="538" t="inlineStr">
        <x:is>
          <x:t xml:space="preserve">Chesapeake Exploration Limited Partnership, an Oklahoma limited partnership</x:t>
        </x:is>
      </x:c>
      <x:c r="I321" s="538" t="inlineStr">
        <x:is>
          <x:t xml:space="preserve">NW/4 SE/4, S/2 SE/4, SW/4 NE/4 of 31-12N-24W</x:t>
        </x:is>
      </x:c>
      <x:c r="J321" s="538" t="inlineStr">
        <x:is>
          <x:t xml:space="preserve">160 gross acres
3 yrs
3/16ths royalty</x:t>
        </x:is>
      </x:c>
      <x:c r="K321" s="518" t="e">
        <x:f>HYPERLINK("https://okcountyrecords.com/detail/roger+mills/2005-004816","OKCountyRecords: 2005-004816")</x:f>
      </x:c>
      <x:c r="L321" s="519" t="inlineStr">
        <x:is>
          <x:t xml:space="preserve">Leasehold (non-mineral; excluded from mineral NMA). Gross=tract-map basis.</x:t>
        </x:is>
      </x:c>
      <x:c r="M321" s="519" t="inlineStr">
        <x:is>
          <x:t xml:space="preserve">CURRENT LEASE SOURCE</x:t>
        </x:is>
      </x:c>
      <x:c r="N321" s="519" t="n"/>
      <x:c r="O321" s="519" t="inlineStr">
        <x:is>
          <x:t xml:space="preserve">OGL / BASE LEASE</x:t>
        </x:is>
      </x:c>
      <x:c r="P321" s="520" t="inlineStr">
        <x:is>
          <x:t xml:space="preserve">Chain — leasehold (OGL)</x:t>
        </x:is>
      </x:c>
      <x:c r="Q321" s="520" t="inlineStr">
        <x:is>
          <x:t xml:space="preserve">No</x:t>
        </x:is>
      </x:c>
      <x:c r="R321" s="520" t="inlineStr">
        <x:is>
          <x:t xml:space="preserve">Yes</x:t>
        </x:is>
      </x:c>
      <x:c r="S321" s="520" t="inlineStr">
        <x:is>
          <x:t xml:space="preserve">No</x:t>
        </x:is>
      </x:c>
      <x:c r="T321" s="520" t="inlineStr">
        <x:is>
          <x:t xml:space="preserve">Yes</x:t>
        </x:is>
      </x:c>
      <x:c r="U321" s="520" t="inlineStr">
        <x:is>
          <x:t xml:space="preserve">Yes: 2 (legal supports)</x:t>
        </x:is>
      </x:c>
      <x:c r="V321" s="520" t="inlineStr">
        <x:is>
          <x:t xml:space="preserve">High</x:t>
        </x:is>
      </x:c>
      <x:c r="W321" s="520" t="inlineStr">
        <x:is>
          <x:t xml:space="preserve">Probable — name-normalized match to Runsheet 222 grantee; confirm</x:t>
        </x:is>
      </x:c>
      <x:c r="X321" s="520" t="inlineStr">
        <x:is>
          <x:t xml:space="preserve">Review</x:t>
        </x:is>
      </x:c>
      <x:c r="Y321" s="520" t="inlineStr">
        <x:is>
          <x:t xml:space="preserve">Interest amount needs review</x:t>
        </x:is>
      </x:c>
      <x:c r="Z321" s="520" t="inlineStr">
        <x:is>
          <x:t xml:space="preserve">Review</x:t>
        </x:is>
      </x:c>
      <x:c r="AA321" s="520" t="inlineStr">
        <x:is>
          <x:t xml:space="preserve">Oil and Gas Lease — Rogene E. Williams. Trustee of to Chesapeake Exploration Limited (1798/146)</x:t>
        </x:is>
      </x:c>
      <x:c r="AB321" s="520" t="inlineStr">
        <x:is>
          <x:t xml:space="preserve">Needs source review: grantor source, interest amount</x:t>
        </x:is>
      </x:c>
    </x:row>
    <x:row r="322" s="520" customFormat="1" ht="84" customHeight="1">
      <x:c r="A322" s="519" t="inlineStr">
        <x:is>
          <x:t xml:space="preserve">2005-004818</x:t>
        </x:is>
      </x:c>
      <x:c r="B322" s="536" t="n">
        <x:v>27</x:v>
      </x:c>
      <x:c r="C322" s="536" t="inlineStr">
        <x:is>
          <x:t xml:space="preserve">Oil and Gas Lease</x:t>
        </x:is>
      </x:c>
      <x:c r="D322" s="536" t="inlineStr">
        <x:is>
          <x:t xml:space="preserve">1798/150</x:t>
        </x:is>
      </x:c>
      <x:c r="E322" s="537" t="n">
        <x:v>38468</x:v>
      </x:c>
      <x:c r="F322" s="537" t="n">
        <x:v>38551</x:v>
      </x:c>
      <x:c r="G322" s="538" t="inlineStr">
        <x:is>
          <x:t xml:space="preserve">Stephen M. Criser. Trustee of the "Rive Lind McCaul Trust” under Trust Agreement dated 8-11-95 and
Amended 2-17-98.
c/o Robert M. Collins
100 N. Main #608
Wichita, KS 67202</x:t>
        </x:is>
      </x:c>
      <x:c r="H322" s="538" t="inlineStr">
        <x:is>
          <x:t xml:space="preserve">Chesapeake Exploration Limited Partnership, an Oklahoma limited partnership</x:t>
        </x:is>
      </x:c>
      <x:c r="I322" s="538" t="inlineStr">
        <x:is>
          <x:t xml:space="preserve">NW/4 SE/4, SW/4 NE/4 of 31-12N-24W aol</x:t>
        </x:is>
      </x:c>
      <x:c r="J322" s="538" t="inlineStr">
        <x:is>
          <x:t xml:space="preserve">160 gross acres
3 yrs
3/16ths royalty</x:t>
        </x:is>
      </x:c>
      <x:c r="K322" s="518" t="e">
        <x:f>HYPERLINK("https://okcountyrecords.com/detail/roger+mills/2005-004818","OKCountyRecords: 2005-004818")</x:f>
      </x:c>
      <x:c r="L322" s="519" t="inlineStr">
        <x:is>
          <x:t xml:space="preserve">Leasehold (non-mineral; excluded from mineral NMA). Gross=tract-map basis.</x:t>
        </x:is>
      </x:c>
      <x:c r="M322" s="519" t="inlineStr">
        <x:is>
          <x:t xml:space="preserve">CURRENT LEASE SOURCE</x:t>
        </x:is>
      </x:c>
      <x:c r="N322" s="519" t="n"/>
      <x:c r="O322" s="519" t="inlineStr">
        <x:is>
          <x:t xml:space="preserve">OUTSIDE LANDS</x:t>
        </x:is>
      </x:c>
      <x:c r="P322" s="520" t="inlineStr">
        <x:is>
          <x:t xml:space="preserve">Chain — leasehold (OGL)</x:t>
        </x:is>
      </x:c>
      <x:c r="Q322" s="520" t="inlineStr">
        <x:is>
          <x:t xml:space="preserve">No</x:t>
        </x:is>
      </x:c>
      <x:c r="R322" s="520" t="inlineStr">
        <x:is>
          <x:t xml:space="preserve">Yes</x:t>
        </x:is>
      </x:c>
      <x:c r="S322" s="520" t="inlineStr">
        <x:is>
          <x:t xml:space="preserve">No</x:t>
        </x:is>
      </x:c>
      <x:c r="T322" s="520" t="inlineStr">
        <x:is>
          <x:t xml:space="preserve">Yes</x:t>
        </x:is>
      </x:c>
      <x:c r="U322" s="520" t="inlineStr">
        <x:is>
          <x:t xml:space="preserve">Yes: 2 (legal supports)</x:t>
        </x:is>
      </x:c>
      <x:c r="V322" s="520" t="inlineStr">
        <x:is>
          <x:t xml:space="preserve">High</x:t>
        </x:is>
      </x:c>
      <x:c r="W322" s="520" t="inlineStr">
        <x:is>
          <x:t xml:space="preserve">Probable — name-normalized match to Runsheet 240 grantee; confirm</x:t>
        </x:is>
      </x:c>
      <x:c r="X322" s="520" t="inlineStr">
        <x:is>
          <x:t xml:space="preserve">Review</x:t>
        </x:is>
      </x:c>
      <x:c r="Y322" s="520" t="inlineStr">
        <x:is>
          <x:t xml:space="preserve">Interest amount needs review</x:t>
        </x:is>
      </x:c>
      <x:c r="Z322" s="520" t="inlineStr">
        <x:is>
          <x:t xml:space="preserve">Review</x:t>
        </x:is>
      </x:c>
      <x:c r="AA322" s="520" t="inlineStr">
        <x:is>
          <x:t xml:space="preserve">Oil and Gas Lease — Stephen M. Criser. Trustee of to Chesapeake Exploration Limited (1798/150)</x:t>
        </x:is>
      </x:c>
      <x:c r="AB322" s="520" t="inlineStr">
        <x:is>
          <x:t xml:space="preserve">Needs source review: grantor source, interest amount</x:t>
        </x:is>
      </x:c>
    </x:row>
    <x:row r="323" s="520" customFormat="1" ht="60" customHeight="1">
      <x:c r="A323" s="519" t="inlineStr">
        <x:is>
          <x:t xml:space="preserve">2005-004793</x:t>
        </x:is>
      </x:c>
      <x:c r="B323" s="536" t="n"/>
      <x:c r="C323" s="536" t="inlineStr">
        <x:is>
          <x:t xml:space="preserve">Mineral Deed</x:t>
        </x:is>
      </x:c>
      <x:c r="D323" s="536" t="inlineStr">
        <x:is>
          <x:t xml:space="preserve">1797/463</x:t>
        </x:is>
      </x:c>
      <x:c r="E323" s="537" t="n">
        <x:v>38473</x:v>
      </x:c>
      <x:c r="F323" s="537" t="n">
        <x:v>38548</x:v>
      </x:c>
      <x:c r="G323" s="538" t="inlineStr">
        <x:is>
          <x:t xml:space="preserve">Arrowhead Resources, Inc.</x:t>
        </x:is>
      </x:c>
      <x:c r="H323" s="538" t="inlineStr">
        <x:is>
          <x:t xml:space="preserve">MAP2004-OK</x:t>
        </x:is>
      </x:c>
      <x:c r="I323" s="538" t="inlineStr">
        <x:is>
          <x:t xml:space="preserve">Lots 1, 2, a/d/a W/2 NW/4, N/2 of Lot 3 of 31-12N-24W</x:t>
        </x:is>
      </x:c>
      <x:c r="J323" s="538" t="inlineStr">
        <x:is>
          <x:t xml:space="preserve">A 10.13 net mineral acre interest
It is the intention of the Grantor herein, to convey 10.13 net mineral acres in the above described lands, acquired from Sandra York, aka Sandra Lorraine York, aka Sandra Lorrain York, Individually and as heir of Virgil Hambrook, mineral deed filed in Book 1768, at page 339.</x:t>
        </x:is>
      </x:c>
      <x:c r="K323" s="518" t="e">
        <x:f>HYPERLINK("https://okcountyrecords.com/detail/roger+mills/2005-004793","OKCountyRecords: 2005-004793")</x:f>
      </x:c>
      <x:c r="L323" s="519" t="inlineStr">
        <x:is>
          <x:t xml:space="preserve">Mineral; basis Conv Amt(dec). Gross=tract-map basis.</x:t>
        </x:is>
      </x:c>
      <x:c r="M323" s="519" t="inlineStr">
        <x:is>
          <x:t xml:space="preserve">REVIEW</x:t>
        </x:is>
      </x:c>
      <x:c r="N323" s="519" t="inlineStr">
        <x:is>
          <x:t xml:space="preserve">Conveys 10.13 NMA per notes; conv. dec = 10.13/gross. Verify denominator/tract from image.</x:t>
        </x:is>
      </x:c>
      <x:c r="O323" s="519" t="inlineStr">
        <x:is>
          <x:t xml:space="preserve">MINERAL DEED</x:t>
        </x:is>
      </x:c>
      <x:c r="P323" s="520" t="inlineStr">
        <x:is>
          <x:t xml:space="preserve">Chain — minerals</x:t>
        </x:is>
      </x:c>
      <x:c r="Q323" s="520" t="inlineStr">
        <x:is>
          <x:t xml:space="preserve">Yes</x:t>
        </x:is>
      </x:c>
      <x:c r="R323" s="520" t="inlineStr">
        <x:is>
          <x:t xml:space="preserve">No</x:t>
        </x:is>
      </x:c>
      <x:c r="S323" s="520" t="inlineStr">
        <x:is>
          <x:t xml:space="preserve">Yes</x:t>
        </x:is>
      </x:c>
      <x:c r="T323" s="520" t="inlineStr">
        <x:is>
          <x:t xml:space="preserve">No</x:t>
        </x:is>
      </x:c>
      <x:c r="U323" s="520" t="inlineStr">
        <x:is>
          <x:t xml:space="preserve">Yes: 5, 6 (legal supports)</x:t>
        </x:is>
      </x:c>
      <x:c r="V323" s="520" t="inlineStr">
        <x:is>
          <x:t xml:space="preserve">High</x:t>
        </x:is>
      </x:c>
      <x:c r="W323" s="520" t="inlineStr">
        <x:is>
          <x:t xml:space="preserve">Yes — prior grantee match</x:t>
        </x:is>
      </x:c>
      <x:c r="X323" s="520" t="inlineStr">
        <x:is>
          <x:t xml:space="preserve">Yes — on Tract 5 owner list</x:t>
        </x:is>
      </x:c>
      <x:c r="Y323" s="520" t="inlineStr">
        <x:is>
          <x:t xml:space="preserve">Candidate 0.05065 (helper — confirm from image)</x:t>
        </x:is>
      </x:c>
      <x:c r="Z323" s="520" t="inlineStr">
        <x:is>
          <x:t xml:space="preserve">Medium — helper value</x:t>
        </x:is>
      </x:c>
      <x:c r="AA323" s="520" t="inlineStr">
        <x:is>
          <x:t xml:space="preserve">Mineral Deed — Arrowhead Resources, Inc. to MAP2004-OK (1797/463)</x:t>
        </x:is>
      </x:c>
    </x:row>
    <x:row r="324" s="520" customFormat="1" ht="60" customHeight="1">
      <x:c r="A324" s="519" t="inlineStr">
        <x:is>
          <x:t xml:space="preserve">2005-005251</x:t>
        </x:is>
      </x:c>
      <x:c r="B324" s="536" t="n"/>
      <x:c r="C324" s="536" t="inlineStr">
        <x:is>
          <x:t xml:space="preserve">Mineral Deed</x:t>
        </x:is>
      </x:c>
      <x:c r="D324" s="536" t="inlineStr">
        <x:is>
          <x:t xml:space="preserve">1800/453</x:t>
        </x:is>
      </x:c>
      <x:c r="E324" s="537" t="n">
        <x:v>38473</x:v>
      </x:c>
      <x:c r="F324" s="537" t="n">
        <x:v>38573</x:v>
      </x:c>
      <x:c r="G324" s="538" t="inlineStr">
        <x:is>
          <x:t xml:space="preserve">Arrowhead Resources, Inc.</x:t>
        </x:is>
      </x:c>
      <x:c r="H324" s="538" t="inlineStr">
        <x:is>
          <x:t xml:space="preserve">MAP2004-OK</x:t>
        </x:is>
      </x:c>
      <x:c r="I324" s="538" t="inlineStr">
        <x:is>
          <x:t xml:space="preserve">SE/4 SW/4 of 31-12N-24W</x:t>
        </x:is>
      </x:c>
      <x:c r="J324" s="538" t="inlineStr">
        <x:is>
          <x:t xml:space="preserve">An undivided 2.5 net mineral acre interest,
It is the intention of the Grantor herein, to convey an undivided 2.5 net mineral acres in the above described lands, acquired from Oleta Florene Flanagan, formerly Stewart, a/k/a Oleta Florene Wylie, mineral deed filed in Book 1688, at page 374.</x:t>
        </x:is>
      </x:c>
      <x:c r="K324" s="518" t="e">
        <x:f>HYPERLINK("https://okcountyrecords.com/detail/roger+mills/2005-005251","OKCountyRecords: 2005-005251")</x:f>
      </x:c>
      <x:c r="L324" s="519" t="inlineStr">
        <x:is>
          <x:t xml:space="preserve">Mineral; basis Conv Amt(dec). Gross=tract-map basis.</x:t>
        </x:is>
      </x:c>
      <x:c r="M324" s="519" t="inlineStr">
        <x:is>
          <x:t xml:space="preserve">REVIEW</x:t>
        </x:is>
      </x:c>
      <x:c r="N324" s="519" t="inlineStr">
        <x:is>
          <x:t xml:space="preserve">Conveys 2.5 NMA per notes; conv. dec = 2.5/gross. Verify denominator/tract from image.</x:t>
        </x:is>
      </x:c>
      <x:c r="O324" s="519" t="inlineStr">
        <x:is>
          <x:t xml:space="preserve">MINERAL DEED</x:t>
        </x:is>
      </x:c>
      <x:c r="P324" s="520" t="inlineStr">
        <x:is>
          <x:t xml:space="preserve">Chain — minerals</x:t>
        </x:is>
      </x:c>
      <x:c r="Q324" s="520" t="inlineStr">
        <x:is>
          <x:t xml:space="preserve">Yes</x:t>
        </x:is>
      </x:c>
      <x:c r="R324" s="520" t="inlineStr">
        <x:is>
          <x:t xml:space="preserve">No</x:t>
        </x:is>
      </x:c>
      <x:c r="S324" s="520" t="inlineStr">
        <x:is>
          <x:t xml:space="preserve">Yes</x:t>
        </x:is>
      </x:c>
      <x:c r="T324" s="520" t="inlineStr">
        <x:is>
          <x:t xml:space="preserve">No</x:t>
        </x:is>
      </x:c>
      <x:c r="U324" s="520" t="inlineStr">
        <x:is>
          <x:t xml:space="preserve">Yes: 5 (legal supports)</x:t>
        </x:is>
      </x:c>
      <x:c r="V324" s="520" t="inlineStr">
        <x:is>
          <x:t xml:space="preserve">High</x:t>
        </x:is>
      </x:c>
      <x:c r="W324" s="520" t="inlineStr">
        <x:is>
          <x:t xml:space="preserve">Yes — prior grantee match</x:t>
        </x:is>
      </x:c>
      <x:c r="X324" s="520" t="inlineStr">
        <x:is>
          <x:t xml:space="preserve">Yes — on Tract 5 owner list</x:t>
        </x:is>
      </x:c>
      <x:c r="Y324" s="520" t="inlineStr">
        <x:is>
          <x:t xml:space="preserve">Candidate 0.0208333333333333 (helper — confirm from image)</x:t>
        </x:is>
      </x:c>
      <x:c r="Z324" s="520" t="inlineStr">
        <x:is>
          <x:t xml:space="preserve">Medium — helper value</x:t>
        </x:is>
      </x:c>
      <x:c r="AA324" s="520" t="inlineStr">
        <x:is>
          <x:t xml:space="preserve">Mineral Deed — Arrowhead Resources, Inc. to MAP2004-OK (1800/453)</x:t>
        </x:is>
      </x:c>
    </x:row>
    <x:row r="325" s="520" customFormat="1" ht="60" customHeight="1">
      <x:c r="A325" s="519" t="inlineStr">
        <x:is>
          <x:t xml:space="preserve">2005-003389</x:t>
        </x:is>
      </x:c>
      <x:c r="B325" s="536" t="n"/>
      <x:c r="C325" s="536" t="inlineStr">
        <x:is>
          <x:t xml:space="preserve">Mineral Deed</x:t>
        </x:is>
      </x:c>
      <x:c r="D325" s="536" t="inlineStr">
        <x:is>
          <x:t xml:space="preserve">1790/386</x:t>
        </x:is>
      </x:c>
      <x:c r="E325" s="537" t="n">
        <x:v>38483</x:v>
      </x:c>
      <x:c r="F325" s="537" t="n">
        <x:v>38490</x:v>
      </x:c>
      <x:c r="G325" s="538" t="inlineStr">
        <x:is>
          <x:t xml:space="preserve">Laura Snyder Robertson, formerly Laura L. Snyder</x:t>
        </x:is>
      </x:c>
      <x:c r="H325" s="538" t="inlineStr">
        <x:is>
          <x:t xml:space="preserve">James M. Robertson and/or Rose E. Robertson</x:t>
        </x:is>
      </x:c>
      <x:c r="I325" s="538" t="inlineStr">
        <x:is>
          <x:t xml:space="preserve">NW/4 SE/4, S/2 SE/4, SW/4 NE/4 of 31-12N-24W, aol</x:t>
        </x:is>
      </x:c>
      <x:c r="J325" s="538" t="inlineStr">
        <x:is>
          <x:t xml:space="preserve">2/791.47 acres in 2 sections</x:t>
        </x:is>
      </x:c>
      <x:c r="K325" s="518" t="e">
        <x:f>HYPERLINK("https://okcountyrecords.com/detail/roger+mills/2005-003389","OKCountyRecords: 2005-003389")</x:f>
      </x:c>
      <x:c r="L325" s="519" t="inlineStr">
        <x:is>
          <x:t xml:space="preserve">Mineral; basis Conv Amt(dec). Gross=tract-map basis.</x:t>
        </x:is>
      </x:c>
      <x:c r="M325" s="519" t="inlineStr">
        <x:is>
          <x:t xml:space="preserve">CURRENT OWNER SOURCE</x:t>
        </x:is>
      </x:c>
      <x:c r="N325" s="519" t="n"/>
      <x:c r="O325" s="519" t="inlineStr">
        <x:is>
          <x:t xml:space="preserve">OUTSIDE LANDS</x:t>
        </x:is>
      </x:c>
      <x:c r="P325" s="520" t="inlineStr">
        <x:is>
          <x:t xml:space="preserve">Chain — minerals</x:t>
        </x:is>
      </x:c>
      <x:c r="Q325" s="520" t="inlineStr">
        <x:is>
          <x:t xml:space="preserve">Yes</x:t>
        </x:is>
      </x:c>
      <x:c r="R325" s="520" t="inlineStr">
        <x:is>
          <x:t xml:space="preserve">No</x:t>
        </x:is>
      </x:c>
      <x:c r="S325" s="520" t="inlineStr">
        <x:is>
          <x:t xml:space="preserve">Yes</x:t>
        </x:is>
      </x:c>
      <x:c r="T325" s="520" t="inlineStr">
        <x:is>
          <x:t xml:space="preserve">No</x:t>
        </x:is>
      </x:c>
      <x:c r="U325" s="520" t="inlineStr">
        <x:is>
          <x:t xml:space="preserve">Yes: 2 (legal supports)</x:t>
        </x:is>
      </x:c>
      <x:c r="V325" s="520" t="inlineStr">
        <x:is>
          <x:t xml:space="preserve">High</x:t>
        </x:is>
      </x:c>
      <x:c r="W325" s="520" t="inlineStr">
        <x:is>
          <x:t xml:space="preserve">Probable — name-normalized match to Runsheet 115 grantee; confirm</x:t>
        </x:is>
      </x:c>
      <x:c r="X325" s="520" t="inlineStr">
        <x:is>
          <x:t xml:space="preserve">Yes — on Tract 2 owner list</x:t>
        </x:is>
      </x:c>
      <x:c r="Y325" s="520" t="inlineStr">
        <x:is>
          <x:t xml:space="preserve">Candidate 0.0025269435354467 (helper — confirm from image)</x:t>
        </x:is>
      </x:c>
      <x:c r="Z325" s="520" t="inlineStr">
        <x:is>
          <x:t xml:space="preserve">Medium — helper value</x:t>
        </x:is>
      </x:c>
      <x:c r="AA325" s="520" t="inlineStr">
        <x:is>
          <x:t xml:space="preserve">Mineral Deed — Laura Snyder Robertson, former to James M. Robertson and/or Rose (1790/386)</x:t>
        </x:is>
      </x:c>
      <x:c r="AB325" s="520" t="inlineStr">
        <x:is>
          <x:t xml:space="preserve">Needs source review: grantor source</x:t>
        </x:is>
      </x:c>
    </x:row>
    <x:row r="326" s="520" customFormat="1" ht="48" customHeight="1">
      <x:c r="A326" s="519" t="inlineStr">
        <x:is>
          <x:t xml:space="preserve">2005-003691</x:t>
        </x:is>
      </x:c>
      <x:c r="B326" s="536" t="n"/>
      <x:c r="C326" s="536" t="inlineStr">
        <x:is>
          <x:t xml:space="preserve">Partial Assignment</x:t>
        </x:is>
      </x:c>
      <x:c r="D326" s="536" t="inlineStr">
        <x:is>
          <x:t xml:space="preserve">1791/515</x:t>
        </x:is>
      </x:c>
      <x:c r="E326" s="537" t="n">
        <x:v>38497</x:v>
      </x:c>
      <x:c r="F326" s="537" t="n">
        <x:v>38499</x:v>
      </x:c>
      <x:c r="G326" s="538" t="inlineStr">
        <x:is>
          <x:t xml:space="preserve">N/G Discovery, LLC</x:t>
        </x:is>
      </x:c>
      <x:c r="H326" s="538" t="inlineStr">
        <x:is>
          <x:t xml:space="preserve">Sierra Resources, Inc.</x:t>
        </x:is>
      </x:c>
      <x:c r="I326" s="538" t="inlineStr">
        <x:is>
          <x:t xml:space="preserve">E/2 NW/4, N/2 NE/4 SW/4, NE/4 SE/4, NW/4 SE/4, S/2 SE/4, SE/4 NE/4, SW/4 NE/4 of 31-12N-24W, aol</x:t>
        </x:is>
      </x:c>
      <x:c r="J326" s="538" t="inlineStr">
        <x:is>
          <x:t xml:space="preserve">An undivided Forty Percent (40%) interest in and to the oil and gas leases at 1780/409, 1781/204, 1782/261, 1782/267, 1787/47</x:t>
        </x:is>
      </x:c>
      <x:c r="K326" s="518" t="e">
        <x:f>HYPERLINK("https://okcountyrecords.com/detail/roger+mills/2005-003691","OKCountyRecords: 2005-003691")</x:f>
      </x:c>
      <x:c r="L326" s="519" t="inlineStr">
        <x:is>
          <x:t xml:space="preserve">Leasehold (non-mineral; excluded from mineral NMA). Gross=tract-map basis.</x:t>
        </x:is>
      </x:c>
      <x:c r="M326" s="519" t="inlineStr">
        <x:is>
          <x:t xml:space="preserve">Confirm lease effect</x:t>
        </x:is>
      </x:c>
      <x:c r="N326" s="519" t="n"/>
      <x:c r="O326" s="519" t="inlineStr">
        <x:is>
          <x:t xml:space="preserve">OUTSIDE LANDS</x:t>
        </x:is>
      </x:c>
      <x:c r="P326" s="520" t="inlineStr">
        <x:is>
          <x:t xml:space="preserve">Chain — WI/leasehold assignment</x:t>
        </x:is>
      </x:c>
      <x:c r="Q326" s="520" t="inlineStr">
        <x:is>
          <x:t xml:space="preserve">No</x:t>
        </x:is>
      </x:c>
      <x:c r="R326" s="520" t="inlineStr">
        <x:is>
          <x:t xml:space="preserve">Yes</x:t>
        </x:is>
      </x:c>
      <x:c r="S326" s="520" t="inlineStr">
        <x:is>
          <x:t xml:space="preserve">Review</x:t>
        </x:is>
      </x:c>
      <x:c r="T326" s="520" t="inlineStr">
        <x:is>
          <x:t xml:space="preserve">Yes</x:t>
        </x:is>
      </x:c>
      <x:c r="U326" s="520" t="inlineStr">
        <x:is>
          <x:t xml:space="preserve">Legal maps to 1, 2, 3, 4, 7, 10; helper says 1, 2, 3, 4, 7, 8</x:t>
        </x:is>
      </x:c>
      <x:c r="V326" s="520" t="inlineStr">
        <x:is>
          <x:t xml:space="preserve">Review</x:t>
        </x:is>
      </x:c>
      <x:c r="W326" s="520" t="inlineStr">
        <x:is>
          <x:t xml:space="preserve">Yes — prior grantee match</x:t>
        </x:is>
      </x:c>
      <x:c r="X326" s="520" t="inlineStr">
        <x:is>
          <x:t xml:space="preserve">Review</x:t>
        </x:is>
      </x:c>
      <x:c r="Y326" s="520" t="inlineStr">
        <x:is>
          <x:t xml:space="preserve">Interest amount needs review</x:t>
        </x:is>
      </x:c>
      <x:c r="Z326" s="520" t="inlineStr">
        <x:is>
          <x:t xml:space="preserve">Review</x:t>
        </x:is>
      </x:c>
      <x:c r="AA326" s="520" t="inlineStr">
        <x:is>
          <x:t xml:space="preserve">Partial Assignment — N/G Discovery, LLC to Sierra Resources, Inc. (1791/515)</x:t>
        </x:is>
      </x:c>
      <x:c r="AB326" s="520" t="inlineStr">
        <x:is>
          <x:t xml:space="preserve">Needs source review: tract, interest amount</x:t>
        </x:is>
      </x:c>
    </x:row>
    <x:row r="327" s="520" customFormat="1" ht="120" customHeight="1">
      <x:c r="A327" s="519" t="inlineStr">
        <x:is>
          <x:t xml:space="preserve">2005-004044</x:t>
        </x:is>
      </x:c>
      <x:c r="B327" s="536" t="n"/>
      <x:c r="C327" s="536" t="inlineStr">
        <x:is>
          <x:t xml:space="preserve">Mineral Deed</x:t>
        </x:is>
      </x:c>
      <x:c r="D327" s="536" t="inlineStr">
        <x:is>
          <x:t xml:space="preserve">1794/173</x:t>
        </x:is>
      </x:c>
      <x:c r="E327" s="537" t="n">
        <x:v>38516</x:v>
      </x:c>
      <x:c r="F327" s="537" t="n">
        <x:v>38517</x:v>
      </x:c>
      <x:c r="G327" s="538" t="inlineStr">
        <x:is>
          <x:t xml:space="preserve">Koala Pordution Company</x:t>
        </x:is>
      </x:c>
      <x:c r="H327" s="538" t="inlineStr">
        <x:is>
          <x:t xml:space="preserve">Chisholm Royalty Partners</x:t>
        </x:is>
      </x:c>
      <x:c r="I327" s="538" t="inlineStr">
        <x:is>
          <x:t xml:space="preserve">Lots 1 and Lot 2 and the N/2 of Lot 3 of Section 31, also described as follows: Beginning at the NW Corner of the NW/4 of Section 31, thence East on Section Line 18.20 chains (or 72.8 rods), thence South 50 chains (or 200 rods), thence West 18.20 chains (or 72.8 rods, thence North on Range Line 50 Chains (or 200 rods) to point of beginning of 31-12N-24W, containing 92.085 acres, more or less</x:t>
        </x:is>
      </x:c>
      <x:c r="J327" s="538" t="inlineStr">
        <x:is>
          <x:t xml:space="preserve">ARTI
Chain note: source of title — MINERAL DEED 2004-005738 at 1764/344, Sandra Lorraine York to Koala Production Company, covering Lots 1 and Lot 2 and the North Half of Lot 3 of Section 31, as described as follows: Beginning at the NW Corner of the NW/4 of Section 31, thence East on Section Line 18.20 … Full recital in recorded instrument — see Link.</x:t>
        </x:is>
      </x:c>
      <x:c r="K327" s="518" t="e">
        <x:f>HYPERLINK("https://okcountyrecords.com/detail/roger+mills/2005-004044","OKCountyRecords: 2005-004044")</x:f>
      </x:c>
      <x:c r="L327" s="519" t="inlineStr">
        <x:is>
          <x:t xml:space="preserve">Mineral; basis Conv Amt(dec). Gross=tract-map basis.</x:t>
        </x:is>
      </x:c>
      <x:c r="M327" s="519" t="inlineStr">
        <x:is>
          <x:t xml:space="preserve">CURRENT OWNER SOURCE</x:t>
        </x:is>
      </x:c>
      <x:c r="N327" s="519" t="n"/>
      <x:c r="O327" s="519" t="inlineStr">
        <x:is>
          <x:t xml:space="preserve">MINERAL DEED</x:t>
        </x:is>
      </x:c>
      <x:c r="P327" s="520" t="inlineStr">
        <x:is>
          <x:t xml:space="preserve">Chain — minerals</x:t>
        </x:is>
      </x:c>
      <x:c r="Q327" s="520" t="inlineStr">
        <x:is>
          <x:t xml:space="preserve">Yes</x:t>
        </x:is>
      </x:c>
      <x:c r="R327" s="520" t="inlineStr">
        <x:is>
          <x:t xml:space="preserve">No</x:t>
        </x:is>
      </x:c>
      <x:c r="S327" s="520" t="inlineStr">
        <x:is>
          <x:t xml:space="preserve">Yes</x:t>
        </x:is>
      </x:c>
      <x:c r="T327" s="520" t="inlineStr">
        <x:is>
          <x:t xml:space="preserve">No</x:t>
        </x:is>
      </x:c>
      <x:c r="U327" s="520" t="inlineStr">
        <x:is>
          <x:t xml:space="preserve">Legal maps to 5, 6, 8, 9; helper says 4, 5, 6</x:t>
        </x:is>
      </x:c>
      <x:c r="V327" s="520" t="inlineStr">
        <x:is>
          <x:t xml:space="preserve">Review</x:t>
        </x:is>
      </x:c>
      <x:c r="W327" s="520" t="inlineStr">
        <x:is>
          <x:t xml:space="preserve">Review — no exact prior-grantee match</x:t>
        </x:is>
      </x:c>
      <x:c r="X327" s="520" t="inlineStr">
        <x:is>
          <x:t xml:space="preserve">Yes — on Tract 4 owner list</x:t>
        </x:is>
      </x:c>
      <x:c r="Y327" s="520" t="inlineStr">
        <x:is>
          <x:t xml:space="preserve">Candidate 1 (helper — confirm from image)</x:t>
        </x:is>
      </x:c>
      <x:c r="Z327" s="520" t="inlineStr">
        <x:is>
          <x:t xml:space="preserve">Medium — helper value</x:t>
        </x:is>
      </x:c>
      <x:c r="AA327" s="520" t="inlineStr">
        <x:is>
          <x:t xml:space="preserve">Mineral Deed — Koala Pordution Company to Chisholm Royalty Partners (1794/173)</x:t>
        </x:is>
      </x:c>
      <x:c r="AB327" s="520" t="inlineStr">
        <x:is>
          <x:t xml:space="preserve">Needs source review: tract, grantor source</x:t>
        </x:is>
      </x:c>
    </x:row>
    <x:row r="328" s="520" customFormat="1" ht="60" customHeight="1">
      <x:c r="A328" s="519" t="inlineStr">
        <x:is>
          <x:t xml:space="preserve">2005-004940</x:t>
        </x:is>
      </x:c>
      <x:c r="B328" s="536" t="n">
        <x:v>31</x:v>
      </x:c>
      <x:c r="C328" s="536" t="inlineStr">
        <x:is>
          <x:t xml:space="preserve">Oil and Gas Lease</x:t>
        </x:is>
      </x:c>
      <x:c r="D328" s="536" t="inlineStr">
        <x:is>
          <x:t xml:space="preserve">1798/579</x:t>
        </x:is>
      </x:c>
      <x:c r="E328" s="537" t="n">
        <x:v>38522</x:v>
      </x:c>
      <x:c r="F328" s="537" t="n">
        <x:v>38554</x:v>
      </x:c>
      <x:c r="G328" s="538" t="inlineStr">
        <x:is>
          <x:t xml:space="preserve">Charlotte F. Willert
2833 Montana Place
Loveland, CO 80538-3427</x:t>
        </x:is>
      </x:c>
      <x:c r="H328" s="538" t="inlineStr">
        <x:is>
          <x:t xml:space="preserve">EOG Resources, Inc.</x:t>
        </x:is>
      </x:c>
      <x:c r="I328" s="538" t="inlineStr">
        <x:is>
          <x:t xml:space="preserve">NW/4 SE/4, S/2 SE/4, SW/4 NE/4 of 31-12N-24W</x:t>
        </x:is>
      </x:c>
      <x:c r="J328" s="538" t="inlineStr">
        <x:is>
          <x:t xml:space="preserve">160 gross acres
3 yrs
3/16ths royalty
This lease is limited from the surface to the stratigraphic equivalent of 20,000 feet</x:t>
        </x:is>
      </x:c>
      <x:c r="K328" s="518" t="e">
        <x:f>HYPERLINK("https://okcountyrecords.com/detail/roger+mills/2005-004940","OKCountyRecords: 2005-004940")</x:f>
      </x:c>
      <x:c r="L328" s="519" t="inlineStr">
        <x:is>
          <x:t xml:space="preserve">Leasehold (non-mineral; excluded from mineral NMA). Gross=tract-map basis.</x:t>
        </x:is>
      </x:c>
      <x:c r="M328" s="519" t="inlineStr">
        <x:is>
          <x:t xml:space="preserve">CURRENT LEASE SOURCE</x:t>
        </x:is>
      </x:c>
      <x:c r="N328" s="519" t="n"/>
      <x:c r="O328" s="519" t="inlineStr">
        <x:is>
          <x:t xml:space="preserve">SURFACE ONLY</x:t>
        </x:is>
      </x:c>
      <x:c r="P328" s="520" t="inlineStr">
        <x:is>
          <x:t xml:space="preserve">Chain — leasehold (OGL)</x:t>
        </x:is>
      </x:c>
      <x:c r="Q328" s="520" t="inlineStr">
        <x:is>
          <x:t xml:space="preserve">No</x:t>
        </x:is>
      </x:c>
      <x:c r="R328" s="520" t="inlineStr">
        <x:is>
          <x:t xml:space="preserve">Yes</x:t>
        </x:is>
      </x:c>
      <x:c r="S328" s="520" t="inlineStr">
        <x:is>
          <x:t xml:space="preserve">No</x:t>
        </x:is>
      </x:c>
      <x:c r="T328" s="520" t="inlineStr">
        <x:is>
          <x:t xml:space="preserve">Yes</x:t>
        </x:is>
      </x:c>
      <x:c r="U328" s="520" t="inlineStr">
        <x:is>
          <x:t xml:space="preserve">Yes: 2 (legal supports)</x:t>
        </x:is>
      </x:c>
      <x:c r="V328" s="520" t="inlineStr">
        <x:is>
          <x:t xml:space="preserve">High</x:t>
        </x:is>
      </x:c>
      <x:c r="W328" s="520" t="inlineStr">
        <x:is>
          <x:t xml:space="preserve">Review — no exact prior-grantee match</x:t>
        </x:is>
      </x:c>
      <x:c r="X328" s="520" t="inlineStr">
        <x:is>
          <x:t xml:space="preserve">Review</x:t>
        </x:is>
      </x:c>
      <x:c r="Y328" s="520" t="inlineStr">
        <x:is>
          <x:t xml:space="preserve">Interest amount needs review</x:t>
        </x:is>
      </x:c>
      <x:c r="Z328" s="520" t="inlineStr">
        <x:is>
          <x:t xml:space="preserve">Review</x:t>
        </x:is>
      </x:c>
      <x:c r="AA328" s="520" t="inlineStr">
        <x:is>
          <x:t xml:space="preserve">Oil and Gas Lease — Charlotte F. Willert to EOG Resources, Inc. (1798/579)</x:t>
        </x:is>
      </x:c>
      <x:c r="AB328" s="520" t="inlineStr">
        <x:is>
          <x:t xml:space="preserve">Needs source review: grantor source, interest amount</x:t>
        </x:is>
      </x:c>
    </x:row>
    <x:row r="329" s="520" customFormat="1" ht="60" customHeight="1">
      <x:c r="A329" s="519" t="inlineStr">
        <x:is>
          <x:t xml:space="preserve">2005-004939</x:t>
        </x:is>
      </x:c>
      <x:c r="B329" s="536" t="n">
        <x:v>30</x:v>
      </x:c>
      <x:c r="C329" s="536" t="inlineStr">
        <x:is>
          <x:t xml:space="preserve">Oil and Gas Lease</x:t>
        </x:is>
      </x:c>
      <x:c r="D329" s="536" t="inlineStr">
        <x:is>
          <x:t xml:space="preserve">1798/576</x:t>
        </x:is>
      </x:c>
      <x:c r="E329" s="537" t="n">
        <x:v>38522</x:v>
      </x:c>
      <x:c r="F329" s="537" t="n">
        <x:v>38554</x:v>
      </x:c>
      <x:c r="G329" s="538" t="inlineStr">
        <x:is>
          <x:t xml:space="preserve">Donald R. Bain
1905 NW 29th Avenue, #220
Portland, OR 97210-5312</x:t>
        </x:is>
      </x:c>
      <x:c r="H329" s="538" t="inlineStr">
        <x:is>
          <x:t xml:space="preserve">EOG Resources, Inc.</x:t>
        </x:is>
      </x:c>
      <x:c r="I329" s="538" t="inlineStr">
        <x:is>
          <x:t xml:space="preserve">NW/4 SE/4, S/2 SE/4, SW/4 NE/4 of 31-12N-24W</x:t>
        </x:is>
      </x:c>
      <x:c r="J329" s="538" t="inlineStr">
        <x:is>
          <x:t xml:space="preserve">160 gross acres
3 yrs
3/16ths royalty
This lease is limited from the surface to the stratigraphic equivalent of 20,000 feet</x:t>
        </x:is>
      </x:c>
      <x:c r="K329" s="518" t="e">
        <x:f>HYPERLINK("https://okcountyrecords.com/detail/roger+mills/2005-004939","OKCountyRecords: 2005-004939")</x:f>
      </x:c>
      <x:c r="L329" s="519" t="inlineStr">
        <x:is>
          <x:t xml:space="preserve">Leasehold (non-mineral; excluded from mineral NMA). Gross=tract-map basis.</x:t>
        </x:is>
      </x:c>
      <x:c r="M329" s="519" t="inlineStr">
        <x:is>
          <x:t xml:space="preserve">CURRENT LEASE SOURCE</x:t>
        </x:is>
      </x:c>
      <x:c r="N329" s="519" t="n"/>
      <x:c r="O329" s="519" t="inlineStr">
        <x:is>
          <x:t xml:space="preserve">SURFACE ONLY</x:t>
        </x:is>
      </x:c>
      <x:c r="P329" s="520" t="inlineStr">
        <x:is>
          <x:t xml:space="preserve">Chain — leasehold (OGL)</x:t>
        </x:is>
      </x:c>
      <x:c r="Q329" s="520" t="inlineStr">
        <x:is>
          <x:t xml:space="preserve">No</x:t>
        </x:is>
      </x:c>
      <x:c r="R329" s="520" t="inlineStr">
        <x:is>
          <x:t xml:space="preserve">Yes</x:t>
        </x:is>
      </x:c>
      <x:c r="S329" s="520" t="inlineStr">
        <x:is>
          <x:t xml:space="preserve">No</x:t>
        </x:is>
      </x:c>
      <x:c r="T329" s="520" t="inlineStr">
        <x:is>
          <x:t xml:space="preserve">Yes</x:t>
        </x:is>
      </x:c>
      <x:c r="U329" s="520" t="inlineStr">
        <x:is>
          <x:t xml:space="preserve">Yes: 2 (legal supports)</x:t>
        </x:is>
      </x:c>
      <x:c r="V329" s="520" t="inlineStr">
        <x:is>
          <x:t xml:space="preserve">High</x:t>
        </x:is>
      </x:c>
      <x:c r="W329" s="520" t="inlineStr">
        <x:is>
          <x:t xml:space="preserve">Yes — prior grantee match</x:t>
        </x:is>
      </x:c>
      <x:c r="X329" s="520" t="inlineStr">
        <x:is>
          <x:t xml:space="preserve">Review</x:t>
        </x:is>
      </x:c>
      <x:c r="Y329" s="520" t="inlineStr">
        <x:is>
          <x:t xml:space="preserve">Interest amount needs review</x:t>
        </x:is>
      </x:c>
      <x:c r="Z329" s="520" t="inlineStr">
        <x:is>
          <x:t xml:space="preserve">Review</x:t>
        </x:is>
      </x:c>
      <x:c r="AA329" s="520" t="inlineStr">
        <x:is>
          <x:t xml:space="preserve">Oil and Gas Lease — Donald R. Bain to EOG Resources, Inc. (1798/576)</x:t>
        </x:is>
      </x:c>
      <x:c r="AB329" s="520" t="inlineStr">
        <x:is>
          <x:t xml:space="preserve">Needs source review: interest amount</x:t>
        </x:is>
      </x:c>
    </x:row>
    <x:row r="330" s="520" customFormat="1" ht="60" customHeight="1">
      <x:c r="A330" s="519" t="inlineStr">
        <x:is>
          <x:t xml:space="preserve">2005-004938</x:t>
        </x:is>
      </x:c>
      <x:c r="B330" s="536" t="n">
        <x:v>29</x:v>
      </x:c>
      <x:c r="C330" s="536" t="inlineStr">
        <x:is>
          <x:t xml:space="preserve">Oil and Gas Lease</x:t>
        </x:is>
      </x:c>
      <x:c r="D330" s="536" t="inlineStr">
        <x:is>
          <x:t xml:space="preserve">1798/573</x:t>
        </x:is>
      </x:c>
      <x:c r="E330" s="537" t="n">
        <x:v>38522</x:v>
      </x:c>
      <x:c r="F330" s="537" t="n">
        <x:v>38554</x:v>
      </x:c>
      <x:c r="G330" s="538" t="inlineStr">
        <x:is>
          <x:t xml:space="preserve">Leona I. De Grande
5254 Alkire Street
Arvada, CO 80002-1714</x:t>
        </x:is>
      </x:c>
      <x:c r="H330" s="538" t="inlineStr">
        <x:is>
          <x:t xml:space="preserve">EOG Resources, Inc.</x:t>
        </x:is>
      </x:c>
      <x:c r="I330" s="538" t="inlineStr">
        <x:is>
          <x:t xml:space="preserve">NW/4 SE/4, S/2 SE/4, SW/4 NE/4 of 31-12N-24W</x:t>
        </x:is>
      </x:c>
      <x:c r="J330" s="538" t="inlineStr">
        <x:is>
          <x:t xml:space="preserve">160 gross acres
3 yrs
3/16ths royalty
This lease is limited from the surface to the stratigraphic equivalent of 20,000 feet</x:t>
        </x:is>
      </x:c>
      <x:c r="K330" s="518" t="e">
        <x:f>HYPERLINK("https://okcountyrecords.com/detail/roger+mills/2005-004938","OKCountyRecords: 2005-004938")</x:f>
      </x:c>
      <x:c r="L330" s="519" t="inlineStr">
        <x:is>
          <x:t xml:space="preserve">Leasehold (non-mineral; excluded from mineral NMA). Gross=tract-map basis.</x:t>
        </x:is>
      </x:c>
      <x:c r="M330" s="519" t="inlineStr">
        <x:is>
          <x:t xml:space="preserve">CURRENT LEASE SOURCE</x:t>
        </x:is>
      </x:c>
      <x:c r="N330" s="519" t="n"/>
      <x:c r="O330" s="519" t="inlineStr">
        <x:is>
          <x:t xml:space="preserve">SURFACE ONLY</x:t>
        </x:is>
      </x:c>
      <x:c r="P330" s="520" t="inlineStr">
        <x:is>
          <x:t xml:space="preserve">Chain — leasehold (OGL)</x:t>
        </x:is>
      </x:c>
      <x:c r="Q330" s="520" t="inlineStr">
        <x:is>
          <x:t xml:space="preserve">No</x:t>
        </x:is>
      </x:c>
      <x:c r="R330" s="520" t="inlineStr">
        <x:is>
          <x:t xml:space="preserve">Yes</x:t>
        </x:is>
      </x:c>
      <x:c r="S330" s="520" t="inlineStr">
        <x:is>
          <x:t xml:space="preserve">No</x:t>
        </x:is>
      </x:c>
      <x:c r="T330" s="520" t="inlineStr">
        <x:is>
          <x:t xml:space="preserve">Yes</x:t>
        </x:is>
      </x:c>
      <x:c r="U330" s="520" t="inlineStr">
        <x:is>
          <x:t xml:space="preserve">Yes: 2 (legal supports)</x:t>
        </x:is>
      </x:c>
      <x:c r="V330" s="520" t="inlineStr">
        <x:is>
          <x:t xml:space="preserve">High</x:t>
        </x:is>
      </x:c>
      <x:c r="W330" s="520" t="inlineStr">
        <x:is>
          <x:t xml:space="preserve">Review — no exact prior-grantee match</x:t>
        </x:is>
      </x:c>
      <x:c r="X330" s="520" t="inlineStr">
        <x:is>
          <x:t xml:space="preserve">Review</x:t>
        </x:is>
      </x:c>
      <x:c r="Y330" s="520" t="inlineStr">
        <x:is>
          <x:t xml:space="preserve">Interest amount needs review</x:t>
        </x:is>
      </x:c>
      <x:c r="Z330" s="520" t="inlineStr">
        <x:is>
          <x:t xml:space="preserve">Review</x:t>
        </x:is>
      </x:c>
      <x:c r="AA330" s="520" t="inlineStr">
        <x:is>
          <x:t xml:space="preserve">Oil and Gas Lease — Leona I. De Grande to EOG Resources, Inc. (1798/573)</x:t>
        </x:is>
      </x:c>
      <x:c r="AB330" s="520" t="inlineStr">
        <x:is>
          <x:t xml:space="preserve">Needs source review: grantor source, interest amount</x:t>
        </x:is>
      </x:c>
    </x:row>
    <x:row r="331" s="520" customFormat="1" ht="60" customHeight="1">
      <x:c r="A331" s="519" t="inlineStr">
        <x:is>
          <x:t xml:space="preserve">2005-004951</x:t>
        </x:is>
      </x:c>
      <x:c r="B331" s="536" t="n">
        <x:v>33</x:v>
      </x:c>
      <x:c r="C331" s="536" t="inlineStr">
        <x:is>
          <x:t xml:space="preserve">Oil and Gas Lease</x:t>
        </x:is>
      </x:c>
      <x:c r="D331" s="536" t="inlineStr">
        <x:is>
          <x:t xml:space="preserve">1799/30</x:t>
        </x:is>
      </x:c>
      <x:c r="E331" s="537" t="n">
        <x:v>38522</x:v>
      </x:c>
      <x:c r="F331" s="537" t="n">
        <x:v>38555</x:v>
      </x:c>
      <x:c r="G331" s="538" t="inlineStr">
        <x:is>
          <x:t xml:space="preserve">Marilyn L. Broyles
P.O. Box 91
Red Feather Lakes, CO 80545</x:t>
        </x:is>
      </x:c>
      <x:c r="H331" s="538" t="inlineStr">
        <x:is>
          <x:t xml:space="preserve">EOG Resources, Inc.</x:t>
        </x:is>
      </x:c>
      <x:c r="I331" s="538" t="inlineStr">
        <x:is>
          <x:t xml:space="preserve">NW/4 SE/4, S/2 SE/4, SW/4 NE/4 of 31-12N-24W</x:t>
        </x:is>
      </x:c>
      <x:c r="J331" s="538" t="inlineStr">
        <x:is>
          <x:t xml:space="preserve">160 gross acres
3 yrs
3/16ths royalty
This lease is limited from the surface to the stratigraphic equivalent of 20,000 feet</x:t>
        </x:is>
      </x:c>
      <x:c r="K331" s="518" t="e">
        <x:f>HYPERLINK("https://okcountyrecords.com/detail/roger+mills/2005-004951","OKCountyRecords: 2005-004951")</x:f>
      </x:c>
      <x:c r="L331" s="519" t="inlineStr">
        <x:is>
          <x:t xml:space="preserve">Leasehold (non-mineral; excluded from mineral NMA). Gross=tract-map basis.</x:t>
        </x:is>
      </x:c>
      <x:c r="M331" s="519" t="inlineStr">
        <x:is>
          <x:t xml:space="preserve">CURRENT LEASE SOURCE</x:t>
        </x:is>
      </x:c>
      <x:c r="N331" s="519" t="n"/>
      <x:c r="O331" s="519" t="inlineStr">
        <x:is>
          <x:t xml:space="preserve">SURFACE ONLY</x:t>
        </x:is>
      </x:c>
      <x:c r="P331" s="520" t="inlineStr">
        <x:is>
          <x:t xml:space="preserve">Chain — leasehold (OGL)</x:t>
        </x:is>
      </x:c>
      <x:c r="Q331" s="520" t="inlineStr">
        <x:is>
          <x:t xml:space="preserve">No</x:t>
        </x:is>
      </x:c>
      <x:c r="R331" s="520" t="inlineStr">
        <x:is>
          <x:t xml:space="preserve">Yes</x:t>
        </x:is>
      </x:c>
      <x:c r="S331" s="520" t="inlineStr">
        <x:is>
          <x:t xml:space="preserve">No</x:t>
        </x:is>
      </x:c>
      <x:c r="T331" s="520" t="inlineStr">
        <x:is>
          <x:t xml:space="preserve">Yes</x:t>
        </x:is>
      </x:c>
      <x:c r="U331" s="520" t="inlineStr">
        <x:is>
          <x:t xml:space="preserve">Yes: 2 (legal supports)</x:t>
        </x:is>
      </x:c>
      <x:c r="V331" s="520" t="inlineStr">
        <x:is>
          <x:t xml:space="preserve">High</x:t>
        </x:is>
      </x:c>
      <x:c r="W331" s="520" t="inlineStr">
        <x:is>
          <x:t xml:space="preserve">Review — no exact prior-grantee match</x:t>
        </x:is>
      </x:c>
      <x:c r="X331" s="520" t="inlineStr">
        <x:is>
          <x:t xml:space="preserve">Review</x:t>
        </x:is>
      </x:c>
      <x:c r="Y331" s="520" t="inlineStr">
        <x:is>
          <x:t xml:space="preserve">Interest amount needs review</x:t>
        </x:is>
      </x:c>
      <x:c r="Z331" s="520" t="inlineStr">
        <x:is>
          <x:t xml:space="preserve">Review</x:t>
        </x:is>
      </x:c>
      <x:c r="AA331" s="520" t="inlineStr">
        <x:is>
          <x:t xml:space="preserve">Oil and Gas Lease — Marilyn L. Broyles to EOG Resources, Inc. (1799/30)</x:t>
        </x:is>
      </x:c>
      <x:c r="AB331" s="520" t="inlineStr">
        <x:is>
          <x:t xml:space="preserve">Needs source review: grantor source, interest amount</x:t>
        </x:is>
      </x:c>
    </x:row>
    <x:row r="332" s="520" customFormat="1" ht="60" customHeight="1">
      <x:c r="A332" s="519" t="inlineStr">
        <x:is>
          <x:t xml:space="preserve">2005-004941</x:t>
        </x:is>
      </x:c>
      <x:c r="B332" s="536" t="n">
        <x:v>32</x:v>
      </x:c>
      <x:c r="C332" s="536" t="inlineStr">
        <x:is>
          <x:t xml:space="preserve">Oil and Gas Lease</x:t>
        </x:is>
      </x:c>
      <x:c r="D332" s="536" t="inlineStr">
        <x:is>
          <x:t xml:space="preserve">1798/582</x:t>
        </x:is>
      </x:c>
      <x:c r="E332" s="537" t="n">
        <x:v>38522</x:v>
      </x:c>
      <x:c r="F332" s="537" t="n">
        <x:v>38554</x:v>
      </x:c>
      <x:c r="G332" s="538" t="inlineStr">
        <x:is>
          <x:t xml:space="preserve">Melvin F. Bain
P.O. Box 1224
Tularosa, NM 88352</x:t>
        </x:is>
      </x:c>
      <x:c r="H332" s="538" t="inlineStr">
        <x:is>
          <x:t xml:space="preserve">EOG Resources, Inc.</x:t>
        </x:is>
      </x:c>
      <x:c r="I332" s="538" t="inlineStr">
        <x:is>
          <x:t xml:space="preserve">NW/4 SE/4, S/2 SE/4, SW/4 NE/4 of 31-12N-24W</x:t>
        </x:is>
      </x:c>
      <x:c r="J332" s="538" t="inlineStr">
        <x:is>
          <x:t xml:space="preserve">160 gross acres
3 yrs
3/16ths royalty
This lease is limited from the surface to the stratigraphic equivalent of 20,000 feet</x:t>
        </x:is>
      </x:c>
      <x:c r="K332" s="518" t="e">
        <x:f>HYPERLINK("https://okcountyrecords.com/detail/roger+mills/2005-004941","OKCountyRecords: 2005-004941")</x:f>
      </x:c>
      <x:c r="L332" s="519" t="inlineStr">
        <x:is>
          <x:t xml:space="preserve">Leasehold (non-mineral; excluded from mineral NMA). Gross=tract-map basis.</x:t>
        </x:is>
      </x:c>
      <x:c r="M332" s="519" t="inlineStr">
        <x:is>
          <x:t xml:space="preserve">CURRENT LEASE SOURCE</x:t>
        </x:is>
      </x:c>
      <x:c r="N332" s="519" t="n"/>
      <x:c r="O332" s="519" t="inlineStr">
        <x:is>
          <x:t xml:space="preserve">SURFACE ONLY</x:t>
        </x:is>
      </x:c>
      <x:c r="P332" s="520" t="inlineStr">
        <x:is>
          <x:t xml:space="preserve">Chain — leasehold (OGL)</x:t>
        </x:is>
      </x:c>
      <x:c r="Q332" s="520" t="inlineStr">
        <x:is>
          <x:t xml:space="preserve">No</x:t>
        </x:is>
      </x:c>
      <x:c r="R332" s="520" t="inlineStr">
        <x:is>
          <x:t xml:space="preserve">Yes</x:t>
        </x:is>
      </x:c>
      <x:c r="S332" s="520" t="inlineStr">
        <x:is>
          <x:t xml:space="preserve">No</x:t>
        </x:is>
      </x:c>
      <x:c r="T332" s="520" t="inlineStr">
        <x:is>
          <x:t xml:space="preserve">Yes</x:t>
        </x:is>
      </x:c>
      <x:c r="U332" s="520" t="inlineStr">
        <x:is>
          <x:t xml:space="preserve">Yes: 2 (legal supports)</x:t>
        </x:is>
      </x:c>
      <x:c r="V332" s="520" t="inlineStr">
        <x:is>
          <x:t xml:space="preserve">High</x:t>
        </x:is>
      </x:c>
      <x:c r="W332" s="520" t="inlineStr">
        <x:is>
          <x:t xml:space="preserve">Review — no exact prior-grantee match</x:t>
        </x:is>
      </x:c>
      <x:c r="X332" s="520" t="inlineStr">
        <x:is>
          <x:t xml:space="preserve">Review</x:t>
        </x:is>
      </x:c>
      <x:c r="Y332" s="520" t="inlineStr">
        <x:is>
          <x:t xml:space="preserve">Interest amount needs review</x:t>
        </x:is>
      </x:c>
      <x:c r="Z332" s="520" t="inlineStr">
        <x:is>
          <x:t xml:space="preserve">Review</x:t>
        </x:is>
      </x:c>
      <x:c r="AA332" s="520" t="inlineStr">
        <x:is>
          <x:t xml:space="preserve">Oil and Gas Lease — Melvin F. Bain to EOG Resources, Inc. (1798/582)</x:t>
        </x:is>
      </x:c>
      <x:c r="AB332" s="520" t="inlineStr">
        <x:is>
          <x:t xml:space="preserve">Needs source review: grantor source, interest amount</x:t>
        </x:is>
      </x:c>
    </x:row>
    <x:row r="333" s="520" customFormat="1" ht="60" customHeight="1">
      <x:c r="A333" s="519" t="inlineStr">
        <x:is>
          <x:t xml:space="preserve">2005-004681</x:t>
        </x:is>
      </x:c>
      <x:c r="B333" s="536" t="n">
        <x:v>37</x:v>
      </x:c>
      <x:c r="C333" s="536" t="inlineStr">
        <x:is>
          <x:t xml:space="preserve">Oil and Gas Lease</x:t>
        </x:is>
      </x:c>
      <x:c r="D333" s="536" t="inlineStr">
        <x:is>
          <x:t xml:space="preserve">1797/167</x:t>
        </x:is>
      </x:c>
      <x:c r="E333" s="537" t="n">
        <x:v>38522</x:v>
      </x:c>
      <x:c r="F333" s="537" t="n">
        <x:v>38541</x:v>
      </x:c>
      <x:c r="G333" s="538" t="inlineStr">
        <x:is>
          <x:t xml:space="preserve">Peggy J. Brawner
309 N. Point Road
Toronto, KS 66777-3358</x:t>
        </x:is>
      </x:c>
      <x:c r="H333" s="538" t="inlineStr">
        <x:is>
          <x:t xml:space="preserve">EOG Resources, Inc.</x:t>
        </x:is>
      </x:c>
      <x:c r="I333" s="538" t="inlineStr">
        <x:is>
          <x:t xml:space="preserve">NW/4 SE/4, S/2 SE/4, SW/4 NE/4 of 31-12N-24W</x:t>
        </x:is>
      </x:c>
      <x:c r="J333" s="538" t="inlineStr">
        <x:is>
          <x:t xml:space="preserve">160 gross acres
2 yrs
3/16ths royalty
This lease is limited from the surface to the stratigraphic equivalent of 20,000 feet.</x:t>
        </x:is>
      </x:c>
      <x:c r="K333" s="518" t="e">
        <x:f>HYPERLINK("https://okcountyrecords.com/detail/roger+mills/2005-004681","OKCountyRecords: 2005-004681")</x:f>
      </x:c>
      <x:c r="L333" s="519" t="inlineStr">
        <x:is>
          <x:t xml:space="preserve">Leasehold (non-mineral; excluded from mineral NMA). Gross=tract-map basis.</x:t>
        </x:is>
      </x:c>
      <x:c r="M333" s="519" t="inlineStr">
        <x:is>
          <x:t xml:space="preserve">CURRENT LEASE SOURCE</x:t>
        </x:is>
      </x:c>
      <x:c r="N333" s="519" t="n"/>
      <x:c r="O333" s="519" t="inlineStr">
        <x:is>
          <x:t xml:space="preserve">SURFACE ONLY</x:t>
        </x:is>
      </x:c>
      <x:c r="P333" s="520" t="inlineStr">
        <x:is>
          <x:t xml:space="preserve">Chain — leasehold (OGL)</x:t>
        </x:is>
      </x:c>
      <x:c r="Q333" s="520" t="inlineStr">
        <x:is>
          <x:t xml:space="preserve">No</x:t>
        </x:is>
      </x:c>
      <x:c r="R333" s="520" t="inlineStr">
        <x:is>
          <x:t xml:space="preserve">Yes</x:t>
        </x:is>
      </x:c>
      <x:c r="S333" s="520" t="inlineStr">
        <x:is>
          <x:t xml:space="preserve">No</x:t>
        </x:is>
      </x:c>
      <x:c r="T333" s="520" t="inlineStr">
        <x:is>
          <x:t xml:space="preserve">Yes</x:t>
        </x:is>
      </x:c>
      <x:c r="U333" s="520" t="inlineStr">
        <x:is>
          <x:t xml:space="preserve">Yes: 2 (legal supports)</x:t>
        </x:is>
      </x:c>
      <x:c r="V333" s="520" t="inlineStr">
        <x:is>
          <x:t xml:space="preserve">High</x:t>
        </x:is>
      </x:c>
      <x:c r="W333" s="520" t="inlineStr">
        <x:is>
          <x:t xml:space="preserve">Review — no exact prior-grantee match</x:t>
        </x:is>
      </x:c>
      <x:c r="X333" s="520" t="inlineStr">
        <x:is>
          <x:t xml:space="preserve">Review</x:t>
        </x:is>
      </x:c>
      <x:c r="Y333" s="520" t="inlineStr">
        <x:is>
          <x:t xml:space="preserve">Interest amount needs review</x:t>
        </x:is>
      </x:c>
      <x:c r="Z333" s="520" t="inlineStr">
        <x:is>
          <x:t xml:space="preserve">Review</x:t>
        </x:is>
      </x:c>
      <x:c r="AA333" s="520" t="inlineStr">
        <x:is>
          <x:t xml:space="preserve">Oil and Gas Lease — Peggy J. Brawner to EOG Resources, Inc. (1797/167)</x:t>
        </x:is>
      </x:c>
      <x:c r="AB333" s="520" t="inlineStr">
        <x:is>
          <x:t xml:space="preserve">Needs source review: grantor source, interest amount</x:t>
        </x:is>
      </x:c>
    </x:row>
    <x:row r="334" s="520" customFormat="1" ht="48" customHeight="1">
      <x:c r="A334" s="519" t="inlineStr">
        <x:is>
          <x:t xml:space="preserve">2005-005406</x:t>
        </x:is>
      </x:c>
      <x:c r="B334" s="536" t="n"/>
      <x:c r="C334" s="536" t="inlineStr">
        <x:is>
          <x:t xml:space="preserve">Partial Assignment</x:t>
        </x:is>
      </x:c>
      <x:c r="D334" s="536" t="inlineStr">
        <x:is>
          <x:t xml:space="preserve">1802/107</x:t>
        </x:is>
      </x:c>
      <x:c r="E334" s="537" t="n">
        <x:v>38523</x:v>
      </x:c>
      <x:c r="F334" s="537" t="n">
        <x:v>38579</x:v>
      </x:c>
      <x:c r="G334" s="538" t="inlineStr">
        <x:is>
          <x:t xml:space="preserve">N/G Discovery, LLC</x:t>
        </x:is>
      </x:c>
      <x:c r="H334" s="538" t="inlineStr">
        <x:is>
          <x:t xml:space="preserve">Norwich Petroleum Corporation</x:t>
        </x:is>
      </x:c>
      <x:c r="I334" s="538" t="inlineStr">
        <x:is>
          <x:t xml:space="preserve">E/2 NW/4, N/2 NE/4 SW/4, NE/4 SE/4, NW/4 SE/4, S/2 SE/4, SE/4 NE/4, SW/4 NE/4 of 31-12N-24W, aol</x:t>
        </x:is>
      </x:c>
      <x:c r="J334" s="538" t="inlineStr">
        <x:is>
          <x:t xml:space="preserve">an undivided Twenty Percent (20%) interest in and to the oil and gas leases at 1787/47, 1782/261, 1782/267 1781/204, 1780/409</x:t>
        </x:is>
      </x:c>
      <x:c r="K334" s="518" t="e">
        <x:f>HYPERLINK("https://okcountyrecords.com/detail/roger+mills/2005-005406","OKCountyRecords: 2005-005406")</x:f>
      </x:c>
      <x:c r="L334" s="519" t="inlineStr">
        <x:is>
          <x:t xml:space="preserve">Leasehold (non-mineral; excluded from mineral NMA). Gross=tract-map basis.</x:t>
        </x:is>
      </x:c>
      <x:c r="M334" s="519" t="inlineStr">
        <x:is>
          <x:t xml:space="preserve">Confirm lease effect</x:t>
        </x:is>
      </x:c>
      <x:c r="N334" s="519" t="n"/>
      <x:c r="O334" s="519" t="inlineStr">
        <x:is>
          <x:t xml:space="preserve">OUTSIDE LANDS</x:t>
        </x:is>
      </x:c>
      <x:c r="P334" s="520" t="inlineStr">
        <x:is>
          <x:t xml:space="preserve">Chain — WI/leasehold assignment</x:t>
        </x:is>
      </x:c>
      <x:c r="Q334" s="520" t="inlineStr">
        <x:is>
          <x:t xml:space="preserve">No</x:t>
        </x:is>
      </x:c>
      <x:c r="R334" s="520" t="inlineStr">
        <x:is>
          <x:t xml:space="preserve">Yes</x:t>
        </x:is>
      </x:c>
      <x:c r="S334" s="520" t="inlineStr">
        <x:is>
          <x:t xml:space="preserve">Review</x:t>
        </x:is>
      </x:c>
      <x:c r="T334" s="520" t="inlineStr">
        <x:is>
          <x:t xml:space="preserve">Yes</x:t>
        </x:is>
      </x:c>
      <x:c r="U334" s="520" t="inlineStr">
        <x:is>
          <x:t xml:space="preserve">Legal maps to 1, 2, 3, 4, 7, 10; helper says 1, 2, 3, 4, 7, 8</x:t>
        </x:is>
      </x:c>
      <x:c r="V334" s="520" t="inlineStr">
        <x:is>
          <x:t xml:space="preserve">Review</x:t>
        </x:is>
      </x:c>
      <x:c r="W334" s="520" t="inlineStr">
        <x:is>
          <x:t xml:space="preserve">Yes — prior grantee match</x:t>
        </x:is>
      </x:c>
      <x:c r="X334" s="520" t="inlineStr">
        <x:is>
          <x:t xml:space="preserve">Review</x:t>
        </x:is>
      </x:c>
      <x:c r="Y334" s="520" t="inlineStr">
        <x:is>
          <x:t xml:space="preserve">Interest amount needs review</x:t>
        </x:is>
      </x:c>
      <x:c r="Z334" s="520" t="inlineStr">
        <x:is>
          <x:t xml:space="preserve">Review</x:t>
        </x:is>
      </x:c>
      <x:c r="AA334" s="520" t="inlineStr">
        <x:is>
          <x:t xml:space="preserve">Partial Assignment — N/G Discovery, LLC to Norwich Petroleum Corporation (1802/107)</x:t>
        </x:is>
      </x:c>
      <x:c r="AB334" s="520" t="inlineStr">
        <x:is>
          <x:t xml:space="preserve">Needs source review: tract, interest amount</x:t>
        </x:is>
      </x:c>
    </x:row>
    <x:row r="335" s="520" customFormat="1" ht="36" customHeight="1">
      <x:c r="A335" s="519" t="inlineStr">
        <x:is>
          <x:t xml:space="preserve">2005-007540</x:t>
        </x:is>
      </x:c>
      <x:c r="B335" s="536" t="n"/>
      <x:c r="C335" s="536" t="inlineStr">
        <x:is>
          <x:t xml:space="preserve">Mineral Deed</x:t>
        </x:is>
      </x:c>
      <x:c r="D335" s="536" t="inlineStr">
        <x:is>
          <x:t xml:space="preserve">1812/120</x:t>
        </x:is>
      </x:c>
      <x:c r="E335" s="537" t="n">
        <x:v>38608</x:v>
      </x:c>
      <x:c r="F335" s="537" t="n">
        <x:v>38658</x:v>
      </x:c>
      <x:c r="G335" s="538" t="inlineStr">
        <x:is>
          <x:t xml:space="preserve">Melvin F. Bain</x:t>
        </x:is>
      </x:c>
      <x:c r="H335" s="538" t="inlineStr">
        <x:is>
          <x:t xml:space="preserve">Omega Royalty Co, LLC</x:t>
        </x:is>
      </x:c>
      <x:c r="I335" s="538" t="inlineStr">
        <x:is>
          <x:t xml:space="preserve">NW/4 SE/4, S/2 SE/4, SW/4 NE/4 of 31-12N-24W, aol</x:t>
        </x:is>
      </x:c>
      <x:c r="J335" s="538" t="inlineStr">
        <x:is>
          <x:t xml:space="preserve">ARTI</x:t>
        </x:is>
      </x:c>
      <x:c r="K335" s="518" t="e">
        <x:f>HYPERLINK("https://okcountyrecords.com/detail/roger+mills/2005-007540","OKCountyRecords: 2005-007540")</x:f>
      </x:c>
      <x:c r="L335" s="519" t="inlineStr">
        <x:is>
          <x:t xml:space="preserve">Mineral; basis Conv Amt(dec). Gross=tract-map basis.</x:t>
        </x:is>
      </x:c>
      <x:c r="M335" s="519" t="inlineStr">
        <x:is>
          <x:t xml:space="preserve">CURRENT OWNER SOURCE</x:t>
        </x:is>
      </x:c>
      <x:c r="N335" s="519" t="n"/>
      <x:c r="O335" s="519" t="inlineStr">
        <x:is>
          <x:t xml:space="preserve">OUTSIDE LANDS</x:t>
        </x:is>
      </x:c>
      <x:c r="P335" s="520" t="inlineStr">
        <x:is>
          <x:t xml:space="preserve">Chain — minerals</x:t>
        </x:is>
      </x:c>
      <x:c r="Q335" s="520" t="inlineStr">
        <x:is>
          <x:t xml:space="preserve">Yes</x:t>
        </x:is>
      </x:c>
      <x:c r="R335" s="520" t="inlineStr">
        <x:is>
          <x:t xml:space="preserve">No</x:t>
        </x:is>
      </x:c>
      <x:c r="S335" s="520" t="inlineStr">
        <x:is>
          <x:t xml:space="preserve">Yes</x:t>
        </x:is>
      </x:c>
      <x:c r="T335" s="520" t="inlineStr">
        <x:is>
          <x:t xml:space="preserve">No</x:t>
        </x:is>
      </x:c>
      <x:c r="U335" s="520" t="inlineStr">
        <x:is>
          <x:t xml:space="preserve">Yes: 2 (legal supports)</x:t>
        </x:is>
      </x:c>
      <x:c r="V335" s="520" t="inlineStr">
        <x:is>
          <x:t xml:space="preserve">High</x:t>
        </x:is>
      </x:c>
      <x:c r="W335" s="520" t="inlineStr">
        <x:is>
          <x:t xml:space="preserve">Review — no exact prior-grantee match</x:t>
        </x:is>
      </x:c>
      <x:c r="X335" s="520" t="inlineStr">
        <x:is>
          <x:t xml:space="preserve">Yes — on Tract 2 owner list</x:t>
        </x:is>
      </x:c>
      <x:c r="Y335" s="520" t="inlineStr">
        <x:is>
          <x:t xml:space="preserve">Candidate 1 (helper — confirm from image)</x:t>
        </x:is>
      </x:c>
      <x:c r="Z335" s="520" t="inlineStr">
        <x:is>
          <x:t xml:space="preserve">Medium — helper value</x:t>
        </x:is>
      </x:c>
      <x:c r="AA335" s="520" t="inlineStr">
        <x:is>
          <x:t xml:space="preserve">Mineral Deed — Melvin F. Bain to Omega Royalty Co, LLC (1812/120)</x:t>
        </x:is>
      </x:c>
      <x:c r="AB335" s="520" t="inlineStr">
        <x:is>
          <x:t xml:space="preserve">Needs source review: grantor source</x:t>
        </x:is>
      </x:c>
    </x:row>
    <x:row r="336" s="520" customFormat="1" ht="96" customHeight="1">
      <x:c r="A336" s="519" t="inlineStr">
        <x:is>
          <x:t xml:space="preserve">2005-008722</x:t>
        </x:is>
      </x:c>
      <x:c r="B336" s="536" t="n">
        <x:v>39</x:v>
      </x:c>
      <x:c r="C336" s="536" t="inlineStr">
        <x:is>
          <x:t xml:space="preserve">Oil and Gas Lease</x:t>
        </x:is>
      </x:c>
      <x:c r="D336" s="536" t="inlineStr">
        <x:is>
          <x:t xml:space="preserve">1817/388</x:t>
        </x:is>
      </x:c>
      <x:c r="E336" s="537" t="n">
        <x:v>38621</x:v>
      </x:c>
      <x:c r="F336" s="537" t="n">
        <x:v>38709</x:v>
      </x:c>
      <x:c r="G336" s="538" t="inlineStr">
        <x:is>
          <x:t xml:space="preserve">James E. Menehan
1755 16th Street
Monroe, WI 53566</x:t>
        </x:is>
      </x:c>
      <x:c r="H336" s="538" t="inlineStr">
        <x:is>
          <x:t xml:space="preserve">Todco Properties, Inc.
2401 Tee Circle. Suite 205
Norman. OK. 73069</x:t>
        </x:is>
      </x:c>
      <x:c r="I336" s="538" t="inlineStr">
        <x:is>
          <x:t xml:space="preserve">NW/4 SE/4, S/2 SE/4, SW/4 NE/4 of 31-12N-24W</x:t>
        </x:is>
      </x:c>
      <x:c r="J336" s="538" t="inlineStr">
        <x:is>
          <x:t xml:space="preserve">160 gross acres
3 yrs
3/16ths royalty
Chain note: source of title — MINERAL DEED 1931-000573 at D41/447, Thomas O. Hambrook and Flora E. Hambrook, HW to James G. Hambrook, covering Beginning at the North west corner of the North west quarter of Section Thirty one (31) in Township Twelve (12) North of … Full recital in recorded instrument — see Link.</x:t>
        </x:is>
      </x:c>
      <x:c r="K336" s="518" t="e">
        <x:f>HYPERLINK("https://okcountyrecords.com/detail/roger+mills/2005-008722","OKCountyRecords: 2005-008722")</x:f>
      </x:c>
      <x:c r="L336" s="519" t="inlineStr">
        <x:is>
          <x:t xml:space="preserve">Leasehold (non-mineral; excluded from mineral NMA). Gross=tract-map basis.</x:t>
        </x:is>
      </x:c>
      <x:c r="M336" s="519" t="inlineStr">
        <x:is>
          <x:t xml:space="preserve">CURRENT LEASE SOURCE</x:t>
        </x:is>
      </x:c>
      <x:c r="N336" s="519" t="n"/>
      <x:c r="O336" s="519" t="inlineStr">
        <x:is>
          <x:t xml:space="preserve">OGL / BASE LEASE</x:t>
        </x:is>
      </x:c>
      <x:c r="P336" s="520" t="inlineStr">
        <x:is>
          <x:t xml:space="preserve">Chain — leasehold (OGL)</x:t>
        </x:is>
      </x:c>
      <x:c r="Q336" s="520" t="inlineStr">
        <x:is>
          <x:t xml:space="preserve">No</x:t>
        </x:is>
      </x:c>
      <x:c r="R336" s="520" t="inlineStr">
        <x:is>
          <x:t xml:space="preserve">Yes</x:t>
        </x:is>
      </x:c>
      <x:c r="S336" s="520" t="inlineStr">
        <x:is>
          <x:t xml:space="preserve">No</x:t>
        </x:is>
      </x:c>
      <x:c r="T336" s="520" t="inlineStr">
        <x:is>
          <x:t xml:space="preserve">Yes</x:t>
        </x:is>
      </x:c>
      <x:c r="U336" s="520" t="inlineStr">
        <x:is>
          <x:t xml:space="preserve">Yes: 2 (legal supports)</x:t>
        </x:is>
      </x:c>
      <x:c r="V336" s="520" t="inlineStr">
        <x:is>
          <x:t xml:space="preserve">High</x:t>
        </x:is>
      </x:c>
      <x:c r="W336" s="520" t="inlineStr">
        <x:is>
          <x:t xml:space="preserve">Probable — name-normalized match to Runsheet 101 grantee; confirm</x:t>
        </x:is>
      </x:c>
      <x:c r="X336" s="520" t="inlineStr">
        <x:is>
          <x:t xml:space="preserve">Review</x:t>
        </x:is>
      </x:c>
      <x:c r="Y336" s="520" t="inlineStr">
        <x:is>
          <x:t xml:space="preserve">Interest amount needs review</x:t>
        </x:is>
      </x:c>
      <x:c r="Z336" s="520" t="inlineStr">
        <x:is>
          <x:t xml:space="preserve">Review</x:t>
        </x:is>
      </x:c>
      <x:c r="AA336" s="520" t="inlineStr">
        <x:is>
          <x:t xml:space="preserve">Oil and Gas Lease — James E. Menehan to Todco Properties, Inc. (1817/388)</x:t>
        </x:is>
      </x:c>
      <x:c r="AB336" s="520" t="inlineStr">
        <x:is>
          <x:t xml:space="preserve">Needs source review: grantor source, interest amount</x:t>
        </x:is>
      </x:c>
    </x:row>
    <x:row r="337" s="520" customFormat="1" ht="60" customHeight="1">
      <x:c r="A337" s="519" t="inlineStr">
        <x:is>
          <x:t xml:space="preserve">2005-008721</x:t>
        </x:is>
      </x:c>
      <x:c r="B337" s="536" t="n">
        <x:v>49</x:v>
      </x:c>
      <x:c r="C337" s="536" t="inlineStr">
        <x:is>
          <x:t xml:space="preserve">Oil and Gas Lease</x:t>
        </x:is>
      </x:c>
      <x:c r="D337" s="536" t="inlineStr">
        <x:is>
          <x:t xml:space="preserve">1817/386</x:t>
        </x:is>
      </x:c>
      <x:c r="E337" s="537" t="n">
        <x:v>38621</x:v>
      </x:c>
      <x:c r="F337" s="537" t="n">
        <x:v>38709</x:v>
      </x:c>
      <x:c r="G337" s="538" t="inlineStr">
        <x:is>
          <x:t xml:space="preserve">Joe H Britton, aka, Joe Britton
200 Grissom
Elk City, OK 73644</x:t>
        </x:is>
      </x:c>
      <x:c r="H337" s="538" t="inlineStr">
        <x:is>
          <x:t xml:space="preserve">Todco Properties, Inc.
2401 Tee Circle. Suite 205
Norman. OK. 73069</x:t>
        </x:is>
      </x:c>
      <x:c r="I337" s="538" t="inlineStr">
        <x:is>
          <x:t xml:space="preserve">E/2 NW/4, N/2 NE/4 SW/4, NE/4 SE/4, SE/4 NE/4 of 31-12N-24W</x:t>
        </x:is>
      </x:c>
      <x:c r="J337" s="538" t="inlineStr">
        <x:is>
          <x:t xml:space="preserve">180 gross acres
3 yrs
3/16ths royalty</x:t>
        </x:is>
      </x:c>
      <x:c r="K337" s="518" t="e">
        <x:f>HYPERLINK("https://okcountyrecords.com/detail/roger+mills/2005-008721","OKCountyRecords: 2005-008721")</x:f>
      </x:c>
      <x:c r="L337" s="519" t="inlineStr">
        <x:is>
          <x:t xml:space="preserve">Leasehold (non-mineral; excluded from mineral NMA). Gross=tract-map basis.</x:t>
        </x:is>
      </x:c>
      <x:c r="M337" s="519" t="inlineStr">
        <x:is>
          <x:t xml:space="preserve">CURRENT LEASE SOURCE</x:t>
        </x:is>
      </x:c>
      <x:c r="N337" s="519" t="n"/>
      <x:c r="O337" s="519" t="inlineStr">
        <x:is>
          <x:t xml:space="preserve">OGL / BASE LEASE</x:t>
        </x:is>
      </x:c>
      <x:c r="P337" s="520" t="inlineStr">
        <x:is>
          <x:t xml:space="preserve">Chain — leasehold (OGL)</x:t>
        </x:is>
      </x:c>
      <x:c r="Q337" s="520" t="inlineStr">
        <x:is>
          <x:t xml:space="preserve">No</x:t>
        </x:is>
      </x:c>
      <x:c r="R337" s="520" t="inlineStr">
        <x:is>
          <x:t xml:space="preserve">Yes</x:t>
        </x:is>
      </x:c>
      <x:c r="S337" s="520" t="inlineStr">
        <x:is>
          <x:t xml:space="preserve">No</x:t>
        </x:is>
      </x:c>
      <x:c r="T337" s="520" t="inlineStr">
        <x:is>
          <x:t xml:space="preserve">Yes</x:t>
        </x:is>
      </x:c>
      <x:c r="U337" s="520" t="inlineStr">
        <x:is>
          <x:t xml:space="preserve">Legal maps to 1, 3, 4, 7, 10; helper says 1, 3, 4, 7, 8</x:t>
        </x:is>
      </x:c>
      <x:c r="V337" s="520" t="inlineStr">
        <x:is>
          <x:t xml:space="preserve">Review</x:t>
        </x:is>
      </x:c>
      <x:c r="W337" s="520" t="inlineStr">
        <x:is>
          <x:t xml:space="preserve">Probable — name-normalized match to Runsheet 197 grantee; confirm</x:t>
        </x:is>
      </x:c>
      <x:c r="X337" s="520" t="inlineStr">
        <x:is>
          <x:t xml:space="preserve">Review</x:t>
        </x:is>
      </x:c>
      <x:c r="Y337" s="520" t="inlineStr">
        <x:is>
          <x:t xml:space="preserve">Interest amount needs review</x:t>
        </x:is>
      </x:c>
      <x:c r="Z337" s="520" t="inlineStr">
        <x:is>
          <x:t xml:space="preserve">Review</x:t>
        </x:is>
      </x:c>
      <x:c r="AA337" s="520" t="inlineStr">
        <x:is>
          <x:t xml:space="preserve">Oil and Gas Lease — Joe H Britton, aka, Joe Britto to Todco Properties, Inc. (1817/386)</x:t>
        </x:is>
      </x:c>
      <x:c r="AB337" s="520" t="inlineStr">
        <x:is>
          <x:t xml:space="preserve">Needs source review: tract, grantor source, interest amount</x:t>
        </x:is>
      </x:c>
    </x:row>
    <x:row r="338" s="520" customFormat="1" ht="48" customHeight="1">
      <x:c r="A338" s="519" t="inlineStr">
        <x:is>
          <x:t xml:space="preserve">2005-007117</x:t>
        </x:is>
      </x:c>
      <x:c r="B338" s="536" t="n"/>
      <x:c r="C338" s="536" t="inlineStr">
        <x:is>
          <x:t xml:space="preserve">Mineral Deed</x:t>
        </x:is>
      </x:c>
      <x:c r="D338" s="536" t="inlineStr">
        <x:is>
          <x:t xml:space="preserve">1810/16</x:t>
        </x:is>
      </x:c>
      <x:c r="E338" s="537" t="n">
        <x:v>38624</x:v>
      </x:c>
      <x:c r="F338" s="537" t="n">
        <x:v>38642</x:v>
      </x:c>
      <x:c r="G338" s="538" t="inlineStr">
        <x:is>
          <x:t xml:space="preserve">Charlotte F. Willert</x:t>
        </x:is>
      </x:c>
      <x:c r="H338" s="538" t="inlineStr">
        <x:is>
          <x:t xml:space="preserve">Mare Oil Company</x:t>
        </x:is>
      </x:c>
      <x:c r="I338" s="538" t="inlineStr">
        <x:is>
          <x:t xml:space="preserve">NW/4 SE/4, S/2 SE/4, SW/4 NE/4 of 31-12N-24W</x:t>
        </x:is>
      </x:c>
      <x:c r="J338" s="538" t="inlineStr">
        <x:is>
          <x:t xml:space="preserve">An undivided 1.54420 net acre interest</x:t>
        </x:is>
      </x:c>
      <x:c r="K338" s="518" t="e">
        <x:f>HYPERLINK("https://okcountyrecords.com/detail/roger+mills/2005-007117","OKCountyRecords: 2005-007117")</x:f>
      </x:c>
      <x:c r="L338" s="519" t="inlineStr">
        <x:is>
          <x:t xml:space="preserve">Mineral; basis Conv Amt(dec). Gross=tract-map basis.</x:t>
        </x:is>
      </x:c>
      <x:c r="M338" s="519" t="inlineStr">
        <x:is>
          <x:t xml:space="preserve">REVIEW</x:t>
        </x:is>
      </x:c>
      <x:c r="N338" s="519" t="inlineStr">
        <x:is>
          <x:t xml:space="preserve">Denominator / tract allocation for 1.54420 NMA from instrument image</x:t>
        </x:is>
      </x:c>
      <x:c r="O338" s="519" t="inlineStr">
        <x:is>
          <x:t xml:space="preserve">MINERAL DEED</x:t>
        </x:is>
      </x:c>
      <x:c r="P338" s="520" t="inlineStr">
        <x:is>
          <x:t xml:space="preserve">Chain — minerals</x:t>
        </x:is>
      </x:c>
      <x:c r="Q338" s="520" t="inlineStr">
        <x:is>
          <x:t xml:space="preserve">Yes</x:t>
        </x:is>
      </x:c>
      <x:c r="R338" s="520" t="inlineStr">
        <x:is>
          <x:t xml:space="preserve">No</x:t>
        </x:is>
      </x:c>
      <x:c r="S338" s="520" t="inlineStr">
        <x:is>
          <x:t xml:space="preserve">Yes</x:t>
        </x:is>
      </x:c>
      <x:c r="T338" s="520" t="inlineStr">
        <x:is>
          <x:t xml:space="preserve">No</x:t>
        </x:is>
      </x:c>
      <x:c r="U338" s="520" t="inlineStr">
        <x:is>
          <x:t xml:space="preserve">Yes: 2 (legal supports)</x:t>
        </x:is>
      </x:c>
      <x:c r="V338" s="520" t="inlineStr">
        <x:is>
          <x:t xml:space="preserve">High</x:t>
        </x:is>
      </x:c>
      <x:c r="W338" s="520" t="inlineStr">
        <x:is>
          <x:t xml:space="preserve">Review — no exact prior-grantee match</x:t>
        </x:is>
      </x:c>
      <x:c r="X338" s="520" t="inlineStr">
        <x:is>
          <x:t xml:space="preserve">Yes — on Tract 2 owner list</x:t>
        </x:is>
      </x:c>
      <x:c r="Y338" s="520" t="inlineStr">
        <x:is>
          <x:t xml:space="preserve">Candidate 0.00965125 (helper — confirm from image)</x:t>
        </x:is>
      </x:c>
      <x:c r="Z338" s="520" t="inlineStr">
        <x:is>
          <x:t xml:space="preserve">Medium — helper value</x:t>
        </x:is>
      </x:c>
      <x:c r="AA338" s="520" t="inlineStr">
        <x:is>
          <x:t xml:space="preserve">Mineral Deed — Charlotte F. Willert to Mare Oil Company (1810/16)</x:t>
        </x:is>
      </x:c>
      <x:c r="AB338" s="520" t="inlineStr">
        <x:is>
          <x:t xml:space="preserve">Needs source review: grantor source</x:t>
        </x:is>
      </x:c>
    </x:row>
    <x:row r="339" s="520" customFormat="1" ht="36" customHeight="1">
      <x:c r="A339" s="519" t="inlineStr">
        <x:is>
          <x:t xml:space="preserve">2005-007116</x:t>
        </x:is>
      </x:c>
      <x:c r="B339" s="536" t="n"/>
      <x:c r="C339" s="536" t="inlineStr">
        <x:is>
          <x:t xml:space="preserve">Mineral Deed</x:t>
        </x:is>
      </x:c>
      <x:c r="D339" s="536" t="inlineStr">
        <x:is>
          <x:t xml:space="preserve">1810/15</x:t>
        </x:is>
      </x:c>
      <x:c r="E339" s="537" t="n">
        <x:v>38625</x:v>
      </x:c>
      <x:c r="F339" s="537" t="n">
        <x:v>38642</x:v>
      </x:c>
      <x:c r="G339" s="538" t="inlineStr">
        <x:is>
          <x:t xml:space="preserve">Peggy J. Brawner</x:t>
        </x:is>
      </x:c>
      <x:c r="H339" s="538" t="inlineStr">
        <x:is>
          <x:t xml:space="preserve">Mare Oil Company</x:t>
        </x:is>
      </x:c>
      <x:c r="I339" s="538" t="inlineStr">
        <x:is>
          <x:t xml:space="preserve">NW/4 SE/4, S/2 SE/4, SW/4 NE/4 of 31-12N-24W</x:t>
        </x:is>
      </x:c>
      <x:c r="J339" s="538" t="inlineStr">
        <x:is>
          <x:t xml:space="preserve">An undivided 1.54420 net acre interest</x:t>
        </x:is>
      </x:c>
      <x:c r="K339" s="518" t="e">
        <x:f>HYPERLINK("https://okcountyrecords.com/detail/roger+mills/2005-007116","OKCountyRecords: 2005-007116")</x:f>
      </x:c>
      <x:c r="L339" s="519" t="inlineStr">
        <x:is>
          <x:t xml:space="preserve">Mineral; basis Conv Amt(dec). Gross=tract-map basis.</x:t>
        </x:is>
      </x:c>
      <x:c r="M339" s="519" t="inlineStr">
        <x:is>
          <x:t xml:space="preserve">REVIEW</x:t>
        </x:is>
      </x:c>
      <x:c r="N339" s="519" t="inlineStr">
        <x:is>
          <x:t xml:space="preserve">Denominator / tract allocation for 1.54420 NMA from instrument image</x:t>
        </x:is>
      </x:c>
      <x:c r="O339" s="519" t="inlineStr">
        <x:is>
          <x:t xml:space="preserve">MINERAL DEED</x:t>
        </x:is>
      </x:c>
      <x:c r="P339" s="520" t="inlineStr">
        <x:is>
          <x:t xml:space="preserve">Chain — minerals</x:t>
        </x:is>
      </x:c>
      <x:c r="Q339" s="520" t="inlineStr">
        <x:is>
          <x:t xml:space="preserve">Yes</x:t>
        </x:is>
      </x:c>
      <x:c r="R339" s="520" t="inlineStr">
        <x:is>
          <x:t xml:space="preserve">No</x:t>
        </x:is>
      </x:c>
      <x:c r="S339" s="520" t="inlineStr">
        <x:is>
          <x:t xml:space="preserve">Yes</x:t>
        </x:is>
      </x:c>
      <x:c r="T339" s="520" t="inlineStr">
        <x:is>
          <x:t xml:space="preserve">No</x:t>
        </x:is>
      </x:c>
      <x:c r="U339" s="520" t="inlineStr">
        <x:is>
          <x:t xml:space="preserve">Yes: 2 (legal supports)</x:t>
        </x:is>
      </x:c>
      <x:c r="V339" s="520" t="inlineStr">
        <x:is>
          <x:t xml:space="preserve">High</x:t>
        </x:is>
      </x:c>
      <x:c r="W339" s="520" t="inlineStr">
        <x:is>
          <x:t xml:space="preserve">Review — no exact prior-grantee match</x:t>
        </x:is>
      </x:c>
      <x:c r="X339" s="520" t="inlineStr">
        <x:is>
          <x:t xml:space="preserve">Yes — on Tract 2 owner list</x:t>
        </x:is>
      </x:c>
      <x:c r="Y339" s="520" t="inlineStr">
        <x:is>
          <x:t xml:space="preserve">Candidate 0.00965125 (helper — confirm from image)</x:t>
        </x:is>
      </x:c>
      <x:c r="Z339" s="520" t="inlineStr">
        <x:is>
          <x:t xml:space="preserve">Medium — helper value</x:t>
        </x:is>
      </x:c>
      <x:c r="AA339" s="520" t="inlineStr">
        <x:is>
          <x:t xml:space="preserve">Mineral Deed — Peggy J. Brawner to Mare Oil Company (1810/15)</x:t>
        </x:is>
      </x:c>
      <x:c r="AB339" s="520" t="inlineStr">
        <x:is>
          <x:t xml:space="preserve">Needs source review: grantor source</x:t>
        </x:is>
      </x:c>
    </x:row>
    <x:row r="340" s="520" customFormat="1" ht="36" customHeight="1">
      <x:c r="A340" s="519" t="inlineStr">
        <x:is>
          <x:t xml:space="preserve">2005-007119</x:t>
        </x:is>
      </x:c>
      <x:c r="B340" s="536" t="n"/>
      <x:c r="C340" s="536" t="inlineStr">
        <x:is>
          <x:t xml:space="preserve">Mineral Deed</x:t>
        </x:is>
      </x:c>
      <x:c r="D340" s="536" t="inlineStr">
        <x:is>
          <x:t xml:space="preserve">1810/18</x:t>
        </x:is>
      </x:c>
      <x:c r="E340" s="537" t="n">
        <x:v>38626</x:v>
      </x:c>
      <x:c r="F340" s="537" t="n">
        <x:v>38642</x:v>
      </x:c>
      <x:c r="G340" s="538" t="inlineStr">
        <x:is>
          <x:t xml:space="preserve">Leona I. DeGrande</x:t>
        </x:is>
      </x:c>
      <x:c r="H340" s="538" t="inlineStr">
        <x:is>
          <x:t xml:space="preserve">Mare Oil Company</x:t>
        </x:is>
      </x:c>
      <x:c r="I340" s="538" t="inlineStr">
        <x:is>
          <x:t xml:space="preserve">NW/4 SE/4, S/2 SE/4, SW/4 NE/4 of 31-12N-24W</x:t>
        </x:is>
      </x:c>
      <x:c r="J340" s="538" t="inlineStr">
        <x:is>
          <x:t xml:space="preserve">An undivided 1.54420 net acre interest</x:t>
        </x:is>
      </x:c>
      <x:c r="K340" s="518" t="e">
        <x:f>HYPERLINK("https://okcountyrecords.com/detail/roger+mills/2005-007119","OKCountyRecords: 2005-007119")</x:f>
      </x:c>
      <x:c r="L340" s="519" t="inlineStr">
        <x:is>
          <x:t xml:space="preserve">Mineral; basis Conv Amt(dec). Gross=tract-map basis.</x:t>
        </x:is>
      </x:c>
      <x:c r="M340" s="519" t="inlineStr">
        <x:is>
          <x:t xml:space="preserve">REVIEW</x:t>
        </x:is>
      </x:c>
      <x:c r="N340" s="519" t="inlineStr">
        <x:is>
          <x:t xml:space="preserve">Denominator / tract allocation for 1.54420 NMA from instrument image</x:t>
        </x:is>
      </x:c>
      <x:c r="O340" s="519" t="inlineStr">
        <x:is>
          <x:t xml:space="preserve">MINERAL DEED</x:t>
        </x:is>
      </x:c>
      <x:c r="P340" s="520" t="inlineStr">
        <x:is>
          <x:t xml:space="preserve">Chain — minerals</x:t>
        </x:is>
      </x:c>
      <x:c r="Q340" s="520" t="inlineStr">
        <x:is>
          <x:t xml:space="preserve">Yes</x:t>
        </x:is>
      </x:c>
      <x:c r="R340" s="520" t="inlineStr">
        <x:is>
          <x:t xml:space="preserve">No</x:t>
        </x:is>
      </x:c>
      <x:c r="S340" s="520" t="inlineStr">
        <x:is>
          <x:t xml:space="preserve">Yes</x:t>
        </x:is>
      </x:c>
      <x:c r="T340" s="520" t="inlineStr">
        <x:is>
          <x:t xml:space="preserve">No</x:t>
        </x:is>
      </x:c>
      <x:c r="U340" s="520" t="inlineStr">
        <x:is>
          <x:t xml:space="preserve">Yes: 2 (legal supports)</x:t>
        </x:is>
      </x:c>
      <x:c r="V340" s="520" t="inlineStr">
        <x:is>
          <x:t xml:space="preserve">High</x:t>
        </x:is>
      </x:c>
      <x:c r="W340" s="520" t="inlineStr">
        <x:is>
          <x:t xml:space="preserve">Review — no exact prior-grantee match</x:t>
        </x:is>
      </x:c>
      <x:c r="X340" s="520" t="inlineStr">
        <x:is>
          <x:t xml:space="preserve">Yes — on Tract 2 owner list</x:t>
        </x:is>
      </x:c>
      <x:c r="Y340" s="520" t="inlineStr">
        <x:is>
          <x:t xml:space="preserve">Candidate 0.00965125 (helper — confirm from image)</x:t>
        </x:is>
      </x:c>
      <x:c r="Z340" s="520" t="inlineStr">
        <x:is>
          <x:t xml:space="preserve">Medium — helper value</x:t>
        </x:is>
      </x:c>
      <x:c r="AA340" s="520" t="inlineStr">
        <x:is>
          <x:t xml:space="preserve">Mineral Deed — Leona I. DeGrande to Mare Oil Company (1810/18)</x:t>
        </x:is>
      </x:c>
      <x:c r="AB340" s="520" t="inlineStr">
        <x:is>
          <x:t xml:space="preserve">Needs source review: grantor source</x:t>
        </x:is>
      </x:c>
    </x:row>
    <x:row r="341" s="520" customFormat="1" ht="36" customHeight="1">
      <x:c r="A341" s="519" t="inlineStr">
        <x:is>
          <x:t xml:space="preserve">2005-007120</x:t>
        </x:is>
      </x:c>
      <x:c r="B341" s="536" t="n"/>
      <x:c r="C341" s="536" t="inlineStr">
        <x:is>
          <x:t xml:space="preserve">Mineral Deed</x:t>
        </x:is>
      </x:c>
      <x:c r="D341" s="536" t="inlineStr">
        <x:is>
          <x:t xml:space="preserve">1810/19</x:t>
        </x:is>
      </x:c>
      <x:c r="E341" s="537" t="n">
        <x:v>38626</x:v>
      </x:c>
      <x:c r="F341" s="537" t="n">
        <x:v>38642</x:v>
      </x:c>
      <x:c r="G341" s="538" t="inlineStr">
        <x:is>
          <x:t xml:space="preserve">Leona I. DeGrande</x:t>
        </x:is>
      </x:c>
      <x:c r="H341" s="538" t="inlineStr">
        <x:is>
          <x:t xml:space="preserve">Mare Oil Company</x:t>
        </x:is>
      </x:c>
      <x:c r="I341" s="538" t="inlineStr">
        <x:is>
          <x:t xml:space="preserve">NW/4 SE/4, S/2 SE/4, SW/4 NE/4 of 31-12N-24W</x:t>
        </x:is>
      </x:c>
      <x:c r="J341" s="538" t="inlineStr">
        <x:is>
          <x:t xml:space="preserve">An undivided 1.54420 net acre interest</x:t>
        </x:is>
      </x:c>
      <x:c r="K341" s="518" t="e">
        <x:f>HYPERLINK("https://okcountyrecords.com/detail/roger+mills/2005-007120","OKCountyRecords: 2005-007120")</x:f>
      </x:c>
      <x:c r="L341" s="519" t="inlineStr">
        <x:is>
          <x:t xml:space="preserve">Mineral; basis Conv Amt(dec). Gross=tract-map basis.</x:t>
        </x:is>
      </x:c>
      <x:c r="M341" s="519" t="inlineStr">
        <x:is>
          <x:t xml:space="preserve">REVIEW</x:t>
        </x:is>
      </x:c>
      <x:c r="N341" s="519" t="inlineStr">
        <x:is>
          <x:t xml:space="preserve">Denominator / tract allocation for 1.54420 NMA from instrument image</x:t>
        </x:is>
      </x:c>
      <x:c r="O341" s="519" t="inlineStr">
        <x:is>
          <x:t xml:space="preserve">MINERAL DEED</x:t>
        </x:is>
      </x:c>
      <x:c r="P341" s="520" t="inlineStr">
        <x:is>
          <x:t xml:space="preserve">Chain — minerals</x:t>
        </x:is>
      </x:c>
      <x:c r="Q341" s="520" t="inlineStr">
        <x:is>
          <x:t xml:space="preserve">Yes</x:t>
        </x:is>
      </x:c>
      <x:c r="R341" s="520" t="inlineStr">
        <x:is>
          <x:t xml:space="preserve">No</x:t>
        </x:is>
      </x:c>
      <x:c r="S341" s="520" t="inlineStr">
        <x:is>
          <x:t xml:space="preserve">Yes</x:t>
        </x:is>
      </x:c>
      <x:c r="T341" s="520" t="inlineStr">
        <x:is>
          <x:t xml:space="preserve">No</x:t>
        </x:is>
      </x:c>
      <x:c r="U341" s="520" t="inlineStr">
        <x:is>
          <x:t xml:space="preserve">Yes: 2 (legal supports)</x:t>
        </x:is>
      </x:c>
      <x:c r="V341" s="520" t="inlineStr">
        <x:is>
          <x:t xml:space="preserve">High</x:t>
        </x:is>
      </x:c>
      <x:c r="W341" s="520" t="inlineStr">
        <x:is>
          <x:t xml:space="preserve">Review — no exact prior-grantee match</x:t>
        </x:is>
      </x:c>
      <x:c r="X341" s="520" t="inlineStr">
        <x:is>
          <x:t xml:space="preserve">Yes — on Tract 2 owner list</x:t>
        </x:is>
      </x:c>
      <x:c r="Y341" s="520" t="inlineStr">
        <x:is>
          <x:t xml:space="preserve">Candidate 0.00965125 (helper — confirm from image)</x:t>
        </x:is>
      </x:c>
      <x:c r="Z341" s="520" t="inlineStr">
        <x:is>
          <x:t xml:space="preserve">Medium — helper value</x:t>
        </x:is>
      </x:c>
      <x:c r="AA341" s="520" t="inlineStr">
        <x:is>
          <x:t xml:space="preserve">Mineral Deed — Leona I. DeGrande to Mare Oil Company (1810/19)</x:t>
        </x:is>
      </x:c>
      <x:c r="AB341" s="520" t="inlineStr">
        <x:is>
          <x:t xml:space="preserve">Needs source review: grantor source</x:t>
        </x:is>
      </x:c>
    </x:row>
    <x:row r="342" s="520" customFormat="1" ht="72" customHeight="1">
      <x:c r="A342" s="519" t="inlineStr">
        <x:is>
          <x:t xml:space="preserve">2005-006992</x:t>
        </x:is>
      </x:c>
      <x:c r="B342" s="536" t="n"/>
      <x:c r="C342" s="536" t="inlineStr">
        <x:is>
          <x:t xml:space="preserve">Assignment OF MINERAL INTERESTS</x:t>
        </x:is>
      </x:c>
      <x:c r="D342" s="536" t="inlineStr">
        <x:is>
          <x:t xml:space="preserve">1809/264</x:t>
        </x:is>
      </x:c>
      <x:c r="E342" s="537" t="n">
        <x:v>38629</x:v>
      </x:c>
      <x:c r="F342" s="537" t="n">
        <x:v>38632</x:v>
      </x:c>
      <x:c r="G342" s="538" t="inlineStr">
        <x:is>
          <x:t xml:space="preserve">The Estate of Dorothy G. Hamilton
Harold D. Hamilton Rogers,
and Heather H. Tedford, Co-executors</x:t>
        </x:is>
      </x:c>
      <x:c r="H342" s="538" t="inlineStr">
        <x:is>
          <x:t xml:space="preserve">Heather Hamilton Tedford
900 8th Street, Suite 710
Wichita Falls, TX 76301</x:t>
        </x:is>
      </x:c>
      <x:c r="I342" s="538" t="inlineStr">
        <x:is>
          <x:t xml:space="preserve">E/2 NW/4, N/2 NE/4 SW/4, NE/4 SE/4, SE/4 NE/4 of 31-12N-24W, aol</x:t>
        </x:is>
      </x:c>
      <x:c r="J342" s="538" t="inlineStr">
        <x:is>
          <x:t xml:space="preserve">It is the intention of Assignor to convey, and Assignor does hereby convey, all of Assignor's interest, whether described above or not, in the oil, gas and minerals (held in any form, whether as minerals, royalty, overriding royalties, working interest or some other interest in leasehold estate), owned by Assignor in Roger Mills County, Okiahoma.</x:t>
        </x:is>
      </x:c>
      <x:c r="K342" s="518" t="e">
        <x:f>HYPERLINK("https://okcountyrecords.com/detail/roger+mills/2005-006992","OKCountyRecords: 2005-006992")</x:f>
      </x:c>
      <x:c r="L342" s="519" t="inlineStr">
        <x:is>
          <x:t xml:space="preserve">Leasehold (non-mineral; excluded from mineral NMA). Gross=tract-map basis.</x:t>
        </x:is>
      </x:c>
      <x:c r="M342" s="519" t="inlineStr">
        <x:is>
          <x:t xml:space="preserve">Confirm lease effect</x:t>
        </x:is>
      </x:c>
      <x:c r="N342" s="519" t="n"/>
      <x:c r="O342" s="519" t="inlineStr">
        <x:is>
          <x:t xml:space="preserve">OUTSIDE LANDS</x:t>
        </x:is>
      </x:c>
      <x:c r="P342" s="520" t="inlineStr">
        <x:is>
          <x:t xml:space="preserve">Chain — minerals</x:t>
        </x:is>
      </x:c>
      <x:c r="Q342" s="520" t="inlineStr">
        <x:is>
          <x:t xml:space="preserve">Yes</x:t>
        </x:is>
      </x:c>
      <x:c r="R342" s="520" t="inlineStr">
        <x:is>
          <x:t xml:space="preserve">No</x:t>
        </x:is>
      </x:c>
      <x:c r="S342" s="520" t="inlineStr">
        <x:is>
          <x:t xml:space="preserve">Yes</x:t>
        </x:is>
      </x:c>
      <x:c r="T342" s="520" t="inlineStr">
        <x:is>
          <x:t xml:space="preserve">No</x:t>
        </x:is>
      </x:c>
      <x:c r="U342" s="520" t="inlineStr">
        <x:is>
          <x:t xml:space="preserve">Legal maps to 1, 3, 4, 7, 10; helper says 1, 3, 4, 7, 8</x:t>
        </x:is>
      </x:c>
      <x:c r="V342" s="520" t="inlineStr">
        <x:is>
          <x:t xml:space="preserve">Review</x:t>
        </x:is>
      </x:c>
      <x:c r="W342" s="520" t="inlineStr">
        <x:is>
          <x:t xml:space="preserve">Probable — name-normalized match to Runsheet 260 grantee; confirm</x:t>
        </x:is>
      </x:c>
      <x:c r="X342" s="520" t="inlineStr">
        <x:is>
          <x:t xml:space="preserve">Review</x:t>
        </x:is>
      </x:c>
      <x:c r="Y342" s="520" t="inlineStr">
        <x:is>
          <x:t xml:space="preserve">Interest amount needs review</x:t>
        </x:is>
      </x:c>
      <x:c r="Z342" s="520" t="inlineStr">
        <x:is>
          <x:t xml:space="preserve">Review</x:t>
        </x:is>
      </x:c>
      <x:c r="AA342" s="520" t="inlineStr">
        <x:is>
          <x:t xml:space="preserve">Assignment OF MINERAL INTERESTS — The Estate of Dorothy G. Hamil to Heather Hamilton Tedford (1809/264)</x:t>
        </x:is>
      </x:c>
      <x:c r="AB342" s="520" t="inlineStr">
        <x:is>
          <x:t xml:space="preserve">Needs source review: tract, grantor source, interest amount</x:t>
        </x:is>
      </x:c>
    </x:row>
    <x:row r="343" s="520" customFormat="1" ht="84" customHeight="1">
      <x:c r="A343" s="519" t="inlineStr">
        <x:is>
          <x:t xml:space="preserve">2005-007202</x:t>
        </x:is>
      </x:c>
      <x:c r="B343" s="536" t="n">
        <x:v>40</x:v>
      </x:c>
      <x:c r="C343" s="536" t="inlineStr">
        <x:is>
          <x:t xml:space="preserve">Oil and Gas Lease</x:t>
        </x:is>
      </x:c>
      <x:c r="D343" s="536" t="inlineStr">
        <x:is>
          <x:t xml:space="preserve">1810/310</x:t>
        </x:is>
      </x:c>
      <x:c r="E343" s="537" t="n">
        <x:v>38632</x:v>
      </x:c>
      <x:c r="F343" s="537" t="n">
        <x:v>38644</x:v>
      </x:c>
      <x:c r="G343" s="538" t="inlineStr">
        <x:is>
          <x:t xml:space="preserve">Peggy J. Hayhurst, Trustee of the Peggy J. Hayhurst Revocable Trust dated 11-9-93
P.O. Box 828
Elk City, OK 73648</x:t>
        </x:is>
      </x:c>
      <x:c r="H343" s="538" t="inlineStr">
        <x:is>
          <x:t xml:space="preserve">Fleshman Agency, Inc.
P.O. Box 2197
Elk City, OK 73648</x:t>
        </x:is>
      </x:c>
      <x:c r="I343" s="538" t="inlineStr">
        <x:is>
          <x:t xml:space="preserve">E/2 NW/4, N/2 NE/4 SW/4, NE/4 SE/4, SE/4 NE/4 of 31-12N-24W</x:t>
        </x:is>
      </x:c>
      <x:c r="J343" s="538" t="inlineStr">
        <x:is>
          <x:t xml:space="preserve">180 gross acres
3 yrs
1/4th royalty
Depth clause: All depths 100 feet below the stratigraphic equivalent of the total depth drilled in any well during the primary term of this lease shall be released at the expiration of the primary term herein. … Full recital in recorded instrument — see Link.</x:t>
        </x:is>
      </x:c>
      <x:c r="K343" s="518" t="e">
        <x:f>HYPERLINK("https://okcountyrecords.com/detail/roger+mills/2005-007202","OKCountyRecords: 2005-007202")</x:f>
      </x:c>
      <x:c r="L343" s="519" t="inlineStr">
        <x:is>
          <x:t xml:space="preserve">Leasehold (non-mineral; excluded from mineral NMA). Gross=tract-map basis.</x:t>
        </x:is>
      </x:c>
      <x:c r="M343" s="519" t="inlineStr">
        <x:is>
          <x:t xml:space="preserve">CURRENT LEASE SOURCE</x:t>
        </x:is>
      </x:c>
      <x:c r="N343" s="519" t="n"/>
      <x:c r="O343" s="519" t="inlineStr">
        <x:is>
          <x:t xml:space="preserve">RELEASE</x:t>
        </x:is>
      </x:c>
      <x:c r="P343" s="520" t="inlineStr">
        <x:is>
          <x:t xml:space="preserve">Chain — leasehold (OGL)</x:t>
        </x:is>
      </x:c>
      <x:c r="Q343" s="520" t="inlineStr">
        <x:is>
          <x:t xml:space="preserve">No</x:t>
        </x:is>
      </x:c>
      <x:c r="R343" s="520" t="inlineStr">
        <x:is>
          <x:t xml:space="preserve">Yes</x:t>
        </x:is>
      </x:c>
      <x:c r="S343" s="520" t="inlineStr">
        <x:is>
          <x:t xml:space="preserve">No</x:t>
        </x:is>
      </x:c>
      <x:c r="T343" s="520" t="inlineStr">
        <x:is>
          <x:t xml:space="preserve">Yes</x:t>
        </x:is>
      </x:c>
      <x:c r="U343" s="520" t="inlineStr">
        <x:is>
          <x:t xml:space="preserve">Legal maps to 1, 3, 4, 7, 10; helper says 1, 3, 4, 7, 8</x:t>
        </x:is>
      </x:c>
      <x:c r="V343" s="520" t="inlineStr">
        <x:is>
          <x:t xml:space="preserve">Review</x:t>
        </x:is>
      </x:c>
      <x:c r="W343" s="520" t="inlineStr">
        <x:is>
          <x:t xml:space="preserve">Probable — name-normalized match to Runsheet 258 grantee; confirm</x:t>
        </x:is>
      </x:c>
      <x:c r="X343" s="520" t="inlineStr">
        <x:is>
          <x:t xml:space="preserve">Yes — on Tract 4 owner list</x:t>
        </x:is>
      </x:c>
      <x:c r="Y343" s="520" t="inlineStr">
        <x:is>
          <x:t xml:space="preserve">Interest amount needs review</x:t>
        </x:is>
      </x:c>
      <x:c r="Z343" s="520" t="inlineStr">
        <x:is>
          <x:t xml:space="preserve">Review</x:t>
        </x:is>
      </x:c>
      <x:c r="AA343" s="520" t="inlineStr">
        <x:is>
          <x:t xml:space="preserve">Oil and Gas Lease — Peggy J. Hayhurst, Trustee of to Fleshman Agency, Inc. (1810/310)</x:t>
        </x:is>
      </x:c>
      <x:c r="AB343" s="520" t="inlineStr">
        <x:is>
          <x:t xml:space="preserve">Needs source review: tract, grantor source, interest amount</x:t>
        </x:is>
      </x:c>
    </x:row>
    <x:row r="344" s="520" customFormat="1" ht="96" customHeight="1">
      <x:c r="A344" s="519" t="inlineStr">
        <x:is>
          <x:t xml:space="preserve">2005-008517</x:t>
        </x:is>
      </x:c>
      <x:c r="B344" s="536" t="n">
        <x:v>46</x:v>
      </x:c>
      <x:c r="C344" s="536" t="inlineStr">
        <x:is>
          <x:t xml:space="preserve">Oil and Gas Lease</x:t>
        </x:is>
      </x:c>
      <x:c r="D344" s="536" t="inlineStr">
        <x:is>
          <x:t xml:space="preserve">1816/358</x:t>
        </x:is>
      </x:c>
      <x:c r="E344" s="537" t="n">
        <x:v>38636</x:v>
      </x:c>
      <x:c r="F344" s="537" t="n">
        <x:v>38701</x:v>
      </x:c>
      <x:c r="G344" s="538" t="inlineStr">
        <x:is>
          <x:t xml:space="preserve">Eddie Tom Lakey
1501 Electra
Sayre, OK 73662</x:t>
        </x:is>
      </x:c>
      <x:c r="H344" s="538" t="inlineStr">
        <x:is>
          <x:t xml:space="preserve">Jess Harris, III, Inc.
Oklahoma City, OK 73112</x:t>
        </x:is>
      </x:c>
      <x:c r="I344" s="538" t="inlineStr">
        <x:is>
          <x:t xml:space="preserve">The North Forty (40) acres in a tract of land described as W. 18.20 chains (72-8/10 rods) of Lots 1 and 2 a/d/a W. 18.20 chains (or 72-8/10 rods) of W/2 NW/4 of 31-12N-24W</x:t>
        </x:is>
      </x:c>
      <x:c r="J344" s="538" t="inlineStr">
        <x:is>
          <x:t xml:space="preserve">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 Full recital in recorded instrument — see Link.</x:t>
        </x:is>
      </x:c>
      <x:c r="K344" s="518" t="e">
        <x:f>HYPERLINK("https://okcountyrecords.com/detail/roger+mills/2005-008517","OKCountyRecords: 2005-008517")</x:f>
      </x:c>
      <x:c r="L344" s="519" t="inlineStr">
        <x:is>
          <x:t xml:space="preserve">Leasehold (non-mineral; excluded from mineral NMA). All-section coverage. Gross=tract-map basis.</x:t>
        </x:is>
      </x:c>
      <x:c r="M344" s="519" t="inlineStr">
        <x:is>
          <x:t xml:space="preserve">CURRENT LEASE SOURCE</x:t>
        </x:is>
      </x:c>
      <x:c r="N344" s="519" t="n"/>
      <x:c r="O344" s="519" t="inlineStr">
        <x:is>
          <x:t xml:space="preserve">OGL / BASE LEASE</x:t>
        </x:is>
      </x:c>
      <x:c r="P344" s="520" t="inlineStr">
        <x:is>
          <x:t xml:space="preserve">Chain — leasehold (OGL)</x:t>
        </x:is>
      </x:c>
      <x:c r="Q344" s="520" t="inlineStr">
        <x:is>
          <x:t xml:space="preserve">No</x:t>
        </x:is>
      </x:c>
      <x:c r="R344" s="520" t="inlineStr">
        <x:is>
          <x:t xml:space="preserve">Yes</x:t>
        </x:is>
      </x:c>
      <x:c r="S344" s="520" t="inlineStr">
        <x:is>
          <x:t xml:space="preserve">No</x:t>
        </x:is>
      </x:c>
      <x:c r="T344" s="520" t="inlineStr">
        <x:is>
          <x:t xml:space="preserve">Yes</x:t>
        </x:is>
      </x:c>
      <x:c r="U344" s="520" t="inlineStr">
        <x:is>
          <x:t xml:space="preserve">Legal maps to 5, 6, 8; helper says 1, 8</x:t>
        </x:is>
      </x:c>
      <x:c r="V344" s="520" t="inlineStr">
        <x:is>
          <x:t xml:space="preserve">Review</x:t>
        </x:is>
      </x:c>
      <x:c r="W344" s="520" t="inlineStr">
        <x:is>
          <x:t xml:space="preserve">Yes — prior grantee match</x:t>
        </x:is>
      </x:c>
      <x:c r="X344" s="520" t="inlineStr">
        <x:is>
          <x:t xml:space="preserve">Review</x:t>
        </x:is>
      </x:c>
      <x:c r="Y344" s="520" t="inlineStr">
        <x:is>
          <x:t xml:space="preserve">Interest amount needs review</x:t>
        </x:is>
      </x:c>
      <x:c r="Z344" s="520" t="inlineStr">
        <x:is>
          <x:t xml:space="preserve">Review</x:t>
        </x:is>
      </x:c>
      <x:c r="AA344" s="520" t="inlineStr">
        <x:is>
          <x:t xml:space="preserve">Oil and Gas Lease — Eddie Tom Lakey to Jess Harris, III, Inc. (1816/358)</x:t>
        </x:is>
      </x:c>
      <x:c r="AB344" s="520" t="inlineStr">
        <x:is>
          <x:t xml:space="preserve">Needs source review: tract, interest amount</x:t>
        </x:is>
      </x:c>
    </x:row>
    <x:row r="345" s="520" customFormat="1" ht="96" customHeight="1">
      <x:c r="A345" s="519" t="inlineStr">
        <x:is>
          <x:t xml:space="preserve">2005-008515</x:t>
        </x:is>
      </x:c>
      <x:c r="B345" s="536" t="n">
        <x:v>47</x:v>
      </x:c>
      <x:c r="C345" s="536" t="inlineStr">
        <x:is>
          <x:t xml:space="preserve">Oil and Gas Lease</x:t>
        </x:is>
      </x:c>
      <x:c r="D345" s="536" t="inlineStr">
        <x:is>
          <x:t xml:space="preserve">1816/352</x:t>
        </x:is>
      </x:c>
      <x:c r="E345" s="537" t="n">
        <x:v>38636</x:v>
      </x:c>
      <x:c r="F345" s="537" t="n">
        <x:v>38701</x:v>
      </x:c>
      <x:c r="G345" s="538" t="inlineStr">
        <x:is>
          <x:t xml:space="preserve">Shawn S. Walters
Rt. 1, Box 1660
Canute, OK 73626</x:t>
        </x:is>
      </x:c>
      <x:c r="H345" s="538" t="inlineStr">
        <x:is>
          <x:t xml:space="preserve">Jess Harris, III, Inc.
Oklahoma City, OK 73112</x:t>
        </x:is>
      </x:c>
      <x:c r="I345" s="538" t="inlineStr">
        <x:is>
          <x:t xml:space="preserve">SE/4 SW/4 of 31-12N-24W</x:t>
        </x:is>
      </x:c>
      <x:c r="J345" s="538" t="inlineStr">
        <x:is>
          <x:t xml:space="preserve">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 Full recital in recorded instrument — see Link.</x:t>
        </x:is>
      </x:c>
      <x:c r="K345" s="518" t="e">
        <x:f>HYPERLINK("https://okcountyrecords.com/detail/roger+mills/2005-008515","OKCountyRecords: 2005-008515")</x:f>
      </x:c>
      <x:c r="L345" s="519" t="inlineStr">
        <x:is>
          <x:t xml:space="preserve">Leasehold (non-mineral; excluded from mineral NMA). Gross=tract-map basis.</x:t>
        </x:is>
      </x:c>
      <x:c r="M345" s="519" t="inlineStr">
        <x:is>
          <x:t xml:space="preserve">CURRENT LEASE SOURCE</x:t>
        </x:is>
      </x:c>
      <x:c r="N345" s="519" t="n"/>
      <x:c r="O345" s="519" t="inlineStr">
        <x:is>
          <x:t xml:space="preserve">EASEMENT</x:t>
        </x:is>
      </x:c>
      <x:c r="P345" s="520" t="inlineStr">
        <x:is>
          <x:t xml:space="preserve">Chain — leasehold (OGL)</x:t>
        </x:is>
      </x:c>
      <x:c r="Q345" s="520" t="inlineStr">
        <x:is>
          <x:t xml:space="preserve">No</x:t>
        </x:is>
      </x:c>
      <x:c r="R345" s="520" t="inlineStr">
        <x:is>
          <x:t xml:space="preserve">Yes</x:t>
        </x:is>
      </x:c>
      <x:c r="S345" s="520" t="inlineStr">
        <x:is>
          <x:t xml:space="preserve">No</x:t>
        </x:is>
      </x:c>
      <x:c r="T345" s="520" t="inlineStr">
        <x:is>
          <x:t xml:space="preserve">Yes</x:t>
        </x:is>
      </x:c>
      <x:c r="U345" s="520" t="inlineStr">
        <x:is>
          <x:t xml:space="preserve">Yes: 5 (legal supports)</x:t>
        </x:is>
      </x:c>
      <x:c r="V345" s="520" t="inlineStr">
        <x:is>
          <x:t xml:space="preserve">High</x:t>
        </x:is>
      </x:c>
      <x:c r="W345" s="520" t="inlineStr">
        <x:is>
          <x:t xml:space="preserve">No — no source located</x:t>
        </x:is>
      </x:c>
      <x:c r="X345" s="520" t="inlineStr">
        <x:is>
          <x:t xml:space="preserve">Review</x:t>
        </x:is>
      </x:c>
      <x:c r="Y345" s="520" t="inlineStr">
        <x:is>
          <x:t xml:space="preserve">Interest amount needs review</x:t>
        </x:is>
      </x:c>
      <x:c r="Z345" s="520" t="inlineStr">
        <x:is>
          <x:t xml:space="preserve">Review</x:t>
        </x:is>
      </x:c>
      <x:c r="AA345" s="520" t="inlineStr">
        <x:is>
          <x:t xml:space="preserve">Oil and Gas Lease — Shawn S. Walters to Jess Harris, III, Inc. (1816/352)</x:t>
        </x:is>
      </x:c>
      <x:c r="AB345" s="520" t="inlineStr">
        <x:is>
          <x:t xml:space="preserve">Needs source review: no source of title, interest amount</x:t>
        </x:is>
      </x:c>
    </x:row>
    <x:row r="346" s="520" customFormat="1" ht="60" customHeight="1">
      <x:c r="A346" s="519" t="inlineStr">
        <x:is>
          <x:t xml:space="preserve">2005-008528</x:t>
        </x:is>
      </x:c>
      <x:c r="B346" s="536" t="n">
        <x:v>32</x:v>
      </x:c>
      <x:c r="C346" s="536" t="inlineStr">
        <x:is>
          <x:t xml:space="preserve">Oil and Gas Lease</x:t>
        </x:is>
      </x:c>
      <x:c r="D346" s="536" t="inlineStr">
        <x:is>
          <x:t xml:space="preserve">1816/386</x:t>
        </x:is>
      </x:c>
      <x:c r="E346" s="537" t="n">
        <x:v>38637</x:v>
      </x:c>
      <x:c r="F346" s="537" t="n">
        <x:v>38701</x:v>
      </x:c>
      <x:c r="G346" s="538" t="inlineStr">
        <x:is>
          <x:t xml:space="preserve">Myron Slobin a/k/a Myron V. Slobin
2216 Jennings
Street, Sioux City, IA 51104</x:t>
        </x:is>
      </x:c>
      <x:c r="H346" s="538" t="inlineStr">
        <x:is>
          <x:t xml:space="preserve">Jess Harris, III, Inc.
Oklahoma City, OK 73112</x:t>
        </x:is>
      </x:c>
      <x:c r="I346" s="538" t="inlineStr">
        <x:is>
          <x:t xml:space="preserve">All of 31-12N-24W</x:t>
        </x:is>
      </x:c>
      <x:c r="J346" s="538" t="inlineStr">
        <x:is>
          <x:t xml:space="preserve">160 gross acres
3 yrs
3/16ths royalty</x:t>
        </x:is>
      </x:c>
      <x:c r="K346" s="518" t="e">
        <x:f>HYPERLINK("https://okcountyrecords.com/detail/roger+mills/2005-008528","OKCountyRecords: 2005-008528")</x:f>
      </x:c>
      <x:c r="L346" s="519" t="inlineStr">
        <x:is>
          <x:t xml:space="preserve">Leasehold (non-mineral; excluded from mineral NMA). All-section coverage. Gross=tract-map basis.</x:t>
        </x:is>
      </x:c>
      <x:c r="M346" s="519" t="inlineStr">
        <x:is>
          <x:t xml:space="preserve">CURRENT LEASE SOURCE</x:t>
        </x:is>
      </x:c>
      <x:c r="N346" s="519" t="n"/>
      <x:c r="O346" s="519" t="inlineStr">
        <x:is>
          <x:t xml:space="preserve">OGL / BASE LEASE</x:t>
        </x:is>
      </x:c>
      <x:c r="P346" s="520" t="inlineStr">
        <x:is>
          <x:t xml:space="preserve">Chain — leasehold (OGL)</x:t>
        </x:is>
      </x:c>
      <x:c r="Q346" s="520" t="inlineStr">
        <x:is>
          <x:t xml:space="preserve">No</x:t>
        </x:is>
      </x:c>
      <x:c r="R346" s="520" t="inlineStr">
        <x:is>
          <x:t xml:space="preserve">Yes</x:t>
        </x:is>
      </x:c>
      <x:c r="S346" s="520" t="inlineStr">
        <x:is>
          <x:t xml:space="preserve">No</x:t>
        </x:is>
      </x:c>
      <x:c r="T346" s="520" t="inlineStr">
        <x:is>
          <x:t xml:space="preserve">Yes</x:t>
        </x:is>
      </x:c>
      <x:c r="U346" s="520" t="inlineStr">
        <x:is>
          <x:t xml:space="preserve">Yes: 1, 8 (broad legal)</x:t>
        </x:is>
      </x:c>
      <x:c r="V346" s="520" t="inlineStr">
        <x:is>
          <x:t xml:space="preserve">Medium</x:t>
        </x:is>
      </x:c>
      <x:c r="W346" s="520" t="inlineStr">
        <x:is>
          <x:t xml:space="preserve">Probable — name-normalized match to Runsheet 225 grantee; confirm</x:t>
        </x:is>
      </x:c>
      <x:c r="X346" s="520" t="inlineStr">
        <x:is>
          <x:t xml:space="preserve">Review</x:t>
        </x:is>
      </x:c>
      <x:c r="Y346" s="520" t="inlineStr">
        <x:is>
          <x:t xml:space="preserve">Interest amount needs review</x:t>
        </x:is>
      </x:c>
      <x:c r="Z346" s="520" t="inlineStr">
        <x:is>
          <x:t xml:space="preserve">Review</x:t>
        </x:is>
      </x:c>
      <x:c r="AA346" s="520" t="inlineStr">
        <x:is>
          <x:t xml:space="preserve">Oil and Gas Lease — Myron Slobin a/k/a Myron V. Sl to Jess Harris, III, Inc. (1816/386)</x:t>
        </x:is>
      </x:c>
      <x:c r="AB346" s="520" t="inlineStr">
        <x:is>
          <x:t xml:space="preserve">Needs source review: grantor source, interest amount</x:t>
        </x:is>
      </x:c>
    </x:row>
    <x:row r="347" s="520" customFormat="1" ht="36" customHeight="1">
      <x:c r="A347" s="519" t="inlineStr">
        <x:is>
          <x:t xml:space="preserve">2005-007551</x:t>
        </x:is>
      </x:c>
      <x:c r="B347" s="536" t="n"/>
      <x:c r="C347" s="536" t="inlineStr">
        <x:is>
          <x:t xml:space="preserve">Mineral Deed</x:t>
        </x:is>
      </x:c>
      <x:c r="D347" s="536" t="inlineStr">
        <x:is>
          <x:t xml:space="preserve">1812/138</x:t>
        </x:is>
      </x:c>
      <x:c r="E347" s="537" t="n">
        <x:v>38650</x:v>
      </x:c>
      <x:c r="F347" s="537" t="n">
        <x:v>38658</x:v>
      </x:c>
      <x:c r="G347" s="538" t="inlineStr">
        <x:is>
          <x:t xml:space="preserve">Tripco, Inc.</x:t>
        </x:is>
      </x:c>
      <x:c r="H347" s="538" t="inlineStr">
        <x:is>
          <x:t xml:space="preserve">Prism Energy, Inc.</x:t>
        </x:is>
      </x:c>
      <x:c r="I347" s="538" t="inlineStr">
        <x:is>
          <x:t xml:space="preserve">E/2 NW/4, N/2 NE/4 SW/4, NE/4 SE/4, SE/4 NE/4 of 31-12N-24W, aol</x:t>
        </x:is>
      </x:c>
      <x:c r="J347" s="538" t="inlineStr">
        <x:is>
          <x:t xml:space="preserve">ARTI</x:t>
        </x:is>
      </x:c>
      <x:c r="K347" s="518" t="e">
        <x:f>HYPERLINK("https://okcountyrecords.com/detail/roger+mills/2005-007551","OKCountyRecords: 2005-007551")</x:f>
      </x:c>
      <x:c r="L347" s="519" t="inlineStr">
        <x:is>
          <x:t xml:space="preserve">Mineral; basis Conv Amt(dec). Gross=tract-map basis.</x:t>
        </x:is>
      </x:c>
      <x:c r="M347" s="519" t="inlineStr">
        <x:is>
          <x:t xml:space="preserve">CURRENT OWNER SOURCE</x:t>
        </x:is>
      </x:c>
      <x:c r="N347" s="519" t="n"/>
      <x:c r="O347" s="519" t="inlineStr">
        <x:is>
          <x:t xml:space="preserve">OUTSIDE LANDS</x:t>
        </x:is>
      </x:c>
      <x:c r="P347" s="520" t="inlineStr">
        <x:is>
          <x:t xml:space="preserve">Chain — minerals</x:t>
        </x:is>
      </x:c>
      <x:c r="Q347" s="520" t="inlineStr">
        <x:is>
          <x:t xml:space="preserve">Yes</x:t>
        </x:is>
      </x:c>
      <x:c r="R347" s="520" t="inlineStr">
        <x:is>
          <x:t xml:space="preserve">No</x:t>
        </x:is>
      </x:c>
      <x:c r="S347" s="520" t="inlineStr">
        <x:is>
          <x:t xml:space="preserve">Yes</x:t>
        </x:is>
      </x:c>
      <x:c r="T347" s="520" t="inlineStr">
        <x:is>
          <x:t xml:space="preserve">No</x:t>
        </x:is>
      </x:c>
      <x:c r="U347" s="520" t="inlineStr">
        <x:is>
          <x:t xml:space="preserve">Legal maps to 1, 3, 4, 7, 10; helper says 1, 3, 4, 7, 8</x:t>
        </x:is>
      </x:c>
      <x:c r="V347" s="520" t="inlineStr">
        <x:is>
          <x:t xml:space="preserve">Review</x:t>
        </x:is>
      </x:c>
      <x:c r="W347" s="520" t="inlineStr">
        <x:is>
          <x:t xml:space="preserve">Review — no exact prior-grantee match</x:t>
        </x:is>
      </x:c>
      <x:c r="X347" s="520" t="inlineStr">
        <x:is>
          <x:t xml:space="preserve">Yes — on Tract 3 owner list</x:t>
        </x:is>
      </x:c>
      <x:c r="Y347" s="520" t="inlineStr">
        <x:is>
          <x:t xml:space="preserve">Candidate 1 (helper — confirm from image)</x:t>
        </x:is>
      </x:c>
      <x:c r="Z347" s="520" t="inlineStr">
        <x:is>
          <x:t xml:space="preserve">Medium — helper value</x:t>
        </x:is>
      </x:c>
      <x:c r="AA347" s="520" t="inlineStr">
        <x:is>
          <x:t xml:space="preserve">Mineral Deed — Tripco, Inc. to Prism Energy, Inc. (1812/138)</x:t>
        </x:is>
      </x:c>
      <x:c r="AB347" s="520" t="inlineStr">
        <x:is>
          <x:t xml:space="preserve">Needs source review: tract, grantor source</x:t>
        </x:is>
      </x:c>
    </x:row>
    <x:row r="348" s="520" customFormat="1" ht="60" customHeight="1">
      <x:c r="A348" s="519" t="inlineStr">
        <x:is>
          <x:t xml:space="preserve">2006-000767</x:t>
        </x:is>
      </x:c>
      <x:c r="B348" s="536" t="n"/>
      <x:c r="C348" s="536" t="inlineStr">
        <x:is>
          <x:t xml:space="preserve">Assignment of Oil and Gas Lease</x:t>
        </x:is>
      </x:c>
      <x:c r="D348" s="536" t="inlineStr">
        <x:is>
          <x:t xml:space="preserve">1822/18</x:t>
        </x:is>
      </x:c>
      <x:c r="E348" s="537" t="n">
        <x:v>38651</x:v>
      </x:c>
      <x:c r="F348" s="537" t="n">
        <x:v>38749</x:v>
      </x:c>
      <x:c r="G348" s="538" t="inlineStr">
        <x:is>
          <x:t xml:space="preserve">Jess Harris, III, Inc.
Oklahoma City, OK 73112</x:t>
        </x:is>
      </x:c>
      <x:c r="H348" s="538" t="inlineStr">
        <x:is>
          <x:t xml:space="preserve">Newfield Exploration Mid-Continent, Inc.
110 West 7th, Ste. 1300
Tulsa, OK 74119</x:t>
        </x:is>
      </x:c>
      <x:c r="I348" s="538" t="inlineStr">
        <x:is>
          <x:t xml:space="preserve">N 40 acres in a tract of land desc as W 18.20 chains
(72-8/10 rods) of Lots 1, 2 a/d/a W 18.20 chains (or
72-8/10 rods) of W/2 NW/4 of 31-12N-24W</x:t>
        </x:is>
      </x:c>
      <x:c r="J348" s="538" t="inlineStr">
        <x:is>
          <x:t xml:space="preserve">Assigns all right, title and interest in and to the Oil and Gas Lease recorded at 1816/358</x:t>
        </x:is>
      </x:c>
      <x:c r="K348" s="518" t="e">
        <x:f>HYPERLINK("https://okcountyrecords.com/detail/roger+mills/2006-000767","OKCountyRecords: 2006-000767")</x:f>
      </x:c>
      <x:c r="L348" s="519" t="inlineStr">
        <x:is>
          <x:t xml:space="preserve">Leasehold (non-mineral; excluded from mineral NMA). Gross=tract-map basis.</x:t>
        </x:is>
      </x:c>
      <x:c r="M348" s="519" t="inlineStr">
        <x:is>
          <x:t xml:space="preserve">Confirm lease effect</x:t>
        </x:is>
      </x:c>
      <x:c r="N348" s="519" t="n"/>
      <x:c r="O348" s="519" t="inlineStr">
        <x:is>
          <x:t xml:space="preserve">OGL / BASE LEASE</x:t>
        </x:is>
      </x:c>
      <x:c r="P348" s="520" t="inlineStr">
        <x:is>
          <x:t xml:space="preserve">Chain — leasehold (OGL)</x:t>
        </x:is>
      </x:c>
      <x:c r="Q348" s="520" t="inlineStr">
        <x:is>
          <x:t xml:space="preserve">No</x:t>
        </x:is>
      </x:c>
      <x:c r="R348" s="520" t="inlineStr">
        <x:is>
          <x:t xml:space="preserve">Yes</x:t>
        </x:is>
      </x:c>
      <x:c r="S348" s="520" t="inlineStr">
        <x:is>
          <x:t xml:space="preserve">No</x:t>
        </x:is>
      </x:c>
      <x:c r="T348" s="520" t="inlineStr">
        <x:is>
          <x:t xml:space="preserve">Yes</x:t>
        </x:is>
      </x:c>
      <x:c r="U348" s="520" t="inlineStr">
        <x:is>
          <x:t xml:space="preserve">Yes: 5 (legal supports)</x:t>
        </x:is>
      </x:c>
      <x:c r="V348" s="520" t="inlineStr">
        <x:is>
          <x:t xml:space="preserve">High</x:t>
        </x:is>
      </x:c>
      <x:c r="W348" s="520" t="inlineStr">
        <x:is>
          <x:t xml:space="preserve">Yes — prior grantee match</x:t>
        </x:is>
      </x:c>
      <x:c r="X348" s="520" t="inlineStr">
        <x:is>
          <x:t xml:space="preserve">Review</x:t>
        </x:is>
      </x:c>
      <x:c r="Y348" s="520" t="inlineStr">
        <x:is>
          <x:t xml:space="preserve">Interest amount needs review</x:t>
        </x:is>
      </x:c>
      <x:c r="Z348" s="520" t="inlineStr">
        <x:is>
          <x:t xml:space="preserve">Review</x:t>
        </x:is>
      </x:c>
      <x:c r="AA348" s="520" t="inlineStr">
        <x:is>
          <x:t xml:space="preserve">Assignment of Oil and Gas Lease — Jess Harris, III, Inc. to Newfield Exploration Mid-Conti (1822/18)</x:t>
        </x:is>
      </x:c>
      <x:c r="AB348" s="520" t="inlineStr">
        <x:is>
          <x:t xml:space="preserve">Needs source review: interest amount</x:t>
        </x:is>
      </x:c>
    </x:row>
    <x:row r="349" s="520" customFormat="1" ht="84" customHeight="1">
      <x:c r="A349" s="519" t="inlineStr">
        <x:is>
          <x:t xml:space="preserve">2005-008530</x:t>
        </x:is>
      </x:c>
      <x:c r="B349" s="536" t="n">
        <x:v>41</x:v>
      </x:c>
      <x:c r="C349" s="536" t="inlineStr">
        <x:is>
          <x:t xml:space="preserve">Oil and Gas Lease</x:t>
        </x:is>
      </x:c>
      <x:c r="D349" s="536" t="inlineStr">
        <x:is>
          <x:t xml:space="preserve">1816/389</x:t>
        </x:is>
      </x:c>
      <x:c r="E349" s="537" t="n">
        <x:v>38653</x:v>
      </x:c>
      <x:c r="F349" s="537" t="n">
        <x:v>38701</x:v>
      </x:c>
      <x:c r="G349" s="538" t="inlineStr">
        <x:is>
          <x:t xml:space="preserve">Gregory J. Wiinneke
14215 Cougar Creek
San Antonio,, TX 78230</x:t>
        </x:is>
      </x:c>
      <x:c r="H349" s="538" t="inlineStr">
        <x:is>
          <x:t xml:space="preserve">Jess Harris, III, Inc.
Oklahoma City, OK 73112</x:t>
        </x:is>
      </x:c>
      <x:c r="I349" s="538" t="inlineStr">
        <x:is>
          <x:t xml:space="preserve">SE/4 SE/4, SW/4 NE/4, W/2 SE/4 of 31-12N-24W</x:t>
        </x:is>
      </x:c>
      <x:c r="J349" s="538" t="inlineStr">
        <x:is>
          <x:t xml:space="preserve">160 gross acres
3 yrs
3/16ths royalty
Chain note: source of title — OUTSIDE LANDS 1982-011143 at 480/71, Billy W. Bain and Barbara J. Bain, HW to Gregory J. Winneke, covering S/2 SE/4, NW/4 SE/4, SW/4 NE/4 of 31-12N-24W, aol, interest stated: 1/791.47 interest in 2 sections. Confirm source instrument before relying on this conveyance.</x:t>
        </x:is>
      </x:c>
      <x:c r="K349" s="518" t="e">
        <x:f>HYPERLINK("https://okcountyrecords.com/detail/roger+mills/2005-008530","OKCountyRecords: 2005-008530")</x:f>
      </x:c>
      <x:c r="L349" s="519" t="inlineStr">
        <x:is>
          <x:t xml:space="preserve">Leasehold (non-mineral; excluded from mineral NMA). Gross=tract-map basis.</x:t>
        </x:is>
      </x:c>
      <x:c r="M349" s="519" t="inlineStr">
        <x:is>
          <x:t xml:space="preserve">CURRENT LEASE SOURCE</x:t>
        </x:is>
      </x:c>
      <x:c r="N349" s="519" t="n"/>
      <x:c r="O349" s="519" t="inlineStr">
        <x:is>
          <x:t xml:space="preserve">OUTSIDE LANDS</x:t>
        </x:is>
      </x:c>
      <x:c r="P349" s="520" t="inlineStr">
        <x:is>
          <x:t xml:space="preserve">Chain — leasehold (OGL)</x:t>
        </x:is>
      </x:c>
      <x:c r="Q349" s="520" t="inlineStr">
        <x:is>
          <x:t xml:space="preserve">No</x:t>
        </x:is>
      </x:c>
      <x:c r="R349" s="520" t="inlineStr">
        <x:is>
          <x:t xml:space="preserve">Yes</x:t>
        </x:is>
      </x:c>
      <x:c r="S349" s="520" t="inlineStr">
        <x:is>
          <x:t xml:space="preserve">No</x:t>
        </x:is>
      </x:c>
      <x:c r="T349" s="520" t="inlineStr">
        <x:is>
          <x:t xml:space="preserve">Yes</x:t>
        </x:is>
      </x:c>
      <x:c r="U349" s="520" t="inlineStr">
        <x:is>
          <x:t xml:space="preserve">Yes: 2 (legal supports)</x:t>
        </x:is>
      </x:c>
      <x:c r="V349" s="520" t="inlineStr">
        <x:is>
          <x:t xml:space="preserve">High</x:t>
        </x:is>
      </x:c>
      <x:c r="W349" s="520" t="inlineStr">
        <x:is>
          <x:t xml:space="preserve">Review — no exact prior-grantee match</x:t>
        </x:is>
      </x:c>
      <x:c r="X349" s="520" t="inlineStr">
        <x:is>
          <x:t xml:space="preserve">Review</x:t>
        </x:is>
      </x:c>
      <x:c r="Y349" s="520" t="inlineStr">
        <x:is>
          <x:t xml:space="preserve">Interest amount needs review</x:t>
        </x:is>
      </x:c>
      <x:c r="Z349" s="520" t="inlineStr">
        <x:is>
          <x:t xml:space="preserve">Review</x:t>
        </x:is>
      </x:c>
      <x:c r="AA349" s="520" t="inlineStr">
        <x:is>
          <x:t xml:space="preserve">Oil and Gas Lease — Gregory J. Wiinneke to Jess Harris, III, Inc. (1816/389)</x:t>
        </x:is>
      </x:c>
      <x:c r="AB349" s="520" t="inlineStr">
        <x:is>
          <x:t xml:space="preserve">Needs source review: grantor source, interest amount</x:t>
        </x:is>
      </x:c>
    </x:row>
    <x:row r="350" s="520" customFormat="1" ht="48" customHeight="1">
      <x:c r="A350" s="519" t="inlineStr">
        <x:is>
          <x:t xml:space="preserve">2005-007541</x:t>
        </x:is>
      </x:c>
      <x:c r="B350" s="536" t="n"/>
      <x:c r="C350" s="536" t="inlineStr">
        <x:is>
          <x:t xml:space="preserve">Mineral Deed</x:t>
        </x:is>
      </x:c>
      <x:c r="D350" s="536" t="inlineStr">
        <x:is>
          <x:t xml:space="preserve">1812/121</x:t>
        </x:is>
      </x:c>
      <x:c r="E350" s="537" t="n">
        <x:v>38655</x:v>
      </x:c>
      <x:c r="F350" s="537" t="n">
        <x:v>38658</x:v>
      </x:c>
      <x:c r="G350" s="538" t="inlineStr">
        <x:is>
          <x:t xml:space="preserve">Omega Royalty Co, LLC</x:t>
        </x:is>
      </x:c>
      <x:c r="H350" s="538" t="inlineStr">
        <x:is>
          <x:t xml:space="preserve">Geotech Production, Inc.,
Jack B. Searle,
Tamara D. Searle</x:t>
        </x:is>
      </x:c>
      <x:c r="I350" s="538" t="inlineStr">
        <x:is>
          <x:t xml:space="preserve">NW/4 SE/4, S/2 SE/4, SW/4 NE/4 of 31-12N-24W, aol</x:t>
        </x:is>
      </x:c>
      <x:c r="J350" s="538" t="inlineStr">
        <x:is>
          <x:t xml:space="preserve">An undivided 13.62593725/791.47 net acre interest in and to all of the oil, gas and other minerals in 2 sections</x:t>
        </x:is>
      </x:c>
      <x:c r="K350" s="518" t="e">
        <x:f>HYPERLINK("https://okcountyrecords.com/detail/roger+mills/2005-007541","OKCountyRecords: 2005-007541")</x:f>
      </x:c>
      <x:c r="L350" s="519" t="inlineStr">
        <x:is>
          <x:t xml:space="preserve">Mineral; basis Conv Amt(dec). Gross=tract-map basis.</x:t>
        </x:is>
      </x:c>
      <x:c r="M350" s="519" t="inlineStr">
        <x:is>
          <x:t xml:space="preserve">CURRENT OWNER SOURCE</x:t>
        </x:is>
      </x:c>
      <x:c r="N350" s="519" t="n"/>
      <x:c r="O350" s="519" t="inlineStr">
        <x:is>
          <x:t xml:space="preserve">OUTSIDE LANDS</x:t>
        </x:is>
      </x:c>
      <x:c r="P350" s="520" t="inlineStr">
        <x:is>
          <x:t xml:space="preserve">Chain — minerals</x:t>
        </x:is>
      </x:c>
      <x:c r="Q350" s="520" t="inlineStr">
        <x:is>
          <x:t xml:space="preserve">Yes</x:t>
        </x:is>
      </x:c>
      <x:c r="R350" s="520" t="inlineStr">
        <x:is>
          <x:t xml:space="preserve">No</x:t>
        </x:is>
      </x:c>
      <x:c r="S350" s="520" t="inlineStr">
        <x:is>
          <x:t xml:space="preserve">Yes</x:t>
        </x:is>
      </x:c>
      <x:c r="T350" s="520" t="inlineStr">
        <x:is>
          <x:t xml:space="preserve">No</x:t>
        </x:is>
      </x:c>
      <x:c r="U350" s="520" t="inlineStr">
        <x:is>
          <x:t xml:space="preserve">Yes: 2 (legal supports)</x:t>
        </x:is>
      </x:c>
      <x:c r="V350" s="520" t="inlineStr">
        <x:is>
          <x:t xml:space="preserve">High</x:t>
        </x:is>
      </x:c>
      <x:c r="W350" s="520" t="inlineStr">
        <x:is>
          <x:t xml:space="preserve">Yes — prior grantee match</x:t>
        </x:is>
      </x:c>
      <x:c r="X350" s="520" t="inlineStr">
        <x:is>
          <x:t xml:space="preserve">Yes — on Tract 2 owner list</x:t>
        </x:is>
      </x:c>
      <x:c r="Y350" s="520" t="inlineStr">
        <x:is>
          <x:t xml:space="preserve">Candidate 0.0172159870241449 (helper — confirm from image)</x:t>
        </x:is>
      </x:c>
      <x:c r="Z350" s="520" t="inlineStr">
        <x:is>
          <x:t xml:space="preserve">Medium — helper value</x:t>
        </x:is>
      </x:c>
      <x:c r="AA350" s="520" t="inlineStr">
        <x:is>
          <x:t xml:space="preserve">Mineral Deed — Omega Royalty Co, LLC to Geotech Production, Inc., (1812/121)</x:t>
        </x:is>
      </x:c>
    </x:row>
    <x:row r="351" s="520" customFormat="1" ht="72" customHeight="1">
      <x:c r="A351" s="519" t="inlineStr">
        <x:is>
          <x:t xml:space="preserve">2005-008247</x:t>
        </x:is>
      </x:c>
      <x:c r="B351" s="536" t="n"/>
      <x:c r="C351" s="536" t="inlineStr">
        <x:is>
          <x:t xml:space="preserve">Assignment, CONVEYANCE, BILL OF SALE AND MINERAL DEED</x:t>
        </x:is>
      </x:c>
      <x:c r="D351" s="536" t="inlineStr">
        <x:is>
          <x:t xml:space="preserve">1815/247</x:t>
        </x:is>
      </x:c>
      <x:c r="E351" s="537" t="n">
        <x:v>38657</x:v>
      </x:c>
      <x:c r="F351" s="537" t="n">
        <x:v>38692</x:v>
      </x:c>
      <x:c r="G351" s="538" t="inlineStr">
        <x:is>
          <x:t xml:space="preserve">Bruce H. C. Hill and Ellen S. Hill, HW</x:t>
        </x:is>
      </x:c>
      <x:c r="H351" s="538" t="inlineStr">
        <x:is>
          <x:t xml:space="preserve">Fredericksburg Royalty, Ltd.</x:t>
        </x:is>
      </x:c>
      <x:c r="I351" s="538" t="inlineStr">
        <x:is>
          <x:t xml:space="preserve">E/2 NW/4, N/2 NE/4 SW/4, NE/4 SE/4, SE/4 NE/4 of 31-12N-24W, aol</x:t>
        </x:is>
      </x:c>
      <x:c r="J351" s="538" t="inlineStr">
        <x:is>
          <x:t xml:space="preserve">ARTI</x:t>
        </x:is>
      </x:c>
      <x:c r="K351" s="518" t="e">
        <x:f>HYPERLINK("https://okcountyrecords.com/detail/roger+mills/2005-008247","OKCountyRecords: 2005-008247")</x:f>
      </x:c>
      <x:c r="L351" s="519" t="inlineStr">
        <x:is>
          <x:t xml:space="preserve">Leasehold (non-mineral; excluded from mineral NMA). Gross=tract-map basis.</x:t>
        </x:is>
      </x:c>
      <x:c r="M351" s="519" t="inlineStr">
        <x:is>
          <x:t xml:space="preserve">Confirm lease effect</x:t>
        </x:is>
      </x:c>
      <x:c r="N351" s="519" t="n"/>
      <x:c r="O351" s="519" t="inlineStr">
        <x:is>
          <x:t xml:space="preserve">OUTSIDE LANDS</x:t>
        </x:is>
      </x:c>
      <x:c r="P351" s="520" t="inlineStr">
        <x:is>
          <x:t xml:space="preserve">Chain — WI/leasehold assignment</x:t>
        </x:is>
      </x:c>
      <x:c r="Q351" s="520" t="inlineStr">
        <x:is>
          <x:t xml:space="preserve">No</x:t>
        </x:is>
      </x:c>
      <x:c r="R351" s="520" t="inlineStr">
        <x:is>
          <x:t xml:space="preserve">Yes</x:t>
        </x:is>
      </x:c>
      <x:c r="S351" s="520" t="inlineStr">
        <x:is>
          <x:t xml:space="preserve">Review</x:t>
        </x:is>
      </x:c>
      <x:c r="T351" s="520" t="inlineStr">
        <x:is>
          <x:t xml:space="preserve">Yes</x:t>
        </x:is>
      </x:c>
      <x:c r="U351" s="520" t="inlineStr">
        <x:is>
          <x:t xml:space="preserve">Legal maps to 1, 3, 4, 7, 10; helper says 1, 3, 4, 7, 8</x:t>
        </x:is>
      </x:c>
      <x:c r="V351" s="520" t="inlineStr">
        <x:is>
          <x:t xml:space="preserve">Review</x:t>
        </x:is>
      </x:c>
      <x:c r="W351" s="520" t="inlineStr">
        <x:is>
          <x:t xml:space="preserve">Review — no exact prior-grantee match</x:t>
        </x:is>
      </x:c>
      <x:c r="X351" s="520" t="inlineStr">
        <x:is>
          <x:t xml:space="preserve">Review</x:t>
        </x:is>
      </x:c>
      <x:c r="Y351" s="520" t="inlineStr">
        <x:is>
          <x:t xml:space="preserve">Interest amount needs review</x:t>
        </x:is>
      </x:c>
      <x:c r="Z351" s="520" t="inlineStr">
        <x:is>
          <x:t xml:space="preserve">Review</x:t>
        </x:is>
      </x:c>
      <x:c r="AA351" s="520" t="inlineStr">
        <x:is>
          <x:t xml:space="preserve">Assignment, CONVEYANCE, BILL OF — Bruce H. C. Hill and Ellen S. to Fredericksburg Royalty, Ltd. (1815/247)</x:t>
        </x:is>
      </x:c>
      <x:c r="AB351" s="520" t="inlineStr">
        <x:is>
          <x:t xml:space="preserve">Needs source review: tract, grantor source, interest amount</x:t>
        </x:is>
      </x:c>
    </x:row>
    <x:row r="352" s="520" customFormat="1" ht="48" customHeight="1">
      <x:c r="A352" s="519" t="inlineStr">
        <x:is>
          <x:t xml:space="preserve">2005-008523</x:t>
        </x:is>
      </x:c>
      <x:c r="B352" s="536" t="n">
        <x:v>42</x:v>
      </x:c>
      <x:c r="C352" s="536" t="inlineStr">
        <x:is>
          <x:t xml:space="preserve">Oil and Gas Lease</x:t>
        </x:is>
      </x:c>
      <x:c r="D352" s="536" t="inlineStr">
        <x:is>
          <x:t xml:space="preserve">1816/376</x:t>
        </x:is>
      </x:c>
      <x:c r="E352" s="537" t="n">
        <x:v>38657</x:v>
      </x:c>
      <x:c r="F352" s="537" t="n">
        <x:v>38701</x:v>
      </x:c>
      <x:c r="G352" s="538" t="inlineStr">
        <x:is>
          <x:t xml:space="preserve">Paul R. Deutsch &amp; Deborah A. Deutsch
3406 NW 59th Terrace
Kansas City, MO 64151</x:t>
        </x:is>
      </x:c>
      <x:c r="H352" s="538" t="inlineStr">
        <x:is>
          <x:t xml:space="preserve">Jess Harris, III, Inc.
Oklahoma City, OK 73112</x:t>
        </x:is>
      </x:c>
      <x:c r="I352" s="538" t="inlineStr">
        <x:is>
          <x:t xml:space="preserve">SE/4 SE/4, SW/4 NE/4, W/2 SE/4 of 31-12N-24W</x:t>
        </x:is>
      </x:c>
      <x:c r="J352" s="538" t="inlineStr">
        <x:is>
          <x:t xml:space="preserve">160 gross acres
3 yrs
1/4th royalty</x:t>
        </x:is>
      </x:c>
      <x:c r="K352" s="518" t="e">
        <x:f>HYPERLINK("https://okcountyrecords.com/detail/roger+mills/2005-008523","OKCountyRecords: 2005-008523")</x:f>
      </x:c>
      <x:c r="L352" s="519" t="inlineStr">
        <x:is>
          <x:t xml:space="preserve">Leasehold (non-mineral; excluded from mineral NMA). Gross=tract-map basis.</x:t>
        </x:is>
      </x:c>
      <x:c r="M352" s="519" t="inlineStr">
        <x:is>
          <x:t xml:space="preserve">CURRENT LEASE SOURCE</x:t>
        </x:is>
      </x:c>
      <x:c r="N352" s="519" t="n"/>
      <x:c r="O352" s="519" t="inlineStr">
        <x:is>
          <x:t xml:space="preserve">OGL / BASE LEASE</x:t>
        </x:is>
      </x:c>
      <x:c r="P352" s="520" t="inlineStr">
        <x:is>
          <x:t xml:space="preserve">Chain — leasehold (OGL)</x:t>
        </x:is>
      </x:c>
      <x:c r="Q352" s="520" t="inlineStr">
        <x:is>
          <x:t xml:space="preserve">No</x:t>
        </x:is>
      </x:c>
      <x:c r="R352" s="520" t="inlineStr">
        <x:is>
          <x:t xml:space="preserve">Yes</x:t>
        </x:is>
      </x:c>
      <x:c r="S352" s="520" t="inlineStr">
        <x:is>
          <x:t xml:space="preserve">No</x:t>
        </x:is>
      </x:c>
      <x:c r="T352" s="520" t="inlineStr">
        <x:is>
          <x:t xml:space="preserve">Yes</x:t>
        </x:is>
      </x:c>
      <x:c r="U352" s="520" t="inlineStr">
        <x:is>
          <x:t xml:space="preserve">Yes: 2 (legal supports)</x:t>
        </x:is>
      </x:c>
      <x:c r="V352" s="520" t="inlineStr">
        <x:is>
          <x:t xml:space="preserve">High</x:t>
        </x:is>
      </x:c>
      <x:c r="W352" s="520" t="inlineStr">
        <x:is>
          <x:t xml:space="preserve">Probable — name-normalized match to Runsheet 118 grantee; confirm</x:t>
        </x:is>
      </x:c>
      <x:c r="X352" s="520" t="inlineStr">
        <x:is>
          <x:t xml:space="preserve">Review</x:t>
        </x:is>
      </x:c>
      <x:c r="Y352" s="520" t="inlineStr">
        <x:is>
          <x:t xml:space="preserve">Interest amount needs review</x:t>
        </x:is>
      </x:c>
      <x:c r="Z352" s="520" t="inlineStr">
        <x:is>
          <x:t xml:space="preserve">Review</x:t>
        </x:is>
      </x:c>
      <x:c r="AA352" s="520" t="inlineStr">
        <x:is>
          <x:t xml:space="preserve">Oil and Gas Lease — Paul R. Deutsch &amp; Deborah A. D to Jess Harris, III, Inc. (1816/376)</x:t>
        </x:is>
      </x:c>
      <x:c r="AB352" s="520" t="inlineStr">
        <x:is>
          <x:t xml:space="preserve">Needs source review: grantor source, interest amount</x:t>
        </x:is>
      </x:c>
    </x:row>
    <x:row r="353" s="520" customFormat="1" ht="84" customHeight="1">
      <x:c r="A353" s="519" t="inlineStr">
        <x:is>
          <x:t xml:space="preserve">2006-000936</x:t>
        </x:is>
      </x:c>
      <x:c r="B353" s="536" t="n">
        <x:v>59</x:v>
      </x:c>
      <x:c r="C353" s="536" t="inlineStr">
        <x:is>
          <x:t xml:space="preserve">Oil and Gas Lease</x:t>
        </x:is>
      </x:c>
      <x:c r="D353" s="536" t="inlineStr">
        <x:is>
          <x:t xml:space="preserve">1822/572</x:t>
        </x:is>
      </x:c>
      <x:c r="E353" s="537" t="n">
        <x:v>38658</x:v>
      </x:c>
      <x:c r="F353" s="537" t="n">
        <x:v>38754</x:v>
      </x:c>
      <x:c r="G353" s="538" t="inlineStr">
        <x:is>
          <x:t xml:space="preserve">David S. Silverberg
26 W. 45th
Sioux City, IA 51101</x:t>
        </x:is>
      </x:c>
      <x:c r="H353" s="538" t="inlineStr">
        <x:is>
          <x:t xml:space="preserve">Jess Harris, III, Inc.
Oklahoma City, OK 73112</x:t>
        </x:is>
      </x:c>
      <x:c r="I353" s="538" t="inlineStr">
        <x:is>
          <x:t xml:space="preserve">SW/4 NE/4, W/2 SE/4, SE/4 SE/4, ada S/2 SE/4, NW/4 SE/4, SW/4 NE/4 of 31-12N-24W</x:t>
        </x:is>
      </x:c>
      <x:c r="J353" s="538" t="inlineStr">
        <x:is>
          <x:t xml:space="preserve">160 gross acres
3 yrs
3/16ths royalty
Chain note: source of title — OUTSIDE LANDS 1984-003786 at 611/58, Juanita M. Wolff to David S. Silverberry, covering S/2 SE/4, NW/4 SE/4, SW/4 NE/4 of 31-12N-24W, aol, interest stated: 1/791.47 interest in 2 sections. Confirm source instrument before relying on this conveyance.</x:t>
        </x:is>
      </x:c>
      <x:c r="K353" s="518" t="e">
        <x:f>HYPERLINK("https://okcountyrecords.com/detail/roger+mills/2006-000936","OKCountyRecords: 2006-000936")</x:f>
      </x:c>
      <x:c r="L353" s="519" t="inlineStr">
        <x:is>
          <x:t xml:space="preserve">Leasehold (non-mineral; excluded from mineral NMA). Gross=tract-map basis.</x:t>
        </x:is>
      </x:c>
      <x:c r="M353" s="519" t="inlineStr">
        <x:is>
          <x:t xml:space="preserve">CURRENT LEASE SOURCE</x:t>
        </x:is>
      </x:c>
      <x:c r="N353" s="519" t="n"/>
      <x:c r="O353" s="519" t="inlineStr">
        <x:is>
          <x:t xml:space="preserve">OUTSIDE LANDS</x:t>
        </x:is>
      </x:c>
      <x:c r="P353" s="520" t="inlineStr">
        <x:is>
          <x:t xml:space="preserve">Chain — leasehold (OGL)</x:t>
        </x:is>
      </x:c>
      <x:c r="Q353" s="520" t="inlineStr">
        <x:is>
          <x:t xml:space="preserve">No</x:t>
        </x:is>
      </x:c>
      <x:c r="R353" s="520" t="inlineStr">
        <x:is>
          <x:t xml:space="preserve">Yes</x:t>
        </x:is>
      </x:c>
      <x:c r="S353" s="520" t="inlineStr">
        <x:is>
          <x:t xml:space="preserve">No</x:t>
        </x:is>
      </x:c>
      <x:c r="T353" s="520" t="inlineStr">
        <x:is>
          <x:t xml:space="preserve">Yes</x:t>
        </x:is>
      </x:c>
      <x:c r="U353" s="520" t="inlineStr">
        <x:is>
          <x:t xml:space="preserve">Yes: 2 (legal supports)</x:t>
        </x:is>
      </x:c>
      <x:c r="V353" s="520" t="inlineStr">
        <x:is>
          <x:t xml:space="preserve">High</x:t>
        </x:is>
      </x:c>
      <x:c r="W353" s="520" t="inlineStr">
        <x:is>
          <x:t xml:space="preserve">Yes — prior grantee match</x:t>
        </x:is>
      </x:c>
      <x:c r="X353" s="520" t="inlineStr">
        <x:is>
          <x:t xml:space="preserve">Review</x:t>
        </x:is>
      </x:c>
      <x:c r="Y353" s="520" t="inlineStr">
        <x:is>
          <x:t xml:space="preserve">Interest amount needs review</x:t>
        </x:is>
      </x:c>
      <x:c r="Z353" s="520" t="inlineStr">
        <x:is>
          <x:t xml:space="preserve">Review</x:t>
        </x:is>
      </x:c>
      <x:c r="AA353" s="520" t="inlineStr">
        <x:is>
          <x:t xml:space="preserve">Oil and Gas Lease — David S. Silverberg to Jess Harris, III, Inc. (1822/572)</x:t>
        </x:is>
      </x:c>
      <x:c r="AB353" s="520" t="inlineStr">
        <x:is>
          <x:t xml:space="preserve">Needs source review: interest amount</x:t>
        </x:is>
      </x:c>
    </x:row>
    <x:row r="354" s="520" customFormat="1" ht="96" customHeight="1">
      <x:c r="A354" s="519" t="inlineStr">
        <x:is>
          <x:t xml:space="preserve">2006-000939</x:t>
        </x:is>
      </x:c>
      <x:c r="B354" s="536" t="n">
        <x:v>44</x:v>
      </x:c>
      <x:c r="C354" s="536" t="inlineStr">
        <x:is>
          <x:t xml:space="preserve">Oil and Gas Lease</x:t>
        </x:is>
      </x:c>
      <x:c r="D354" s="536" t="inlineStr">
        <x:is>
          <x:t xml:space="preserve">1822/578</x:t>
        </x:is>
      </x:c>
      <x:c r="E354" s="537" t="n">
        <x:v>38658</x:v>
      </x:c>
      <x:c r="F354" s="537" t="n">
        <x:v>38754</x:v>
      </x:c>
      <x:c r="G354" s="538" t="inlineStr">
        <x:is>
          <x:t xml:space="preserve">Lyle T. Ibeling
740 Herron Court
Waterloo, WI 53594</x:t>
        </x:is>
      </x:c>
      <x:c r="H354" s="538" t="inlineStr">
        <x:is>
          <x:t xml:space="preserve">Jess Harris, III, Inc.
Oklahoma City, OK 73112</x:t>
        </x:is>
      </x:c>
      <x:c r="I354" s="538" t="inlineStr">
        <x:is>
          <x:t xml:space="preserve">SW/4 NE/4, W/2 SE/4, SE/4 SE/4, ada S/2 SE/4, NW/4 SE/4, SW/4 NE/4 of 31-12N-24W</x:t>
        </x:is>
      </x:c>
      <x:c r="J354" s="538" t="inlineStr">
        <x:is>
          <x:t xml:space="preserve">160 gross acres
3 yrs
3/16ths royalty
Chain note: source of title — OUTSIDE LANDS 1982-011144 at 480/72, Barbara J. Bain,
Billy W. Bain to Lyle T. Ibeling, covering S/2 SE/4, NW/4 SE/4, SW/4 NE/4 of 31-12N-24W, aol, interest stated: 1/791.47 interest in 2 sections. Confirm source instrument before relying on this conveyance.</x:t>
        </x:is>
      </x:c>
      <x:c r="K354" s="518" t="e">
        <x:f>HYPERLINK("https://okcountyrecords.com/detail/roger+mills/2006-000939","OKCountyRecords: 2006-000939")</x:f>
      </x:c>
      <x:c r="L354" s="519" t="inlineStr">
        <x:is>
          <x:t xml:space="preserve">Leasehold (non-mineral; excluded from mineral NMA). Gross=tract-map basis.</x:t>
        </x:is>
      </x:c>
      <x:c r="M354" s="519" t="inlineStr">
        <x:is>
          <x:t xml:space="preserve">CURRENT LEASE SOURCE</x:t>
        </x:is>
      </x:c>
      <x:c r="N354" s="519" t="n"/>
      <x:c r="O354" s="519" t="inlineStr">
        <x:is>
          <x:t xml:space="preserve">OUTSIDE LANDS</x:t>
        </x:is>
      </x:c>
      <x:c r="P354" s="520" t="inlineStr">
        <x:is>
          <x:t xml:space="preserve">Chain — leasehold (OGL)</x:t>
        </x:is>
      </x:c>
      <x:c r="Q354" s="520" t="inlineStr">
        <x:is>
          <x:t xml:space="preserve">No</x:t>
        </x:is>
      </x:c>
      <x:c r="R354" s="520" t="inlineStr">
        <x:is>
          <x:t xml:space="preserve">Yes</x:t>
        </x:is>
      </x:c>
      <x:c r="S354" s="520" t="inlineStr">
        <x:is>
          <x:t xml:space="preserve">No</x:t>
        </x:is>
      </x:c>
      <x:c r="T354" s="520" t="inlineStr">
        <x:is>
          <x:t xml:space="preserve">Yes</x:t>
        </x:is>
      </x:c>
      <x:c r="U354" s="520" t="inlineStr">
        <x:is>
          <x:t xml:space="preserve">Yes: 2 (legal supports)</x:t>
        </x:is>
      </x:c>
      <x:c r="V354" s="520" t="inlineStr">
        <x:is>
          <x:t xml:space="preserve">High</x:t>
        </x:is>
      </x:c>
      <x:c r="W354" s="520" t="inlineStr">
        <x:is>
          <x:t xml:space="preserve">Yes — prior grantee match</x:t>
        </x:is>
      </x:c>
      <x:c r="X354" s="520" t="inlineStr">
        <x:is>
          <x:t xml:space="preserve">Review</x:t>
        </x:is>
      </x:c>
      <x:c r="Y354" s="520" t="inlineStr">
        <x:is>
          <x:t xml:space="preserve">Interest amount needs review</x:t>
        </x:is>
      </x:c>
      <x:c r="Z354" s="520" t="inlineStr">
        <x:is>
          <x:t xml:space="preserve">Review</x:t>
        </x:is>
      </x:c>
      <x:c r="AA354" s="520" t="inlineStr">
        <x:is>
          <x:t xml:space="preserve">Oil and Gas Lease — Lyle T. Ibeling to Jess Harris, III, Inc. (1822/578)</x:t>
        </x:is>
      </x:c>
      <x:c r="AB354" s="520" t="inlineStr">
        <x:is>
          <x:t xml:space="preserve">Needs source review: interest amount</x:t>
        </x:is>
      </x:c>
    </x:row>
    <x:row r="355" s="520" customFormat="1" ht="48" customHeight="1">
      <x:c r="A355" s="519" t="inlineStr">
        <x:is>
          <x:t xml:space="preserve">2006-000937</x:t>
        </x:is>
      </x:c>
      <x:c r="B355" s="536" t="n">
        <x:v>43</x:v>
      </x:c>
      <x:c r="C355" s="536" t="inlineStr">
        <x:is>
          <x:t xml:space="preserve">Oil and Gas Lease</x:t>
        </x:is>
      </x:c>
      <x:c r="D355" s="536" t="inlineStr">
        <x:is>
          <x:t xml:space="preserve">1822/574</x:t>
        </x:is>
      </x:c>
      <x:c r="E355" s="537" t="n">
        <x:v>38658</x:v>
      </x:c>
      <x:c r="F355" s="537" t="n">
        <x:v>38754</x:v>
      </x:c>
      <x:c r="G355" s="538" t="inlineStr">
        <x:is>
          <x:t xml:space="preserve">Mary Ellen Sitzmann aka Mary Ellen Silverberg
26 W. 45th
Sioux City, IA 51101</x:t>
        </x:is>
      </x:c>
      <x:c r="H355" s="538" t="inlineStr">
        <x:is>
          <x:t xml:space="preserve">Jess Harris, III, Inc.
Oklahoma City, OK 73112</x:t>
        </x:is>
      </x:c>
      <x:c r="I355" s="538" t="inlineStr">
        <x:is>
          <x:t xml:space="preserve">SW/4 NE/4, W/2 SE/4, SE/4 SE/4, ada S/2 SE/4, NW/4 SE/4, SW/4 NE/4 of 31-12N-24W</x:t>
        </x:is>
      </x:c>
      <x:c r="J355" s="538" t="inlineStr">
        <x:is>
          <x:t xml:space="preserve">160 gross acres
3 yrs
3/16ths royalty</x:t>
        </x:is>
      </x:c>
      <x:c r="K355" s="518" t="e">
        <x:f>HYPERLINK("https://okcountyrecords.com/detail/roger+mills/2006-000937","OKCountyRecords: 2006-000937")</x:f>
      </x:c>
      <x:c r="L355" s="519" t="inlineStr">
        <x:is>
          <x:t xml:space="preserve">Leasehold (non-mineral; excluded from mineral NMA). Gross=tract-map basis.</x:t>
        </x:is>
      </x:c>
      <x:c r="M355" s="519" t="inlineStr">
        <x:is>
          <x:t xml:space="preserve">CURRENT LEASE SOURCE</x:t>
        </x:is>
      </x:c>
      <x:c r="N355" s="519" t="n"/>
      <x:c r="O355" s="519" t="inlineStr">
        <x:is>
          <x:t xml:space="preserve">OGL / BASE LEASE</x:t>
        </x:is>
      </x:c>
      <x:c r="P355" s="520" t="inlineStr">
        <x:is>
          <x:t xml:space="preserve">Chain — leasehold (OGL)</x:t>
        </x:is>
      </x:c>
      <x:c r="Q355" s="520" t="inlineStr">
        <x:is>
          <x:t xml:space="preserve">No</x:t>
        </x:is>
      </x:c>
      <x:c r="R355" s="520" t="inlineStr">
        <x:is>
          <x:t xml:space="preserve">Yes</x:t>
        </x:is>
      </x:c>
      <x:c r="S355" s="520" t="inlineStr">
        <x:is>
          <x:t xml:space="preserve">No</x:t>
        </x:is>
      </x:c>
      <x:c r="T355" s="520" t="inlineStr">
        <x:is>
          <x:t xml:space="preserve">Yes</x:t>
        </x:is>
      </x:c>
      <x:c r="U355" s="520" t="inlineStr">
        <x:is>
          <x:t xml:space="preserve">Yes: 2 (legal supports)</x:t>
        </x:is>
      </x:c>
      <x:c r="V355" s="520" t="inlineStr">
        <x:is>
          <x:t xml:space="preserve">High</x:t>
        </x:is>
      </x:c>
      <x:c r="W355" s="520" t="inlineStr">
        <x:is>
          <x:t xml:space="preserve">Review — no exact prior-grantee match</x:t>
        </x:is>
      </x:c>
      <x:c r="X355" s="520" t="inlineStr">
        <x:is>
          <x:t xml:space="preserve">Review</x:t>
        </x:is>
      </x:c>
      <x:c r="Y355" s="520" t="inlineStr">
        <x:is>
          <x:t xml:space="preserve">Interest amount needs review</x:t>
        </x:is>
      </x:c>
      <x:c r="Z355" s="520" t="inlineStr">
        <x:is>
          <x:t xml:space="preserve">Review</x:t>
        </x:is>
      </x:c>
      <x:c r="AA355" s="520" t="inlineStr">
        <x:is>
          <x:t xml:space="preserve">Oil and Gas Lease — Mary Ellen Sitzmann aka Mary E to Jess Harris, III, Inc. (1822/574)</x:t>
        </x:is>
      </x:c>
      <x:c r="AB355" s="520" t="inlineStr">
        <x:is>
          <x:t xml:space="preserve">Needs source review: grantor source, interest amount</x:t>
        </x:is>
      </x:c>
    </x:row>
    <x:row r="356" s="520" customFormat="1" ht="48" customHeight="1">
      <x:c r="A356" s="519" t="inlineStr">
        <x:is>
          <x:t xml:space="preserve">2006-000776</x:t>
        </x:is>
      </x:c>
      <x:c r="B356" s="536" t="n"/>
      <x:c r="C356" s="536" t="inlineStr">
        <x:is>
          <x:t xml:space="preserve">Assignment</x:t>
        </x:is>
      </x:c>
      <x:c r="D356" s="536" t="inlineStr">
        <x:is>
          <x:t xml:space="preserve">1822/27</x:t>
        </x:is>
      </x:c>
      <x:c r="E356" s="537" t="n">
        <x:v>38666</x:v>
      </x:c>
      <x:c r="F356" s="537" t="n">
        <x:v>38749</x:v>
      </x:c>
      <x:c r="G356" s="538" t="inlineStr">
        <x:is>
          <x:t xml:space="preserve">Jess Harris, III, Inc.
Oklahoma City, OK 73112</x:t>
        </x:is>
      </x:c>
      <x:c r="H356" s="538" t="inlineStr">
        <x:is>
          <x:t xml:space="preserve">Newfield Exploration Mid-Continent, Inc.
110 West 7th, Ste. 1300
Tulsa, OK 74119</x:t>
        </x:is>
      </x:c>
      <x:c r="I356" s="538" t="inlineStr">
        <x:is>
          <x:t xml:space="preserve">SW/4 NE/4, W/2 SE/4, SE/4 SE/4 ada S/2 SE/4, NW/4 SE/4, SW/4 NE/4 of 31-12N-24W</x:t>
        </x:is>
      </x:c>
      <x:c r="J356" s="538" t="inlineStr">
        <x:is>
          <x:t xml:space="preserve">Assigns all right, title and interest in and to the Oil and Gas Lease recorded at 1816/386</x:t>
        </x:is>
      </x:c>
      <x:c r="K356" s="518" t="e">
        <x:f>HYPERLINK("https://okcountyrecords.com/detail/roger+mills/2006-000776","OKCountyRecords: 2006-000776")</x:f>
      </x:c>
      <x:c r="L356" s="519" t="inlineStr">
        <x:is>
          <x:t xml:space="preserve">Leasehold (non-mineral; excluded from mineral NMA). Gross=tract-map basis.</x:t>
        </x:is>
      </x:c>
      <x:c r="M356" s="519" t="inlineStr">
        <x:is>
          <x:t xml:space="preserve">Confirm lease effect</x:t>
        </x:is>
      </x:c>
      <x:c r="N356" s="519" t="n"/>
      <x:c r="O356" s="519" t="inlineStr">
        <x:is>
          <x:t xml:space="preserve">LEASE ASSIGNMENT</x:t>
        </x:is>
      </x:c>
      <x:c r="P356" s="520" t="inlineStr">
        <x:is>
          <x:t xml:space="preserve">Chain — assignment (WI or minerals — read granting clause)</x:t>
        </x:is>
      </x:c>
      <x:c r="Q356" s="520" t="inlineStr">
        <x:is>
          <x:t xml:space="preserve">Review</x:t>
        </x:is>
      </x:c>
      <x:c r="R356" s="520" t="inlineStr">
        <x:is>
          <x:t xml:space="preserve">Yes</x:t>
        </x:is>
      </x:c>
      <x:c r="S356" s="520" t="inlineStr">
        <x:is>
          <x:t xml:space="preserve">Review</x:t>
        </x:is>
      </x:c>
      <x:c r="T356" s="520" t="inlineStr">
        <x:is>
          <x:t xml:space="preserve">Yes</x:t>
        </x:is>
      </x:c>
      <x:c r="U356" s="520" t="inlineStr">
        <x:is>
          <x:t xml:space="preserve">Yes: 2 (legal supports)</x:t>
        </x:is>
      </x:c>
      <x:c r="V356" s="520" t="inlineStr">
        <x:is>
          <x:t xml:space="preserve">High</x:t>
        </x:is>
      </x:c>
      <x:c r="W356" s="520" t="inlineStr">
        <x:is>
          <x:t xml:space="preserve">Yes — prior grantee match</x:t>
        </x:is>
      </x:c>
      <x:c r="X356" s="520" t="inlineStr">
        <x:is>
          <x:t xml:space="preserve">Review</x:t>
        </x:is>
      </x:c>
      <x:c r="Y356" s="520" t="inlineStr">
        <x:is>
          <x:t xml:space="preserve">Interest amount needs review</x:t>
        </x:is>
      </x:c>
      <x:c r="Z356" s="520" t="inlineStr">
        <x:is>
          <x:t xml:space="preserve">Review</x:t>
        </x:is>
      </x:c>
      <x:c r="AA356" s="520" t="inlineStr">
        <x:is>
          <x:t xml:space="preserve">Assignment — Jess Harris, III, Inc. to Newfield Exploration Mid-Conti (1822/27)</x:t>
        </x:is>
      </x:c>
      <x:c r="AB356" s="520" t="inlineStr">
        <x:is>
          <x:t xml:space="preserve">Needs source review: interest amount</x:t>
        </x:is>
      </x:c>
    </x:row>
    <x:row r="357" s="520" customFormat="1" ht="48" customHeight="1">
      <x:c r="A357" s="519" t="inlineStr">
        <x:is>
          <x:t xml:space="preserve">2006-000778</x:t>
        </x:is>
      </x:c>
      <x:c r="B357" s="536" t="n"/>
      <x:c r="C357" s="536" t="inlineStr">
        <x:is>
          <x:t xml:space="preserve">Assignment</x:t>
        </x:is>
      </x:c>
      <x:c r="D357" s="536" t="inlineStr">
        <x:is>
          <x:t xml:space="preserve">1822/29</x:t>
        </x:is>
      </x:c>
      <x:c r="E357" s="537" t="n">
        <x:v>38666</x:v>
      </x:c>
      <x:c r="F357" s="537" t="n">
        <x:v>38749</x:v>
      </x:c>
      <x:c r="G357" s="538" t="inlineStr">
        <x:is>
          <x:t xml:space="preserve">Jess Harris, III, Inc.
Oklahoma City, OK 73112</x:t>
        </x:is>
      </x:c>
      <x:c r="H357" s="538" t="inlineStr">
        <x:is>
          <x:t xml:space="preserve">Newfield Exploration Mid-Continent, Inc.
110 West 7th, Ste. 1300
Tulsa, OK 74119</x:t>
        </x:is>
      </x:c>
      <x:c r="I357" s="538" t="inlineStr">
        <x:is>
          <x:t xml:space="preserve">SW/4 NE/4, W/2 SE/4, SE/4 SE/4 ada S/2 SE/4, NW/4 SE/4, SW/4 NE/4 of 31-12N-24W</x:t>
        </x:is>
      </x:c>
      <x:c r="J357" s="538" t="inlineStr">
        <x:is>
          <x:t xml:space="preserve">Assigns all right, title and interest in and to the Oil and Gas Lease recorded at 1816/389</x:t>
        </x:is>
      </x:c>
      <x:c r="K357" s="518" t="e">
        <x:f>HYPERLINK("https://okcountyrecords.com/detail/roger+mills/2006-000778","OKCountyRecords: 2006-000778")</x:f>
      </x:c>
      <x:c r="L357" s="519" t="inlineStr">
        <x:is>
          <x:t xml:space="preserve">Leasehold (non-mineral; excluded from mineral NMA). Gross=tract-map basis.</x:t>
        </x:is>
      </x:c>
      <x:c r="M357" s="519" t="inlineStr">
        <x:is>
          <x:t xml:space="preserve">Confirm lease effect</x:t>
        </x:is>
      </x:c>
      <x:c r="N357" s="519" t="n"/>
      <x:c r="O357" s="519" t="inlineStr">
        <x:is>
          <x:t xml:space="preserve">LEASE ASSIGNMENT</x:t>
        </x:is>
      </x:c>
      <x:c r="P357" s="520" t="inlineStr">
        <x:is>
          <x:t xml:space="preserve">Chain — assignment (WI or minerals — read granting clause)</x:t>
        </x:is>
      </x:c>
      <x:c r="Q357" s="520" t="inlineStr">
        <x:is>
          <x:t xml:space="preserve">Review</x:t>
        </x:is>
      </x:c>
      <x:c r="R357" s="520" t="inlineStr">
        <x:is>
          <x:t xml:space="preserve">Yes</x:t>
        </x:is>
      </x:c>
      <x:c r="S357" s="520" t="inlineStr">
        <x:is>
          <x:t xml:space="preserve">Review</x:t>
        </x:is>
      </x:c>
      <x:c r="T357" s="520" t="inlineStr">
        <x:is>
          <x:t xml:space="preserve">Yes</x:t>
        </x:is>
      </x:c>
      <x:c r="U357" s="520" t="inlineStr">
        <x:is>
          <x:t xml:space="preserve">Yes: 2 (legal supports)</x:t>
        </x:is>
      </x:c>
      <x:c r="V357" s="520" t="inlineStr">
        <x:is>
          <x:t xml:space="preserve">High</x:t>
        </x:is>
      </x:c>
      <x:c r="W357" s="520" t="inlineStr">
        <x:is>
          <x:t xml:space="preserve">Yes — prior grantee match</x:t>
        </x:is>
      </x:c>
      <x:c r="X357" s="520" t="inlineStr">
        <x:is>
          <x:t xml:space="preserve">Review</x:t>
        </x:is>
      </x:c>
      <x:c r="Y357" s="520" t="inlineStr">
        <x:is>
          <x:t xml:space="preserve">Interest amount needs review</x:t>
        </x:is>
      </x:c>
      <x:c r="Z357" s="520" t="inlineStr">
        <x:is>
          <x:t xml:space="preserve">Review</x:t>
        </x:is>
      </x:c>
      <x:c r="AA357" s="520" t="inlineStr">
        <x:is>
          <x:t xml:space="preserve">Assignment — Jess Harris, III, Inc. to Newfield Exploration Mid-Conti (1822/29)</x:t>
        </x:is>
      </x:c>
      <x:c r="AB357" s="520" t="inlineStr">
        <x:is>
          <x:t xml:space="preserve">Needs source review: interest amount</x:t>
        </x:is>
      </x:c>
    </x:row>
    <x:row r="358" s="520" customFormat="1" ht="120" customHeight="1">
      <x:c r="A358" s="519" t="inlineStr">
        <x:is>
          <x:t xml:space="preserve">2005-008522</x:t>
        </x:is>
      </x:c>
      <x:c r="B358" s="536" t="n">
        <x:v>48</x:v>
      </x:c>
      <x:c r="C358" s="536" t="inlineStr">
        <x:is>
          <x:t xml:space="preserve">Oil and Gas Lease</x:t>
        </x:is>
      </x:c>
      <x:c r="D358" s="536" t="inlineStr">
        <x:is>
          <x:t xml:space="preserve">1816/374</x:t>
        </x:is>
      </x:c>
      <x:c r="E358" s="537" t="n">
        <x:v>38670</x:v>
      </x:c>
      <x:c r="F358" s="537" t="n">
        <x:v>38701</x:v>
      </x:c>
      <x:c r="G358" s="538" t="inlineStr">
        <x:is>
          <x:t xml:space="preserve">Margaret Kirk
1105 West Avenue C
Elk City, OK 73648</x:t>
        </x:is>
      </x:c>
      <x:c r="H358" s="538" t="inlineStr">
        <x:is>
          <x:t xml:space="preserve">Jess Harris, III, Inc.
Oklahoma City, OK 73112</x:t>
        </x:is>
      </x:c>
      <x:c r="I358" s="538" t="inlineStr">
        <x:is>
          <x:t xml:space="preserve">Lot 4, S/2 N/2 SW/4 ada S/2 of Lot 3, S/2 NE/4 SW/4, SE/4 SW/4 of 31-12N-24W</x:t>
        </x:is>
      </x:c>
      <x:c r="J358" s="538" t="inlineStr">
        <x:is>
          <x:t xml:space="preserve">115.3350 gross acres
3 yrs
3/16ths royalty
Chain note: source of title — OUTSIDE LANDS 1984-009873 at 658/241, Mary Margaret Devenas,
Mary Margaret Wilson to The Public, covering SE/4 SW/4 of 31-12N-24W, aol, interest stated: MARY MARGARET WILSON, now MARY MARGARET DEVENAS, residing
at 1302 Highland Avenue, Waukegan, Illinois 60085. 5.84 acres. Confirm source instrument before relying on this conveyance.</x:t>
        </x:is>
      </x:c>
      <x:c r="K358" s="518" t="e">
        <x:f>HYPERLINK("https://okcountyrecords.com/detail/roger+mills/2005-008522","OKCountyRecords: 2005-008522")</x:f>
      </x:c>
      <x:c r="L358" s="519" t="inlineStr">
        <x:is>
          <x:t xml:space="preserve">Leasehold (non-mineral; excluded from mineral NMA). Gross=tract-map basis.</x:t>
        </x:is>
      </x:c>
      <x:c r="M358" s="519" t="inlineStr">
        <x:is>
          <x:t xml:space="preserve">CURRENT LEASE SOURCE</x:t>
        </x:is>
      </x:c>
      <x:c r="N358" s="519" t="n"/>
      <x:c r="O358" s="519" t="inlineStr">
        <x:is>
          <x:t xml:space="preserve">OUTSIDE LANDS</x:t>
        </x:is>
      </x:c>
      <x:c r="P358" s="520" t="inlineStr">
        <x:is>
          <x:t xml:space="preserve">Chain — leasehold (OGL)</x:t>
        </x:is>
      </x:c>
      <x:c r="Q358" s="520" t="inlineStr">
        <x:is>
          <x:t xml:space="preserve">No</x:t>
        </x:is>
      </x:c>
      <x:c r="R358" s="520" t="inlineStr">
        <x:is>
          <x:t xml:space="preserve">Yes</x:t>
        </x:is>
      </x:c>
      <x:c r="S358" s="520" t="inlineStr">
        <x:is>
          <x:t xml:space="preserve">No</x:t>
        </x:is>
      </x:c>
      <x:c r="T358" s="520" t="inlineStr">
        <x:is>
          <x:t xml:space="preserve">Yes</x:t>
        </x:is>
      </x:c>
      <x:c r="U358" s="520" t="inlineStr">
        <x:is>
          <x:t xml:space="preserve">Legal maps to 5, 7, 9; helper says 5, 6, 7</x:t>
        </x:is>
      </x:c>
      <x:c r="V358" s="520" t="inlineStr">
        <x:is>
          <x:t xml:space="preserve">Review</x:t>
        </x:is>
      </x:c>
      <x:c r="W358" s="520" t="inlineStr">
        <x:is>
          <x:t xml:space="preserve">Probable — name-normalized match to Runsheet 208 grantee; confirm</x:t>
        </x:is>
      </x:c>
      <x:c r="X358" s="520" t="inlineStr">
        <x:is>
          <x:t xml:space="preserve">Review</x:t>
        </x:is>
      </x:c>
      <x:c r="Y358" s="520" t="inlineStr">
        <x:is>
          <x:t xml:space="preserve">Interest amount needs review</x:t>
        </x:is>
      </x:c>
      <x:c r="Z358" s="520" t="inlineStr">
        <x:is>
          <x:t xml:space="preserve">Review</x:t>
        </x:is>
      </x:c>
      <x:c r="AA358" s="520" t="inlineStr">
        <x:is>
          <x:t xml:space="preserve">Oil and Gas Lease — Margaret Kirk to Jess Harris, III, Inc. (1816/374)</x:t>
        </x:is>
      </x:c>
      <x:c r="AB358" s="520" t="inlineStr">
        <x:is>
          <x:t xml:space="preserve">Needs source review: tract, grantor source, interest amount</x:t>
        </x:is>
      </x:c>
    </x:row>
    <x:row r="359" s="520" customFormat="1" ht="60" customHeight="1">
      <x:c r="A359" s="519" t="inlineStr">
        <x:is>
          <x:t xml:space="preserve">2006-000766</x:t>
        </x:is>
      </x:c>
      <x:c r="B359" s="536" t="n"/>
      <x:c r="C359" s="536" t="inlineStr">
        <x:is>
          <x:t xml:space="preserve">Assignment of Oil and Gas Lease</x:t>
        </x:is>
      </x:c>
      <x:c r="D359" s="536" t="inlineStr">
        <x:is>
          <x:t xml:space="preserve">1822/17</x:t>
        </x:is>
      </x:c>
      <x:c r="E359" s="537" t="n">
        <x:v>38677</x:v>
      </x:c>
      <x:c r="F359" s="537" t="n">
        <x:v>38749</x:v>
      </x:c>
      <x:c r="G359" s="538" t="inlineStr">
        <x:is>
          <x:t xml:space="preserve">Jess Harris, III, Inc.
Oklahoma City, OK 73112</x:t>
        </x:is>
      </x:c>
      <x:c r="H359" s="538" t="inlineStr">
        <x:is>
          <x:t xml:space="preserve">Newfield Exploration Mid-Continent, Inc.
110 West 7th, Ste. 1300
Tulsa, OK 74119</x:t>
        </x:is>
      </x:c>
      <x:c r="I359" s="538" t="inlineStr">
        <x:is>
          <x:t xml:space="preserve">SE/4 SW/4 of 31-12N-24W</x:t>
        </x:is>
      </x:c>
      <x:c r="J359" s="538" t="inlineStr">
        <x:is>
          <x:t xml:space="preserve">Assigns all right, title and interest in and to the Oil and Gas Lease recorded at 1816/352</x:t>
        </x:is>
      </x:c>
      <x:c r="K359" s="518" t="e">
        <x:f>HYPERLINK("https://okcountyrecords.com/detail/roger+mills/2006-000766","OKCountyRecords: 2006-000766")</x:f>
      </x:c>
      <x:c r="L359" s="519" t="inlineStr">
        <x:is>
          <x:t xml:space="preserve">Leasehold (non-mineral; excluded from mineral NMA). Gross=tract-map basis.</x:t>
        </x:is>
      </x:c>
      <x:c r="M359" s="519" t="inlineStr">
        <x:is>
          <x:t xml:space="preserve">Confirm lease effect</x:t>
        </x:is>
      </x:c>
      <x:c r="N359" s="519" t="n"/>
      <x:c r="O359" s="519" t="inlineStr">
        <x:is>
          <x:t xml:space="preserve">OGL / BASE LEASE</x:t>
        </x:is>
      </x:c>
      <x:c r="P359" s="520" t="inlineStr">
        <x:is>
          <x:t xml:space="preserve">Chain — leasehold (OGL)</x:t>
        </x:is>
      </x:c>
      <x:c r="Q359" s="520" t="inlineStr">
        <x:is>
          <x:t xml:space="preserve">No</x:t>
        </x:is>
      </x:c>
      <x:c r="R359" s="520" t="inlineStr">
        <x:is>
          <x:t xml:space="preserve">Yes</x:t>
        </x:is>
      </x:c>
      <x:c r="S359" s="520" t="inlineStr">
        <x:is>
          <x:t xml:space="preserve">No</x:t>
        </x:is>
      </x:c>
      <x:c r="T359" s="520" t="inlineStr">
        <x:is>
          <x:t xml:space="preserve">Yes</x:t>
        </x:is>
      </x:c>
      <x:c r="U359" s="520" t="inlineStr">
        <x:is>
          <x:t xml:space="preserve">Yes: 5 (legal supports)</x:t>
        </x:is>
      </x:c>
      <x:c r="V359" s="520" t="inlineStr">
        <x:is>
          <x:t xml:space="preserve">High</x:t>
        </x:is>
      </x:c>
      <x:c r="W359" s="520" t="inlineStr">
        <x:is>
          <x:t xml:space="preserve">Yes — prior grantee match</x:t>
        </x:is>
      </x:c>
      <x:c r="X359" s="520" t="inlineStr">
        <x:is>
          <x:t xml:space="preserve">Review</x:t>
        </x:is>
      </x:c>
      <x:c r="Y359" s="520" t="inlineStr">
        <x:is>
          <x:t xml:space="preserve">Interest amount needs review</x:t>
        </x:is>
      </x:c>
      <x:c r="Z359" s="520" t="inlineStr">
        <x:is>
          <x:t xml:space="preserve">Review</x:t>
        </x:is>
      </x:c>
      <x:c r="AA359" s="520" t="inlineStr">
        <x:is>
          <x:t xml:space="preserve">Assignment of Oil and Gas Lease — Jess Harris, III, Inc. to Newfield Exploration Mid-Conti (1822/17)</x:t>
        </x:is>
      </x:c>
      <x:c r="AB359" s="520" t="inlineStr">
        <x:is>
          <x:t xml:space="preserve">Needs source review: interest amount</x:t>
        </x:is>
      </x:c>
    </x:row>
    <x:row r="360" s="520" customFormat="1" ht="84" customHeight="1">
      <x:c r="A360" s="519" t="inlineStr">
        <x:is>
          <x:t xml:space="preserve">2006-000938</x:t>
        </x:is>
      </x:c>
      <x:c r="B360" s="536" t="n">
        <x:v>45</x:v>
      </x:c>
      <x:c r="C360" s="536" t="inlineStr">
        <x:is>
          <x:t xml:space="preserve">Oil and Gas Lease</x:t>
        </x:is>
      </x:c>
      <x:c r="D360" s="536" t="inlineStr">
        <x:is>
          <x:t xml:space="preserve">1822/576</x:t>
        </x:is>
      </x:c>
      <x:c r="E360" s="537" t="n">
        <x:v>38678</x:v>
      </x:c>
      <x:c r="F360" s="537" t="n">
        <x:v>38754</x:v>
      </x:c>
      <x:c r="G360" s="538" t="inlineStr">
        <x:is>
          <x:t xml:space="preserve">Charles D. Ray
P.O. Box 51608
Midland, TX 79710</x:t>
        </x:is>
      </x:c>
      <x:c r="H360" s="538" t="inlineStr">
        <x:is>
          <x:t xml:space="preserve">Jess Harris, III, Inc.
Oklahoma City, OK 73112</x:t>
        </x:is>
      </x:c>
      <x:c r="I360" s="538" t="inlineStr">
        <x:is>
          <x:t xml:space="preserve">E/2 NW/4 of 31-12N-24W</x:t>
        </x:is>
      </x:c>
      <x:c r="J360" s="538" t="inlineStr">
        <x:is>
          <x:t xml:space="preserve">80 gross acres
3 yrs
1/4th royalty
Chain note: source of title — OUTSIDE LANDS I-1907-002036 at FR2/199, General Land Office to Charles F. Kennett, covering SW/4 NE/4, W/2 SE/4, SE/4 SE/4 of 31-12N-24W, aol, interest stated: ARTI. Confirm source instrument before relying on this conveyance.</x:t>
        </x:is>
      </x:c>
      <x:c r="K360" s="518" t="e">
        <x:f>HYPERLINK("https://okcountyrecords.com/detail/roger+mills/2006-000938","OKCountyRecords: 2006-000938")</x:f>
      </x:c>
      <x:c r="L360" s="519" t="inlineStr">
        <x:is>
          <x:t xml:space="preserve">Leasehold (non-mineral; excluded from mineral NMA). Gross=tract-map basis.</x:t>
        </x:is>
      </x:c>
      <x:c r="M360" s="519" t="inlineStr">
        <x:is>
          <x:t xml:space="preserve">CURRENT LEASE SOURCE</x:t>
        </x:is>
      </x:c>
      <x:c r="N360" s="519" t="n"/>
      <x:c r="O360" s="519" t="inlineStr">
        <x:is>
          <x:t xml:space="preserve">OUTSIDE LANDS</x:t>
        </x:is>
      </x:c>
      <x:c r="P360" s="520" t="inlineStr">
        <x:is>
          <x:t xml:space="preserve">Chain — leasehold (OGL)</x:t>
        </x:is>
      </x:c>
      <x:c r="Q360" s="520" t="inlineStr">
        <x:is>
          <x:t xml:space="preserve">No</x:t>
        </x:is>
      </x:c>
      <x:c r="R360" s="520" t="inlineStr">
        <x:is>
          <x:t xml:space="preserve">Yes</x:t>
        </x:is>
      </x:c>
      <x:c r="S360" s="520" t="inlineStr">
        <x:is>
          <x:t xml:space="preserve">No</x:t>
        </x:is>
      </x:c>
      <x:c r="T360" s="520" t="inlineStr">
        <x:is>
          <x:t xml:space="preserve">Yes</x:t>
        </x:is>
      </x:c>
      <x:c r="U360" s="520" t="inlineStr">
        <x:is>
          <x:t xml:space="preserve">Yes: 4 (legal supports)</x:t>
        </x:is>
      </x:c>
      <x:c r="V360" s="520" t="inlineStr">
        <x:is>
          <x:t xml:space="preserve">High</x:t>
        </x:is>
      </x:c>
      <x:c r="W360" s="520" t="inlineStr">
        <x:is>
          <x:t xml:space="preserve">Review — no exact prior-grantee match</x:t>
        </x:is>
      </x:c>
      <x:c r="X360" s="520" t="inlineStr">
        <x:is>
          <x:t xml:space="preserve">Review</x:t>
        </x:is>
      </x:c>
      <x:c r="Y360" s="520" t="inlineStr">
        <x:is>
          <x:t xml:space="preserve">Interest amount needs review</x:t>
        </x:is>
      </x:c>
      <x:c r="Z360" s="520" t="inlineStr">
        <x:is>
          <x:t xml:space="preserve">Review</x:t>
        </x:is>
      </x:c>
      <x:c r="AA360" s="520" t="inlineStr">
        <x:is>
          <x:t xml:space="preserve">Oil and Gas Lease — Charles D. Ray to Jess Harris, III, Inc. (1822/576)</x:t>
        </x:is>
      </x:c>
      <x:c r="AB360" s="520" t="inlineStr">
        <x:is>
          <x:t xml:space="preserve">Needs source review: grantor source, interest amount</x:t>
        </x:is>
      </x:c>
    </x:row>
    <x:row r="361" s="520" customFormat="1" ht="48" customHeight="1">
      <x:c r="A361" s="519" t="inlineStr">
        <x:is>
          <x:t xml:space="preserve">2006-000770</x:t>
        </x:is>
      </x:c>
      <x:c r="B361" s="536" t="n"/>
      <x:c r="C361" s="536" t="inlineStr">
        <x:is>
          <x:t xml:space="preserve">Assignment</x:t>
        </x:is>
      </x:c>
      <x:c r="D361" s="536" t="inlineStr">
        <x:is>
          <x:t xml:space="preserve">1822/21</x:t>
        </x:is>
      </x:c>
      <x:c r="E361" s="537" t="n">
        <x:v>38686</x:v>
      </x:c>
      <x:c r="F361" s="537" t="n">
        <x:v>38749</x:v>
      </x:c>
      <x:c r="G361" s="538" t="inlineStr">
        <x:is>
          <x:t xml:space="preserve">Jess Harris, III, Inc.
Oklahoma City, OK 73112</x:t>
        </x:is>
      </x:c>
      <x:c r="H361" s="538" t="inlineStr">
        <x:is>
          <x:t xml:space="preserve">Newfield Exploration Mid-Continent, Inc.
110 West 7th, Ste. 1300
Tulsa, OK 74119</x:t>
        </x:is>
      </x:c>
      <x:c r="I361" s="538" t="inlineStr">
        <x:is>
          <x:t xml:space="preserve">Lot 4, S/2 N/2 SW/4 ada S/2 of Lot 3, S/2 NE/4 SW/4, SE/4 SW/4 of 31-12N-24W</x:t>
        </x:is>
      </x:c>
      <x:c r="J361" s="538" t="inlineStr">
        <x:is>
          <x:t xml:space="preserve">Assigns all right, title and interest in and to the Oil and Gas Lease recorded at 1816/374</x:t>
        </x:is>
      </x:c>
      <x:c r="K361" s="518" t="e">
        <x:f>HYPERLINK("https://okcountyrecords.com/detail/roger+mills/2006-000770","OKCountyRecords: 2006-000770")</x:f>
      </x:c>
      <x:c r="L361" s="519" t="inlineStr">
        <x:is>
          <x:t xml:space="preserve">Leasehold (non-mineral; excluded from mineral NMA). Gross=tract-map basis.</x:t>
        </x:is>
      </x:c>
      <x:c r="M361" s="519" t="inlineStr">
        <x:is>
          <x:t xml:space="preserve">Confirm lease effect</x:t>
        </x:is>
      </x:c>
      <x:c r="N361" s="519" t="n"/>
      <x:c r="O361" s="519" t="inlineStr">
        <x:is>
          <x:t xml:space="preserve">LEASE ASSIGNMENT</x:t>
        </x:is>
      </x:c>
      <x:c r="P361" s="520" t="inlineStr">
        <x:is>
          <x:t xml:space="preserve">Chain — assignment (WI or minerals — read granting clause)</x:t>
        </x:is>
      </x:c>
      <x:c r="Q361" s="520" t="inlineStr">
        <x:is>
          <x:t xml:space="preserve">Review</x:t>
        </x:is>
      </x:c>
      <x:c r="R361" s="520" t="inlineStr">
        <x:is>
          <x:t xml:space="preserve">Yes</x:t>
        </x:is>
      </x:c>
      <x:c r="S361" s="520" t="inlineStr">
        <x:is>
          <x:t xml:space="preserve">Review</x:t>
        </x:is>
      </x:c>
      <x:c r="T361" s="520" t="inlineStr">
        <x:is>
          <x:t xml:space="preserve">Yes</x:t>
        </x:is>
      </x:c>
      <x:c r="U361" s="520" t="inlineStr">
        <x:is>
          <x:t xml:space="preserve">Legal maps to 5, 7, 9; helper says 2, 3, 5, 6, 7</x:t>
        </x:is>
      </x:c>
      <x:c r="V361" s="520" t="inlineStr">
        <x:is>
          <x:t xml:space="preserve">Review</x:t>
        </x:is>
      </x:c>
      <x:c r="W361" s="520" t="inlineStr">
        <x:is>
          <x:t xml:space="preserve">Yes — prior grantee match</x:t>
        </x:is>
      </x:c>
      <x:c r="X361" s="520" t="inlineStr">
        <x:is>
          <x:t xml:space="preserve">Review</x:t>
        </x:is>
      </x:c>
      <x:c r="Y361" s="520" t="inlineStr">
        <x:is>
          <x:t xml:space="preserve">Interest amount needs review</x:t>
        </x:is>
      </x:c>
      <x:c r="Z361" s="520" t="inlineStr">
        <x:is>
          <x:t xml:space="preserve">Review</x:t>
        </x:is>
      </x:c>
      <x:c r="AA361" s="520" t="inlineStr">
        <x:is>
          <x:t xml:space="preserve">Assignment — Jess Harris, III, Inc. to Newfield Exploration Mid-Conti (1822/21)</x:t>
        </x:is>
      </x:c>
      <x:c r="AB361" s="520" t="inlineStr">
        <x:is>
          <x:t xml:space="preserve">Needs source review: tract, interest amount</x:t>
        </x:is>
      </x:c>
    </x:row>
    <x:row r="362" s="520" customFormat="1" ht="60" customHeight="1">
      <x:c r="A362" s="519" t="inlineStr">
        <x:is>
          <x:t xml:space="preserve">2006-002436</x:t>
        </x:is>
      </x:c>
      <x:c r="B362" s="536" t="n"/>
      <x:c r="C362" s="536" t="inlineStr">
        <x:is>
          <x:t xml:space="preserve">Assignment of Oil and Gas Lease</x:t>
        </x:is>
      </x:c>
      <x:c r="D362" s="536" t="inlineStr">
        <x:is>
          <x:t xml:space="preserve">1830/516</x:t>
        </x:is>
      </x:c>
      <x:c r="E362" s="537" t="n">
        <x:v>38687</x:v>
      </x:c>
      <x:c r="F362" s="537" t="n">
        <x:v>38806</x:v>
      </x:c>
      <x:c r="G362" s="538" t="inlineStr">
        <x:is>
          <x:t xml:space="preserve">Jess Harris, III, Inc.
Oklahoma City, OK 73112</x:t>
        </x:is>
      </x:c>
      <x:c r="H362" s="538" t="inlineStr">
        <x:is>
          <x:t xml:space="preserve">Newfield Exploration Mid-Continent, Inc.
110 West 7th, Ste. 1300
Tulsa, OK 74119</x:t>
        </x:is>
      </x:c>
      <x:c r="I362" s="538" t="inlineStr">
        <x:is>
          <x:t xml:space="preserve">SW/4 NE/4, W/2 SE/4, SE/4 SE/4, ada S/2 SE/4, NW/4 SE/4, SW/4 NE/4 of 31-12N-24W</x:t>
        </x:is>
      </x:c>
      <x:c r="J362" s="538" t="inlineStr">
        <x:is>
          <x:t xml:space="preserve">Assigns all right, title and interest in and to the Oil and Gas Lease recorded at 1822/572</x:t>
        </x:is>
      </x:c>
      <x:c r="K362" s="518" t="e">
        <x:f>HYPERLINK("https://okcountyrecords.com/detail/roger+mills/2006-002436","OKCountyRecords: 2006-002436")</x:f>
      </x:c>
      <x:c r="L362" s="519" t="inlineStr">
        <x:is>
          <x:t xml:space="preserve">Leasehold (non-mineral; excluded from mineral NMA). Gross=tract-map basis.</x:t>
        </x:is>
      </x:c>
      <x:c r="M362" s="519" t="inlineStr">
        <x:is>
          <x:t xml:space="preserve">Confirm lease effect</x:t>
        </x:is>
      </x:c>
      <x:c r="N362" s="519" t="n"/>
      <x:c r="O362" s="519" t="inlineStr">
        <x:is>
          <x:t xml:space="preserve">OGL / BASE LEASE</x:t>
        </x:is>
      </x:c>
      <x:c r="P362" s="520" t="inlineStr">
        <x:is>
          <x:t xml:space="preserve">Chain — leasehold (OGL)</x:t>
        </x:is>
      </x:c>
      <x:c r="Q362" s="520" t="inlineStr">
        <x:is>
          <x:t xml:space="preserve">No</x:t>
        </x:is>
      </x:c>
      <x:c r="R362" s="520" t="inlineStr">
        <x:is>
          <x:t xml:space="preserve">Yes</x:t>
        </x:is>
      </x:c>
      <x:c r="S362" s="520" t="inlineStr">
        <x:is>
          <x:t xml:space="preserve">No</x:t>
        </x:is>
      </x:c>
      <x:c r="T362" s="520" t="inlineStr">
        <x:is>
          <x:t xml:space="preserve">Yes</x:t>
        </x:is>
      </x:c>
      <x:c r="U362" s="520" t="inlineStr">
        <x:is>
          <x:t xml:space="preserve">Yes: 2 (legal supports)</x:t>
        </x:is>
      </x:c>
      <x:c r="V362" s="520" t="inlineStr">
        <x:is>
          <x:t xml:space="preserve">High</x:t>
        </x:is>
      </x:c>
      <x:c r="W362" s="520" t="inlineStr">
        <x:is>
          <x:t xml:space="preserve">Yes — prior grantee match</x:t>
        </x:is>
      </x:c>
      <x:c r="X362" s="520" t="inlineStr">
        <x:is>
          <x:t xml:space="preserve">Review</x:t>
        </x:is>
      </x:c>
      <x:c r="Y362" s="520" t="inlineStr">
        <x:is>
          <x:t xml:space="preserve">Interest amount needs review</x:t>
        </x:is>
      </x:c>
      <x:c r="Z362" s="520" t="inlineStr">
        <x:is>
          <x:t xml:space="preserve">Review</x:t>
        </x:is>
      </x:c>
      <x:c r="AA362" s="520" t="inlineStr">
        <x:is>
          <x:t xml:space="preserve">Assignment of Oil and Gas Lease — Jess Harris, III, Inc. to Newfield Exploration Mid-Conti (1830/516)</x:t>
        </x:is>
      </x:c>
      <x:c r="AB362" s="520" t="inlineStr">
        <x:is>
          <x:t xml:space="preserve">Needs source review: interest amount</x:t>
        </x:is>
      </x:c>
    </x:row>
    <x:row r="363" s="520" customFormat="1" ht="60" customHeight="1">
      <x:c r="A363" s="519" t="inlineStr">
        <x:is>
          <x:t xml:space="preserve">2006-002437</x:t>
        </x:is>
      </x:c>
      <x:c r="B363" s="536" t="n"/>
      <x:c r="C363" s="536" t="inlineStr">
        <x:is>
          <x:t xml:space="preserve">Assignment of Oil and Gas Lease</x:t>
        </x:is>
      </x:c>
      <x:c r="D363" s="536" t="inlineStr">
        <x:is>
          <x:t xml:space="preserve">1830/517</x:t>
        </x:is>
      </x:c>
      <x:c r="E363" s="537" t="n">
        <x:v>38687</x:v>
      </x:c>
      <x:c r="F363" s="537" t="n">
        <x:v>38806</x:v>
      </x:c>
      <x:c r="G363" s="538" t="inlineStr">
        <x:is>
          <x:t xml:space="preserve">Jess Harris, III, Inc.
Oklahoma City, OK 73112</x:t>
        </x:is>
      </x:c>
      <x:c r="H363" s="538" t="inlineStr">
        <x:is>
          <x:t xml:space="preserve">Newfield Exploration Mid-Continent, Inc.
110 West 7th, Ste. 1300
Tulsa, OK 74119</x:t>
        </x:is>
      </x:c>
      <x:c r="I363" s="538" t="inlineStr">
        <x:is>
          <x:t xml:space="preserve">SW/4 NE/4, W/2 SE/4, SE/4 SE/4, ada S/2 SE/4, NW/4 SE/4, SW/4 NE/4 of 31-12N-24W</x:t>
        </x:is>
      </x:c>
      <x:c r="J363" s="538" t="inlineStr">
        <x:is>
          <x:t xml:space="preserve">Assigns all right, title and interest in and to the Oil and Gas Lease recorded at 1822/574</x:t>
        </x:is>
      </x:c>
      <x:c r="K363" s="518" t="e">
        <x:f>HYPERLINK("https://okcountyrecords.com/detail/roger+mills/2006-002437","OKCountyRecords: 2006-002437")</x:f>
      </x:c>
      <x:c r="L363" s="519" t="inlineStr">
        <x:is>
          <x:t xml:space="preserve">Leasehold (non-mineral; excluded from mineral NMA). Gross=tract-map basis.</x:t>
        </x:is>
      </x:c>
      <x:c r="M363" s="519" t="inlineStr">
        <x:is>
          <x:t xml:space="preserve">Confirm lease effect</x:t>
        </x:is>
      </x:c>
      <x:c r="N363" s="519" t="n"/>
      <x:c r="O363" s="519" t="inlineStr">
        <x:is>
          <x:t xml:space="preserve">OGL / BASE LEASE</x:t>
        </x:is>
      </x:c>
      <x:c r="P363" s="520" t="inlineStr">
        <x:is>
          <x:t xml:space="preserve">Chain — leasehold (OGL)</x:t>
        </x:is>
      </x:c>
      <x:c r="Q363" s="520" t="inlineStr">
        <x:is>
          <x:t xml:space="preserve">No</x:t>
        </x:is>
      </x:c>
      <x:c r="R363" s="520" t="inlineStr">
        <x:is>
          <x:t xml:space="preserve">Yes</x:t>
        </x:is>
      </x:c>
      <x:c r="S363" s="520" t="inlineStr">
        <x:is>
          <x:t xml:space="preserve">No</x:t>
        </x:is>
      </x:c>
      <x:c r="T363" s="520" t="inlineStr">
        <x:is>
          <x:t xml:space="preserve">Yes</x:t>
        </x:is>
      </x:c>
      <x:c r="U363" s="520" t="inlineStr">
        <x:is>
          <x:t xml:space="preserve">Yes: 2 (legal supports)</x:t>
        </x:is>
      </x:c>
      <x:c r="V363" s="520" t="inlineStr">
        <x:is>
          <x:t xml:space="preserve">High</x:t>
        </x:is>
      </x:c>
      <x:c r="W363" s="520" t="inlineStr">
        <x:is>
          <x:t xml:space="preserve">Yes — prior grantee match</x:t>
        </x:is>
      </x:c>
      <x:c r="X363" s="520" t="inlineStr">
        <x:is>
          <x:t xml:space="preserve">Review</x:t>
        </x:is>
      </x:c>
      <x:c r="Y363" s="520" t="inlineStr">
        <x:is>
          <x:t xml:space="preserve">Interest amount needs review</x:t>
        </x:is>
      </x:c>
      <x:c r="Z363" s="520" t="inlineStr">
        <x:is>
          <x:t xml:space="preserve">Review</x:t>
        </x:is>
      </x:c>
      <x:c r="AA363" s="520" t="inlineStr">
        <x:is>
          <x:t xml:space="preserve">Assignment of Oil and Gas Lease — Jess Harris, III, Inc. to Newfield Exploration Mid-Conti (1830/517)</x:t>
        </x:is>
      </x:c>
      <x:c r="AB363" s="520" t="inlineStr">
        <x:is>
          <x:t xml:space="preserve">Needs source review: interest amount</x:t>
        </x:is>
      </x:c>
    </x:row>
    <x:row r="364" s="520" customFormat="1" ht="60" customHeight="1">
      <x:c r="A364" s="519" t="inlineStr">
        <x:is>
          <x:t xml:space="preserve">2006-002508</x:t>
        </x:is>
      </x:c>
      <x:c r="B364" s="536" t="n"/>
      <x:c r="C364" s="536" t="inlineStr">
        <x:is>
          <x:t xml:space="preserve">Agreement</x:t>
        </x:is>
      </x:c>
      <x:c r="D364" s="536" t="inlineStr">
        <x:is>
          <x:t xml:space="preserve">1831/55</x:t>
        </x:is>
      </x:c>
      <x:c r="E364" s="537" t="n">
        <x:v>38691</x:v>
      </x:c>
      <x:c r="F364" s="537" t="n">
        <x:v>38807</x:v>
      </x:c>
      <x:c r="G364" s="538" t="inlineStr">
        <x:is>
          <x:t xml:space="preserve">Charles D. Ray</x:t>
        </x:is>
      </x:c>
      <x:c r="H364" s="538" t="inlineStr">
        <x:is>
          <x:t xml:space="preserve">Jess Harris, III, Inc.</x:t>
        </x:is>
      </x:c>
      <x:c r="I364" s="538" t="inlineStr">
        <x:is>
          <x:t xml:space="preserve">All of 31-12N-24W</x:t>
        </x:is>
      </x:c>
      <x:c r="J364" s="538" t="inlineStr">
        <x:is>
          <x:t xml:space="preserve">Fractional Interest 3475/5741969</x:t>
        </x:is>
      </x:c>
      <x:c r="K364" s="518" t="e">
        <x:f>HYPERLINK("https://okcountyrecords.com/detail/roger+mills/2006-002508","OKCountyRecords: 2006-002508")</x:f>
      </x:c>
      <x:c r="L364" s="519" t="inlineStr">
        <x:is>
          <x:t xml:space="preserve">Other (non-mineral; excluded from mineral NMA). All-section coverage. Gross=tract-map basis.</x:t>
        </x:is>
      </x:c>
      <x:c r="M364" s="519" t="n"/>
      <x:c r="N364" s="519" t="n"/>
      <x:c r="O364" s="519" t="inlineStr">
        <x:is>
          <x:t xml:space="preserve">IGNORE FOR MINERAL OWNERSHIP</x:t>
        </x:is>
      </x:c>
      <x:c r="P364" s="520" t="inlineStr">
        <x:is>
          <x:t xml:space="preserve">Review — read instrument (type unclear)</x:t>
        </x:is>
      </x:c>
      <x:c r="Q364" s="520" t="inlineStr">
        <x:is>
          <x:t xml:space="preserve">Review</x:t>
        </x:is>
      </x:c>
      <x:c r="R364" s="520" t="inlineStr">
        <x:is>
          <x:t xml:space="preserve">Review</x:t>
        </x:is>
      </x:c>
      <x:c r="S364" s="520" t="inlineStr">
        <x:is>
          <x:t xml:space="preserve">Review</x:t>
        </x:is>
      </x:c>
      <x:c r="T364" s="520" t="inlineStr">
        <x:is>
          <x:t xml:space="preserve">Review</x:t>
        </x:is>
      </x:c>
      <x:c r="U364" s="520" t="inlineStr">
        <x:is>
          <x:t xml:space="preserve">Yes: 1, 8 (broad legal)</x:t>
        </x:is>
      </x:c>
      <x:c r="V364" s="520" t="inlineStr">
        <x:is>
          <x:t xml:space="preserve">Medium</x:t>
        </x:is>
      </x:c>
      <x:c r="W364" s="520" t="inlineStr">
        <x:is>
          <x:t xml:space="preserve">Review — no exact prior-grantee match</x:t>
        </x:is>
      </x:c>
      <x:c r="X364" s="520" t="inlineStr">
        <x:is>
          <x:t xml:space="preserve">Review</x:t>
        </x:is>
      </x:c>
      <x:c r="Y364" s="520" t="inlineStr">
        <x:is>
          <x:t xml:space="preserve">Interest amount needs review</x:t>
        </x:is>
      </x:c>
      <x:c r="Z364" s="520" t="inlineStr">
        <x:is>
          <x:t xml:space="preserve">Review</x:t>
        </x:is>
      </x:c>
      <x:c r="AA364" s="520" t="inlineStr">
        <x:is>
          <x:t xml:space="preserve">Agreement — Charles D. Ray to Jess Harris, III, Inc. (1831/55)</x:t>
        </x:is>
      </x:c>
      <x:c r="AB364" s="520" t="inlineStr">
        <x:is>
          <x:t xml:space="preserve">Needs source review: grantor source, interest amount, instrument type</x:t>
        </x:is>
      </x:c>
    </x:row>
    <x:row r="365" s="520" customFormat="1" ht="108" customHeight="1">
      <x:c r="A365" s="519" t="inlineStr">
        <x:is>
          <x:t xml:space="preserve">2006-000931</x:t>
        </x:is>
      </x:c>
      <x:c r="B365" s="536" t="n">
        <x:v>60</x:v>
      </x:c>
      <x:c r="C365" s="536" t="inlineStr">
        <x:is>
          <x:t xml:space="preserve">Oil and Gas Lease</x:t>
        </x:is>
      </x:c>
      <x:c r="D365" s="536" t="inlineStr">
        <x:is>
          <x:t xml:space="preserve">1822/562</x:t>
        </x:is>
      </x:c>
      <x:c r="E365" s="537" t="n">
        <x:v>38693</x:v>
      </x:c>
      <x:c r="F365" s="537" t="n">
        <x:v>38754</x:v>
      </x:c>
      <x:c r="G365" s="538" t="inlineStr">
        <x:is>
          <x:t xml:space="preserve">Clyde A. Pine
4567 Globe Willow
El Paso, TX 79922</x:t>
        </x:is>
      </x:c>
      <x:c r="H365" s="538" t="inlineStr">
        <x:is>
          <x:t xml:space="preserve">Jess Harris, III, Inc.
Oklahoma City, OK 73112</x:t>
        </x:is>
      </x:c>
      <x:c r="I365" s="538" t="inlineStr">
        <x:is>
          <x:t xml:space="preserve">E/2 NW/4 of 31-12N-24W</x:t>
        </x:is>
      </x:c>
      <x:c r="J365" s="538" t="inlineStr">
        <x:is>
          <x:t xml:space="preserve">80 gross acres
3 yrs
1/4th royalty
Chain note: source of title — OUTSIDE LANDS 1984-002948 at 605/27, Leede Exploration to Robert H. Frazier, 1/3,
Clyde A. Pine, 1/3,
Charles D. Ray, 1/3, covering E/2 NW/4 of 31-12N-24W, aol, interest stated: An undivided 15.789% of 11% of Grantor's interest in the oil, gas and other minerals. Confirm source instrument before relying on this conveyance.</x:t>
        </x:is>
      </x:c>
      <x:c r="K365" s="518" t="e">
        <x:f>HYPERLINK("https://okcountyrecords.com/detail/roger+mills/2006-000931","OKCountyRecords: 2006-000931")</x:f>
      </x:c>
      <x:c r="L365" s="519" t="inlineStr">
        <x:is>
          <x:t xml:space="preserve">Leasehold (non-mineral; excluded from mineral NMA). Gross=tract-map basis.</x:t>
        </x:is>
      </x:c>
      <x:c r="M365" s="519" t="inlineStr">
        <x:is>
          <x:t xml:space="preserve">CURRENT LEASE SOURCE</x:t>
        </x:is>
      </x:c>
      <x:c r="N365" s="519" t="n"/>
      <x:c r="O365" s="519" t="inlineStr">
        <x:is>
          <x:t xml:space="preserve">OUTSIDE LANDS</x:t>
        </x:is>
      </x:c>
      <x:c r="P365" s="520" t="inlineStr">
        <x:is>
          <x:t xml:space="preserve">Chain — leasehold (OGL)</x:t>
        </x:is>
      </x:c>
      <x:c r="Q365" s="520" t="inlineStr">
        <x:is>
          <x:t xml:space="preserve">No</x:t>
        </x:is>
      </x:c>
      <x:c r="R365" s="520" t="inlineStr">
        <x:is>
          <x:t xml:space="preserve">Yes</x:t>
        </x:is>
      </x:c>
      <x:c r="S365" s="520" t="inlineStr">
        <x:is>
          <x:t xml:space="preserve">No</x:t>
        </x:is>
      </x:c>
      <x:c r="T365" s="520" t="inlineStr">
        <x:is>
          <x:t xml:space="preserve">Yes</x:t>
        </x:is>
      </x:c>
      <x:c r="U365" s="520" t="inlineStr">
        <x:is>
          <x:t xml:space="preserve">Yes: 4 (legal supports)</x:t>
        </x:is>
      </x:c>
      <x:c r="V365" s="520" t="inlineStr">
        <x:is>
          <x:t xml:space="preserve">High</x:t>
        </x:is>
      </x:c>
      <x:c r="W365" s="520" t="inlineStr">
        <x:is>
          <x:t xml:space="preserve">Review — no exact prior-grantee match</x:t>
        </x:is>
      </x:c>
      <x:c r="X365" s="520" t="inlineStr">
        <x:is>
          <x:t xml:space="preserve">Review</x:t>
        </x:is>
      </x:c>
      <x:c r="Y365" s="520" t="inlineStr">
        <x:is>
          <x:t xml:space="preserve">Interest amount needs review</x:t>
        </x:is>
      </x:c>
      <x:c r="Z365" s="520" t="inlineStr">
        <x:is>
          <x:t xml:space="preserve">Review</x:t>
        </x:is>
      </x:c>
      <x:c r="AA365" s="520" t="inlineStr">
        <x:is>
          <x:t xml:space="preserve">Oil and Gas Lease — Clyde A. Pine to Jess Harris, III, Inc. (1822/562)</x:t>
        </x:is>
      </x:c>
      <x:c r="AB365" s="520" t="inlineStr">
        <x:is>
          <x:t xml:space="preserve">Needs source review: grantor source, interest amount</x:t>
        </x:is>
      </x:c>
    </x:row>
    <x:row r="366" s="520" customFormat="1" ht="72" customHeight="1">
      <x:c r="A366" s="519" t="inlineStr">
        <x:is>
          <x:t xml:space="preserve">2006-000153</x:t>
        </x:is>
      </x:c>
      <x:c r="B366" s="536" t="n"/>
      <x:c r="C366" s="536" t="inlineStr">
        <x:is>
          <x:t xml:space="preserve">Disclaimer and Quit Clam of Interest</x:t>
        </x:is>
      </x:c>
      <x:c r="D366" s="536" t="inlineStr">
        <x:is>
          <x:t xml:space="preserve">1819/156</x:t>
        </x:is>
      </x:c>
      <x:c r="E366" s="537" t="n">
        <x:v>38694</x:v>
      </x:c>
      <x:c r="F366" s="537" t="n">
        <x:v>38727</x:v>
      </x:c>
      <x:c r="G366" s="538" t="inlineStr">
        <x:is>
          <x:t xml:space="preserve">Eddie Tom Lakey</x:t>
        </x:is>
      </x:c>
      <x:c r="H366" s="538" t="inlineStr">
        <x:is>
          <x:t xml:space="preserve">The Public</x:t>
        </x:is>
      </x:c>
      <x:c r="I366" s="538" t="inlineStr">
        <x:is>
          <x:t xml:space="preserve">The South 32.80 acres in a tract of land described as West 18.20 Chains (72 8/10 Rods) of Lots 1 and 2 also described as the West 18.20 Chains (or 72 8/10 Rods) of the W/2 NW/4, containing 32.8 acres, more or less, of 31-12N-24W</x:t>
        </x:is>
      </x:c>
      <x:c r="J366" s="538" t="inlineStr">
        <x:is>
          <x:t xml:space="preserve">Disclaiming Party signs this Disclaimer as evidence that he makes no claim to any of the mineral interests in all or any part of the Lands.</x:t>
        </x:is>
      </x:c>
      <x:c r="K366" s="518" t="e">
        <x:f>HYPERLINK("https://okcountyrecords.com/detail/roger+mills/2006-000153","OKCountyRecords: 2006-000153")</x:f>
      </x:c>
      <x:c r="L366" s="519" t="inlineStr">
        <x:is>
          <x:t xml:space="preserve">Mineral — disclaimer; no interest conveyed. Gross=tract-map basis.</x:t>
        </x:is>
      </x:c>
      <x:c r="M366" s="519" t="inlineStr">
        <x:is>
          <x:t xml:space="preserve">OK</x:t>
        </x:is>
      </x:c>
      <x:c r="N366" s="519" t="inlineStr">
        <x:is>
          <x:t xml:space="preserve">Disclaimer — grantor makes no claim to minerals; no interest conveyed (The Public notice).</x:t>
        </x:is>
      </x:c>
      <x:c r="O366" s="519" t="inlineStr">
        <x:is>
          <x:t xml:space="preserve">MINERAL DEED</x:t>
        </x:is>
      </x:c>
      <x:c r="P366" s="520" t="inlineStr">
        <x:is>
          <x:t xml:space="preserve">Chain — title support (succession/entity/probate)</x:t>
        </x:is>
      </x:c>
      <x:c r="Q366" s="520" t="inlineStr">
        <x:is>
          <x:t xml:space="preserve">Yes</x:t>
        </x:is>
      </x:c>
      <x:c r="R366" s="520" t="inlineStr">
        <x:is>
          <x:t xml:space="preserve">No</x:t>
        </x:is>
      </x:c>
      <x:c r="S366" s="520" t="inlineStr">
        <x:is>
          <x:t xml:space="preserve">Yes</x:t>
        </x:is>
      </x:c>
      <x:c r="T366" s="520" t="inlineStr">
        <x:is>
          <x:t xml:space="preserve">No</x:t>
        </x:is>
      </x:c>
      <x:c r="U366" s="520" t="inlineStr">
        <x:is>
          <x:t xml:space="preserve">Yes: 5 (legal supports)</x:t>
        </x:is>
      </x:c>
      <x:c r="V366" s="520" t="inlineStr">
        <x:is>
          <x:t xml:space="preserve">High</x:t>
        </x:is>
      </x:c>
      <x:c r="W366" s="520" t="inlineStr">
        <x:is>
          <x:t xml:space="preserve">Yes — prior grantee match</x:t>
        </x:is>
      </x:c>
      <x:c r="X366" s="520" t="inlineStr">
        <x:is>
          <x:t xml:space="preserve">Yes — on Tract 5 owner list</x:t>
        </x:is>
      </x:c>
      <x:c r="Y366" s="520" t="inlineStr">
        <x:is>
          <x:t xml:space="preserve">Interest amount needs review</x:t>
        </x:is>
      </x:c>
      <x:c r="Z366" s="520" t="inlineStr">
        <x:is>
          <x:t xml:space="preserve">Review</x:t>
        </x:is>
      </x:c>
      <x:c r="AA366" s="520" t="inlineStr">
        <x:is>
          <x:t xml:space="preserve">Disclaimer and Quit Clam of Inte — Eddie Tom Lakey to The Public (1819/156)</x:t>
        </x:is>
      </x:c>
      <x:c r="AB366" s="520" t="inlineStr">
        <x:is>
          <x:t xml:space="preserve">Needs source review: interest amount</x:t>
        </x:is>
      </x:c>
    </x:row>
    <x:row r="367" s="520" customFormat="1" ht="48" customHeight="1">
      <x:c r="A367" s="519" t="inlineStr">
        <x:is>
          <x:t xml:space="preserve">2006-000151</x:t>
        </x:is>
      </x:c>
      <x:c r="B367" s="536" t="n"/>
      <x:c r="C367" s="536" t="inlineStr">
        <x:is>
          <x:t xml:space="preserve">Disclaimer</x:t>
        </x:is>
      </x:c>
      <x:c r="D367" s="536" t="inlineStr">
        <x:is>
          <x:t xml:space="preserve">1819/154</x:t>
        </x:is>
      </x:c>
      <x:c r="E367" s="537" t="n">
        <x:v>38698</x:v>
      </x:c>
      <x:c r="F367" s="537" t="n">
        <x:v>38727</x:v>
      </x:c>
      <x:c r="G367" s="538" t="inlineStr">
        <x:is>
          <x:t xml:space="preserve">O.K. Oil Venture, c/o Greg Winneke</x:t>
        </x:is>
      </x:c>
      <x:c r="H367" s="538" t="inlineStr">
        <x:is>
          <x:t xml:space="preserve">Publc</x:t>
        </x:is>
      </x:c>
      <x:c r="I367" s="538" t="inlineStr">
        <x:is>
          <x:t xml:space="preserve">NW/4 SE/4, S/2 SE/4, SW/4 NE/4 of 31-12N-24W, aol</x:t>
        </x:is>
      </x:c>
      <x:c r="J367" s="538" t="inlineStr">
        <x:is>
          <x:t xml:space="preserve">This 1/32 non-participating royalty interest was reserved by Disclaiming Party in 5 separate Mineral Deeds, all dated March 10, 1983, and recorded in Book 517 at Pages 134 through 138, of the Deed Records of the county and state named above. … Full recital in recorded instrument — see Link.</x:t>
        </x:is>
      </x:c>
      <x:c r="K367" s="518" t="e">
        <x:f>HYPERLINK("https://okcountyrecords.com/detail/roger+mills/2006-000151","OKCountyRecords: 2006-000151")</x:f>
      </x:c>
      <x:c r="L367" s="519" t="inlineStr">
        <x:is>
          <x:t xml:space="preserve">Other (non-mineral; excluded from mineral NMA). Gross=tract-map basis.</x:t>
        </x:is>
      </x:c>
      <x:c r="M367" s="519" t="n"/>
      <x:c r="N367" s="519" t="n"/>
      <x:c r="O367" s="519" t="inlineStr">
        <x:is>
          <x:t xml:space="preserve">OUTSIDE LANDS</x:t>
        </x:is>
      </x:c>
      <x:c r="P367" s="520" t="inlineStr">
        <x:is>
          <x:t xml:space="preserve">Chain — title support (succession/entity/probate)</x:t>
        </x:is>
      </x:c>
      <x:c r="Q367" s="520" t="inlineStr">
        <x:is>
          <x:t xml:space="preserve">Yes</x:t>
        </x:is>
      </x:c>
      <x:c r="R367" s="520" t="inlineStr">
        <x:is>
          <x:t xml:space="preserve">No</x:t>
        </x:is>
      </x:c>
      <x:c r="S367" s="520" t="inlineStr">
        <x:is>
          <x:t xml:space="preserve">Yes</x:t>
        </x:is>
      </x:c>
      <x:c r="T367" s="520" t="inlineStr">
        <x:is>
          <x:t xml:space="preserve">No</x:t>
        </x:is>
      </x:c>
      <x:c r="U367" s="520" t="inlineStr">
        <x:is>
          <x:t xml:space="preserve">Yes: 2 (legal supports)</x:t>
        </x:is>
      </x:c>
      <x:c r="V367" s="520" t="inlineStr">
        <x:is>
          <x:t xml:space="preserve">High</x:t>
        </x:is>
      </x:c>
      <x:c r="W367" s="520" t="inlineStr">
        <x:is>
          <x:t xml:space="preserve">Review — no exact prior-grantee match</x:t>
        </x:is>
      </x:c>
      <x:c r="X367" s="520" t="inlineStr">
        <x:is>
          <x:t xml:space="preserve">Review</x:t>
        </x:is>
      </x:c>
      <x:c r="Y367" s="520" t="inlineStr">
        <x:is>
          <x:t xml:space="preserve">Interest amount needs review</x:t>
        </x:is>
      </x:c>
      <x:c r="Z367" s="520" t="inlineStr">
        <x:is>
          <x:t xml:space="preserve">Review</x:t>
        </x:is>
      </x:c>
      <x:c r="AA367" s="520" t="inlineStr">
        <x:is>
          <x:t xml:space="preserve">Disclaimer — O.K. Oil Venture, c/o Greg Win to Publc (1819/154)</x:t>
        </x:is>
      </x:c>
      <x:c r="AB367" s="520" t="inlineStr">
        <x:is>
          <x:t xml:space="preserve">Needs source review: grantor source, interest amount</x:t>
        </x:is>
      </x:c>
    </x:row>
    <x:row r="368" s="520" customFormat="1" ht="72" customHeight="1">
      <x:c r="A368" s="519" t="inlineStr">
        <x:is>
          <x:t xml:space="preserve">2006-000154</x:t>
        </x:is>
      </x:c>
      <x:c r="B368" s="536" t="n"/>
      <x:c r="C368" s="536" t="inlineStr">
        <x:is>
          <x:t xml:space="preserve">Disclaimer and Quit Clam of Interest</x:t>
        </x:is>
      </x:c>
      <x:c r="D368" s="536" t="inlineStr">
        <x:is>
          <x:t xml:space="preserve">1819/157</x:t>
        </x:is>
      </x:c>
      <x:c r="E368" s="537" t="n">
        <x:v>38699</x:v>
      </x:c>
      <x:c r="F368" s="537" t="n">
        <x:v>38727</x:v>
      </x:c>
      <x:c r="G368" s="538" t="inlineStr">
        <x:is>
          <x:t xml:space="preserve">Glenda A. Palmer, Trustee of the Glenn Douglas Mitchel and Hazel
Pearl Mitchel Trust</x:t>
        </x:is>
      </x:c>
      <x:c r="H368" s="538" t="inlineStr">
        <x:is>
          <x:t xml:space="preserve">The Public</x:t>
        </x:is>
      </x:c>
      <x:c r="I368" s="538" t="inlineStr">
        <x:is>
          <x:t xml:space="preserve">E/2 NW/4, N/2 NE/4 SW/4, NE/4 SE/4, SE/4 NE/4 of 31-12N-24W</x:t>
        </x:is>
      </x:c>
      <x:c r="J368" s="538" t="inlineStr">
        <x:is>
          <x:t xml:space="preserve">Disclaiming Party, signs this Disclaimer as evidence that she makes no claim to any of the mineral interests in all or any part of the Lands by and through the Final Decree entered in the Matter of the Estate of Glenn Douglass Mitchel, Deceased, Beckham County Probate Case No. PB-2003-37, recorded 11/12/03 in Book 1728 at Page 457 ofthe Roger Mills County Records.</x:t>
        </x:is>
      </x:c>
      <x:c r="K368" s="518" t="e">
        <x:f>HYPERLINK("https://okcountyrecords.com/detail/roger+mills/2006-000154","OKCountyRecords: 2006-000154")</x:f>
      </x:c>
      <x:c r="L368" s="519" t="inlineStr">
        <x:is>
          <x:t xml:space="preserve">Mineral — disclaimer; no interest conveyed. Gross=tract-map basis.</x:t>
        </x:is>
      </x:c>
      <x:c r="M368" s="519" t="inlineStr">
        <x:is>
          <x:t xml:space="preserve">OK</x:t>
        </x:is>
      </x:c>
      <x:c r="N368" s="519" t="inlineStr">
        <x:is>
          <x:t xml:space="preserve">Disclaimer — grantor makes no claim to minerals; no interest conveyed (The Public notice).</x:t>
        </x:is>
      </x:c>
      <x:c r="O368" s="519" t="inlineStr">
        <x:is>
          <x:t xml:space="preserve">MINERAL DEED</x:t>
        </x:is>
      </x:c>
      <x:c r="P368" s="520" t="inlineStr">
        <x:is>
          <x:t xml:space="preserve">Chain — title support (succession/entity/probate)</x:t>
        </x:is>
      </x:c>
      <x:c r="Q368" s="520" t="inlineStr">
        <x:is>
          <x:t xml:space="preserve">Yes</x:t>
        </x:is>
      </x:c>
      <x:c r="R368" s="520" t="inlineStr">
        <x:is>
          <x:t xml:space="preserve">No</x:t>
        </x:is>
      </x:c>
      <x:c r="S368" s="520" t="inlineStr">
        <x:is>
          <x:t xml:space="preserve">Yes</x:t>
        </x:is>
      </x:c>
      <x:c r="T368" s="520" t="inlineStr">
        <x:is>
          <x:t xml:space="preserve">No</x:t>
        </x:is>
      </x:c>
      <x:c r="U368" s="520" t="inlineStr">
        <x:is>
          <x:t xml:space="preserve">Legal maps to 1, 3, 4, 7, 10; helper says 1, 3, 4, 7, 8</x:t>
        </x:is>
      </x:c>
      <x:c r="V368" s="520" t="inlineStr">
        <x:is>
          <x:t xml:space="preserve">Review</x:t>
        </x:is>
      </x:c>
      <x:c r="W368" s="520" t="inlineStr">
        <x:is>
          <x:t xml:space="preserve">Review — no exact prior-grantee match</x:t>
        </x:is>
      </x:c>
      <x:c r="X368" s="520" t="inlineStr">
        <x:is>
          <x:t xml:space="preserve">Yes — on Tract 3 owner list</x:t>
        </x:is>
      </x:c>
      <x:c r="Y368" s="520" t="inlineStr">
        <x:is>
          <x:t xml:space="preserve">Interest amount needs review</x:t>
        </x:is>
      </x:c>
      <x:c r="Z368" s="520" t="inlineStr">
        <x:is>
          <x:t xml:space="preserve">Review</x:t>
        </x:is>
      </x:c>
      <x:c r="AA368" s="520" t="inlineStr">
        <x:is>
          <x:t xml:space="preserve">Disclaimer and Quit Clam of Inte — Glenda A. Palmer, Trustee of t to The Public (1819/157)</x:t>
        </x:is>
      </x:c>
      <x:c r="AB368" s="520" t="inlineStr">
        <x:is>
          <x:t xml:space="preserve">Needs source review: tract, grantor source, interest amount</x:t>
        </x:is>
      </x:c>
    </x:row>
    <x:row r="369" s="520" customFormat="1" ht="48" customHeight="1">
      <x:c r="A369" s="519" t="inlineStr">
        <x:is>
          <x:t xml:space="preserve">2009-000272</x:t>
        </x:is>
      </x:c>
      <x:c r="B369" s="536" t="n"/>
      <x:c r="C369" s="536" t="inlineStr">
        <x:is>
          <x:t xml:space="preserve">Assignment</x:t>
        </x:is>
      </x:c>
      <x:c r="D369" s="536" t="inlineStr">
        <x:is>
          <x:t xml:space="preserve">1945/594</x:t>
        </x:is>
      </x:c>
      <x:c r="E369" s="537" t="n">
        <x:v>38701</x:v>
      </x:c>
      <x:c r="F369" s="537" t="n">
        <x:v>39833</x:v>
      </x:c>
      <x:c r="G369" s="538" t="inlineStr">
        <x:is>
          <x:t xml:space="preserve">Jess Harris, III, Inc.
Oklahoma City, OK 73112</x:t>
        </x:is>
      </x:c>
      <x:c r="H369" s="538" t="inlineStr">
        <x:is>
          <x:t xml:space="preserve">Newfield Exploration Mid-Continent, Inc.
110 West 7th, Ste. 1300
Tulsa, OK 74119</x:t>
        </x:is>
      </x:c>
      <x:c r="I369" s="538" t="inlineStr">
        <x:is>
          <x:t xml:space="preserve">SE/4 SE/4, SW/4 NE/4, W/2 SE/4 of 31-12N-24W</x:t>
        </x:is>
      </x:c>
      <x:c r="J369" s="538" t="inlineStr">
        <x:is>
          <x:t xml:space="preserve">ARTI in OGL at 1822/578</x:t>
        </x:is>
      </x:c>
      <x:c r="K369" s="518" t="e">
        <x:f>HYPERLINK("https://okcountyrecords.com/detail/roger+mills/2009-000272","OKCountyRecords: 2009-000272")</x:f>
      </x:c>
      <x:c r="L369" s="519" t="inlineStr">
        <x:is>
          <x:t xml:space="preserve">Leasehold (non-mineral; excluded from mineral NMA). Gross=tract-map basis.</x:t>
        </x:is>
      </x:c>
      <x:c r="M369" s="519" t="inlineStr">
        <x:is>
          <x:t xml:space="preserve">Confirm lease effect</x:t>
        </x:is>
      </x:c>
      <x:c r="N369" s="519" t="n"/>
      <x:c r="O369" s="519" t="inlineStr">
        <x:is>
          <x:t xml:space="preserve">LEASE ASSIGNMENT</x:t>
        </x:is>
      </x:c>
      <x:c r="P369" s="520" t="inlineStr">
        <x:is>
          <x:t xml:space="preserve">Chain — assignment (WI or minerals — read granting clause)</x:t>
        </x:is>
      </x:c>
      <x:c r="Q369" s="520" t="inlineStr">
        <x:is>
          <x:t xml:space="preserve">Review</x:t>
        </x:is>
      </x:c>
      <x:c r="R369" s="520" t="inlineStr">
        <x:is>
          <x:t xml:space="preserve">Yes</x:t>
        </x:is>
      </x:c>
      <x:c r="S369" s="520" t="inlineStr">
        <x:is>
          <x:t xml:space="preserve">Review</x:t>
        </x:is>
      </x:c>
      <x:c r="T369" s="520" t="inlineStr">
        <x:is>
          <x:t xml:space="preserve">Yes</x:t>
        </x:is>
      </x:c>
      <x:c r="U369" s="520" t="inlineStr">
        <x:is>
          <x:t xml:space="preserve">Yes: 2 (legal supports)</x:t>
        </x:is>
      </x:c>
      <x:c r="V369" s="520" t="inlineStr">
        <x:is>
          <x:t xml:space="preserve">High</x:t>
        </x:is>
      </x:c>
      <x:c r="W369" s="520" t="inlineStr">
        <x:is>
          <x:t xml:space="preserve">Yes — prior grantee match</x:t>
        </x:is>
      </x:c>
      <x:c r="X369" s="520" t="inlineStr">
        <x:is>
          <x:t xml:space="preserve">Review</x:t>
        </x:is>
      </x:c>
      <x:c r="Y369" s="520" t="inlineStr">
        <x:is>
          <x:t xml:space="preserve">Interest amount needs review</x:t>
        </x:is>
      </x:c>
      <x:c r="Z369" s="520" t="inlineStr">
        <x:is>
          <x:t xml:space="preserve">Review</x:t>
        </x:is>
      </x:c>
      <x:c r="AA369" s="520" t="inlineStr">
        <x:is>
          <x:t xml:space="preserve">Assignment — Jess Harris, III, Inc. to Newfield Exploration Mid-Conti (1945/594)</x:t>
        </x:is>
      </x:c>
      <x:c r="AB369" s="520" t="inlineStr">
        <x:is>
          <x:t xml:space="preserve">Needs source review: interest amount</x:t>
        </x:is>
      </x:c>
    </x:row>
    <x:row r="370" s="520" customFormat="1" ht="60" customHeight="1">
      <x:c r="A370" s="519" t="inlineStr">
        <x:is>
          <x:t xml:space="preserve">2006-002438</x:t>
        </x:is>
      </x:c>
      <x:c r="B370" s="536" t="n"/>
      <x:c r="C370" s="536" t="inlineStr">
        <x:is>
          <x:t xml:space="preserve">Assignment of Oil and Gas Lease</x:t>
        </x:is>
      </x:c>
      <x:c r="D370" s="536" t="inlineStr">
        <x:is>
          <x:t xml:space="preserve">1830/518</x:t>
        </x:is>
      </x:c>
      <x:c r="E370" s="537" t="n">
        <x:v>38702</x:v>
      </x:c>
      <x:c r="F370" s="537" t="n">
        <x:v>38806</x:v>
      </x:c>
      <x:c r="G370" s="538" t="inlineStr">
        <x:is>
          <x:t xml:space="preserve">Jess Harris, III, Inc.
Oklahoma City, OK 73112</x:t>
        </x:is>
      </x:c>
      <x:c r="H370" s="538" t="inlineStr">
        <x:is>
          <x:t xml:space="preserve">Newfield Exploration Mid-Continent, Inc.
110 West 7th, Ste. 1300
Tulsa, OK 74119</x:t>
        </x:is>
      </x:c>
      <x:c r="I370" s="538" t="inlineStr">
        <x:is>
          <x:t xml:space="preserve">E/2 NW/4 of 31-12N-24W</x:t>
        </x:is>
      </x:c>
      <x:c r="J370" s="538" t="inlineStr">
        <x:is>
          <x:t xml:space="preserve">Assigns all right, title and interest in and to the Oil and Gas Lease recorded at 1822/576</x:t>
        </x:is>
      </x:c>
      <x:c r="K370" s="518" t="e">
        <x:f>HYPERLINK("https://okcountyrecords.com/detail/roger+mills/2006-002438","OKCountyRecords: 2006-002438")</x:f>
      </x:c>
      <x:c r="L370" s="519" t="inlineStr">
        <x:is>
          <x:t xml:space="preserve">Leasehold (non-mineral; excluded from mineral NMA). Gross=tract-map basis.</x:t>
        </x:is>
      </x:c>
      <x:c r="M370" s="519" t="inlineStr">
        <x:is>
          <x:t xml:space="preserve">Confirm lease effect</x:t>
        </x:is>
      </x:c>
      <x:c r="N370" s="519" t="n"/>
      <x:c r="O370" s="519" t="inlineStr">
        <x:is>
          <x:t xml:space="preserve">OGL / BASE LEASE</x:t>
        </x:is>
      </x:c>
      <x:c r="P370" s="520" t="inlineStr">
        <x:is>
          <x:t xml:space="preserve">Chain — leasehold (OGL)</x:t>
        </x:is>
      </x:c>
      <x:c r="Q370" s="520" t="inlineStr">
        <x:is>
          <x:t xml:space="preserve">No</x:t>
        </x:is>
      </x:c>
      <x:c r="R370" s="520" t="inlineStr">
        <x:is>
          <x:t xml:space="preserve">Yes</x:t>
        </x:is>
      </x:c>
      <x:c r="S370" s="520" t="inlineStr">
        <x:is>
          <x:t xml:space="preserve">No</x:t>
        </x:is>
      </x:c>
      <x:c r="T370" s="520" t="inlineStr">
        <x:is>
          <x:t xml:space="preserve">Yes</x:t>
        </x:is>
      </x:c>
      <x:c r="U370" s="520" t="inlineStr">
        <x:is>
          <x:t xml:space="preserve">Yes: 4 (legal supports)</x:t>
        </x:is>
      </x:c>
      <x:c r="V370" s="520" t="inlineStr">
        <x:is>
          <x:t xml:space="preserve">High</x:t>
        </x:is>
      </x:c>
      <x:c r="W370" s="520" t="inlineStr">
        <x:is>
          <x:t xml:space="preserve">Yes — prior grantee match</x:t>
        </x:is>
      </x:c>
      <x:c r="X370" s="520" t="inlineStr">
        <x:is>
          <x:t xml:space="preserve">Review</x:t>
        </x:is>
      </x:c>
      <x:c r="Y370" s="520" t="inlineStr">
        <x:is>
          <x:t xml:space="preserve">Interest amount needs review</x:t>
        </x:is>
      </x:c>
      <x:c r="Z370" s="520" t="inlineStr">
        <x:is>
          <x:t xml:space="preserve">Review</x:t>
        </x:is>
      </x:c>
      <x:c r="AA370" s="520" t="inlineStr">
        <x:is>
          <x:t xml:space="preserve">Assignment of Oil and Gas Lease — Jess Harris, III, Inc. to Newfield Exploration Mid-Conti (1830/518)</x:t>
        </x:is>
      </x:c>
      <x:c r="AB370" s="520" t="inlineStr">
        <x:is>
          <x:t xml:space="preserve">Needs source review: interest amount</x:t>
        </x:is>
      </x:c>
    </x:row>
    <x:row r="371" s="520" customFormat="1" ht="84" customHeight="1">
      <x:c r="A371" s="519" t="inlineStr">
        <x:is>
          <x:t xml:space="preserve">2006-000321</x:t>
        </x:is>
      </x:c>
      <x:c r="B371" s="536" t="n">
        <x:v>55</x:v>
      </x:c>
      <x:c r="C371" s="536" t="inlineStr">
        <x:is>
          <x:t xml:space="preserve">Oil and Gas Lease</x:t>
        </x:is>
      </x:c>
      <x:c r="D371" s="536" t="inlineStr">
        <x:is>
          <x:t xml:space="preserve">1820/15</x:t>
        </x:is>
      </x:c>
      <x:c r="E371" s="537" t="n">
        <x:v>38709</x:v>
      </x:c>
      <x:c r="F371" s="537" t="n">
        <x:v>38733</x:v>
      </x:c>
      <x:c r="G371" s="538" t="inlineStr">
        <x:is>
          <x:t xml:space="preserve">Myron V. Slobin
2216 Jennings Street
Sioux City, IA 51104</x:t>
        </x:is>
      </x:c>
      <x:c r="H371" s="538" t="inlineStr">
        <x:is>
          <x:t xml:space="preserve">Devon Energy Production Company, LP
20 N. Broadway, Suite 1500,
Oklahoma City, OK 73102</x:t>
        </x:is>
      </x:c>
      <x:c r="I371" s="538" t="inlineStr">
        <x:is>
          <x:t xml:space="preserve">NW/4 SE/4, S/2 SE/4, SW/4 NE/4 of 31-12N-24W</x:t>
        </x:is>
      </x:c>
      <x:c r="J371" s="538" t="inlineStr">
        <x:is>
          <x:t xml:space="preserve">160 gross acres
3 yrs
3/16ths royalty
Chain note: source of title — OUTSIDE LANDS 1982-011142 at 480/70, Billy W. Bain and Barbara J. Bain, HW to Myron V. Slobin, covering S/2 SE/4, NW/4 SE/4, SW/4 NE/4 of 31-12N-24W, aol, interest stated: 1/791.47 interest in 2 sections. Confirm source instrument before relying on this conveyance.</x:t>
        </x:is>
      </x:c>
      <x:c r="K371" s="518" t="e">
        <x:f>HYPERLINK("https://okcountyrecords.com/detail/roger+mills/2006-000321","OKCountyRecords: 2006-000321")</x:f>
      </x:c>
      <x:c r="L371" s="519" t="inlineStr">
        <x:is>
          <x:t xml:space="preserve">Leasehold (non-mineral; excluded from mineral NMA). Gross=tract-map basis.</x:t>
        </x:is>
      </x:c>
      <x:c r="M371" s="519" t="inlineStr">
        <x:is>
          <x:t xml:space="preserve">CURRENT LEASE SOURCE</x:t>
        </x:is>
      </x:c>
      <x:c r="N371" s="519" t="n"/>
      <x:c r="O371" s="519" t="inlineStr">
        <x:is>
          <x:t xml:space="preserve">OUTSIDE LANDS</x:t>
        </x:is>
      </x:c>
      <x:c r="P371" s="520" t="inlineStr">
        <x:is>
          <x:t xml:space="preserve">Chain — leasehold (OGL)</x:t>
        </x:is>
      </x:c>
      <x:c r="Q371" s="520" t="inlineStr">
        <x:is>
          <x:t xml:space="preserve">No</x:t>
        </x:is>
      </x:c>
      <x:c r="R371" s="520" t="inlineStr">
        <x:is>
          <x:t xml:space="preserve">Yes</x:t>
        </x:is>
      </x:c>
      <x:c r="S371" s="520" t="inlineStr">
        <x:is>
          <x:t xml:space="preserve">No</x:t>
        </x:is>
      </x:c>
      <x:c r="T371" s="520" t="inlineStr">
        <x:is>
          <x:t xml:space="preserve">Yes</x:t>
        </x:is>
      </x:c>
      <x:c r="U371" s="520" t="inlineStr">
        <x:is>
          <x:t xml:space="preserve">Yes: 2 (legal supports)</x:t>
        </x:is>
      </x:c>
      <x:c r="V371" s="520" t="inlineStr">
        <x:is>
          <x:t xml:space="preserve">High</x:t>
        </x:is>
      </x:c>
      <x:c r="W371" s="520" t="inlineStr">
        <x:is>
          <x:t xml:space="preserve">Yes — prior grantee match</x:t>
        </x:is>
      </x:c>
      <x:c r="X371" s="520" t="inlineStr">
        <x:is>
          <x:t xml:space="preserve">Review</x:t>
        </x:is>
      </x:c>
      <x:c r="Y371" s="520" t="inlineStr">
        <x:is>
          <x:t xml:space="preserve">Interest amount needs review</x:t>
        </x:is>
      </x:c>
      <x:c r="Z371" s="520" t="inlineStr">
        <x:is>
          <x:t xml:space="preserve">Review</x:t>
        </x:is>
      </x:c>
      <x:c r="AA371" s="520" t="inlineStr">
        <x:is>
          <x:t xml:space="preserve">Oil and Gas Lease — Myron V. Slobin to Devon Energy Production Compan (1820/15)</x:t>
        </x:is>
      </x:c>
      <x:c r="AB371" s="520" t="inlineStr">
        <x:is>
          <x:t xml:space="preserve">Needs source review: interest amount</x:t>
        </x:is>
      </x:c>
    </x:row>
    <x:row r="372" s="520" customFormat="1" ht="180" customHeight="1">
      <x:c r="A372" s="519" t="inlineStr">
        <x:is>
          <x:t xml:space="preserve">2006-006475</x:t>
        </x:is>
      </x:c>
      <x:c r="B372" s="536" t="n"/>
      <x:c r="C372" s="536" t="inlineStr">
        <x:is>
          <x:t xml:space="preserve">Stipulation of Mineral Ownership, Conveyance of Mineral Interests and Mineral Deed</x:t>
        </x:is>
      </x:c>
      <x:c r="D372" s="536" t="inlineStr">
        <x:is>
          <x:t xml:space="preserve">1853/546</x:t>
        </x:is>
      </x:c>
      <x:c r="E372" s="537" t="n">
        <x:v>38717</x:v>
      </x:c>
      <x:c r="F372" s="537" t="n">
        <x:v>38982</x:v>
      </x:c>
      <x:c r="G372" s="538" t="inlineStr">
        <x:is>
          <x:t xml:space="preserve">Leede Exploration, a Texas general partnership,
Asarco Oil &amp; Gas Company, Inc.,
COLT Development, L.L.C.,
Roca Development, L.L.C.,
Clyde A. Pine,
Charles D. Ray,
Robert H. Frazier,
Jerry L. Hudgeons,
Thomas A. Morgan</x:t>
        </x:is>
      </x:c>
      <x:c r="H372" s="538" t="inlineStr">
        <x:is>
          <x:t xml:space="preserve">O.I.L. Energy, Inc. (its successors or assigns), 2.435263 NMA,
Asarco Oil &amp; Gas Company, Inc., 5.479341 NMA,
Charles D. Ray, 0.063364 NMA,
Robert H. Frazier, 0.063364 NMA,
Clyde A. Pine, 0.063364 NMA,
Jerry L. Hudgeons, 0.063364 NMA,
Thomas A. Morgan, 0.063364 NMA,
COLT Development, L.L.C.
(successor-in-interest to Consolidation of Leede Trusts), 1.851302 NMA,
Roca Development, L.L.C., 0.862274 NMA,
(successor-in-interest to Edward H. Leede)
Leede Exploration, 0.00 NMA</x:t>
        </x:is>
      </x:c>
      <x:c r="I372" s="538" t="inlineStr">
        <x:is>
          <x:t xml:space="preserve">E/2 NW/4 of 31-12N-24W</x:t>
        </x:is>
      </x:c>
      <x:c r="J372" s="538" t="inlineStr">
        <x:is>
          <x:t xml:space="preserve">10.945 NMA</x:t>
        </x:is>
      </x:c>
      <x:c r="K372" s="518" t="e">
        <x:f>HYPERLINK("https://okcountyrecords.com/detail/roger+mills/2006-006475","OKCountyRecords: 2006-006475")</x:f>
      </x:c>
      <x:c r="L372" s="519" t="inlineStr">
        <x:is>
          <x:t xml:space="preserve">Leasehold (non-mineral; excluded from mineral NMA). Gross=tract-map basis.</x:t>
        </x:is>
      </x:c>
      <x:c r="M372" s="519" t="inlineStr">
        <x:is>
          <x:t xml:space="preserve">Confirm lease effect</x:t>
        </x:is>
      </x:c>
      <x:c r="N372" s="519" t="n"/>
      <x:c r="O372" s="519" t="inlineStr">
        <x:is>
          <x:t xml:space="preserve">MINERAL DEED</x:t>
        </x:is>
      </x:c>
      <x:c r="P372" s="520" t="inlineStr">
        <x:is>
          <x:t xml:space="preserve">Chain — minerals</x:t>
        </x:is>
      </x:c>
      <x:c r="Q372" s="520" t="inlineStr">
        <x:is>
          <x:t xml:space="preserve">Yes</x:t>
        </x:is>
      </x:c>
      <x:c r="R372" s="520" t="inlineStr">
        <x:is>
          <x:t xml:space="preserve">No</x:t>
        </x:is>
      </x:c>
      <x:c r="S372" s="520" t="inlineStr">
        <x:is>
          <x:t xml:space="preserve">Yes</x:t>
        </x:is>
      </x:c>
      <x:c r="T372" s="520" t="inlineStr">
        <x:is>
          <x:t xml:space="preserve">No</x:t>
        </x:is>
      </x:c>
      <x:c r="U372" s="520" t="inlineStr">
        <x:is>
          <x:t xml:space="preserve">Yes: 4 (legal supports)</x:t>
        </x:is>
      </x:c>
      <x:c r="V372" s="520" t="inlineStr">
        <x:is>
          <x:t xml:space="preserve">High</x:t>
        </x:is>
      </x:c>
      <x:c r="W372" s="520" t="inlineStr">
        <x:is>
          <x:t xml:space="preserve">Review — no exact prior-grantee match</x:t>
        </x:is>
      </x:c>
      <x:c r="X372" s="520" t="inlineStr">
        <x:is>
          <x:t xml:space="preserve">Review</x:t>
        </x:is>
      </x:c>
      <x:c r="Y372" s="520" t="inlineStr">
        <x:is>
          <x:t xml:space="preserve">Interest amount needs review</x:t>
        </x:is>
      </x:c>
      <x:c r="Z372" s="520" t="inlineStr">
        <x:is>
          <x:t xml:space="preserve">Review</x:t>
        </x:is>
      </x:c>
      <x:c r="AA372" s="520" t="inlineStr">
        <x:is>
          <x:t xml:space="preserve">Stipulation of Mineral Ownership — Leede Exploration, a Texas gen to O.I.L. Energy, Inc. (its succe (1853/546)</x:t>
        </x:is>
      </x:c>
      <x:c r="AB372" s="520" t="inlineStr">
        <x:is>
          <x:t xml:space="preserve">Needs source review: grantor source, interest amount</x:t>
        </x:is>
      </x:c>
    </x:row>
    <x:row r="373" s="520" customFormat="1" ht="84" customHeight="1">
      <x:c r="A373" s="519" t="inlineStr">
        <x:is>
          <x:t xml:space="preserve">2006-001886</x:t>
        </x:is>
      </x:c>
      <x:c r="B373" s="536" t="n">
        <x:v>50</x:v>
      </x:c>
      <x:c r="C373" s="536" t="inlineStr">
        <x:is>
          <x:t xml:space="preserve">Memorandum of Oil and Gas Lease</x:t>
        </x:is>
      </x:c>
      <x:c r="D373" s="536" t="inlineStr">
        <x:is>
          <x:t xml:space="preserve">1827/548</x:t>
        </x:is>
      </x:c>
      <x:c r="E373" s="537" t="n">
        <x:v>38720</x:v>
      </x:c>
      <x:c r="F373" s="537" t="n">
        <x:v>38785</x:v>
      </x:c>
      <x:c r="G373" s="538" t="inlineStr">
        <x:is>
          <x:t xml:space="preserve">B. H. C. H. Mineral, Ltd.,
B. H. C. H. Properties, Ltd.
By: Bruce HC. Hill, Presidentof B.H.C.H Properties, Ltd..General Partner of B.H.C.H. Mineral, Ltd.
2601 NW Expressway, Suite 200E
Oklahoma City, OK 73112</x:t>
        </x:is>
      </x:c>
      <x:c r="H373" s="538" t="inlineStr">
        <x:is>
          <x:t xml:space="preserve">Jess Harris, III, Inc.
Oklahoma City, OK 73112</x:t>
        </x:is>
      </x:c>
      <x:c r="I373" s="538" t="inlineStr">
        <x:is>
          <x:t xml:space="preserve">E/2 NW/4, N/2 NE/4 SW/4, NE/4 SE/4, SE/4 NE/4 of 31-12N-24W</x:t>
        </x:is>
      </x:c>
      <x:c r="J373" s="538" t="inlineStr">
        <x:is>
          <x:t xml:space="preserve">3 yrs</x:t>
        </x:is>
      </x:c>
      <x:c r="K373" s="518" t="e">
        <x:f>HYPERLINK("https://okcountyrecords.com/detail/roger+mills/2006-001886","OKCountyRecords: 2006-001886")</x:f>
      </x:c>
      <x:c r="L373" s="519" t="inlineStr">
        <x:is>
          <x:t xml:space="preserve">Leasehold (non-mineral; excluded from mineral NMA). Gross=tract-map basis.</x:t>
        </x:is>
      </x:c>
      <x:c r="M373" s="519" t="inlineStr">
        <x:is>
          <x:t xml:space="preserve">CURRENT LEASE SOURCE</x:t>
        </x:is>
      </x:c>
      <x:c r="N373" s="519" t="n"/>
      <x:c r="O373" s="519" t="inlineStr">
        <x:is>
          <x:t xml:space="preserve">OGL / BASE LEASE</x:t>
        </x:is>
      </x:c>
      <x:c r="P373" s="520" t="inlineStr">
        <x:is>
          <x:t xml:space="preserve">Chain — leasehold (ratification/memo)</x:t>
        </x:is>
      </x:c>
      <x:c r="Q373" s="520" t="inlineStr">
        <x:is>
          <x:t xml:space="preserve">No</x:t>
        </x:is>
      </x:c>
      <x:c r="R373" s="520" t="inlineStr">
        <x:is>
          <x:t xml:space="preserve">Yes</x:t>
        </x:is>
      </x:c>
      <x:c r="S373" s="520" t="inlineStr">
        <x:is>
          <x:t xml:space="preserve">No</x:t>
        </x:is>
      </x:c>
      <x:c r="T373" s="520" t="inlineStr">
        <x:is>
          <x:t xml:space="preserve">Yes</x:t>
        </x:is>
      </x:c>
      <x:c r="U373" s="520" t="inlineStr">
        <x:is>
          <x:t xml:space="preserve">Legal maps to 1, 3, 4, 7, 10; helper says 1, 3, 4, 7, 8</x:t>
        </x:is>
      </x:c>
      <x:c r="V373" s="520" t="inlineStr">
        <x:is>
          <x:t xml:space="preserve">Review</x:t>
        </x:is>
      </x:c>
      <x:c r="W373" s="520" t="inlineStr">
        <x:is>
          <x:t xml:space="preserve">Probable — name-normalized match to Runsheet 255 grantee; confirm</x:t>
        </x:is>
      </x:c>
      <x:c r="X373" s="520" t="inlineStr">
        <x:is>
          <x:t xml:space="preserve">Review</x:t>
        </x:is>
      </x:c>
      <x:c r="Y373" s="520" t="inlineStr">
        <x:is>
          <x:t xml:space="preserve">Interest amount needs review</x:t>
        </x:is>
      </x:c>
      <x:c r="Z373" s="520" t="inlineStr">
        <x:is>
          <x:t xml:space="preserve">Review</x:t>
        </x:is>
      </x:c>
      <x:c r="AA373" s="520" t="inlineStr">
        <x:is>
          <x:t xml:space="preserve">Memorandum of Oil and Gas Lease — B. H. C. H. Mineral, Ltd., to Jess Harris, III, Inc. (1827/548)</x:t>
        </x:is>
      </x:c>
      <x:c r="AB373" s="520" t="inlineStr">
        <x:is>
          <x:t xml:space="preserve">Needs source review: tract, grantor source, interest amount</x:t>
        </x:is>
      </x:c>
    </x:row>
    <x:row r="374" s="520" customFormat="1" ht="48" customHeight="1">
      <x:c r="A374" s="519" t="inlineStr">
        <x:is>
          <x:t xml:space="preserve">2006-000762</x:t>
        </x:is>
      </x:c>
      <x:c r="B374" s="536" t="n"/>
      <x:c r="C374" s="536" t="inlineStr">
        <x:is>
          <x:t xml:space="preserve">Assignment</x:t>
        </x:is>
      </x:c>
      <x:c r="D374" s="536" t="inlineStr">
        <x:is>
          <x:t xml:space="preserve">1822/13</x:t>
        </x:is>
      </x:c>
      <x:c r="E374" s="537" t="n">
        <x:v>38723</x:v>
      </x:c>
      <x:c r="F374" s="537" t="n">
        <x:v>38749</x:v>
      </x:c>
      <x:c r="G374" s="538" t="inlineStr">
        <x:is>
          <x:t xml:space="preserve">Kodiak Production Company</x:t>
        </x:is>
      </x:c>
      <x:c r="H374" s="538" t="inlineStr">
        <x:is>
          <x:t xml:space="preserve">Newfield Exploration Mid-Continent, Inc.
110 West 7th, Ste. 1300
Tulsa, OK 74119</x:t>
        </x:is>
      </x:c>
      <x:c r="I374" s="538" t="inlineStr">
        <x:is>
          <x:t xml:space="preserve">Lots 1, 2, N/2 of Lot 3 of 31-12N-24W</x:t>
        </x:is>
      </x:c>
      <x:c r="J374" s="538" t="inlineStr">
        <x:is>
          <x:t xml:space="preserve">Assigns all right, title and interest in and to the Oil and Gas Lease recorded 1737/581</x:t>
        </x:is>
      </x:c>
      <x:c r="K374" s="518" t="e">
        <x:f>HYPERLINK("https://okcountyrecords.com/detail/roger+mills/2006-000762","OKCountyRecords: 2006-000762")</x:f>
      </x:c>
      <x:c r="L374" s="519" t="inlineStr">
        <x:is>
          <x:t xml:space="preserve">Leasehold (non-mineral; excluded from mineral NMA). Gross=tract-map basis.</x:t>
        </x:is>
      </x:c>
      <x:c r="M374" s="519" t="inlineStr">
        <x:is>
          <x:t xml:space="preserve">Confirm lease effect</x:t>
        </x:is>
      </x:c>
      <x:c r="N374" s="519" t="n"/>
      <x:c r="O374" s="519" t="inlineStr">
        <x:is>
          <x:t xml:space="preserve">LEASE ASSIGNMENT</x:t>
        </x:is>
      </x:c>
      <x:c r="P374" s="520" t="inlineStr">
        <x:is>
          <x:t xml:space="preserve">Chain — assignment (WI or minerals — read granting clause)</x:t>
        </x:is>
      </x:c>
      <x:c r="Q374" s="520" t="inlineStr">
        <x:is>
          <x:t xml:space="preserve">Review</x:t>
        </x:is>
      </x:c>
      <x:c r="R374" s="520" t="inlineStr">
        <x:is>
          <x:t xml:space="preserve">Yes</x:t>
        </x:is>
      </x:c>
      <x:c r="S374" s="520" t="inlineStr">
        <x:is>
          <x:t xml:space="preserve">Review</x:t>
        </x:is>
      </x:c>
      <x:c r="T374" s="520" t="inlineStr">
        <x:is>
          <x:t xml:space="preserve">Yes</x:t>
        </x:is>
      </x:c>
      <x:c r="U374" s="520" t="inlineStr">
        <x:is>
          <x:t xml:space="preserve">Yes: 5 (legal supports)</x:t>
        </x:is>
      </x:c>
      <x:c r="V374" s="520" t="inlineStr">
        <x:is>
          <x:t xml:space="preserve">High</x:t>
        </x:is>
      </x:c>
      <x:c r="W374" s="520" t="inlineStr">
        <x:is>
          <x:t xml:space="preserve">Yes — prior grantee match</x:t>
        </x:is>
      </x:c>
      <x:c r="X374" s="520" t="inlineStr">
        <x:is>
          <x:t xml:space="preserve">Review</x:t>
        </x:is>
      </x:c>
      <x:c r="Y374" s="520" t="inlineStr">
        <x:is>
          <x:t xml:space="preserve">Interest amount needs review</x:t>
        </x:is>
      </x:c>
      <x:c r="Z374" s="520" t="inlineStr">
        <x:is>
          <x:t xml:space="preserve">Review</x:t>
        </x:is>
      </x:c>
      <x:c r="AA374" s="520" t="inlineStr">
        <x:is>
          <x:t xml:space="preserve">Assignment — Kodiak Production Company to Newfield Exploration Mid-Conti (1822/13)</x:t>
        </x:is>
      </x:c>
      <x:c r="AB374" s="520" t="inlineStr">
        <x:is>
          <x:t xml:space="preserve">Needs source review: interest amount</x:t>
        </x:is>
      </x:c>
    </x:row>
    <x:row r="375" s="520" customFormat="1" ht="108" customHeight="1">
      <x:c r="A375" s="519" t="inlineStr">
        <x:is>
          <x:t xml:space="preserve">2006-000583</x:t>
        </x:is>
      </x:c>
      <x:c r="B375" s="536" t="n">
        <x:v>56</x:v>
      </x:c>
      <x:c r="C375" s="536" t="inlineStr">
        <x:is>
          <x:t xml:space="preserve">Oil and Gas Lease</x:t>
        </x:is>
      </x:c>
      <x:c r="D375" s="536" t="inlineStr">
        <x:is>
          <x:t xml:space="preserve">1821/92</x:t>
        </x:is>
      </x:c>
      <x:c r="E375" s="537" t="n">
        <x:v>38726</x:v>
      </x:c>
      <x:c r="F375" s="537" t="n">
        <x:v>38742</x:v>
      </x:c>
      <x:c r="G375" s="538" t="inlineStr">
        <x:is>
          <x:t xml:space="preserve">Anna Tamise Gibson
P.O. Box 16913
Wichita, KS 67216</x:t>
        </x:is>
      </x:c>
      <x:c r="H375" s="538" t="inlineStr">
        <x:is>
          <x:t xml:space="preserve">Devon Energy Production Company, LP
20 N. Broadway, Suite 1500,
Oklahoma City, OK 73102</x:t>
        </x:is>
      </x:c>
      <x:c r="I375" s="538" t="inlineStr">
        <x:is>
          <x:t xml:space="preserve">NW/4 SE/4, S/2 SE/4, SW/4 NE/4 of 31-12N-24W</x:t>
        </x:is>
      </x:c>
      <x:c r="J375" s="538" t="inlineStr">
        <x:is>
          <x:t xml:space="preserve">160 gross acres
3 yrs
3/16ths royalty
Chain note: source of title — OGL / BASE LEASE 2004-000690 at 1736/496, John W. Bain, Joseph A. Bain and Anna T. Gibson, formerly Williams,
sole and only heirs of Billy W. Bain aka Billy Wayne Bain, deceased
229 North Chemical
Hutchinson, KS 67501
 to R. … Full recital in recorded instrument — see Link.</x:t>
        </x:is>
      </x:c>
      <x:c r="K375" s="518" t="e">
        <x:f>HYPERLINK("https://okcountyrecords.com/detail/roger+mills/2006-000583","OKCountyRecords: 2006-000583")</x:f>
      </x:c>
      <x:c r="L375" s="519" t="inlineStr">
        <x:is>
          <x:t xml:space="preserve">Leasehold (non-mineral; excluded from mineral NMA). Gross=tract-map basis.</x:t>
        </x:is>
      </x:c>
      <x:c r="M375" s="519" t="inlineStr">
        <x:is>
          <x:t xml:space="preserve">CURRENT LEASE SOURCE</x:t>
        </x:is>
      </x:c>
      <x:c r="N375" s="519" t="n"/>
      <x:c r="O375" s="519" t="inlineStr">
        <x:is>
          <x:t xml:space="preserve">OGL / BASE LEASE</x:t>
        </x:is>
      </x:c>
      <x:c r="P375" s="520" t="inlineStr">
        <x:is>
          <x:t xml:space="preserve">Chain — leasehold (OGL)</x:t>
        </x:is>
      </x:c>
      <x:c r="Q375" s="520" t="inlineStr">
        <x:is>
          <x:t xml:space="preserve">No</x:t>
        </x:is>
      </x:c>
      <x:c r="R375" s="520" t="inlineStr">
        <x:is>
          <x:t xml:space="preserve">Yes</x:t>
        </x:is>
      </x:c>
      <x:c r="S375" s="520" t="inlineStr">
        <x:is>
          <x:t xml:space="preserve">No</x:t>
        </x:is>
      </x:c>
      <x:c r="T375" s="520" t="inlineStr">
        <x:is>
          <x:t xml:space="preserve">Yes</x:t>
        </x:is>
      </x:c>
      <x:c r="U375" s="520" t="inlineStr">
        <x:is>
          <x:t xml:space="preserve">Yes: 2 (legal supports)</x:t>
        </x:is>
      </x:c>
      <x:c r="V375" s="520" t="inlineStr">
        <x:is>
          <x:t xml:space="preserve">High</x:t>
        </x:is>
      </x:c>
      <x:c r="W375" s="520" t="inlineStr">
        <x:is>
          <x:t xml:space="preserve">Review — no exact prior-grantee match</x:t>
        </x:is>
      </x:c>
      <x:c r="X375" s="520" t="inlineStr">
        <x:is>
          <x:t xml:space="preserve">Review</x:t>
        </x:is>
      </x:c>
      <x:c r="Y375" s="520" t="inlineStr">
        <x:is>
          <x:t xml:space="preserve">Interest amount needs review</x:t>
        </x:is>
      </x:c>
      <x:c r="Z375" s="520" t="inlineStr">
        <x:is>
          <x:t xml:space="preserve">Review</x:t>
        </x:is>
      </x:c>
      <x:c r="AA375" s="520" t="inlineStr">
        <x:is>
          <x:t xml:space="preserve">Oil and Gas Lease — Anna Tamise Gibson to Devon Energy Production Compan (1821/92)</x:t>
        </x:is>
      </x:c>
      <x:c r="AB375" s="520" t="inlineStr">
        <x:is>
          <x:t xml:space="preserve">Needs source review: grantor source, interest amount</x:t>
        </x:is>
      </x:c>
    </x:row>
    <x:row r="376" s="520" customFormat="1" ht="72" customHeight="1">
      <x:c r="A376" s="519" t="inlineStr">
        <x:is>
          <x:t xml:space="preserve">2006-000870</x:t>
        </x:is>
      </x:c>
      <x:c r="B376" s="536" t="n"/>
      <x:c r="C376" s="536" t="inlineStr">
        <x:is>
          <x:t xml:space="preserve">Correction Mineral Deed</x:t>
        </x:is>
      </x:c>
      <x:c r="D376" s="536" t="inlineStr">
        <x:is>
          <x:t xml:space="preserve">1822/291</x:t>
        </x:is>
      </x:c>
      <x:c r="E376" s="537" t="n">
        <x:v>38733</x:v>
      </x:c>
      <x:c r="F376" s="537" t="n">
        <x:v>38751</x:v>
      </x:c>
      <x:c r="G376" s="538" t="inlineStr">
        <x:is>
          <x:t xml:space="preserve">Arrowhead Resources, Inc.</x:t>
        </x:is>
      </x:c>
      <x:c r="H376" s="538" t="inlineStr">
        <x:is>
          <x:t xml:space="preserve">MAP2004-OK</x:t>
        </x:is>
      </x:c>
      <x:c r="I376" s="538" t="inlineStr">
        <x:is>
          <x:t xml:space="preserve">SE/4 SW/4 of 31-12N-24W</x:t>
        </x:is>
      </x:c>
      <x:c r="J376" s="538" t="inlineStr">
        <x:is>
          <x:t xml:space="preserve">An undivided 2.5 net mineral acre interest,
This deeds corrects that certain Mineral Deed filed in Book 1800 at page 453. It is the intention of the Grantor herein, to convey an undivided 2.5 net mineral acres in the above described lands, acquired from Oleta Florene Flanagan, formerly Stewart, a/k/a Oleta Florene Wylie, mineral deed filed in Book 1688, at page 374.</x:t>
        </x:is>
      </x:c>
      <x:c r="K376" s="518" t="e">
        <x:f>HYPERLINK("https://okcountyrecords.com/detail/roger+mills/2006-000870","OKCountyRecords: 2006-000870")</x:f>
      </x:c>
      <x:c r="L376" s="519" t="inlineStr">
        <x:is>
          <x:t xml:space="preserve">Mineral; basis Conv Amt(dec). Gross=tract-map basis.</x:t>
        </x:is>
      </x:c>
      <x:c r="M376" s="519" t="inlineStr">
        <x:is>
          <x:t xml:space="preserve">REVIEW</x:t>
        </x:is>
      </x:c>
      <x:c r="N376" s="519" t="inlineStr">
        <x:is>
          <x:t xml:space="preserve">Conveys 2.5 NMA per notes; conv. dec = 2.5/gross. Verify denominator/tract from image.</x:t>
        </x:is>
      </x:c>
      <x:c r="O376" s="519" t="inlineStr">
        <x:is>
          <x:t xml:space="preserve">MINERAL DEED</x:t>
        </x:is>
      </x:c>
      <x:c r="P376" s="520" t="inlineStr">
        <x:is>
          <x:t xml:space="preserve">Chain — minerals</x:t>
        </x:is>
      </x:c>
      <x:c r="Q376" s="520" t="inlineStr">
        <x:is>
          <x:t xml:space="preserve">Yes</x:t>
        </x:is>
      </x:c>
      <x:c r="R376" s="520" t="inlineStr">
        <x:is>
          <x:t xml:space="preserve">No</x:t>
        </x:is>
      </x:c>
      <x:c r="S376" s="520" t="inlineStr">
        <x:is>
          <x:t xml:space="preserve">Yes</x:t>
        </x:is>
      </x:c>
      <x:c r="T376" s="520" t="inlineStr">
        <x:is>
          <x:t xml:space="preserve">No</x:t>
        </x:is>
      </x:c>
      <x:c r="U376" s="520" t="inlineStr">
        <x:is>
          <x:t xml:space="preserve">Yes: 5 (legal supports)</x:t>
        </x:is>
      </x:c>
      <x:c r="V376" s="520" t="inlineStr">
        <x:is>
          <x:t xml:space="preserve">High</x:t>
        </x:is>
      </x:c>
      <x:c r="W376" s="520" t="inlineStr">
        <x:is>
          <x:t xml:space="preserve">Yes — prior grantee match</x:t>
        </x:is>
      </x:c>
      <x:c r="X376" s="520" t="inlineStr">
        <x:is>
          <x:t xml:space="preserve">Yes — on Tract 5 owner list</x:t>
        </x:is>
      </x:c>
      <x:c r="Y376" s="520" t="inlineStr">
        <x:is>
          <x:t xml:space="preserve">Candidate 0.0208333333333333 (helper — confirm from image)</x:t>
        </x:is>
      </x:c>
      <x:c r="Z376" s="520" t="inlineStr">
        <x:is>
          <x:t xml:space="preserve">Medium — helper value</x:t>
        </x:is>
      </x:c>
      <x:c r="AA376" s="520" t="inlineStr">
        <x:is>
          <x:t xml:space="preserve">Correction Mineral Deed — Arrowhead Resources, Inc. to MAP2004-OK (1822/291)</x:t>
        </x:is>
      </x:c>
    </x:row>
    <x:row r="377" s="520" customFormat="1" ht="96" customHeight="1">
      <x:c r="A377" s="519" t="inlineStr">
        <x:is>
          <x:t xml:space="preserve">2006-000702</x:t>
        </x:is>
      </x:c>
      <x:c r="B377" s="536" t="n">
        <x:v>58</x:v>
      </x:c>
      <x:c r="C377" s="536" t="inlineStr">
        <x:is>
          <x:t xml:space="preserve">Oil and Gas Lease</x:t>
        </x:is>
      </x:c>
      <x:c r="D377" s="536" t="inlineStr">
        <x:is>
          <x:t xml:space="preserve">1821/465</x:t>
        </x:is>
      </x:c>
      <x:c r="E377" s="537" t="n">
        <x:v>38733</x:v>
      </x:c>
      <x:c r="F377" s="537" t="n">
        <x:v>38747</x:v>
      </x:c>
      <x:c r="G377" s="538" t="inlineStr">
        <x:is>
          <x:t xml:space="preserve">James M. Robertson and Rose Elaine Robertson
18402 310th Street
Norman, OK 73072</x:t>
        </x:is>
      </x:c>
      <x:c r="H377" s="538" t="inlineStr">
        <x:is>
          <x:t xml:space="preserve">Devon Energy Production Company, LP
20 N. Broadway, Suite 1500,
Oklahoma City, OK 73102</x:t>
        </x:is>
      </x:c>
      <x:c r="I377" s="538" t="inlineStr">
        <x:is>
          <x:t xml:space="preserve">NW/4 SE/4, S/2 SE/4, SW/4 NE/4 of 31-12N-24W</x:t>
        </x:is>
      </x:c>
      <x:c r="J377" s="538" t="inlineStr">
        <x:is>
          <x:t xml:space="preserve">160 gross acres
18 months
1/4th royalty
Chain note: source of title — MINERAL DEED 1931-000573 at D41/447, Thomas O. Hambrook and Flora E. Hambrook, HW to James G. Hambrook, covering Beginning at the North west corner of the North west quarter of Section Thirty one (31) in Township Twelve (12) North … Full recital in recorded instrument — see Link.</x:t>
        </x:is>
      </x:c>
      <x:c r="K377" s="518" t="e">
        <x:f>HYPERLINK("https://okcountyrecords.com/detail/roger+mills/2006-000702","OKCountyRecords: 2006-000702")</x:f>
      </x:c>
      <x:c r="L377" s="519" t="inlineStr">
        <x:is>
          <x:t xml:space="preserve">Leasehold (non-mineral; excluded from mineral NMA). Gross=tract-map basis.</x:t>
        </x:is>
      </x:c>
      <x:c r="M377" s="519" t="inlineStr">
        <x:is>
          <x:t xml:space="preserve">CURRENT LEASE SOURCE</x:t>
        </x:is>
      </x:c>
      <x:c r="N377" s="519" t="n"/>
      <x:c r="O377" s="519" t="inlineStr">
        <x:is>
          <x:t xml:space="preserve">OGL / BASE LEASE</x:t>
        </x:is>
      </x:c>
      <x:c r="P377" s="520" t="inlineStr">
        <x:is>
          <x:t xml:space="preserve">Chain — leasehold (OGL)</x:t>
        </x:is>
      </x:c>
      <x:c r="Q377" s="520" t="inlineStr">
        <x:is>
          <x:t xml:space="preserve">No</x:t>
        </x:is>
      </x:c>
      <x:c r="R377" s="520" t="inlineStr">
        <x:is>
          <x:t xml:space="preserve">Yes</x:t>
        </x:is>
      </x:c>
      <x:c r="S377" s="520" t="inlineStr">
        <x:is>
          <x:t xml:space="preserve">No</x:t>
        </x:is>
      </x:c>
      <x:c r="T377" s="520" t="inlineStr">
        <x:is>
          <x:t xml:space="preserve">Yes</x:t>
        </x:is>
      </x:c>
      <x:c r="U377" s="520" t="inlineStr">
        <x:is>
          <x:t xml:space="preserve">Yes: 2 (legal supports)</x:t>
        </x:is>
      </x:c>
      <x:c r="V377" s="520" t="inlineStr">
        <x:is>
          <x:t xml:space="preserve">High</x:t>
        </x:is>
      </x:c>
      <x:c r="W377" s="520" t="inlineStr">
        <x:is>
          <x:t xml:space="preserve">Probable — name-normalized match to Runsheet 325 grantee; confirm</x:t>
        </x:is>
      </x:c>
      <x:c r="X377" s="520" t="inlineStr">
        <x:is>
          <x:t xml:space="preserve">Review</x:t>
        </x:is>
      </x:c>
      <x:c r="Y377" s="520" t="inlineStr">
        <x:is>
          <x:t xml:space="preserve">Interest amount needs review</x:t>
        </x:is>
      </x:c>
      <x:c r="Z377" s="520" t="inlineStr">
        <x:is>
          <x:t xml:space="preserve">Review</x:t>
        </x:is>
      </x:c>
      <x:c r="AA377" s="520" t="inlineStr">
        <x:is>
          <x:t xml:space="preserve">Oil and Gas Lease — James M. Robertson and Rose El to Devon Energy Production Compan (1821/465)</x:t>
        </x:is>
      </x:c>
      <x:c r="AB377" s="520" t="inlineStr">
        <x:is>
          <x:t xml:space="preserve">Needs source review: grantor source, interest amount</x:t>
        </x:is>
      </x:c>
    </x:row>
    <x:row r="378" s="520" customFormat="1" ht="84" customHeight="1">
      <x:c r="A378" s="519" t="inlineStr">
        <x:is>
          <x:t xml:space="preserve">2006-002915</x:t>
        </x:is>
      </x:c>
      <x:c r="B378" s="536" t="n">
        <x:v>62</x:v>
      </x:c>
      <x:c r="C378" s="536" t="inlineStr">
        <x:is>
          <x:t xml:space="preserve">Oil and Gas Lease</x:t>
        </x:is>
      </x:c>
      <x:c r="D378" s="536" t="inlineStr">
        <x:is>
          <x:t xml:space="preserve">1833/218</x:t>
        </x:is>
      </x:c>
      <x:c r="E378" s="537" t="n">
        <x:v>38734</x:v>
      </x:c>
      <x:c r="F378" s="537" t="n">
        <x:v>38824</x:v>
      </x:c>
      <x:c r="G378" s="538" t="inlineStr">
        <x:is>
          <x:t xml:space="preserve">Ella Pearl Kirk
Box 512
Cheyenne, OK 73628</x:t>
        </x:is>
      </x:c>
      <x:c r="H378" s="538" t="inlineStr">
        <x:is>
          <x:t xml:space="preserve">Jess Harris, III, Inc.
2601 NW Expressway, Suite 200E
Oklahoma City, OK 73112</x:t>
        </x:is>
      </x:c>
      <x:c r="I378" s="538" t="inlineStr">
        <x:is>
          <x:t xml:space="preserve">The South 32.80 acres in a tract of land described as W. 18.20 chains (72 8/10 Rods) of Lots 1 &amp; 2 ADA W 18.20 chains (or 72 8/10 Rods) of W/2 NW/4 &amp; W 18.20 chains (or 72 8/10 Rods) of N/2 of Lot 3 ADA W 18.20 chains (or 72 8/10 Rods) of N/2 NW/4 SW/4 of 31-12N-24W</x:t>
        </x:is>
      </x:c>
      <x:c r="J378" s="538" t="inlineStr">
        <x:is>
          <x:t xml:space="preserve">32.80 gross acres
Three (3) Years
Chain note: source of title — AFFIDAVIT / HEIRSHIP / PROBATE 1923-001306 at MIS12/119, A. H. Douglass to The Public, covering All of 31-12N-24W, interest stated: Affidavit / claim of equity: affiant's ~1/1/1925 block agreement to secure a test well; K. J. … Full recital in recorded instrument — see Link.</x:t>
        </x:is>
      </x:c>
      <x:c r="K378" s="518" t="e">
        <x:f>HYPERLINK("https://okcountyrecords.com/detail/roger+mills/2006-002915","OKCountyRecords: 2006-002915")</x:f>
      </x:c>
      <x:c r="L378" s="519" t="inlineStr">
        <x:is>
          <x:t xml:space="preserve">Leasehold (non-mineral; excluded from mineral NMA). Gross=tract-map basis.</x:t>
        </x:is>
      </x:c>
      <x:c r="M378" s="519" t="inlineStr">
        <x:is>
          <x:t xml:space="preserve">CURRENT LEASE SOURCE</x:t>
        </x:is>
      </x:c>
      <x:c r="N378" s="519" t="n"/>
      <x:c r="O378" s="519" t="inlineStr">
        <x:is>
          <x:t xml:space="preserve">OGL / BASE LEASE</x:t>
        </x:is>
      </x:c>
      <x:c r="P378" s="520" t="inlineStr">
        <x:is>
          <x:t xml:space="preserve">Chain — leasehold (OGL)</x:t>
        </x:is>
      </x:c>
      <x:c r="Q378" s="520" t="inlineStr">
        <x:is>
          <x:t xml:space="preserve">No</x:t>
        </x:is>
      </x:c>
      <x:c r="R378" s="520" t="inlineStr">
        <x:is>
          <x:t xml:space="preserve">Yes</x:t>
        </x:is>
      </x:c>
      <x:c r="S378" s="520" t="inlineStr">
        <x:is>
          <x:t xml:space="preserve">No</x:t>
        </x:is>
      </x:c>
      <x:c r="T378" s="520" t="inlineStr">
        <x:is>
          <x:t xml:space="preserve">Yes</x:t>
        </x:is>
      </x:c>
      <x:c r="U378" s="520" t="inlineStr">
        <x:is>
          <x:t xml:space="preserve">Yes: 5 (legal supports)</x:t>
        </x:is>
      </x:c>
      <x:c r="V378" s="520" t="inlineStr">
        <x:is>
          <x:t xml:space="preserve">High</x:t>
        </x:is>
      </x:c>
      <x:c r="W378" s="520" t="inlineStr">
        <x:is>
          <x:t xml:space="preserve">Review — no exact prior-grantee match</x:t>
        </x:is>
      </x:c>
      <x:c r="X378" s="520" t="inlineStr">
        <x:is>
          <x:t xml:space="preserve">Review</x:t>
        </x:is>
      </x:c>
      <x:c r="Y378" s="520" t="inlineStr">
        <x:is>
          <x:t xml:space="preserve">Interest amount needs review</x:t>
        </x:is>
      </x:c>
      <x:c r="Z378" s="520" t="inlineStr">
        <x:is>
          <x:t xml:space="preserve">Review</x:t>
        </x:is>
      </x:c>
      <x:c r="AA378" s="520" t="inlineStr">
        <x:is>
          <x:t xml:space="preserve">Oil and Gas Lease — Ella Pearl Kirk to Jess Harris, III, Inc. (1833/218)</x:t>
        </x:is>
      </x:c>
      <x:c r="AB378" s="520" t="inlineStr">
        <x:is>
          <x:t xml:space="preserve">Needs source review: grantor source, interest amount</x:t>
        </x:is>
      </x:c>
    </x:row>
    <x:row r="379" s="520" customFormat="1" ht="60" customHeight="1">
      <x:c r="A379" s="519" t="inlineStr">
        <x:is>
          <x:t xml:space="preserve">2006-001930</x:t>
        </x:is>
      </x:c>
      <x:c r="B379" s="536" t="n"/>
      <x:c r="C379" s="536" t="inlineStr">
        <x:is>
          <x:t xml:space="preserve">Assignment of Oil and Gas Lease</x:t>
        </x:is>
      </x:c>
      <x:c r="D379" s="536" t="inlineStr">
        <x:is>
          <x:t xml:space="preserve">1828/302</x:t>
        </x:is>
      </x:c>
      <x:c r="E379" s="537" t="n">
        <x:v>38737</x:v>
      </x:c>
      <x:c r="F379" s="537" t="n">
        <x:v>38789</x:v>
      </x:c>
      <x:c r="G379" s="538" t="inlineStr">
        <x:is>
          <x:t xml:space="preserve">Jess Harris, III, Inc.
Oklahoma City, OK 73112</x:t>
        </x:is>
      </x:c>
      <x:c r="H379" s="538" t="inlineStr">
        <x:is>
          <x:t xml:space="preserve">Newfield Exploration Mid-Continent, Inc.
110 West 7th, Ste. 1300
Tulsa, OK 74119</x:t>
        </x:is>
      </x:c>
      <x:c r="I379" s="538" t="inlineStr">
        <x:is>
          <x:t xml:space="preserve">E/2 NW/4 of 31-12N-24W</x:t>
        </x:is>
      </x:c>
      <x:c r="J379" s="538" t="inlineStr">
        <x:is>
          <x:t xml:space="preserve">Assigns all right, title and interest in and to the Oil and Gas Lease recorded at 1822/562</x:t>
        </x:is>
      </x:c>
      <x:c r="K379" s="518" t="e">
        <x:f>HYPERLINK("https://okcountyrecords.com/detail/roger+mills/2006-001930","OKCountyRecords: 2006-001930")</x:f>
      </x:c>
      <x:c r="L379" s="519" t="inlineStr">
        <x:is>
          <x:t xml:space="preserve">Leasehold (non-mineral; excluded from mineral NMA). Gross=tract-map basis.</x:t>
        </x:is>
      </x:c>
      <x:c r="M379" s="519" t="inlineStr">
        <x:is>
          <x:t xml:space="preserve">Confirm lease effect</x:t>
        </x:is>
      </x:c>
      <x:c r="N379" s="519" t="n"/>
      <x:c r="O379" s="519" t="inlineStr">
        <x:is>
          <x:t xml:space="preserve">OGL / BASE LEASE</x:t>
        </x:is>
      </x:c>
      <x:c r="P379" s="520" t="inlineStr">
        <x:is>
          <x:t xml:space="preserve">Chain — leasehold (OGL)</x:t>
        </x:is>
      </x:c>
      <x:c r="Q379" s="520" t="inlineStr">
        <x:is>
          <x:t xml:space="preserve">No</x:t>
        </x:is>
      </x:c>
      <x:c r="R379" s="520" t="inlineStr">
        <x:is>
          <x:t xml:space="preserve">Yes</x:t>
        </x:is>
      </x:c>
      <x:c r="S379" s="520" t="inlineStr">
        <x:is>
          <x:t xml:space="preserve">No</x:t>
        </x:is>
      </x:c>
      <x:c r="T379" s="520" t="inlineStr">
        <x:is>
          <x:t xml:space="preserve">Yes</x:t>
        </x:is>
      </x:c>
      <x:c r="U379" s="520" t="inlineStr">
        <x:is>
          <x:t xml:space="preserve">Yes: 4 (legal supports)</x:t>
        </x:is>
      </x:c>
      <x:c r="V379" s="520" t="inlineStr">
        <x:is>
          <x:t xml:space="preserve">High</x:t>
        </x:is>
      </x:c>
      <x:c r="W379" s="520" t="inlineStr">
        <x:is>
          <x:t xml:space="preserve">Yes — prior grantee match</x:t>
        </x:is>
      </x:c>
      <x:c r="X379" s="520" t="inlineStr">
        <x:is>
          <x:t xml:space="preserve">Review</x:t>
        </x:is>
      </x:c>
      <x:c r="Y379" s="520" t="inlineStr">
        <x:is>
          <x:t xml:space="preserve">Interest amount needs review</x:t>
        </x:is>
      </x:c>
      <x:c r="Z379" s="520" t="inlineStr">
        <x:is>
          <x:t xml:space="preserve">Review</x:t>
        </x:is>
      </x:c>
      <x:c r="AA379" s="520" t="inlineStr">
        <x:is>
          <x:t xml:space="preserve">Assignment of Oil and Gas Lease — Jess Harris, III, Inc. to Newfield Exploration Mid-Conti (1828/302)</x:t>
        </x:is>
      </x:c>
      <x:c r="AB379" s="520" t="inlineStr">
        <x:is>
          <x:t xml:space="preserve">Needs source review: interest amount</x:t>
        </x:is>
      </x:c>
    </x:row>
    <x:row r="380" s="520" customFormat="1" ht="60" customHeight="1">
      <x:c r="A380" s="519" t="inlineStr">
        <x:is>
          <x:t xml:space="preserve">2006-002590</x:t>
        </x:is>
      </x:c>
      <x:c r="B380" s="536" t="n"/>
      <x:c r="C380" s="536" t="inlineStr">
        <x:is>
          <x:t xml:space="preserve">Assignment of Oil and Gas Lease</x:t>
        </x:is>
      </x:c>
      <x:c r="D380" s="536" t="inlineStr">
        <x:is>
          <x:t xml:space="preserve">1831/229</x:t>
        </x:is>
      </x:c>
      <x:c r="E380" s="537" t="n">
        <x:v>38748</x:v>
      </x:c>
      <x:c r="F380" s="537" t="n">
        <x:v>38810</x:v>
      </x:c>
      <x:c r="G380" s="538" t="inlineStr">
        <x:is>
          <x:t xml:space="preserve">Fleshman Agency, Inc.</x:t>
        </x:is>
      </x:c>
      <x:c r="H380" s="538" t="inlineStr">
        <x:is>
          <x:t xml:space="preserve">Newfield Exploration Mid-Continent, Inc.
110 West 7th, Ste. 1300
Tulsa, OK 74119</x:t>
        </x:is>
      </x:c>
      <x:c r="I380" s="538" t="inlineStr">
        <x:is>
          <x:t xml:space="preserve">E/2 NW/4, N/2 NE/4 SW/4, NE/4 SE/4, SE/4 NE/4 of 31-12N-24W</x:t>
        </x:is>
      </x:c>
      <x:c r="J380" s="538" t="inlineStr">
        <x:is>
          <x:t xml:space="preserve">Assigns all right, title and interest in and to the Oil and Gas Lease recorded at 1810/310</x:t>
        </x:is>
      </x:c>
      <x:c r="K380" s="518" t="e">
        <x:f>HYPERLINK("https://okcountyrecords.com/detail/roger+mills/2006-002590","OKCountyRecords: 2006-002590")</x:f>
      </x:c>
      <x:c r="L380" s="519" t="inlineStr">
        <x:is>
          <x:t xml:space="preserve">Leasehold (non-mineral; excluded from mineral NMA). Gross=tract-map basis.</x:t>
        </x:is>
      </x:c>
      <x:c r="M380" s="519" t="inlineStr">
        <x:is>
          <x:t xml:space="preserve">Confirm lease effect</x:t>
        </x:is>
      </x:c>
      <x:c r="N380" s="519" t="n"/>
      <x:c r="O380" s="519" t="inlineStr">
        <x:is>
          <x:t xml:space="preserve">OGL / BASE LEASE</x:t>
        </x:is>
      </x:c>
      <x:c r="P380" s="520" t="inlineStr">
        <x:is>
          <x:t xml:space="preserve">Chain — leasehold (OGL)</x:t>
        </x:is>
      </x:c>
      <x:c r="Q380" s="520" t="inlineStr">
        <x:is>
          <x:t xml:space="preserve">No</x:t>
        </x:is>
      </x:c>
      <x:c r="R380" s="520" t="inlineStr">
        <x:is>
          <x:t xml:space="preserve">Yes</x:t>
        </x:is>
      </x:c>
      <x:c r="S380" s="520" t="inlineStr">
        <x:is>
          <x:t xml:space="preserve">No</x:t>
        </x:is>
      </x:c>
      <x:c r="T380" s="520" t="inlineStr">
        <x:is>
          <x:t xml:space="preserve">Yes</x:t>
        </x:is>
      </x:c>
      <x:c r="U380" s="520" t="inlineStr">
        <x:is>
          <x:t xml:space="preserve">Legal maps to 1, 3, 4, 7, 10; helper says 1, 3, 4, 7, 8</x:t>
        </x:is>
      </x:c>
      <x:c r="V380" s="520" t="inlineStr">
        <x:is>
          <x:t xml:space="preserve">Review</x:t>
        </x:is>
      </x:c>
      <x:c r="W380" s="520" t="inlineStr">
        <x:is>
          <x:t xml:space="preserve">Yes — prior grantee match</x:t>
        </x:is>
      </x:c>
      <x:c r="X380" s="520" t="inlineStr">
        <x:is>
          <x:t xml:space="preserve">Review</x:t>
        </x:is>
      </x:c>
      <x:c r="Y380" s="520" t="inlineStr">
        <x:is>
          <x:t xml:space="preserve">Interest amount needs review</x:t>
        </x:is>
      </x:c>
      <x:c r="Z380" s="520" t="inlineStr">
        <x:is>
          <x:t xml:space="preserve">Review</x:t>
        </x:is>
      </x:c>
      <x:c r="AA380" s="520" t="inlineStr">
        <x:is>
          <x:t xml:space="preserve">Assignment of Oil and Gas Lease — Fleshman Agency, Inc. to Newfield Exploration Mid-Conti (1831/229)</x:t>
        </x:is>
      </x:c>
      <x:c r="AB380" s="520" t="inlineStr">
        <x:is>
          <x:t xml:space="preserve">Needs source review: tract, interest amount</x:t>
        </x:is>
      </x:c>
    </x:row>
    <x:row r="381" s="520" customFormat="1" ht="60" customHeight="1">
      <x:c r="A381" s="519" t="inlineStr">
        <x:is>
          <x:t xml:space="preserve">2006-001349</x:t>
        </x:is>
      </x:c>
      <x:c r="B381" s="536" t="n"/>
      <x:c r="C381" s="536" t="inlineStr">
        <x:is>
          <x:t xml:space="preserve">Assignment of Oil and Gas Lease</x:t>
        </x:is>
      </x:c>
      <x:c r="D381" s="536" t="inlineStr">
        <x:is>
          <x:t xml:space="preserve">1825/37</x:t>
        </x:is>
      </x:c>
      <x:c r="E381" s="537" t="n">
        <x:v>38748</x:v>
      </x:c>
      <x:c r="F381" s="537" t="n">
        <x:v>38765</x:v>
      </x:c>
      <x:c r="G381" s="538" t="inlineStr">
        <x:is>
          <x:t xml:space="preserve">Todco Properties, Inc.</x:t>
        </x:is>
      </x:c>
      <x:c r="H381" s="538" t="inlineStr">
        <x:is>
          <x:t xml:space="preserve">Samson Resources Company
Samson Plaza, Two West Second Street
Tulsa, OK 74103-3103</x:t>
        </x:is>
      </x:c>
      <x:c r="I381" s="538" t="inlineStr">
        <x:is>
          <x:t xml:space="preserve">E/2 NW/4, N/2 NE/4, NE/4 SE/4, NW/4 SE/4, S/2 NE/4, SE/4 NE/4, SW/4 NE/4 of 31-12N-24W</x:t>
        </x:is>
      </x:c>
      <x:c r="J381" s="538" t="inlineStr">
        <x:is>
          <x:t xml:space="preserve">ARTI in OGLs at 1817/386, 1817/388</x:t>
        </x:is>
      </x:c>
      <x:c r="K381" s="518" t="e">
        <x:f>HYPERLINK("https://okcountyrecords.com/detail/roger+mills/2006-001349","OKCountyRecords: 2006-001349")</x:f>
      </x:c>
      <x:c r="L381" s="519" t="inlineStr">
        <x:is>
          <x:t xml:space="preserve">Leasehold (non-mineral; excluded from mineral NMA). Gross=tract-map basis.</x:t>
        </x:is>
      </x:c>
      <x:c r="M381" s="519" t="inlineStr">
        <x:is>
          <x:t xml:space="preserve">Confirm lease effect</x:t>
        </x:is>
      </x:c>
      <x:c r="N381" s="519" t="n"/>
      <x:c r="O381" s="519" t="inlineStr">
        <x:is>
          <x:t xml:space="preserve">OGL / BASE LEASE</x:t>
        </x:is>
      </x:c>
      <x:c r="P381" s="520" t="inlineStr">
        <x:is>
          <x:t xml:space="preserve">Chain — leasehold (OGL)</x:t>
        </x:is>
      </x:c>
      <x:c r="Q381" s="520" t="inlineStr">
        <x:is>
          <x:t xml:space="preserve">No</x:t>
        </x:is>
      </x:c>
      <x:c r="R381" s="520" t="inlineStr">
        <x:is>
          <x:t xml:space="preserve">Yes</x:t>
        </x:is>
      </x:c>
      <x:c r="S381" s="520" t="inlineStr">
        <x:is>
          <x:t xml:space="preserve">No</x:t>
        </x:is>
      </x:c>
      <x:c r="T381" s="520" t="inlineStr">
        <x:is>
          <x:t xml:space="preserve">Yes</x:t>
        </x:is>
      </x:c>
      <x:c r="U381" s="520" t="inlineStr">
        <x:is>
          <x:t xml:space="preserve">Legal maps to 1, 2, 3, 4, 10; helper says 1, 2, 3, 4, 8</x:t>
        </x:is>
      </x:c>
      <x:c r="V381" s="520" t="inlineStr">
        <x:is>
          <x:t xml:space="preserve">Review</x:t>
        </x:is>
      </x:c>
      <x:c r="W381" s="520" t="inlineStr">
        <x:is>
          <x:t xml:space="preserve">Yes — prior grantee match</x:t>
        </x:is>
      </x:c>
      <x:c r="X381" s="520" t="inlineStr">
        <x:is>
          <x:t xml:space="preserve">Review</x:t>
        </x:is>
      </x:c>
      <x:c r="Y381" s="520" t="inlineStr">
        <x:is>
          <x:t xml:space="preserve">Interest amount needs review</x:t>
        </x:is>
      </x:c>
      <x:c r="Z381" s="520" t="inlineStr">
        <x:is>
          <x:t xml:space="preserve">Review</x:t>
        </x:is>
      </x:c>
      <x:c r="AA381" s="520" t="inlineStr">
        <x:is>
          <x:t xml:space="preserve">Assignment of Oil and Gas Lease — Todco Properties, Inc. to Samson Resources Company (1825/37)</x:t>
        </x:is>
      </x:c>
      <x:c r="AB381" s="520" t="inlineStr">
        <x:is>
          <x:t xml:space="preserve">Needs source review: tract, interest amount</x:t>
        </x:is>
      </x:c>
    </x:row>
    <x:row r="382" s="520" customFormat="1" ht="60" customHeight="1">
      <x:c r="A382" s="519" t="inlineStr">
        <x:is>
          <x:t xml:space="preserve">2006-002339</x:t>
        </x:is>
      </x:c>
      <x:c r="B382" s="536" t="n"/>
      <x:c r="C382" s="536" t="inlineStr">
        <x:is>
          <x:t xml:space="preserve">Assignment of Oil and Gas Leases</x:t>
        </x:is>
      </x:c>
      <x:c r="D382" s="536" t="inlineStr">
        <x:is>
          <x:t xml:space="preserve">1830/242</x:t>
        </x:is>
      </x:c>
      <x:c r="E382" s="537" t="n">
        <x:v>38757</x:v>
      </x:c>
      <x:c r="F382" s="537" t="n">
        <x:v>38804</x:v>
      </x:c>
      <x:c r="G382" s="538" t="inlineStr">
        <x:is>
          <x:t xml:space="preserve">Axis Exploration, LLC</x:t>
        </x:is>
      </x:c>
      <x:c r="H382" s="538" t="inlineStr">
        <x:is>
          <x:t xml:space="preserve">EOG Resources, Inc.
3817 N.W. Expressway, Suite 500
Oklahoma City, OK 73112</x:t>
        </x:is>
      </x:c>
      <x:c r="I382" s="538" t="inlineStr">
        <x:is>
          <x:t xml:space="preserve">NW/4 SE/4, S/2 SE/4, SW/4 NE/4 of 31-12N-24W</x:t>
        </x:is>
      </x:c>
      <x:c r="J382" s="538" t="inlineStr">
        <x:is>
          <x:t xml:space="preserve">Assigns all right, title and interest in and to the Oil and Gas Lease recorded at 1736/193, 1736/195, 1736/197, 1736/199, 1736/496, 1736/588, 1736/590, 1736/596, 1736/598</x:t>
        </x:is>
      </x:c>
      <x:c r="K382" s="518" t="e">
        <x:f>HYPERLINK("https://okcountyrecords.com/detail/roger+mills/2006-002339","OKCountyRecords: 2006-002339")</x:f>
      </x:c>
      <x:c r="L382" s="519" t="inlineStr">
        <x:is>
          <x:t xml:space="preserve">Leasehold (non-mineral; excluded from mineral NMA). Gross=tract-map basis.</x:t>
        </x:is>
      </x:c>
      <x:c r="M382" s="519" t="inlineStr">
        <x:is>
          <x:t xml:space="preserve">Confirm lease effect</x:t>
        </x:is>
      </x:c>
      <x:c r="N382" s="519" t="n"/>
      <x:c r="O382" s="519" t="inlineStr">
        <x:is>
          <x:t xml:space="preserve">OGL / BASE LEASE</x:t>
        </x:is>
      </x:c>
      <x:c r="P382" s="520" t="inlineStr">
        <x:is>
          <x:t xml:space="preserve">Chain — leasehold (OGL)</x:t>
        </x:is>
      </x:c>
      <x:c r="Q382" s="520" t="inlineStr">
        <x:is>
          <x:t xml:space="preserve">No</x:t>
        </x:is>
      </x:c>
      <x:c r="R382" s="520" t="inlineStr">
        <x:is>
          <x:t xml:space="preserve">Yes</x:t>
        </x:is>
      </x:c>
      <x:c r="S382" s="520" t="inlineStr">
        <x:is>
          <x:t xml:space="preserve">No</x:t>
        </x:is>
      </x:c>
      <x:c r="T382" s="520" t="inlineStr">
        <x:is>
          <x:t xml:space="preserve">Yes</x:t>
        </x:is>
      </x:c>
      <x:c r="U382" s="520" t="inlineStr">
        <x:is>
          <x:t xml:space="preserve">Yes: 2 (legal supports)</x:t>
        </x:is>
      </x:c>
      <x:c r="V382" s="520" t="inlineStr">
        <x:is>
          <x:t xml:space="preserve">High</x:t>
        </x:is>
      </x:c>
      <x:c r="W382" s="520" t="inlineStr">
        <x:is>
          <x:t xml:space="preserve">Yes — prior grantee match</x:t>
        </x:is>
      </x:c>
      <x:c r="X382" s="520" t="inlineStr">
        <x:is>
          <x:t xml:space="preserve">Review</x:t>
        </x:is>
      </x:c>
      <x:c r="Y382" s="520" t="inlineStr">
        <x:is>
          <x:t xml:space="preserve">Interest amount needs review</x:t>
        </x:is>
      </x:c>
      <x:c r="Z382" s="520" t="inlineStr">
        <x:is>
          <x:t xml:space="preserve">Review</x:t>
        </x:is>
      </x:c>
      <x:c r="AA382" s="520" t="inlineStr">
        <x:is>
          <x:t xml:space="preserve">Assignment of Oil and Gas Leases — Axis Exploration, LLC to EOG Resources, Inc. (1830/242)</x:t>
        </x:is>
      </x:c>
      <x:c r="AB382" s="520" t="inlineStr">
        <x:is>
          <x:t xml:space="preserve">Needs source review: interest amount</x:t>
        </x:is>
      </x:c>
    </x:row>
    <x:row r="383" s="520" customFormat="1" ht="48" customHeight="1">
      <x:c r="A383" s="519" t="inlineStr">
        <x:is>
          <x:t xml:space="preserve">2009-000273</x:t>
        </x:is>
      </x:c>
      <x:c r="B383" s="536" t="n"/>
      <x:c r="C383" s="536" t="inlineStr">
        <x:is>
          <x:t xml:space="preserve">Assignment</x:t>
        </x:is>
      </x:c>
      <x:c r="D383" s="536" t="inlineStr">
        <x:is>
          <x:t xml:space="preserve">1945/595</x:t>
        </x:is>
      </x:c>
      <x:c r="E383" s="537" t="n">
        <x:v>38760</x:v>
      </x:c>
      <x:c r="F383" s="537" t="n">
        <x:v>39833</x:v>
      </x:c>
      <x:c r="G383" s="538" t="inlineStr">
        <x:is>
          <x:t xml:space="preserve">Jess Harris, III, Inc.
Oklahoma City, OK 73112</x:t>
        </x:is>
      </x:c>
      <x:c r="H383" s="538" t="inlineStr">
        <x:is>
          <x:t xml:space="preserve">Newfield Exploration Mid-Continent, Inc.
110 West 7th, Ste. 1300
Tulsa, OK 74119</x:t>
        </x:is>
      </x:c>
      <x:c r="I383" s="538" t="inlineStr">
        <x:is>
          <x:t xml:space="preserve">Lots 1-3 Partial of 31-12N-24W</x:t>
        </x:is>
      </x:c>
      <x:c r="J383" s="538" t="inlineStr">
        <x:is>
          <x:t xml:space="preserve">ARTI in OGL at 1833/218</x:t>
        </x:is>
      </x:c>
      <x:c r="K383" s="518" t="e">
        <x:f>HYPERLINK("https://okcountyrecords.com/detail/roger+mills/2009-000273","OKCountyRecords: 2009-000273")</x:f>
      </x:c>
      <x:c r="L383" s="519" t="inlineStr">
        <x:is>
          <x:t xml:space="preserve">Leasehold (non-mineral; excluded from mineral NMA). Gross=tract-map basis.</x:t>
        </x:is>
      </x:c>
      <x:c r="M383" s="519" t="inlineStr">
        <x:is>
          <x:t xml:space="preserve">Confirm lease effect</x:t>
        </x:is>
      </x:c>
      <x:c r="N383" s="519" t="n"/>
      <x:c r="O383" s="519" t="inlineStr">
        <x:is>
          <x:t xml:space="preserve">LEASE ASSIGNMENT</x:t>
        </x:is>
      </x:c>
      <x:c r="P383" s="520" t="inlineStr">
        <x:is>
          <x:t xml:space="preserve">Chain — assignment (WI or minerals — read granting clause)</x:t>
        </x:is>
      </x:c>
      <x:c r="Q383" s="520" t="inlineStr">
        <x:is>
          <x:t xml:space="preserve">Review</x:t>
        </x:is>
      </x:c>
      <x:c r="R383" s="520" t="inlineStr">
        <x:is>
          <x:t xml:space="preserve">Yes</x:t>
        </x:is>
      </x:c>
      <x:c r="S383" s="520" t="inlineStr">
        <x:is>
          <x:t xml:space="preserve">Review</x:t>
        </x:is>
      </x:c>
      <x:c r="T383" s="520" t="inlineStr">
        <x:is>
          <x:t xml:space="preserve">Yes</x:t>
        </x:is>
      </x:c>
      <x:c r="U383" s="520" t="inlineStr">
        <x:is>
          <x:t xml:space="preserve">Yes: 5 (legal supports)</x:t>
        </x:is>
      </x:c>
      <x:c r="V383" s="520" t="inlineStr">
        <x:is>
          <x:t xml:space="preserve">High</x:t>
        </x:is>
      </x:c>
      <x:c r="W383" s="520" t="inlineStr">
        <x:is>
          <x:t xml:space="preserve">Yes — prior grantee match</x:t>
        </x:is>
      </x:c>
      <x:c r="X383" s="520" t="inlineStr">
        <x:is>
          <x:t xml:space="preserve">Review</x:t>
        </x:is>
      </x:c>
      <x:c r="Y383" s="520" t="inlineStr">
        <x:is>
          <x:t xml:space="preserve">Interest amount needs review</x:t>
        </x:is>
      </x:c>
      <x:c r="Z383" s="520" t="inlineStr">
        <x:is>
          <x:t xml:space="preserve">Review</x:t>
        </x:is>
      </x:c>
      <x:c r="AA383" s="520" t="inlineStr">
        <x:is>
          <x:t xml:space="preserve">Assignment — Jess Harris, III, Inc. to Newfield Exploration Mid-Conti (1945/595)</x:t>
        </x:is>
      </x:c>
      <x:c r="AB383" s="520" t="inlineStr">
        <x:is>
          <x:t xml:space="preserve">Needs source review: interest amount</x:t>
        </x:is>
      </x:c>
    </x:row>
    <x:row r="384" s="520" customFormat="1" ht="84" customHeight="1">
      <x:c r="A384" s="519" t="inlineStr">
        <x:is>
          <x:t xml:space="preserve">2006-002044</x:t>
        </x:is>
      </x:c>
      <x:c r="B384" s="536" t="n">
        <x:v>61</x:v>
      </x:c>
      <x:c r="C384" s="536" t="inlineStr">
        <x:is>
          <x:t xml:space="preserve">Oil and Gas Lease</x:t>
        </x:is>
      </x:c>
      <x:c r="D384" s="536" t="inlineStr">
        <x:is>
          <x:t xml:space="preserve">1829/26</x:t>
        </x:is>
      </x:c>
      <x:c r="E384" s="537" t="n">
        <x:v>38760</x:v>
      </x:c>
      <x:c r="F384" s="537" t="n">
        <x:v>38792</x:v>
      </x:c>
      <x:c r="G384" s="538" t="inlineStr">
        <x:is>
          <x:t xml:space="preserve">The Termo Company
P.O. Box 2767
Long Beach, CA 90801</x:t>
        </x:is>
      </x:c>
      <x:c r="H384" s="538" t="inlineStr">
        <x:is>
          <x:t xml:space="preserve">Devon Energy Production Company, LP
20 N. Broadway, Suite 1500,
Oklahoma City, OK 73102</x:t>
        </x:is>
      </x:c>
      <x:c r="I384" s="538" t="inlineStr">
        <x:is>
          <x:t xml:space="preserve">E/2 NW/4, N/2 NE/4 SW/4, NE/4 SE/4, SE/4 NE/4 of 31-12N-24W</x:t>
        </x:is>
      </x:c>
      <x:c r="J384" s="538" t="inlineStr">
        <x:is>
          <x:t xml:space="preserve">180 gross acres
3 yrs
1/4th royalty
Chain note: source of title — OUTSIDE LANDS 1990-005043 at 1159/225, Termo Company to Hayhurst Oil Properties, Inc., covering NE/4 SE/4, SE/4 NE/4, N/2 NE/4 SW/4, E/2 NW/4 of 31-12N-24W, aol, interest stated: ARTI. Confirm source instrument before relying on this conveyance.</x:t>
        </x:is>
      </x:c>
      <x:c r="K384" s="518" t="e">
        <x:f>HYPERLINK("https://okcountyrecords.com/detail/roger+mills/2006-002044","OKCountyRecords: 2006-002044")</x:f>
      </x:c>
      <x:c r="L384" s="519" t="inlineStr">
        <x:is>
          <x:t xml:space="preserve">Leasehold (non-mineral; excluded from mineral NMA). Gross=tract-map basis.</x:t>
        </x:is>
      </x:c>
      <x:c r="M384" s="519" t="inlineStr">
        <x:is>
          <x:t xml:space="preserve">CURRENT LEASE SOURCE</x:t>
        </x:is>
      </x:c>
      <x:c r="N384" s="519" t="n"/>
      <x:c r="O384" s="519" t="inlineStr">
        <x:is>
          <x:t xml:space="preserve">OUTSIDE LANDS</x:t>
        </x:is>
      </x:c>
      <x:c r="P384" s="520" t="inlineStr">
        <x:is>
          <x:t xml:space="preserve">Chain — leasehold (OGL)</x:t>
        </x:is>
      </x:c>
      <x:c r="Q384" s="520" t="inlineStr">
        <x:is>
          <x:t xml:space="preserve">No</x:t>
        </x:is>
      </x:c>
      <x:c r="R384" s="520" t="inlineStr">
        <x:is>
          <x:t xml:space="preserve">Yes</x:t>
        </x:is>
      </x:c>
      <x:c r="S384" s="520" t="inlineStr">
        <x:is>
          <x:t xml:space="preserve">No</x:t>
        </x:is>
      </x:c>
      <x:c r="T384" s="520" t="inlineStr">
        <x:is>
          <x:t xml:space="preserve">Yes</x:t>
        </x:is>
      </x:c>
      <x:c r="U384" s="520" t="inlineStr">
        <x:is>
          <x:t xml:space="preserve">Legal maps to 1, 3, 4, 7, 10; helper says 1, 3, 4, 7, 8</x:t>
        </x:is>
      </x:c>
      <x:c r="V384" s="520" t="inlineStr">
        <x:is>
          <x:t xml:space="preserve">Review</x:t>
        </x:is>
      </x:c>
      <x:c r="W384" s="520" t="inlineStr">
        <x:is>
          <x:t xml:space="preserve">Review — no exact prior-grantee match</x:t>
        </x:is>
      </x:c>
      <x:c r="X384" s="520" t="inlineStr">
        <x:is>
          <x:t xml:space="preserve">Review</x:t>
        </x:is>
      </x:c>
      <x:c r="Y384" s="520" t="inlineStr">
        <x:is>
          <x:t xml:space="preserve">Interest amount needs review</x:t>
        </x:is>
      </x:c>
      <x:c r="Z384" s="520" t="inlineStr">
        <x:is>
          <x:t xml:space="preserve">Review</x:t>
        </x:is>
      </x:c>
      <x:c r="AA384" s="520" t="inlineStr">
        <x:is>
          <x:t xml:space="preserve">Oil and Gas Lease — The Termo Company to Devon Energy Production Compan (1829/26)</x:t>
        </x:is>
      </x:c>
      <x:c r="AB384" s="520" t="inlineStr">
        <x:is>
          <x:t xml:space="preserve">Needs source review: tract, grantor source, interest amount</x:t>
        </x:is>
      </x:c>
    </x:row>
    <x:row r="385" s="520" customFormat="1" ht="60" customHeight="1">
      <x:c r="A385" s="519" t="inlineStr">
        <x:is>
          <x:t xml:space="preserve">2006-003963</x:t>
        </x:is>
      </x:c>
      <x:c r="B385" s="536" t="n"/>
      <x:c r="C385" s="536" t="inlineStr">
        <x:is>
          <x:t xml:space="preserve">Assignment of Oil and Gas Lease</x:t>
        </x:is>
      </x:c>
      <x:c r="D385" s="536" t="inlineStr">
        <x:is>
          <x:t xml:space="preserve">1839/9</x:t>
        </x:is>
      </x:c>
      <x:c r="E385" s="537" t="n">
        <x:v>38769</x:v>
      </x:c>
      <x:c r="F385" s="537" t="n">
        <x:v>38863</x:v>
      </x:c>
      <x:c r="G385" s="538" t="inlineStr">
        <x:is>
          <x:t xml:space="preserve">Jess Harris, III, Inc.
Oklahoma City, OK 73112</x:t>
        </x:is>
      </x:c>
      <x:c r="H385" s="538" t="inlineStr">
        <x:is>
          <x:t xml:space="preserve">Newfield Exploration Mid-Continent, Inc.
110 West 7th, Ste. 1300
Tulsa, OK 74119</x:t>
        </x:is>
      </x:c>
      <x:c r="I385" s="538" t="inlineStr">
        <x:is>
          <x:t xml:space="preserve">E/2 NW/4, N/2 NE/4 SW/4, NE/4 SE/4, SE/4 NE/4 of 31-12N-24W</x:t>
        </x:is>
      </x:c>
      <x:c r="J385" s="538" t="inlineStr">
        <x:is>
          <x:t xml:space="preserve">Assigns all right, title and interest in and to the Oil and Gas Lease recorded at 1827/548</x:t>
        </x:is>
      </x:c>
      <x:c r="K385" s="518" t="e">
        <x:f>HYPERLINK("https://okcountyrecords.com/detail/roger+mills/2006-003963","OKCountyRecords: 2006-003963")</x:f>
      </x:c>
      <x:c r="L385" s="519" t="inlineStr">
        <x:is>
          <x:t xml:space="preserve">Leasehold (non-mineral; excluded from mineral NMA). Gross=tract-map basis.</x:t>
        </x:is>
      </x:c>
      <x:c r="M385" s="519" t="inlineStr">
        <x:is>
          <x:t xml:space="preserve">Confirm lease effect</x:t>
        </x:is>
      </x:c>
      <x:c r="N385" s="519" t="n"/>
      <x:c r="O385" s="519" t="inlineStr">
        <x:is>
          <x:t xml:space="preserve">OGL / BASE LEASE</x:t>
        </x:is>
      </x:c>
      <x:c r="P385" s="520" t="inlineStr">
        <x:is>
          <x:t xml:space="preserve">Chain — leasehold (OGL)</x:t>
        </x:is>
      </x:c>
      <x:c r="Q385" s="520" t="inlineStr">
        <x:is>
          <x:t xml:space="preserve">No</x:t>
        </x:is>
      </x:c>
      <x:c r="R385" s="520" t="inlineStr">
        <x:is>
          <x:t xml:space="preserve">Yes</x:t>
        </x:is>
      </x:c>
      <x:c r="S385" s="520" t="inlineStr">
        <x:is>
          <x:t xml:space="preserve">No</x:t>
        </x:is>
      </x:c>
      <x:c r="T385" s="520" t="inlineStr">
        <x:is>
          <x:t xml:space="preserve">Yes</x:t>
        </x:is>
      </x:c>
      <x:c r="U385" s="520" t="inlineStr">
        <x:is>
          <x:t xml:space="preserve">Legal maps to 1, 3, 4, 7, 10; helper says 1, 3, 4, 7, 8</x:t>
        </x:is>
      </x:c>
      <x:c r="V385" s="520" t="inlineStr">
        <x:is>
          <x:t xml:space="preserve">Review</x:t>
        </x:is>
      </x:c>
      <x:c r="W385" s="520" t="inlineStr">
        <x:is>
          <x:t xml:space="preserve">Yes — prior grantee match</x:t>
        </x:is>
      </x:c>
      <x:c r="X385" s="520" t="inlineStr">
        <x:is>
          <x:t xml:space="preserve">Review</x:t>
        </x:is>
      </x:c>
      <x:c r="Y385" s="520" t="inlineStr">
        <x:is>
          <x:t xml:space="preserve">Interest amount needs review</x:t>
        </x:is>
      </x:c>
      <x:c r="Z385" s="520" t="inlineStr">
        <x:is>
          <x:t xml:space="preserve">Review</x:t>
        </x:is>
      </x:c>
      <x:c r="AA385" s="520" t="inlineStr">
        <x:is>
          <x:t xml:space="preserve">Assignment of Oil and Gas Lease — Jess Harris, III, Inc. to Newfield Exploration Mid-Conti (1839/9)</x:t>
        </x:is>
      </x:c>
      <x:c r="AB385" s="520" t="inlineStr">
        <x:is>
          <x:t xml:space="preserve">Needs source review: tract, interest amount</x:t>
        </x:is>
      </x:c>
    </x:row>
    <x:row r="386" s="520" customFormat="1" ht="72" customHeight="1">
      <x:c r="A386" s="519" t="inlineStr">
        <x:is>
          <x:t xml:space="preserve">2007-002804</x:t>
        </x:is>
      </x:c>
      <x:c r="B386" s="536" t="n"/>
      <x:c r="C386" s="536" t="inlineStr">
        <x:is>
          <x:t xml:space="preserve">Correction Assignment of Oil and Gas Leases</x:t>
        </x:is>
      </x:c>
      <x:c r="D386" s="536" t="inlineStr">
        <x:is>
          <x:t xml:space="preserve">1878/109</x:t>
        </x:is>
      </x:c>
      <x:c r="E386" s="537" t="n">
        <x:v>38798</x:v>
      </x:c>
      <x:c r="F386" s="537" t="n">
        <x:v>39262</x:v>
      </x:c>
      <x:c r="G386" s="538" t="inlineStr">
        <x:is>
          <x:t xml:space="preserve">EOG Resources, Inc.</x:t>
        </x:is>
      </x:c>
      <x:c r="H386" s="538" t="inlineStr">
        <x:is>
          <x:t xml:space="preserve">Trilogy Oil and Gas, LLC</x:t>
        </x:is>
      </x:c>
      <x:c r="I386" s="538" t="inlineStr">
        <x:is>
          <x:t xml:space="preserve">NW/4 SE/4, S/2 SE/4, SW/4 NE/4 of 31-12N-24W</x:t>
        </x:is>
      </x:c>
      <x:c r="J386" s="538" t="inlineStr">
        <x:is>
          <x:t xml:space="preserve">ARTI
Assignment of Oil and Gas Leases dated the 22nd day of March, 2006, but effective as of the 20th day of March, 2006, recorded at Book 1831, Pages 481-483, incorrectly states the description of the A. C. Campbell aka Audy C. Campbell Oil and Gas Lease dated January 22, 2004, recorded in Book 1736, Pages 197-198. … Full recital in recorded instrument — see Link.</x:t>
        </x:is>
      </x:c>
      <x:c r="K386" s="518" t="e">
        <x:f>HYPERLINK("https://okcountyrecords.com/detail/roger+mills/2007-002804","OKCountyRecords: 2007-002804")</x:f>
      </x:c>
      <x:c r="L386" s="519" t="inlineStr">
        <x:is>
          <x:t xml:space="preserve">Leasehold (non-mineral; excluded from mineral NMA). Gross=tract-map basis.</x:t>
        </x:is>
      </x:c>
      <x:c r="M386" s="519" t="inlineStr">
        <x:is>
          <x:t xml:space="preserve">Confirm lease effect</x:t>
        </x:is>
      </x:c>
      <x:c r="N386" s="519" t="n"/>
      <x:c r="O386" s="519" t="inlineStr">
        <x:is>
          <x:t xml:space="preserve">OGL / BASE LEASE</x:t>
        </x:is>
      </x:c>
      <x:c r="P386" s="520" t="inlineStr">
        <x:is>
          <x:t xml:space="preserve">Chain — leasehold (OGL)</x:t>
        </x:is>
      </x:c>
      <x:c r="Q386" s="520" t="inlineStr">
        <x:is>
          <x:t xml:space="preserve">No</x:t>
        </x:is>
      </x:c>
      <x:c r="R386" s="520" t="inlineStr">
        <x:is>
          <x:t xml:space="preserve">Yes</x:t>
        </x:is>
      </x:c>
      <x:c r="S386" s="520" t="inlineStr">
        <x:is>
          <x:t xml:space="preserve">No</x:t>
        </x:is>
      </x:c>
      <x:c r="T386" s="520" t="inlineStr">
        <x:is>
          <x:t xml:space="preserve">Yes</x:t>
        </x:is>
      </x:c>
      <x:c r="U386" s="520" t="inlineStr">
        <x:is>
          <x:t xml:space="preserve">Yes: 2 (legal supports)</x:t>
        </x:is>
      </x:c>
      <x:c r="V386" s="520" t="inlineStr">
        <x:is>
          <x:t xml:space="preserve">High</x:t>
        </x:is>
      </x:c>
      <x:c r="W386" s="520" t="inlineStr">
        <x:is>
          <x:t xml:space="preserve">Yes — prior grantee match</x:t>
        </x:is>
      </x:c>
      <x:c r="X386" s="520" t="inlineStr">
        <x:is>
          <x:t xml:space="preserve">Review</x:t>
        </x:is>
      </x:c>
      <x:c r="Y386" s="520" t="inlineStr">
        <x:is>
          <x:t xml:space="preserve">Interest amount needs review</x:t>
        </x:is>
      </x:c>
      <x:c r="Z386" s="520" t="inlineStr">
        <x:is>
          <x:t xml:space="preserve">Review</x:t>
        </x:is>
      </x:c>
      <x:c r="AA386" s="520" t="inlineStr">
        <x:is>
          <x:t xml:space="preserve">Correction Assignment of Oil and — EOG Resources, Inc. to Trilogy Oil and Gas, LLC (1878/109)</x:t>
        </x:is>
      </x:c>
      <x:c r="AB386" s="520" t="inlineStr">
        <x:is>
          <x:t xml:space="preserve">Needs source review: interest amount</x:t>
        </x:is>
      </x:c>
    </x:row>
    <x:row r="387" s="520" customFormat="1" ht="60" customHeight="1">
      <x:c r="A387" s="519" t="inlineStr">
        <x:is>
          <x:t xml:space="preserve">2006-002685</x:t>
        </x:is>
      </x:c>
      <x:c r="B387" s="536" t="n"/>
      <x:c r="C387" s="536" t="inlineStr">
        <x:is>
          <x:t xml:space="preserve">Partial Assignment of Oil and Gas Leases</x:t>
        </x:is>
      </x:c>
      <x:c r="D387" s="536" t="inlineStr">
        <x:is>
          <x:t xml:space="preserve">1831/481</x:t>
        </x:is>
      </x:c>
      <x:c r="E387" s="537" t="n">
        <x:v>38798</x:v>
      </x:c>
      <x:c r="F387" s="537" t="n">
        <x:v>38813</x:v>
      </x:c>
      <x:c r="G387" s="538" t="inlineStr">
        <x:is>
          <x:t xml:space="preserve">EOG Resources, Inc.</x:t>
        </x:is>
      </x:c>
      <x:c r="H387" s="538" t="inlineStr">
        <x:is>
          <x:t xml:space="preserve">Trilogy Oil &amp; Gas, LLC
P.O. Box 280235
Lakewood, CO 80228</x:t>
        </x:is>
      </x:c>
      <x:c r="I387" s="538" t="inlineStr">
        <x:is>
          <x:t xml:space="preserve">NW/4 SE/4, S/2 SE/4, SW/4 NE/4 of 31-12N-24W</x:t>
        </x:is>
      </x:c>
      <x:c r="J387" s="538" t="inlineStr">
        <x:is>
          <x:t xml:space="preserve">an undivided 40 net
acres in OGLs at 1736/596-597, 1736/598-599, 1736/193-194, 1824/181-182, 1736/195-196, 1736/199-200, 1736/496-497, 1736/588-589, 1736/590-591, 1736/197-198</x:t>
        </x:is>
      </x:c>
      <x:c r="K387" s="518" t="e">
        <x:f>HYPERLINK("https://okcountyrecords.com/detail/roger+mills/2006-002685","OKCountyRecords: 2006-002685")</x:f>
      </x:c>
      <x:c r="L387" s="519" t="inlineStr">
        <x:is>
          <x:t xml:space="preserve">Leasehold (non-mineral; excluded from mineral NMA). Gross=tract-map basis.</x:t>
        </x:is>
      </x:c>
      <x:c r="M387" s="519" t="inlineStr">
        <x:is>
          <x:t xml:space="preserve">Confirm lease effect</x:t>
        </x:is>
      </x:c>
      <x:c r="N387" s="519" t="n"/>
      <x:c r="O387" s="519" t="inlineStr">
        <x:is>
          <x:t xml:space="preserve">OGL / BASE LEASE</x:t>
        </x:is>
      </x:c>
      <x:c r="P387" s="520" t="inlineStr">
        <x:is>
          <x:t xml:space="preserve">Chain — leasehold (OGL)</x:t>
        </x:is>
      </x:c>
      <x:c r="Q387" s="520" t="inlineStr">
        <x:is>
          <x:t xml:space="preserve">No</x:t>
        </x:is>
      </x:c>
      <x:c r="R387" s="520" t="inlineStr">
        <x:is>
          <x:t xml:space="preserve">Yes</x:t>
        </x:is>
      </x:c>
      <x:c r="S387" s="520" t="inlineStr">
        <x:is>
          <x:t xml:space="preserve">No</x:t>
        </x:is>
      </x:c>
      <x:c r="T387" s="520" t="inlineStr">
        <x:is>
          <x:t xml:space="preserve">Yes</x:t>
        </x:is>
      </x:c>
      <x:c r="U387" s="520" t="inlineStr">
        <x:is>
          <x:t xml:space="preserve">Yes: 2 (legal supports)</x:t>
        </x:is>
      </x:c>
      <x:c r="V387" s="520" t="inlineStr">
        <x:is>
          <x:t xml:space="preserve">High</x:t>
        </x:is>
      </x:c>
      <x:c r="W387" s="520" t="inlineStr">
        <x:is>
          <x:t xml:space="preserve">Yes — prior grantee match</x:t>
        </x:is>
      </x:c>
      <x:c r="X387" s="520" t="inlineStr">
        <x:is>
          <x:t xml:space="preserve">Review</x:t>
        </x:is>
      </x:c>
      <x:c r="Y387" s="520" t="inlineStr">
        <x:is>
          <x:t xml:space="preserve">Interest amount needs review</x:t>
        </x:is>
      </x:c>
      <x:c r="Z387" s="520" t="inlineStr">
        <x:is>
          <x:t xml:space="preserve">Review</x:t>
        </x:is>
      </x:c>
      <x:c r="AA387" s="520" t="inlineStr">
        <x:is>
          <x:t xml:space="preserve">Partial Assignment of Oil and Ga — EOG Resources, Inc. to Trilogy Oil &amp; Gas, LLC (1831/481)</x:t>
        </x:is>
      </x:c>
      <x:c r="AB387" s="520" t="inlineStr">
        <x:is>
          <x:t xml:space="preserve">Needs source review: interest amount</x:t>
        </x:is>
      </x:c>
    </x:row>
    <x:row r="388" s="520" customFormat="1" ht="48" customHeight="1">
      <x:c r="A388" s="519" t="inlineStr">
        <x:is>
          <x:t xml:space="preserve">2006-003765</x:t>
        </x:is>
      </x:c>
      <x:c r="B388" s="536" t="n"/>
      <x:c r="C388" s="536" t="inlineStr">
        <x:is>
          <x:t xml:space="preserve">Mineral Deed</x:t>
        </x:is>
      </x:c>
      <x:c r="D388" s="536" t="inlineStr">
        <x:is>
          <x:t xml:space="preserve">1838/136</x:t>
        </x:is>
      </x:c>
      <x:c r="E388" s="537" t="n">
        <x:v>38855</x:v>
      </x:c>
      <x:c r="F388" s="537" t="n">
        <x:v>38856</x:v>
      </x:c>
      <x:c r="G388" s="538" t="inlineStr">
        <x:is>
          <x:t xml:space="preserve">G. &amp; T. Partnership</x:t>
        </x:is>
      </x:c>
      <x:c r="H388" s="538" t="inlineStr">
        <x:is>
          <x:t xml:space="preserve">Datt Investment Company,
Four A. Investments</x:t>
        </x:is>
      </x:c>
      <x:c r="I388" s="538" t="inlineStr">
        <x:is>
          <x:t xml:space="preserve">NW/4 SE/4, S/2 SE/4, SW/4 NE/4 of 31-12N-24W, aol</x:t>
        </x:is>
      </x:c>
      <x:c r="J388" s="538" t="inlineStr">
        <x:is>
          <x:t xml:space="preserve">ARTI, It is the Intent to convey equally All Grantor's mineral interest acquired in Mineral Deed 1783/306, recorded in Roger Mills County, Oklahoma.</x:t>
        </x:is>
      </x:c>
      <x:c r="K388" s="518" t="e">
        <x:f>HYPERLINK("https://okcountyrecords.com/detail/roger+mills/2006-003765","OKCountyRecords: 2006-003765")</x:f>
      </x:c>
      <x:c r="L388" s="519" t="inlineStr">
        <x:is>
          <x:t xml:space="preserve">Mineral; basis Conv Amt(dec). Gross=tract-map basis.</x:t>
        </x:is>
      </x:c>
      <x:c r="M388" s="519" t="inlineStr">
        <x:is>
          <x:t xml:space="preserve">CURRENT OWNER SOURCE</x:t>
        </x:is>
      </x:c>
      <x:c r="N388" s="519" t="n"/>
      <x:c r="O388" s="519" t="inlineStr">
        <x:is>
          <x:t xml:space="preserve">OUTSIDE LANDS</x:t>
        </x:is>
      </x:c>
      <x:c r="P388" s="520" t="inlineStr">
        <x:is>
          <x:t xml:space="preserve">Chain — minerals</x:t>
        </x:is>
      </x:c>
      <x:c r="Q388" s="520" t="inlineStr">
        <x:is>
          <x:t xml:space="preserve">Yes</x:t>
        </x:is>
      </x:c>
      <x:c r="R388" s="520" t="inlineStr">
        <x:is>
          <x:t xml:space="preserve">No</x:t>
        </x:is>
      </x:c>
      <x:c r="S388" s="520" t="inlineStr">
        <x:is>
          <x:t xml:space="preserve">Yes</x:t>
        </x:is>
      </x:c>
      <x:c r="T388" s="520" t="inlineStr">
        <x:is>
          <x:t xml:space="preserve">No</x:t>
        </x:is>
      </x:c>
      <x:c r="U388" s="520" t="inlineStr">
        <x:is>
          <x:t xml:space="preserve">Yes: 2 (legal supports)</x:t>
        </x:is>
      </x:c>
      <x:c r="V388" s="520" t="inlineStr">
        <x:is>
          <x:t xml:space="preserve">High</x:t>
        </x:is>
      </x:c>
      <x:c r="W388" s="520" t="inlineStr">
        <x:is>
          <x:t xml:space="preserve">Review — no exact prior-grantee match</x:t>
        </x:is>
      </x:c>
      <x:c r="X388" s="520" t="inlineStr">
        <x:is>
          <x:t xml:space="preserve">Yes — on Tract 2 owner list</x:t>
        </x:is>
      </x:c>
      <x:c r="Y388" s="520" t="inlineStr">
        <x:is>
          <x:t xml:space="preserve">Candidate 1 (helper — confirm from image)</x:t>
        </x:is>
      </x:c>
      <x:c r="Z388" s="520" t="inlineStr">
        <x:is>
          <x:t xml:space="preserve">Medium — helper value</x:t>
        </x:is>
      </x:c>
      <x:c r="AA388" s="520" t="inlineStr">
        <x:is>
          <x:t xml:space="preserve">Mineral Deed — G. &amp; T. Partnership to Datt Investment Company, (1838/136)</x:t>
        </x:is>
      </x:c>
      <x:c r="AB388" s="520" t="inlineStr">
        <x:is>
          <x:t xml:space="preserve">Needs source review: grantor source</x:t>
        </x:is>
      </x:c>
    </x:row>
    <x:row r="389" s="520" customFormat="1" ht="48" customHeight="1">
      <x:c r="A389" s="519" t="inlineStr">
        <x:is>
          <x:t xml:space="preserve">2006-006122</x:t>
        </x:is>
      </x:c>
      <x:c r="B389" s="536" t="n"/>
      <x:c r="C389" s="536" t="inlineStr">
        <x:is>
          <x:t xml:space="preserve">Correction</x:t>
        </x:is>
      </x:c>
      <x:c r="D389" s="536" t="inlineStr">
        <x:is>
          <x:t xml:space="preserve">1852/8</x:t>
        </x:is>
      </x:c>
      <x:c r="E389" s="537" t="n">
        <x:v>38861</x:v>
      </x:c>
      <x:c r="F389" s="537" t="n">
        <x:v>38961</x:v>
      </x:c>
      <x:c r="G389" s="538" t="inlineStr">
        <x:is>
          <x:t xml:space="preserve">Rogene E. Williams</x:t>
        </x:is>
      </x:c>
      <x:c r="H389" s="538" t="inlineStr">
        <x:is>
          <x:t xml:space="preserve">Rogene E. Williams, Trustee of The Jon T. and Rogene E. Williams Trust under Trust Agreement dated April 6, 1998, c/o Robert M. Collins</x:t>
        </x:is>
      </x:c>
      <x:c r="I389" s="538" t="inlineStr">
        <x:is>
          <x:t xml:space="preserve">NW/4 SE/4, S/2 SE/4, SW/4 NE/4 of 31-12N-24W, aol</x:t>
        </x:is>
      </x:c>
      <x:c r="J389" s="538" t="inlineStr">
        <x:is>
          <x:t xml:space="preserve">ARTI</x:t>
        </x:is>
      </x:c>
      <x:c r="K389" s="518" t="e">
        <x:f>HYPERLINK("https://okcountyrecords.com/detail/roger+mills/2006-006122","OKCountyRecords: 2006-006122")</x:f>
      </x:c>
      <x:c r="L389" s="519" t="inlineStr">
        <x:is>
          <x:t xml:space="preserve">Mineral; amount not stated — confirm from instrument. Gross=tract-map basis.</x:t>
        </x:is>
      </x:c>
      <x:c r="M389" s="519" t="inlineStr">
        <x:is>
          <x:t xml:space="preserve">CURRENT OWNER SOURCE</x:t>
        </x:is>
      </x:c>
      <x:c r="N389" s="519" t="n"/>
      <x:c r="O389" s="519" t="inlineStr">
        <x:is>
          <x:t xml:space="preserve">OUTSIDE LANDS</x:t>
        </x:is>
      </x:c>
      <x:c r="P389" s="520" t="inlineStr">
        <x:is>
          <x:t xml:space="preserve">Review — read instrument (type unclear)</x:t>
        </x:is>
      </x:c>
      <x:c r="Q389" s="520" t="inlineStr">
        <x:is>
          <x:t xml:space="preserve">Review</x:t>
        </x:is>
      </x:c>
      <x:c r="R389" s="520" t="inlineStr">
        <x:is>
          <x:t xml:space="preserve">Review</x:t>
        </x:is>
      </x:c>
      <x:c r="S389" s="520" t="inlineStr">
        <x:is>
          <x:t xml:space="preserve">Review</x:t>
        </x:is>
      </x:c>
      <x:c r="T389" s="520" t="inlineStr">
        <x:is>
          <x:t xml:space="preserve">Review</x:t>
        </x:is>
      </x:c>
      <x:c r="U389" s="520" t="inlineStr">
        <x:is>
          <x:t xml:space="preserve">Yes: 2 (legal supports)</x:t>
        </x:is>
      </x:c>
      <x:c r="V389" s="520" t="inlineStr">
        <x:is>
          <x:t xml:space="preserve">High</x:t>
        </x:is>
      </x:c>
      <x:c r="W389" s="520" t="inlineStr">
        <x:is>
          <x:t xml:space="preserve">Probable — name-normalized match to Runsheet 222 grantee; confirm</x:t>
        </x:is>
      </x:c>
      <x:c r="X389" s="520" t="inlineStr">
        <x:is>
          <x:t xml:space="preserve">Review</x:t>
        </x:is>
      </x:c>
      <x:c r="Y389" s="520" t="inlineStr">
        <x:is>
          <x:t xml:space="preserve">Interest amount needs review</x:t>
        </x:is>
      </x:c>
      <x:c r="Z389" s="520" t="inlineStr">
        <x:is>
          <x:t xml:space="preserve">Review</x:t>
        </x:is>
      </x:c>
      <x:c r="AA389" s="520" t="inlineStr">
        <x:is>
          <x:t xml:space="preserve">Correction — Rogene E. Williams to Rogene E. Williams, Trustee of (1852/8)</x:t>
        </x:is>
      </x:c>
      <x:c r="AB389" s="520" t="inlineStr">
        <x:is>
          <x:t xml:space="preserve">Needs source review: grantor source, interest amount, instrument type</x:t>
        </x:is>
      </x:c>
    </x:row>
    <x:row r="390" s="520" customFormat="1" ht="48" customHeight="1">
      <x:c r="A390" s="519" t="inlineStr">
        <x:is>
          <x:t xml:space="preserve">2007-001310</x:t>
        </x:is>
      </x:c>
      <x:c r="B390" s="536" t="n"/>
      <x:c r="C390" s="536" t="inlineStr">
        <x:is>
          <x:t xml:space="preserve">Assignment of ORRI</x:t>
        </x:is>
      </x:c>
      <x:c r="D390" s="536" t="inlineStr">
        <x:is>
          <x:t xml:space="preserve">1869/164</x:t>
        </x:is>
      </x:c>
      <x:c r="E390" s="537" t="n">
        <x:v>38861</x:v>
      </x:c>
      <x:c r="F390" s="537" t="n">
        <x:v>39162</x:v>
      </x:c>
      <x:c r="G390" s="538" t="inlineStr">
        <x:is>
          <x:t xml:space="preserve">Samson Resources Co.</x:t>
        </x:is>
      </x:c>
      <x:c r="H390" s="538" t="inlineStr">
        <x:is>
          <x:t xml:space="preserve">Gary Reid</x:t>
        </x:is>
      </x:c>
      <x:c r="I390" s="538" t="inlineStr">
        <x:is>
          <x:t xml:space="preserve">E/2 NW/4, N/2 NE/4 SW/4, NE/4 SE/4, NW/4 SE/4, S/2 SE/4, SE/4 NE/4, SW/4 NE/4 of 31-12N-24W</x:t>
        </x:is>
      </x:c>
      <x:c r="J390" s="538" t="inlineStr">
        <x:is>
          <x:t xml:space="preserve">ORRI</x:t>
        </x:is>
      </x:c>
      <x:c r="K390" s="518" t="e">
        <x:f>HYPERLINK("https://okcountyrecords.com/detail/roger+mills/2007-001310","OKCountyRecords: 2007-001310")</x:f>
      </x:c>
      <x:c r="L390" s="519" t="inlineStr">
        <x:is>
          <x:t xml:space="preserve">ORRI (non-mineral; excluded from mineral NMA). Gross=tract-map basis.</x:t>
        </x:is>
      </x:c>
      <x:c r="M390" s="519" t="n"/>
      <x:c r="N390" s="519" t="n"/>
      <x:c r="O390" s="519" t="inlineStr">
        <x:is>
          <x:t xml:space="preserve">ORRI</x:t>
        </x:is>
      </x:c>
      <x:c r="P390" s="520" t="inlineStr">
        <x:is>
          <x:t xml:space="preserve">Chain — ORRI (burden on WI)</x:t>
        </x:is>
      </x:c>
      <x:c r="Q390" s="520" t="inlineStr">
        <x:is>
          <x:t xml:space="preserve">No</x:t>
        </x:is>
      </x:c>
      <x:c r="R390" s="520" t="inlineStr">
        <x:is>
          <x:t xml:space="preserve">Review</x:t>
        </x:is>
      </x:c>
      <x:c r="S390" s="520" t="inlineStr">
        <x:is>
          <x:t xml:space="preserve">No</x:t>
        </x:is>
      </x:c>
      <x:c r="T390" s="520" t="inlineStr">
        <x:is>
          <x:t xml:space="preserve">Yes</x:t>
        </x:is>
      </x:c>
      <x:c r="U390" s="520" t="inlineStr">
        <x:is>
          <x:t xml:space="preserve">Legal maps to 1, 2, 3, 4, 7, 10; helper says 1, 2, 3, 4, 7, 8</x:t>
        </x:is>
      </x:c>
      <x:c r="V390" s="520" t="inlineStr">
        <x:is>
          <x:t xml:space="preserve">Review</x:t>
        </x:is>
      </x:c>
      <x:c r="W390" s="520" t="inlineStr">
        <x:is>
          <x:t xml:space="preserve">Review — no exact prior-grantee match</x:t>
        </x:is>
      </x:c>
      <x:c r="X390" s="520" t="inlineStr">
        <x:is>
          <x:t xml:space="preserve">Review</x:t>
        </x:is>
      </x:c>
      <x:c r="Y390" s="520" t="inlineStr">
        <x:is>
          <x:t xml:space="preserve">Interest amount needs review</x:t>
        </x:is>
      </x:c>
      <x:c r="Z390" s="520" t="inlineStr">
        <x:is>
          <x:t xml:space="preserve">Review</x:t>
        </x:is>
      </x:c>
      <x:c r="AA390" s="520" t="inlineStr">
        <x:is>
          <x:t xml:space="preserve">Assignment of ORRI — Samson Resources Co. to Gary Reid (1869/164)</x:t>
        </x:is>
      </x:c>
      <x:c r="AB390" s="520" t="inlineStr">
        <x:is>
          <x:t xml:space="preserve">Needs source review: tract, grantor source, interest amount</x:t>
        </x:is>
      </x:c>
    </x:row>
    <x:row r="391" s="520" customFormat="1" ht="409.5" customHeight="1">
      <x:c r="A391" s="519" t="inlineStr">
        <x:is>
          <x:t xml:space="preserve">2006-003993</x:t>
        </x:is>
      </x:c>
      <x:c r="B391" s="536" t="n"/>
      <x:c r="C391" s="536" t="inlineStr">
        <x:is>
          <x:t xml:space="preserve">Partial Assignment of Oil and Gas Leases</x:t>
        </x:is>
      </x:c>
      <x:c r="D391" s="536" t="inlineStr">
        <x:is>
          <x:t xml:space="preserve">1839/66</x:t>
        </x:is>
      </x:c>
      <x:c r="E391" s="537" t="n">
        <x:v>38862</x:v>
      </x:c>
      <x:c r="F391" s="537" t="n">
        <x:v>38867</x:v>
      </x:c>
      <x:c r="G391" s="538" t="inlineStr">
        <x:is>
          <x:t xml:space="preserve">Trilogy Oil &amp; Gas, LLC</x:t>
        </x:is>
      </x:c>
      <x:c r="H391" s="538" t="inlineStr">
        <x:is>
          <x:t xml:space="preserve">ST. GEORGE COAL CO., 5 NMA,
c/o Pony Duke
P.O. Box 610
Absarokee, Montana 59001,
STEWART GEOLOGICAL INC., 5 NMA,
710 Grand Avenue, Suite 7
Billings, Montana 59101,
JOHN BUTERA, 2 NMA,
8770 Allison Drive, Unit F
Arvada, Colorado 80005,
R. P. DYKES 1 NMA,
P.O. Box 280235
Lakewood, Coloraod 80228
EVEREN NATURAL RESOURCES, LLC, 1 NMA,
790 Old Stone Road
Highlands Ranch, Colorado 80126,
EMMYJAKE, LLC, 1 NMA,
9322 Notts Court
Lone Tree, Colorado 80124,
ALAN WYNEGARDEN, TRUSTEE OF
WYNEGARDEN LIVING TRUST
DATED JULY 31, 2003, 1 NMA,
3773 Cherry Creek North Drive
East Tower - Suite 875
Denver. Colorado 80209,
HUNTINGTON EXPLORATION, LLC, 1 NMA,
5639 Inwood Drive
Houston, Texas 77056,
MARTY LOVINGS, 1 NMA,
635 Ramsdale Drive
Roswell, Georgia 30075,
HAT CREEK OIL AND GAS, INC., 1 NMA,
P.O. Box 2512
Lyons, Colorado 80540
ZEPHYR BAY SPORTS PARTNERS, LLC, 1 NMA,
9544 South Chesapeake Street
Highland Ranch, Colorado 80126
HANI TABALLY, 1 NMA,
9302 South 83rd Court
Hickory Hills, Illinois 60457
B. KOLE KILLION
2322 Monoco Parkway
Denver, Colorado 80207
1.00 Net Acre
KATZ &amp; JAMMERS, LLC
P.O. Box 4289
Durango, Colorado 81302
MARK ROBERT JAFFE, 1 NMA,
13330 Noel Road, #1425
Dallas, Texas 75240
KING EXPLORATION, LLC, 1 NMA,
15875 South County Road 2054
Altus, Oklahoma 73521
GEORGE JOURDAN, 1 NMA,
P.O. Box 3503
Lafayette, Louisiana 70502
STEELE CREEK INVESTMENTS, LLC, 0.5 NMA,
2552 Braun Court
Golden, Colorado 80401-2132
SILVERTREE OIL AND GAS, INC, 0.5 NMA,
P.O. Box 260498
Lakewood, Colorado 80226-0498
48/MMCF/D, LLC,, 0.5 NMA,
5850 Canoga Avenue, Suite 200
Woodland Hills, California 91367
IDLEWILD RESOURCES, INC., 0.5 NMA,
P.O. Box 260498
Lakewood, Colorado 80226-0498
CRAIG L. EMMANUEL, 0.5 NMA,
P.O. Box 86
Laramie, Wyoming 82073-0086
NEW COURSE AVIATION COMPANY, 0.25 NMA,
183 Columbine Road
Golden, Colorado 80401</x:t>
        </x:is>
      </x:c>
      <x:c r="I391" s="538" t="inlineStr">
        <x:is>
          <x:t xml:space="preserve">NW/4 SE/4, S/2 SE/4, SW/4 NE/4 of 31-12N-24W</x:t>
        </x:is>
      </x:c>
      <x:c r="J391" s="538" t="inlineStr">
        <x:is>
          <x:t xml:space="preserve">Assignees reflected in the amount set opposite their names, in OGLs at 1736/596, 1736/598, 1736/193, 1824/181, 1736/195, 1736/199, 1736/496, 1736/588, 1736/590, 1736/197</x:t>
        </x:is>
      </x:c>
      <x:c r="K391" s="518" t="e">
        <x:f>HYPERLINK("https://okcountyrecords.com/detail/roger+mills/2006-003993","OKCountyRecords: 2006-003993")</x:f>
      </x:c>
      <x:c r="L391" s="519" t="inlineStr">
        <x:is>
          <x:t xml:space="preserve">Leasehold (non-mineral; excluded from mineral NMA). Gross=tract-map basis.</x:t>
        </x:is>
      </x:c>
      <x:c r="M391" s="519" t="inlineStr">
        <x:is>
          <x:t xml:space="preserve">Confirm lease effect</x:t>
        </x:is>
      </x:c>
      <x:c r="N391" s="519" t="n"/>
      <x:c r="O391" s="519" t="inlineStr">
        <x:is>
          <x:t xml:space="preserve">OGL / BASE LEASE</x:t>
        </x:is>
      </x:c>
      <x:c r="P391" s="520" t="inlineStr">
        <x:is>
          <x:t xml:space="preserve">Chain — leasehold (OGL)</x:t>
        </x:is>
      </x:c>
      <x:c r="Q391" s="520" t="inlineStr">
        <x:is>
          <x:t xml:space="preserve">No</x:t>
        </x:is>
      </x:c>
      <x:c r="R391" s="520" t="inlineStr">
        <x:is>
          <x:t xml:space="preserve">Yes</x:t>
        </x:is>
      </x:c>
      <x:c r="S391" s="520" t="inlineStr">
        <x:is>
          <x:t xml:space="preserve">No</x:t>
        </x:is>
      </x:c>
      <x:c r="T391" s="520" t="inlineStr">
        <x:is>
          <x:t xml:space="preserve">Yes</x:t>
        </x:is>
      </x:c>
      <x:c r="U391" s="520" t="inlineStr">
        <x:is>
          <x:t xml:space="preserve">Yes: 2 (legal supports)</x:t>
        </x:is>
      </x:c>
      <x:c r="V391" s="520" t="inlineStr">
        <x:is>
          <x:t xml:space="preserve">High</x:t>
        </x:is>
      </x:c>
      <x:c r="W391" s="520" t="inlineStr">
        <x:is>
          <x:t xml:space="preserve">Yes — prior grantee match</x:t>
        </x:is>
      </x:c>
      <x:c r="X391" s="520" t="inlineStr">
        <x:is>
          <x:t xml:space="preserve">Review</x:t>
        </x:is>
      </x:c>
      <x:c r="Y391" s="520" t="inlineStr">
        <x:is>
          <x:t xml:space="preserve">Interest amount needs review</x:t>
        </x:is>
      </x:c>
      <x:c r="Z391" s="520" t="inlineStr">
        <x:is>
          <x:t xml:space="preserve">Review</x:t>
        </x:is>
      </x:c>
      <x:c r="AA391" s="520" t="inlineStr">
        <x:is>
          <x:t xml:space="preserve">Partial Assignment of Oil and Ga — Trilogy Oil &amp; Gas, LLC to ST. GEORGE COAL CO., 5 NMA, (1839/66)</x:t>
        </x:is>
      </x:c>
      <x:c r="AB391" s="520" t="inlineStr">
        <x:is>
          <x:t xml:space="preserve">Needs source review: interest amount</x:t>
        </x:is>
      </x:c>
    </x:row>
    <x:row r="392" s="520" customFormat="1" ht="48" customHeight="1">
      <x:c r="A392" s="519" t="inlineStr">
        <x:is>
          <x:t xml:space="preserve">2006-005146</x:t>
        </x:is>
      </x:c>
      <x:c r="B392" s="536" t="n"/>
      <x:c r="C392" s="536" t="inlineStr">
        <x:is>
          <x:t xml:space="preserve">Memorandum of Trust</x:t>
        </x:is>
      </x:c>
      <x:c r="D392" s="536" t="inlineStr">
        <x:is>
          <x:t xml:space="preserve">1845/333</x:t>
        </x:is>
      </x:c>
      <x:c r="E392" s="537" t="n">
        <x:v>38869</x:v>
      </x:c>
      <x:c r="F392" s="537" t="n">
        <x:v>38915</x:v>
      </x:c>
      <x:c r="G392" s="538" t="inlineStr">
        <x:is>
          <x:t xml:space="preserve">Ruth Olson</x:t>
        </x:is>
      </x:c>
      <x:c r="H392" s="538" t="inlineStr">
        <x:is>
          <x:t xml:space="preserve">The Public</x:t>
        </x:is>
      </x:c>
      <x:c r="I392" s="538" t="inlineStr">
        <x:is>
          <x:t xml:space="preserve">E/2 NW/4 of 31-12N-24W, aol</x:t>
        </x:is>
      </x:c>
      <x:c r="J392" s="538" t="inlineStr">
        <x:is>
          <x:t xml:space="preserve">Memorandum of Ruth Olson Living Trust dated 2/28/1991.</x:t>
        </x:is>
      </x:c>
      <x:c r="K392" s="518" t="e">
        <x:f>HYPERLINK("https://okcountyrecords.com/detail/roger+mills/2006-005146","OKCountyRecords: 2006-005146")</x:f>
      </x:c>
      <x:c r="L392" s="519" t="inlineStr">
        <x:is>
          <x:t xml:space="preserve">Leasehold (non-mineral; excluded from mineral NMA). Gross=tract-map basis.</x:t>
        </x:is>
      </x:c>
      <x:c r="M392" s="519" t="inlineStr">
        <x:is>
          <x:t xml:space="preserve">OK</x:t>
        </x:is>
      </x:c>
      <x:c r="N392" s="519" t="inlineStr">
        <x:is>
          <x:t xml:space="preserve">Non-conveying — notice/affidavit/address change (The Public).</x:t>
        </x:is>
      </x:c>
      <x:c r="O392" s="519" t="inlineStr">
        <x:is>
          <x:t xml:space="preserve">OUTSIDE LANDS</x:t>
        </x:is>
      </x:c>
      <x:c r="P392" s="520" t="inlineStr">
        <x:is>
          <x:t xml:space="preserve">Chain — title support (succession/entity/probate)</x:t>
        </x:is>
      </x:c>
      <x:c r="Q392" s="520" t="inlineStr">
        <x:is>
          <x:t xml:space="preserve">Yes</x:t>
        </x:is>
      </x:c>
      <x:c r="R392" s="520" t="inlineStr">
        <x:is>
          <x:t xml:space="preserve">No</x:t>
        </x:is>
      </x:c>
      <x:c r="S392" s="520" t="inlineStr">
        <x:is>
          <x:t xml:space="preserve">Yes</x:t>
        </x:is>
      </x:c>
      <x:c r="T392" s="520" t="inlineStr">
        <x:is>
          <x:t xml:space="preserve">No</x:t>
        </x:is>
      </x:c>
      <x:c r="U392" s="520" t="inlineStr">
        <x:is>
          <x:t xml:space="preserve">Yes: 4 (legal supports)</x:t>
        </x:is>
      </x:c>
      <x:c r="V392" s="520" t="inlineStr">
        <x:is>
          <x:t xml:space="preserve">High</x:t>
        </x:is>
      </x:c>
      <x:c r="W392" s="520" t="inlineStr">
        <x:is>
          <x:t xml:space="preserve">Review — no exact prior-grantee match</x:t>
        </x:is>
      </x:c>
      <x:c r="X392" s="520" t="inlineStr">
        <x:is>
          <x:t xml:space="preserve">Yes — on Tract 4 owner list</x:t>
        </x:is>
      </x:c>
      <x:c r="Y392" s="520" t="inlineStr">
        <x:is>
          <x:t xml:space="preserve">Interest amount needs review</x:t>
        </x:is>
      </x:c>
      <x:c r="Z392" s="520" t="inlineStr">
        <x:is>
          <x:t xml:space="preserve">Review</x:t>
        </x:is>
      </x:c>
      <x:c r="AA392" s="520" t="inlineStr">
        <x:is>
          <x:t xml:space="preserve">Memorandum of Trust — Ruth Olson to The Public (1845/333)</x:t>
        </x:is>
      </x:c>
      <x:c r="AB392" s="520" t="inlineStr">
        <x:is>
          <x:t xml:space="preserve">Needs source review: grantor source, interest amount</x:t>
        </x:is>
      </x:c>
    </x:row>
    <x:row r="393" s="520" customFormat="1" ht="108" customHeight="1">
      <x:c r="A393" s="519" t="inlineStr">
        <x:is>
          <x:t xml:space="preserve">2006-004747</x:t>
        </x:is>
      </x:c>
      <x:c r="B393" s="536" t="n"/>
      <x:c r="C393" s="536" t="inlineStr">
        <x:is>
          <x:t xml:space="preserve">Partial Assignment of Oil and Gas Lease</x:t>
        </x:is>
      </x:c>
      <x:c r="D393" s="536" t="inlineStr">
        <x:is>
          <x:t xml:space="preserve">1842/453</x:t>
        </x:is>
      </x:c>
      <x:c r="E393" s="537" t="n">
        <x:v>38890</x:v>
      </x:c>
      <x:c r="F393" s="537" t="n">
        <x:v>38897</x:v>
      </x:c>
      <x:c r="G393" s="538" t="inlineStr">
        <x:is>
          <x:t xml:space="preserve">John Butera</x:t>
        </x:is>
      </x:c>
      <x:c r="H393" s="538" t="inlineStr">
        <x:is>
          <x:t xml:space="preserve">Double L, LLC, 0.66 NMA,
5970 W. Sumac Ave.
Denver, CO 80202,
Wolf Point Exploration, LLC, 0.66 NMA,
315 W. Oak St., Suite 704
Ft. Collins, CO 80521,
John Butera, 0.66 NMA,
8770 Allison Drive, Unit F
Arvada, CO 80005</x:t>
        </x:is>
      </x:c>
      <x:c r="I393" s="538" t="inlineStr">
        <x:is>
          <x:t xml:space="preserve">NW/4 SE/4, S/2 SE/4, SW/4 NE/4 of 31-12N-24W</x:t>
        </x:is>
      </x:c>
      <x:c r="J393" s="538" t="inlineStr">
        <x:is>
          <x:t xml:space="preserve">Assignees reflected in the amount set opposite their names, in OGLs at 1736/496, 1736/596, 1736/598, 1736/193, 1736/195, 1736/199, 1736/496, 1736/588</x:t>
        </x:is>
      </x:c>
      <x:c r="K393" s="518" t="e">
        <x:f>HYPERLINK("https://okcountyrecords.com/detail/roger+mills/2006-004747","OKCountyRecords: 2006-004747")</x:f>
      </x:c>
      <x:c r="L393" s="519" t="inlineStr">
        <x:is>
          <x:t xml:space="preserve">Leasehold (non-mineral; excluded from mineral NMA). Gross=tract-map basis.</x:t>
        </x:is>
      </x:c>
      <x:c r="M393" s="519" t="inlineStr">
        <x:is>
          <x:t xml:space="preserve">Confirm lease effect</x:t>
        </x:is>
      </x:c>
      <x:c r="N393" s="519" t="n"/>
      <x:c r="O393" s="519" t="inlineStr">
        <x:is>
          <x:t xml:space="preserve">OGL / BASE LEASE</x:t>
        </x:is>
      </x:c>
      <x:c r="P393" s="520" t="inlineStr">
        <x:is>
          <x:t xml:space="preserve">Chain — leasehold (OGL)</x:t>
        </x:is>
      </x:c>
      <x:c r="Q393" s="520" t="inlineStr">
        <x:is>
          <x:t xml:space="preserve">No</x:t>
        </x:is>
      </x:c>
      <x:c r="R393" s="520" t="inlineStr">
        <x:is>
          <x:t xml:space="preserve">Yes</x:t>
        </x:is>
      </x:c>
      <x:c r="S393" s="520" t="inlineStr">
        <x:is>
          <x:t xml:space="preserve">No</x:t>
        </x:is>
      </x:c>
      <x:c r="T393" s="520" t="inlineStr">
        <x:is>
          <x:t xml:space="preserve">Yes</x:t>
        </x:is>
      </x:c>
      <x:c r="U393" s="520" t="inlineStr">
        <x:is>
          <x:t xml:space="preserve">Yes: 2 (legal supports)</x:t>
        </x:is>
      </x:c>
      <x:c r="V393" s="520" t="inlineStr">
        <x:is>
          <x:t xml:space="preserve">High</x:t>
        </x:is>
      </x:c>
      <x:c r="W393" s="520" t="inlineStr">
        <x:is>
          <x:t xml:space="preserve">Review — no exact prior-grantee match</x:t>
        </x:is>
      </x:c>
      <x:c r="X393" s="520" t="inlineStr">
        <x:is>
          <x:t xml:space="preserve">Review</x:t>
        </x:is>
      </x:c>
      <x:c r="Y393" s="520" t="inlineStr">
        <x:is>
          <x:t xml:space="preserve">Interest amount needs review</x:t>
        </x:is>
      </x:c>
      <x:c r="Z393" s="520" t="inlineStr">
        <x:is>
          <x:t xml:space="preserve">Review</x:t>
        </x:is>
      </x:c>
      <x:c r="AA393" s="520" t="inlineStr">
        <x:is>
          <x:t xml:space="preserve">Partial Assignment of Oil and Ga — John Butera to Double L, LLC, 0.66 NMA, (1842/453)</x:t>
        </x:is>
      </x:c>
      <x:c r="AB393" s="520" t="inlineStr">
        <x:is>
          <x:t xml:space="preserve">Needs source review: grantor source, interest amount</x:t>
        </x:is>
      </x:c>
    </x:row>
    <x:row r="394" s="520" customFormat="1" ht="60" customHeight="1">
      <x:c r="A394" s="519" t="inlineStr">
        <x:is>
          <x:t xml:space="preserve">2006-005043</x:t>
        </x:is>
      </x:c>
      <x:c r="B394" s="536" t="n"/>
      <x:c r="C394" s="536" t="inlineStr">
        <x:is>
          <x:t xml:space="preserve">Assignment of Oil and Gas Leases</x:t>
        </x:is>
      </x:c>
      <x:c r="D394" s="536" t="inlineStr">
        <x:is>
          <x:t xml:space="preserve">1844/584</x:t>
        </x:is>
      </x:c>
      <x:c r="E394" s="537" t="n">
        <x:v>38905</x:v>
      </x:c>
      <x:c r="F394" s="537" t="n">
        <x:v>38911</x:v>
      </x:c>
      <x:c r="G394" s="538" t="inlineStr">
        <x:is>
          <x:t xml:space="preserve">St George Coal Co.</x:t>
        </x:is>
      </x:c>
      <x:c r="H394" s="538" t="inlineStr">
        <x:is>
          <x:t xml:space="preserve">George B. Duke
P.O. Box 21
Edgar, MT 59026</x:t>
        </x:is>
      </x:c>
      <x:c r="I394" s="538" t="inlineStr">
        <x:is>
          <x:t xml:space="preserve">NW/4 SE/4, S/2 SE/4, SW/4 NE/4 of 31-12N-24W</x:t>
        </x:is>
      </x:c>
      <x:c r="J394" s="538" t="inlineStr">
        <x:is>
          <x:t xml:space="preserve">Assigns all right, title and interest in and to the Oil and Gas Leases recorded at 1736/596, 1736/598, 1736/193, 1824/181, 1736/195, 1736/199, 1736/496, 1736/588, 1736/590, 1736/197</x:t>
        </x:is>
      </x:c>
      <x:c r="K394" s="518" t="e">
        <x:f>HYPERLINK("https://okcountyrecords.com/detail/roger+mills/2006-005043","OKCountyRecords: 2006-005043")</x:f>
      </x:c>
      <x:c r="L394" s="519" t="inlineStr">
        <x:is>
          <x:t xml:space="preserve">Leasehold (non-mineral; excluded from mineral NMA). Gross=tract-map basis.</x:t>
        </x:is>
      </x:c>
      <x:c r="M394" s="519" t="inlineStr">
        <x:is>
          <x:t xml:space="preserve">Confirm lease effect</x:t>
        </x:is>
      </x:c>
      <x:c r="N394" s="519" t="n"/>
      <x:c r="O394" s="519" t="inlineStr">
        <x:is>
          <x:t xml:space="preserve">OGL / BASE LEASE</x:t>
        </x:is>
      </x:c>
      <x:c r="P394" s="520" t="inlineStr">
        <x:is>
          <x:t xml:space="preserve">Chain — leasehold (OGL)</x:t>
        </x:is>
      </x:c>
      <x:c r="Q394" s="520" t="inlineStr">
        <x:is>
          <x:t xml:space="preserve">No</x:t>
        </x:is>
      </x:c>
      <x:c r="R394" s="520" t="inlineStr">
        <x:is>
          <x:t xml:space="preserve">Yes</x:t>
        </x:is>
      </x:c>
      <x:c r="S394" s="520" t="inlineStr">
        <x:is>
          <x:t xml:space="preserve">No</x:t>
        </x:is>
      </x:c>
      <x:c r="T394" s="520" t="inlineStr">
        <x:is>
          <x:t xml:space="preserve">Yes</x:t>
        </x:is>
      </x:c>
      <x:c r="U394" s="520" t="inlineStr">
        <x:is>
          <x:t xml:space="preserve">Yes: 2 (legal supports)</x:t>
        </x:is>
      </x:c>
      <x:c r="V394" s="520" t="inlineStr">
        <x:is>
          <x:t xml:space="preserve">High</x:t>
        </x:is>
      </x:c>
      <x:c r="W394" s="520" t="inlineStr">
        <x:is>
          <x:t xml:space="preserve">Review — no exact prior-grantee match</x:t>
        </x:is>
      </x:c>
      <x:c r="X394" s="520" t="inlineStr">
        <x:is>
          <x:t xml:space="preserve">Review</x:t>
        </x:is>
      </x:c>
      <x:c r="Y394" s="520" t="inlineStr">
        <x:is>
          <x:t xml:space="preserve">Interest amount needs review</x:t>
        </x:is>
      </x:c>
      <x:c r="Z394" s="520" t="inlineStr">
        <x:is>
          <x:t xml:space="preserve">Review</x:t>
        </x:is>
      </x:c>
      <x:c r="AA394" s="520" t="inlineStr">
        <x:is>
          <x:t xml:space="preserve">Assignment of Oil and Gas Leases — St George Coal Co. to George B. Duke (1844/584)</x:t>
        </x:is>
      </x:c>
      <x:c r="AB394" s="520" t="inlineStr">
        <x:is>
          <x:t xml:space="preserve">Needs source review: grantor source, interest amount</x:t>
        </x:is>
      </x:c>
    </x:row>
    <x:row r="395" s="520" customFormat="1" ht="384" customHeight="1">
      <x:c r="A395" s="519" t="inlineStr">
        <x:is>
          <x:t xml:space="preserve">2007-008043</x:t>
        </x:is>
      </x:c>
      <x:c r="B395" s="536" t="n"/>
      <x:c r="C395" s="536" t="inlineStr">
        <x:is>
          <x:t xml:space="preserve">Assignment of Oil and Gas Leases</x:t>
        </x:is>
      </x:c>
      <x:c r="D395" s="536" t="inlineStr">
        <x:is>
          <x:t xml:space="preserve">1567/6</x:t>
        </x:is>
      </x:c>
      <x:c r="E395" s="537" t="n">
        <x:v>38909</x:v>
      </x:c>
      <x:c r="F395" s="537" t="n"/>
      <x:c r="G395" s="538" t="inlineStr">
        <x:is>
          <x:t xml:space="preserve">George Jourdan</x:t>
        </x:is>
      </x:c>
      <x:c r="H395" s="538" t="inlineStr">
        <x:is>
          <x:t xml:space="preserve">JH Famiy, LLC
P.O. Box 3503
Lafayette, LA 70502</x:t>
        </x:is>
      </x:c>
      <x:c r="I395" s="538" t="inlineStr">
        <x:is>
          <x:t xml:space="preserve">NW/4 SE/4, S/2 SE/4, SW/4 NE/4 of 31-12N-24W</x:t>
        </x:is>
      </x:c>
      <x:c r="J395" s="538" t="inlineStr">
        <x:is>
          <x:t xml:space="preserve">ARTI in ALL LANDS SITUATED IN ROGER MILLS COUNTY, OKLAHOMA INSOFAR
AND ONLY INSOFAR AS DESCRIBED HEREIN
DATE:
LESSOR:
LESSEE:
RECORDED:
LANDS:
DATE:
LESSOR:
LESSEE:
RECORDED:
LANDS:
DATE:
LESSOR:
LESSEE:
RECORDED:
RE-RECORDED:
LANDS:
DATE:
LESSOR:
LESSEE:
RECORDED:
LANDS:
DATE:
LESSOR:
LESSEE:
RECORDED:
LANDS:
DATE:
LESSOR:
January … Full recital in recorded instrument — see Link.</x:t>
        </x:is>
      </x:c>
      <x:c r="K395" s="329" t="inlineStr">
        <x:is>
          <x:t xml:space="preserve">OKCountyRecords: 2007-008043</x:t>
        </x:is>
      </x:c>
      <x:c r="L395" s="519" t="inlineStr">
        <x:is>
          <x:t xml:space="preserve">Leasehold (non-mineral; excluded from mineral NMA). Gross=tract-map basis.</x:t>
        </x:is>
      </x:c>
      <x:c r="M395" s="519" t="inlineStr">
        <x:is>
          <x:t xml:space="preserve">Needs source review</x:t>
        </x:is>
      </x:c>
      <x:c r="N395" s="519" t="inlineStr">
        <x:is>
          <x:t xml:space="preserve">Pull recorded image (Bk/Pg 1567/0006); confirm assignor, assignee, lease(s) assigned, legal, and dates.</x:t>
        </x:is>
      </x:c>
      <x:c r="O395" s="519" t="inlineStr">
        <x:is>
          <x:t xml:space="preserve">OGL / BASE LEASE</x:t>
        </x:is>
      </x:c>
      <x:c r="P395" s="520" t="inlineStr">
        <x:is>
          <x:t xml:space="preserve">Chain — leasehold (OGL)</x:t>
        </x:is>
      </x:c>
      <x:c r="Q395" s="520" t="inlineStr">
        <x:is>
          <x:t xml:space="preserve">No</x:t>
        </x:is>
      </x:c>
      <x:c r="R395" s="520" t="inlineStr">
        <x:is>
          <x:t xml:space="preserve">Yes</x:t>
        </x:is>
      </x:c>
      <x:c r="S395" s="520" t="inlineStr">
        <x:is>
          <x:t xml:space="preserve">No</x:t>
        </x:is>
      </x:c>
      <x:c r="T395" s="520" t="inlineStr">
        <x:is>
          <x:t xml:space="preserve">Yes</x:t>
        </x:is>
      </x:c>
      <x:c r="U395" s="520" t="inlineStr">
        <x:is>
          <x:t xml:space="preserve">Yes: 2 (legal supports)</x:t>
        </x:is>
      </x:c>
      <x:c r="V395" s="520" t="inlineStr">
        <x:is>
          <x:t xml:space="preserve">High</x:t>
        </x:is>
      </x:c>
      <x:c r="W395" s="520" t="inlineStr">
        <x:is>
          <x:t xml:space="preserve">Review — no exact prior-grantee match</x:t>
        </x:is>
      </x:c>
      <x:c r="X395" s="520" t="inlineStr">
        <x:is>
          <x:t xml:space="preserve">Review</x:t>
        </x:is>
      </x:c>
      <x:c r="Y395" s="520" t="inlineStr">
        <x:is>
          <x:t xml:space="preserve">Candidate 1 (helper — confirm from image)</x:t>
        </x:is>
      </x:c>
      <x:c r="Z395" s="520" t="inlineStr">
        <x:is>
          <x:t xml:space="preserve">Medium — helper value</x:t>
        </x:is>
      </x:c>
      <x:c r="AA395" s="520" t="inlineStr">
        <x:is>
          <x:t xml:space="preserve">Assignment of Oil and Gas Leases — George Jourdan to JH Famiy, LLC (1567/6)</x:t>
        </x:is>
      </x:c>
      <x:c r="AB395" s="520" t="inlineStr">
        <x:is>
          <x:t xml:space="preserve">Needs source review: grantor source</x:t>
        </x:is>
      </x:c>
    </x:row>
    <x:row r="396" s="520" customFormat="1" ht="48" customHeight="1">
      <x:c r="A396" s="519" t="inlineStr">
        <x:is>
          <x:t xml:space="preserve">2006-005081</x:t>
        </x:is>
      </x:c>
      <x:c r="B396" s="536" t="n"/>
      <x:c r="C396" s="536" t="inlineStr">
        <x:is>
          <x:t xml:space="preserve">Assignment of Oil and Gas Leases</x:t>
        </x:is>
      </x:c>
      <x:c r="D396" s="536" t="inlineStr">
        <x:is>
          <x:t xml:space="preserve">1845/128</x:t>
        </x:is>
      </x:c>
      <x:c r="E396" s="537" t="n">
        <x:v>38909</x:v>
      </x:c>
      <x:c r="F396" s="537" t="n">
        <x:v>38912</x:v>
      </x:c>
      <x:c r="G396" s="538" t="inlineStr">
        <x:is>
          <x:t xml:space="preserve">George Jourdan</x:t>
        </x:is>
      </x:c>
      <x:c r="H396" s="538" t="inlineStr">
        <x:is>
          <x:t xml:space="preserve">JH Famiy, LLC
P.O. Box 3503
Lafayette, LA 70502</x:t>
        </x:is>
      </x:c>
      <x:c r="I396" s="538" t="inlineStr">
        <x:is>
          <x:t xml:space="preserve">NW/4 SE/4, S/2 SE/4, SW/4 NE/4 of 31-12N-24W</x:t>
        </x:is>
      </x:c>
      <x:c r="J396" s="538" t="inlineStr">
        <x:is>
          <x:t xml:space="preserve">Assigns all right, title and interest in and to the Oil and Gas Leases recorded at 1736/596, 1736/598, 1736/193, 1824/181, 1736/195, 1736/199, 1736/496, 1736/588, 1736/590, 1736/197</x:t>
        </x:is>
      </x:c>
      <x:c r="K396" s="518" t="e">
        <x:f>HYPERLINK("https://okcountyrecords.com/detail/roger+mills/2006-005081","OKCountyRecords: 2006-005081")</x:f>
      </x:c>
      <x:c r="L396" s="519" t="inlineStr">
        <x:is>
          <x:t xml:space="preserve">Leasehold (non-mineral; excluded from mineral NMA). Gross=tract-map basis.</x:t>
        </x:is>
      </x:c>
      <x:c r="M396" s="519" t="inlineStr">
        <x:is>
          <x:t xml:space="preserve">REVIEW</x:t>
        </x:is>
      </x:c>
      <x:c r="N396" s="519" t="inlineStr">
        <x:is>
          <x:t xml:space="preserve">Verify grantee name — "JH Famiy, LLC" likely "JH Family, LLC"; confirm against instrument image</x:t>
        </x:is>
      </x:c>
      <x:c r="O396" s="519" t="inlineStr">
        <x:is>
          <x:t xml:space="preserve">OGL / BASE LEASE</x:t>
        </x:is>
      </x:c>
      <x:c r="P396" s="520" t="inlineStr">
        <x:is>
          <x:t xml:space="preserve">Chain — leasehold (OGL)</x:t>
        </x:is>
      </x:c>
      <x:c r="Q396" s="520" t="inlineStr">
        <x:is>
          <x:t xml:space="preserve">No</x:t>
        </x:is>
      </x:c>
      <x:c r="R396" s="520" t="inlineStr">
        <x:is>
          <x:t xml:space="preserve">Yes</x:t>
        </x:is>
      </x:c>
      <x:c r="S396" s="520" t="inlineStr">
        <x:is>
          <x:t xml:space="preserve">No</x:t>
        </x:is>
      </x:c>
      <x:c r="T396" s="520" t="inlineStr">
        <x:is>
          <x:t xml:space="preserve">Yes</x:t>
        </x:is>
      </x:c>
      <x:c r="U396" s="520" t="inlineStr">
        <x:is>
          <x:t xml:space="preserve">Yes: 2 (legal supports)</x:t>
        </x:is>
      </x:c>
      <x:c r="V396" s="520" t="inlineStr">
        <x:is>
          <x:t xml:space="preserve">High</x:t>
        </x:is>
      </x:c>
      <x:c r="W396" s="520" t="inlineStr">
        <x:is>
          <x:t xml:space="preserve">Review — no exact prior-grantee match</x:t>
        </x:is>
      </x:c>
      <x:c r="X396" s="520" t="inlineStr">
        <x:is>
          <x:t xml:space="preserve">Review</x:t>
        </x:is>
      </x:c>
      <x:c r="Y396" s="520" t="inlineStr">
        <x:is>
          <x:t xml:space="preserve">Candidate 1 (helper — confirm from image)</x:t>
        </x:is>
      </x:c>
      <x:c r="Z396" s="520" t="inlineStr">
        <x:is>
          <x:t xml:space="preserve">Medium — helper value</x:t>
        </x:is>
      </x:c>
      <x:c r="AA396" s="520" t="inlineStr">
        <x:is>
          <x:t xml:space="preserve">Assignment of Oil and Gas Leases — George Jourdan to JH Famiy, LLC (1845/128)</x:t>
        </x:is>
      </x:c>
      <x:c r="AB396" s="520" t="inlineStr">
        <x:is>
          <x:t xml:space="preserve">Needs source review: grantor source</x:t>
        </x:is>
      </x:c>
    </x:row>
    <x:row r="397" s="520" customFormat="1" ht="72" customHeight="1">
      <x:c r="A397" s="519" t="inlineStr">
        <x:is>
          <x:t xml:space="preserve">2006-007198</x:t>
        </x:is>
      </x:c>
      <x:c r="B397" s="536" t="n"/>
      <x:c r="C397" s="536" t="inlineStr">
        <x:is>
          <x:t xml:space="preserve">Partial Assignment of Oil and Gas Lease Correction</x:t>
        </x:is>
      </x:c>
      <x:c r="D397" s="536" t="inlineStr">
        <x:is>
          <x:t xml:space="preserve">1858/52</x:t>
        </x:is>
      </x:c>
      <x:c r="E397" s="537" t="n">
        <x:v>39009</x:v>
      </x:c>
      <x:c r="F397" s="537" t="n">
        <x:v>39029</x:v>
      </x:c>
      <x:c r="G397" s="538" t="inlineStr">
        <x:is>
          <x:t xml:space="preserve">John Butera</x:t>
        </x:is>
      </x:c>
      <x:c r="H397" s="538" t="inlineStr">
        <x:is>
          <x:t xml:space="preserve">Double L, LLC, 0.5 NMA,
5970 W. Sumac Ave.
Denver, CO 80202,
Wolf Point Exploration, LLC, 0.25 NMA,
315 W. Oak St., Suite 704
Ft. Collins, CO 80521</x:t>
        </x:is>
      </x:c>
      <x:c r="I397" s="538" t="inlineStr">
        <x:is>
          <x:t xml:space="preserve">NW/4 SE/4, S/2 SE/4, SW/4 NE/4 of 31-12N-24W</x:t>
        </x:is>
      </x:c>
      <x:c r="J397" s="538" t="inlineStr">
        <x:is>
          <x:t xml:space="preserve">Assignees reflected in the amount set opposite their names, in OGLs at 1736/496, 1736/596, 1736/598, 1736/193, 1736/195, 1736/199, 1736/496, 1736/588</x:t>
        </x:is>
      </x:c>
      <x:c r="K397" s="518" t="e">
        <x:f>HYPERLINK("https://okcountyrecords.com/detail/roger+mills/2006-007198","OKCountyRecords: 2006-007198")</x:f>
      </x:c>
      <x:c r="L397" s="519" t="inlineStr">
        <x:is>
          <x:t xml:space="preserve">Leasehold (non-mineral; excluded from mineral NMA). Gross=tract-map basis.</x:t>
        </x:is>
      </x:c>
      <x:c r="M397" s="519" t="inlineStr">
        <x:is>
          <x:t xml:space="preserve">Confirm lease effect</x:t>
        </x:is>
      </x:c>
      <x:c r="N397" s="519" t="n"/>
      <x:c r="O397" s="519" t="inlineStr">
        <x:is>
          <x:t xml:space="preserve">OGL / BASE LEASE</x:t>
        </x:is>
      </x:c>
      <x:c r="P397" s="520" t="inlineStr">
        <x:is>
          <x:t xml:space="preserve">Chain — leasehold (OGL)</x:t>
        </x:is>
      </x:c>
      <x:c r="Q397" s="520" t="inlineStr">
        <x:is>
          <x:t xml:space="preserve">No</x:t>
        </x:is>
      </x:c>
      <x:c r="R397" s="520" t="inlineStr">
        <x:is>
          <x:t xml:space="preserve">Yes</x:t>
        </x:is>
      </x:c>
      <x:c r="S397" s="520" t="inlineStr">
        <x:is>
          <x:t xml:space="preserve">No</x:t>
        </x:is>
      </x:c>
      <x:c r="T397" s="520" t="inlineStr">
        <x:is>
          <x:t xml:space="preserve">Yes</x:t>
        </x:is>
      </x:c>
      <x:c r="U397" s="520" t="inlineStr">
        <x:is>
          <x:t xml:space="preserve">Yes: 2 (legal supports)</x:t>
        </x:is>
      </x:c>
      <x:c r="V397" s="520" t="inlineStr">
        <x:is>
          <x:t xml:space="preserve">High</x:t>
        </x:is>
      </x:c>
      <x:c r="W397" s="520" t="inlineStr">
        <x:is>
          <x:t xml:space="preserve">Review — no exact prior-grantee match</x:t>
        </x:is>
      </x:c>
      <x:c r="X397" s="520" t="inlineStr">
        <x:is>
          <x:t xml:space="preserve">Review</x:t>
        </x:is>
      </x:c>
      <x:c r="Y397" s="520" t="inlineStr">
        <x:is>
          <x:t xml:space="preserve">Interest amount needs review</x:t>
        </x:is>
      </x:c>
      <x:c r="Z397" s="520" t="inlineStr">
        <x:is>
          <x:t xml:space="preserve">Review</x:t>
        </x:is>
      </x:c>
      <x:c r="AA397" s="520" t="inlineStr">
        <x:is>
          <x:t xml:space="preserve">Partial Assignment of Oil and Ga — John Butera to Double L, LLC, 0.5 NMA, (1858/52)</x:t>
        </x:is>
      </x:c>
      <x:c r="AB397" s="520" t="inlineStr">
        <x:is>
          <x:t xml:space="preserve">Needs source review: grantor source, interest amount</x:t>
        </x:is>
      </x:c>
    </x:row>
    <x:row r="398" s="520" customFormat="1" ht="48" customHeight="1">
      <x:c r="A398" s="519" t="inlineStr">
        <x:is>
          <x:t xml:space="preserve">2007-000328</x:t>
        </x:is>
      </x:c>
      <x:c r="B398" s="536" t="n"/>
      <x:c r="C398" s="536" t="inlineStr">
        <x:is>
          <x:t xml:space="preserve">Assignment</x:t>
        </x:is>
      </x:c>
      <x:c r="D398" s="536" t="inlineStr">
        <x:is>
          <x:t xml:space="preserve">1864/96</x:t>
        </x:is>
      </x:c>
      <x:c r="E398" s="537" t="n">
        <x:v>39052</x:v>
      </x:c>
      <x:c r="F398" s="537" t="n">
        <x:v>39104</x:v>
      </x:c>
      <x:c r="G398" s="538" t="inlineStr">
        <x:is>
          <x:t xml:space="preserve">B. Kole Killion</x:t>
        </x:is>
      </x:c>
      <x:c r="H398" s="538" t="inlineStr">
        <x:is>
          <x:t xml:space="preserve">Rhett L. Frazier
7731 Romaine St #3
West Hollywood, CA 90046</x:t>
        </x:is>
      </x:c>
      <x:c r="I398" s="538" t="inlineStr">
        <x:is>
          <x:t xml:space="preserve">NW/4 SE/4, S/2 SE/4, SW/4 NE/4 of 31-12N-24W</x:t>
        </x:is>
      </x:c>
      <x:c r="J398" s="538" t="inlineStr">
        <x:is>
          <x:t xml:space="preserve">One-half (1/2) of Assignor's right, title and interest in and to the oil and gas leases recorded at 1736/596, 1736/598, 1736/193, 1824/181, 1736/195, 1736/199, 1736/496, 1736/588, 1736/590, 1736/197</x:t>
        </x:is>
      </x:c>
      <x:c r="K398" s="518" t="e">
        <x:f>HYPERLINK("https://okcountyrecords.com/detail/roger+mills/2007-000328","OKCountyRecords: 2007-000328")</x:f>
      </x:c>
      <x:c r="L398" s="519" t="inlineStr">
        <x:is>
          <x:t xml:space="preserve">Leasehold (non-mineral; excluded from mineral NMA). Gross=tract-map basis.</x:t>
        </x:is>
      </x:c>
      <x:c r="M398" s="519" t="inlineStr">
        <x:is>
          <x:t xml:space="preserve">Confirm lease effect</x:t>
        </x:is>
      </x:c>
      <x:c r="N398" s="519" t="n"/>
      <x:c r="O398" s="519" t="inlineStr">
        <x:is>
          <x:t xml:space="preserve">LEASE ASSIGNMENT</x:t>
        </x:is>
      </x:c>
      <x:c r="P398" s="520" t="inlineStr">
        <x:is>
          <x:t xml:space="preserve">Chain — assignment (WI or minerals — read granting clause)</x:t>
        </x:is>
      </x:c>
      <x:c r="Q398" s="520" t="inlineStr">
        <x:is>
          <x:t xml:space="preserve">Review</x:t>
        </x:is>
      </x:c>
      <x:c r="R398" s="520" t="inlineStr">
        <x:is>
          <x:t xml:space="preserve">Yes</x:t>
        </x:is>
      </x:c>
      <x:c r="S398" s="520" t="inlineStr">
        <x:is>
          <x:t xml:space="preserve">Review</x:t>
        </x:is>
      </x:c>
      <x:c r="T398" s="520" t="inlineStr">
        <x:is>
          <x:t xml:space="preserve">Yes</x:t>
        </x:is>
      </x:c>
      <x:c r="U398" s="520" t="inlineStr">
        <x:is>
          <x:t xml:space="preserve">Yes: 2 (legal supports)</x:t>
        </x:is>
      </x:c>
      <x:c r="V398" s="520" t="inlineStr">
        <x:is>
          <x:t xml:space="preserve">High</x:t>
        </x:is>
      </x:c>
      <x:c r="W398" s="520" t="inlineStr">
        <x:is>
          <x:t xml:space="preserve">Review — no exact prior-grantee match</x:t>
        </x:is>
      </x:c>
      <x:c r="X398" s="520" t="inlineStr">
        <x:is>
          <x:t xml:space="preserve">Review</x:t>
        </x:is>
      </x:c>
      <x:c r="Y398" s="520" t="inlineStr">
        <x:is>
          <x:t xml:space="preserve">Interest amount needs review</x:t>
        </x:is>
      </x:c>
      <x:c r="Z398" s="520" t="inlineStr">
        <x:is>
          <x:t xml:space="preserve">Review</x:t>
        </x:is>
      </x:c>
      <x:c r="AA398" s="520" t="inlineStr">
        <x:is>
          <x:t xml:space="preserve">Assignment — B. Kole Killion to Rhett L. Frazier (1864/96)</x:t>
        </x:is>
      </x:c>
      <x:c r="AB398" s="520" t="inlineStr">
        <x:is>
          <x:t xml:space="preserve">Needs source review: grantor source, interest amount</x:t>
        </x:is>
      </x:c>
    </x:row>
    <x:row r="399" s="520" customFormat="1" ht="60" hidden="1" customHeight="1">
      <x:c r="A399" s="519" t="n"/>
      <x:c r="B399" s="536" t="n"/>
      <x:c r="C399" s="536" t="n"/>
      <x:c r="D399" s="536" t="n"/>
      <x:c r="E399" s="537" t="n"/>
      <x:c r="F399" s="537" t="n"/>
      <x:c r="G399" s="538" t="n"/>
      <x:c r="H399" s="538" t="n"/>
      <x:c r="I399" s="538" t="n"/>
      <x:c r="J399" s="538" t="n"/>
      <x:c r="K399" s="518" t="n"/>
      <x:c r="L399" s="519" t="n"/>
      <x:c r="M399" s="519" t="n"/>
      <x:c r="N399" s="519" t="n"/>
      <x:c r="O399" s="519" t="n"/>
      <x:c r="P399" s="520" t="n"/>
      <x:c r="Q399" s="520" t="n"/>
      <x:c r="R399" s="520" t="n"/>
      <x:c r="S399" s="520" t="n"/>
      <x:c r="T399" s="520" t="n"/>
      <x:c r="U399" s="520" t="n"/>
      <x:c r="V399" s="520" t="n"/>
      <x:c r="W399" s="520" t="n"/>
      <x:c r="X399" s="520" t="n"/>
      <x:c r="Y399" s="520" t="n"/>
      <x:c r="Z399" s="520" t="n"/>
      <x:c r="AA399" s="520" t="n"/>
      <x:c r="AB399" s="520" t="n"/>
    </x:row>
    <x:row r="400" s="520" customFormat="1" ht="48" customHeight="1">
      <x:c r="A400" s="519" t="inlineStr">
        <x:is>
          <x:t xml:space="preserve">2007-001374</x:t>
        </x:is>
      </x:c>
      <x:c r="B400" s="536" t="n"/>
      <x:c r="C400" s="536" t="inlineStr">
        <x:is>
          <x:t xml:space="preserve">Mineral Deed</x:t>
        </x:is>
      </x:c>
      <x:c r="D400" s="536" t="inlineStr">
        <x:is>
          <x:t xml:space="preserve">1869/351</x:t>
        </x:is>
      </x:c>
      <x:c r="E400" s="537" t="n">
        <x:v>39160</x:v>
      </x:c>
      <x:c r="F400" s="537" t="n">
        <x:v>39167</x:v>
      </x:c>
      <x:c r="G400" s="538" t="inlineStr">
        <x:is>
          <x:t xml:space="preserve">Lola F. Ricards</x:t>
        </x:is>
      </x:c>
      <x:c r="H400" s="538" t="inlineStr">
        <x:is>
          <x:t xml:space="preserve">Arrowhead Resources, Inc.</x:t>
        </x:is>
      </x:c>
      <x:c r="I400" s="538" t="inlineStr">
        <x:is>
          <x:t xml:space="preserve">NW/4 SE/4, S/2 SE/4, SW/4 NE/4 of 31-12N-24W, aol</x:t>
        </x:is>
      </x:c>
      <x:c r="J400" s="538" t="inlineStr">
        <x:is>
          <x:t xml:space="preserve">ARTI</x:t>
        </x:is>
      </x:c>
      <x:c r="K400" s="518" t="e">
        <x:f>HYPERLINK("https://okcountyrecords.com/detail/roger+mills/2007-001374","OKCountyRecords: 2007-001374")</x:f>
      </x:c>
      <x:c r="L400" s="519" t="inlineStr">
        <x:is>
          <x:t xml:space="preserve">Mineral; basis Conv Amt(dec). Gross=tract-map basis.</x:t>
        </x:is>
      </x:c>
      <x:c r="M400" s="519" t="inlineStr">
        <x:is>
          <x:t xml:space="preserve">CURRENT OWNER SOURCE</x:t>
        </x:is>
      </x:c>
      <x:c r="N400" s="519" t="n"/>
      <x:c r="O400" s="519" t="inlineStr">
        <x:is>
          <x:t xml:space="preserve">OUTSIDE LANDS</x:t>
        </x:is>
      </x:c>
      <x:c r="P400" s="520" t="inlineStr">
        <x:is>
          <x:t xml:space="preserve">Chain — minerals</x:t>
        </x:is>
      </x:c>
      <x:c r="Q400" s="520" t="inlineStr">
        <x:is>
          <x:t xml:space="preserve">Yes</x:t>
        </x:is>
      </x:c>
      <x:c r="R400" s="520" t="inlineStr">
        <x:is>
          <x:t xml:space="preserve">No</x:t>
        </x:is>
      </x:c>
      <x:c r="S400" s="520" t="inlineStr">
        <x:is>
          <x:t xml:space="preserve">Yes</x:t>
        </x:is>
      </x:c>
      <x:c r="T400" s="520" t="inlineStr">
        <x:is>
          <x:t xml:space="preserve">No</x:t>
        </x:is>
      </x:c>
      <x:c r="U400" s="520" t="inlineStr">
        <x:is>
          <x:t xml:space="preserve">Yes: 2 (legal supports)</x:t>
        </x:is>
      </x:c>
      <x:c r="V400" s="520" t="inlineStr">
        <x:is>
          <x:t xml:space="preserve">High</x:t>
        </x:is>
      </x:c>
      <x:c r="W400" s="520" t="inlineStr">
        <x:is>
          <x:t xml:space="preserve">Review — no exact prior-grantee match</x:t>
        </x:is>
      </x:c>
      <x:c r="X400" s="520" t="inlineStr">
        <x:is>
          <x:t xml:space="preserve">Review</x:t>
        </x:is>
      </x:c>
      <x:c r="Y400" s="520" t="inlineStr">
        <x:is>
          <x:t xml:space="preserve">Candidate 1 (helper — confirm from image)</x:t>
        </x:is>
      </x:c>
      <x:c r="Z400" s="520" t="inlineStr">
        <x:is>
          <x:t xml:space="preserve">Medium — helper value</x:t>
        </x:is>
      </x:c>
      <x:c r="AA400" s="520" t="inlineStr">
        <x:is>
          <x:t xml:space="preserve">Mineral Deed — Lola F. Ricards to Arrowhead Resources, Inc. (1869/351)</x:t>
        </x:is>
      </x:c>
      <x:c r="AB400" s="520" t="inlineStr">
        <x:is>
          <x:t xml:space="preserve">Needs source review: grantor source</x:t>
        </x:is>
      </x:c>
    </x:row>
    <x:row r="401" s="520" customFormat="1" ht="60" customHeight="1">
      <x:c r="A401" s="519" t="inlineStr">
        <x:is>
          <x:t xml:space="preserve">2007-001848</x:t>
        </x:is>
      </x:c>
      <x:c r="B401" s="536" t="n"/>
      <x:c r="C401" s="536" t="inlineStr">
        <x:is>
          <x:t xml:space="preserve">Quit Claim Deed</x:t>
        </x:is>
      </x:c>
      <x:c r="D401" s="536" t="inlineStr">
        <x:is>
          <x:t xml:space="preserve">1872/277</x:t>
        </x:is>
      </x:c>
      <x:c r="E401" s="537" t="n">
        <x:v>39162</x:v>
      </x:c>
      <x:c r="F401" s="537" t="n">
        <x:v>39197</x:v>
      </x:c>
      <x:c r="G401" s="538" t="inlineStr">
        <x:is>
          <x:t xml:space="preserve">Floyd W. Atha and Nancy D. Atha, HW</x:t>
        </x:is>
      </x:c>
      <x:c r="H401" s="538" t="inlineStr">
        <x:is>
          <x:t xml:space="preserve">Floyd Atha and Nancy Atha, Co-Trustees of the Floyd Atha and Nancy Atha Revocable Trust dated March 21st, 2007</x:t>
        </x:is>
      </x:c>
      <x:c r="I401" s="538" t="inlineStr">
        <x:is>
          <x:t xml:space="preserve">E/2 W/2 E/2 Lots 1-4, N/2 NE/4, NE/4 SE/4, SE/4 NE/4 of 31-12N-24W</x:t>
        </x:is>
      </x:c>
      <x:c r="J401" s="538" t="inlineStr">
        <x:is>
          <x:t xml:space="preserve">ARTI</x:t>
        </x:is>
      </x:c>
      <x:c r="K401" s="518" t="e">
        <x:f>HYPERLINK("https://okcountyrecords.com/detail/roger+mills/2007-001848","OKCountyRecords: 2007-001848")</x:f>
      </x:c>
      <x:c r="L401" s="519" t="inlineStr">
        <x:is>
          <x:t xml:space="preserve">Mineral; basis Conv Amt(dec). Gross=tract-map basis.</x:t>
        </x:is>
      </x:c>
      <x:c r="M401" s="519" t="inlineStr">
        <x:is>
          <x:t xml:space="preserve">CURRENT OWNER SOURCE</x:t>
        </x:is>
      </x:c>
      <x:c r="N401" s="519" t="n"/>
      <x:c r="O401" s="519" t="inlineStr">
        <x:is>
          <x:t xml:space="preserve">MINERAL DEED</x:t>
        </x:is>
      </x:c>
      <x:c r="P401" s="520" t="inlineStr">
        <x:is>
          <x:t xml:space="preserve">Chain — deed (confirm minerals vs surface from instrument)</x:t>
        </x:is>
      </x:c>
      <x:c r="Q401" s="520" t="inlineStr">
        <x:is>
          <x:t xml:space="preserve">Yes</x:t>
        </x:is>
      </x:c>
      <x:c r="R401" s="520" t="inlineStr">
        <x:is>
          <x:t xml:space="preserve">No</x:t>
        </x:is>
      </x:c>
      <x:c r="S401" s="520" t="inlineStr">
        <x:is>
          <x:t xml:space="preserve">Review</x:t>
        </x:is>
      </x:c>
      <x:c r="T401" s="520" t="inlineStr">
        <x:is>
          <x:t xml:space="preserve">No</x:t>
        </x:is>
      </x:c>
      <x:c r="U401" s="520" t="inlineStr">
        <x:is>
          <x:t xml:space="preserve">Yes: 1, 3, 5, 8 (legal supports)</x:t>
        </x:is>
      </x:c>
      <x:c r="V401" s="520" t="inlineStr">
        <x:is>
          <x:t xml:space="preserve">High</x:t>
        </x:is>
      </x:c>
      <x:c r="W401" s="520" t="inlineStr">
        <x:is>
          <x:t xml:space="preserve">Review — no exact prior-grantee match</x:t>
        </x:is>
      </x:c>
      <x:c r="X401" s="520" t="inlineStr">
        <x:is>
          <x:t xml:space="preserve">Yes — on Tract 3 owner list</x:t>
        </x:is>
      </x:c>
      <x:c r="Y401" s="520" t="inlineStr">
        <x:is>
          <x:t xml:space="preserve">Candidate 1 (helper — confirm from image)</x:t>
        </x:is>
      </x:c>
      <x:c r="Z401" s="520" t="inlineStr">
        <x:is>
          <x:t xml:space="preserve">Medium — helper value</x:t>
        </x:is>
      </x:c>
      <x:c r="AA401" s="520" t="inlineStr">
        <x:is>
          <x:t xml:space="preserve">Quit Claim Deed — Floyd W. Atha and Nancy D. Ath to Floyd Atha and Nancy Atha, Co- (1872/277)</x:t>
        </x:is>
      </x:c>
      <x:c r="AB401" s="520" t="inlineStr">
        <x:is>
          <x:t xml:space="preserve">Needs source review: grantor source</x:t>
        </x:is>
      </x:c>
    </x:row>
    <x:row r="402" s="520" customFormat="1" ht="96" customHeight="1">
      <x:c r="A402" s="519" t="inlineStr">
        <x:is>
          <x:t xml:space="preserve">2007-002874</x:t>
        </x:is>
      </x:c>
      <x:c r="B402" s="536" t="n"/>
      <x:c r="C402" s="536" t="inlineStr">
        <x:is>
          <x:t xml:space="preserve">Correction Assignment of Oil and Gas Leases</x:t>
        </x:is>
      </x:c>
      <x:c r="D402" s="536" t="inlineStr">
        <x:is>
          <x:t xml:space="preserve">1878/327</x:t>
        </x:is>
      </x:c>
      <x:c r="E402" s="537" t="n">
        <x:v>39268</x:v>
      </x:c>
      <x:c r="F402" s="537" t="n">
        <x:v>39269</x:v>
      </x:c>
      <x:c r="G402" s="538" t="inlineStr">
        <x:is>
          <x:t xml:space="preserve">Axis Exploration, LLC</x:t>
        </x:is>
      </x:c>
      <x:c r="H402" s="538" t="inlineStr">
        <x:is>
          <x:t xml:space="preserve">EOG Resources, Inc.</x:t>
        </x:is>
      </x:c>
      <x:c r="I402" s="538" t="inlineStr">
        <x:is>
          <x:t xml:space="preserve">S/2 NE/4 SW/4 Lots 3-4, SE/4 SW/4 of 31-12N-24W</x:t>
        </x:is>
      </x:c>
      <x:c r="J402" s="538" t="inlineStr">
        <x:is>
          <x:t xml:space="preserve">ARTI
AXIS Exploration, L.L.C. and EOG Resources, Inc. do hereby amend and correct the description of the A. C.
Campbell aka Audy C. Campbell Oil and Gas Lease dated January 22, 2004, recorded in Book 1736,
Pages 197-198 by deleting the description "The Southwest Quarter of the Northeast Quarter and the
Northwest … Full recital in recorded instrument — see Link.</x:t>
        </x:is>
      </x:c>
      <x:c r="K402" s="518" t="e">
        <x:f>HYPERLINK("https://okcountyrecords.com/detail/roger+mills/2007-002874","OKCountyRecords: 2007-002874")</x:f>
      </x:c>
      <x:c r="L402" s="519" t="inlineStr">
        <x:is>
          <x:t xml:space="preserve">Leasehold (non-mineral; excluded from mineral NMA). Gross=tract-map basis.</x:t>
        </x:is>
      </x:c>
      <x:c r="M402" s="519" t="inlineStr">
        <x:is>
          <x:t xml:space="preserve">Confirm lease effect</x:t>
        </x:is>
      </x:c>
      <x:c r="N402" s="519" t="n"/>
      <x:c r="O402" s="519" t="inlineStr">
        <x:is>
          <x:t xml:space="preserve">OGL / BASE LEASE</x:t>
        </x:is>
      </x:c>
      <x:c r="P402" s="520" t="inlineStr">
        <x:is>
          <x:t xml:space="preserve">Chain — leasehold (OGL)</x:t>
        </x:is>
      </x:c>
      <x:c r="Q402" s="520" t="inlineStr">
        <x:is>
          <x:t xml:space="preserve">No</x:t>
        </x:is>
      </x:c>
      <x:c r="R402" s="520" t="inlineStr">
        <x:is>
          <x:t xml:space="preserve">Yes</x:t>
        </x:is>
      </x:c>
      <x:c r="S402" s="520" t="inlineStr">
        <x:is>
          <x:t xml:space="preserve">No</x:t>
        </x:is>
      </x:c>
      <x:c r="T402" s="520" t="inlineStr">
        <x:is>
          <x:t xml:space="preserve">Yes</x:t>
        </x:is>
      </x:c>
      <x:c r="U402" s="520" t="inlineStr">
        <x:is>
          <x:t xml:space="preserve">Legal maps to 5, 7, 9; helper says 2, 3, 5, 6, 7</x:t>
        </x:is>
      </x:c>
      <x:c r="V402" s="520" t="inlineStr">
        <x:is>
          <x:t xml:space="preserve">Review</x:t>
        </x:is>
      </x:c>
      <x:c r="W402" s="520" t="inlineStr">
        <x:is>
          <x:t xml:space="preserve">Yes — prior grantee match</x:t>
        </x:is>
      </x:c>
      <x:c r="X402" s="520" t="inlineStr">
        <x:is>
          <x:t xml:space="preserve">Review</x:t>
        </x:is>
      </x:c>
      <x:c r="Y402" s="520" t="inlineStr">
        <x:is>
          <x:t xml:space="preserve">Interest amount needs review</x:t>
        </x:is>
      </x:c>
      <x:c r="Z402" s="520" t="inlineStr">
        <x:is>
          <x:t xml:space="preserve">Review</x:t>
        </x:is>
      </x:c>
      <x:c r="AA402" s="520" t="inlineStr">
        <x:is>
          <x:t xml:space="preserve">Correction Assignment of Oil and — Axis Exploration, LLC to EOG Resources, Inc. (1878/327)</x:t>
        </x:is>
      </x:c>
      <x:c r="AB402" s="520" t="inlineStr">
        <x:is>
          <x:t xml:space="preserve">Needs source review: tract, interest amount</x:t>
        </x:is>
      </x:c>
    </x:row>
    <x:row r="403" s="520" customFormat="1" ht="60" customHeight="1">
      <x:c r="A403" s="519" t="inlineStr">
        <x:is>
          <x:t xml:space="preserve">2007-004018</x:t>
        </x:is>
      </x:c>
      <x:c r="B403" s="536" t="n"/>
      <x:c r="C403" s="536" t="inlineStr">
        <x:is>
          <x:t xml:space="preserve">Power of Attorney</x:t>
        </x:is>
      </x:c>
      <x:c r="D403" s="536" t="inlineStr">
        <x:is>
          <x:t xml:space="preserve">1884/508</x:t>
        </x:is>
      </x:c>
      <x:c r="E403" s="537" t="n">
        <x:v>39315</x:v>
      </x:c>
      <x:c r="F403" s="537" t="n">
        <x:v>39329</x:v>
      </x:c>
      <x:c r="G403" s="538" t="inlineStr">
        <x:is>
          <x:t xml:space="preserve">Kaiser Francis Oil Company</x:t>
        </x:is>
      </x:c>
      <x:c r="H403" s="538" t="inlineStr">
        <x:is>
          <x:t xml:space="preserve">The Public</x:t>
        </x:is>
      </x:c>
      <x:c r="I403" s="538" t="inlineStr">
        <x:is>
          <x:t xml:space="preserve">All of 31-12N-24W, aol</x:t>
        </x:is>
      </x:c>
      <x:c r="J403" s="538" t="inlineStr">
        <x:is>
          <x:t xml:space="preserve">See instrument</x:t>
        </x:is>
      </x:c>
      <x:c r="K403" s="518" t="e">
        <x:f>HYPERLINK("https://okcountyrecords.com/detail/roger+mills/2007-004018","OKCountyRecords: 2007-004018")</x:f>
      </x:c>
      <x:c r="L403" s="519" t="inlineStr">
        <x:is>
          <x:t xml:space="preserve">Other (non-mineral; excluded from mineral NMA). All-section coverage. Gross=tract-map basis.</x:t>
        </x:is>
      </x:c>
      <x:c r="M403" s="519" t="inlineStr">
        <x:is>
          <x:t xml:space="preserve">OK</x:t>
        </x:is>
      </x:c>
      <x:c r="N403" s="519" t="inlineStr">
        <x:is>
          <x:t xml:space="preserve">Non-conveying — notice/affidavit/address change (The Public).</x:t>
        </x:is>
      </x:c>
      <x:c r="O403" s="519" t="inlineStr">
        <x:is>
          <x:t xml:space="preserve">OUTSIDE LANDS</x:t>
        </x:is>
      </x:c>
      <x:c r="P403" s="520" t="inlineStr">
        <x:is>
          <x:t xml:space="preserve">Do Not Chain — POA, no interest conveyed</x:t>
        </x:is>
      </x:c>
      <x:c r="Q403" s="520" t="inlineStr">
        <x:is>
          <x:t xml:space="preserve">No</x:t>
        </x:is>
      </x:c>
      <x:c r="R403" s="520" t="inlineStr">
        <x:is>
          <x:t xml:space="preserve">No</x:t>
        </x:is>
      </x:c>
      <x:c r="S403" s="520" t="inlineStr">
        <x:is>
          <x:t xml:space="preserve">No</x:t>
        </x:is>
      </x:c>
      <x:c r="T403" s="520" t="inlineStr">
        <x:is>
          <x:t xml:space="preserve">No</x:t>
        </x:is>
      </x:c>
      <x:c r="U403" s="520" t="inlineStr">
        <x:is>
          <x:t xml:space="preserve">Yes: 1, 8 (broad legal)</x:t>
        </x:is>
      </x:c>
      <x:c r="V403" s="520" t="inlineStr">
        <x:is>
          <x:t xml:space="preserve">Medium</x:t>
        </x:is>
      </x:c>
      <x:c r="W403" s="520" t="inlineStr">
        <x:is>
          <x:t xml:space="preserve">Review — no exact prior-grantee match</x:t>
        </x:is>
      </x:c>
      <x:c r="X403" s="520" t="inlineStr">
        <x:is>
          <x:t xml:space="preserve">Review</x:t>
        </x:is>
      </x:c>
      <x:c r="Y403" s="520" t="inlineStr">
        <x:is>
          <x:t xml:space="preserve">Interest amount needs review</x:t>
        </x:is>
      </x:c>
      <x:c r="Z403" s="520" t="inlineStr">
        <x:is>
          <x:t xml:space="preserve">Review</x:t>
        </x:is>
      </x:c>
      <x:c r="AA403" s="520" t="inlineStr">
        <x:is>
          <x:t xml:space="preserve">Power of Attorney — Kaiser Francis Oil Company to The Public (1884/508)</x:t>
        </x:is>
      </x:c>
      <x:c r="AB403" s="520" t="inlineStr">
        <x:is>
          <x:t xml:space="preserve">Needs source review: grantor source</x:t>
        </x:is>
      </x:c>
    </x:row>
    <x:row r="404" s="520" customFormat="1" ht="72" customHeight="1">
      <x:c r="A404" s="519" t="inlineStr">
        <x:is>
          <x:t xml:space="preserve">1998-000843</x:t>
        </x:is>
      </x:c>
      <x:c r="B404" s="536" t="n">
        <x:v>40</x:v>
      </x:c>
      <x:c r="C404" s="536" t="inlineStr">
        <x:is>
          <x:t xml:space="preserve">Assignment, Bill of Sale and Conveyance</x:t>
        </x:is>
      </x:c>
      <x:c r="D404" s="536" t="inlineStr">
        <x:is>
          <x:t xml:space="preserve">1567/6</x:t>
        </x:is>
      </x:c>
      <x:c r="E404" s="537" t="n">
        <x:v>39336</x:v>
      </x:c>
      <x:c r="F404" s="537" t="n">
        <x:v>39336</x:v>
      </x:c>
      <x:c r="G404" s="538" t="inlineStr">
        <x:is>
          <x:t xml:space="preserve">Ocean Energy, Inc.</x:t>
        </x:is>
      </x:c>
      <x:c r="H404" s="538" t="inlineStr">
        <x:is>
          <x:t xml:space="preserve">Ocean Energy Resources, Inc., a Delaware corporation
410 Seventeenth Street, Suite 1400
Denver, Colorado 80202</x:t>
        </x:is>
      </x:c>
      <x:c r="I404" s="538" t="inlineStr">
        <x:is>
          <x:t xml:space="preserve">E/2 NW/4, NE/4 SE/4, SE/4 NE/4, W/2 NE/4 of 31-12N-24W, aol</x:t>
        </x:is>
      </x:c>
      <x:c r="J404" s="538" t="inlineStr">
        <x:is>
          <x:t xml:space="preserve">ARTI</x:t>
        </x:is>
      </x:c>
      <x:c r="K404" s="518" t="e">
        <x:f>HYPERLINK("https://okcountyrecords.com/detail/roger+mills/1998-000843","OKCountyRecords: 1998-000843")</x:f>
      </x:c>
      <x:c r="L404" s="519" t="inlineStr">
        <x:is>
          <x:t xml:space="preserve">Leasehold (non-mineral; excluded from mineral NMA). Gross=tract-map basis.</x:t>
        </x:is>
      </x:c>
      <x:c r="M404" s="519" t="inlineStr">
        <x:is>
          <x:t xml:space="preserve">REVIEW</x:t>
        </x:is>
      </x:c>
      <x:c r="N404" s="519" t="inlineStr">
        <x:is>
          <x:t xml:space="preserve">Confirm recording date — Instr# 1998-000843 and Bk 1567/6 indicate a 1998 instrument, but Effective/Recorded dates are entered as 09/2007. CONFLICT — verify against source image.</x:t>
        </x:is>
      </x:c>
      <x:c r="O404" s="519" t="inlineStr">
        <x:is>
          <x:t xml:space="preserve">OUTSIDE LANDS</x:t>
        </x:is>
      </x:c>
      <x:c r="P404" s="520" t="inlineStr">
        <x:is>
          <x:t xml:space="preserve">Chain — WI/leasehold assignment</x:t>
        </x:is>
      </x:c>
      <x:c r="Q404" s="520" t="inlineStr">
        <x:is>
          <x:t xml:space="preserve">No</x:t>
        </x:is>
      </x:c>
      <x:c r="R404" s="520" t="inlineStr">
        <x:is>
          <x:t xml:space="preserve">Yes</x:t>
        </x:is>
      </x:c>
      <x:c r="S404" s="520" t="inlineStr">
        <x:is>
          <x:t xml:space="preserve">Review</x:t>
        </x:is>
      </x:c>
      <x:c r="T404" s="520" t="inlineStr">
        <x:is>
          <x:t xml:space="preserve">Yes</x:t>
        </x:is>
      </x:c>
      <x:c r="U404" s="520" t="inlineStr">
        <x:is>
          <x:t xml:space="preserve">Legal maps to 3, 4, 10; helper says 1, 2, 3, 4, 8</x:t>
        </x:is>
      </x:c>
      <x:c r="V404" s="520" t="inlineStr">
        <x:is>
          <x:t xml:space="preserve">Review</x:t>
        </x:is>
      </x:c>
      <x:c r="W404" s="520" t="inlineStr">
        <x:is>
          <x:t xml:space="preserve">Probable — name-normalized match to Runsheet 105 grantee; confirm</x:t>
        </x:is>
      </x:c>
      <x:c r="X404" s="520" t="inlineStr">
        <x:is>
          <x:t xml:space="preserve">Review</x:t>
        </x:is>
      </x:c>
      <x:c r="Y404" s="520" t="inlineStr">
        <x:is>
          <x:t xml:space="preserve">Interest amount needs review</x:t>
        </x:is>
      </x:c>
      <x:c r="Z404" s="520" t="inlineStr">
        <x:is>
          <x:t xml:space="preserve">Review</x:t>
        </x:is>
      </x:c>
      <x:c r="AA404" s="520" t="inlineStr">
        <x:is>
          <x:t xml:space="preserve">Assignment, Bill of Sale and Con — Ocean Energy, Inc. to Ocean Energy Resources, Inc., (1567/6)</x:t>
        </x:is>
      </x:c>
      <x:c r="AB404" s="520" t="inlineStr">
        <x:is>
          <x:t xml:space="preserve">Needs source review: tract, grantor source, interest amount</x:t>
        </x:is>
      </x:c>
    </x:row>
    <x:row r="405" s="520" customFormat="1" ht="48" customHeight="1">
      <x:c r="A405" s="519" t="inlineStr">
        <x:is>
          <x:t xml:space="preserve">2007-005167</x:t>
        </x:is>
      </x:c>
      <x:c r="B405" s="536" t="n"/>
      <x:c r="C405" s="536" t="inlineStr">
        <x:is>
          <x:t xml:space="preserve">Final Decree</x:t>
        </x:is>
      </x:c>
      <x:c r="D405" s="536" t="inlineStr">
        <x:is>
          <x:t xml:space="preserve">1892/567</x:t>
        </x:is>
      </x:c>
      <x:c r="E405" s="537" t="n">
        <x:v>39400</x:v>
      </x:c>
      <x:c r="F405" s="537" t="n">
        <x:v>39400</x:v>
      </x:c>
      <x:c r="G405" s="538" t="inlineStr">
        <x:is>
          <x:t xml:space="preserve">Roger Mills County Court
RE: In the Matter of the Estate of Billy Wayne Bain, same person as
Billy W. BAIN, Deceased</x:t>
        </x:is>
      </x:c>
      <x:c r="H405" s="538" t="inlineStr">
        <x:is>
          <x:t xml:space="preserve">Joseph A. Bain 1/3;
John W. Bain 1/3;
Anna T. Gibson 1/3;</x:t>
        </x:is>
      </x:c>
      <x:c r="I405" s="538" t="inlineStr">
        <x:is>
          <x:t xml:space="preserve">NW/4 SE/4, S/2 SE/4, SW/4 NE/4 of 31-12N-24W, aol</x:t>
        </x:is>
      </x:c>
      <x:c r="J405" s="538" t="inlineStr">
        <x:is>
          <x:t xml:space="preserve">ARTI An undivided 15.985121 acre interest, more or less, in the OIL, GAS and OTHER MINERALS</x:t>
        </x:is>
      </x:c>
      <x:c r="K405" s="518" t="e">
        <x:f>HYPERLINK("https://okcountyrecords.com/detail/roger+mills/2007-005167","OKCountyRecords: 2007-005167")</x:f>
      </x:c>
      <x:c r="L405" s="519" t="inlineStr">
        <x:is>
          <x:t xml:space="preserve">Mineral; basis Conv Amt(dec). Gross=tract-map basis.</x:t>
        </x:is>
      </x:c>
      <x:c r="M405" s="519" t="inlineStr">
        <x:is>
          <x:t xml:space="preserve">CURRENT OWNER SOURCE</x:t>
        </x:is>
      </x:c>
      <x:c r="N405" s="519" t="n"/>
      <x:c r="O405" s="519" t="inlineStr">
        <x:is>
          <x:t xml:space="preserve">OUTSIDE LANDS</x:t>
        </x:is>
      </x:c>
      <x:c r="P405" s="520" t="inlineStr">
        <x:is>
          <x:t xml:space="preserve">Chain — title support (succession/entity/probate)</x:t>
        </x:is>
      </x:c>
      <x:c r="Q405" s="520" t="inlineStr">
        <x:is>
          <x:t xml:space="preserve">Yes</x:t>
        </x:is>
      </x:c>
      <x:c r="R405" s="520" t="inlineStr">
        <x:is>
          <x:t xml:space="preserve">No</x:t>
        </x:is>
      </x:c>
      <x:c r="S405" s="520" t="inlineStr">
        <x:is>
          <x:t xml:space="preserve">Yes</x:t>
        </x:is>
      </x:c>
      <x:c r="T405" s="520" t="inlineStr">
        <x:is>
          <x:t xml:space="preserve">No</x:t>
        </x:is>
      </x:c>
      <x:c r="U405" s="520" t="inlineStr">
        <x:is>
          <x:t xml:space="preserve">Yes: 2 (legal supports)</x:t>
        </x:is>
      </x:c>
      <x:c r="V405" s="520" t="inlineStr">
        <x:is>
          <x:t xml:space="preserve">High</x:t>
        </x:is>
      </x:c>
      <x:c r="W405" s="520" t="inlineStr">
        <x:is>
          <x:t xml:space="preserve">Review — no exact prior-grantee match</x:t>
        </x:is>
      </x:c>
      <x:c r="X405" s="520" t="inlineStr">
        <x:is>
          <x:t xml:space="preserve">Review</x:t>
        </x:is>
      </x:c>
      <x:c r="Y405" s="520" t="inlineStr">
        <x:is>
          <x:t xml:space="preserve">Candidate 1 (helper — confirm from image)</x:t>
        </x:is>
      </x:c>
      <x:c r="Z405" s="520" t="inlineStr">
        <x:is>
          <x:t xml:space="preserve">Medium — helper value</x:t>
        </x:is>
      </x:c>
      <x:c r="AA405" s="520" t="inlineStr">
        <x:is>
          <x:t xml:space="preserve">Final Decree — Roger Mills County Court to Joseph A. Bain 1/3; (1892/567)</x:t>
        </x:is>
      </x:c>
      <x:c r="AB405" s="520" t="inlineStr">
        <x:is>
          <x:t xml:space="preserve">Needs source review: grantor source</x:t>
        </x:is>
      </x:c>
    </x:row>
    <x:row r="406" s="520" customFormat="1" ht="60" customHeight="1">
      <x:c r="A406" s="519" t="inlineStr">
        <x:is>
          <x:t xml:space="preserve">2008-004060</x:t>
        </x:is>
      </x:c>
      <x:c r="B406" s="536" t="n"/>
      <x:c r="C406" s="536" t="inlineStr">
        <x:is>
          <x:t xml:space="preserve">Quit Claim Mineral Deed</x:t>
        </x:is>
      </x:c>
      <x:c r="D406" s="536" t="inlineStr">
        <x:is>
          <x:t xml:space="preserve">1919/359</x:t>
        </x:is>
      </x:c>
      <x:c r="E406" s="537" t="n">
        <x:v>39645</x:v>
      </x:c>
      <x:c r="F406" s="537" t="n">
        <x:v>39652</x:v>
      </x:c>
      <x:c r="G406" s="538" t="inlineStr">
        <x:is>
          <x:t xml:space="preserve">Wayne A. Walters and Shawn S. Walters, HW</x:t>
        </x:is>
      </x:c>
      <x:c r="H406" s="538" t="inlineStr">
        <x:is>
          <x:t xml:space="preserve">Wayne A. Walters and Shawn S. Walters, Co-Trustees of the Wayne A. Walters and Shawn S. Walters 2008 Oil and Gas Revocable Living Trust, dated the 16th day of July, 2008</x:t>
        </x:is>
      </x:c>
      <x:c r="I406" s="538" t="inlineStr">
        <x:is>
          <x:t xml:space="preserve">SE/4 SW/4 of 31-12N-24W, aol</x:t>
        </x:is>
      </x:c>
      <x:c r="J406" s="538" t="inlineStr">
        <x:is>
          <x:t xml:space="preserve">ARTI</x:t>
        </x:is>
      </x:c>
      <x:c r="K406" s="518" t="e">
        <x:f>HYPERLINK("https://okcountyrecords.com/detail/roger+mills/2008-004060","OKCountyRecords: 2008-004060")</x:f>
      </x:c>
      <x:c r="L406" s="519" t="inlineStr">
        <x:is>
          <x:t xml:space="preserve">Mineral; basis Conv Amt(dec). Gross=tract-map basis.</x:t>
        </x:is>
      </x:c>
      <x:c r="M406" s="519" t="inlineStr">
        <x:is>
          <x:t xml:space="preserve">CURRENT OWNER SOURCE</x:t>
        </x:is>
      </x:c>
      <x:c r="N406" s="519" t="n"/>
      <x:c r="O406" s="519" t="inlineStr">
        <x:is>
          <x:t xml:space="preserve">OUTSIDE LANDS</x:t>
        </x:is>
      </x:c>
      <x:c r="P406" s="520" t="inlineStr">
        <x:is>
          <x:t xml:space="preserve">Chain — minerals</x:t>
        </x:is>
      </x:c>
      <x:c r="Q406" s="520" t="inlineStr">
        <x:is>
          <x:t xml:space="preserve">Yes</x:t>
        </x:is>
      </x:c>
      <x:c r="R406" s="520" t="inlineStr">
        <x:is>
          <x:t xml:space="preserve">No</x:t>
        </x:is>
      </x:c>
      <x:c r="S406" s="520" t="inlineStr">
        <x:is>
          <x:t xml:space="preserve">Yes</x:t>
        </x:is>
      </x:c>
      <x:c r="T406" s="520" t="inlineStr">
        <x:is>
          <x:t xml:space="preserve">No</x:t>
        </x:is>
      </x:c>
      <x:c r="U406" s="520" t="inlineStr">
        <x:is>
          <x:t xml:space="preserve">Yes: 5 (legal supports)</x:t>
        </x:is>
      </x:c>
      <x:c r="V406" s="520" t="inlineStr">
        <x:is>
          <x:t xml:space="preserve">High</x:t>
        </x:is>
      </x:c>
      <x:c r="W406" s="520" t="inlineStr">
        <x:is>
          <x:t xml:space="preserve">Review — no exact prior-grantee match</x:t>
        </x:is>
      </x:c>
      <x:c r="X406" s="520" t="inlineStr">
        <x:is>
          <x:t xml:space="preserve">Yes — on Tract 5 owner list</x:t>
        </x:is>
      </x:c>
      <x:c r="Y406" s="520" t="inlineStr">
        <x:is>
          <x:t xml:space="preserve">Candidate 1 (helper — confirm from image)</x:t>
        </x:is>
      </x:c>
      <x:c r="Z406" s="520" t="inlineStr">
        <x:is>
          <x:t xml:space="preserve">Medium — helper value</x:t>
        </x:is>
      </x:c>
      <x:c r="AA406" s="520" t="inlineStr">
        <x:is>
          <x:t xml:space="preserve">Quit Claim Mineral Deed — Wayne A. Walters and Shawn S. to Wayne A. Walters and Shawn S. (1919/359)</x:t>
        </x:is>
      </x:c>
      <x:c r="AB406" s="520" t="inlineStr">
        <x:is>
          <x:t xml:space="preserve">Needs source review: grantor source</x:t>
        </x:is>
      </x:c>
    </x:row>
    <x:row r="407" s="520" customFormat="1" ht="48" customHeight="1">
      <x:c r="A407" s="519" t="inlineStr">
        <x:is>
          <x:t xml:space="preserve">2008-007325</x:t>
        </x:is>
      </x:c>
      <x:c r="B407" s="536" t="n"/>
      <x:c r="C407" s="536" t="inlineStr">
        <x:is>
          <x:t xml:space="preserve">Mineral Deed</x:t>
        </x:is>
      </x:c>
      <x:c r="D407" s="536" t="inlineStr">
        <x:is>
          <x:t xml:space="preserve">1941/550</x:t>
        </x:is>
      </x:c>
      <x:c r="E407" s="537" t="n">
        <x:v>39751</x:v>
      </x:c>
      <x:c r="F407" s="537" t="n">
        <x:v>39783</x:v>
      </x:c>
      <x:c r="G407" s="538" t="inlineStr">
        <x:is>
          <x:t xml:space="preserve">Jan A. Schroff, Independent Executor of the Estate of Rogene E. Williams, from The Jon T. and Rogene E. Williams Trust</x:t>
        </x:is>
      </x:c>
      <x:c r="H407" s="538" t="inlineStr">
        <x:is>
          <x:t xml:space="preserve">Rogene E. Williams Revocable Living Trust</x:t>
        </x:is>
      </x:c>
      <x:c r="I407" s="538" t="inlineStr">
        <x:is>
          <x:t xml:space="preserve">NW/4 SE/4, S/2 SE/4, SW/4 NE/4 of 31-12N-24W, aol</x:t>
        </x:is>
      </x:c>
      <x:c r="J407" s="538" t="inlineStr">
        <x:is>
          <x:t xml:space="preserve">ARTI</x:t>
        </x:is>
      </x:c>
      <x:c r="K407" s="518" t="e">
        <x:f>HYPERLINK("https://okcountyrecords.com/detail/roger+mills/2008-007325","OKCountyRecords: 2008-007325")</x:f>
      </x:c>
      <x:c r="L407" s="519" t="inlineStr">
        <x:is>
          <x:t xml:space="preserve">Mineral; basis Conv Amt(dec). Gross=tract-map basis.</x:t>
        </x:is>
      </x:c>
      <x:c r="M407" s="519" t="inlineStr">
        <x:is>
          <x:t xml:space="preserve">CURRENT OWNER SOURCE</x:t>
        </x:is>
      </x:c>
      <x:c r="N407" s="519" t="n"/>
      <x:c r="O407" s="519" t="inlineStr">
        <x:is>
          <x:t xml:space="preserve">OUTSIDE LANDS</x:t>
        </x:is>
      </x:c>
      <x:c r="P407" s="520" t="inlineStr">
        <x:is>
          <x:t xml:space="preserve">Chain — minerals</x:t>
        </x:is>
      </x:c>
      <x:c r="Q407" s="520" t="inlineStr">
        <x:is>
          <x:t xml:space="preserve">Yes</x:t>
        </x:is>
      </x:c>
      <x:c r="R407" s="520" t="inlineStr">
        <x:is>
          <x:t xml:space="preserve">No</x:t>
        </x:is>
      </x:c>
      <x:c r="S407" s="520" t="inlineStr">
        <x:is>
          <x:t xml:space="preserve">Yes</x:t>
        </x:is>
      </x:c>
      <x:c r="T407" s="520" t="inlineStr">
        <x:is>
          <x:t xml:space="preserve">No</x:t>
        </x:is>
      </x:c>
      <x:c r="U407" s="520" t="inlineStr">
        <x:is>
          <x:t xml:space="preserve">Yes: 2 (legal supports)</x:t>
        </x:is>
      </x:c>
      <x:c r="V407" s="520" t="inlineStr">
        <x:is>
          <x:t xml:space="preserve">High</x:t>
        </x:is>
      </x:c>
      <x:c r="W407" s="520" t="inlineStr">
        <x:is>
          <x:t xml:space="preserve">Review — no exact prior-grantee match</x:t>
        </x:is>
      </x:c>
      <x:c r="X407" s="520" t="inlineStr">
        <x:is>
          <x:t xml:space="preserve">Yes — on Tract 2 owner list</x:t>
        </x:is>
      </x:c>
      <x:c r="Y407" s="520" t="inlineStr">
        <x:is>
          <x:t xml:space="preserve">Candidate 1 (helper — confirm from image)</x:t>
        </x:is>
      </x:c>
      <x:c r="Z407" s="520" t="inlineStr">
        <x:is>
          <x:t xml:space="preserve">Medium — helper value</x:t>
        </x:is>
      </x:c>
      <x:c r="AA407" s="520" t="inlineStr">
        <x:is>
          <x:t xml:space="preserve">Mineral Deed — Jan A. Schroff, Independent Ex to Rogene E. Williams Revocable L (1941/550)</x:t>
        </x:is>
      </x:c>
      <x:c r="AB407" s="520" t="inlineStr">
        <x:is>
          <x:t xml:space="preserve">Needs source review: grantor source</x:t>
        </x:is>
      </x:c>
    </x:row>
    <x:row r="408" s="520" customFormat="1" ht="72" customHeight="1">
      <x:c r="A408" s="519" t="inlineStr">
        <x:is>
          <x:t xml:space="preserve">2008-007080</x:t>
        </x:is>
      </x:c>
      <x:c r="B408" s="536" t="n"/>
      <x:c r="C408" s="536" t="inlineStr">
        <x:is>
          <x:t xml:space="preserve">Memorandum of Trust</x:t>
        </x:is>
      </x:c>
      <x:c r="D408" s="536" t="inlineStr">
        <x:is>
          <x:t xml:space="preserve">1940/420</x:t>
        </x:is>
      </x:c>
      <x:c r="E408" s="537" t="n">
        <x:v>39756</x:v>
      </x:c>
      <x:c r="F408" s="537" t="n">
        <x:v>39770</x:v>
      </x:c>
      <x:c r="G408" s="538" t="inlineStr">
        <x:is>
          <x:t xml:space="preserve">Wayne A. Walters and Shawn S. Walters, the duly appointed
Co-Trustees</x:t>
        </x:is>
      </x:c>
      <x:c r="H408" s="538" t="inlineStr">
        <x:is>
          <x:t xml:space="preserve">The Public</x:t>
        </x:is>
      </x:c>
      <x:c r="I408" s="538" t="inlineStr">
        <x:is>
          <x:t xml:space="preserve">SE/4 SW/4 of 31-12N-24W, aol</x:t>
        </x:is>
      </x:c>
      <x:c r="J408" s="538" t="inlineStr">
        <x:is>
          <x:t xml:space="preserve">ARTI to Trust</x:t>
        </x:is>
      </x:c>
      <x:c r="K408" s="518" t="e">
        <x:f>HYPERLINK("https://okcountyrecords.com/detail/roger+mills/2008-007080","OKCountyRecords: 2008-007080")</x:f>
      </x:c>
      <x:c r="L408" s="519" t="inlineStr">
        <x:is>
          <x:t xml:space="preserve">Leasehold (non-mineral; excluded from mineral NMA). FLAG: grantor indexed as 'The Public'-verify. Gross=tract-map basis.</x:t>
        </x:is>
      </x:c>
      <x:c r="M408" s="519" t="n"/>
      <x:c r="N408" s="519" t="n"/>
      <x:c r="O408" s="519" t="inlineStr">
        <x:is>
          <x:t xml:space="preserve">OUTSIDE LANDS</x:t>
        </x:is>
      </x:c>
      <x:c r="P408" s="520" t="inlineStr">
        <x:is>
          <x:t xml:space="preserve">Chain — title support (succession/entity/probate)</x:t>
        </x:is>
      </x:c>
      <x:c r="Q408" s="520" t="inlineStr">
        <x:is>
          <x:t xml:space="preserve">Yes</x:t>
        </x:is>
      </x:c>
      <x:c r="R408" s="520" t="inlineStr">
        <x:is>
          <x:t xml:space="preserve">No</x:t>
        </x:is>
      </x:c>
      <x:c r="S408" s="520" t="inlineStr">
        <x:is>
          <x:t xml:space="preserve">Yes</x:t>
        </x:is>
      </x:c>
      <x:c r="T408" s="520" t="inlineStr">
        <x:is>
          <x:t xml:space="preserve">No</x:t>
        </x:is>
      </x:c>
      <x:c r="U408" s="520" t="inlineStr">
        <x:is>
          <x:t xml:space="preserve">Yes: 5 (legal supports)</x:t>
        </x:is>
      </x:c>
      <x:c r="V408" s="520" t="inlineStr">
        <x:is>
          <x:t xml:space="preserve">High</x:t>
        </x:is>
      </x:c>
      <x:c r="W408" s="520" t="inlineStr">
        <x:is>
          <x:t xml:space="preserve">Probable — name-normalized match to Runsheet 406 grantee; confirm</x:t>
        </x:is>
      </x:c>
      <x:c r="X408" s="520" t="inlineStr">
        <x:is>
          <x:t xml:space="preserve">Yes — on Tract 5 owner list</x:t>
        </x:is>
      </x:c>
      <x:c r="Y408" s="520" t="inlineStr">
        <x:is>
          <x:t xml:space="preserve">Interest amount needs review</x:t>
        </x:is>
      </x:c>
      <x:c r="Z408" s="520" t="inlineStr">
        <x:is>
          <x:t xml:space="preserve">Review</x:t>
        </x:is>
      </x:c>
      <x:c r="AA408" s="520" t="inlineStr">
        <x:is>
          <x:t xml:space="preserve">Memorandum of Trust — Wayne A. Walters and Shawn S. to The Public (1940/420)</x:t>
        </x:is>
      </x:c>
      <x:c r="AB408" s="520" t="inlineStr">
        <x:is>
          <x:t xml:space="preserve">Needs source review: grantor source, interest amount</x:t>
        </x:is>
      </x:c>
    </x:row>
    <x:row r="409" s="520" customFormat="1" ht="48" customHeight="1">
      <x:c r="A409" s="519" t="inlineStr">
        <x:is>
          <x:t xml:space="preserve">2009-000222</x:t>
        </x:is>
      </x:c>
      <x:c r="B409" s="536" t="n"/>
      <x:c r="C409" s="536" t="inlineStr">
        <x:is>
          <x:t xml:space="preserve">Assignment</x:t>
        </x:is>
      </x:c>
      <x:c r="D409" s="536" t="inlineStr">
        <x:is>
          <x:t xml:space="preserve">1945/410</x:t>
        </x:is>
      </x:c>
      <x:c r="E409" s="537" t="n">
        <x:v>39815</x:v>
      </x:c>
      <x:c r="F409" s="537" t="n">
        <x:v>39828</x:v>
      </x:c>
      <x:c r="G409" s="538" t="inlineStr">
        <x:is>
          <x:t xml:space="preserve">Encore Operating, L.P.</x:t>
        </x:is>
      </x:c>
      <x:c r="H409" s="538" t="inlineStr">
        <x:is>
          <x:t xml:space="preserve">Encore Energy Partners Operating, LLC</x:t>
        </x:is>
      </x:c>
      <x:c r="I409" s="538" t="inlineStr">
        <x:is>
          <x:t xml:space="preserve">E/2 NW/4, N/2 NE/4 SW/4, NE/4 SE/4, SE/4 NE/4 of 31-12N-24W, aol</x:t>
        </x:is>
      </x:c>
      <x:c r="J409" s="538" t="inlineStr">
        <x:is>
          <x:t xml:space="preserve">ARTI</x:t>
        </x:is>
      </x:c>
      <x:c r="K409" s="518" t="e">
        <x:f>HYPERLINK("https://okcountyrecords.com/detail/roger+mills/2009-000222","OKCountyRecords: 2009-000222")</x:f>
      </x:c>
      <x:c r="L409" s="519" t="inlineStr">
        <x:is>
          <x:t xml:space="preserve">Leasehold (non-mineral; excluded from mineral NMA). Gross=tract-map basis.</x:t>
        </x:is>
      </x:c>
      <x:c r="M409" s="519" t="inlineStr">
        <x:is>
          <x:t xml:space="preserve">Confirm lease effect</x:t>
        </x:is>
      </x:c>
      <x:c r="N409" s="519" t="n"/>
      <x:c r="O409" s="519" t="inlineStr">
        <x:is>
          <x:t xml:space="preserve">OUTSIDE LANDS</x:t>
        </x:is>
      </x:c>
      <x:c r="P409" s="520" t="inlineStr">
        <x:is>
          <x:t xml:space="preserve">Chain — assignment (WI or minerals — read granting clause)</x:t>
        </x:is>
      </x:c>
      <x:c r="Q409" s="520" t="inlineStr">
        <x:is>
          <x:t xml:space="preserve">Review</x:t>
        </x:is>
      </x:c>
      <x:c r="R409" s="520" t="inlineStr">
        <x:is>
          <x:t xml:space="preserve">Yes</x:t>
        </x:is>
      </x:c>
      <x:c r="S409" s="520" t="inlineStr">
        <x:is>
          <x:t xml:space="preserve">Review</x:t>
        </x:is>
      </x:c>
      <x:c r="T409" s="520" t="inlineStr">
        <x:is>
          <x:t xml:space="preserve">Yes</x:t>
        </x:is>
      </x:c>
      <x:c r="U409" s="520" t="inlineStr">
        <x:is>
          <x:t xml:space="preserve">Legal maps to 1, 3, 4, 7, 10; helper says 1, 3, 4, 7, 8</x:t>
        </x:is>
      </x:c>
      <x:c r="V409" s="520" t="inlineStr">
        <x:is>
          <x:t xml:space="preserve">Review</x:t>
        </x:is>
      </x:c>
      <x:c r="W409" s="520" t="inlineStr">
        <x:is>
          <x:t xml:space="preserve">Review — no exact prior-grantee match</x:t>
        </x:is>
      </x:c>
      <x:c r="X409" s="520" t="inlineStr">
        <x:is>
          <x:t xml:space="preserve">Review</x:t>
        </x:is>
      </x:c>
      <x:c r="Y409" s="520" t="inlineStr">
        <x:is>
          <x:t xml:space="preserve">Interest amount needs review</x:t>
        </x:is>
      </x:c>
      <x:c r="Z409" s="520" t="inlineStr">
        <x:is>
          <x:t xml:space="preserve">Review</x:t>
        </x:is>
      </x:c>
      <x:c r="AA409" s="520" t="inlineStr">
        <x:is>
          <x:t xml:space="preserve">Assignment — Encore Operating, L.P. to Encore Energy Partners Operati (1945/410)</x:t>
        </x:is>
      </x:c>
      <x:c r="AB409" s="520" t="inlineStr">
        <x:is>
          <x:t xml:space="preserve">Needs source review: tract, grantor source, interest amount</x:t>
        </x:is>
      </x:c>
    </x:row>
    <x:row r="410" s="520" customFormat="1" ht="84" customHeight="1">
      <x:c r="A410" s="519" t="inlineStr">
        <x:is>
          <x:t xml:space="preserve">2009-000702</x:t>
        </x:is>
      </x:c>
      <x:c r="B410" s="536" t="n"/>
      <x:c r="C410" s="536" t="inlineStr">
        <x:is>
          <x:t xml:space="preserve">Affidavit of Heirship</x:t>
        </x:is>
      </x:c>
      <x:c r="D410" s="536" t="inlineStr">
        <x:is>
          <x:t xml:space="preserve">1948/262</x:t>
        </x:is>
      </x:c>
      <x:c r="E410" s="537" t="n">
        <x:v>39854</x:v>
      </x:c>
      <x:c r="F410" s="537" t="n">
        <x:v>39861</x:v>
      </x:c>
      <x:c r="G410" s="538" t="inlineStr">
        <x:is>
          <x:t xml:space="preserve">Willa Hambrook</x:t>
        </x:is>
      </x:c>
      <x:c r="H410" s="538" t="inlineStr">
        <x:is>
          <x:t xml:space="preserve">The Public
RE: Thomas O HAMBROOK, deceased
Heirs:
Ray HAMBROOK,
Vada Loretth Hubbard</x:t>
        </x:is>
      </x:c>
      <x:c r="I410" s="538" t="inlineStr">
        <x:is>
          <x:t xml:space="preserve">All of 31-12N-24W</x:t>
        </x:is>
      </x:c>
      <x:c r="J410" s="538" t="inlineStr">
        <x:is>
          <x:t xml:space="preserve">ARTI
Chain note: source of title — MINERAL DEED 1907-001545 at D11/209, Herbert E. McGuire and Claude J. McGuire, HW to Mark Hambrook, covering N/2 of Lot 3, N/2 NE/4 SE/4 of 31-12N-24W, interest stated: ARTI. Confirm source instrument before relying on this conveyance.</x:t>
        </x:is>
      </x:c>
      <x:c r="K410" s="518" t="e">
        <x:f>HYPERLINK("https://okcountyrecords.com/detail/roger+mills/2009-000702","OKCountyRecords: 2009-000702")</x:f>
      </x:c>
      <x:c r="L410" s="519" t="inlineStr">
        <x:is>
          <x:t xml:space="preserve">Mineral; basis Conv Amt(dec). grantor indexed as 'The Public' — confirm source instrument. All-section coverage. Gross=tract-map basis.</x:t>
        </x:is>
      </x:c>
      <x:c r="M410" s="519" t="inlineStr">
        <x:is>
          <x:t xml:space="preserve">REVIEW</x:t>
        </x:is>
      </x:c>
      <x:c r="N410" s="519" t="inlineStr">
        <x:is>
          <x:t xml:space="preserve">Confirm conveyed mineral acreage from instrument image — named party indexed under 'The Public' (affidavit/notice); identity resolved.</x:t>
        </x:is>
      </x:c>
      <x:c r="O410" s="519" t="inlineStr">
        <x:is>
          <x:t xml:space="preserve">MINERAL DEED</x:t>
        </x:is>
      </x:c>
      <x:c r="P410" s="520" t="inlineStr">
        <x:is>
          <x:t xml:space="preserve">Chain — title support (succession/entity/probate)</x:t>
        </x:is>
      </x:c>
      <x:c r="Q410" s="520" t="inlineStr">
        <x:is>
          <x:t xml:space="preserve">Yes</x:t>
        </x:is>
      </x:c>
      <x:c r="R410" s="520" t="inlineStr">
        <x:is>
          <x:t xml:space="preserve">No</x:t>
        </x:is>
      </x:c>
      <x:c r="S410" s="520" t="inlineStr">
        <x:is>
          <x:t xml:space="preserve">Yes</x:t>
        </x:is>
      </x:c>
      <x:c r="T410" s="520" t="inlineStr">
        <x:is>
          <x:t xml:space="preserve">No</x:t>
        </x:is>
      </x:c>
      <x:c r="U410" s="520" t="inlineStr">
        <x:is>
          <x:t xml:space="preserve">Yes: 1, 8 (broad legal)</x:t>
        </x:is>
      </x:c>
      <x:c r="V410" s="520" t="inlineStr">
        <x:is>
          <x:t xml:space="preserve">Medium</x:t>
        </x:is>
      </x:c>
      <x:c r="W410" s="520" t="inlineStr">
        <x:is>
          <x:t xml:space="preserve">Review — no exact prior-grantee match</x:t>
        </x:is>
      </x:c>
      <x:c r="X410" s="520" t="inlineStr">
        <x:is>
          <x:t xml:space="preserve">Review</x:t>
        </x:is>
      </x:c>
      <x:c r="Y410" s="520" t="inlineStr">
        <x:is>
          <x:t xml:space="preserve">Candidate 1 (helper — confirm from image)</x:t>
        </x:is>
      </x:c>
      <x:c r="Z410" s="520" t="inlineStr">
        <x:is>
          <x:t xml:space="preserve">Medium — helper value</x:t>
        </x:is>
      </x:c>
      <x:c r="AA410" s="520" t="inlineStr">
        <x:is>
          <x:t xml:space="preserve">Affidavit of Heirship — Willa Hambrook to The Public (1948/262)</x:t>
        </x:is>
      </x:c>
      <x:c r="AB410" s="520" t="inlineStr">
        <x:is>
          <x:t xml:space="preserve">Needs source review: grantor source</x:t>
        </x:is>
      </x:c>
    </x:row>
    <x:row r="411" s="520" customFormat="1" ht="48" customHeight="1">
      <x:c r="A411" s="519" t="inlineStr">
        <x:is>
          <x:t xml:space="preserve">2009-000895</x:t>
        </x:is>
      </x:c>
      <x:c r="B411" s="536" t="n"/>
      <x:c r="C411" s="536" t="inlineStr">
        <x:is>
          <x:t xml:space="preserve">Mineral Deed</x:t>
        </x:is>
      </x:c>
      <x:c r="D411" s="536" t="inlineStr">
        <x:is>
          <x:t xml:space="preserve">1949/217</x:t>
        </x:is>
      </x:c>
      <x:c r="E411" s="537" t="n">
        <x:v>39871</x:v>
      </x:c>
      <x:c r="F411" s="537" t="n">
        <x:v>39874</x:v>
      </x:c>
      <x:c r="G411" s="538" t="inlineStr">
        <x:is>
          <x:t xml:space="preserve">Jesse W. Fuchs and Jinkee Acuero Fuchs, HW</x:t>
        </x:is>
      </x:c>
      <x:c r="H411" s="538" t="inlineStr">
        <x:is>
          <x:t xml:space="preserve">Jessica Corry Fuchs</x:t>
        </x:is>
      </x:c>
      <x:c r="I411" s="538" t="inlineStr">
        <x:is>
          <x:t xml:space="preserve">NW/4 SE/4, S/2 SE/4, SW/4 NE/4 of 31-12N-24W, aol</x:t>
        </x:is>
      </x:c>
      <x:c r="J411" s="538" t="inlineStr">
        <x:is>
          <x:t xml:space="preserve">An undivided 22.915741/791.47 interest in 2 sections</x:t>
        </x:is>
      </x:c>
      <x:c r="K411" s="518" t="e">
        <x:f>HYPERLINK("https://okcountyrecords.com/detail/roger+mills/2009-000895","OKCountyRecords: 2009-000895")</x:f>
      </x:c>
      <x:c r="L411" s="519" t="inlineStr">
        <x:is>
          <x:t xml:space="preserve">Mineral; basis Conv Amt(dec). Gross=tract-map basis.</x:t>
        </x:is>
      </x:c>
      <x:c r="M411" s="519" t="n"/>
      <x:c r="N411" s="519" t="n"/>
      <x:c r="O411" s="519" t="inlineStr">
        <x:is>
          <x:t xml:space="preserve">OUTSIDE LANDS</x:t>
        </x:is>
      </x:c>
      <x:c r="P411" s="520" t="inlineStr">
        <x:is>
          <x:t xml:space="preserve">Chain — minerals</x:t>
        </x:is>
      </x:c>
      <x:c r="Q411" s="520" t="inlineStr">
        <x:is>
          <x:t xml:space="preserve">Yes</x:t>
        </x:is>
      </x:c>
      <x:c r="R411" s="520" t="inlineStr">
        <x:is>
          <x:t xml:space="preserve">No</x:t>
        </x:is>
      </x:c>
      <x:c r="S411" s="520" t="inlineStr">
        <x:is>
          <x:t xml:space="preserve">Yes</x:t>
        </x:is>
      </x:c>
      <x:c r="T411" s="520" t="inlineStr">
        <x:is>
          <x:t xml:space="preserve">No</x:t>
        </x:is>
      </x:c>
      <x:c r="U411" s="520" t="inlineStr">
        <x:is>
          <x:t xml:space="preserve">Yes: 2 (legal supports)</x:t>
        </x:is>
      </x:c>
      <x:c r="V411" s="520" t="inlineStr">
        <x:is>
          <x:t xml:space="preserve">High</x:t>
        </x:is>
      </x:c>
      <x:c r="W411" s="520" t="inlineStr">
        <x:is>
          <x:t xml:space="preserve">Review — no exact prior-grantee match</x:t>
        </x:is>
      </x:c>
      <x:c r="X411" s="520" t="inlineStr">
        <x:is>
          <x:t xml:space="preserve">Review</x:t>
        </x:is>
      </x:c>
      <x:c r="Y411" s="520" t="inlineStr">
        <x:is>
          <x:t xml:space="preserve">Candidate 0.0289533917899605 (helper — confirm from image)</x:t>
        </x:is>
      </x:c>
      <x:c r="Z411" s="520" t="inlineStr">
        <x:is>
          <x:t xml:space="preserve">Medium — helper value</x:t>
        </x:is>
      </x:c>
      <x:c r="AA411" s="520" t="inlineStr">
        <x:is>
          <x:t xml:space="preserve">Mineral Deed — Jesse W. Fuchs and Jinkee Acue to Jessica Corry Fuchs (1949/217)</x:t>
        </x:is>
      </x:c>
      <x:c r="AB411" s="520" t="inlineStr">
        <x:is>
          <x:t xml:space="preserve">Needs source review: grantor source</x:t>
        </x:is>
      </x:c>
    </x:row>
    <x:row r="412" s="520" customFormat="1" ht="60" customHeight="1">
      <x:c r="A412" s="519" t="inlineStr">
        <x:is>
          <x:t xml:space="preserve">2009-004292</x:t>
        </x:is>
      </x:c>
      <x:c r="B412" s="536" t="n"/>
      <x:c r="C412" s="536" t="inlineStr">
        <x:is>
          <x:t xml:space="preserve">Power of Attorney</x:t>
        </x:is>
      </x:c>
      <x:c r="D412" s="536" t="inlineStr">
        <x:is>
          <x:t xml:space="preserve">1972/574</x:t>
        </x:is>
      </x:c>
      <x:c r="E412" s="537" t="n">
        <x:v>40059</x:v>
      </x:c>
      <x:c r="F412" s="537" t="n">
        <x:v>40094</x:v>
      </x:c>
      <x:c r="G412" s="538" t="inlineStr">
        <x:is>
          <x:t xml:space="preserve">Kaiser-francis Oil Company</x:t>
        </x:is>
      </x:c>
      <x:c r="H412" s="538" t="inlineStr">
        <x:is>
          <x:t xml:space="preserve">Craig Dolinsky</x:t>
        </x:is>
      </x:c>
      <x:c r="I412" s="538" t="inlineStr">
        <x:is>
          <x:t xml:space="preserve">LALEXANDER 1-31 of 31-12N-24W, aol</x:t>
        </x:is>
      </x:c>
      <x:c r="J412" s="538" t="inlineStr">
        <x:is>
          <x:t xml:space="preserve">See instrument</x:t>
        </x:is>
      </x:c>
      <x:c r="K412" s="518" t="e">
        <x:f>HYPERLINK("https://okcountyrecords.com/detail/roger+mills/2009-004292","OKCountyRecords: 2009-004292")</x:f>
      </x:c>
      <x:c r="L412" s="519" t="inlineStr">
        <x:is>
          <x:t xml:space="preserve">Other (non-mineral; excluded from mineral NMA). All-section coverage. Gross=tract-map basis.</x:t>
        </x:is>
      </x:c>
      <x:c r="M412" s="519" t="inlineStr">
        <x:is>
          <x:t xml:space="preserve">ADDRESS SOURCE LIKELY</x:t>
        </x:is>
      </x:c>
      <x:c r="N412" s="519" t="n"/>
      <x:c r="O412" s="519" t="inlineStr">
        <x:is>
          <x:t xml:space="preserve">OUTSIDE LANDS</x:t>
        </x:is>
      </x:c>
      <x:c r="P412" s="520" t="inlineStr">
        <x:is>
          <x:t xml:space="preserve">Do Not Chain — POA, no interest conveyed</x:t>
        </x:is>
      </x:c>
      <x:c r="Q412" s="520" t="inlineStr">
        <x:is>
          <x:t xml:space="preserve">No</x:t>
        </x:is>
      </x:c>
      <x:c r="R412" s="520" t="inlineStr">
        <x:is>
          <x:t xml:space="preserve">No</x:t>
        </x:is>
      </x:c>
      <x:c r="S412" s="520" t="inlineStr">
        <x:is>
          <x:t xml:space="preserve">No</x:t>
        </x:is>
      </x:c>
      <x:c r="T412" s="520" t="inlineStr">
        <x:is>
          <x:t xml:space="preserve">No</x:t>
        </x:is>
      </x:c>
      <x:c r="U412" s="520" t="inlineStr">
        <x:is>
          <x:t xml:space="preserve">Yes: 1, 8 (broad legal)</x:t>
        </x:is>
      </x:c>
      <x:c r="V412" s="520" t="inlineStr">
        <x:is>
          <x:t xml:space="preserve">Medium</x:t>
        </x:is>
      </x:c>
      <x:c r="W412" s="520" t="inlineStr">
        <x:is>
          <x:t xml:space="preserve">Review — no exact prior-grantee match</x:t>
        </x:is>
      </x:c>
      <x:c r="X412" s="520" t="inlineStr">
        <x:is>
          <x:t xml:space="preserve">Review</x:t>
        </x:is>
      </x:c>
      <x:c r="Y412" s="520" t="inlineStr">
        <x:is>
          <x:t xml:space="preserve">Interest amount needs review</x:t>
        </x:is>
      </x:c>
      <x:c r="Z412" s="520" t="inlineStr">
        <x:is>
          <x:t xml:space="preserve">Review</x:t>
        </x:is>
      </x:c>
      <x:c r="AA412" s="520" t="inlineStr">
        <x:is>
          <x:t xml:space="preserve">Power of Attorney — Kaiser-francis Oil Company to Craig Dolinsky (1972/574)</x:t>
        </x:is>
      </x:c>
      <x:c r="AB412" s="520" t="inlineStr">
        <x:is>
          <x:t xml:space="preserve">Needs source review: grantor source</x:t>
        </x:is>
      </x:c>
    </x:row>
    <x:row r="413" s="520" customFormat="1" ht="60" customHeight="1">
      <x:c r="A413" s="519" t="inlineStr">
        <x:is>
          <x:t xml:space="preserve">2010-002337</x:t>
        </x:is>
      </x:c>
      <x:c r="B413" s="536" t="n"/>
      <x:c r="C413" s="536" t="inlineStr">
        <x:is>
          <x:t xml:space="preserve">Quit Claim Mineral Deed</x:t>
        </x:is>
      </x:c>
      <x:c r="D413" s="536" t="inlineStr">
        <x:is>
          <x:t xml:space="preserve">2002/576</x:t>
        </x:is>
      </x:c>
      <x:c r="E413" s="537" t="n">
        <x:v>40067</x:v>
      </x:c>
      <x:c r="F413" s="537" t="n">
        <x:v>40238</x:v>
      </x:c>
      <x:c r="G413" s="538" t="inlineStr">
        <x:is>
          <x:t xml:space="preserve">Dwight J. Williams and Elizabeth M. Williams, HW</x:t>
        </x:is>
      </x:c>
      <x:c r="H413" s="538" t="inlineStr">
        <x:is>
          <x:t xml:space="preserve">Dwight J. Williams Revocable Trust U/A Dated May 28, 2009, Dwight J. Williams Trustee</x:t>
        </x:is>
      </x:c>
      <x:c r="I413" s="538" t="inlineStr">
        <x:is>
          <x:t xml:space="preserve">NW/4 SE/4, S/2 SE/4, SW/4 NE/4 of 31-12N-24W, aol</x:t>
        </x:is>
      </x:c>
      <x:c r="J413" s="538" t="inlineStr">
        <x:is>
          <x:t xml:space="preserve">ARTI</x:t>
        </x:is>
      </x:c>
      <x:c r="K413" s="518" t="e">
        <x:f>HYPERLINK("https://okcountyrecords.com/detail/roger+mills/2010-002337","OKCountyRecords: 2010-002337")</x:f>
      </x:c>
      <x:c r="L413" s="519" t="inlineStr">
        <x:is>
          <x:t xml:space="preserve">Mineral; basis Conv Amt(dec). Gross=tract-map basis.</x:t>
        </x:is>
      </x:c>
      <x:c r="M413" s="519" t="inlineStr">
        <x:is>
          <x:t xml:space="preserve">CURRENT OWNER SOURCE</x:t>
        </x:is>
      </x:c>
      <x:c r="N413" s="519" t="n"/>
      <x:c r="O413" s="519" t="inlineStr">
        <x:is>
          <x:t xml:space="preserve">OUTSIDE LANDS</x:t>
        </x:is>
      </x:c>
      <x:c r="P413" s="520" t="inlineStr">
        <x:is>
          <x:t xml:space="preserve">Chain — minerals</x:t>
        </x:is>
      </x:c>
      <x:c r="Q413" s="520" t="inlineStr">
        <x:is>
          <x:t xml:space="preserve">Yes</x:t>
        </x:is>
      </x:c>
      <x:c r="R413" s="520" t="inlineStr">
        <x:is>
          <x:t xml:space="preserve">No</x:t>
        </x:is>
      </x:c>
      <x:c r="S413" s="520" t="inlineStr">
        <x:is>
          <x:t xml:space="preserve">Yes</x:t>
        </x:is>
      </x:c>
      <x:c r="T413" s="520" t="inlineStr">
        <x:is>
          <x:t xml:space="preserve">No</x:t>
        </x:is>
      </x:c>
      <x:c r="U413" s="520" t="inlineStr">
        <x:is>
          <x:t xml:space="preserve">Yes: 2 (legal supports)</x:t>
        </x:is>
      </x:c>
      <x:c r="V413" s="520" t="inlineStr">
        <x:is>
          <x:t xml:space="preserve">High</x:t>
        </x:is>
      </x:c>
      <x:c r="W413" s="520" t="inlineStr">
        <x:is>
          <x:t xml:space="preserve">Review — no exact prior-grantee match</x:t>
        </x:is>
      </x:c>
      <x:c r="X413" s="520" t="inlineStr">
        <x:is>
          <x:t xml:space="preserve">Review</x:t>
        </x:is>
      </x:c>
      <x:c r="Y413" s="520" t="inlineStr">
        <x:is>
          <x:t xml:space="preserve">Candidate 1 (helper — confirm from image)</x:t>
        </x:is>
      </x:c>
      <x:c r="Z413" s="520" t="inlineStr">
        <x:is>
          <x:t xml:space="preserve">Medium — helper value</x:t>
        </x:is>
      </x:c>
      <x:c r="AA413" s="520" t="inlineStr">
        <x:is>
          <x:t xml:space="preserve">Quit Claim Mineral Deed — Dwight J. Williams and Elizabe to Dwight J. Williams Revocable T (2002/576)</x:t>
        </x:is>
      </x:c>
      <x:c r="AB413" s="520" t="inlineStr">
        <x:is>
          <x:t xml:space="preserve">Needs source review: grantor source</x:t>
        </x:is>
      </x:c>
    </x:row>
    <x:row r="414" s="520" customFormat="1" ht="60" customHeight="1">
      <x:c r="A414" s="519" t="inlineStr">
        <x:is>
          <x:t xml:space="preserve">2009-006282</x:t>
        </x:is>
      </x:c>
      <x:c r="B414" s="536" t="n"/>
      <x:c r="C414" s="536" t="inlineStr">
        <x:is>
          <x:t xml:space="preserve">Stipulation</x:t>
        </x:is>
      </x:c>
      <x:c r="D414" s="536" t="inlineStr">
        <x:is>
          <x:t xml:space="preserve">1984/236</x:t>
        </x:is>
      </x:c>
      <x:c r="E414" s="537" t="n">
        <x:v>40133</x:v>
      </x:c>
      <x:c r="F414" s="537" t="n">
        <x:v>40158</x:v>
      </x:c>
      <x:c r="G414" s="538" t="inlineStr">
        <x:is>
          <x:t xml:space="preserve">Arrowhead Resources, Inc.</x:t>
        </x:is>
      </x:c>
      <x:c r="H414" s="538" t="inlineStr">
        <x:is>
          <x:t xml:space="preserve">Bhch Mineral, Ltd.,
Bhch Properties, Ltd.,
Garg Oil</x:t>
        </x:is>
      </x:c>
      <x:c r="I414" s="538" t="inlineStr">
        <x:is>
          <x:t xml:space="preserve">All of 31-12N-24W, aol</x:t>
        </x:is>
      </x:c>
      <x:c r="J414" s="538" t="inlineStr">
        <x:is>
          <x:t xml:space="preserve">11.5385 NMA
From 1637/26, 1639/206, 1639/426</x:t>
        </x:is>
      </x:c>
      <x:c r="K414" s="518" t="e">
        <x:f>HYPERLINK("https://okcountyrecords.com/detail/roger+mills/2009-006282","OKCountyRecords: 2009-006282")</x:f>
      </x:c>
      <x:c r="L414" s="519" t="inlineStr">
        <x:is>
          <x:t xml:space="preserve">Leasehold (non-mineral; excluded from mineral NMA). All-section coverage. Gross=tract-map basis.</x:t>
        </x:is>
      </x:c>
      <x:c r="M414" s="519" t="inlineStr">
        <x:is>
          <x:t xml:space="preserve">Confirm lease effect</x:t>
        </x:is>
      </x:c>
      <x:c r="N414" s="519" t="n"/>
      <x:c r="O414" s="519" t="inlineStr">
        <x:is>
          <x:t xml:space="preserve">OUTSIDE LANDS</x:t>
        </x:is>
      </x:c>
      <x:c r="P414" s="520" t="inlineStr">
        <x:is>
          <x:t xml:space="preserve">Chain — title support (stipulation)</x:t>
        </x:is>
      </x:c>
      <x:c r="Q414" s="520" t="inlineStr">
        <x:is>
          <x:t xml:space="preserve">Yes</x:t>
        </x:is>
      </x:c>
      <x:c r="R414" s="520" t="inlineStr">
        <x:is>
          <x:t xml:space="preserve">No</x:t>
        </x:is>
      </x:c>
      <x:c r="S414" s="520" t="inlineStr">
        <x:is>
          <x:t xml:space="preserve">Yes</x:t>
        </x:is>
      </x:c>
      <x:c r="T414" s="520" t="inlineStr">
        <x:is>
          <x:t xml:space="preserve">No</x:t>
        </x:is>
      </x:c>
      <x:c r="U414" s="520" t="inlineStr">
        <x:is>
          <x:t xml:space="preserve">Yes: 1, 8 (broad legal)</x:t>
        </x:is>
      </x:c>
      <x:c r="V414" s="520" t="inlineStr">
        <x:is>
          <x:t xml:space="preserve">Medium</x:t>
        </x:is>
      </x:c>
      <x:c r="W414" s="520" t="inlineStr">
        <x:is>
          <x:t xml:space="preserve">Yes — prior grantee match</x:t>
        </x:is>
      </x:c>
      <x:c r="X414" s="520" t="inlineStr">
        <x:is>
          <x:t xml:space="preserve">Review</x:t>
        </x:is>
      </x:c>
      <x:c r="Y414" s="520" t="inlineStr">
        <x:is>
          <x:t xml:space="preserve">Interest amount needs review</x:t>
        </x:is>
      </x:c>
      <x:c r="Z414" s="520" t="inlineStr">
        <x:is>
          <x:t xml:space="preserve">Review</x:t>
        </x:is>
      </x:c>
      <x:c r="AA414" s="520" t="inlineStr">
        <x:is>
          <x:t xml:space="preserve">Stipulation — Arrowhead Resources, Inc. to Bhch Mineral, Ltd., (1984/236)</x:t>
        </x:is>
      </x:c>
      <x:c r="AB414" s="520" t="inlineStr">
        <x:is>
          <x:t xml:space="preserve">Needs source review: interest amount</x:t>
        </x:is>
      </x:c>
    </x:row>
    <x:row r="415" s="520" customFormat="1" ht="84" customHeight="1">
      <x:c r="A415" s="519" t="inlineStr">
        <x:is>
          <x:t xml:space="preserve">2010-005367</x:t>
        </x:is>
      </x:c>
      <x:c r="B415" s="536" t="n"/>
      <x:c r="C415" s="536" t="inlineStr">
        <x:is>
          <x:t xml:space="preserve">Letter</x:t>
        </x:is>
      </x:c>
      <x:c r="D415" s="536" t="inlineStr">
        <x:is>
          <x:t xml:space="preserve">2019/500</x:t>
        </x:is>
      </x:c>
      <x:c r="E415" s="537" t="n">
        <x:v>40298</x:v>
      </x:c>
      <x:c r="F415" s="537" t="n">
        <x:v>40315</x:v>
      </x:c>
      <x:c r="G415" s="538" t="inlineStr">
        <x:is>
          <x:t xml:space="preserve">Clarence C. Dcd Bain,
Clarence Clifton Dcd Bain,
Clarence C. Bain, Trustee,
Michael L. Bain,
Michael L. Co- Bain, Trustee,
William C. Co- Bain, Trustee,
Cdb Trust</x:t>
        </x:is>
      </x:c>
      <x:c r="H415" s="538" t="inlineStr">
        <x:is>
          <x:t xml:space="preserve">The Public</x:t>
        </x:is>
      </x:c>
      <x:c r="I415" s="538" t="inlineStr">
        <x:is>
          <x:t xml:space="preserve">31-12N-24W, aol</x:t>
        </x:is>
      </x:c>
      <x:c r="J415" s="538" t="inlineStr">
        <x:is>
          <x:t xml:space="preserve">See instrument</x:t>
        </x:is>
      </x:c>
      <x:c r="K415" s="518" t="e">
        <x:f>HYPERLINK("https://okcountyrecords.com/detail/roger+mills/2010-005367","OKCountyRecords: 2010-005367")</x:f>
      </x:c>
      <x:c r="L415" s="519" t="inlineStr">
        <x:is>
          <x:t xml:space="preserve">Other (non-mineral; excluded from mineral NMA). All-section coverage. Gross=tract-map basis.</x:t>
        </x:is>
      </x:c>
      <x:c r="M415" s="519" t="inlineStr">
        <x:is>
          <x:t xml:space="preserve">OK</x:t>
        </x:is>
      </x:c>
      <x:c r="N415" s="519" t="inlineStr">
        <x:is>
          <x:t xml:space="preserve">Non-conveying — notice/affidavit/address change (The Public).</x:t>
        </x:is>
      </x:c>
      <x:c r="O415" s="519" t="inlineStr">
        <x:is>
          <x:t xml:space="preserve">OUTSIDE LANDS</x:t>
        </x:is>
      </x:c>
      <x:c r="P415" s="520" t="inlineStr">
        <x:is>
          <x:t xml:space="preserve">Review — read instrument (type unclear)</x:t>
        </x:is>
      </x:c>
      <x:c r="Q415" s="520" t="inlineStr">
        <x:is>
          <x:t xml:space="preserve">Review</x:t>
        </x:is>
      </x:c>
      <x:c r="R415" s="520" t="inlineStr">
        <x:is>
          <x:t xml:space="preserve">Review</x:t>
        </x:is>
      </x:c>
      <x:c r="S415" s="520" t="inlineStr">
        <x:is>
          <x:t xml:space="preserve">Review</x:t>
        </x:is>
      </x:c>
      <x:c r="T415" s="520" t="inlineStr">
        <x:is>
          <x:t xml:space="preserve">Review</x:t>
        </x:is>
      </x:c>
      <x:c r="U415" s="520" t="inlineStr">
        <x:is>
          <x:t xml:space="preserve">Yes: 1, 8 (broad legal)</x:t>
        </x:is>
      </x:c>
      <x:c r="V415" s="520" t="inlineStr">
        <x:is>
          <x:t xml:space="preserve">Medium</x:t>
        </x:is>
      </x:c>
      <x:c r="W415" s="520" t="inlineStr">
        <x:is>
          <x:t xml:space="preserve">Probable — name-normalized match to Runsheet 206 grantee; confirm</x:t>
        </x:is>
      </x:c>
      <x:c r="X415" s="520" t="inlineStr">
        <x:is>
          <x:t xml:space="preserve">Review</x:t>
        </x:is>
      </x:c>
      <x:c r="Y415" s="520" t="inlineStr">
        <x:is>
          <x:t xml:space="preserve">Interest amount needs review</x:t>
        </x:is>
      </x:c>
      <x:c r="Z415" s="520" t="inlineStr">
        <x:is>
          <x:t xml:space="preserve">Review</x:t>
        </x:is>
      </x:c>
      <x:c r="AA415" s="520" t="inlineStr">
        <x:is>
          <x:t xml:space="preserve">Letter — Clarence C. Dcd Bain, to The Public (2019/500)</x:t>
        </x:is>
      </x:c>
      <x:c r="AB415" s="520" t="inlineStr">
        <x:is>
          <x:t xml:space="preserve">Needs source review: grantor source, interest amount, instrument type</x:t>
        </x:is>
      </x:c>
    </x:row>
    <x:row r="416" s="520" customFormat="1" ht="72" customHeight="1">
      <x:c r="A416" s="519" t="inlineStr">
        <x:is>
          <x:t xml:space="preserve">2010-006561</x:t>
        </x:is>
      </x:c>
      <x:c r="B416" s="536" t="n"/>
      <x:c r="C416" s="536" t="inlineStr">
        <x:is>
          <x:t xml:space="preserve">Correction Quit Claim Mineral Deed</x:t>
        </x:is>
      </x:c>
      <x:c r="D416" s="536" t="inlineStr">
        <x:is>
          <x:t xml:space="preserve">2027/85</x:t>
        </x:is>
      </x:c>
      <x:c r="E416" s="537" t="n">
        <x:v>40318</x:v>
      </x:c>
      <x:c r="F416" s="537" t="n">
        <x:v>40357</x:v>
      </x:c>
      <x:c r="G416" s="538" t="inlineStr">
        <x:is>
          <x:t xml:space="preserve">Dwight James Williams, as Successor Trustee of the Jon T. and Rogene E. Williams Trust</x:t>
        </x:is>
      </x:c>
      <x:c r="H416" s="538" t="inlineStr">
        <x:is>
          <x:t xml:space="preserve">Rogene E. Williams Revocable Living Trust</x:t>
        </x:is>
      </x:c>
      <x:c r="I416" s="538" t="inlineStr">
        <x:is>
          <x:t xml:space="preserve">NW/4 SE/4, S/2 SE/4, SW/4 NE/4 of 31-12N-24W, aol</x:t>
        </x:is>
      </x:c>
      <x:c r="J416" s="538" t="inlineStr">
        <x:is>
          <x:t xml:space="preserve">ARTI, Corrects Quit Claim Mineral Deed dated October 30, 2008, duly recorded in Book 1941, Page 550</x:t>
        </x:is>
      </x:c>
      <x:c r="K416" s="518" t="e">
        <x:f>HYPERLINK("https://okcountyrecords.com/detail/roger+mills/2010-006561","OKCountyRecords: 2010-006561")</x:f>
      </x:c>
      <x:c r="L416" s="519" t="inlineStr">
        <x:is>
          <x:t xml:space="preserve">Mineral; basis Conv Amt(dec). Gross=tract-map basis.</x:t>
        </x:is>
      </x:c>
      <x:c r="M416" s="519" t="inlineStr">
        <x:is>
          <x:t xml:space="preserve">CURRENT OWNER SOURCE</x:t>
        </x:is>
      </x:c>
      <x:c r="N416" s="519" t="n"/>
      <x:c r="O416" s="519" t="inlineStr">
        <x:is>
          <x:t xml:space="preserve">OUTSIDE LANDS</x:t>
        </x:is>
      </x:c>
      <x:c r="P416" s="520" t="inlineStr">
        <x:is>
          <x:t xml:space="preserve">Chain — minerals</x:t>
        </x:is>
      </x:c>
      <x:c r="Q416" s="520" t="inlineStr">
        <x:is>
          <x:t xml:space="preserve">Yes</x:t>
        </x:is>
      </x:c>
      <x:c r="R416" s="520" t="inlineStr">
        <x:is>
          <x:t xml:space="preserve">No</x:t>
        </x:is>
      </x:c>
      <x:c r="S416" s="520" t="inlineStr">
        <x:is>
          <x:t xml:space="preserve">Yes</x:t>
        </x:is>
      </x:c>
      <x:c r="T416" s="520" t="inlineStr">
        <x:is>
          <x:t xml:space="preserve">No</x:t>
        </x:is>
      </x:c>
      <x:c r="U416" s="520" t="inlineStr">
        <x:is>
          <x:t xml:space="preserve">Yes: 2 (legal supports)</x:t>
        </x:is>
      </x:c>
      <x:c r="V416" s="520" t="inlineStr">
        <x:is>
          <x:t xml:space="preserve">High</x:t>
        </x:is>
      </x:c>
      <x:c r="W416" s="520" t="inlineStr">
        <x:is>
          <x:t xml:space="preserve">Probable — name-normalized match to Runsheet 407 grantee; confirm</x:t>
        </x:is>
      </x:c>
      <x:c r="X416" s="520" t="inlineStr">
        <x:is>
          <x:t xml:space="preserve">Yes — on Tract 2 owner list</x:t>
        </x:is>
      </x:c>
      <x:c r="Y416" s="520" t="inlineStr">
        <x:is>
          <x:t xml:space="preserve">Candidate 1 (helper — confirm from image)</x:t>
        </x:is>
      </x:c>
      <x:c r="Z416" s="520" t="inlineStr">
        <x:is>
          <x:t xml:space="preserve">Medium — helper value</x:t>
        </x:is>
      </x:c>
      <x:c r="AA416" s="520" t="inlineStr">
        <x:is>
          <x:t xml:space="preserve">Correction Quit Claim Mineral De — Dwight James Williams, as Succ to Rogene E. Williams Revocable L (2027/85)</x:t>
        </x:is>
      </x:c>
      <x:c r="AB416" s="520" t="inlineStr">
        <x:is>
          <x:t xml:space="preserve">Needs source review: grantor source</x:t>
        </x:is>
      </x:c>
    </x:row>
    <x:row r="417" s="520" customFormat="1" ht="48" customHeight="1">
      <x:c r="A417" s="519" t="inlineStr">
        <x:is>
          <x:t xml:space="preserve">2010-005993</x:t>
        </x:is>
      </x:c>
      <x:c r="B417" s="536" t="n"/>
      <x:c r="C417" s="536" t="inlineStr">
        <x:is>
          <x:t xml:space="preserve">Mineral Deed</x:t>
        </x:is>
      </x:c>
      <x:c r="D417" s="536" t="inlineStr">
        <x:is>
          <x:t xml:space="preserve">2022/493</x:t>
        </x:is>
      </x:c>
      <x:c r="E417" s="537" t="n">
        <x:v>40333</x:v>
      </x:c>
      <x:c r="F417" s="537" t="n">
        <x:v>40336</x:v>
      </x:c>
      <x:c r="G417" s="538" t="inlineStr">
        <x:is>
          <x:t xml:space="preserve">Wilda Jensen, a/k/a Wilda E. Jensen, (Widow of Ernest Jensen)</x:t>
        </x:is>
      </x:c>
      <x:c r="H417" s="538" t="inlineStr">
        <x:is>
          <x:t xml:space="preserve">Hans W. Jensen, 50%
Tim E. Jensen, 50%</x:t>
        </x:is>
      </x:c>
      <x:c r="I417" s="538" t="inlineStr">
        <x:is>
          <x:t xml:space="preserve">NW/4 SE/4, S/2 SE/4, SW/4 NE/4 of 31-12N-24W, aol</x:t>
        </x:is>
      </x:c>
      <x:c r="J417" s="538" t="inlineStr">
        <x:is>
          <x:t xml:space="preserve">ARTI</x:t>
        </x:is>
      </x:c>
      <x:c r="K417" s="518" t="e">
        <x:f>HYPERLINK("https://okcountyrecords.com/detail/roger+mills/2010-005993","OKCountyRecords: 2010-005993")</x:f>
      </x:c>
      <x:c r="L417" s="519" t="inlineStr">
        <x:is>
          <x:t xml:space="preserve">Mineral; basis Conv Amt(dec). Gross=tract-map basis.</x:t>
        </x:is>
      </x:c>
      <x:c r="M417" s="519" t="inlineStr">
        <x:is>
          <x:t xml:space="preserve">CURRENT OWNER SOURCE</x:t>
        </x:is>
      </x:c>
      <x:c r="N417" s="519" t="n"/>
      <x:c r="O417" s="519" t="inlineStr">
        <x:is>
          <x:t xml:space="preserve">OUTSIDE LANDS</x:t>
        </x:is>
      </x:c>
      <x:c r="P417" s="520" t="inlineStr">
        <x:is>
          <x:t xml:space="preserve">Chain — minerals</x:t>
        </x:is>
      </x:c>
      <x:c r="Q417" s="520" t="inlineStr">
        <x:is>
          <x:t xml:space="preserve">Yes</x:t>
        </x:is>
      </x:c>
      <x:c r="R417" s="520" t="inlineStr">
        <x:is>
          <x:t xml:space="preserve">No</x:t>
        </x:is>
      </x:c>
      <x:c r="S417" s="520" t="inlineStr">
        <x:is>
          <x:t xml:space="preserve">Yes</x:t>
        </x:is>
      </x:c>
      <x:c r="T417" s="520" t="inlineStr">
        <x:is>
          <x:t xml:space="preserve">No</x:t>
        </x:is>
      </x:c>
      <x:c r="U417" s="520" t="inlineStr">
        <x:is>
          <x:t xml:space="preserve">Yes: 2 (legal supports)</x:t>
        </x:is>
      </x:c>
      <x:c r="V417" s="520" t="inlineStr">
        <x:is>
          <x:t xml:space="preserve">High</x:t>
        </x:is>
      </x:c>
      <x:c r="W417" s="520" t="inlineStr">
        <x:is>
          <x:t xml:space="preserve">Probable — name-normalized match to Runsheet 200 grantee; confirm</x:t>
        </x:is>
      </x:c>
      <x:c r="X417" s="520" t="inlineStr">
        <x:is>
          <x:t xml:space="preserve">Review</x:t>
        </x:is>
      </x:c>
      <x:c r="Y417" s="520" t="inlineStr">
        <x:is>
          <x:t xml:space="preserve">Candidate 1 (helper — confirm from image)</x:t>
        </x:is>
      </x:c>
      <x:c r="Z417" s="520" t="inlineStr">
        <x:is>
          <x:t xml:space="preserve">Medium — helper value</x:t>
        </x:is>
      </x:c>
      <x:c r="AA417" s="520" t="inlineStr">
        <x:is>
          <x:t xml:space="preserve">Mineral Deed — Wilda Jensen, a/k/a Wilda E. J to Hans W. Jensen, 50% (2022/493)</x:t>
        </x:is>
      </x:c>
      <x:c r="AB417" s="520" t="inlineStr">
        <x:is>
          <x:t xml:space="preserve">Needs source review: grantor source</x:t>
        </x:is>
      </x:c>
    </x:row>
    <x:row r="418" s="520" customFormat="1" ht="48" customHeight="1">
      <x:c r="A418" s="519" t="inlineStr">
        <x:is>
          <x:t xml:space="preserve">2010-006266</x:t>
        </x:is>
      </x:c>
      <x:c r="B418" s="536" t="n"/>
      <x:c r="C418" s="536" t="inlineStr">
        <x:is>
          <x:t xml:space="preserve">Assignment</x:t>
        </x:is>
      </x:c>
      <x:c r="D418" s="536" t="inlineStr">
        <x:is>
          <x:t xml:space="preserve">2024/85</x:t>
        </x:is>
      </x:c>
      <x:c r="E418" s="537" t="n">
        <x:v>40338</x:v>
      </x:c>
      <x:c r="F418" s="537" t="n">
        <x:v>40345</x:v>
      </x:c>
      <x:c r="G418" s="538" t="inlineStr">
        <x:is>
          <x:t xml:space="preserve">Rialto Oil &amp; Gas Corporation</x:t>
        </x:is>
      </x:c>
      <x:c r="H418" s="538" t="inlineStr">
        <x:is>
          <x:t xml:space="preserve">Sydtran, LP</x:t>
        </x:is>
      </x:c>
      <x:c r="I418" s="538" t="inlineStr">
        <x:is>
          <x:t xml:space="preserve">E/2 NW/4 of 31-12N-24W, aol</x:t>
        </x:is>
      </x:c>
      <x:c r="J418" s="538" t="inlineStr">
        <x:is>
          <x:t xml:space="preserve">fifty percent (50%) of all the
interest of the Assignor in and to the Oil &amp; Gas Properties, Wells, Substances, Equipment and
Contracts</x:t>
        </x:is>
      </x:c>
      <x:c r="K418" s="518" t="e">
        <x:f>HYPERLINK("https://okcountyrecords.com/detail/roger+mills/2010-006266","OKCountyRecords: 2010-006266")</x:f>
      </x:c>
      <x:c r="L418" s="519" t="inlineStr">
        <x:is>
          <x:t xml:space="preserve">Leasehold (non-mineral; excluded from mineral NMA). Gross=tract-map basis.</x:t>
        </x:is>
      </x:c>
      <x:c r="M418" s="519" t="inlineStr">
        <x:is>
          <x:t xml:space="preserve">Confirm lease effect</x:t>
        </x:is>
      </x:c>
      <x:c r="N418" s="519" t="n"/>
      <x:c r="O418" s="519" t="inlineStr">
        <x:is>
          <x:t xml:space="preserve">OUTSIDE LANDS</x:t>
        </x:is>
      </x:c>
      <x:c r="P418" s="520" t="inlineStr">
        <x:is>
          <x:t xml:space="preserve">Chain — assignment (WI or minerals — read granting clause)</x:t>
        </x:is>
      </x:c>
      <x:c r="Q418" s="520" t="inlineStr">
        <x:is>
          <x:t xml:space="preserve">Review</x:t>
        </x:is>
      </x:c>
      <x:c r="R418" s="520" t="inlineStr">
        <x:is>
          <x:t xml:space="preserve">Yes</x:t>
        </x:is>
      </x:c>
      <x:c r="S418" s="520" t="inlineStr">
        <x:is>
          <x:t xml:space="preserve">Review</x:t>
        </x:is>
      </x:c>
      <x:c r="T418" s="520" t="inlineStr">
        <x:is>
          <x:t xml:space="preserve">Yes</x:t>
        </x:is>
      </x:c>
      <x:c r="U418" s="520" t="inlineStr">
        <x:is>
          <x:t xml:space="preserve">Yes: 4 (legal supports)</x:t>
        </x:is>
      </x:c>
      <x:c r="V418" s="520" t="inlineStr">
        <x:is>
          <x:t xml:space="preserve">High</x:t>
        </x:is>
      </x:c>
      <x:c r="W418" s="520" t="inlineStr">
        <x:is>
          <x:t xml:space="preserve">Review — no exact prior-grantee match</x:t>
        </x:is>
      </x:c>
      <x:c r="X418" s="520" t="inlineStr">
        <x:is>
          <x:t xml:space="preserve">Review</x:t>
        </x:is>
      </x:c>
      <x:c r="Y418" s="520" t="inlineStr">
        <x:is>
          <x:t xml:space="preserve">Interest amount needs review</x:t>
        </x:is>
      </x:c>
      <x:c r="Z418" s="520" t="inlineStr">
        <x:is>
          <x:t xml:space="preserve">Review</x:t>
        </x:is>
      </x:c>
      <x:c r="AA418" s="520" t="inlineStr">
        <x:is>
          <x:t xml:space="preserve">Assignment — Rialto Oil &amp; Gas Corporation to Sydtran, LP (2024/85)</x:t>
        </x:is>
      </x:c>
      <x:c r="AB418" s="520" t="inlineStr">
        <x:is>
          <x:t xml:space="preserve">Needs source review: grantor source, interest amount</x:t>
        </x:is>
      </x:c>
    </x:row>
    <x:row r="419" s="520" customFormat="1" ht="48" customHeight="1">
      <x:c r="A419" s="519" t="inlineStr">
        <x:is>
          <x:t xml:space="preserve">2010-006265</x:t>
        </x:is>
      </x:c>
      <x:c r="B419" s="536" t="n"/>
      <x:c r="C419" s="536" t="inlineStr">
        <x:is>
          <x:t xml:space="preserve">Assignment</x:t>
        </x:is>
      </x:c>
      <x:c r="D419" s="536" t="inlineStr">
        <x:is>
          <x:t xml:space="preserve">2024/74</x:t>
        </x:is>
      </x:c>
      <x:c r="E419" s="537" t="n">
        <x:v>40338</x:v>
      </x:c>
      <x:c r="F419" s="537" t="n">
        <x:v>40345</x:v>
      </x:c>
      <x:c r="G419" s="538" t="inlineStr">
        <x:is>
          <x:t xml:space="preserve">Rialto Production Company</x:t>
        </x:is>
      </x:c>
      <x:c r="H419" s="538" t="inlineStr">
        <x:is>
          <x:t xml:space="preserve">Sydtran Management, LLC</x:t>
        </x:is>
      </x:c>
      <x:c r="I419" s="538" t="inlineStr">
        <x:is>
          <x:t xml:space="preserve">E/2 NW/4 of 31-12N-24W, aol</x:t>
        </x:is>
      </x:c>
      <x:c r="J419" s="538" t="inlineStr">
        <x:is>
          <x:t xml:space="preserve">fifty percent (50%) of all the
interest of the Assignor in and to the Oil &amp; Gas Properties, Wells, Substances, Equipment and
Contracts</x:t>
        </x:is>
      </x:c>
      <x:c r="K419" s="518" t="e">
        <x:f>HYPERLINK("https://okcountyrecords.com/detail/roger+mills/2010-006265","OKCountyRecords: 2010-006265")</x:f>
      </x:c>
      <x:c r="L419" s="519" t="inlineStr">
        <x:is>
          <x:t xml:space="preserve">Leasehold (non-mineral; excluded from mineral NMA). Gross=tract-map basis.</x:t>
        </x:is>
      </x:c>
      <x:c r="M419" s="519" t="inlineStr">
        <x:is>
          <x:t xml:space="preserve">Confirm lease effect</x:t>
        </x:is>
      </x:c>
      <x:c r="N419" s="519" t="n"/>
      <x:c r="O419" s="519" t="inlineStr">
        <x:is>
          <x:t xml:space="preserve">OUTSIDE LANDS</x:t>
        </x:is>
      </x:c>
      <x:c r="P419" s="520" t="inlineStr">
        <x:is>
          <x:t xml:space="preserve">Chain — assignment (WI or minerals — read granting clause)</x:t>
        </x:is>
      </x:c>
      <x:c r="Q419" s="520" t="inlineStr">
        <x:is>
          <x:t xml:space="preserve">Review</x:t>
        </x:is>
      </x:c>
      <x:c r="R419" s="520" t="inlineStr">
        <x:is>
          <x:t xml:space="preserve">Yes</x:t>
        </x:is>
      </x:c>
      <x:c r="S419" s="520" t="inlineStr">
        <x:is>
          <x:t xml:space="preserve">Review</x:t>
        </x:is>
      </x:c>
      <x:c r="T419" s="520" t="inlineStr">
        <x:is>
          <x:t xml:space="preserve">Yes</x:t>
        </x:is>
      </x:c>
      <x:c r="U419" s="520" t="inlineStr">
        <x:is>
          <x:t xml:space="preserve">Yes: 4 (legal supports)</x:t>
        </x:is>
      </x:c>
      <x:c r="V419" s="520" t="inlineStr">
        <x:is>
          <x:t xml:space="preserve">High</x:t>
        </x:is>
      </x:c>
      <x:c r="W419" s="520" t="inlineStr">
        <x:is>
          <x:t xml:space="preserve">Review — no exact prior-grantee match</x:t>
        </x:is>
      </x:c>
      <x:c r="X419" s="520" t="inlineStr">
        <x:is>
          <x:t xml:space="preserve">Review</x:t>
        </x:is>
      </x:c>
      <x:c r="Y419" s="520" t="inlineStr">
        <x:is>
          <x:t xml:space="preserve">Interest amount needs review</x:t>
        </x:is>
      </x:c>
      <x:c r="Z419" s="520" t="inlineStr">
        <x:is>
          <x:t xml:space="preserve">Review</x:t>
        </x:is>
      </x:c>
      <x:c r="AA419" s="520" t="inlineStr">
        <x:is>
          <x:t xml:space="preserve">Assignment — Rialto Production Company to Sydtran Management, LLC (2024/74)</x:t>
        </x:is>
      </x:c>
      <x:c r="AB419" s="520" t="inlineStr">
        <x:is>
          <x:t xml:space="preserve">Needs source review: grantor source, interest amount</x:t>
        </x:is>
      </x:c>
    </x:row>
    <x:row r="420" s="520" customFormat="1" ht="36" customHeight="1">
      <x:c r="A420" s="519" t="inlineStr">
        <x:is>
          <x:t xml:space="preserve">2010-007125</x:t>
        </x:is>
      </x:c>
      <x:c r="B420" s="536" t="n"/>
      <x:c r="C420" s="536" t="inlineStr">
        <x:is>
          <x:t xml:space="preserve">Mineral Deed</x:t>
        </x:is>
      </x:c>
      <x:c r="D420" s="536" t="inlineStr">
        <x:is>
          <x:t xml:space="preserve">2031/5</x:t>
        </x:is>
      </x:c>
      <x:c r="E420" s="537" t="n">
        <x:v>40357</x:v>
      </x:c>
      <x:c r="F420" s="537" t="n">
        <x:v>40374</x:v>
      </x:c>
      <x:c r="G420" s="538" t="inlineStr">
        <x:is>
          <x:t xml:space="preserve">Leona I. Degrande</x:t>
        </x:is>
      </x:c>
      <x:c r="H420" s="538" t="inlineStr">
        <x:is>
          <x:t xml:space="preserve">Mare Oil Company</x:t>
        </x:is>
      </x:c>
      <x:c r="I420" s="538" t="inlineStr">
        <x:is>
          <x:t xml:space="preserve">NW/4 SE/4, S/2 SE/4, SW/4 NE/4 of 31-12N-24W</x:t>
        </x:is>
      </x:c>
      <x:c r="J420" s="538" t="inlineStr">
        <x:is>
          <x:t xml:space="preserve">ARTI</x:t>
        </x:is>
      </x:c>
      <x:c r="K420" s="518" t="e">
        <x:f>HYPERLINK("https://okcountyrecords.com/detail/roger+mills/2010-007125","OKCountyRecords: 2010-007125")</x:f>
      </x:c>
      <x:c r="L420" s="519" t="inlineStr">
        <x:is>
          <x:t xml:space="preserve">Mineral; basis Conv Amt(dec). Gross=tract-map basis.</x:t>
        </x:is>
      </x:c>
      <x:c r="M420" s="519" t="inlineStr">
        <x:is>
          <x:t xml:space="preserve">CURRENT OWNER SOURCE</x:t>
        </x:is>
      </x:c>
      <x:c r="N420" s="519" t="n"/>
      <x:c r="O420" s="519" t="inlineStr">
        <x:is>
          <x:t xml:space="preserve">MINERAL DEED</x:t>
        </x:is>
      </x:c>
      <x:c r="P420" s="520" t="inlineStr">
        <x:is>
          <x:t xml:space="preserve">Chain — minerals</x:t>
        </x:is>
      </x:c>
      <x:c r="Q420" s="520" t="inlineStr">
        <x:is>
          <x:t xml:space="preserve">Yes</x:t>
        </x:is>
      </x:c>
      <x:c r="R420" s="520" t="inlineStr">
        <x:is>
          <x:t xml:space="preserve">No</x:t>
        </x:is>
      </x:c>
      <x:c r="S420" s="520" t="inlineStr">
        <x:is>
          <x:t xml:space="preserve">Yes</x:t>
        </x:is>
      </x:c>
      <x:c r="T420" s="520" t="inlineStr">
        <x:is>
          <x:t xml:space="preserve">No</x:t>
        </x:is>
      </x:c>
      <x:c r="U420" s="520" t="inlineStr">
        <x:is>
          <x:t xml:space="preserve">Yes: 2 (legal supports)</x:t>
        </x:is>
      </x:c>
      <x:c r="V420" s="520" t="inlineStr">
        <x:is>
          <x:t xml:space="preserve">High</x:t>
        </x:is>
      </x:c>
      <x:c r="W420" s="520" t="inlineStr">
        <x:is>
          <x:t xml:space="preserve">Review — no exact prior-grantee match</x:t>
        </x:is>
      </x:c>
      <x:c r="X420" s="520" t="inlineStr">
        <x:is>
          <x:t xml:space="preserve">Yes — on Tract 2 owner list</x:t>
        </x:is>
      </x:c>
      <x:c r="Y420" s="520" t="inlineStr">
        <x:is>
          <x:t xml:space="preserve">Candidate 1 (helper — confirm from image)</x:t>
        </x:is>
      </x:c>
      <x:c r="Z420" s="520" t="inlineStr">
        <x:is>
          <x:t xml:space="preserve">Medium — helper value</x:t>
        </x:is>
      </x:c>
      <x:c r="AA420" s="520" t="inlineStr">
        <x:is>
          <x:t xml:space="preserve">Mineral Deed — Leona I. Degrande to Mare Oil Company (2031/5)</x:t>
        </x:is>
      </x:c>
      <x:c r="AB420" s="520" t="inlineStr">
        <x:is>
          <x:t xml:space="preserve">Needs source review: grantor source</x:t>
        </x:is>
      </x:c>
    </x:row>
    <x:row r="421" s="520" customFormat="1" ht="48" customHeight="1">
      <x:c r="A421" s="519" t="inlineStr">
        <x:is>
          <x:t xml:space="preserve">2010-010052</x:t>
        </x:is>
      </x:c>
      <x:c r="B421" s="536" t="n"/>
      <x:c r="C421" s="536" t="inlineStr">
        <x:is>
          <x:t xml:space="preserve">Notice</x:t>
        </x:is>
      </x:c>
      <x:c r="D421" s="536" t="inlineStr">
        <x:is>
          <x:t xml:space="preserve">2048/268</x:t>
        </x:is>
      </x:c>
      <x:c r="E421" s="537" t="n">
        <x:v>40360</x:v>
      </x:c>
      <x:c r="F421" s="537" t="n">
        <x:v>40483</x:v>
      </x:c>
      <x:c r="G421" s="538" t="inlineStr">
        <x:is>
          <x:t xml:space="preserve">Boulevard Associates, LLC</x:t>
        </x:is>
      </x:c>
      <x:c r="H421" s="538" t="inlineStr">
        <x:is>
          <x:t xml:space="preserve">Danielle Delane Tucker,
Monte Earl Tucker</x:t>
        </x:is>
      </x:c>
      <x:c r="I421" s="538" t="inlineStr">
        <x:is>
          <x:t xml:space="preserve">N/2 NE/4, NE/4 SE/4, SE/4 NE/4 of 31-12N-24W</x:t>
        </x:is>
      </x:c>
      <x:c r="J421" s="538" t="inlineStr">
        <x:is>
          <x:t xml:space="preserve">See instrument</x:t>
        </x:is>
      </x:c>
      <x:c r="K421" s="518" t="e">
        <x:f>HYPERLINK("https://okcountyrecords.com/detail/roger+mills/2010-010052","OKCountyRecords: 2010-010052")</x:f>
      </x:c>
      <x:c r="L421" s="519" t="inlineStr">
        <x:is>
          <x:t xml:space="preserve">Other (non-mineral; excluded from mineral NMA). Gross=tract-map basis.</x:t>
        </x:is>
      </x:c>
      <x:c r="M421" s="519" t="n"/>
      <x:c r="N421" s="519" t="n"/>
      <x:c r="O421" s="519" t="inlineStr">
        <x:is>
          <x:t xml:space="preserve">IGNORE FOR MINERAL OWNERSHIP</x:t>
        </x:is>
      </x:c>
      <x:c r="P421" s="520" t="inlineStr">
        <x:is>
          <x:t xml:space="preserve">Review — read instrument (type unclear)</x:t>
        </x:is>
      </x:c>
      <x:c r="Q421" s="520" t="inlineStr">
        <x:is>
          <x:t xml:space="preserve">Review</x:t>
        </x:is>
      </x:c>
      <x:c r="R421" s="520" t="inlineStr">
        <x:is>
          <x:t xml:space="preserve">Review</x:t>
        </x:is>
      </x:c>
      <x:c r="S421" s="520" t="inlineStr">
        <x:is>
          <x:t xml:space="preserve">Review</x:t>
        </x:is>
      </x:c>
      <x:c r="T421" s="520" t="inlineStr">
        <x:is>
          <x:t xml:space="preserve">Review</x:t>
        </x:is>
      </x:c>
      <x:c r="U421" s="520" t="inlineStr">
        <x:is>
          <x:t xml:space="preserve">Legal maps to 1, 3, 10; helper says 1, 3, 8</x:t>
        </x:is>
      </x:c>
      <x:c r="V421" s="520" t="inlineStr">
        <x:is>
          <x:t xml:space="preserve">Review</x:t>
        </x:is>
      </x:c>
      <x:c r="W421" s="520" t="inlineStr">
        <x:is>
          <x:t xml:space="preserve">Yes — prior grantee match</x:t>
        </x:is>
      </x:c>
      <x:c r="X421" s="520" t="inlineStr">
        <x:is>
          <x:t xml:space="preserve">Review</x:t>
        </x:is>
      </x:c>
      <x:c r="Y421" s="520" t="inlineStr">
        <x:is>
          <x:t xml:space="preserve">Interest amount needs review</x:t>
        </x:is>
      </x:c>
      <x:c r="Z421" s="520" t="inlineStr">
        <x:is>
          <x:t xml:space="preserve">Review</x:t>
        </x:is>
      </x:c>
      <x:c r="AA421" s="520" t="inlineStr">
        <x:is>
          <x:t xml:space="preserve">Notice — Boulevard Associates, LLC to Danielle Delane Tucker, (2048/268)</x:t>
        </x:is>
      </x:c>
      <x:c r="AB421" s="520" t="inlineStr">
        <x:is>
          <x:t xml:space="preserve">Needs source review: tract, interest amount, instrument type</x:t>
        </x:is>
      </x:c>
    </x:row>
    <x:row r="422" s="520" customFormat="1" ht="48" customHeight="1">
      <x:c r="A422" s="519" t="inlineStr">
        <x:is>
          <x:t xml:space="preserve">2010-008922</x:t>
        </x:is>
      </x:c>
      <x:c r="B422" s="536" t="n"/>
      <x:c r="C422" s="536" t="inlineStr">
        <x:is>
          <x:t xml:space="preserve">Mineral Deed</x:t>
        </x:is>
      </x:c>
      <x:c r="D422" s="536" t="inlineStr">
        <x:is>
          <x:t xml:space="preserve">2041/379</x:t>
        </x:is>
      </x:c>
      <x:c r="E422" s="537" t="n">
        <x:v>40416</x:v>
      </x:c>
      <x:c r="F422" s="537" t="n">
        <x:v>40438</x:v>
      </x:c>
      <x:c r="G422" s="538" t="inlineStr">
        <x:is>
          <x:t xml:space="preserve">Terry Bish and Fausta J. Bish aka Tina Bish, his wife, dba Datt Investment Company</x:t>
        </x:is>
      </x:c>
      <x:c r="H422" s="538" t="inlineStr">
        <x:is>
          <x:t xml:space="preserve">Terry V. Bish and Fausta J. Bish as Trustees of The Bish Family Trust, an express trust, and their successors in Trust</x:t>
        </x:is>
      </x:c>
      <x:c r="I422" s="538" t="inlineStr">
        <x:is>
          <x:t xml:space="preserve">NW/4 SE/4, S/2 SE/4, SW/4 NE/4 of 31-12N-24W, aol</x:t>
        </x:is>
      </x:c>
      <x:c r="J422" s="538" t="inlineStr">
        <x:is>
          <x:t xml:space="preserve">ARTI</x:t>
        </x:is>
      </x:c>
      <x:c r="K422" s="518" t="e">
        <x:f>HYPERLINK("https://okcountyrecords.com/detail/roger+mills/2010-008922","OKCountyRecords: 2010-008922")</x:f>
      </x:c>
      <x:c r="L422" s="519" t="inlineStr">
        <x:is>
          <x:t xml:space="preserve">Mineral; basis Conv Amt(dec). Gross=tract-map basis.</x:t>
        </x:is>
      </x:c>
      <x:c r="M422" s="519" t="inlineStr">
        <x:is>
          <x:t xml:space="preserve">CURRENT OWNER SOURCE</x:t>
        </x:is>
      </x:c>
      <x:c r="N422" s="519" t="n"/>
      <x:c r="O422" s="519" t="inlineStr">
        <x:is>
          <x:t xml:space="preserve">OUTSIDE LANDS</x:t>
        </x:is>
      </x:c>
      <x:c r="P422" s="520" t="inlineStr">
        <x:is>
          <x:t xml:space="preserve">Chain — minerals</x:t>
        </x:is>
      </x:c>
      <x:c r="Q422" s="520" t="inlineStr">
        <x:is>
          <x:t xml:space="preserve">Yes</x:t>
        </x:is>
      </x:c>
      <x:c r="R422" s="520" t="inlineStr">
        <x:is>
          <x:t xml:space="preserve">No</x:t>
        </x:is>
      </x:c>
      <x:c r="S422" s="520" t="inlineStr">
        <x:is>
          <x:t xml:space="preserve">Yes</x:t>
        </x:is>
      </x:c>
      <x:c r="T422" s="520" t="inlineStr">
        <x:is>
          <x:t xml:space="preserve">No</x:t>
        </x:is>
      </x:c>
      <x:c r="U422" s="520" t="inlineStr">
        <x:is>
          <x:t xml:space="preserve">Yes: 2 (legal supports)</x:t>
        </x:is>
      </x:c>
      <x:c r="V422" s="520" t="inlineStr">
        <x:is>
          <x:t xml:space="preserve">High</x:t>
        </x:is>
      </x:c>
      <x:c r="W422" s="520" t="inlineStr">
        <x:is>
          <x:t xml:space="preserve">Probable — name-normalized match to Runsheet 388 grantee; confirm</x:t>
        </x:is>
      </x:c>
      <x:c r="X422" s="520" t="inlineStr">
        <x:is>
          <x:t xml:space="preserve">Review</x:t>
        </x:is>
      </x:c>
      <x:c r="Y422" s="520" t="inlineStr">
        <x:is>
          <x:t xml:space="preserve">Candidate 1 (helper — confirm from image)</x:t>
        </x:is>
      </x:c>
      <x:c r="Z422" s="520" t="inlineStr">
        <x:is>
          <x:t xml:space="preserve">Medium — helper value</x:t>
        </x:is>
      </x:c>
      <x:c r="AA422" s="520" t="inlineStr">
        <x:is>
          <x:t xml:space="preserve">Mineral Deed — Terry Bish and Fausta J. Bish to Terry V. Bish and Fausta J. Bi (2041/379)</x:t>
        </x:is>
      </x:c>
      <x:c r="AB422" s="520" t="inlineStr">
        <x:is>
          <x:t xml:space="preserve">Needs source review: grantor source</x:t>
        </x:is>
      </x:c>
    </x:row>
    <x:row r="423" s="520" customFormat="1" ht="60" customHeight="1">
      <x:c r="A423" s="519" t="inlineStr">
        <x:is>
          <x:t xml:space="preserve">2010-008934</x:t>
        </x:is>
      </x:c>
      <x:c r="B423" s="536" t="n"/>
      <x:c r="C423" s="536" t="inlineStr">
        <x:is>
          <x:t xml:space="preserve">Mineral Deed</x:t>
        </x:is>
      </x:c>
      <x:c r="D423" s="536" t="inlineStr">
        <x:is>
          <x:t xml:space="preserve">2041/406</x:t>
        </x:is>
      </x:c>
      <x:c r="E423" s="537" t="n">
        <x:v>40437</x:v>
      </x:c>
      <x:c r="F423" s="537" t="n">
        <x:v>40441</x:v>
      </x:c>
      <x:c r="G423" s="538" t="inlineStr">
        <x:is>
          <x:t xml:space="preserve">Petrohawk Energy Corporation</x:t>
        </x:is>
      </x:c>
      <x:c r="H423" s="538" t="inlineStr">
        <x:is>
          <x:t xml:space="preserve">Petrohawk Properties, L.P.</x:t>
        </x:is>
      </x:c>
      <x:c r="I423" s="538" t="inlineStr">
        <x:is>
          <x:t xml:space="preserve">E/2 NW/4 of 31-12N-24W, aol</x:t>
        </x:is>
      </x:c>
      <x:c r="J423" s="538" t="inlineStr">
        <x:is>
          <x:t xml:space="preserve">ARTI</x:t>
        </x:is>
      </x:c>
      <x:c r="K423" s="518" t="e">
        <x:f>HYPERLINK("https://okcountyrecords.com/detail/roger+mills/2010-008934","OKCountyRecords: 2010-008934")</x:f>
      </x:c>
      <x:c r="L423" s="519" t="inlineStr">
        <x:is>
          <x:t xml:space="preserve">Mineral; basis Conv Amt(dec). Gross=tract-map basis.</x:t>
        </x:is>
      </x:c>
      <x:c r="M423" s="519" t="inlineStr">
        <x:is>
          <x:t xml:space="preserve">CURRENT OWNER SOURCE</x:t>
        </x:is>
      </x:c>
      <x:c r="N423" s="519" t="n"/>
      <x:c r="O423" s="519" t="inlineStr">
        <x:is>
          <x:t xml:space="preserve">OUTSIDE LANDS</x:t>
        </x:is>
      </x:c>
      <x:c r="P423" s="520" t="inlineStr">
        <x:is>
          <x:t xml:space="preserve">Chain — minerals</x:t>
        </x:is>
      </x:c>
      <x:c r="Q423" s="520" t="inlineStr">
        <x:is>
          <x:t xml:space="preserve">Yes</x:t>
        </x:is>
      </x:c>
      <x:c r="R423" s="520" t="inlineStr">
        <x:is>
          <x:t xml:space="preserve">No</x:t>
        </x:is>
      </x:c>
      <x:c r="S423" s="520" t="inlineStr">
        <x:is>
          <x:t xml:space="preserve">Yes</x:t>
        </x:is>
      </x:c>
      <x:c r="T423" s="520" t="inlineStr">
        <x:is>
          <x:t xml:space="preserve">No</x:t>
        </x:is>
      </x:c>
      <x:c r="U423" s="520" t="inlineStr">
        <x:is>
          <x:t xml:space="preserve">Yes: 4 (legal supports)</x:t>
        </x:is>
      </x:c>
      <x:c r="V423" s="520" t="inlineStr">
        <x:is>
          <x:t xml:space="preserve">High</x:t>
        </x:is>
      </x:c>
      <x:c r="W423" s="520" t="inlineStr">
        <x:is>
          <x:t xml:space="preserve">Review — no exact prior-grantee match</x:t>
        </x:is>
      </x:c>
      <x:c r="X423" s="520" t="inlineStr">
        <x:is>
          <x:t xml:space="preserve">Review</x:t>
        </x:is>
      </x:c>
      <x:c r="Y423" s="520" t="inlineStr">
        <x:is>
          <x:t xml:space="preserve">Candidate 1 (helper — confirm from image)</x:t>
        </x:is>
      </x:c>
      <x:c r="Z423" s="520" t="inlineStr">
        <x:is>
          <x:t xml:space="preserve">Medium — helper value</x:t>
        </x:is>
      </x:c>
      <x:c r="AA423" s="520" t="inlineStr">
        <x:is>
          <x:t xml:space="preserve">Mineral Deed — Petrohawk Energy Corporation to Petrohawk Properties, L.P. (2041/406)</x:t>
        </x:is>
      </x:c>
      <x:c r="AB423" s="520" t="inlineStr">
        <x:is>
          <x:t xml:space="preserve">Needs source review: grantor source</x:t>
        </x:is>
      </x:c>
    </x:row>
    <x:row r="424" s="520" customFormat="1" ht="60" customHeight="1">
      <x:c r="A424" s="519" t="inlineStr">
        <x:is>
          <x:t xml:space="preserve">2011-000110</x:t>
        </x:is>
      </x:c>
      <x:c r="B424" s="536" t="n"/>
      <x:c r="C424" s="536" t="inlineStr">
        <x:is>
          <x:t xml:space="preserve">Quitclaim Deed, Assignment, Transfer and Conveyance of Oil and Gas Interests</x:t>
        </x:is>
      </x:c>
      <x:c r="D424" s="536" t="inlineStr">
        <x:is>
          <x:t xml:space="preserve">2057/347</x:t>
        </x:is>
      </x:c>
      <x:c r="E424" s="537" t="n">
        <x:v>40513</x:v>
      </x:c>
      <x:c r="F424" s="537" t="n">
        <x:v>40549</x:v>
      </x:c>
      <x:c r="G424" s="538" t="inlineStr">
        <x:is>
          <x:t xml:space="preserve">Hefner Company, Inc.</x:t>
        </x:is>
      </x:c>
      <x:c r="H424" s="538" t="inlineStr">
        <x:is>
          <x:t xml:space="preserve">Cheyenne Resources, LLC</x:t>
        </x:is>
      </x:c>
      <x:c r="I424" s="538" t="inlineStr">
        <x:is>
          <x:t xml:space="preserve">All of 31-12N-24W, aol</x:t>
        </x:is>
      </x:c>
      <x:c r="J424" s="538" t="inlineStr">
        <x:is>
          <x:t xml:space="preserve">ARTI</x:t>
        </x:is>
      </x:c>
      <x:c r="K424" s="518" t="e">
        <x:f>HYPERLINK("https://okcountyrecords.com/detail/roger+mills/2011-000110","OKCountyRecords: 2011-000110")</x:f>
      </x:c>
      <x:c r="L424" s="519" t="inlineStr">
        <x:is>
          <x:t xml:space="preserve">Mineral; basis Conv Amt(dec). All-section coverage. Gross=tract-map basis.</x:t>
        </x:is>
      </x:c>
      <x:c r="M424" s="519" t="n"/>
      <x:c r="N424" s="519" t="n"/>
      <x:c r="O424" s="519" t="inlineStr">
        <x:is>
          <x:t xml:space="preserve">OUTSIDE LANDS</x:t>
        </x:is>
      </x:c>
      <x:c r="P424" s="520" t="inlineStr">
        <x:is>
          <x:t xml:space="preserve">Chain — deed (confirm minerals vs surface from instrument)</x:t>
        </x:is>
      </x:c>
      <x:c r="Q424" s="520" t="inlineStr">
        <x:is>
          <x:t xml:space="preserve">Yes</x:t>
        </x:is>
      </x:c>
      <x:c r="R424" s="520" t="inlineStr">
        <x:is>
          <x:t xml:space="preserve">No</x:t>
        </x:is>
      </x:c>
      <x:c r="S424" s="520" t="inlineStr">
        <x:is>
          <x:t xml:space="preserve">Review</x:t>
        </x:is>
      </x:c>
      <x:c r="T424" s="520" t="inlineStr">
        <x:is>
          <x:t xml:space="preserve">No</x:t>
        </x:is>
      </x:c>
      <x:c r="U424" s="520" t="inlineStr">
        <x:is>
          <x:t xml:space="preserve">Yes: 1, 8 (broad legal)</x:t>
        </x:is>
      </x:c>
      <x:c r="V424" s="520" t="inlineStr">
        <x:is>
          <x:t xml:space="preserve">Medium</x:t>
        </x:is>
      </x:c>
      <x:c r="W424" s="520" t="inlineStr">
        <x:is>
          <x:t xml:space="preserve">Review — no exact prior-grantee match</x:t>
        </x:is>
      </x:c>
      <x:c r="X424" s="520" t="inlineStr">
        <x:is>
          <x:t xml:space="preserve">Review</x:t>
        </x:is>
      </x:c>
      <x:c r="Y424" s="520" t="inlineStr">
        <x:is>
          <x:t xml:space="preserve">Candidate 1 (helper — confirm from image)</x:t>
        </x:is>
      </x:c>
      <x:c r="Z424" s="520" t="inlineStr">
        <x:is>
          <x:t xml:space="preserve">Medium — helper value</x:t>
        </x:is>
      </x:c>
      <x:c r="AA424" s="520" t="inlineStr">
        <x:is>
          <x:t xml:space="preserve">Quitclaim Deed, Assignment, Tran — Hefner Company, Inc. to Cheyenne Resources, LLC (2057/347)</x:t>
        </x:is>
      </x:c>
      <x:c r="AB424" s="520" t="inlineStr">
        <x:is>
          <x:t xml:space="preserve">Needs source review: grantor source</x:t>
        </x:is>
      </x:c>
    </x:row>
    <x:row r="425" s="520" customFormat="1" ht="84" customHeight="1">
      <x:c r="A425" s="519" t="inlineStr">
        <x:is>
          <x:t xml:space="preserve">2011-001008</x:t>
        </x:is>
      </x:c>
      <x:c r="B425" s="536" t="n"/>
      <x:c r="C425" s="536" t="inlineStr">
        <x:is>
          <x:t xml:space="preserve">MINERAL DEED OF TRUSTEE [Deed of Distribution]</x:t>
        </x:is>
      </x:c>
      <x:c r="D425" s="536" t="inlineStr">
        <x:is>
          <x:t xml:space="preserve">2063/494</x:t>
        </x:is>
      </x:c>
      <x:c r="E425" s="537" t="n">
        <x:v>40577</x:v>
      </x:c>
      <x:c r="F425" s="537" t="n">
        <x:v>40592</x:v>
      </x:c>
      <x:c r="G425" s="538" t="inlineStr">
        <x:is>
          <x:t xml:space="preserve">Glenda Ann Palmer, as Trustee of the Glenn Douglas Mitchel and Hazel Pearl Mitchel Trust</x:t>
        </x:is>
      </x:c>
      <x:c r="H425" s="538" t="inlineStr">
        <x:is>
          <x:t xml:space="preserve">Glenda Ann Palmer and Richard Royce Palmer, as Trustees of The Palmer Family Trust, u/t/a dated November 19, 2010, 1/3,
Shonna Arlene Mitchel, as Trustee of the Jack D. Mitchel and Shonna A. Mitchel Family Trust, u/t/a dated September 13, 1990, 1/3,
Shanti Jonathan Mitchel, 1/3</x:t>
        </x:is>
      </x:c>
      <x:c r="I425" s="538" t="inlineStr">
        <x:is>
          <x:t xml:space="preserve">E/2 NW/4, N/2 NE/4 SE/4, NE/4 SE/4, SE/4 NE/4 of 31-12N-24W, aol</x:t>
        </x:is>
      </x:c>
      <x:c r="J425" s="538" t="inlineStr">
        <x:is>
          <x:t xml:space="preserve">ARTI</x:t>
        </x:is>
      </x:c>
      <x:c r="K425" s="518" t="e">
        <x:f>HYPERLINK("https://okcountyrecords.com/detail/roger+mills/2011-001008","OKCountyRecords: 2011-001008")</x:f>
      </x:c>
      <x:c r="L425" s="519" t="inlineStr">
        <x:is>
          <x:t xml:space="preserve">Mineral; basis Conv Amt(dec). Gross=tract-map basis.</x:t>
        </x:is>
      </x:c>
      <x:c r="M425" s="519" t="inlineStr">
        <x:is>
          <x:t xml:space="preserve">CURRENT OWNER SOURCE</x:t>
        </x:is>
      </x:c>
      <x:c r="N425" s="519" t="n"/>
      <x:c r="O425" s="519" t="inlineStr">
        <x:is>
          <x:t xml:space="preserve">OUTSIDE LANDS</x:t>
        </x:is>
      </x:c>
      <x:c r="P425" s="520" t="inlineStr">
        <x:is>
          <x:t xml:space="preserve">Chain — minerals</x:t>
        </x:is>
      </x:c>
      <x:c r="Q425" s="520" t="inlineStr">
        <x:is>
          <x:t xml:space="preserve">Yes</x:t>
        </x:is>
      </x:c>
      <x:c r="R425" s="520" t="inlineStr">
        <x:is>
          <x:t xml:space="preserve">No</x:t>
        </x:is>
      </x:c>
      <x:c r="S425" s="520" t="inlineStr">
        <x:is>
          <x:t xml:space="preserve">Yes</x:t>
        </x:is>
      </x:c>
      <x:c r="T425" s="520" t="inlineStr">
        <x:is>
          <x:t xml:space="preserve">No</x:t>
        </x:is>
      </x:c>
      <x:c r="U425" s="520" t="inlineStr">
        <x:is>
          <x:t xml:space="preserve">Legal maps to 1, 3, 4, 10; helper says 1, 3, 4, 8</x:t>
        </x:is>
      </x:c>
      <x:c r="V425" s="520" t="inlineStr">
        <x:is>
          <x:t xml:space="preserve">Review</x:t>
        </x:is>
      </x:c>
      <x:c r="W425" s="520" t="inlineStr">
        <x:is>
          <x:t xml:space="preserve">Review — no exact prior-grantee match</x:t>
        </x:is>
      </x:c>
      <x:c r="X425" s="520" t="inlineStr">
        <x:is>
          <x:t xml:space="preserve">Review</x:t>
        </x:is>
      </x:c>
      <x:c r="Y425" s="520" t="inlineStr">
        <x:is>
          <x:t xml:space="preserve">Candidate 1 (helper — confirm from image)</x:t>
        </x:is>
      </x:c>
      <x:c r="Z425" s="520" t="inlineStr">
        <x:is>
          <x:t xml:space="preserve">Medium — helper value</x:t>
        </x:is>
      </x:c>
      <x:c r="AA425" s="520" t="inlineStr">
        <x:is>
          <x:t xml:space="preserve">MINERAL DEED OF TRUSTEE [Deed of — Glenda Ann Palmer, as Trustee to Glenda Ann Palmer and Richard (2063/494)</x:t>
        </x:is>
      </x:c>
      <x:c r="AB425" s="520" t="inlineStr">
        <x:is>
          <x:t xml:space="preserve">Needs source review: tract, grantor source</x:t>
        </x:is>
      </x:c>
    </x:row>
    <x:row r="426" s="520" customFormat="1" ht="84" customHeight="1">
      <x:c r="A426" s="519" t="inlineStr">
        <x:is>
          <x:t xml:space="preserve">2011-001007</x:t>
        </x:is>
      </x:c>
      <x:c r="B426" s="536" t="n"/>
      <x:c r="C426" s="536" t="inlineStr">
        <x:is>
          <x:t xml:space="preserve">MINERAL DEED OF TRUSTEE [Deed of Distribution]</x:t>
        </x:is>
      </x:c>
      <x:c r="D426" s="536" t="inlineStr">
        <x:is>
          <x:t xml:space="preserve">2063/491</x:t>
        </x:is>
      </x:c>
      <x:c r="E426" s="537" t="n">
        <x:v>40577</x:v>
      </x:c>
      <x:c r="F426" s="537" t="n">
        <x:v>40592</x:v>
      </x:c>
      <x:c r="G426" s="538" t="inlineStr">
        <x:is>
          <x:t xml:space="preserve">Richard Palmer and Glenda Palmer, HW</x:t>
        </x:is>
      </x:c>
      <x:c r="H426" s="538" t="inlineStr">
        <x:is>
          <x:t xml:space="preserve">Glenda Ann Palmer and Richard Royce Palmer, as Trustees of The Palmer Family Trust, u/t/a dated November 19, 2010, 1/3,
Shonna Arlene Mitchel, as Trustee of the Jack D. Mitchel and Shonna A. Mitchel Family Trust, u/t/a dated September 13, 1990, 1/3,
Shanti Jonathan Mitchel, 1/3</x:t>
        </x:is>
      </x:c>
      <x:c r="I426" s="538" t="inlineStr">
        <x:is>
          <x:t xml:space="preserve">E/2 NW/4, N/2 NE/4 SE/4, NE/4 SE/4, SE/4 NE/4 of 31-12N-24W, aol</x:t>
        </x:is>
      </x:c>
      <x:c r="J426" s="538" t="inlineStr">
        <x:is>
          <x:t xml:space="preserve">ARTI</x:t>
        </x:is>
      </x:c>
      <x:c r="K426" s="518" t="e">
        <x:f>HYPERLINK("https://okcountyrecords.com/detail/roger+mills/2011-001007","OKCountyRecords: 2011-001007")</x:f>
      </x:c>
      <x:c r="L426" s="519" t="inlineStr">
        <x:is>
          <x:t xml:space="preserve">Mineral; basis Conv Amt(dec). Gross=tract-map basis.</x:t>
        </x:is>
      </x:c>
      <x:c r="M426" s="519" t="inlineStr">
        <x:is>
          <x:t xml:space="preserve">CURRENT OWNER SOURCE</x:t>
        </x:is>
      </x:c>
      <x:c r="N426" s="519" t="n"/>
      <x:c r="O426" s="519" t="inlineStr">
        <x:is>
          <x:t xml:space="preserve">OUTSIDE LANDS</x:t>
        </x:is>
      </x:c>
      <x:c r="P426" s="520" t="inlineStr">
        <x:is>
          <x:t xml:space="preserve">Chain — minerals</x:t>
        </x:is>
      </x:c>
      <x:c r="Q426" s="520" t="inlineStr">
        <x:is>
          <x:t xml:space="preserve">Yes</x:t>
        </x:is>
      </x:c>
      <x:c r="R426" s="520" t="inlineStr">
        <x:is>
          <x:t xml:space="preserve">No</x:t>
        </x:is>
      </x:c>
      <x:c r="S426" s="520" t="inlineStr">
        <x:is>
          <x:t xml:space="preserve">Yes</x:t>
        </x:is>
      </x:c>
      <x:c r="T426" s="520" t="inlineStr">
        <x:is>
          <x:t xml:space="preserve">No</x:t>
        </x:is>
      </x:c>
      <x:c r="U426" s="520" t="inlineStr">
        <x:is>
          <x:t xml:space="preserve">Legal maps to 1, 3, 4, 10; helper says 1, 3, 4, 8</x:t>
        </x:is>
      </x:c>
      <x:c r="V426" s="520" t="inlineStr">
        <x:is>
          <x:t xml:space="preserve">Review</x:t>
        </x:is>
      </x:c>
      <x:c r="W426" s="520" t="inlineStr">
        <x:is>
          <x:t xml:space="preserve">Probable — name-normalized match to Runsheet 425 grantee; confirm</x:t>
        </x:is>
      </x:c>
      <x:c r="X426" s="520" t="inlineStr">
        <x:is>
          <x:t xml:space="preserve">Review</x:t>
        </x:is>
      </x:c>
      <x:c r="Y426" s="520" t="inlineStr">
        <x:is>
          <x:t xml:space="preserve">Candidate 1 (helper — confirm from image)</x:t>
        </x:is>
      </x:c>
      <x:c r="Z426" s="520" t="inlineStr">
        <x:is>
          <x:t xml:space="preserve">Medium — helper value</x:t>
        </x:is>
      </x:c>
      <x:c r="AA426" s="520" t="inlineStr">
        <x:is>
          <x:t xml:space="preserve">MINERAL DEED OF TRUSTEE [Deed of — Richard Palmer and Glenda Palm to Glenda Ann Palmer and Richard (2063/491)</x:t>
        </x:is>
      </x:c>
      <x:c r="AB426" s="520" t="inlineStr">
        <x:is>
          <x:t xml:space="preserve">Needs source review: tract, grantor source</x:t>
        </x:is>
      </x:c>
    </x:row>
    <x:row r="427" s="520" customFormat="1" ht="72" customHeight="1">
      <x:c r="A427" s="519" t="inlineStr">
        <x:is>
          <x:t xml:space="preserve">2011-001009</x:t>
        </x:is>
      </x:c>
      <x:c r="B427" s="536" t="n"/>
      <x:c r="C427" s="536" t="inlineStr">
        <x:is>
          <x:t xml:space="preserve">MINERAL DEED OF TRUSTEE [Deed of Distribution]</x:t>
        </x:is>
      </x:c>
      <x:c r="D427" s="536" t="inlineStr">
        <x:is>
          <x:t xml:space="preserve">2063/497</x:t>
        </x:is>
      </x:c>
      <x:c r="E427" s="537" t="n">
        <x:v>40583</x:v>
      </x:c>
      <x:c r="F427" s="537" t="n">
        <x:v>40592</x:v>
      </x:c>
      <x:c r="G427" s="538" t="inlineStr">
        <x:is>
          <x:t xml:space="preserve">Shonna Mitchel, same person as Shonna A. Mitchel and as Shonna Arlene Mitchel, single person</x:t>
        </x:is>
      </x:c>
      <x:c r="H427" s="538" t="inlineStr">
        <x:is>
          <x:t xml:space="preserve">Shonna Arlene Mitchel, same person as Shonna A. Mitchel, as Trustee of The Jack D. Mitchel and Shonna A. Mitchel Family Trust, u/t/a dated September 13, 1990</x:t>
        </x:is>
      </x:c>
      <x:c r="I427" s="538" t="inlineStr">
        <x:is>
          <x:t xml:space="preserve">E/2 NW/4, N/2 NE/4 SE/4, NE/4 SE/4, SE/4 NE/4 of 31-12N-24W, aol</x:t>
        </x:is>
      </x:c>
      <x:c r="J427" s="538" t="inlineStr">
        <x:is>
          <x:t xml:space="preserve">ARTI</x:t>
        </x:is>
      </x:c>
      <x:c r="K427" s="518" t="e">
        <x:f>HYPERLINK("https://okcountyrecords.com/detail/roger+mills/2011-001009","OKCountyRecords: 2011-001009")</x:f>
      </x:c>
      <x:c r="L427" s="519" t="inlineStr">
        <x:is>
          <x:t xml:space="preserve">Mineral; basis Conv Amt(dec). Gross=tract-map basis.</x:t>
        </x:is>
      </x:c>
      <x:c r="M427" s="519" t="inlineStr">
        <x:is>
          <x:t xml:space="preserve">CURRENT OWNER SOURCE</x:t>
        </x:is>
      </x:c>
      <x:c r="N427" s="519" t="n"/>
      <x:c r="O427" s="519" t="inlineStr">
        <x:is>
          <x:t xml:space="preserve">OUTSIDE LANDS</x:t>
        </x:is>
      </x:c>
      <x:c r="P427" s="520" t="inlineStr">
        <x:is>
          <x:t xml:space="preserve">Chain — minerals</x:t>
        </x:is>
      </x:c>
      <x:c r="Q427" s="520" t="inlineStr">
        <x:is>
          <x:t xml:space="preserve">Yes</x:t>
        </x:is>
      </x:c>
      <x:c r="R427" s="520" t="inlineStr">
        <x:is>
          <x:t xml:space="preserve">No</x:t>
        </x:is>
      </x:c>
      <x:c r="S427" s="520" t="inlineStr">
        <x:is>
          <x:t xml:space="preserve">Yes</x:t>
        </x:is>
      </x:c>
      <x:c r="T427" s="520" t="inlineStr">
        <x:is>
          <x:t xml:space="preserve">No</x:t>
        </x:is>
      </x:c>
      <x:c r="U427" s="520" t="inlineStr">
        <x:is>
          <x:t xml:space="preserve">Legal maps to 1, 3, 4, 10; helper says 1, 3, 4, 8</x:t>
        </x:is>
      </x:c>
      <x:c r="V427" s="520" t="inlineStr">
        <x:is>
          <x:t xml:space="preserve">Review</x:t>
        </x:is>
      </x:c>
      <x:c r="W427" s="520" t="inlineStr">
        <x:is>
          <x:t xml:space="preserve">Probable — name-normalized match to Runsheet 46 grantee; confirm</x:t>
        </x:is>
      </x:c>
      <x:c r="X427" s="520" t="inlineStr">
        <x:is>
          <x:t xml:space="preserve">Yes — on Tract 3 owner list</x:t>
        </x:is>
      </x:c>
      <x:c r="Y427" s="520" t="inlineStr">
        <x:is>
          <x:t xml:space="preserve">Candidate 1 (helper — confirm from image)</x:t>
        </x:is>
      </x:c>
      <x:c r="Z427" s="520" t="inlineStr">
        <x:is>
          <x:t xml:space="preserve">Medium — helper value</x:t>
        </x:is>
      </x:c>
      <x:c r="AA427" s="520" t="inlineStr">
        <x:is>
          <x:t xml:space="preserve">MINERAL DEED OF TRUSTEE [Deed of — Shonna Mitchel, same person as to Shonna Arlene Mitchel, same pe (2063/497)</x:t>
        </x:is>
      </x:c>
      <x:c r="AB427" s="520" t="inlineStr">
        <x:is>
          <x:t xml:space="preserve">Needs source review: tract, grantor source</x:t>
        </x:is>
      </x:c>
    </x:row>
    <x:row r="428" s="520" customFormat="1" ht="48" customHeight="1">
      <x:c r="A428" s="519" t="inlineStr">
        <x:is>
          <x:t xml:space="preserve">2011-003023</x:t>
        </x:is>
      </x:c>
      <x:c r="B428" s="536" t="n"/>
      <x:c r="C428" s="536" t="inlineStr">
        <x:is>
          <x:t xml:space="preserve">Mineral Deed</x:t>
        </x:is>
      </x:c>
      <x:c r="D428" s="536" t="inlineStr">
        <x:is>
          <x:t xml:space="preserve">2074/536</x:t>
        </x:is>
      </x:c>
      <x:c r="E428" s="537" t="n">
        <x:v>40661</x:v>
      </x:c>
      <x:c r="F428" s="537" t="n">
        <x:v>40665</x:v>
      </x:c>
      <x:c r="G428" s="538" t="inlineStr">
        <x:is>
          <x:t xml:space="preserve">Byron A. Hetherington, d/b/a 4-A Investments</x:t>
        </x:is>
      </x:c>
      <x:c r="H428" s="538" t="inlineStr">
        <x:is>
          <x:t xml:space="preserve">Byron A. Hetherington, Trustee of the Byron A. Hetherington Trust, 1/2,
Gloria A. Hetherington, Trustee of the Gloria A. Hetherington Trust, 1/2</x:t>
        </x:is>
      </x:c>
      <x:c r="I428" s="538" t="inlineStr">
        <x:is>
          <x:t xml:space="preserve">NW/4 SE/4, S/2 SE/4, SW/4 NE/4 of 31-12N-24W, aol</x:t>
        </x:is>
      </x:c>
      <x:c r="J428" s="538" t="inlineStr">
        <x:is>
          <x:t xml:space="preserve">ARTI</x:t>
        </x:is>
      </x:c>
      <x:c r="K428" s="518" t="e">
        <x:f>HYPERLINK("https://okcountyrecords.com/detail/roger+mills/2011-003023","OKCountyRecords: 2011-003023")</x:f>
      </x:c>
      <x:c r="L428" s="519" t="inlineStr">
        <x:is>
          <x:t xml:space="preserve">Mineral; basis Conv Amt(dec). Gross=tract-map basis.</x:t>
        </x:is>
      </x:c>
      <x:c r="M428" s="519" t="inlineStr">
        <x:is>
          <x:t xml:space="preserve">CURRENT OWNER SOURCE</x:t>
        </x:is>
      </x:c>
      <x:c r="N428" s="519" t="n"/>
      <x:c r="O428" s="519" t="inlineStr">
        <x:is>
          <x:t xml:space="preserve">OUTSIDE LANDS</x:t>
        </x:is>
      </x:c>
      <x:c r="P428" s="520" t="inlineStr">
        <x:is>
          <x:t xml:space="preserve">Chain — minerals</x:t>
        </x:is>
      </x:c>
      <x:c r="Q428" s="520" t="inlineStr">
        <x:is>
          <x:t xml:space="preserve">Yes</x:t>
        </x:is>
      </x:c>
      <x:c r="R428" s="520" t="inlineStr">
        <x:is>
          <x:t xml:space="preserve">No</x:t>
        </x:is>
      </x:c>
      <x:c r="S428" s="520" t="inlineStr">
        <x:is>
          <x:t xml:space="preserve">Yes</x:t>
        </x:is>
      </x:c>
      <x:c r="T428" s="520" t="inlineStr">
        <x:is>
          <x:t xml:space="preserve">No</x:t>
        </x:is>
      </x:c>
      <x:c r="U428" s="520" t="inlineStr">
        <x:is>
          <x:t xml:space="preserve">Yes: 2 (legal supports)</x:t>
        </x:is>
      </x:c>
      <x:c r="V428" s="520" t="inlineStr">
        <x:is>
          <x:t xml:space="preserve">High</x:t>
        </x:is>
      </x:c>
      <x:c r="W428" s="520" t="inlineStr">
        <x:is>
          <x:t xml:space="preserve">Review — no exact prior-grantee match</x:t>
        </x:is>
      </x:c>
      <x:c r="X428" s="520" t="inlineStr">
        <x:is>
          <x:t xml:space="preserve">Review</x:t>
        </x:is>
      </x:c>
      <x:c r="Y428" s="520" t="inlineStr">
        <x:is>
          <x:t xml:space="preserve">Candidate 1 (helper — confirm from image)</x:t>
        </x:is>
      </x:c>
      <x:c r="Z428" s="520" t="inlineStr">
        <x:is>
          <x:t xml:space="preserve">Medium — helper value</x:t>
        </x:is>
      </x:c>
      <x:c r="AA428" s="520" t="inlineStr">
        <x:is>
          <x:t xml:space="preserve">Mineral Deed — Byron A. Hetherington, d/b/a 4 to Byron A. Hetherington, Trustee (2074/536)</x:t>
        </x:is>
      </x:c>
      <x:c r="AB428" s="520" t="inlineStr">
        <x:is>
          <x:t xml:space="preserve">Needs source review: grantor source</x:t>
        </x:is>
      </x:c>
    </x:row>
    <x:row r="429" s="520" customFormat="1" ht="48" customHeight="1">
      <x:c r="A429" s="519" t="inlineStr">
        <x:is>
          <x:t xml:space="preserve">2011-005695</x:t>
        </x:is>
      </x:c>
      <x:c r="B429" s="536" t="n"/>
      <x:c r="C429" s="536" t="inlineStr">
        <x:is>
          <x:t xml:space="preserve">Mineral Deed</x:t>
        </x:is>
      </x:c>
      <x:c r="D429" s="536" t="inlineStr">
        <x:is>
          <x:t xml:space="preserve">2092/134</x:t>
        </x:is>
      </x:c>
      <x:c r="E429" s="537" t="n">
        <x:v>40778</x:v>
      </x:c>
      <x:c r="F429" s="537" t="n">
        <x:v>40781</x:v>
      </x:c>
      <x:c r="G429" s="538" t="inlineStr">
        <x:is>
          <x:t xml:space="preserve">Michelle Sorenson Johnson, Sole Trustee of the Sorenson Oil and Gas Trust</x:t>
        </x:is>
      </x:c>
      <x:c r="H429" s="538" t="inlineStr">
        <x:is>
          <x:t xml:space="preserve">Mark Ashley Daigle Trust, 33.3%,
Keri Lee Daigle Trust, 33.3%,
Kevin Warner Johnson Trust, 33.4%</x:t>
        </x:is>
      </x:c>
      <x:c r="I429" s="538" t="inlineStr">
        <x:is>
          <x:t xml:space="preserve">LALEXANDER 1-31 of 31-12N-24W</x:t>
        </x:is>
      </x:c>
      <x:c r="J429" s="538" t="inlineStr">
        <x:is>
          <x:t xml:space="preserve">all the grantor's rights, title and interest, suspense held funds in the oil, gas and minerals (40/260 int)</x:t>
        </x:is>
      </x:c>
      <x:c r="K429" s="518" t="e">
        <x:f>HYPERLINK("https://okcountyrecords.com/detail/roger+mills/2011-005695","OKCountyRecords: 2011-005695")</x:f>
      </x:c>
      <x:c r="L429" s="519" t="inlineStr">
        <x:is>
          <x:t xml:space="preserve">Mineral; basis Conv Amt(dec). All-section coverage. Gross=tract-map basis.</x:t>
        </x:is>
      </x:c>
      <x:c r="M429" s="519" t="inlineStr">
        <x:is>
          <x:t xml:space="preserve">REVIEW</x:t>
        </x:is>
      </x:c>
      <x:c r="N429" s="519" t="inlineStr">
        <x:is>
          <x:t xml:space="preserve">Conveyed interest / decimal from instrument image</x:t>
        </x:is>
      </x:c>
      <x:c r="O429" s="519" t="inlineStr">
        <x:is>
          <x:t xml:space="preserve">MINERAL DEED</x:t>
        </x:is>
      </x:c>
      <x:c r="P429" s="520" t="inlineStr">
        <x:is>
          <x:t xml:space="preserve">Chain — minerals</x:t>
        </x:is>
      </x:c>
      <x:c r="Q429" s="520" t="inlineStr">
        <x:is>
          <x:t xml:space="preserve">Yes</x:t>
        </x:is>
      </x:c>
      <x:c r="R429" s="520" t="inlineStr">
        <x:is>
          <x:t xml:space="preserve">No</x:t>
        </x:is>
      </x:c>
      <x:c r="S429" s="520" t="inlineStr">
        <x:is>
          <x:t xml:space="preserve">Yes</x:t>
        </x:is>
      </x:c>
      <x:c r="T429" s="520" t="inlineStr">
        <x:is>
          <x:t xml:space="preserve">No</x:t>
        </x:is>
      </x:c>
      <x:c r="U429" s="520" t="inlineStr">
        <x:is>
          <x:t xml:space="preserve">Yes: 1, 8 (broad legal)</x:t>
        </x:is>
      </x:c>
      <x:c r="V429" s="520" t="inlineStr">
        <x:is>
          <x:t xml:space="preserve">Medium</x:t>
        </x:is>
      </x:c>
      <x:c r="W429" s="520" t="inlineStr">
        <x:is>
          <x:t xml:space="preserve">Probable — name-normalized match to Runsheet 86 grantee; confirm</x:t>
        </x:is>
      </x:c>
      <x:c r="X429" s="520" t="inlineStr">
        <x:is>
          <x:t xml:space="preserve">Review</x:t>
        </x:is>
      </x:c>
      <x:c r="Y429" s="520" t="inlineStr">
        <x:is>
          <x:t xml:space="preserve">Candidate 1 (helper — confirm from image)</x:t>
        </x:is>
      </x:c>
      <x:c r="Z429" s="520" t="inlineStr">
        <x:is>
          <x:t xml:space="preserve">Medium — helper value</x:t>
        </x:is>
      </x:c>
      <x:c r="AA429" s="520" t="inlineStr">
        <x:is>
          <x:t xml:space="preserve">Mineral Deed — Michelle Sorenson Johnson, Sol to Mark Ashley Daigle Trust, 33.3 (2092/134)</x:t>
        </x:is>
      </x:c>
      <x:c r="AB429" s="520" t="inlineStr">
        <x:is>
          <x:t xml:space="preserve">Needs source review: grantor source</x:t>
        </x:is>
      </x:c>
    </x:row>
    <x:row r="430" s="520" customFormat="1" ht="60" customHeight="1">
      <x:c r="A430" s="519" t="inlineStr">
        <x:is>
          <x:t xml:space="preserve">2011-005926</x:t>
        </x:is>
      </x:c>
      <x:c r="B430" s="536" t="n"/>
      <x:c r="C430" s="536" t="inlineStr">
        <x:is>
          <x:t xml:space="preserve">Quitclaim Deed, Assignment, Transfer and Conveyance of Oil and Gas Interests</x:t>
        </x:is>
      </x:c>
      <x:c r="D430" s="536" t="inlineStr">
        <x:is>
          <x:t xml:space="preserve">2093/461</x:t>
        </x:is>
      </x:c>
      <x:c r="E430" s="537" t="n">
        <x:v>40788</x:v>
      </x:c>
      <x:c r="F430" s="537" t="n">
        <x:v>40793</x:v>
      </x:c>
      <x:c r="G430" s="538" t="inlineStr">
        <x:is>
          <x:t xml:space="preserve">Cheyenne Resources, LLC</x:t>
        </x:is>
      </x:c>
      <x:c r="H430" s="538" t="inlineStr">
        <x:is>
          <x:t xml:space="preserve">Hefner Company, Inc.</x:t>
        </x:is>
      </x:c>
      <x:c r="I430" s="538" t="inlineStr">
        <x:is>
          <x:t xml:space="preserve">All of 31-12N-24W, aol</x:t>
        </x:is>
      </x:c>
      <x:c r="J430" s="538" t="inlineStr">
        <x:is>
          <x:t xml:space="preserve">assigns forever, all of Transferor's right, title, interest and estate, both at law and in equity, in and to all oil and gas interests</x:t>
        </x:is>
      </x:c>
      <x:c r="K430" s="518" t="e">
        <x:f>HYPERLINK("https://okcountyrecords.com/detail/roger+mills/2011-005926","OKCountyRecords: 2011-005926")</x:f>
      </x:c>
      <x:c r="L430" s="519" t="inlineStr">
        <x:is>
          <x:t xml:space="preserve">Mineral; basis Conv Amt(dec). All-section coverage. Gross=tract-map basis.</x:t>
        </x:is>
      </x:c>
      <x:c r="M430" s="519" t="inlineStr">
        <x:is>
          <x:t xml:space="preserve">REVIEW</x:t>
        </x:is>
      </x:c>
      <x:c r="N430" s="519" t="inlineStr">
        <x:is>
          <x:t xml:space="preserve">Conveyed interest / decimal from instrument image</x:t>
        </x:is>
      </x:c>
      <x:c r="O430" s="519" t="inlineStr">
        <x:is>
          <x:t xml:space="preserve">OUTSIDE LANDS</x:t>
        </x:is>
      </x:c>
      <x:c r="P430" s="520" t="inlineStr">
        <x:is>
          <x:t xml:space="preserve">Chain — deed (confirm minerals vs surface from instrument)</x:t>
        </x:is>
      </x:c>
      <x:c r="Q430" s="520" t="inlineStr">
        <x:is>
          <x:t xml:space="preserve">Yes</x:t>
        </x:is>
      </x:c>
      <x:c r="R430" s="520" t="inlineStr">
        <x:is>
          <x:t xml:space="preserve">No</x:t>
        </x:is>
      </x:c>
      <x:c r="S430" s="520" t="inlineStr">
        <x:is>
          <x:t xml:space="preserve">Review</x:t>
        </x:is>
      </x:c>
      <x:c r="T430" s="520" t="inlineStr">
        <x:is>
          <x:t xml:space="preserve">No</x:t>
        </x:is>
      </x:c>
      <x:c r="U430" s="520" t="inlineStr">
        <x:is>
          <x:t xml:space="preserve">Yes: 1, 8 (broad legal)</x:t>
        </x:is>
      </x:c>
      <x:c r="V430" s="520" t="inlineStr">
        <x:is>
          <x:t xml:space="preserve">Medium</x:t>
        </x:is>
      </x:c>
      <x:c r="W430" s="520" t="inlineStr">
        <x:is>
          <x:t xml:space="preserve">Yes — prior grantee match</x:t>
        </x:is>
      </x:c>
      <x:c r="X430" s="520" t="inlineStr">
        <x:is>
          <x:t xml:space="preserve">Review</x:t>
        </x:is>
      </x:c>
      <x:c r="Y430" s="520" t="inlineStr">
        <x:is>
          <x:t xml:space="preserve">Candidate 1 (helper — confirm from image)</x:t>
        </x:is>
      </x:c>
      <x:c r="Z430" s="520" t="inlineStr">
        <x:is>
          <x:t xml:space="preserve">Medium — helper value</x:t>
        </x:is>
      </x:c>
      <x:c r="AA430" s="520" t="inlineStr">
        <x:is>
          <x:t xml:space="preserve">Quitclaim Deed, Assignment, Tran — Cheyenne Resources, LLC to Hefner Company, Inc. (2093/461)</x:t>
        </x:is>
      </x:c>
    </x:row>
    <x:row r="431" s="520" customFormat="1" ht="132" customHeight="1">
      <x:c r="A431" s="519" t="inlineStr">
        <x:is>
          <x:t xml:space="preserve">2011-007727</x:t>
        </x:is>
      </x:c>
      <x:c r="B431" s="536" t="n"/>
      <x:c r="C431" s="536" t="inlineStr">
        <x:is>
          <x:t xml:space="preserve">Affidavit by Successor Co-Trustees</x:t>
        </x:is>
      </x:c>
      <x:c r="D431" s="536" t="inlineStr">
        <x:is>
          <x:t xml:space="preserve">2104/234</x:t>
        </x:is>
      </x:c>
      <x:c r="E431" s="537" t="n">
        <x:v>40839</x:v>
      </x:c>
      <x:c r="F431" s="537" t="n">
        <x:v>40869</x:v>
      </x:c>
      <x:c r="G431" s="538" t="inlineStr">
        <x:is>
          <x:t xml:space="preserve">Michael Bain,
William C. Bain</x:t>
        </x:is>
      </x:c>
      <x:c r="H431" s="538" t="inlineStr">
        <x:is>
          <x:t xml:space="preserve">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x:t>
        </x:is>
      </x:c>
      <x:c r="I431" s="538" t="inlineStr">
        <x:is>
          <x:t xml:space="preserve">NW/4 SE/4, S/2 SE/4, SW/4 NE/4 of 31-12N-24W, aol</x:t>
        </x:is>
      </x:c>
      <x:c r="J431" s="538" t="inlineStr">
        <x:is>
          <x:t xml:space="preserve">ARTI</x:t>
        </x:is>
      </x:c>
      <x:c r="K431" s="518" t="e">
        <x:f>HYPERLINK("https://okcountyrecords.com/detail/roger+mills/2011-007727","OKCountyRecords: 2011-007727")</x:f>
      </x:c>
      <x:c r="L431" s="519" t="inlineStr">
        <x:is>
          <x:t xml:space="preserve">Mineral; amount not stated — confirm from instrument. Gross=tract-map basis.</x:t>
        </x:is>
      </x:c>
      <x:c r="M431" s="519" t="inlineStr">
        <x:is>
          <x:t xml:space="preserve">CURRENT OWNER SOURCE</x:t>
        </x:is>
      </x:c>
      <x:c r="N431" s="519" t="n"/>
      <x:c r="O431" s="519" t="inlineStr">
        <x:is>
          <x:t xml:space="preserve">OUTSIDE LANDS</x:t>
        </x:is>
      </x:c>
      <x:c r="P431" s="520" t="inlineStr">
        <x:is>
          <x:t xml:space="preserve">Chain — title support (succession/entity/probate)</x:t>
        </x:is>
      </x:c>
      <x:c r="Q431" s="520" t="inlineStr">
        <x:is>
          <x:t xml:space="preserve">Yes</x:t>
        </x:is>
      </x:c>
      <x:c r="R431" s="520" t="inlineStr">
        <x:is>
          <x:t xml:space="preserve">No</x:t>
        </x:is>
      </x:c>
      <x:c r="S431" s="520" t="inlineStr">
        <x:is>
          <x:t xml:space="preserve">Yes</x:t>
        </x:is>
      </x:c>
      <x:c r="T431" s="520" t="inlineStr">
        <x:is>
          <x:t xml:space="preserve">No</x:t>
        </x:is>
      </x:c>
      <x:c r="U431" s="520" t="inlineStr">
        <x:is>
          <x:t xml:space="preserve">Yes: 2 (legal supports)</x:t>
        </x:is>
      </x:c>
      <x:c r="V431" s="520" t="inlineStr">
        <x:is>
          <x:t xml:space="preserve">High</x:t>
        </x:is>
      </x:c>
      <x:c r="W431" s="520" t="inlineStr">
        <x:is>
          <x:t xml:space="preserve">Probable — name-normalized match to Runsheet 145 grantee; confirm</x:t>
        </x:is>
      </x:c>
      <x:c r="X431" s="520" t="inlineStr">
        <x:is>
          <x:t xml:space="preserve">Review</x:t>
        </x:is>
      </x:c>
      <x:c r="Y431" s="520" t="inlineStr">
        <x:is>
          <x:t xml:space="preserve">Interest amount needs review</x:t>
        </x:is>
      </x:c>
      <x:c r="Z431" s="520" t="inlineStr">
        <x:is>
          <x:t xml:space="preserve">Review</x:t>
        </x:is>
      </x:c>
      <x:c r="AA431" s="520" t="inlineStr">
        <x:is>
          <x:t xml:space="preserve">Affidavit by Successor Co-Truste — Michael Bain, to Michael L. Bain, as Trustee of (2104/234)</x:t>
        </x:is>
      </x:c>
      <x:c r="AB431" s="520" t="inlineStr">
        <x:is>
          <x:t xml:space="preserve">Needs source review: grantor source, interest amount</x:t>
        </x:is>
      </x:c>
    </x:row>
    <x:row r="432" s="520" customFormat="1" ht="132" customHeight="1">
      <x:c r="A432" s="519" t="inlineStr">
        <x:is>
          <x:t xml:space="preserve">2011-007728</x:t>
        </x:is>
      </x:c>
      <x:c r="B432" s="536" t="n"/>
      <x:c r="C432" s="536" t="inlineStr">
        <x:is>
          <x:t xml:space="preserve">Deed</x:t>
        </x:is>
      </x:c>
      <x:c r="D432" s="536" t="inlineStr">
        <x:is>
          <x:t xml:space="preserve">2104/239</x:t>
        </x:is>
      </x:c>
      <x:c r="E432" s="537" t="n">
        <x:v>40839</x:v>
      </x:c>
      <x:c r="F432" s="537" t="n">
        <x:v>40869</x:v>
      </x:c>
      <x:c r="G432" s="538" t="inlineStr">
        <x:is>
          <x:t xml:space="preserve">Michael L. Bain and William C. BAIN, Successor Co-Trustees</x:t>
        </x:is>
      </x:c>
      <x:c r="H432" s="538" t="inlineStr">
        <x:is>
          <x:t xml:space="preserve">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x:t>
        </x:is>
      </x:c>
      <x:c r="I432" s="538" t="inlineStr">
        <x:is>
          <x:t xml:space="preserve">SE/4 SE/4, SW/4 NE/4, W/2 SE/4 of 31-12N-24W, aol</x:t>
        </x:is>
      </x:c>
      <x:c r="J432" s="538" t="inlineStr">
        <x:is>
          <x:t xml:space="preserve">ARTI</x:t>
        </x:is>
      </x:c>
      <x:c r="K432" s="518" t="e">
        <x:f>HYPERLINK("https://okcountyrecords.com/detail/roger+mills/2011-007728","OKCountyRecords: 2011-007728")</x:f>
      </x:c>
      <x:c r="L432" s="519" t="inlineStr">
        <x:is>
          <x:t xml:space="preserve">Mineral; basis Conv Amt(dec). Gross=tract-map basis.</x:t>
        </x:is>
      </x:c>
      <x:c r="M432" s="519" t="inlineStr">
        <x:is>
          <x:t xml:space="preserve">CURRENT OWNER SOURCE</x:t>
        </x:is>
      </x:c>
      <x:c r="N432" s="519" t="n"/>
      <x:c r="O432" s="519" t="inlineStr">
        <x:is>
          <x:t xml:space="preserve">OUTSIDE LANDS</x:t>
        </x:is>
      </x:c>
      <x:c r="P432" s="520" t="inlineStr">
        <x:is>
          <x:t xml:space="preserve">Chain — deed (confirm minerals vs surface from instrument)</x:t>
        </x:is>
      </x:c>
      <x:c r="Q432" s="520" t="inlineStr">
        <x:is>
          <x:t xml:space="preserve">Yes</x:t>
        </x:is>
      </x:c>
      <x:c r="R432" s="520" t="inlineStr">
        <x:is>
          <x:t xml:space="preserve">No</x:t>
        </x:is>
      </x:c>
      <x:c r="S432" s="520" t="inlineStr">
        <x:is>
          <x:t xml:space="preserve">Review</x:t>
        </x:is>
      </x:c>
      <x:c r="T432" s="520" t="inlineStr">
        <x:is>
          <x:t xml:space="preserve">No</x:t>
        </x:is>
      </x:c>
      <x:c r="U432" s="520" t="inlineStr">
        <x:is>
          <x:t xml:space="preserve">Yes: 2 (legal supports)</x:t>
        </x:is>
      </x:c>
      <x:c r="V432" s="520" t="inlineStr">
        <x:is>
          <x:t xml:space="preserve">High</x:t>
        </x:is>
      </x:c>
      <x:c r="W432" s="520" t="inlineStr">
        <x:is>
          <x:t xml:space="preserve">Probable — name-normalized match to Runsheet 145 grantee; confirm</x:t>
        </x:is>
      </x:c>
      <x:c r="X432" s="520" t="inlineStr">
        <x:is>
          <x:t xml:space="preserve">Review</x:t>
        </x:is>
      </x:c>
      <x:c r="Y432" s="520" t="inlineStr">
        <x:is>
          <x:t xml:space="preserve">Candidate 1 (helper — confirm from image)</x:t>
        </x:is>
      </x:c>
      <x:c r="Z432" s="520" t="inlineStr">
        <x:is>
          <x:t xml:space="preserve">Medium — helper value</x:t>
        </x:is>
      </x:c>
      <x:c r="AA432" s="520" t="inlineStr">
        <x:is>
          <x:t xml:space="preserve">Deed — Michael L. Bain and William C. to Michael L. Bain, as Trustee of (2104/239)</x:t>
        </x:is>
      </x:c>
      <x:c r="AB432" s="520" t="inlineStr">
        <x:is>
          <x:t xml:space="preserve">Needs source review: grantor source</x:t>
        </x:is>
      </x:c>
    </x:row>
    <x:row r="433" s="520" customFormat="1" ht="264" customHeight="1">
      <x:c r="A433" s="519" t="inlineStr">
        <x:is>
          <x:t xml:space="preserve">2011-007729</x:t>
        </x:is>
      </x:c>
      <x:c r="B433" s="536" t="n"/>
      <x:c r="C433" s="536" t="inlineStr">
        <x:is>
          <x:t xml:space="preserve">Mineral Deed</x:t>
        </x:is>
      </x:c>
      <x:c r="D433" s="536" t="inlineStr">
        <x:is>
          <x:t xml:space="preserve">2104/242</x:t>
        </x:is>
      </x:c>
      <x:c r="E433" s="537" t="n">
        <x:v>40839</x:v>
      </x:c>
      <x:c r="F433" s="537" t="n">
        <x:v>40869</x:v>
      </x:c>
      <x:c r="G433" s="538" t="inlineStr">
        <x:is>
          <x:t xml:space="preserve">Michael L. Bain and William C. BAIN, Successor Co-Trustees</x:t>
        </x:is>
      </x:c>
      <x:c r="H433" s="538" t="inlineStr">
        <x:is>
          <x:t xml:space="preserve">Michael L. Bain, as Trustee of the Michael L. Bain GST Tax-Exempt Trust, created under the Cdb Trust dated January 10, 1994
5039 West Pea Ridge Rd.
Huntington, Wv 25705, 7/24;
William C. Bain, as Trustee of the William C. Bain GST Tax-Exempt Trust, created under the Cdb Trust dated January 10, 1994
3235 Virginia
Sioux City, Ia 51104, 7/24;
Paul M. Bain, as Trustee of the Paul
M. Bain GST Tax-Exempt Trust, created under the Cdb Trust dated January 10, 1994
7065 Archibald Ave.
Ste 102-457
East Vale, CA92880, 7/24;
Brandi L. Bain
3236 West Cactus Rd.
Phoenix, Az 85029, 1/16,
Joseph M. Bain
23 Strathhaven Ct.
Gaithersburg, Md 20886, 1/16</x:t>
        </x:is>
      </x:c>
      <x:c r="I433" s="538" t="inlineStr">
        <x:is>
          <x:t xml:space="preserve">NW/4 SE/4, S/2 SE/4, SW/4 NE/4 of 31-12N-24W, aol</x:t>
        </x:is>
      </x:c>
      <x:c r="J433" s="538" t="inlineStr">
        <x:is>
          <x:t xml:space="preserve">ARTI</x:t>
        </x:is>
      </x:c>
      <x:c r="K433" s="518" t="e">
        <x:f>HYPERLINK("https://okcountyrecords.com/detail/roger+mills/2011-007729","OKCountyRecords: 2011-007729")</x:f>
      </x:c>
      <x:c r="L433" s="519" t="inlineStr">
        <x:is>
          <x:t xml:space="preserve">Mineral; basis Conv Amt(dec). Gross=tract-map basis.</x:t>
        </x:is>
      </x:c>
      <x:c r="M433" s="519" t="inlineStr">
        <x:is>
          <x:t xml:space="preserve">CURRENT OWNER SOURCE</x:t>
        </x:is>
      </x:c>
      <x:c r="N433" s="519" t="n"/>
      <x:c r="O433" s="519" t="inlineStr">
        <x:is>
          <x:t xml:space="preserve">OUTSIDE LANDS</x:t>
        </x:is>
      </x:c>
      <x:c r="P433" s="520" t="inlineStr">
        <x:is>
          <x:t xml:space="preserve">Chain — minerals</x:t>
        </x:is>
      </x:c>
      <x:c r="Q433" s="520" t="inlineStr">
        <x:is>
          <x:t xml:space="preserve">Yes</x:t>
        </x:is>
      </x:c>
      <x:c r="R433" s="520" t="inlineStr">
        <x:is>
          <x:t xml:space="preserve">No</x:t>
        </x:is>
      </x:c>
      <x:c r="S433" s="520" t="inlineStr">
        <x:is>
          <x:t xml:space="preserve">Yes</x:t>
        </x:is>
      </x:c>
      <x:c r="T433" s="520" t="inlineStr">
        <x:is>
          <x:t xml:space="preserve">No</x:t>
        </x:is>
      </x:c>
      <x:c r="U433" s="520" t="inlineStr">
        <x:is>
          <x:t xml:space="preserve">Yes: 2 (legal supports)</x:t>
        </x:is>
      </x:c>
      <x:c r="V433" s="520" t="inlineStr">
        <x:is>
          <x:t xml:space="preserve">High</x:t>
        </x:is>
      </x:c>
      <x:c r="W433" s="520" t="inlineStr">
        <x:is>
          <x:t xml:space="preserve">Probable — name-normalized match to Runsheet 145 grantee; confirm</x:t>
        </x:is>
      </x:c>
      <x:c r="X433" s="520" t="inlineStr">
        <x:is>
          <x:t xml:space="preserve">Review</x:t>
        </x:is>
      </x:c>
      <x:c r="Y433" s="520" t="inlineStr">
        <x:is>
          <x:t xml:space="preserve">Candidate 1 (helper — confirm from image)</x:t>
        </x:is>
      </x:c>
      <x:c r="Z433" s="520" t="inlineStr">
        <x:is>
          <x:t xml:space="preserve">Medium — helper value</x:t>
        </x:is>
      </x:c>
      <x:c r="AA433" s="520" t="inlineStr">
        <x:is>
          <x:t xml:space="preserve">Mineral Deed — Michael L. Bain and William C. to Michael L. Bain, as Trustee of (2104/242)</x:t>
        </x:is>
      </x:c>
      <x:c r="AB433" s="520" t="inlineStr">
        <x:is>
          <x:t xml:space="preserve">Needs source review: grantor source</x:t>
        </x:is>
      </x:c>
    </x:row>
    <x:row r="434" s="520" customFormat="1" ht="108" customHeight="1">
      <x:c r="A434" s="519" t="inlineStr">
        <x:is>
          <x:t xml:space="preserve">2011-007826</x:t>
        </x:is>
      </x:c>
      <x:c r="B434" s="536" t="n"/>
      <x:c r="C434" s="536" t="inlineStr">
        <x:is>
          <x:t xml:space="preserve">Mineral Deed</x:t>
        </x:is>
      </x:c>
      <x:c r="D434" s="536" t="inlineStr">
        <x:is>
          <x:t xml:space="preserve">2104/537</x:t>
        </x:is>
      </x:c>
      <x:c r="E434" s="537" t="n">
        <x:v>40855</x:v>
      </x:c>
      <x:c r="F434" s="537" t="n">
        <x:v>40876</x:v>
      </x:c>
      <x:c r="G434" s="538" t="inlineStr">
        <x:is>
          <x:t xml:space="preserve">Fleshman Agency</x:t>
        </x:is>
      </x:c>
      <x:c r="H434" s="538" t="inlineStr">
        <x:is>
          <x:t xml:space="preserve">Mekusukey Oil Company, LLC</x:t>
        </x:is>
      </x:c>
      <x:c r="I434" s="538" t="inlineStr">
        <x:is>
          <x:t xml:space="preserve">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31-12N-24W, aol</x:t>
        </x:is>
      </x:c>
      <x:c r="J434" s="538" t="inlineStr">
        <x:is>
          <x:t xml:space="preserve">An undivided 2.00 net mineral acres in 31-12N-24W An undivided 8.79166/1,052.085 net mineral acre interest</x:t>
        </x:is>
      </x:c>
      <x:c r="K434" s="518" t="e">
        <x:f>HYPERLINK("https://okcountyrecords.com/detail/roger+mills/2011-007826","OKCountyRecords: 2011-007826")</x:f>
      </x:c>
      <x:c r="L434" s="519" t="inlineStr">
        <x:is>
          <x:t xml:space="preserve">Mineral; basis Conv Amt(dec). Gross=tract-map basis.</x:t>
        </x:is>
      </x:c>
      <x:c r="M434" s="519" t="inlineStr">
        <x:is>
          <x:t xml:space="preserve">CURRENT OWNER SOURCE</x:t>
        </x:is>
      </x:c>
      <x:c r="N434" s="519" t="inlineStr">
        <x:is>
          <x:t xml:space="preserve">Conveys 2 NMA per notes; conv. dec = 2/gross. Verify denominator/tract from image.</x:t>
        </x:is>
      </x:c>
      <x:c r="O434" s="519" t="inlineStr">
        <x:is>
          <x:t xml:space="preserve">OUTSIDE LANDS</x:t>
        </x:is>
      </x:c>
      <x:c r="P434" s="520" t="inlineStr">
        <x:is>
          <x:t xml:space="preserve">Chain — minerals</x:t>
        </x:is>
      </x:c>
      <x:c r="Q434" s="520" t="inlineStr">
        <x:is>
          <x:t xml:space="preserve">Yes</x:t>
        </x:is>
      </x:c>
      <x:c r="R434" s="520" t="inlineStr">
        <x:is>
          <x:t xml:space="preserve">No</x:t>
        </x:is>
      </x:c>
      <x:c r="S434" s="520" t="inlineStr">
        <x:is>
          <x:t xml:space="preserve">Yes</x:t>
        </x:is>
      </x:c>
      <x:c r="T434" s="520" t="inlineStr">
        <x:is>
          <x:t xml:space="preserve">No</x:t>
        </x:is>
      </x:c>
      <x:c r="U434" s="520" t="inlineStr">
        <x:is>
          <x:t xml:space="preserve">Yes: 5, 6 (legal supports)</x:t>
        </x:is>
      </x:c>
      <x:c r="V434" s="520" t="inlineStr">
        <x:is>
          <x:t xml:space="preserve">High</x:t>
        </x:is>
      </x:c>
      <x:c r="W434" s="520" t="inlineStr">
        <x:is>
          <x:t xml:space="preserve">Review — no exact prior-grantee match</x:t>
        </x:is>
      </x:c>
      <x:c r="X434" s="520" t="inlineStr">
        <x:is>
          <x:t xml:space="preserve">Yes — on Tract 5 owner list</x:t>
        </x:is>
      </x:c>
      <x:c r="Y434" s="520" t="inlineStr">
        <x:is>
          <x:t xml:space="preserve">Candidate 0.01 (helper — confirm from image)</x:t>
        </x:is>
      </x:c>
      <x:c r="Z434" s="520" t="inlineStr">
        <x:is>
          <x:t xml:space="preserve">Medium — helper value</x:t>
        </x:is>
      </x:c>
      <x:c r="AA434" s="520" t="inlineStr">
        <x:is>
          <x:t xml:space="preserve">Mineral Deed — Fleshman Agency to Mekusukey Oil Company, LLC (2104/537)</x:t>
        </x:is>
      </x:c>
      <x:c r="AB434" s="520" t="inlineStr">
        <x:is>
          <x:t xml:space="preserve">Needs source review: grantor source</x:t>
        </x:is>
      </x:c>
    </x:row>
    <x:row r="435" s="520" customFormat="1" ht="48" customHeight="1">
      <x:c r="A435" s="519" t="inlineStr">
        <x:is>
          <x:t xml:space="preserve">2011-008134</x:t>
        </x:is>
      </x:c>
      <x:c r="B435" s="536" t="n"/>
      <x:c r="C435" s="536" t="inlineStr">
        <x:is>
          <x:t xml:space="preserve">Mineral and Royalty Deed</x:t>
        </x:is>
      </x:c>
      <x:c r="D435" s="536" t="inlineStr">
        <x:is>
          <x:t xml:space="preserve">2106/387</x:t>
        </x:is>
      </x:c>
      <x:c r="E435" s="537" t="n">
        <x:v>40876</x:v>
      </x:c>
      <x:c r="F435" s="537" t="n">
        <x:v>40886</x:v>
      </x:c>
      <x:c r="G435" s="538" t="inlineStr">
        <x:is>
          <x:t xml:space="preserve">Myron V. Slobin</x:t>
        </x:is>
      </x:c>
      <x:c r="H435" s="538" t="inlineStr">
        <x:is>
          <x:t xml:space="preserve">Brian Herman Kortright</x:t>
        </x:is>
      </x:c>
      <x:c r="I435" s="538" t="inlineStr">
        <x:is>
          <x:t xml:space="preserve">NW/4 SE/4, S/2 SE/4, SE/4 NE/4 of 31-12N-24W, aol</x:t>
        </x:is>
      </x:c>
      <x:c r="J435" s="538" t="inlineStr">
        <x:is>
          <x:t xml:space="preserve">1/791.47 interest
1 (One) Net mineral acre, in 2 sections</x:t>
        </x:is>
      </x:c>
      <x:c r="K435" s="518" t="e">
        <x:f>HYPERLINK("https://okcountyrecords.com/detail/roger+mills/2011-008134","OKCountyRecords: 2011-008134")</x:f>
      </x:c>
      <x:c r="L435" s="519" t="inlineStr">
        <x:is>
          <x:t xml:space="preserve">Mineral; basis Conv Amt(dec). Gross=tract-map basis.</x:t>
        </x:is>
      </x:c>
      <x:c r="M435" s="519" t="inlineStr">
        <x:is>
          <x:t xml:space="preserve">CURRENT OWNER SOURCE</x:t>
        </x:is>
      </x:c>
      <x:c r="N435" s="519" t="n"/>
      <x:c r="O435" s="519" t="inlineStr">
        <x:is>
          <x:t xml:space="preserve">OUTSIDE LANDS</x:t>
        </x:is>
      </x:c>
      <x:c r="P435" s="520" t="inlineStr">
        <x:is>
          <x:t xml:space="preserve">Chain — minerals</x:t>
        </x:is>
      </x:c>
      <x:c r="Q435" s="520" t="inlineStr">
        <x:is>
          <x:t xml:space="preserve">Yes</x:t>
        </x:is>
      </x:c>
      <x:c r="R435" s="520" t="inlineStr">
        <x:is>
          <x:t xml:space="preserve">No</x:t>
        </x:is>
      </x:c>
      <x:c r="S435" s="520" t="inlineStr">
        <x:is>
          <x:t xml:space="preserve">Yes</x:t>
        </x:is>
      </x:c>
      <x:c r="T435" s="520" t="inlineStr">
        <x:is>
          <x:t xml:space="preserve">No</x:t>
        </x:is>
      </x:c>
      <x:c r="U435" s="520" t="inlineStr">
        <x:is>
          <x:t xml:space="preserve">Yes: 2, 3 (legal supports)</x:t>
        </x:is>
      </x:c>
      <x:c r="V435" s="520" t="inlineStr">
        <x:is>
          <x:t xml:space="preserve">High</x:t>
        </x:is>
      </x:c>
      <x:c r="W435" s="520" t="inlineStr">
        <x:is>
          <x:t xml:space="preserve">Yes — prior grantee match</x:t>
        </x:is>
      </x:c>
      <x:c r="X435" s="520" t="inlineStr">
        <x:is>
          <x:t xml:space="preserve">Yes — on Tract 2 owner list</x:t>
        </x:is>
      </x:c>
      <x:c r="Y435" s="520" t="inlineStr">
        <x:is>
          <x:t xml:space="preserve">Candidate 0.00126347176772335 (helper — confirm from image)</x:t>
        </x:is>
      </x:c>
      <x:c r="Z435" s="520" t="inlineStr">
        <x:is>
          <x:t xml:space="preserve">Medium — helper value</x:t>
        </x:is>
      </x:c>
      <x:c r="AA435" s="520" t="inlineStr">
        <x:is>
          <x:t xml:space="preserve">Mineral and Royalty Deed — Myron V. Slobin to Brian Herman Kortright (2106/387)</x:t>
        </x:is>
      </x:c>
    </x:row>
    <x:row r="436" s="520" customFormat="1" ht="48" customHeight="1">
      <x:c r="A436" s="519" t="inlineStr">
        <x:is>
          <x:t xml:space="preserve">2013-006083</x:t>
        </x:is>
      </x:c>
      <x:c r="B436" s="536" t="n"/>
      <x:c r="C436" s="536" t="inlineStr">
        <x:is>
          <x:t xml:space="preserve">Mineral and Royalty Deed</x:t>
        </x:is>
      </x:c>
      <x:c r="D436" s="536" t="inlineStr">
        <x:is>
          <x:t xml:space="preserve">2219/516</x:t>
        </x:is>
      </x:c>
      <x:c r="E436" s="537" t="n">
        <x:v>40876</x:v>
      </x:c>
      <x:c r="F436" s="537" t="n">
        <x:v>41592</x:v>
      </x:c>
      <x:c r="G436" s="538" t="inlineStr">
        <x:is>
          <x:t xml:space="preserve">Myron V. Slobin</x:t>
        </x:is>
      </x:c>
      <x:c r="H436" s="538" t="inlineStr">
        <x:is>
          <x:t xml:space="preserve">Brian Herman Kortright</x:t>
        </x:is>
      </x:c>
      <x:c r="I436" s="538" t="inlineStr">
        <x:is>
          <x:t xml:space="preserve">NW/4 SE/4, S/2 SE/4, SW/4 NE/4 of 31-12N-24W, aol</x:t>
        </x:is>
      </x:c>
      <x:c r="J436" s="538" t="inlineStr">
        <x:is>
          <x:t xml:space="preserve">1/791.47 interest
1 (One) Net mineral acre, in 2 sections</x:t>
        </x:is>
      </x:c>
      <x:c r="K436" s="518" t="e">
        <x:f>HYPERLINK("https://okcountyrecords.com/detail/roger+mills/2013-006083","OKCountyRecords: 2013-006083")</x:f>
      </x:c>
      <x:c r="L436" s="519" t="inlineStr">
        <x:is>
          <x:t xml:space="preserve">Mineral; basis Conv Amt(dec). Gross=tract-map basis.</x:t>
        </x:is>
      </x:c>
      <x:c r="M436" s="519" t="inlineStr">
        <x:is>
          <x:t xml:space="preserve">CURRENT OWNER SOURCE</x:t>
        </x:is>
      </x:c>
      <x:c r="N436" s="519" t="n"/>
      <x:c r="O436" s="519" t="inlineStr">
        <x:is>
          <x:t xml:space="preserve">OUTSIDE LANDS</x:t>
        </x:is>
      </x:c>
      <x:c r="P436" s="520" t="inlineStr">
        <x:is>
          <x:t xml:space="preserve">Chain — minerals</x:t>
        </x:is>
      </x:c>
      <x:c r="Q436" s="520" t="inlineStr">
        <x:is>
          <x:t xml:space="preserve">Yes</x:t>
        </x:is>
      </x:c>
      <x:c r="R436" s="520" t="inlineStr">
        <x:is>
          <x:t xml:space="preserve">No</x:t>
        </x:is>
      </x:c>
      <x:c r="S436" s="520" t="inlineStr">
        <x:is>
          <x:t xml:space="preserve">Yes</x:t>
        </x:is>
      </x:c>
      <x:c r="T436" s="520" t="inlineStr">
        <x:is>
          <x:t xml:space="preserve">No</x:t>
        </x:is>
      </x:c>
      <x:c r="U436" s="520" t="inlineStr">
        <x:is>
          <x:t xml:space="preserve">Yes: 2 (legal supports)</x:t>
        </x:is>
      </x:c>
      <x:c r="V436" s="520" t="inlineStr">
        <x:is>
          <x:t xml:space="preserve">High</x:t>
        </x:is>
      </x:c>
      <x:c r="W436" s="520" t="inlineStr">
        <x:is>
          <x:t xml:space="preserve">Yes — prior grantee match</x:t>
        </x:is>
      </x:c>
      <x:c r="X436" s="520" t="inlineStr">
        <x:is>
          <x:t xml:space="preserve">Yes — on Tract 2 owner list</x:t>
        </x:is>
      </x:c>
      <x:c r="Y436" s="520" t="inlineStr">
        <x:is>
          <x:t xml:space="preserve">Candidate 0.00126347176772335 (helper — confirm from image)</x:t>
        </x:is>
      </x:c>
      <x:c r="Z436" s="520" t="inlineStr">
        <x:is>
          <x:t xml:space="preserve">Medium — helper value</x:t>
        </x:is>
      </x:c>
      <x:c r="AA436" s="520" t="inlineStr">
        <x:is>
          <x:t xml:space="preserve">Mineral and Royalty Deed — Myron V. Slobin to Brian Herman Kortright (2219/516)</x:t>
        </x:is>
      </x:c>
    </x:row>
    <x:row r="437" s="520" customFormat="1" ht="48" customHeight="1">
      <x:c r="A437" s="519" t="inlineStr">
        <x:is>
          <x:t xml:space="preserve">2011-008366</x:t>
        </x:is>
      </x:c>
      <x:c r="B437" s="536" t="n"/>
      <x:c r="C437" s="536" t="inlineStr">
        <x:is>
          <x:t xml:space="preserve">Mineral Deed</x:t>
        </x:is>
      </x:c>
      <x:c r="D437" s="536" t="inlineStr">
        <x:is>
          <x:t xml:space="preserve">2108/102</x:t>
        </x:is>
      </x:c>
      <x:c r="E437" s="537" t="n">
        <x:v>40892</x:v>
      </x:c>
      <x:c r="F437" s="537" t="n">
        <x:v>40896</x:v>
      </x:c>
      <x:c r="G437" s="538" t="inlineStr">
        <x:is>
          <x:t xml:space="preserve">Michelle Sorenson Johnson</x:t>
        </x:is>
      </x:c>
      <x:c r="H437" s="538" t="inlineStr">
        <x:is>
          <x:t xml:space="preserve">Mark Ashley Daigle Trust, 33.3%,
Keri Lee Daigle Trust, 33.3%,
Kevin Warner Johnson Trust, 33.4%</x:t>
        </x:is>
      </x:c>
      <x:c r="I437" s="538" t="inlineStr">
        <x:is>
          <x:t xml:space="preserve">LALEXANDER 1-31 of 31-12N-24W</x:t>
        </x:is>
      </x:c>
      <x:c r="J437" s="538" t="inlineStr">
        <x:is>
          <x:t xml:space="preserve">ARTI</x:t>
        </x:is>
      </x:c>
      <x:c r="K437" s="518" t="e">
        <x:f>HYPERLINK("https://okcountyrecords.com/detail/roger+mills/2011-008366","OKCountyRecords: 2011-008366")</x:f>
      </x:c>
      <x:c r="L437" s="519" t="inlineStr">
        <x:is>
          <x:t xml:space="preserve">Mineral; basis Conv Amt(dec). All-section coverage. Gross=tract-map basis.</x:t>
        </x:is>
      </x:c>
      <x:c r="M437" s="519" t="inlineStr">
        <x:is>
          <x:t xml:space="preserve">CURRENT OWNER SOURCE</x:t>
        </x:is>
      </x:c>
      <x:c r="N437" s="519" t="n"/>
      <x:c r="O437" s="519" t="inlineStr">
        <x:is>
          <x:t xml:space="preserve">MINERAL DEED</x:t>
        </x:is>
      </x:c>
      <x:c r="P437" s="520" t="inlineStr">
        <x:is>
          <x:t xml:space="preserve">Chain — minerals</x:t>
        </x:is>
      </x:c>
      <x:c r="Q437" s="520" t="inlineStr">
        <x:is>
          <x:t xml:space="preserve">Yes</x:t>
        </x:is>
      </x:c>
      <x:c r="R437" s="520" t="inlineStr">
        <x:is>
          <x:t xml:space="preserve">No</x:t>
        </x:is>
      </x:c>
      <x:c r="S437" s="520" t="inlineStr">
        <x:is>
          <x:t xml:space="preserve">Yes</x:t>
        </x:is>
      </x:c>
      <x:c r="T437" s="520" t="inlineStr">
        <x:is>
          <x:t xml:space="preserve">No</x:t>
        </x:is>
      </x:c>
      <x:c r="U437" s="520" t="inlineStr">
        <x:is>
          <x:t xml:space="preserve">Yes: 1, 8 (broad legal)</x:t>
        </x:is>
      </x:c>
      <x:c r="V437" s="520" t="inlineStr">
        <x:is>
          <x:t xml:space="preserve">Medium</x:t>
        </x:is>
      </x:c>
      <x:c r="W437" s="520" t="inlineStr">
        <x:is>
          <x:t xml:space="preserve">Review — no exact prior-grantee match</x:t>
        </x:is>
      </x:c>
      <x:c r="X437" s="520" t="inlineStr">
        <x:is>
          <x:t xml:space="preserve">Review</x:t>
        </x:is>
      </x:c>
      <x:c r="Y437" s="520" t="inlineStr">
        <x:is>
          <x:t xml:space="preserve">Candidate 1 (helper — confirm from image)</x:t>
        </x:is>
      </x:c>
      <x:c r="Z437" s="520" t="inlineStr">
        <x:is>
          <x:t xml:space="preserve">Medium — helper value</x:t>
        </x:is>
      </x:c>
      <x:c r="AA437" s="520" t="inlineStr">
        <x:is>
          <x:t xml:space="preserve">Mineral Deed — Michelle Sorenson Johnson to Mark Ashley Daigle Trust, 33.3 (2108/102)</x:t>
        </x:is>
      </x:c>
      <x:c r="AB437" s="520" t="inlineStr">
        <x:is>
          <x:t xml:space="preserve">Needs source review: grantor source</x:t>
        </x:is>
      </x:c>
    </x:row>
    <x:row r="438" s="520" customFormat="1" ht="72" customHeight="1">
      <x:c r="A438" s="519" t="inlineStr">
        <x:is>
          <x:t xml:space="preserve">2012-000970</x:t>
        </x:is>
      </x:c>
      <x:c r="B438" s="536" t="n"/>
      <x:c r="C438" s="536" t="inlineStr">
        <x:is>
          <x:t xml:space="preserve">Affidavit of Identity</x:t>
        </x:is>
      </x:c>
      <x:c r="D438" s="536" t="inlineStr">
        <x:is>
          <x:t xml:space="preserve">2116/16</x:t>
        </x:is>
      </x:c>
      <x:c r="E438" s="537" t="n">
        <x:v>40905</x:v>
      </x:c>
      <x:c r="F438" s="537" t="n">
        <x:v>40949</x:v>
      </x:c>
      <x:c r="G438" s="538" t="inlineStr">
        <x:is>
          <x:t xml:space="preserve">Keri L. Tucker</x:t>
        </x:is>
      </x:c>
      <x:c r="H438" s="538" t="inlineStr">
        <x:is>
          <x:t xml:space="preserve">The Public</x:t>
        </x:is>
      </x:c>
      <x:c r="I438" s="538" t="inlineStr">
        <x:is>
          <x:t xml:space="preserve">LALEXANDER 1-31 of 31-12N-24W</x:t>
        </x:is>
      </x:c>
      <x:c r="J438" s="538" t="inlineStr">
        <x:is>
          <x:t xml:space="preserve">the Keri Lee Daigle Trust is one and the same Trust as the Keri Daigle Tucker Trust, and (2) that Keri Lee Daigle is the one and the same person as Keri Daigle Tucker.
Chain note: source of title — MINERAL DEED 2011-005695 at 2092/134, Michelle Sorenson Johnson, Sole Trustee of the Sorenson Oil and Gas … Full recital in recorded instrument — see Link.</x:t>
        </x:is>
      </x:c>
      <x:c r="K438" s="518" t="e">
        <x:f>HYPERLINK("https://okcountyrecords.com/detail/roger+mills/2012-000970","OKCountyRecords: 2012-000970")</x:f>
      </x:c>
      <x:c r="L438" s="519" t="inlineStr">
        <x:is>
          <x:t xml:space="preserve">Other (non-mineral; excluded from mineral NMA). All-section coverage. Gross=tract-map basis.</x:t>
        </x:is>
      </x:c>
      <x:c r="M438" s="519" t="inlineStr">
        <x:is>
          <x:t xml:space="preserve">OK</x:t>
        </x:is>
      </x:c>
      <x:c r="N438" s="519" t="inlineStr">
        <x:is>
          <x:t xml:space="preserve">Non-conveying — notice/affidavit/address change (The Public).</x:t>
        </x:is>
      </x:c>
      <x:c r="O438" s="519" t="inlineStr">
        <x:is>
          <x:t xml:space="preserve">AFFIDAVIT / HEIRSHIP / PROBATE</x:t>
        </x:is>
      </x:c>
      <x:c r="P438" s="520" t="inlineStr">
        <x:is>
          <x:t xml:space="preserve">Chain — title support (succession/entity/probate)</x:t>
        </x:is>
      </x:c>
      <x:c r="Q438" s="520" t="inlineStr">
        <x:is>
          <x:t xml:space="preserve">Yes</x:t>
        </x:is>
      </x:c>
      <x:c r="R438" s="520" t="inlineStr">
        <x:is>
          <x:t xml:space="preserve">No</x:t>
        </x:is>
      </x:c>
      <x:c r="S438" s="520" t="inlineStr">
        <x:is>
          <x:t xml:space="preserve">Yes</x:t>
        </x:is>
      </x:c>
      <x:c r="T438" s="520" t="inlineStr">
        <x:is>
          <x:t xml:space="preserve">No</x:t>
        </x:is>
      </x:c>
      <x:c r="U438" s="520" t="inlineStr">
        <x:is>
          <x:t xml:space="preserve">Yes: 1, 8 (broad legal)</x:t>
        </x:is>
      </x:c>
      <x:c r="V438" s="520" t="inlineStr">
        <x:is>
          <x:t xml:space="preserve">Medium</x:t>
        </x:is>
      </x:c>
      <x:c r="W438" s="520" t="inlineStr">
        <x:is>
          <x:t xml:space="preserve">Review — no exact prior-grantee match</x:t>
        </x:is>
      </x:c>
      <x:c r="X438" s="520" t="inlineStr">
        <x:is>
          <x:t xml:space="preserve">Review</x:t>
        </x:is>
      </x:c>
      <x:c r="Y438" s="520" t="inlineStr">
        <x:is>
          <x:t xml:space="preserve">Interest amount needs review</x:t>
        </x:is>
      </x:c>
      <x:c r="Z438" s="520" t="inlineStr">
        <x:is>
          <x:t xml:space="preserve">Review</x:t>
        </x:is>
      </x:c>
      <x:c r="AA438" s="520" t="inlineStr">
        <x:is>
          <x:t xml:space="preserve">Affidavit of Identity — Keri L. Tucker to The Public (2116/16)</x:t>
        </x:is>
      </x:c>
      <x:c r="AB438" s="520" t="inlineStr">
        <x:is>
          <x:t xml:space="preserve">Needs source review: grantor source, interest amount</x:t>
        </x:is>
      </x:c>
    </x:row>
    <x:row r="439" s="520" customFormat="1" ht="60" customHeight="1">
      <x:c r="A439" s="519" t="inlineStr">
        <x:is>
          <x:t xml:space="preserve">2012-005041</x:t>
        </x:is>
      </x:c>
      <x:c r="B439" s="536" t="n"/>
      <x:c r="C439" s="536" t="inlineStr">
        <x:is>
          <x:t xml:space="preserve">Order Appointing Co-Trustees</x:t>
        </x:is>
      </x:c>
      <x:c r="D439" s="536" t="inlineStr">
        <x:is>
          <x:t xml:space="preserve">2148/385</x:t>
        </x:is>
      </x:c>
      <x:c r="E439" s="537" t="n">
        <x:v>40961</x:v>
      </x:c>
      <x:c r="F439" s="537" t="n">
        <x:v>41106</x:v>
      </x:c>
      <x:c r="G439" s="538" t="inlineStr">
        <x:is>
          <x:t xml:space="preserve">Beckham County Court,
RE: In the Matter of the Fred A. Standiford, Jr. Trust</x:t>
        </x:is>
      </x:c>
      <x:c r="H439" s="538" t="inlineStr">
        <x:is>
          <x:t xml:space="preserve">Kimberly D. Standiford,
Rosa C. Standiford</x:t>
        </x:is>
      </x:c>
      <x:c r="I439" s="538" t="inlineStr">
        <x:is>
          <x:t xml:space="preserve">SE/4 SW/4 of 31-12N-24W, aol</x:t>
        </x:is>
      </x:c>
      <x:c r="J439" s="538" t="inlineStr">
        <x:is>
          <x:t xml:space="preserve">Rosa C. Standiford and Kimberly D. Standiford be and they hereby are appointed as Co-Trustees of the Fred A. Standiford, Jr. Trust, a testamentary trust, pursuant to the terms of the Last Will and Testament of Fred A. Standiford, Jr., dated September 18, 1990, with all powers granted to such trustee under the terms of said last will and testament.</x:t>
        </x:is>
      </x:c>
      <x:c r="K439" s="518" t="e">
        <x:f>HYPERLINK("https://okcountyrecords.com/detail/roger+mills/2012-005041","OKCountyRecords: 2012-005041")</x:f>
      </x:c>
      <x:c r="L439" s="519" t="inlineStr">
        <x:is>
          <x:t xml:space="preserve">Other (non-mineral; excluded from mineral NMA). Gross=tract-map basis.</x:t>
        </x:is>
      </x:c>
      <x:c r="M439" s="519" t="n"/>
      <x:c r="N439" s="519" t="n"/>
      <x:c r="O439" s="519" t="inlineStr">
        <x:is>
          <x:t xml:space="preserve">OUTSIDE LANDS</x:t>
        </x:is>
      </x:c>
      <x:c r="P439" s="520" t="inlineStr">
        <x:is>
          <x:t xml:space="preserve">Chain — title support (succession/entity/probate)</x:t>
        </x:is>
      </x:c>
      <x:c r="Q439" s="520" t="inlineStr">
        <x:is>
          <x:t xml:space="preserve">Yes</x:t>
        </x:is>
      </x:c>
      <x:c r="R439" s="520" t="inlineStr">
        <x:is>
          <x:t xml:space="preserve">No</x:t>
        </x:is>
      </x:c>
      <x:c r="S439" s="520" t="inlineStr">
        <x:is>
          <x:t xml:space="preserve">Yes</x:t>
        </x:is>
      </x:c>
      <x:c r="T439" s="520" t="inlineStr">
        <x:is>
          <x:t xml:space="preserve">No</x:t>
        </x:is>
      </x:c>
      <x:c r="U439" s="520" t="inlineStr">
        <x:is>
          <x:t xml:space="preserve">Yes: 5 (legal supports)</x:t>
        </x:is>
      </x:c>
      <x:c r="V439" s="520" t="inlineStr">
        <x:is>
          <x:t xml:space="preserve">High</x:t>
        </x:is>
      </x:c>
      <x:c r="W439" s="520" t="inlineStr">
        <x:is>
          <x:t xml:space="preserve">Review — no exact prior-grantee match</x:t>
        </x:is>
      </x:c>
      <x:c r="X439" s="520" t="inlineStr">
        <x:is>
          <x:t xml:space="preserve">Yes — on Tract 5 owner list</x:t>
        </x:is>
      </x:c>
      <x:c r="Y439" s="520" t="inlineStr">
        <x:is>
          <x:t xml:space="preserve">Interest amount needs review</x:t>
        </x:is>
      </x:c>
      <x:c r="Z439" s="520" t="inlineStr">
        <x:is>
          <x:t xml:space="preserve">Review</x:t>
        </x:is>
      </x:c>
      <x:c r="AA439" s="520" t="inlineStr">
        <x:is>
          <x:t xml:space="preserve">Order Appointing Co-Trustees — Beckham County Court, to Kimberly D. Standiford, (2148/385)</x:t>
        </x:is>
      </x:c>
      <x:c r="AB439" s="520" t="inlineStr">
        <x:is>
          <x:t xml:space="preserve">Needs source review: grantor source, interest amount</x:t>
        </x:is>
      </x:c>
    </x:row>
    <x:row r="440" s="520" customFormat="1" ht="60" hidden="1" customHeight="1">
      <x:c r="A440" s="519" t="n"/>
      <x:c r="B440" s="536" t="n"/>
      <x:c r="C440" s="536" t="n"/>
      <x:c r="D440" s="536" t="n"/>
      <x:c r="E440" s="537" t="n"/>
      <x:c r="F440" s="537" t="n"/>
      <x:c r="G440" s="538" t="n"/>
      <x:c r="H440" s="538" t="n"/>
      <x:c r="I440" s="538" t="n"/>
      <x:c r="J440" s="538" t="n"/>
      <x:c r="K440" s="518" t="n"/>
      <x:c r="L440" s="519" t="n"/>
      <x:c r="M440" s="519" t="n"/>
      <x:c r="N440" s="519" t="n"/>
      <x:c r="O440" s="519" t="n"/>
      <x:c r="P440" s="520" t="n"/>
      <x:c r="Q440" s="520" t="n"/>
      <x:c r="R440" s="520" t="n"/>
      <x:c r="S440" s="520" t="n"/>
      <x:c r="T440" s="520" t="n"/>
      <x:c r="U440" s="520" t="n"/>
      <x:c r="V440" s="520" t="n"/>
      <x:c r="W440" s="520" t="n"/>
      <x:c r="X440" s="520" t="n"/>
      <x:c r="Y440" s="520" t="n"/>
      <x:c r="Z440" s="520" t="n"/>
      <x:c r="AA440" s="520" t="n"/>
      <x:c r="AB440" s="520" t="n"/>
    </x:row>
    <x:row r="441" s="520" customFormat="1" ht="60" customHeight="1">
      <x:c r="A441" s="519" t="inlineStr">
        <x:is>
          <x:t xml:space="preserve">2012-002191</x:t>
        </x:is>
      </x:c>
      <x:c r="B441" s="536" t="n"/>
      <x:c r="C441" s="536" t="inlineStr">
        <x:is>
          <x:t xml:space="preserve">Order Determining Heirs, Legatees and Devisees. and Final Decree of Distribution and Discharge</x:t>
        </x:is>
      </x:c>
      <x:c r="D441" s="536" t="inlineStr">
        <x:is>
          <x:t xml:space="preserve">2124/117</x:t>
        </x:is>
      </x:c>
      <x:c r="E441" s="537" t="n">
        <x:v>40988</x:v>
      </x:c>
      <x:c r="F441" s="537" t="n">
        <x:v>40990</x:v>
      </x:c>
      <x:c r="G441" s="538" t="inlineStr">
        <x:is>
          <x:t xml:space="preserve">Beckham County Court,
RE: In the Matter of the Estate of Fred A. Standiford, Jr., Deceased</x:t>
        </x:is>
      </x:c>
      <x:c r="H441" s="538" t="inlineStr">
        <x:is>
          <x:t xml:space="preserve">Rosa C. Standiford and Kimberly D. Standiford, Co-Trustees of the Fred A. Standiford, Jr. Trust</x:t>
        </x:is>
      </x:c>
      <x:c r="I441" s="538" t="inlineStr">
        <x:is>
          <x:t xml:space="preserve">SE/4 SW/4 of 31-12N-24W, aol</x:t>
        </x:is>
      </x:c>
      <x:c r="J441" s="538" t="inlineStr">
        <x:is>
          <x:t xml:space="preserve">ARTI</x:t>
        </x:is>
      </x:c>
      <x:c r="K441" s="518" t="e">
        <x:f>HYPERLINK("https://okcountyrecords.com/detail/roger+mills/2012-002191","OKCountyRecords: 2012-002191")</x:f>
      </x:c>
      <x:c r="L441" s="519" t="inlineStr">
        <x:is>
          <x:t xml:space="preserve">Mineral; basis Conv Amt(dec). Gross=tract-map basis.</x:t>
        </x:is>
      </x:c>
      <x:c r="M441" s="519" t="inlineStr">
        <x:is>
          <x:t xml:space="preserve">CURRENT OWNER SOURCE</x:t>
        </x:is>
      </x:c>
      <x:c r="N441" s="519" t="n"/>
      <x:c r="O441" s="519" t="inlineStr">
        <x:is>
          <x:t xml:space="preserve">OUTSIDE LANDS</x:t>
        </x:is>
      </x:c>
      <x:c r="P441" s="520" t="inlineStr">
        <x:is>
          <x:t xml:space="preserve">Chain — title support (succession/entity/probate)</x:t>
        </x:is>
      </x:c>
      <x:c r="Q441" s="520" t="inlineStr">
        <x:is>
          <x:t xml:space="preserve">Yes</x:t>
        </x:is>
      </x:c>
      <x:c r="R441" s="520" t="inlineStr">
        <x:is>
          <x:t xml:space="preserve">No</x:t>
        </x:is>
      </x:c>
      <x:c r="S441" s="520" t="inlineStr">
        <x:is>
          <x:t xml:space="preserve">Yes</x:t>
        </x:is>
      </x:c>
      <x:c r="T441" s="520" t="inlineStr">
        <x:is>
          <x:t xml:space="preserve">No</x:t>
        </x:is>
      </x:c>
      <x:c r="U441" s="520" t="inlineStr">
        <x:is>
          <x:t xml:space="preserve">Yes: 5 (legal supports)</x:t>
        </x:is>
      </x:c>
      <x:c r="V441" s="520" t="inlineStr">
        <x:is>
          <x:t xml:space="preserve">High</x:t>
        </x:is>
      </x:c>
      <x:c r="W441" s="520" t="inlineStr">
        <x:is>
          <x:t xml:space="preserve">Review — no exact prior-grantee match</x:t>
        </x:is>
      </x:c>
      <x:c r="X441" s="520" t="inlineStr">
        <x:is>
          <x:t xml:space="preserve">Yes — on Tract 5 owner list</x:t>
        </x:is>
      </x:c>
      <x:c r="Y441" s="520" t="inlineStr">
        <x:is>
          <x:t xml:space="preserve">Candidate 1 (helper — confirm from image)</x:t>
        </x:is>
      </x:c>
      <x:c r="Z441" s="520" t="inlineStr">
        <x:is>
          <x:t xml:space="preserve">Medium — helper value</x:t>
        </x:is>
      </x:c>
      <x:c r="AA441" s="520" t="inlineStr">
        <x:is>
          <x:t xml:space="preserve">Order Determining Heirs, Legatee — Beckham County Court, to Rosa C. Standiford and Kimberl (2124/117)</x:t>
        </x:is>
      </x:c>
      <x:c r="AB441" s="520" t="inlineStr">
        <x:is>
          <x:t xml:space="preserve">Needs source review: grantor source</x:t>
        </x:is>
      </x:c>
    </x:row>
    <x:row r="442" s="520" customFormat="1" ht="60" customHeight="1">
      <x:c r="A442" s="519" t="inlineStr">
        <x:is>
          <x:t xml:space="preserve">2012-005854</x:t>
        </x:is>
      </x:c>
      <x:c r="B442" s="536" t="n"/>
      <x:c r="C442" s="536" t="inlineStr">
        <x:is>
          <x:t xml:space="preserve">Amendment</x:t>
        </x:is>
      </x:c>
      <x:c r="D442" s="536" t="inlineStr">
        <x:is>
          <x:t xml:space="preserve">2154/229</x:t>
        </x:is>
      </x:c>
      <x:c r="E442" s="537" t="n">
        <x:v>41000</x:v>
      </x:c>
      <x:c r="F442" s="537" t="n">
        <x:v>41145</x:v>
      </x:c>
      <x:c r="G442" s="538" t="inlineStr">
        <x:is>
          <x:t xml:space="preserve">Chesapeake Exploration, LLC</x:t>
        </x:is>
      </x:c>
      <x:c r="H442" s="538" t="inlineStr">
        <x:is>
          <x:t xml:space="preserve">CHK Cleveland Tonkawa, LLC</x:t>
        </x:is>
      </x:c>
      <x:c r="I442" s="538" t="inlineStr">
        <x:is>
          <x:t xml:space="preserve">All of 31-12N-24W, aol</x:t>
        </x:is>
      </x:c>
      <x:c r="J442" s="538" t="inlineStr">
        <x:is>
          <x:t xml:space="preserve">99.9% of their interest</x:t>
        </x:is>
      </x:c>
      <x:c r="K442" s="518" t="e">
        <x:f>HYPERLINK("https://okcountyrecords.com/detail/roger+mills/2012-005854","OKCountyRecords: 2012-005854")</x:f>
      </x:c>
      <x:c r="L442" s="519" t="inlineStr">
        <x:is>
          <x:t xml:space="preserve">Leasehold (non-mineral; excluded from mineral NMA). All-section coverage. Gross=tract-map basis.</x:t>
        </x:is>
      </x:c>
      <x:c r="M442" s="519" t="n"/>
      <x:c r="N442" s="519" t="n"/>
      <x:c r="O442" s="519" t="inlineStr">
        <x:is>
          <x:t xml:space="preserve">OUTSIDE LANDS</x:t>
        </x:is>
      </x:c>
      <x:c r="P442" s="520" t="inlineStr">
        <x:is>
          <x:t xml:space="preserve">Review — read instrument (type unclear)</x:t>
        </x:is>
      </x:c>
      <x:c r="Q442" s="520" t="inlineStr">
        <x:is>
          <x:t xml:space="preserve">Review</x:t>
        </x:is>
      </x:c>
      <x:c r="R442" s="520" t="inlineStr">
        <x:is>
          <x:t xml:space="preserve">Review</x:t>
        </x:is>
      </x:c>
      <x:c r="S442" s="520" t="inlineStr">
        <x:is>
          <x:t xml:space="preserve">Review</x:t>
        </x:is>
      </x:c>
      <x:c r="T442" s="520" t="inlineStr">
        <x:is>
          <x:t xml:space="preserve">Review</x:t>
        </x:is>
      </x:c>
      <x:c r="U442" s="520" t="inlineStr">
        <x:is>
          <x:t xml:space="preserve">Yes: 1, 8 (broad legal)</x:t>
        </x:is>
      </x:c>
      <x:c r="V442" s="520" t="inlineStr">
        <x:is>
          <x:t xml:space="preserve">Medium</x:t>
        </x:is>
      </x:c>
      <x:c r="W442" s="520" t="inlineStr">
        <x:is>
          <x:t xml:space="preserve">Yes — prior grantee match</x:t>
        </x:is>
      </x:c>
      <x:c r="X442" s="520" t="inlineStr">
        <x:is>
          <x:t xml:space="preserve">Review</x:t>
        </x:is>
      </x:c>
      <x:c r="Y442" s="520" t="inlineStr">
        <x:is>
          <x:t xml:space="preserve">Interest amount needs review</x:t>
        </x:is>
      </x:c>
      <x:c r="Z442" s="520" t="inlineStr">
        <x:is>
          <x:t xml:space="preserve">Review</x:t>
        </x:is>
      </x:c>
      <x:c r="AA442" s="520" t="inlineStr">
        <x:is>
          <x:t xml:space="preserve">Amendment — Chesapeake Exploration, LLC to CHK Cleveland Tonkawa, LLC (2154/229)</x:t>
        </x:is>
      </x:c>
      <x:c r="AB442" s="520" t="inlineStr">
        <x:is>
          <x:t xml:space="preserve">Needs source review: interest amount, instrument type</x:t>
        </x:is>
      </x:c>
    </x:row>
    <x:row r="443" s="520" customFormat="1" ht="60" customHeight="1">
      <x:c r="A443" s="519" t="inlineStr">
        <x:is>
          <x:t xml:space="preserve">2012-002539</x:t>
        </x:is>
      </x:c>
      <x:c r="B443" s="536" t="n"/>
      <x:c r="C443" s="536" t="inlineStr">
        <x:is>
          <x:t xml:space="preserve">Assignment</x:t>
        </x:is>
      </x:c>
      <x:c r="D443" s="536" t="inlineStr">
        <x:is>
          <x:t xml:space="preserve">2129/1</x:t>
        </x:is>
      </x:c>
      <x:c r="E443" s="537" t="n">
        <x:v>41000</x:v>
      </x:c>
      <x:c r="F443" s="537" t="n">
        <x:v>41002</x:v>
      </x:c>
      <x:c r="G443" s="538" t="inlineStr">
        <x:is>
          <x:t xml:space="preserve">Chesapeake Exploration, LLC</x:t>
        </x:is>
      </x:c>
      <x:c r="H443" s="538" t="inlineStr">
        <x:is>
          <x:t xml:space="preserve">CHK Cleveland Tonkawa, LLC</x:t>
        </x:is>
      </x:c>
      <x:c r="I443" s="538" t="inlineStr">
        <x:is>
          <x:t xml:space="preserve">All of 31-12N-24W, aol</x:t>
        </x:is>
      </x:c>
      <x:c r="J443" s="538" t="inlineStr">
        <x:is>
          <x:t xml:space="preserve">99.9% of their interest</x:t>
        </x:is>
      </x:c>
      <x:c r="K443" s="518" t="e">
        <x:f>HYPERLINK("https://okcountyrecords.com/detail/roger+mills/2012-002539","OKCountyRecords: 2012-002539")</x:f>
      </x:c>
      <x:c r="L443" s="519" t="inlineStr">
        <x:is>
          <x:t xml:space="preserve">Leasehold (non-mineral; excluded from mineral NMA). All-section coverage. Gross=tract-map basis.</x:t>
        </x:is>
      </x:c>
      <x:c r="M443" s="519" t="n"/>
      <x:c r="N443" s="519" t="n"/>
      <x:c r="O443" s="519" t="inlineStr">
        <x:is>
          <x:t xml:space="preserve">OUTSIDE LANDS</x:t>
        </x:is>
      </x:c>
      <x:c r="P443" s="520" t="inlineStr">
        <x:is>
          <x:t xml:space="preserve">Chain — assignment (WI or minerals — read granting clause)</x:t>
        </x:is>
      </x:c>
      <x:c r="Q443" s="520" t="inlineStr">
        <x:is>
          <x:t xml:space="preserve">Review</x:t>
        </x:is>
      </x:c>
      <x:c r="R443" s="520" t="inlineStr">
        <x:is>
          <x:t xml:space="preserve">Yes</x:t>
        </x:is>
      </x:c>
      <x:c r="S443" s="520" t="inlineStr">
        <x:is>
          <x:t xml:space="preserve">Review</x:t>
        </x:is>
      </x:c>
      <x:c r="T443" s="520" t="inlineStr">
        <x:is>
          <x:t xml:space="preserve">Yes</x:t>
        </x:is>
      </x:c>
      <x:c r="U443" s="520" t="inlineStr">
        <x:is>
          <x:t xml:space="preserve">Yes: 1, 8 (broad legal)</x:t>
        </x:is>
      </x:c>
      <x:c r="V443" s="520" t="inlineStr">
        <x:is>
          <x:t xml:space="preserve">Medium</x:t>
        </x:is>
      </x:c>
      <x:c r="W443" s="520" t="inlineStr">
        <x:is>
          <x:t xml:space="preserve">Yes — prior grantee match</x:t>
        </x:is>
      </x:c>
      <x:c r="X443" s="520" t="inlineStr">
        <x:is>
          <x:t xml:space="preserve">Review</x:t>
        </x:is>
      </x:c>
      <x:c r="Y443" s="520" t="inlineStr">
        <x:is>
          <x:t xml:space="preserve">Interest amount needs review</x:t>
        </x:is>
      </x:c>
      <x:c r="Z443" s="520" t="inlineStr">
        <x:is>
          <x:t xml:space="preserve">Review</x:t>
        </x:is>
      </x:c>
      <x:c r="AA443" s="520" t="inlineStr">
        <x:is>
          <x:t xml:space="preserve">Assignment — Chesapeake Exploration, LLC to CHK Cleveland Tonkawa, LLC (2129/1)</x:t>
        </x:is>
      </x:c>
      <x:c r="AB443" s="520" t="inlineStr">
        <x:is>
          <x:t xml:space="preserve">Needs source review: interest amount</x:t>
        </x:is>
      </x:c>
    </x:row>
    <x:row r="444" s="520" customFormat="1" ht="48" customHeight="1">
      <x:c r="A444" s="519" t="inlineStr">
        <x:is>
          <x:t xml:space="preserve">2012-002930</x:t>
        </x:is>
      </x:c>
      <x:c r="B444" s="536" t="n"/>
      <x:c r="C444" s="536" t="inlineStr">
        <x:is>
          <x:t xml:space="preserve">Mineral Deed</x:t>
        </x:is>
      </x:c>
      <x:c r="D444" s="536" t="inlineStr">
        <x:is>
          <x:t xml:space="preserve">2131/599</x:t>
        </x:is>
      </x:c>
      <x:c r="E444" s="537" t="n">
        <x:v>41011</x:v>
      </x:c>
      <x:c r="F444" s="537" t="n">
        <x:v>41015</x:v>
      </x:c>
      <x:c r="G444" s="538" t="inlineStr">
        <x:is>
          <x:t xml:space="preserve">Jospeh A. Bain and Doris Bain, HW</x:t>
        </x:is>
      </x:c>
      <x:c r="H444" s="538" t="inlineStr">
        <x:is>
          <x:t xml:space="preserve">Lighthouse Point, LLC</x:t>
        </x:is>
      </x:c>
      <x:c r="I444" s="538" t="inlineStr">
        <x:is>
          <x:t xml:space="preserve">NW/4 SE/4, S/2 SE/4, SW/4 NE/4 of 31-12N-24W, aol</x:t>
        </x:is>
      </x:c>
      <x:c r="J444" s="538" t="inlineStr">
        <x:is>
          <x:t xml:space="preserve">3 NMA in 31-12N-24W,
A total of six (6) net mineral acres of Grantor's right, title and interest in and to all of the oil, gas and other minerals in and under 2 sections</x:t>
        </x:is>
      </x:c>
      <x:c r="K444" s="518" t="e">
        <x:f>HYPERLINK("https://okcountyrecords.com/detail/roger+mills/2012-002930","OKCountyRecords: 2012-002930")</x:f>
      </x:c>
      <x:c r="L444" s="519" t="inlineStr">
        <x:is>
          <x:t xml:space="preserve">Mineral; basis Conv Amt(dec). Gross=tract-map basis.</x:t>
        </x:is>
      </x:c>
      <x:c r="M444" s="519" t="inlineStr">
        <x:is>
          <x:t xml:space="preserve">REVIEW</x:t>
        </x:is>
      </x:c>
      <x:c r="N444" s="519" t="inlineStr">
        <x:is>
          <x:t xml:space="preserve">Conveys 3 NMA per notes; conv. dec = 3/gross. Verify denominator/tract from image.</x:t>
        </x:is>
      </x:c>
      <x:c r="O444" s="519" t="inlineStr">
        <x:is>
          <x:t xml:space="preserve">OUTSIDE LANDS</x:t>
        </x:is>
      </x:c>
      <x:c r="P444" s="520" t="inlineStr">
        <x:is>
          <x:t xml:space="preserve">Chain — minerals</x:t>
        </x:is>
      </x:c>
      <x:c r="Q444" s="520" t="inlineStr">
        <x:is>
          <x:t xml:space="preserve">Yes</x:t>
        </x:is>
      </x:c>
      <x:c r="R444" s="520" t="inlineStr">
        <x:is>
          <x:t xml:space="preserve">No</x:t>
        </x:is>
      </x:c>
      <x:c r="S444" s="520" t="inlineStr">
        <x:is>
          <x:t xml:space="preserve">Yes</x:t>
        </x:is>
      </x:c>
      <x:c r="T444" s="520" t="inlineStr">
        <x:is>
          <x:t xml:space="preserve">No</x:t>
        </x:is>
      </x:c>
      <x:c r="U444" s="520" t="inlineStr">
        <x:is>
          <x:t xml:space="preserve">Yes: 2 (legal supports)</x:t>
        </x:is>
      </x:c>
      <x:c r="V444" s="520" t="inlineStr">
        <x:is>
          <x:t xml:space="preserve">High</x:t>
        </x:is>
      </x:c>
      <x:c r="W444" s="520" t="inlineStr">
        <x:is>
          <x:t xml:space="preserve">Review — no exact prior-grantee match</x:t>
        </x:is>
      </x:c>
      <x:c r="X444" s="520" t="inlineStr">
        <x:is>
          <x:t xml:space="preserve">Yes — on Tract 2 owner list</x:t>
        </x:is>
      </x:c>
      <x:c r="Y444" s="520" t="inlineStr">
        <x:is>
          <x:t xml:space="preserve">Candidate 0.01875 (helper — confirm from image)</x:t>
        </x:is>
      </x:c>
      <x:c r="Z444" s="520" t="inlineStr">
        <x:is>
          <x:t xml:space="preserve">Medium — helper value</x:t>
        </x:is>
      </x:c>
      <x:c r="AA444" s="520" t="inlineStr">
        <x:is>
          <x:t xml:space="preserve">Mineral Deed — Jospeh A. Bain and Doris Bain, to Lighthouse Point, LLC (2131/599)</x:t>
        </x:is>
      </x:c>
      <x:c r="AB444" s="520" t="inlineStr">
        <x:is>
          <x:t xml:space="preserve">Needs source review: grantor source</x:t>
        </x:is>
      </x:c>
    </x:row>
    <x:row r="445" s="520" customFormat="1" ht="72" customHeight="1">
      <x:c r="A445" s="519" t="inlineStr">
        <x:is>
          <x:t xml:space="preserve">2012-004060</x:t>
        </x:is>
      </x:c>
      <x:c r="B445" s="536" t="n"/>
      <x:c r="C445" s="536" t="inlineStr">
        <x:is>
          <x:t xml:space="preserve">Mineral Deed</x:t>
        </x:is>
      </x:c>
      <x:c r="D445" s="536" t="inlineStr">
        <x:is>
          <x:t xml:space="preserve">2141/3</x:t>
        </x:is>
      </x:c>
      <x:c r="E445" s="537" t="n">
        <x:v>41059</x:v>
      </x:c>
      <x:c r="F445" s="537" t="n">
        <x:v>41061</x:v>
      </x:c>
      <x:c r="G445" s="538" t="inlineStr">
        <x:is>
          <x:t xml:space="preserve">OK Oil Ventures an unincorporated partnership comprising Gregory J. Winneke, Myron V. Slobin and the heirs of Lyle T. Ibeling, being: Michelle L Ibeling, Janelle Ibeling Ness, Joel R. Ibeling and Cassandra M. Wynia</x:t>
        </x:is>
      </x:c>
      <x:c r="H445" s="538" t="inlineStr">
        <x:is>
          <x:t xml:space="preserve">Gregory J. Winneke 33.33 %,
Myron V. Slobin 33.33%</x:t>
        </x:is>
      </x:c>
      <x:c r="I445" s="538" t="inlineStr">
        <x:is>
          <x:t xml:space="preserve">NW/4 SE/4, S/2 SE/4, SE/4 NE/4 of 31-12N-24W, aol</x:t>
        </x:is>
      </x:c>
      <x:c r="J445" s="538" t="inlineStr">
        <x:is>
          <x:t xml:space="preserve">all of his right, title and interest in and to all the oil, gas and any and all other minerals in 2 sections</x:t>
        </x:is>
      </x:c>
      <x:c r="K445" s="518" t="e">
        <x:f>HYPERLINK("https://okcountyrecords.com/detail/roger+mills/2012-004060","OKCountyRecords: 2012-004060")</x:f>
      </x:c>
      <x:c r="L445" s="519" t="inlineStr">
        <x:is>
          <x:t xml:space="preserve">Mineral; basis Conv Amt(dec). Gross=tract-map basis.</x:t>
        </x:is>
      </x:c>
      <x:c r="M445" s="519" t="inlineStr">
        <x:is>
          <x:t xml:space="preserve">CURRENT OWNER SOURCE</x:t>
        </x:is>
      </x:c>
      <x:c r="N445" s="519" t="n"/>
      <x:c r="O445" s="519" t="inlineStr">
        <x:is>
          <x:t xml:space="preserve">OUTSIDE LANDS</x:t>
        </x:is>
      </x:c>
      <x:c r="P445" s="520" t="inlineStr">
        <x:is>
          <x:t xml:space="preserve">Chain — minerals</x:t>
        </x:is>
      </x:c>
      <x:c r="Q445" s="520" t="inlineStr">
        <x:is>
          <x:t xml:space="preserve">Yes</x:t>
        </x:is>
      </x:c>
      <x:c r="R445" s="520" t="inlineStr">
        <x:is>
          <x:t xml:space="preserve">No</x:t>
        </x:is>
      </x:c>
      <x:c r="S445" s="520" t="inlineStr">
        <x:is>
          <x:t xml:space="preserve">Yes</x:t>
        </x:is>
      </x:c>
      <x:c r="T445" s="520" t="inlineStr">
        <x:is>
          <x:t xml:space="preserve">No</x:t>
        </x:is>
      </x:c>
      <x:c r="U445" s="520" t="inlineStr">
        <x:is>
          <x:t xml:space="preserve">Yes: 2, 3 (legal supports)</x:t>
        </x:is>
      </x:c>
      <x:c r="V445" s="520" t="inlineStr">
        <x:is>
          <x:t xml:space="preserve">High</x:t>
        </x:is>
      </x:c>
      <x:c r="W445" s="520" t="inlineStr">
        <x:is>
          <x:t xml:space="preserve">Probable — name-normalized match to Runsheet 225 grantee; confirm</x:t>
        </x:is>
      </x:c>
      <x:c r="X445" s="520" t="inlineStr">
        <x:is>
          <x:t xml:space="preserve">Review</x:t>
        </x:is>
      </x:c>
      <x:c r="Y445" s="520" t="inlineStr">
        <x:is>
          <x:t xml:space="preserve">Candidate 1 (helper — confirm from image)</x:t>
        </x:is>
      </x:c>
      <x:c r="Z445" s="520" t="inlineStr">
        <x:is>
          <x:t xml:space="preserve">Medium — helper value</x:t>
        </x:is>
      </x:c>
      <x:c r="AA445" s="520" t="inlineStr">
        <x:is>
          <x:t xml:space="preserve">Mineral Deed — OK Oil Ventures an unincorpora to Gregory J. Winneke 33.33 %, (2141/3)</x:t>
        </x:is>
      </x:c>
      <x:c r="AB445" s="520" t="inlineStr">
        <x:is>
          <x:t xml:space="preserve">Needs source review: grantor source</x:t>
        </x:is>
      </x:c>
    </x:row>
    <x:row r="446" s="520" customFormat="1" ht="48" customHeight="1">
      <x:c r="A446" s="519" t="inlineStr">
        <x:is>
          <x:t xml:space="preserve">2012-006477</x:t>
        </x:is>
      </x:c>
      <x:c r="B446" s="536" t="n"/>
      <x:c r="C446" s="536" t="inlineStr">
        <x:is>
          <x:t xml:space="preserve">Assignment of ORRI</x:t>
        </x:is>
      </x:c>
      <x:c r="D446" s="536" t="inlineStr">
        <x:is>
          <x:t xml:space="preserve">2159/361</x:t>
        </x:is>
      </x:c>
      <x:c r="E446" s="537" t="n">
        <x:v>41074</x:v>
      </x:c>
      <x:c r="F446" s="537" t="n">
        <x:v>41173</x:v>
      </x:c>
      <x:c r="G446" s="538" t="inlineStr">
        <x:is>
          <x:t xml:space="preserve">Yale Oil Assoc, Inc.</x:t>
        </x:is>
      </x:c>
      <x:c r="H446" s="538" t="inlineStr">
        <x:is>
          <x:t xml:space="preserve">Chelin H. Satherlie,
Gregg M. Satherlie</x:t>
        </x:is>
      </x:c>
      <x:c r="I446" s="538" t="inlineStr">
        <x:is>
          <x:t xml:space="preserve">Lots 1-3 of 31-12N-24W</x:t>
        </x:is>
      </x:c>
      <x:c r="J446" s="538" t="inlineStr">
        <x:is>
          <x:t xml:space="preserve">ORRI</x:t>
        </x:is>
      </x:c>
      <x:c r="K446" s="518" t="e">
        <x:f>HYPERLINK("https://okcountyrecords.com/detail/roger+mills/2012-006477","OKCountyRecords: 2012-006477")</x:f>
      </x:c>
      <x:c r="L446" s="519" t="inlineStr">
        <x:is>
          <x:t xml:space="preserve">Leasehold (non-mineral; excluded from mineral NMA). Gross=tract-map basis.</x:t>
        </x:is>
      </x:c>
      <x:c r="M446" s="519" t="inlineStr">
        <x:is>
          <x:t xml:space="preserve">Confirm lease effect</x:t>
        </x:is>
      </x:c>
      <x:c r="N446" s="519" t="n"/>
      <x:c r="O446" s="519" t="inlineStr">
        <x:is>
          <x:t xml:space="preserve">LEASE ASSIGNMENT</x:t>
        </x:is>
      </x:c>
      <x:c r="P446" s="520" t="inlineStr">
        <x:is>
          <x:t xml:space="preserve">Chain — ORRI (burden on WI)</x:t>
        </x:is>
      </x:c>
      <x:c r="Q446" s="520" t="inlineStr">
        <x:is>
          <x:t xml:space="preserve">No</x:t>
        </x:is>
      </x:c>
      <x:c r="R446" s="520" t="inlineStr">
        <x:is>
          <x:t xml:space="preserve">Review</x:t>
        </x:is>
      </x:c>
      <x:c r="S446" s="520" t="inlineStr">
        <x:is>
          <x:t xml:space="preserve">No</x:t>
        </x:is>
      </x:c>
      <x:c r="T446" s="520" t="inlineStr">
        <x:is>
          <x:t xml:space="preserve">Yes</x:t>
        </x:is>
      </x:c>
      <x:c r="U446" s="520" t="inlineStr">
        <x:is>
          <x:t xml:space="preserve">Yes: 5 (legal supports)</x:t>
        </x:is>
      </x:c>
      <x:c r="V446" s="520" t="inlineStr">
        <x:is>
          <x:t xml:space="preserve">High</x:t>
        </x:is>
      </x:c>
      <x:c r="W446" s="520" t="inlineStr">
        <x:is>
          <x:t xml:space="preserve">Review — no exact prior-grantee match</x:t>
        </x:is>
      </x:c>
      <x:c r="X446" s="520" t="inlineStr">
        <x:is>
          <x:t xml:space="preserve">Review</x:t>
        </x:is>
      </x:c>
      <x:c r="Y446" s="520" t="inlineStr">
        <x:is>
          <x:t xml:space="preserve">Interest amount needs review</x:t>
        </x:is>
      </x:c>
      <x:c r="Z446" s="520" t="inlineStr">
        <x:is>
          <x:t xml:space="preserve">Review</x:t>
        </x:is>
      </x:c>
      <x:c r="AA446" s="520" t="inlineStr">
        <x:is>
          <x:t xml:space="preserve">Assignment of ORRI — Yale Oil Assoc, Inc. to Chelin H. Satherlie, (2159/361)</x:t>
        </x:is>
      </x:c>
      <x:c r="AB446" s="520" t="inlineStr">
        <x:is>
          <x:t xml:space="preserve">Needs source review: grantor source, interest amount</x:t>
        </x:is>
      </x:c>
    </x:row>
    <x:row r="447" s="520" customFormat="1" ht="60" customHeight="1">
      <x:c r="A447" s="519" t="inlineStr">
        <x:is>
          <x:t xml:space="preserve">2012-004836</x:t>
        </x:is>
      </x:c>
      <x:c r="B447" s="536" t="n"/>
      <x:c r="C447" s="536" t="inlineStr">
        <x:is>
          <x:t xml:space="preserve">Power of Attorney</x:t>
        </x:is>
      </x:c>
      <x:c r="D447" s="536" t="inlineStr">
        <x:is>
          <x:t xml:space="preserve">2147/239</x:t>
        </x:is>
      </x:c>
      <x:c r="E447" s="537" t="n">
        <x:v>41092</x:v>
      </x:c>
      <x:c r="F447" s="537" t="n">
        <x:v>41095</x:v>
      </x:c>
      <x:c r="G447" s="538" t="inlineStr">
        <x:is>
          <x:t xml:space="preserve">Kaiser-francis Oil Co.</x:t>
        </x:is>
      </x:c>
      <x:c r="H447" s="538" t="inlineStr">
        <x:is>
          <x:t xml:space="preserve">Craig Aif Dolinsky</x:t>
        </x:is>
      </x:c>
      <x:c r="I447" s="538" t="inlineStr">
        <x:is>
          <x:t xml:space="preserve">All of 31-12N-24W, aol</x:t>
        </x:is>
      </x:c>
      <x:c r="J447" s="538" t="inlineStr">
        <x:is>
          <x:t xml:space="preserve">See instrument</x:t>
        </x:is>
      </x:c>
      <x:c r="K447" s="518" t="e">
        <x:f>HYPERLINK("https://okcountyrecords.com/detail/roger+mills/2012-004836","OKCountyRecords: 2012-004836")</x:f>
      </x:c>
      <x:c r="L447" s="519" t="inlineStr">
        <x:is>
          <x:t xml:space="preserve">Other (non-mineral; excluded from mineral NMA). All-section coverage. Gross=tract-map basis.</x:t>
        </x:is>
      </x:c>
      <x:c r="M447" s="519" t="inlineStr">
        <x:is>
          <x:t xml:space="preserve">ADDRESS SOURCE LIKELY</x:t>
        </x:is>
      </x:c>
      <x:c r="N447" s="519" t="n"/>
      <x:c r="O447" s="519" t="inlineStr">
        <x:is>
          <x:t xml:space="preserve">OUTSIDE LANDS</x:t>
        </x:is>
      </x:c>
      <x:c r="P447" s="520" t="inlineStr">
        <x:is>
          <x:t xml:space="preserve">Do Not Chain — POA, no interest conveyed</x:t>
        </x:is>
      </x:c>
      <x:c r="Q447" s="520" t="inlineStr">
        <x:is>
          <x:t xml:space="preserve">No</x:t>
        </x:is>
      </x:c>
      <x:c r="R447" s="520" t="inlineStr">
        <x:is>
          <x:t xml:space="preserve">No</x:t>
        </x:is>
      </x:c>
      <x:c r="S447" s="520" t="inlineStr">
        <x:is>
          <x:t xml:space="preserve">No</x:t>
        </x:is>
      </x:c>
      <x:c r="T447" s="520" t="inlineStr">
        <x:is>
          <x:t xml:space="preserve">No</x:t>
        </x:is>
      </x:c>
      <x:c r="U447" s="520" t="inlineStr">
        <x:is>
          <x:t xml:space="preserve">Yes: 1, 8 (broad legal)</x:t>
        </x:is>
      </x:c>
      <x:c r="V447" s="520" t="inlineStr">
        <x:is>
          <x:t xml:space="preserve">Medium</x:t>
        </x:is>
      </x:c>
      <x:c r="W447" s="520" t="inlineStr">
        <x:is>
          <x:t xml:space="preserve">Yes — prior grantee match</x:t>
        </x:is>
      </x:c>
      <x:c r="X447" s="520" t="inlineStr">
        <x:is>
          <x:t xml:space="preserve">Review</x:t>
        </x:is>
      </x:c>
      <x:c r="Y447" s="520" t="inlineStr">
        <x:is>
          <x:t xml:space="preserve">Interest amount needs review</x:t>
        </x:is>
      </x:c>
      <x:c r="Z447" s="520" t="inlineStr">
        <x:is>
          <x:t xml:space="preserve">Review</x:t>
        </x:is>
      </x:c>
      <x:c r="AA447" s="520" t="inlineStr">
        <x:is>
          <x:t xml:space="preserve">Power of Attorney — Kaiser-francis Oil Co. to Craig Aif Dolinsky (2147/239)</x:t>
        </x:is>
      </x:c>
    </x:row>
    <x:row r="448" s="520" customFormat="1" ht="48" customHeight="1">
      <x:c r="A448" s="519" t="inlineStr">
        <x:is>
          <x:t xml:space="preserve">2012-007511</x:t>
        </x:is>
      </x:c>
      <x:c r="B448" s="536" t="n"/>
      <x:c r="C448" s="536" t="inlineStr">
        <x:is>
          <x:t xml:space="preserve">Assignment of ORRI</x:t>
        </x:is>
      </x:c>
      <x:c r="D448" s="536" t="inlineStr">
        <x:is>
          <x:t xml:space="preserve">2166/194</x:t>
        </x:is>
      </x:c>
      <x:c r="E448" s="537" t="n">
        <x:v>41215</x:v>
      </x:c>
      <x:c r="F448" s="537" t="n">
        <x:v>41227</x:v>
      </x:c>
      <x:c r="G448" s="538" t="inlineStr">
        <x:is>
          <x:t xml:space="preserve">Yale Oil Association, Inc.</x:t>
        </x:is>
      </x:c>
      <x:c r="H448" s="538" t="inlineStr">
        <x:is>
          <x:t xml:space="preserve">K. C. Production</x:t>
        </x:is>
      </x:c>
      <x:c r="I448" s="538" t="inlineStr">
        <x:is>
          <x:t xml:space="preserve">Lots 1,2, N/2 of 3 of 31-12N-24W</x:t>
        </x:is>
      </x:c>
      <x:c r="J448" s="538" t="inlineStr">
        <x:is>
          <x:t xml:space="preserve">ORRI</x:t>
        </x:is>
      </x:c>
      <x:c r="K448" s="518" t="e">
        <x:f>HYPERLINK("https://okcountyrecords.com/detail/roger+mills/2012-007511","OKCountyRecords: 2012-007511")</x:f>
      </x:c>
      <x:c r="L448" s="519" t="inlineStr">
        <x:is>
          <x:t xml:space="preserve">Leasehold (non-mineral; excluded from mineral NMA). Gross=tract-map basis.</x:t>
        </x:is>
      </x:c>
      <x:c r="M448" s="519" t="inlineStr">
        <x:is>
          <x:t xml:space="preserve">Confirm lease effect</x:t>
        </x:is>
      </x:c>
      <x:c r="N448" s="519" t="n"/>
      <x:c r="O448" s="519" t="inlineStr">
        <x:is>
          <x:t xml:space="preserve">LEASE ASSIGNMENT</x:t>
        </x:is>
      </x:c>
      <x:c r="P448" s="520" t="inlineStr">
        <x:is>
          <x:t xml:space="preserve">Chain — ORRI (burden on WI)</x:t>
        </x:is>
      </x:c>
      <x:c r="Q448" s="520" t="inlineStr">
        <x:is>
          <x:t xml:space="preserve">No</x:t>
        </x:is>
      </x:c>
      <x:c r="R448" s="520" t="inlineStr">
        <x:is>
          <x:t xml:space="preserve">Review</x:t>
        </x:is>
      </x:c>
      <x:c r="S448" s="520" t="inlineStr">
        <x:is>
          <x:t xml:space="preserve">No</x:t>
        </x:is>
      </x:c>
      <x:c r="T448" s="520" t="inlineStr">
        <x:is>
          <x:t xml:space="preserve">Yes</x:t>
        </x:is>
      </x:c>
      <x:c r="U448" s="520" t="inlineStr">
        <x:is>
          <x:t xml:space="preserve">Yes: 5 (legal supports)</x:t>
        </x:is>
      </x:c>
      <x:c r="V448" s="520" t="inlineStr">
        <x:is>
          <x:t xml:space="preserve">High</x:t>
        </x:is>
      </x:c>
      <x:c r="W448" s="520" t="inlineStr">
        <x:is>
          <x:t xml:space="preserve">Yes — prior grantee match</x:t>
        </x:is>
      </x:c>
      <x:c r="X448" s="520" t="inlineStr">
        <x:is>
          <x:t xml:space="preserve">Review</x:t>
        </x:is>
      </x:c>
      <x:c r="Y448" s="520" t="inlineStr">
        <x:is>
          <x:t xml:space="preserve">Interest amount needs review</x:t>
        </x:is>
      </x:c>
      <x:c r="Z448" s="520" t="inlineStr">
        <x:is>
          <x:t xml:space="preserve">Review</x:t>
        </x:is>
      </x:c>
      <x:c r="AA448" s="520" t="inlineStr">
        <x:is>
          <x:t xml:space="preserve">Assignment of ORRI — Yale Oil Association, Inc. to K. C. Production (2166/194)</x:t>
        </x:is>
      </x:c>
      <x:c r="AB448" s="520" t="inlineStr">
        <x:is>
          <x:t xml:space="preserve">Needs source review: interest amount</x:t>
        </x:is>
      </x:c>
    </x:row>
    <x:row r="449" s="520" customFormat="1" ht="60" customHeight="1">
      <x:c r="A449" s="519" t="inlineStr">
        <x:is>
          <x:t xml:space="preserve">2013-002047</x:t>
        </x:is>
      </x:c>
      <x:c r="B449" s="536" t="n">
        <x:v>42</x:v>
      </x:c>
      <x:c r="C449" s="536" t="inlineStr">
        <x:is>
          <x:t xml:space="preserve">Memorandum</x:t>
        </x:is>
      </x:c>
      <x:c r="D449" s="536" t="inlineStr">
        <x:is>
          <x:t xml:space="preserve">2179/1</x:t>
        </x:is>
      </x:c>
      <x:c r="E449" s="537" t="n">
        <x:v>41255</x:v>
      </x:c>
      <x:c r="F449" s="537" t="n">
        <x:v>41318</x:v>
      </x:c>
      <x:c r="G449" s="538" t="inlineStr">
        <x:is>
          <x:t xml:space="preserve">Chesapeake Midstream Development</x:t>
        </x:is>
      </x:c>
      <x:c r="H449" s="538" t="inlineStr">
        <x:is>
          <x:t xml:space="preserve">Compass Bank</x:t>
        </x:is>
      </x:c>
      <x:c r="I449" s="538" t="inlineStr">
        <x:is>
          <x:t xml:space="preserve">S29 T16N R22W A S22 T16N R25W A 322 more candidate from related target search page of 31-12N-24W, aol</x:t>
        </x:is>
      </x:c>
      <x:c r="J449" s="538" t="inlineStr">
        <x:is>
          <x:t xml:space="preserve">Provides record notice of lease</x:t>
        </x:is>
      </x:c>
      <x:c r="K449" s="518" t="e">
        <x:f>HYPERLINK("https://okcountyrecords.com/detail/roger+mills/2013-002047","OKCountyRecords: 2013-002047")</x:f>
      </x:c>
      <x:c r="L449" s="519" t="inlineStr">
        <x:is>
          <x:t xml:space="preserve">Leasehold (non-mineral; excluded from mineral NMA). All-section coverage. Gross=tract-map basis.</x:t>
        </x:is>
      </x:c>
      <x:c r="M449" s="519" t="inlineStr">
        <x:is>
          <x:t xml:space="preserve">CURRENT LEASE SOURCE</x:t>
        </x:is>
      </x:c>
      <x:c r="N449" s="519" t="n"/>
      <x:c r="O449" s="519" t="inlineStr">
        <x:is>
          <x:t xml:space="preserve">OUTSIDE LANDS</x:t>
        </x:is>
      </x:c>
      <x:c r="P449" s="520" t="inlineStr">
        <x:is>
          <x:t xml:space="preserve">Review — read instrument (type unclear)</x:t>
        </x:is>
      </x:c>
      <x:c r="Q449" s="520" t="inlineStr">
        <x:is>
          <x:t xml:space="preserve">Review</x:t>
        </x:is>
      </x:c>
      <x:c r="R449" s="520" t="inlineStr">
        <x:is>
          <x:t xml:space="preserve">Review</x:t>
        </x:is>
      </x:c>
      <x:c r="S449" s="520" t="inlineStr">
        <x:is>
          <x:t xml:space="preserve">Review</x:t>
        </x:is>
      </x:c>
      <x:c r="T449" s="520" t="inlineStr">
        <x:is>
          <x:t xml:space="preserve">Review</x:t>
        </x:is>
      </x:c>
      <x:c r="U449" s="520" t="inlineStr">
        <x:is>
          <x:t xml:space="preserve">Yes: 1, 8 (broad legal)</x:t>
        </x:is>
      </x:c>
      <x:c r="V449" s="520" t="inlineStr">
        <x:is>
          <x:t xml:space="preserve">Medium</x:t>
        </x:is>
      </x:c>
      <x:c r="W449" s="520" t="inlineStr">
        <x:is>
          <x:t xml:space="preserve">Review — no exact prior-grantee match</x:t>
        </x:is>
      </x:c>
      <x:c r="X449" s="520" t="inlineStr">
        <x:is>
          <x:t xml:space="preserve">Review</x:t>
        </x:is>
      </x:c>
      <x:c r="Y449" s="520" t="inlineStr">
        <x:is>
          <x:t xml:space="preserve">Interest amount needs review</x:t>
        </x:is>
      </x:c>
      <x:c r="Z449" s="520" t="inlineStr">
        <x:is>
          <x:t xml:space="preserve">Review</x:t>
        </x:is>
      </x:c>
      <x:c r="AA449" s="520" t="inlineStr">
        <x:is>
          <x:t xml:space="preserve">Memorandum — Chesapeake Midstream Developme to Compass Bank (2179/1)</x:t>
        </x:is>
      </x:c>
      <x:c r="AB449" s="520" t="inlineStr">
        <x:is>
          <x:t xml:space="preserve">Needs source review: grantor source, interest amount, instrument type</x:t>
        </x:is>
      </x:c>
    </x:row>
    <x:row r="450" s="520" customFormat="1" ht="72" customHeight="1">
      <x:c r="A450" s="519" t="inlineStr">
        <x:is>
          <x:t xml:space="preserve">2013-000518</x:t>
        </x:is>
      </x:c>
      <x:c r="B450" s="536" t="n"/>
      <x:c r="C450" s="536" t="inlineStr">
        <x:is>
          <x:t xml:space="preserve">Order Allowing Final Account and Decree of Distribution and Final Discharge</x:t>
        </x:is>
      </x:c>
      <x:c r="D450" s="536" t="inlineStr">
        <x:is>
          <x:t xml:space="preserve">2177/33</x:t>
        </x:is>
      </x:c>
      <x:c r="E450" s="537" t="n">
        <x:v>41290</x:v>
      </x:c>
      <x:c r="F450" s="537" t="n">
        <x:v>41304</x:v>
      </x:c>
      <x:c r="G450" s="538" t="inlineStr">
        <x:is>
          <x:t xml:space="preserve">Kiowa County Court,
RE: In the Matter of the Probate of The Last Will and Testament
of Nancy Mitchell WILLIAMS, Deceased</x:t>
        </x:is>
      </x:c>
      <x:c r="H450" s="538" t="inlineStr">
        <x:is>
          <x:t xml:space="preserve">Gene G. Williams</x:t>
        </x:is>
      </x:c>
      <x:c r="I450" s="538" t="inlineStr">
        <x:is>
          <x:t xml:space="preserve">E/2 NW/4, N/2 NE/4, N/2 NE/4 SW/4, NE/4 SE/4, SE/4 NE/4, SE/4 NE/4 SW/4 S/2 of Lot 3, Lot 4, SE/4 SW/4 of 31-12N-24W, aol</x:t>
        </x:is>
      </x:c>
      <x:c r="J450" s="538" t="inlineStr">
        <x:is>
          <x:t xml:space="preserve">ARTI,
An undivided 1/8th (37.50 acre) interest in the oil, gas and other minerals in the N/2 NE/4 and E/2 NW/4 and SE/4 NE/4 and NE/4 SE/4 and SE/4 SW/4 and N/2 NE/4 SW/4, of Section 31, Township 12 North, Range 24 W.I.M., Roger Mills, County, Oklahoma, containing 300.00 acres. more or less; … Full recital in recorded instrument — see Link.</x:t>
        </x:is>
      </x:c>
      <x:c r="K450" s="518" t="e">
        <x:f>HYPERLINK("https://okcountyrecords.com/detail/roger+mills/2013-000518","OKCountyRecords: 2013-000518")</x:f>
      </x:c>
      <x:c r="L450" s="519" t="inlineStr">
        <x:is>
          <x:t xml:space="preserve">Mineral; basis Conv Amt(dec). Gross=tract-map basis.</x:t>
        </x:is>
      </x:c>
      <x:c r="M450" s="519" t="inlineStr">
        <x:is>
          <x:t xml:space="preserve">CURRENT OWNER SOURCE</x:t>
        </x:is>
      </x:c>
      <x:c r="N450" s="519" t="n"/>
      <x:c r="O450" s="519" t="inlineStr">
        <x:is>
          <x:t xml:space="preserve">OUTSIDE LANDS</x:t>
        </x:is>
      </x:c>
      <x:c r="P450" s="520" t="inlineStr">
        <x:is>
          <x:t xml:space="preserve">Chain — title support (succession/entity/probate)</x:t>
        </x:is>
      </x:c>
      <x:c r="Q450" s="520" t="inlineStr">
        <x:is>
          <x:t xml:space="preserve">Yes</x:t>
        </x:is>
      </x:c>
      <x:c r="R450" s="520" t="inlineStr">
        <x:is>
          <x:t xml:space="preserve">No</x:t>
        </x:is>
      </x:c>
      <x:c r="S450" s="520" t="inlineStr">
        <x:is>
          <x:t xml:space="preserve">Yes</x:t>
        </x:is>
      </x:c>
      <x:c r="T450" s="520" t="inlineStr">
        <x:is>
          <x:t xml:space="preserve">No</x:t>
        </x:is>
      </x:c>
      <x:c r="U450" s="520" t="inlineStr">
        <x:is>
          <x:t xml:space="preserve">Legal maps to 1, 3, 4, 5, 7, 9, 10; helper says 1, 3, 4, 5, 6, 7, 8</x:t>
        </x:is>
      </x:c>
      <x:c r="V450" s="520" t="inlineStr">
        <x:is>
          <x:t xml:space="preserve">Review</x:t>
        </x:is>
      </x:c>
      <x:c r="W450" s="520" t="inlineStr">
        <x:is>
          <x:t xml:space="preserve">Review — no exact prior-grantee match</x:t>
        </x:is>
      </x:c>
      <x:c r="X450" s="520" t="inlineStr">
        <x:is>
          <x:t xml:space="preserve">Yes — on Tract 1 owner list</x:t>
        </x:is>
      </x:c>
      <x:c r="Y450" s="520" t="inlineStr">
        <x:is>
          <x:t xml:space="preserve">Candidate 1 (helper — confirm from image)</x:t>
        </x:is>
      </x:c>
      <x:c r="Z450" s="520" t="inlineStr">
        <x:is>
          <x:t xml:space="preserve">Medium — helper value</x:t>
        </x:is>
      </x:c>
      <x:c r="AA450" s="520" t="inlineStr">
        <x:is>
          <x:t xml:space="preserve">Order Allowing Final Account and — Kiowa County Court, to Gene G. Williams (2177/33)</x:t>
        </x:is>
      </x:c>
      <x:c r="AB450" s="520" t="inlineStr">
        <x:is>
          <x:t xml:space="preserve">Needs source review: tract, grantor source</x:t>
        </x:is>
      </x:c>
    </x:row>
    <x:row r="451" s="520" customFormat="1" ht="132" customHeight="1">
      <x:c r="A451" s="519" t="inlineStr">
        <x:is>
          <x:t xml:space="preserve">2013-001272</x:t>
        </x:is>
      </x:c>
      <x:c r="B451" s="536" t="n"/>
      <x:c r="C451" s="536" t="inlineStr">
        <x:is>
          <x:t xml:space="preserve">Correction Mineral Deed</x:t>
        </x:is>
      </x:c>
      <x:c r="D451" s="536" t="inlineStr">
        <x:is>
          <x:t xml:space="preserve">2182/95</x:t>
        </x:is>
      </x:c>
      <x:c r="E451" s="537" t="n">
        <x:v>41340</x:v>
      </x:c>
      <x:c r="F451" s="537" t="n">
        <x:v>41346</x:v>
      </x:c>
      <x:c r="G451" s="538" t="inlineStr">
        <x:is>
          <x:t xml:space="preserve">Chisholm Royalty Partners</x:t>
        </x:is>
      </x:c>
      <x:c r="H451" s="538" t="inlineStr">
        <x:is>
          <x:t xml:space="preserve">Fleshman Agency, Inc.</x:t>
        </x:is>
      </x:c>
      <x:c r="I451" s="538" t="inlineStr">
        <x:is>
          <x:t xml:space="preserve">Lots One (1) and Lot Two (2) and the North Half of Lot Three (3) of Section 31, also described as follows: Beginning at the Northwest Corner of the Northwest Quarter of Section 31, thence East on Section Line 18.20 chains (or 72.8 rods), thence South 50 chains (or 200 rods), thence West 18.20 chains (or 72.8 rods), Thence North on Range Line 50 chains (or 200 rods) to point of beginning of Section 31, Township 12 North, Range 24 West</x:t>
        </x:is>
      </x:c>
      <x:c r="J451" s="538" t="inlineStr">
        <x:is>
          <x:t xml:space="preserve">An undivided five (5) net acres</x:t>
        </x:is>
      </x:c>
      <x:c r="K451" s="518" t="e">
        <x:f>HYPERLINK("https://okcountyrecords.com/detail/roger+mills/2013-001272","OKCountyRecords: 2013-001272")</x:f>
      </x:c>
      <x:c r="L451" s="519" t="inlineStr">
        <x:is>
          <x:t xml:space="preserve">Mineral; basis Conv Amt(dec). All-section coverage. Gross=tract-map basis.</x:t>
        </x:is>
      </x:c>
      <x:c r="M451" s="519" t="inlineStr">
        <x:is>
          <x:t xml:space="preserve">REVIEW</x:t>
        </x:is>
      </x:c>
      <x:c r="N451" s="519" t="inlineStr">
        <x:is>
          <x:t xml:space="preserve">Confirm whether row conveys mineral interest</x:t>
        </x:is>
      </x:c>
      <x:c r="O451" s="519" t="inlineStr">
        <x:is>
          <x:t xml:space="preserve">MINERAL DEED</x:t>
        </x:is>
      </x:c>
      <x:c r="P451" s="520" t="inlineStr">
        <x:is>
          <x:t xml:space="preserve">Chain — minerals</x:t>
        </x:is>
      </x:c>
      <x:c r="Q451" s="520" t="inlineStr">
        <x:is>
          <x:t xml:space="preserve">Yes</x:t>
        </x:is>
      </x:c>
      <x:c r="R451" s="520" t="inlineStr">
        <x:is>
          <x:t xml:space="preserve">No</x:t>
        </x:is>
      </x:c>
      <x:c r="S451" s="520" t="inlineStr">
        <x:is>
          <x:t xml:space="preserve">Yes</x:t>
        </x:is>
      </x:c>
      <x:c r="T451" s="520" t="inlineStr">
        <x:is>
          <x:t xml:space="preserve">No</x:t>
        </x:is>
      </x:c>
      <x:c r="U451" s="520" t="inlineStr">
        <x:is>
          <x:t xml:space="preserve">Yes: 1, 8 (broad legal)</x:t>
        </x:is>
      </x:c>
      <x:c r="V451" s="520" t="inlineStr">
        <x:is>
          <x:t xml:space="preserve">Medium</x:t>
        </x:is>
      </x:c>
      <x:c r="W451" s="520" t="inlineStr">
        <x:is>
          <x:t xml:space="preserve">Yes — prior grantee match</x:t>
        </x:is>
      </x:c>
      <x:c r="X451" s="520" t="inlineStr">
        <x:is>
          <x:t xml:space="preserve">Review</x:t>
        </x:is>
      </x:c>
      <x:c r="Y451" s="520" t="inlineStr">
        <x:is>
          <x:t xml:space="preserve">Candidate 0.0078125 (helper — confirm from image)</x:t>
        </x:is>
      </x:c>
      <x:c r="Z451" s="520" t="inlineStr">
        <x:is>
          <x:t xml:space="preserve">Medium — helper value</x:t>
        </x:is>
      </x:c>
      <x:c r="AA451" s="520" t="inlineStr">
        <x:is>
          <x:t xml:space="preserve">Correction Mineral Deed — Chisholm Royalty Partners to Fleshman Agency, Inc. (2182/95)</x:t>
        </x:is>
      </x:c>
    </x:row>
    <x:row r="452" s="520" customFormat="1" ht="132" customHeight="1">
      <x:c r="A452" s="519" t="inlineStr">
        <x:is>
          <x:t xml:space="preserve">2013-001724</x:t>
        </x:is>
      </x:c>
      <x:c r="B452" s="536" t="n"/>
      <x:c r="C452" s="536" t="inlineStr">
        <x:is>
          <x:t xml:space="preserve">Quit Claim Mineral Deed</x:t>
        </x:is>
      </x:c>
      <x:c r="D452" s="536" t="inlineStr">
        <x:is>
          <x:t xml:space="preserve">2184/570</x:t>
        </x:is>
      </x:c>
      <x:c r="E452" s="537" t="n">
        <x:v>41368</x:v>
      </x:c>
      <x:c r="F452" s="537" t="n">
        <x:v>41372</x:v>
      </x:c>
      <x:c r="G452" s="538" t="inlineStr">
        <x:is>
          <x:t xml:space="preserve">Fleshman Agency, Inc.</x:t>
        </x:is>
      </x:c>
      <x:c r="H452" s="538" t="inlineStr">
        <x:is>
          <x:t xml:space="preserve">Mekusukey Oil Company, LLC</x:t>
        </x:is>
      </x:c>
      <x:c r="I452" s="538" t="inlineStr">
        <x:is>
          <x:t xml:space="preserve">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Section 31, Township 12-North, Range 24-West of the Indian Meridian: Containing 92.085 acres, more or less</x:t>
        </x:is>
      </x:c>
      <x:c r="J452" s="538" t="inlineStr">
        <x:is>
          <x:t xml:space="preserve">An undivided 2.00 net mineral acre interest,
(The Grantor is hereby executing this QCMD for the sole purpose of clarifying record title ownership for Mekusukey Oil Company, LLC, which pertains to that certain conveyance between Fleshman Agencyy, Inc. … Full recital in recorded instrument — see Link.</x:t>
        </x:is>
      </x:c>
      <x:c r="K452" s="518" t="e">
        <x:f>HYPERLINK("https://okcountyrecords.com/detail/roger+mills/2013-001724","OKCountyRecords: 2013-001724")</x:f>
      </x:c>
      <x:c r="L452" s="519" t="inlineStr">
        <x:is>
          <x:t xml:space="preserve">Mineral; basis Conv Amt(dec). Gross=tract-map basis.</x:t>
        </x:is>
      </x:c>
      <x:c r="M452" s="519" t="inlineStr">
        <x:is>
          <x:t xml:space="preserve">REVIEW</x:t>
        </x:is>
      </x:c>
      <x:c r="N452" s="519" t="inlineStr">
        <x:is>
          <x:t xml:space="preserve">Denominator / tract allocation for 2.00 NMA from instrument image</x:t>
        </x:is>
      </x:c>
      <x:c r="O452" s="519" t="inlineStr">
        <x:is>
          <x:t xml:space="preserve">MINERAL DEED</x:t>
        </x:is>
      </x:c>
      <x:c r="P452" s="520" t="inlineStr">
        <x:is>
          <x:t xml:space="preserve">Chain — minerals</x:t>
        </x:is>
      </x:c>
      <x:c r="Q452" s="520" t="inlineStr">
        <x:is>
          <x:t xml:space="preserve">Yes</x:t>
        </x:is>
      </x:c>
      <x:c r="R452" s="520" t="inlineStr">
        <x:is>
          <x:t xml:space="preserve">No</x:t>
        </x:is>
      </x:c>
      <x:c r="S452" s="520" t="inlineStr">
        <x:is>
          <x:t xml:space="preserve">Yes</x:t>
        </x:is>
      </x:c>
      <x:c r="T452" s="520" t="inlineStr">
        <x:is>
          <x:t xml:space="preserve">No</x:t>
        </x:is>
      </x:c>
      <x:c r="U452" s="520" t="inlineStr">
        <x:is>
          <x:t xml:space="preserve">Yes: 5, 6 (legal supports)</x:t>
        </x:is>
      </x:c>
      <x:c r="V452" s="520" t="inlineStr">
        <x:is>
          <x:t xml:space="preserve">High</x:t>
        </x:is>
      </x:c>
      <x:c r="W452" s="520" t="inlineStr">
        <x:is>
          <x:t xml:space="preserve">Yes — prior grantee match</x:t>
        </x:is>
      </x:c>
      <x:c r="X452" s="520" t="inlineStr">
        <x:is>
          <x:t xml:space="preserve">Yes — on Tract 5 owner list</x:t>
        </x:is>
      </x:c>
      <x:c r="Y452" s="520" t="inlineStr">
        <x:is>
          <x:t xml:space="preserve">Candidate 0.01 (helper — confirm from image)</x:t>
        </x:is>
      </x:c>
      <x:c r="Z452" s="520" t="inlineStr">
        <x:is>
          <x:t xml:space="preserve">Medium — helper value</x:t>
        </x:is>
      </x:c>
      <x:c r="AA452" s="520" t="inlineStr">
        <x:is>
          <x:t xml:space="preserve">Quit Claim Mineral Deed — Fleshman Agency, Inc. to Mekusukey Oil Company, LLC (2184/570)</x:t>
        </x:is>
      </x:c>
    </x:row>
    <x:row r="453" s="520" customFormat="1" ht="60" customHeight="1">
      <x:c r="A453" s="519" t="inlineStr">
        <x:is>
          <x:t xml:space="preserve">2013-002727</x:t>
        </x:is>
      </x:c>
      <x:c r="B453" s="536" t="n"/>
      <x:c r="C453" s="536" t="inlineStr">
        <x:is>
          <x:t xml:space="preserve">Memorandum</x:t>
        </x:is>
      </x:c>
      <x:c r="D453" s="536" t="inlineStr">
        <x:is>
          <x:t xml:space="preserve">2193/517</x:t>
        </x:is>
      </x:c>
      <x:c r="E453" s="537" t="n">
        <x:v>41404</x:v>
      </x:c>
      <x:c r="F453" s="537" t="n">
        <x:v>41422</x:v>
      </x:c>
      <x:c r="G453" s="538" t="inlineStr">
        <x:is>
          <x:t xml:space="preserve">Devon Energy Production Co.</x:t>
        </x:is>
      </x:c>
      <x:c r="H453" s="538" t="inlineStr">
        <x:is>
          <x:t xml:space="preserve">Plains Marketing, L.P.</x:t>
        </x:is>
      </x:c>
      <x:c r="I453" s="538" t="inlineStr">
        <x:is>
          <x:t xml:space="preserve">All of 31-12N-24W, aol</x:t>
        </x:is>
      </x:c>
      <x:c r="J453" s="538" t="inlineStr">
        <x:is>
          <x:t xml:space="preserve">MEMORANDUM OF CRUDE OIL SALES COMMITMENT</x:t>
        </x:is>
      </x:c>
      <x:c r="K453" s="518" t="e">
        <x:f>HYPERLINK("https://okcountyrecords.com/detail/roger+mills/2013-002727","OKCountyRecords: 2013-002727")</x:f>
      </x:c>
      <x:c r="L453" s="519" t="inlineStr">
        <x:is>
          <x:t xml:space="preserve">Leasehold (non-mineral; excluded from mineral NMA). All-section coverage. Gross=tract-map basis.</x:t>
        </x:is>
      </x:c>
      <x:c r="M453" s="519" t="inlineStr">
        <x:is>
          <x:t xml:space="preserve">Confirm lease effect</x:t>
        </x:is>
      </x:c>
      <x:c r="N453" s="519" t="n"/>
      <x:c r="O453" s="519" t="inlineStr">
        <x:is>
          <x:t xml:space="preserve">OUTSIDE LANDS</x:t>
        </x:is>
      </x:c>
      <x:c r="P453" s="520" t="inlineStr">
        <x:is>
          <x:t xml:space="preserve">Review — read instrument (type unclear)</x:t>
        </x:is>
      </x:c>
      <x:c r="Q453" s="520" t="inlineStr">
        <x:is>
          <x:t xml:space="preserve">Review</x:t>
        </x:is>
      </x:c>
      <x:c r="R453" s="520" t="inlineStr">
        <x:is>
          <x:t xml:space="preserve">Review</x:t>
        </x:is>
      </x:c>
      <x:c r="S453" s="520" t="inlineStr">
        <x:is>
          <x:t xml:space="preserve">Review</x:t>
        </x:is>
      </x:c>
      <x:c r="T453" s="520" t="inlineStr">
        <x:is>
          <x:t xml:space="preserve">Review</x:t>
        </x:is>
      </x:c>
      <x:c r="U453" s="520" t="inlineStr">
        <x:is>
          <x:t xml:space="preserve">Yes: 1, 8 (broad legal)</x:t>
        </x:is>
      </x:c>
      <x:c r="V453" s="520" t="inlineStr">
        <x:is>
          <x:t xml:space="preserve">Medium</x:t>
        </x:is>
      </x:c>
      <x:c r="W453" s="520" t="inlineStr">
        <x:is>
          <x:t xml:space="preserve">Review — no exact prior-grantee match</x:t>
        </x:is>
      </x:c>
      <x:c r="X453" s="520" t="inlineStr">
        <x:is>
          <x:t xml:space="preserve">Review</x:t>
        </x:is>
      </x:c>
      <x:c r="Y453" s="520" t="inlineStr">
        <x:is>
          <x:t xml:space="preserve">Interest amount needs review</x:t>
        </x:is>
      </x:c>
      <x:c r="Z453" s="520" t="inlineStr">
        <x:is>
          <x:t xml:space="preserve">Review</x:t>
        </x:is>
      </x:c>
      <x:c r="AA453" s="520" t="inlineStr">
        <x:is>
          <x:t xml:space="preserve">Memorandum — Devon Energy Production Co. to Plains Marketing, L.P. (2193/517)</x:t>
        </x:is>
      </x:c>
      <x:c r="AB453" s="520" t="inlineStr">
        <x:is>
          <x:t xml:space="preserve">Needs source review: grantor source, interest amount, instrument type</x:t>
        </x:is>
      </x:c>
    </x:row>
    <x:row r="454" s="520" customFormat="1" ht="132" customHeight="1">
      <x:c r="A454" s="519" t="inlineStr">
        <x:is>
          <x:t xml:space="preserve">2013-004163</x:t>
        </x:is>
      </x:c>
      <x:c r="B454" s="536" t="n"/>
      <x:c r="C454" s="536" t="inlineStr">
        <x:is>
          <x:t xml:space="preserve">Mineral Deed</x:t>
        </x:is>
      </x:c>
      <x:c r="D454" s="536" t="inlineStr">
        <x:is>
          <x:t xml:space="preserve">2203/395</x:t>
        </x:is>
      </x:c>
      <x:c r="E454" s="537" t="n">
        <x:v>41456</x:v>
      </x:c>
      <x:c r="F454" s="537" t="n">
        <x:v>41495</x:v>
      </x:c>
      <x:c r="G454" s="538" t="inlineStr">
        <x:is>
          <x:t xml:space="preserve">Fleshman Agency, Inc.</x:t>
        </x:is>
      </x:c>
      <x:c r="H454" s="538" t="inlineStr">
        <x:is>
          <x:t xml:space="preserve">Mekusukey Oil Company, LLC</x:t>
        </x:is>
      </x:c>
      <x:c r="I454" s="538" t="inlineStr">
        <x:is>
          <x:t xml:space="preserve">An undivided 3.00 net mineral acres in and under Lot One (1), Lot Two (2) and the North Half of Lot Three (3) a/d/a follows: Beginning at the Northwest Corner of the Northwest Quarter of Section 31, Thence East on Section line 18.20 chains (or 72.8 rods); Thence South 50 chains (or 200 rods); Thence West 18.20 chains (or 72.8 rods); Thence North on Range line 50 chains (or 200 rods) to the point of beginning, of Section 31, Township 12-North, Range 24-West of the Indian Meridian;</x:t>
        </x:is>
      </x:c>
      <x:c r="J454" s="538" t="inlineStr">
        <x:is>
          <x:t xml:space="preserve">An undivided 3.00 net mineral acres in 31-12N-24W, An undivided 5.00/252.085 net mineral acre interest in 2 sections</x:t>
        </x:is>
      </x:c>
      <x:c r="K454" s="518" t="e">
        <x:f>HYPERLINK("https://okcountyrecords.com/detail/roger+mills/2013-004163","OKCountyRecords: 2013-004163")</x:f>
      </x:c>
      <x:c r="L454" s="519" t="inlineStr">
        <x:is>
          <x:t xml:space="preserve">Mineral; basis Conv Amt(dec). All-section coverage. Gross=tract-map basis.</x:t>
        </x:is>
      </x:c>
      <x:c r="M454" s="519" t="inlineStr">
        <x:is>
          <x:t xml:space="preserve">CURRENT OWNER SOURCE</x:t>
        </x:is>
      </x:c>
      <x:c r="N454" s="519" t="inlineStr">
        <x:is>
          <x:t xml:space="preserve">Conveys 3 NMA per notes; conv. dec = 3/gross. Verify denominator/tract from image.</x:t>
        </x:is>
      </x:c>
      <x:c r="O454" s="519" t="inlineStr">
        <x:is>
          <x:t xml:space="preserve">MINERAL DEED</x:t>
        </x:is>
      </x:c>
      <x:c r="P454" s="520" t="inlineStr">
        <x:is>
          <x:t xml:space="preserve">Chain — minerals</x:t>
        </x:is>
      </x:c>
      <x:c r="Q454" s="520" t="inlineStr">
        <x:is>
          <x:t xml:space="preserve">Yes</x:t>
        </x:is>
      </x:c>
      <x:c r="R454" s="520" t="inlineStr">
        <x:is>
          <x:t xml:space="preserve">No</x:t>
        </x:is>
      </x:c>
      <x:c r="S454" s="520" t="inlineStr">
        <x:is>
          <x:t xml:space="preserve">Yes</x:t>
        </x:is>
      </x:c>
      <x:c r="T454" s="520" t="inlineStr">
        <x:is>
          <x:t xml:space="preserve">No</x:t>
        </x:is>
      </x:c>
      <x:c r="U454" s="520" t="inlineStr">
        <x:is>
          <x:t xml:space="preserve">Yes: 1, 8 (broad legal)</x:t>
        </x:is>
      </x:c>
      <x:c r="V454" s="520" t="inlineStr">
        <x:is>
          <x:t xml:space="preserve">Medium</x:t>
        </x:is>
      </x:c>
      <x:c r="W454" s="520" t="inlineStr">
        <x:is>
          <x:t xml:space="preserve">Yes — prior grantee match</x:t>
        </x:is>
      </x:c>
      <x:c r="X454" s="520" t="inlineStr">
        <x:is>
          <x:t xml:space="preserve">Yes — on Tract 8 owner list</x:t>
        </x:is>
      </x:c>
      <x:c r="Y454" s="520" t="inlineStr">
        <x:is>
          <x:t xml:space="preserve">Candidate 0.0046875 (helper — confirm from image)</x:t>
        </x:is>
      </x:c>
      <x:c r="Z454" s="520" t="inlineStr">
        <x:is>
          <x:t xml:space="preserve">Medium — helper value</x:t>
        </x:is>
      </x:c>
      <x:c r="AA454" s="520" t="inlineStr">
        <x:is>
          <x:t xml:space="preserve">Mineral Deed — Fleshman Agency, Inc. to Mekusukey Oil Company, LLC (2203/395)</x:t>
        </x:is>
      </x:c>
    </x:row>
    <x:row r="455" s="520" customFormat="1" ht="60" customHeight="1">
      <x:c r="A455" s="519" t="inlineStr">
        <x:is>
          <x:t xml:space="preserve">2013-004038</x:t>
        </x:is>
      </x:c>
      <x:c r="B455" s="536" t="n"/>
      <x:c r="C455" s="536" t="inlineStr">
        <x:is>
          <x:t xml:space="preserve">Assignment of ORRI</x:t>
        </x:is>
      </x:c>
      <x:c r="D455" s="536" t="inlineStr">
        <x:is>
          <x:t xml:space="preserve">2202/378</x:t>
        </x:is>
      </x:c>
      <x:c r="E455" s="537" t="n">
        <x:v>41474</x:v>
      </x:c>
      <x:c r="F455" s="537" t="n">
        <x:v>41488</x:v>
      </x:c>
      <x:c r="G455" s="538" t="inlineStr">
        <x:is>
          <x:t xml:space="preserve">Gary Reid</x:t>
        </x:is>
      </x:c>
      <x:c r="H455" s="538" t="inlineStr">
        <x:is>
          <x:t xml:space="preserve">Gary C. Reid, Trustee,
Reid Rev Trust,
Shannon D. Reid, Trustee</x:t>
        </x:is>
      </x:c>
      <x:c r="I455" s="538" t="inlineStr">
        <x:is>
          <x:t xml:space="preserve">All of 31-12N-24W, aol</x:t>
        </x:is>
      </x:c>
      <x:c r="J455" s="538" t="inlineStr">
        <x:is>
          <x:t xml:space="preserve">ORRI</x:t>
        </x:is>
      </x:c>
      <x:c r="K455" s="518" t="e">
        <x:f>HYPERLINK("https://okcountyrecords.com/detail/roger+mills/2013-004038","OKCountyRecords: 2013-004038")</x:f>
      </x:c>
      <x:c r="L455" s="519" t="inlineStr">
        <x:is>
          <x:t xml:space="preserve">Leasehold (non-mineral; excluded from mineral NMA). All-section coverage. Gross=tract-map basis.</x:t>
        </x:is>
      </x:c>
      <x:c r="M455" s="519" t="inlineStr">
        <x:is>
          <x:t xml:space="preserve">Confirm lease effect</x:t>
        </x:is>
      </x:c>
      <x:c r="N455" s="519" t="n"/>
      <x:c r="O455" s="519" t="inlineStr">
        <x:is>
          <x:t xml:space="preserve">OUTSIDE LANDS</x:t>
        </x:is>
      </x:c>
      <x:c r="P455" s="520" t="inlineStr">
        <x:is>
          <x:t xml:space="preserve">Chain — ORRI (burden on WI)</x:t>
        </x:is>
      </x:c>
      <x:c r="Q455" s="520" t="inlineStr">
        <x:is>
          <x:t xml:space="preserve">No</x:t>
        </x:is>
      </x:c>
      <x:c r="R455" s="520" t="inlineStr">
        <x:is>
          <x:t xml:space="preserve">Review</x:t>
        </x:is>
      </x:c>
      <x:c r="S455" s="520" t="inlineStr">
        <x:is>
          <x:t xml:space="preserve">No</x:t>
        </x:is>
      </x:c>
      <x:c r="T455" s="520" t="inlineStr">
        <x:is>
          <x:t xml:space="preserve">Yes</x:t>
        </x:is>
      </x:c>
      <x:c r="U455" s="520" t="inlineStr">
        <x:is>
          <x:t xml:space="preserve">Yes: 1, 8 (broad legal)</x:t>
        </x:is>
      </x:c>
      <x:c r="V455" s="520" t="inlineStr">
        <x:is>
          <x:t xml:space="preserve">Medium</x:t>
        </x:is>
      </x:c>
      <x:c r="W455" s="520" t="inlineStr">
        <x:is>
          <x:t xml:space="preserve">Yes — prior grantee match</x:t>
        </x:is>
      </x:c>
      <x:c r="X455" s="520" t="inlineStr">
        <x:is>
          <x:t xml:space="preserve">Review</x:t>
        </x:is>
      </x:c>
      <x:c r="Y455" s="520" t="inlineStr">
        <x:is>
          <x:t xml:space="preserve">Interest amount needs review</x:t>
        </x:is>
      </x:c>
      <x:c r="Z455" s="520" t="inlineStr">
        <x:is>
          <x:t xml:space="preserve">Review</x:t>
        </x:is>
      </x:c>
      <x:c r="AA455" s="520" t="inlineStr">
        <x:is>
          <x:t xml:space="preserve">Assignment of ORRI — Gary Reid to Gary C. Reid, Trustee, (2202/378)</x:t>
        </x:is>
      </x:c>
      <x:c r="AB455" s="520" t="inlineStr">
        <x:is>
          <x:t xml:space="preserve">Needs source review: interest amount</x:t>
        </x:is>
      </x:c>
    </x:row>
    <x:row r="456" s="520" customFormat="1" ht="48" customHeight="1">
      <x:c r="A456" s="519" t="inlineStr">
        <x:is>
          <x:t xml:space="preserve">2013-006585</x:t>
        </x:is>
      </x:c>
      <x:c r="B456" s="536" t="n"/>
      <x:c r="C456" s="536" t="inlineStr">
        <x:is>
          <x:t xml:space="preserve">Mineral Deed</x:t>
        </x:is>
      </x:c>
      <x:c r="D456" s="536" t="inlineStr">
        <x:is>
          <x:t xml:space="preserve">2224/382</x:t>
        </x:is>
      </x:c>
      <x:c r="E456" s="537" t="n">
        <x:v>41486</x:v>
      </x:c>
      <x:c r="F456" s="537" t="n">
        <x:v>41625</x:v>
      </x:c>
      <x:c r="G456" s="538" t="inlineStr">
        <x:is>
          <x:t xml:space="preserve">Joseph A. Bain and Doris M. Bain, husband and wife</x:t>
        </x:is>
      </x:c>
      <x:c r="H456" s="538" t="inlineStr">
        <x:is>
          <x:t xml:space="preserve">Anna T. Gibson
Wichita, Ks</x:t>
        </x:is>
      </x:c>
      <x:c r="I456" s="538" t="inlineStr">
        <x:is>
          <x:t xml:space="preserve">NW/4 SE/4, S/2 SE/4, SW/4 of 31-12N-24W, aol</x:t>
        </x:is>
      </x:c>
      <x:c r="J456" s="538" t="inlineStr">
        <x:is>
          <x:t xml:space="preserve">An undivided 2.00 net mineral acre interest in 31-12N-24W a total of ten (10) net mineral acres in 2 sections</x:t>
        </x:is>
      </x:c>
      <x:c r="K456" s="518" t="e">
        <x:f>HYPERLINK("https://okcountyrecords.com/detail/roger+mills/2013-006585","OKCountyRecords: 2013-006585")</x:f>
      </x:c>
      <x:c r="L456" s="519" t="inlineStr">
        <x:is>
          <x:t xml:space="preserve">Mineral; basis Conv Amt(dec). Gross=tract-map basis.</x:t>
        </x:is>
      </x:c>
      <x:c r="M456" s="519" t="inlineStr">
        <x:is>
          <x:t xml:space="preserve">REVIEW</x:t>
        </x:is>
      </x:c>
      <x:c r="N456" s="519" t="inlineStr">
        <x:is>
          <x:t xml:space="preserve">Denominator / tract allocation for 2.00 NMA from instrument image</x:t>
        </x:is>
      </x:c>
      <x:c r="O456" s="519" t="inlineStr">
        <x:is>
          <x:t xml:space="preserve">OUTSIDE LANDS</x:t>
        </x:is>
      </x:c>
      <x:c r="P456" s="520" t="inlineStr">
        <x:is>
          <x:t xml:space="preserve">Chain — minerals</x:t>
        </x:is>
      </x:c>
      <x:c r="Q456" s="520" t="inlineStr">
        <x:is>
          <x:t xml:space="preserve">Yes</x:t>
        </x:is>
      </x:c>
      <x:c r="R456" s="520" t="inlineStr">
        <x:is>
          <x:t xml:space="preserve">No</x:t>
        </x:is>
      </x:c>
      <x:c r="S456" s="520" t="inlineStr">
        <x:is>
          <x:t xml:space="preserve">Yes</x:t>
        </x:is>
      </x:c>
      <x:c r="T456" s="520" t="inlineStr">
        <x:is>
          <x:t xml:space="preserve">No</x:t>
        </x:is>
      </x:c>
      <x:c r="U456" s="520" t="inlineStr">
        <x:is>
          <x:t xml:space="preserve">Legal maps to 2; helper says 2, 5, 6, 7</x:t>
        </x:is>
      </x:c>
      <x:c r="V456" s="520" t="inlineStr">
        <x:is>
          <x:t xml:space="preserve">Review</x:t>
        </x:is>
      </x:c>
      <x:c r="W456" s="520" t="inlineStr">
        <x:is>
          <x:t xml:space="preserve">Probable — name-normalized match to Runsheet 405 grantee; confirm</x:t>
        </x:is>
      </x:c>
      <x:c r="X456" s="520" t="inlineStr">
        <x:is>
          <x:t xml:space="preserve">Yes — on Tract 2 owner list</x:t>
        </x:is>
      </x:c>
      <x:c r="Y456" s="520" t="inlineStr">
        <x:is>
          <x:t xml:space="preserve">Candidate 0.005 (helper — confirm from image)</x:t>
        </x:is>
      </x:c>
      <x:c r="Z456" s="520" t="inlineStr">
        <x:is>
          <x:t xml:space="preserve">Medium — helper value</x:t>
        </x:is>
      </x:c>
      <x:c r="AA456" s="520" t="inlineStr">
        <x:is>
          <x:t xml:space="preserve">Mineral Deed — Joseph A. Bain and Doris M. Ba to Anna T. Gibson (2224/382)</x:t>
        </x:is>
      </x:c>
      <x:c r="AB456" s="520" t="inlineStr">
        <x:is>
          <x:t xml:space="preserve">Needs source review: tract, grantor source</x:t>
        </x:is>
      </x:c>
    </x:row>
    <x:row r="457" s="520" customFormat="1" ht="48" customHeight="1">
      <x:c r="A457" s="519" t="inlineStr">
        <x:is>
          <x:t xml:space="preserve">2013-006129</x:t>
        </x:is>
      </x:c>
      <x:c r="B457" s="536" t="n"/>
      <x:c r="C457" s="536" t="inlineStr">
        <x:is>
          <x:t xml:space="preserve">Quit Claim Mineral Deed</x:t>
        </x:is>
      </x:c>
      <x:c r="D457" s="536" t="inlineStr">
        <x:is>
          <x:t xml:space="preserve">2220/118</x:t>
        </x:is>
      </x:c>
      <x:c r="E457" s="537" t="n">
        <x:v>41505</x:v>
      </x:c>
      <x:c r="F457" s="537" t="n">
        <x:v>41596</x:v>
      </x:c>
      <x:c r="G457" s="538" t="inlineStr">
        <x:is>
          <x:t xml:space="preserve">Martha Ann Devenas</x:t>
        </x:is>
      </x:c>
      <x:c r="H457" s="538" t="inlineStr">
        <x:is>
          <x:t xml:space="preserve">Joseph A. Devenas, Jr.</x:t>
        </x:is>
      </x:c>
      <x:c r="I457" s="538" t="inlineStr">
        <x:is>
          <x:t xml:space="preserve">SE/4 SW/4 of 31-12N-24W, aol</x:t>
        </x:is>
      </x:c>
      <x:c r="J457" s="538" t="inlineStr">
        <x:is>
          <x:t xml:space="preserve">An undivided 1/2 interest in 5.83333 mineral acres</x:t>
        </x:is>
      </x:c>
      <x:c r="K457" s="518" t="e">
        <x:f>HYPERLINK("https://okcountyrecords.com/detail/roger+mills/2013-006129","OKCountyRecords: 2013-006129")</x:f>
      </x:c>
      <x:c r="L457" s="519" t="inlineStr">
        <x:is>
          <x:t xml:space="preserve">Mineral; basis Conv Amt(dec). Gross=tract-map basis.</x:t>
        </x:is>
      </x:c>
      <x:c r="M457" s="519" t="inlineStr">
        <x:is>
          <x:t xml:space="preserve">CURRENT OWNER SOURCE</x:t>
        </x:is>
      </x:c>
      <x:c r="N457" s="519" t="n"/>
      <x:c r="O457" s="519" t="inlineStr">
        <x:is>
          <x:t xml:space="preserve">OUTSIDE LANDS</x:t>
        </x:is>
      </x:c>
      <x:c r="P457" s="520" t="inlineStr">
        <x:is>
          <x:t xml:space="preserve">Chain — minerals</x:t>
        </x:is>
      </x:c>
      <x:c r="Q457" s="520" t="inlineStr">
        <x:is>
          <x:t xml:space="preserve">Yes</x:t>
        </x:is>
      </x:c>
      <x:c r="R457" s="520" t="inlineStr">
        <x:is>
          <x:t xml:space="preserve">No</x:t>
        </x:is>
      </x:c>
      <x:c r="S457" s="520" t="inlineStr">
        <x:is>
          <x:t xml:space="preserve">Yes</x:t>
        </x:is>
      </x:c>
      <x:c r="T457" s="520" t="inlineStr">
        <x:is>
          <x:t xml:space="preserve">No</x:t>
        </x:is>
      </x:c>
      <x:c r="U457" s="520" t="inlineStr">
        <x:is>
          <x:t xml:space="preserve">Yes: 5 (legal supports)</x:t>
        </x:is>
      </x:c>
      <x:c r="V457" s="520" t="inlineStr">
        <x:is>
          <x:t xml:space="preserve">High</x:t>
        </x:is>
      </x:c>
      <x:c r="W457" s="520" t="inlineStr">
        <x:is>
          <x:t xml:space="preserve">Yes — prior grantee match</x:t>
        </x:is>
      </x:c>
      <x:c r="X457" s="520" t="inlineStr">
        <x:is>
          <x:t xml:space="preserve">Yes — on Tract 5 owner list</x:t>
        </x:is>
      </x:c>
      <x:c r="Y457" s="520" t="inlineStr">
        <x:is>
          <x:t xml:space="preserve">Candidate 0.5 (helper — confirm from image)</x:t>
        </x:is>
      </x:c>
      <x:c r="Z457" s="520" t="inlineStr">
        <x:is>
          <x:t xml:space="preserve">Medium — helper value</x:t>
        </x:is>
      </x:c>
      <x:c r="AA457" s="520" t="inlineStr">
        <x:is>
          <x:t xml:space="preserve">Quit Claim Mineral Deed — Martha Ann Devenas to Joseph A. Devenas, Jr. (2220/118)</x:t>
        </x:is>
      </x:c>
    </x:row>
    <x:row r="458" s="520" customFormat="1" ht="60" customHeight="1">
      <x:c r="A458" s="519" t="inlineStr">
        <x:is>
          <x:t xml:space="preserve">2013-006501</x:t>
        </x:is>
      </x:c>
      <x:c r="B458" s="536" t="n"/>
      <x:c r="C458" s="536" t="inlineStr">
        <x:is>
          <x:t xml:space="preserve">Mineral Deed &amp; Royalty Deed</x:t>
        </x:is>
      </x:c>
      <x:c r="D458" s="536" t="inlineStr">
        <x:is>
          <x:t xml:space="preserve">2223/305</x:t>
        </x:is>
      </x:c>
      <x:c r="E458" s="537" t="n">
        <x:v>41517</x:v>
      </x:c>
      <x:c r="F458" s="537" t="n">
        <x:v>41621</x:v>
      </x:c>
      <x:c r="G458" s="538" t="inlineStr">
        <x:is>
          <x:t xml:space="preserve">David Silverberg, a/k/a David S. Silverberg, a married man dealing in his sole and separate property</x:t>
        </x:is>
      </x:c>
      <x:c r="H458" s="538" t="inlineStr">
        <x:is>
          <x:t xml:space="preserve">Cambria Energy, LLC</x:t>
        </x:is>
      </x:c>
      <x:c r="I458" s="538" t="inlineStr">
        <x:is>
          <x:t xml:space="preserve">All of 31-12N-24W</x:t>
        </x:is>
      </x:c>
      <x:c r="J458" s="538" t="inlineStr">
        <x:is>
          <x:t xml:space="preserve">all interests in the leases, units, sections, legal descriptions and depths. It is the intent of this instrument to convey unto Grantee all of Grantor's royalty, overriding royalty, and mineral interest in the Section and/or Lands as of the date of first production, if any, but if lands owned by Grantor are less than described, only that owned by Grantor is intended to be conveyed.</x:t>
        </x:is>
      </x:c>
      <x:c r="K458" s="518" t="e">
        <x:f>HYPERLINK("https://okcountyrecords.com/detail/roger+mills/2013-006501","OKCountyRecords: 2013-006501")</x:f>
      </x:c>
      <x:c r="L458" s="519" t="inlineStr">
        <x:is>
          <x:t xml:space="preserve">Mineral; basis Conv Amt(dec). All-section coverage. Gross=tract-map basis.</x:t>
        </x:is>
      </x:c>
      <x:c r="M458" s="519" t="inlineStr">
        <x:is>
          <x:t xml:space="preserve">REVIEW</x:t>
        </x:is>
      </x:c>
      <x:c r="N458" s="519" t="inlineStr">
        <x:is>
          <x:t xml:space="preserve">SOURCE: conveyed amount parsed from Notes as ARTI</x:t>
        </x:is>
      </x:c>
      <x:c r="O458" s="519" t="inlineStr">
        <x:is>
          <x:t xml:space="preserve">ORRI</x:t>
        </x:is>
      </x:c>
      <x:c r="P458" s="520" t="inlineStr">
        <x:is>
          <x:t xml:space="preserve">Chain — minerals</x:t>
        </x:is>
      </x:c>
      <x:c r="Q458" s="520" t="inlineStr">
        <x:is>
          <x:t xml:space="preserve">Yes</x:t>
        </x:is>
      </x:c>
      <x:c r="R458" s="520" t="inlineStr">
        <x:is>
          <x:t xml:space="preserve">No</x:t>
        </x:is>
      </x:c>
      <x:c r="S458" s="520" t="inlineStr">
        <x:is>
          <x:t xml:space="preserve">Yes</x:t>
        </x:is>
      </x:c>
      <x:c r="T458" s="520" t="inlineStr">
        <x:is>
          <x:t xml:space="preserve">No</x:t>
        </x:is>
      </x:c>
      <x:c r="U458" s="520" t="inlineStr">
        <x:is>
          <x:t xml:space="preserve">Yes: 1, 8 (broad legal)</x:t>
        </x:is>
      </x:c>
      <x:c r="V458" s="520" t="inlineStr">
        <x:is>
          <x:t xml:space="preserve">Medium</x:t>
        </x:is>
      </x:c>
      <x:c r="W458" s="520" t="inlineStr">
        <x:is>
          <x:t xml:space="preserve">Review — no exact prior-grantee match</x:t>
        </x:is>
      </x:c>
      <x:c r="X458" s="520" t="inlineStr">
        <x:is>
          <x:t xml:space="preserve">Review</x:t>
        </x:is>
      </x:c>
      <x:c r="Y458" s="520" t="inlineStr">
        <x:is>
          <x:t xml:space="preserve">Candidate 1 (helper — confirm from image)</x:t>
        </x:is>
      </x:c>
      <x:c r="Z458" s="520" t="inlineStr">
        <x:is>
          <x:t xml:space="preserve">Medium — helper value</x:t>
        </x:is>
      </x:c>
      <x:c r="AA458" s="520" t="inlineStr">
        <x:is>
          <x:t xml:space="preserve">Mineral Deed &amp; Royalty Deed — David Silverberg, a/k/a David to Cambria Energy, LLC (2223/305)</x:t>
        </x:is>
      </x:c>
      <x:c r="AB458" s="520" t="inlineStr">
        <x:is>
          <x:t xml:space="preserve">Needs source review: grantor source</x:t>
        </x:is>
      </x:c>
    </x:row>
    <x:row r="459" s="520" customFormat="1" ht="48" customHeight="1">
      <x:c r="A459" s="519" t="inlineStr">
        <x:is>
          <x:t xml:space="preserve">2013-006584</x:t>
        </x:is>
      </x:c>
      <x:c r="B459" s="536" t="n"/>
      <x:c r="C459" s="536" t="inlineStr">
        <x:is>
          <x:t xml:space="preserve">Purchase and Sale Agreement</x:t>
        </x:is>
      </x:c>
      <x:c r="D459" s="536" t="inlineStr">
        <x:is>
          <x:t xml:space="preserve">2224/378</x:t>
        </x:is>
      </x:c>
      <x:c r="E459" s="537" t="n">
        <x:v>41526</x:v>
      </x:c>
      <x:c r="F459" s="537" t="n">
        <x:v>41625</x:v>
      </x:c>
      <x:c r="G459" s="538" t="inlineStr">
        <x:is>
          <x:t xml:space="preserve">Joseph A. Bain</x:t>
        </x:is>
      </x:c>
      <x:c r="H459" s="538" t="inlineStr">
        <x:is>
          <x:t xml:space="preserve">Anna T. Bain Gibson</x:t>
        </x:is>
      </x:c>
      <x:c r="I459" s="538" t="inlineStr">
        <x:is>
          <x:t xml:space="preserve">NW/4 SE/4, S/2 SE/4, SW/4 of 31-12N-24W, aol</x:t>
        </x:is>
      </x:c>
      <x:c r="J459" s="538" t="inlineStr">
        <x:is>
          <x:t xml:space="preserve">See instrument</x:t>
        </x:is>
      </x:c>
      <x:c r="K459" s="518" t="e">
        <x:f>HYPERLINK("https://okcountyrecords.com/detail/roger+mills/2013-006584","OKCountyRecords: 2013-006584")</x:f>
      </x:c>
      <x:c r="L459" s="519" t="inlineStr">
        <x:is>
          <x:t xml:space="preserve">Other (non-mineral; excluded from mineral NMA). Gross=tract-map basis.</x:t>
        </x:is>
      </x:c>
      <x:c r="M459" s="519" t="n"/>
      <x:c r="N459" s="519" t="n"/>
      <x:c r="O459" s="519" t="inlineStr">
        <x:is>
          <x:t xml:space="preserve">OUTSIDE LANDS</x:t>
        </x:is>
      </x:c>
      <x:c r="P459" s="520" t="inlineStr">
        <x:is>
          <x:t xml:space="preserve">Review — read instrument (type unclear)</x:t>
        </x:is>
      </x:c>
      <x:c r="Q459" s="520" t="inlineStr">
        <x:is>
          <x:t xml:space="preserve">Review</x:t>
        </x:is>
      </x:c>
      <x:c r="R459" s="520" t="inlineStr">
        <x:is>
          <x:t xml:space="preserve">Review</x:t>
        </x:is>
      </x:c>
      <x:c r="S459" s="520" t="inlineStr">
        <x:is>
          <x:t xml:space="preserve">Review</x:t>
        </x:is>
      </x:c>
      <x:c r="T459" s="520" t="inlineStr">
        <x:is>
          <x:t xml:space="preserve">Review</x:t>
        </x:is>
      </x:c>
      <x:c r="U459" s="520" t="inlineStr">
        <x:is>
          <x:t xml:space="preserve">Legal maps to 2; helper says 2, 5, 6, 7</x:t>
        </x:is>
      </x:c>
      <x:c r="V459" s="520" t="inlineStr">
        <x:is>
          <x:t xml:space="preserve">Review</x:t>
        </x:is>
      </x:c>
      <x:c r="W459" s="520" t="inlineStr">
        <x:is>
          <x:t xml:space="preserve">Probable — name-normalized match to Runsheet 405 grantee; confirm</x:t>
        </x:is>
      </x:c>
      <x:c r="X459" s="520" t="inlineStr">
        <x:is>
          <x:t xml:space="preserve">Review</x:t>
        </x:is>
      </x:c>
      <x:c r="Y459" s="520" t="inlineStr">
        <x:is>
          <x:t xml:space="preserve">Interest amount needs review</x:t>
        </x:is>
      </x:c>
      <x:c r="Z459" s="520" t="inlineStr">
        <x:is>
          <x:t xml:space="preserve">Review</x:t>
        </x:is>
      </x:c>
      <x:c r="AA459" s="520" t="inlineStr">
        <x:is>
          <x:t xml:space="preserve">Purchase and Sale Agreement — Joseph A. Bain to Anna T. Bain Gibson (2224/378)</x:t>
        </x:is>
      </x:c>
      <x:c r="AB459" s="520" t="inlineStr">
        <x:is>
          <x:t xml:space="preserve">Needs source review: tract, grantor source, interest amount, instrument type</x:t>
        </x:is>
      </x:c>
    </x:row>
    <x:row r="460" s="520" customFormat="1" ht="60" customHeight="1">
      <x:c r="A460" s="519" t="inlineStr">
        <x:is>
          <x:t xml:space="preserve">2013-006188</x:t>
        </x:is>
      </x:c>
      <x:c r="B460" s="536" t="n"/>
      <x:c r="C460" s="536" t="inlineStr">
        <x:is>
          <x:t xml:space="preserve">Assignment</x:t>
        </x:is>
      </x:c>
      <x:c r="D460" s="536" t="inlineStr">
        <x:is>
          <x:t xml:space="preserve">2220/400</x:t>
        </x:is>
      </x:c>
      <x:c r="E460" s="537" t="n">
        <x:v>41543</x:v>
      </x:c>
      <x:c r="F460" s="537" t="n">
        <x:v>41599</x:v>
      </x:c>
      <x:c r="G460" s="538" t="inlineStr">
        <x:is>
          <x:t xml:space="preserve">EOG Resources, Inc.</x:t>
        </x:is>
      </x:c>
      <x:c r="H460" s="538" t="inlineStr">
        <x:is>
          <x:t xml:space="preserve">Linn Energy Holdings, LLC</x:t>
        </x:is>
      </x:c>
      <x:c r="I460" s="538" t="inlineStr">
        <x:is>
          <x:t xml:space="preserve">All of 31-12N-24W, aol</x:t>
        </x:is>
      </x:c>
      <x:c r="J460" s="538" t="inlineStr">
        <x:is>
          <x:t xml:space="preserve">ARTI</x:t>
        </x:is>
      </x:c>
      <x:c r="K460" s="518" t="e">
        <x:f>HYPERLINK("https://okcountyrecords.com/detail/roger+mills/2013-006188","OKCountyRecords: 2013-006188")</x:f>
      </x:c>
      <x:c r="L460" s="519" t="inlineStr">
        <x:is>
          <x:t xml:space="preserve">Leasehold (non-mineral; excluded from mineral NMA). All-section coverage. Gross=tract-map basis.</x:t>
        </x:is>
      </x:c>
      <x:c r="M460" s="519" t="n"/>
      <x:c r="N460" s="519" t="n"/>
      <x:c r="O460" s="519" t="inlineStr">
        <x:is>
          <x:t xml:space="preserve">OUTSIDE LANDS</x:t>
        </x:is>
      </x:c>
      <x:c r="P460" s="520" t="inlineStr">
        <x:is>
          <x:t xml:space="preserve">Chain — assignment (WI or minerals — read granting clause)</x:t>
        </x:is>
      </x:c>
      <x:c r="Q460" s="520" t="inlineStr">
        <x:is>
          <x:t xml:space="preserve">Review</x:t>
        </x:is>
      </x:c>
      <x:c r="R460" s="520" t="inlineStr">
        <x:is>
          <x:t xml:space="preserve">Yes</x:t>
        </x:is>
      </x:c>
      <x:c r="S460" s="520" t="inlineStr">
        <x:is>
          <x:t xml:space="preserve">Review</x:t>
        </x:is>
      </x:c>
      <x:c r="T460" s="520" t="inlineStr">
        <x:is>
          <x:t xml:space="preserve">Yes</x:t>
        </x:is>
      </x:c>
      <x:c r="U460" s="520" t="inlineStr">
        <x:is>
          <x:t xml:space="preserve">Yes: 1, 8 (broad legal)</x:t>
        </x:is>
      </x:c>
      <x:c r="V460" s="520" t="inlineStr">
        <x:is>
          <x:t xml:space="preserve">Medium</x:t>
        </x:is>
      </x:c>
      <x:c r="W460" s="520" t="inlineStr">
        <x:is>
          <x:t xml:space="preserve">Yes — prior grantee match</x:t>
        </x:is>
      </x:c>
      <x:c r="X460" s="520" t="inlineStr">
        <x:is>
          <x:t xml:space="preserve">Review</x:t>
        </x:is>
      </x:c>
      <x:c r="Y460" s="520" t="inlineStr">
        <x:is>
          <x:t xml:space="preserve">Interest amount needs review</x:t>
        </x:is>
      </x:c>
      <x:c r="Z460" s="520" t="inlineStr">
        <x:is>
          <x:t xml:space="preserve">Review</x:t>
        </x:is>
      </x:c>
      <x:c r="AA460" s="520" t="inlineStr">
        <x:is>
          <x:t xml:space="preserve">Assignment — EOG Resources, Inc. to Linn Energy Holdings, LLC (2220/400)</x:t>
        </x:is>
      </x:c>
      <x:c r="AB460" s="520" t="inlineStr">
        <x:is>
          <x:t xml:space="preserve">Needs source review: interest amount</x:t>
        </x:is>
      </x:c>
    </x:row>
    <x:row r="461" s="520" customFormat="1" ht="60" customHeight="1">
      <x:c r="A461" s="519" t="inlineStr">
        <x:is>
          <x:t xml:space="preserve">2013-006502</x:t>
        </x:is>
      </x:c>
      <x:c r="B461" s="536" t="n"/>
      <x:c r="C461" s="536" t="inlineStr">
        <x:is>
          <x:t xml:space="preserve">Mineral Deed</x:t>
        </x:is>
      </x:c>
      <x:c r="D461" s="536" t="inlineStr">
        <x:is>
          <x:t xml:space="preserve">2223/307</x:t>
        </x:is>
      </x:c>
      <x:c r="E461" s="537" t="n">
        <x:v>41575</x:v>
      </x:c>
      <x:c r="F461" s="537" t="n">
        <x:v>41621</x:v>
      </x:c>
      <x:c r="G461" s="538" t="inlineStr">
        <x:is>
          <x:t xml:space="preserve">Mary Ellen Silverberg, a/k/a Mary Ellen Sitzmann, a married woman dealing in her sole and separate property</x:t>
        </x:is>
      </x:c>
      <x:c r="H461" s="538" t="inlineStr">
        <x:is>
          <x:t xml:space="preserve">Cambria Energy, LLC</x:t>
        </x:is>
      </x:c>
      <x:c r="I461" s="538" t="inlineStr">
        <x:is>
          <x:t xml:space="preserve">All of 31-12N-24W</x:t>
        </x:is>
      </x:c>
      <x:c r="J461" s="538" t="inlineStr">
        <x:is>
          <x:t xml:space="preserve">all interests in the leases, units, sections, legal descriptions and depths. It is the intent of this instrument to convey unto Grantee all of Grantor's royalty, overriding royalty, and mineral interest in the Section and/or Lands as of the date of first production, if any, but if lands owned by Grantor are less than described, only that owned by Grantor is intended to be conveyed.</x:t>
        </x:is>
      </x:c>
      <x:c r="K461" s="518" t="e">
        <x:f>HYPERLINK("https://okcountyrecords.com/detail/roger+mills/2013-006502","OKCountyRecords: 2013-006502")</x:f>
      </x:c>
      <x:c r="L461" s="519" t="inlineStr">
        <x:is>
          <x:t xml:space="preserve">Mineral; basis Conv Amt(dec). All-section coverage. Gross=tract-map basis.</x:t>
        </x:is>
      </x:c>
      <x:c r="M461" s="519" t="inlineStr">
        <x:is>
          <x:t xml:space="preserve">REVIEW</x:t>
        </x:is>
      </x:c>
      <x:c r="N461" s="519" t="inlineStr">
        <x:is>
          <x:t xml:space="preserve">SOURCE: conveyed amount parsed from Notes as ARTI</x:t>
        </x:is>
      </x:c>
      <x:c r="O461" s="519" t="inlineStr">
        <x:is>
          <x:t xml:space="preserve">ORRI</x:t>
        </x:is>
      </x:c>
      <x:c r="P461" s="520" t="inlineStr">
        <x:is>
          <x:t xml:space="preserve">Chain — minerals</x:t>
        </x:is>
      </x:c>
      <x:c r="Q461" s="520" t="inlineStr">
        <x:is>
          <x:t xml:space="preserve">Yes</x:t>
        </x:is>
      </x:c>
      <x:c r="R461" s="520" t="inlineStr">
        <x:is>
          <x:t xml:space="preserve">No</x:t>
        </x:is>
      </x:c>
      <x:c r="S461" s="520" t="inlineStr">
        <x:is>
          <x:t xml:space="preserve">Yes</x:t>
        </x:is>
      </x:c>
      <x:c r="T461" s="520" t="inlineStr">
        <x:is>
          <x:t xml:space="preserve">No</x:t>
        </x:is>
      </x:c>
      <x:c r="U461" s="520" t="inlineStr">
        <x:is>
          <x:t xml:space="preserve">Yes: 1, 8 (broad legal)</x:t>
        </x:is>
      </x:c>
      <x:c r="V461" s="520" t="inlineStr">
        <x:is>
          <x:t xml:space="preserve">Medium</x:t>
        </x:is>
      </x:c>
      <x:c r="W461" s="520" t="inlineStr">
        <x:is>
          <x:t xml:space="preserve">Review — no exact prior-grantee match</x:t>
        </x:is>
      </x:c>
      <x:c r="X461" s="520" t="inlineStr">
        <x:is>
          <x:t xml:space="preserve">Review</x:t>
        </x:is>
      </x:c>
      <x:c r="Y461" s="520" t="inlineStr">
        <x:is>
          <x:t xml:space="preserve">Candidate 1 (helper — confirm from image)</x:t>
        </x:is>
      </x:c>
      <x:c r="Z461" s="520" t="inlineStr">
        <x:is>
          <x:t xml:space="preserve">Medium — helper value</x:t>
        </x:is>
      </x:c>
      <x:c r="AA461" s="520" t="inlineStr">
        <x:is>
          <x:t xml:space="preserve">Mineral Deed — Mary Ellen Silverberg, a/k/a M to Cambria Energy, LLC (2223/307)</x:t>
        </x:is>
      </x:c>
      <x:c r="AB461" s="520" t="inlineStr">
        <x:is>
          <x:t xml:space="preserve">Needs source review: grantor source</x:t>
        </x:is>
      </x:c>
    </x:row>
    <x:row r="462" s="520" customFormat="1" ht="72" customHeight="1">
      <x:c r="A462" s="519" t="inlineStr">
        <x:is>
          <x:t xml:space="preserve">2013-006644</x:t>
        </x:is>
      </x:c>
      <x:c r="B462" s="536" t="n"/>
      <x:c r="C462" s="536" t="inlineStr">
        <x:is>
          <x:t xml:space="preserve">Proof of Death</x:t>
        </x:is>
      </x:c>
      <x:c r="D462" s="536" t="inlineStr">
        <x:is>
          <x:t xml:space="preserve">2224/529</x:t>
        </x:is>
      </x:c>
      <x:c r="E462" s="537" t="n">
        <x:v>41624</x:v>
      </x:c>
      <x:c r="F462" s="537" t="n">
        <x:v>41631</x:v>
      </x:c>
      <x:c r="G462" s="538" t="inlineStr">
        <x:is>
          <x:t xml:space="preserve">Sheila Kay Salvo</x:t>
        </x:is>
      </x:c>
      <x:c r="H462" s="538" t="inlineStr">
        <x:is>
          <x:t xml:space="preserve">The Public
RE: Edris Oleta (Miller) Bain, Deceased
Heirs:
Richard Clay Bain,
Kevin Randolf Bain,
Sheila Kay (Bain) Salvo</x:t>
        </x:is>
      </x:c>
      <x:c r="I462" s="538" t="inlineStr">
        <x:is>
          <x:t xml:space="preserve">NW/4 SE/4, S/2 SE/4, SW/4 NE/4 of 31-12N-24W, aol</x:t>
        </x:is>
      </x:c>
      <x:c r="J462" s="538" t="inlineStr">
        <x:is>
          <x:t xml:space="preserve">ARTI</x:t>
        </x:is>
      </x:c>
      <x:c r="K462" s="518" t="e">
        <x:f>HYPERLINK("https://okcountyrecords.com/detail/roger+mills/2013-006644","OKCountyRecords: 2013-006644")</x:f>
      </x:c>
      <x:c r="L462" s="519" t="inlineStr">
        <x:is>
          <x:t xml:space="preserve">Mineral; basis Conv Amt(dec). grantor indexed as 'The Public' — confirm source instrument. Gross=tract-map basis.</x:t>
        </x:is>
      </x:c>
      <x:c r="M462" s="519" t="inlineStr">
        <x:is>
          <x:t xml:space="preserve">REVIEW</x:t>
        </x:is>
      </x:c>
      <x:c r="N462" s="519" t="inlineStr">
        <x:is>
          <x:t xml:space="preserve">Confirm conveyed mineral acreage from instrument image — named party indexed under 'The Public' (affidavit/notice); identity resolved.</x:t>
        </x:is>
      </x:c>
      <x:c r="O462" s="519" t="inlineStr">
        <x:is>
          <x:t xml:space="preserve">OUTSIDE LANDS</x:t>
        </x:is>
      </x:c>
      <x:c r="P462" s="520" t="inlineStr">
        <x:is>
          <x:t xml:space="preserve">Chain — title support (succession/entity/probate)</x:t>
        </x:is>
      </x:c>
      <x:c r="Q462" s="520" t="inlineStr">
        <x:is>
          <x:t xml:space="preserve">Yes</x:t>
        </x:is>
      </x:c>
      <x:c r="R462" s="520" t="inlineStr">
        <x:is>
          <x:t xml:space="preserve">No</x:t>
        </x:is>
      </x:c>
      <x:c r="S462" s="520" t="inlineStr">
        <x:is>
          <x:t xml:space="preserve">Yes</x:t>
        </x:is>
      </x:c>
      <x:c r="T462" s="520" t="inlineStr">
        <x:is>
          <x:t xml:space="preserve">No</x:t>
        </x:is>
      </x:c>
      <x:c r="U462" s="520" t="inlineStr">
        <x:is>
          <x:t xml:space="preserve">Yes: 2 (legal supports)</x:t>
        </x:is>
      </x:c>
      <x:c r="V462" s="520" t="inlineStr">
        <x:is>
          <x:t xml:space="preserve">High</x:t>
        </x:is>
      </x:c>
      <x:c r="W462" s="520" t="inlineStr">
        <x:is>
          <x:t xml:space="preserve">Review — no exact prior-grantee match</x:t>
        </x:is>
      </x:c>
      <x:c r="X462" s="520" t="inlineStr">
        <x:is>
          <x:t xml:space="preserve">Review</x:t>
        </x:is>
      </x:c>
      <x:c r="Y462" s="520" t="inlineStr">
        <x:is>
          <x:t xml:space="preserve">Candidate 1 (helper — confirm from image)</x:t>
        </x:is>
      </x:c>
      <x:c r="Z462" s="520" t="inlineStr">
        <x:is>
          <x:t xml:space="preserve">Medium — helper value</x:t>
        </x:is>
      </x:c>
      <x:c r="AA462" s="520" t="inlineStr">
        <x:is>
          <x:t xml:space="preserve">Proof of Death — Sheila Kay Salvo to The Public (2224/529)</x:t>
        </x:is>
      </x:c>
      <x:c r="AB462" s="520" t="inlineStr">
        <x:is>
          <x:t xml:space="preserve">Needs source review: grantor source</x:t>
        </x:is>
      </x:c>
    </x:row>
    <x:row r="463" s="520" customFormat="1" ht="72" customHeight="1">
      <x:c r="A463" s="519" t="inlineStr">
        <x:is>
          <x:t xml:space="preserve">2013-006645</x:t>
        </x:is>
      </x:c>
      <x:c r="B463" s="536" t="n"/>
      <x:c r="C463" s="536" t="inlineStr">
        <x:is>
          <x:t xml:space="preserve">Proof of Death</x:t>
        </x:is>
      </x:c>
      <x:c r="D463" s="536" t="inlineStr">
        <x:is>
          <x:t xml:space="preserve">2224/535</x:t>
        </x:is>
      </x:c>
      <x:c r="E463" s="537" t="n">
        <x:v>41624</x:v>
      </x:c>
      <x:c r="F463" s="537" t="n">
        <x:v>41631</x:v>
      </x:c>
      <x:c r="G463" s="538" t="inlineStr">
        <x:is>
          <x:t xml:space="preserve">Sheila Kay Salvo</x:t>
        </x:is>
      </x:c>
      <x:c r="H463" s="538" t="inlineStr">
        <x:is>
          <x:t xml:space="preserve">The Public
RE: Dow Conrad Bain, Deceased
Heirs:
Richard Clay Bain,
Kevin Randolf Bain,
Sheila Kay (Bain) Salvo</x:t>
        </x:is>
      </x:c>
      <x:c r="I463" s="538" t="inlineStr">
        <x:is>
          <x:t xml:space="preserve">NW/4 SE/4, S/2 SE/4, SW/4 NE/4 of 31-12N-24W, aol</x:t>
        </x:is>
      </x:c>
      <x:c r="J463" s="538" t="inlineStr">
        <x:is>
          <x:t xml:space="preserve">ARTI</x:t>
        </x:is>
      </x:c>
      <x:c r="K463" s="518" t="e">
        <x:f>HYPERLINK("https://okcountyrecords.com/detail/roger+mills/2013-006645","OKCountyRecords: 2013-006645")</x:f>
      </x:c>
      <x:c r="L463" s="519" t="inlineStr">
        <x:is>
          <x:t xml:space="preserve">Mineral; basis Conv Amt(dec). grantor indexed as 'The Public' — confirm source instrument. Gross=tract-map basis.</x:t>
        </x:is>
      </x:c>
      <x:c r="M463" s="519" t="inlineStr">
        <x:is>
          <x:t xml:space="preserve">REVIEW</x:t>
        </x:is>
      </x:c>
      <x:c r="N463" s="519" t="inlineStr">
        <x:is>
          <x:t xml:space="preserve">Confirm conveyed mineral acreage from instrument image — named party indexed under 'The Public' (affidavit/notice); identity resolved.</x:t>
        </x:is>
      </x:c>
      <x:c r="O463" s="519" t="inlineStr">
        <x:is>
          <x:t xml:space="preserve">OUTSIDE LANDS</x:t>
        </x:is>
      </x:c>
      <x:c r="P463" s="520" t="inlineStr">
        <x:is>
          <x:t xml:space="preserve">Chain — title support (succession/entity/probate)</x:t>
        </x:is>
      </x:c>
      <x:c r="Q463" s="520" t="inlineStr">
        <x:is>
          <x:t xml:space="preserve">Yes</x:t>
        </x:is>
      </x:c>
      <x:c r="R463" s="520" t="inlineStr">
        <x:is>
          <x:t xml:space="preserve">No</x:t>
        </x:is>
      </x:c>
      <x:c r="S463" s="520" t="inlineStr">
        <x:is>
          <x:t xml:space="preserve">Yes</x:t>
        </x:is>
      </x:c>
      <x:c r="T463" s="520" t="inlineStr">
        <x:is>
          <x:t xml:space="preserve">No</x:t>
        </x:is>
      </x:c>
      <x:c r="U463" s="520" t="inlineStr">
        <x:is>
          <x:t xml:space="preserve">Yes: 2 (legal supports)</x:t>
        </x:is>
      </x:c>
      <x:c r="V463" s="520" t="inlineStr">
        <x:is>
          <x:t xml:space="preserve">High</x:t>
        </x:is>
      </x:c>
      <x:c r="W463" s="520" t="inlineStr">
        <x:is>
          <x:t xml:space="preserve">Review — no exact prior-grantee match</x:t>
        </x:is>
      </x:c>
      <x:c r="X463" s="520" t="inlineStr">
        <x:is>
          <x:t xml:space="preserve">Review</x:t>
        </x:is>
      </x:c>
      <x:c r="Y463" s="520" t="inlineStr">
        <x:is>
          <x:t xml:space="preserve">Candidate 1 (helper — confirm from image)</x:t>
        </x:is>
      </x:c>
      <x:c r="Z463" s="520" t="inlineStr">
        <x:is>
          <x:t xml:space="preserve">Medium — helper value</x:t>
        </x:is>
      </x:c>
      <x:c r="AA463" s="520" t="inlineStr">
        <x:is>
          <x:t xml:space="preserve">Proof of Death — Sheila Kay Salvo to The Public (2224/535)</x:t>
        </x:is>
      </x:c>
      <x:c r="AB463" s="520" t="inlineStr">
        <x:is>
          <x:t xml:space="preserve">Needs source review: grantor source</x:t>
        </x:is>
      </x:c>
    </x:row>
    <x:row r="464" s="520" customFormat="1" ht="72" customHeight="1">
      <x:c r="A464" s="519" t="inlineStr">
        <x:is>
          <x:t xml:space="preserve">2014-002337</x:t>
        </x:is>
      </x:c>
      <x:c r="B464" s="536" t="n"/>
      <x:c r="C464" s="536" t="inlineStr">
        <x:is>
          <x:t xml:space="preserve">Ownership Affidavit</x:t>
        </x:is>
      </x:c>
      <x:c r="D464" s="536" t="inlineStr">
        <x:is>
          <x:t xml:space="preserve">2247/183</x:t>
        </x:is>
      </x:c>
      <x:c r="E464" s="537" t="n">
        <x:v>41730</x:v>
      </x:c>
      <x:c r="F464" s="537" t="n">
        <x:v>41746</x:v>
      </x:c>
      <x:c r="G464" s="538" t="inlineStr">
        <x:is>
          <x:t xml:space="preserve">Duke R. Ligon, Manager of Mekusukey Oil Company, LLC, an Oklahoma Limited Liability Company</x:t>
        </x:is>
      </x:c>
      <x:c r="H464" s="538" t="inlineStr">
        <x:is>
          <x:t xml:space="preserve">The Public</x:t>
        </x:is>
      </x:c>
      <x:c r="I464" s="538" t="inlineStr">
        <x:is>
          <x:t xml:space="preserve">All of 31-12N-24W, aol</x:t>
        </x:is>
      </x:c>
      <x:c r="J464" s="538" t="inlineStr">
        <x:is>
          <x:t xml:space="preserve">We are the successor to all right title and interest in and to only the minerals once owned, or may still be owned of record, by: The Estate of H.M. Ligon, Deceased; The Estate of Joan R. Ligon, Deceased; Nan Holt Ligon, individually and/or with her husband Dr. Charles Holt; Sundown Ranch, LLC; Richard S. Roberts, Trustee of the Duke R. … Full recital in recorded instrument — see Link.</x:t>
        </x:is>
      </x:c>
      <x:c r="K464" s="518" t="e">
        <x:f>HYPERLINK("https://okcountyrecords.com/detail/roger+mills/2014-002337","OKCountyRecords: 2014-002337")</x:f>
      </x:c>
      <x:c r="L464" s="519" t="inlineStr">
        <x:is>
          <x:t xml:space="preserve">Other (non-mineral; excluded from mineral NMA). All-section coverage. Gross=tract-map basis.</x:t>
        </x:is>
      </x:c>
      <x:c r="M464" s="519" t="inlineStr">
        <x:is>
          <x:t xml:space="preserve">OK</x:t>
        </x:is>
      </x:c>
      <x:c r="N464" s="519" t="inlineStr">
        <x:is>
          <x:t xml:space="preserve">Non-conveying — notice/affidavit/address change (The Public).</x:t>
        </x:is>
      </x:c>
      <x:c r="O464" s="519" t="inlineStr">
        <x:is>
          <x:t xml:space="preserve">OUTSIDE LANDS</x:t>
        </x:is>
      </x:c>
      <x:c r="P464" s="520" t="inlineStr">
        <x:is>
          <x:t xml:space="preserve">Chain — title support (succession/entity/probate)</x:t>
        </x:is>
      </x:c>
      <x:c r="Q464" s="520" t="inlineStr">
        <x:is>
          <x:t xml:space="preserve">Yes</x:t>
        </x:is>
      </x:c>
      <x:c r="R464" s="520" t="inlineStr">
        <x:is>
          <x:t xml:space="preserve">No</x:t>
        </x:is>
      </x:c>
      <x:c r="S464" s="520" t="inlineStr">
        <x:is>
          <x:t xml:space="preserve">Yes</x:t>
        </x:is>
      </x:c>
      <x:c r="T464" s="520" t="inlineStr">
        <x:is>
          <x:t xml:space="preserve">No</x:t>
        </x:is>
      </x:c>
      <x:c r="U464" s="520" t="inlineStr">
        <x:is>
          <x:t xml:space="preserve">Yes: 1, 8 (broad legal)</x:t>
        </x:is>
      </x:c>
      <x:c r="V464" s="520" t="inlineStr">
        <x:is>
          <x:t xml:space="preserve">Medium</x:t>
        </x:is>
      </x:c>
      <x:c r="W464" s="520" t="inlineStr">
        <x:is>
          <x:t xml:space="preserve">Review — no exact prior-grantee match</x:t>
        </x:is>
      </x:c>
      <x:c r="X464" s="520" t="inlineStr">
        <x:is>
          <x:t xml:space="preserve">Review</x:t>
        </x:is>
      </x:c>
      <x:c r="Y464" s="520" t="inlineStr">
        <x:is>
          <x:t xml:space="preserve">Interest amount needs review</x:t>
        </x:is>
      </x:c>
      <x:c r="Z464" s="520" t="inlineStr">
        <x:is>
          <x:t xml:space="preserve">Review</x:t>
        </x:is>
      </x:c>
      <x:c r="AA464" s="520" t="inlineStr">
        <x:is>
          <x:t xml:space="preserve">Ownership Affidavit — Duke R. Ligon, Manager of Meku to The Public (2247/183)</x:t>
        </x:is>
      </x:c>
      <x:c r="AB464" s="520" t="inlineStr">
        <x:is>
          <x:t xml:space="preserve">Needs source review: grantor source, interest amount</x:t>
        </x:is>
      </x:c>
    </x:row>
    <x:row r="465" s="520" customFormat="1" ht="48" customHeight="1">
      <x:c r="A465" s="519" t="inlineStr">
        <x:is>
          <x:t xml:space="preserve">2014-002935</x:t>
        </x:is>
      </x:c>
      <x:c r="B465" s="536" t="n"/>
      <x:c r="C465" s="536" t="inlineStr">
        <x:is>
          <x:t xml:space="preserve">Mineral Deed</x:t>
        </x:is>
      </x:c>
      <x:c r="D465" s="536" t="inlineStr">
        <x:is>
          <x:t xml:space="preserve">2251/22</x:t>
        </x:is>
      </x:c>
      <x:c r="E465" s="537" t="n">
        <x:v>41734</x:v>
      </x:c>
      <x:c r="F465" s="537" t="n">
        <x:v>41766</x:v>
      </x:c>
      <x:c r="G465" s="538" t="inlineStr">
        <x:is>
          <x:t xml:space="preserve">Jessica Corry Fuchs</x:t>
        </x:is>
      </x:c>
      <x:c r="H465" s="538" t="inlineStr">
        <x:is>
          <x:t xml:space="preserve">Jesse William Fuchs</x:t>
        </x:is>
      </x:c>
      <x:c r="I465" s="538" t="inlineStr">
        <x:is>
          <x:t xml:space="preserve">NW/4 SE/4, S/2 SE/4, SW/4 NE/4 of 31-12N-24W, aol</x:t>
        </x:is>
      </x:c>
      <x:c r="J465" s="538" t="inlineStr">
        <x:is>
          <x:t xml:space="preserve">An undivided 22.915741/791.47 interest in all of the oil, gas, and other minerals in and under 2 sections</x:t>
        </x:is>
      </x:c>
      <x:c r="K465" s="518" t="e">
        <x:f>HYPERLINK("https://okcountyrecords.com/detail/roger+mills/2014-002935","OKCountyRecords: 2014-002935")</x:f>
      </x:c>
      <x:c r="L465" s="519" t="inlineStr">
        <x:is>
          <x:t xml:space="preserve">Mineral; basis Conv Amt(dec). Gross=tract-map basis.</x:t>
        </x:is>
      </x:c>
      <x:c r="M465" s="519" t="inlineStr">
        <x:is>
          <x:t xml:space="preserve">CURRENT OWNER SOURCE</x:t>
        </x:is>
      </x:c>
      <x:c r="N465" s="519" t="n"/>
      <x:c r="O465" s="519" t="inlineStr">
        <x:is>
          <x:t xml:space="preserve">OUTSIDE LANDS</x:t>
        </x:is>
      </x:c>
      <x:c r="P465" s="520" t="inlineStr">
        <x:is>
          <x:t xml:space="preserve">Chain — minerals</x:t>
        </x:is>
      </x:c>
      <x:c r="Q465" s="520" t="inlineStr">
        <x:is>
          <x:t xml:space="preserve">Yes</x:t>
        </x:is>
      </x:c>
      <x:c r="R465" s="520" t="inlineStr">
        <x:is>
          <x:t xml:space="preserve">No</x:t>
        </x:is>
      </x:c>
      <x:c r="S465" s="520" t="inlineStr">
        <x:is>
          <x:t xml:space="preserve">Yes</x:t>
        </x:is>
      </x:c>
      <x:c r="T465" s="520" t="inlineStr">
        <x:is>
          <x:t xml:space="preserve">No</x:t>
        </x:is>
      </x:c>
      <x:c r="U465" s="520" t="inlineStr">
        <x:is>
          <x:t xml:space="preserve">Yes: 2 (legal supports)</x:t>
        </x:is>
      </x:c>
      <x:c r="V465" s="520" t="inlineStr">
        <x:is>
          <x:t xml:space="preserve">High</x:t>
        </x:is>
      </x:c>
      <x:c r="W465" s="520" t="inlineStr">
        <x:is>
          <x:t xml:space="preserve">Yes — prior grantee match</x:t>
        </x:is>
      </x:c>
      <x:c r="X465" s="520" t="inlineStr">
        <x:is>
          <x:t xml:space="preserve">Review</x:t>
        </x:is>
      </x:c>
      <x:c r="Y465" s="520" t="inlineStr">
        <x:is>
          <x:t xml:space="preserve">Candidate 0.0289533917899605 (helper — confirm from image)</x:t>
        </x:is>
      </x:c>
      <x:c r="Z465" s="520" t="inlineStr">
        <x:is>
          <x:t xml:space="preserve">Medium — helper value</x:t>
        </x:is>
      </x:c>
      <x:c r="AA465" s="520" t="inlineStr">
        <x:is>
          <x:t xml:space="preserve">Mineral Deed — Jessica Corry Fuchs to Jesse William Fuchs (2251/22)</x:t>
        </x:is>
      </x:c>
    </x:row>
    <x:row r="466" s="520" customFormat="1" ht="84" customHeight="1">
      <x:c r="A466" s="519" t="inlineStr">
        <x:is>
          <x:t xml:space="preserve">2014-003089</x:t>
        </x:is>
      </x:c>
      <x:c r="B466" s="536" t="n"/>
      <x:c r="C466" s="536" t="inlineStr">
        <x:is>
          <x:t xml:space="preserve">Mineral Deed</x:t>
        </x:is>
      </x:c>
      <x:c r="D466" s="536" t="inlineStr">
        <x:is>
          <x:t xml:space="preserve">2251/529</x:t>
        </x:is>
      </x:c>
      <x:c r="E466" s="537" t="n">
        <x:v>41746</x:v>
      </x:c>
      <x:c r="F466" s="537" t="n">
        <x:v>41774</x:v>
      </x:c>
      <x:c r="G466" s="538" t="inlineStr">
        <x:is>
          <x:t xml:space="preserve">Luther Ervin Thurman and Veronica Gentry Thurman, HW</x:t>
        </x:is>
      </x:c>
      <x:c r="H466" s="538" t="inlineStr">
        <x:is>
          <x:t xml:space="preserve">Luther Ervin Thurman and Veronica Gentry Thurman, Trustees or their
successors in Trust under the Luther and Veronica Thurman Living Trust, a Revocable Trust,
dated April 17, 2014, and any amendments thereto</x:t>
        </x:is>
      </x:c>
      <x:c r="I466" s="538" t="inlineStr">
        <x:is>
          <x:t xml:space="preserve">E/2 NW/4, N/2 NE/4 SW/4, NE/4 SE/4, SE/4 NE/4 of 31-12N-24W, aol</x:t>
        </x:is>
      </x:c>
      <x:c r="J466" s="538" t="inlineStr">
        <x:is>
          <x:t xml:space="preserve">an undivided 110/260th interest in and to all of the oil, gas and other minerals (It is the intention of this instrument to convey One Hundred Ten [110] mineral acres.)</x:t>
        </x:is>
      </x:c>
      <x:c r="K466" s="518" t="e">
        <x:f>HYPERLINK("https://okcountyrecords.com/detail/roger+mills/2014-003089","OKCountyRecords: 2014-003089")</x:f>
      </x:c>
      <x:c r="L466" s="519" t="inlineStr">
        <x:is>
          <x:t xml:space="preserve">Mineral; basis Conv Amt(dec). Gross=tract-map basis.</x:t>
        </x:is>
      </x:c>
      <x:c r="M466" s="519" t="inlineStr">
        <x:is>
          <x:t xml:space="preserve">CURRENT OWNER SOURCE</x:t>
        </x:is>
      </x:c>
      <x:c r="N466" s="519" t="n"/>
      <x:c r="O466" s="519" t="inlineStr">
        <x:is>
          <x:t xml:space="preserve">OUTSIDE LANDS</x:t>
        </x:is>
      </x:c>
      <x:c r="P466" s="520" t="inlineStr">
        <x:is>
          <x:t xml:space="preserve">Chain — minerals</x:t>
        </x:is>
      </x:c>
      <x:c r="Q466" s="520" t="inlineStr">
        <x:is>
          <x:t xml:space="preserve">Yes</x:t>
        </x:is>
      </x:c>
      <x:c r="R466" s="520" t="inlineStr">
        <x:is>
          <x:t xml:space="preserve">No</x:t>
        </x:is>
      </x:c>
      <x:c r="S466" s="520" t="inlineStr">
        <x:is>
          <x:t xml:space="preserve">Yes</x:t>
        </x:is>
      </x:c>
      <x:c r="T466" s="520" t="inlineStr">
        <x:is>
          <x:t xml:space="preserve">No</x:t>
        </x:is>
      </x:c>
      <x:c r="U466" s="520" t="inlineStr">
        <x:is>
          <x:t xml:space="preserve">Legal maps to 1, 3, 4, 7, 10; helper says 1, 3, 4, 7, 8</x:t>
        </x:is>
      </x:c>
      <x:c r="V466" s="520" t="inlineStr">
        <x:is>
          <x:t xml:space="preserve">Review</x:t>
        </x:is>
      </x:c>
      <x:c r="W466" s="520" t="inlineStr">
        <x:is>
          <x:t xml:space="preserve">Review — no exact prior-grantee match</x:t>
        </x:is>
      </x:c>
      <x:c r="X466" s="520" t="inlineStr">
        <x:is>
          <x:t xml:space="preserve">Review</x:t>
        </x:is>
      </x:c>
      <x:c r="Y466" s="520" t="inlineStr">
        <x:is>
          <x:t xml:space="preserve">Candidate 0.423076923076923 (helper — confirm from image)</x:t>
        </x:is>
      </x:c>
      <x:c r="Z466" s="520" t="inlineStr">
        <x:is>
          <x:t xml:space="preserve">Medium — helper value</x:t>
        </x:is>
      </x:c>
      <x:c r="AA466" s="520" t="inlineStr">
        <x:is>
          <x:t xml:space="preserve">Mineral Deed — Luther Ervin Thurman and Veron to Luther Ervin Thurman and Veron (2251/529)</x:t>
        </x:is>
      </x:c>
      <x:c r="AB466" s="520" t="inlineStr">
        <x:is>
          <x:t xml:space="preserve">Needs source review: tract, grantor source</x:t>
        </x:is>
      </x:c>
    </x:row>
    <x:row r="467" s="520" customFormat="1" ht="120" customHeight="1">
      <x:c r="A467" s="519" t="inlineStr">
        <x:is>
          <x:t xml:space="preserve">2014-004525</x:t>
        </x:is>
      </x:c>
      <x:c r="B467" s="536" t="n"/>
      <x:c r="C467" s="536" t="inlineStr">
        <x:is>
          <x:t xml:space="preserve">Divorce Decree</x:t>
        </x:is>
      </x:c>
      <x:c r="D467" s="536" t="inlineStr">
        <x:is>
          <x:t xml:space="preserve">2261/255</x:t>
        </x:is>
      </x:c>
      <x:c r="E467" s="537" t="n">
        <x:v>41782</x:v>
      </x:c>
      <x:c r="F467" s="537" t="n">
        <x:v>41834</x:v>
      </x:c>
      <x:c r="G467" s="538" t="inlineStr">
        <x:is>
          <x:t xml:space="preserve">Roger Mills County Court
RE: In the Matter of the Marriage of William Edgar Bryant and Kathy Lynn Bryant</x:t>
        </x:is>
      </x:c>
      <x:c r="H467" s="538" t="inlineStr">
        <x:is>
          <x:t xml:space="preserve">William Edgar Bryant</x:t>
        </x:is>
      </x:c>
      <x:c r="I467" s="538" t="inlineStr">
        <x:is>
          <x:t xml:space="preserve">A tract of land in Lot One (1) of Section Thirty-one (31) in Township Twelve (12) North of Range Twenty-four West of the Indian Meridian, decribed as follows: Beginning at the Northwest Corner of said Lot One (1), THENCE East 420.58 feet; THENCE South 725.00 feet; THENCE West 420.58 feet; and Thence North 725.00 feet to point of beginning, containing 7 acres, more or less, Roger Mills County, Oklahoma;</x:t>
        </x:is>
      </x:c>
      <x:c r="J467" s="538" t="inlineStr">
        <x:is>
          <x:t xml:space="preserve">ARTI
Chain note: source of title — MINERAL DEED 1983-001671 at 512/67, Roger Mills County Court
RE: In the Matter of the Estate of Jesse G. French, Deceased to Lola B. French, covering 31-12N-24W not found on document, interest stated: ARTI. Confirm source instrument before relying on this conveyance.</x:t>
        </x:is>
      </x:c>
      <x:c r="K467" s="518" t="e">
        <x:f>HYPERLINK("https://okcountyrecords.com/detail/roger+mills/2014-004525","OKCountyRecords: 2014-004525")</x:f>
      </x:c>
      <x:c r="L467" s="519" t="inlineStr">
        <x:is>
          <x:t xml:space="preserve">Mineral; basis Conv Amt(dec). Gross acres unresolved. Gross=tract-map basis.</x:t>
        </x:is>
      </x:c>
      <x:c r="M467" s="519" t="inlineStr">
        <x:is>
          <x:t xml:space="preserve">CURRENT OWNER SOURCE</x:t>
        </x:is>
      </x:c>
      <x:c r="N467" s="519" t="n"/>
      <x:c r="O467" s="519" t="inlineStr">
        <x:is>
          <x:t xml:space="preserve">MINERAL DEED</x:t>
        </x:is>
      </x:c>
      <x:c r="P467" s="520" t="inlineStr">
        <x:is>
          <x:t xml:space="preserve">Do Not Chain — other section lands</x:t>
        </x:is>
      </x:c>
      <x:c r="Q467" s="520" t="inlineStr">
        <x:is>
          <x:t xml:space="preserve">Yes</x:t>
        </x:is>
      </x:c>
      <x:c r="R467" s="520" t="inlineStr">
        <x:is>
          <x:t xml:space="preserve">No</x:t>
        </x:is>
      </x:c>
      <x:c r="S467" s="520" t="inlineStr">
        <x:is>
          <x:t xml:space="preserve">Yes</x:t>
        </x:is>
      </x:c>
      <x:c r="T467" s="520" t="inlineStr">
        <x:is>
          <x:t xml:space="preserve">No</x:t>
        </x:is>
      </x:c>
      <x:c r="U467" s="520" t="inlineStr">
        <x:is>
          <x:t xml:space="preserve">Other section — no Sec 31 tract</x:t>
        </x:is>
      </x:c>
      <x:c r="V467" s="520" t="inlineStr">
        <x:is>
          <x:t xml:space="preserve">High</x:t>
        </x:is>
      </x:c>
      <x:c r="W467" s="520" t="inlineStr">
        <x:is>
          <x:t xml:space="preserve">Review — no exact prior-grantee match</x:t>
        </x:is>
      </x:c>
      <x:c r="X467" s="520" t="inlineStr">
        <x:is>
          <x:t xml:space="preserve">Review</x:t>
        </x:is>
      </x:c>
      <x:c r="Y467" s="520" t="inlineStr">
        <x:is>
          <x:t xml:space="preserve">Candidate 1 (helper — confirm from image)</x:t>
        </x:is>
      </x:c>
      <x:c r="Z467" s="520" t="inlineStr">
        <x:is>
          <x:t xml:space="preserve">Medium — helper value</x:t>
        </x:is>
      </x:c>
      <x:c r="AA467" s="520" t="inlineStr">
        <x:is>
          <x:t xml:space="preserve">Divorce Decree — Roger Mills County Court to William Edgar Bryant (2261/255)</x:t>
        </x:is>
      </x:c>
      <x:c r="AB467" s="520" t="inlineStr">
        <x:is>
          <x:t xml:space="preserve">Needs source review: grantor source</x:t>
        </x:is>
      </x:c>
    </x:row>
    <x:row r="468" s="520" customFormat="1" ht="60" customHeight="1">
      <x:c r="A468" s="519" t="inlineStr">
        <x:is>
          <x:t xml:space="preserve">2015-002747</x:t>
        </x:is>
      </x:c>
      <x:c r="B468" s="536" t="n"/>
      <x:c r="C468" s="536" t="inlineStr">
        <x:is>
          <x:t xml:space="preserve">Assignment</x:t>
        </x:is>
      </x:c>
      <x:c r="D468" s="536" t="inlineStr">
        <x:is>
          <x:t xml:space="preserve">2307/1</x:t>
        </x:is>
      </x:c>
      <x:c r="E468" s="537" t="n">
        <x:v>41821</x:v>
      </x:c>
      <x:c r="F468" s="537" t="n">
        <x:v>42250</x:v>
      </x:c>
      <x:c r="G468" s="538" t="inlineStr">
        <x:is>
          <x:t xml:space="preserve">Chesapeake Exploration</x:t>
        </x:is>
      </x:c>
      <x:c r="H468" s="538" t="inlineStr">
        <x:is>
          <x:t xml:space="preserve">Fourpoint Energy, LLC</x:t>
        </x:is>
      </x:c>
      <x:c r="I468" s="538" t="inlineStr">
        <x:is>
          <x:t xml:space="preserve">All of 31-12N-24W, aol</x:t>
        </x:is>
      </x:c>
      <x:c r="J468" s="538" t="inlineStr">
        <x:is>
          <x:t xml:space="preserve">ARTI</x:t>
        </x:is>
      </x:c>
      <x:c r="K468" s="518" t="e">
        <x:f>HYPERLINK("https://okcountyrecords.com/detail/roger+mills/2015-002747","OKCountyRecords: 2015-002747")</x:f>
      </x:c>
      <x:c r="L468" s="519" t="inlineStr">
        <x:is>
          <x:t xml:space="preserve">Leasehold (non-mineral; excluded from mineral NMA). All-section coverage. Gross=tract-map basis.</x:t>
        </x:is>
      </x:c>
      <x:c r="M468" s="519" t="inlineStr">
        <x:is>
          <x:t xml:space="preserve">Confirm lease effect</x:t>
        </x:is>
      </x:c>
      <x:c r="N468" s="519" t="n"/>
      <x:c r="O468" s="519" t="inlineStr">
        <x:is>
          <x:t xml:space="preserve">OUTSIDE LANDS</x:t>
        </x:is>
      </x:c>
      <x:c r="P468" s="520" t="inlineStr">
        <x:is>
          <x:t xml:space="preserve">Chain — assignment (WI or minerals — read granting clause)</x:t>
        </x:is>
      </x:c>
      <x:c r="Q468" s="520" t="inlineStr">
        <x:is>
          <x:t xml:space="preserve">Review</x:t>
        </x:is>
      </x:c>
      <x:c r="R468" s="520" t="inlineStr">
        <x:is>
          <x:t xml:space="preserve">Yes</x:t>
        </x:is>
      </x:c>
      <x:c r="S468" s="520" t="inlineStr">
        <x:is>
          <x:t xml:space="preserve">Review</x:t>
        </x:is>
      </x:c>
      <x:c r="T468" s="520" t="inlineStr">
        <x:is>
          <x:t xml:space="preserve">Yes</x:t>
        </x:is>
      </x:c>
      <x:c r="U468" s="520" t="inlineStr">
        <x:is>
          <x:t xml:space="preserve">Yes: 1, 8 (broad legal)</x:t>
        </x:is>
      </x:c>
      <x:c r="V468" s="520" t="inlineStr">
        <x:is>
          <x:t xml:space="preserve">Medium</x:t>
        </x:is>
      </x:c>
      <x:c r="W468" s="520" t="inlineStr">
        <x:is>
          <x:t xml:space="preserve">Review — no exact prior-grantee match</x:t>
        </x:is>
      </x:c>
      <x:c r="X468" s="520" t="inlineStr">
        <x:is>
          <x:t xml:space="preserve">Review</x:t>
        </x:is>
      </x:c>
      <x:c r="Y468" s="520" t="inlineStr">
        <x:is>
          <x:t xml:space="preserve">Interest amount needs review</x:t>
        </x:is>
      </x:c>
      <x:c r="Z468" s="520" t="inlineStr">
        <x:is>
          <x:t xml:space="preserve">Review</x:t>
        </x:is>
      </x:c>
      <x:c r="AA468" s="520" t="inlineStr">
        <x:is>
          <x:t xml:space="preserve">Assignment — Chesapeake Exploration to Fourpoint Energy, LLC (2307/1)</x:t>
        </x:is>
      </x:c>
      <x:c r="AB468" s="520" t="inlineStr">
        <x:is>
          <x:t xml:space="preserve">Needs source review: grantor source, interest amount</x:t>
        </x:is>
      </x:c>
    </x:row>
    <x:row r="469" s="520" customFormat="1" ht="60" customHeight="1">
      <x:c r="A469" s="519" t="inlineStr">
        <x:is>
          <x:t xml:space="preserve">2014-005920</x:t>
        </x:is>
      </x:c>
      <x:c r="B469" s="536" t="n"/>
      <x:c r="C469" s="536" t="inlineStr">
        <x:is>
          <x:t xml:space="preserve">Assignment</x:t>
        </x:is>
      </x:c>
      <x:c r="D469" s="536" t="inlineStr">
        <x:is>
          <x:t xml:space="preserve">2270/316</x:t>
        </x:is>
      </x:c>
      <x:c r="E469" s="537" t="n">
        <x:v>41821</x:v>
      </x:c>
      <x:c r="F469" s="537" t="n">
        <x:v>41907</x:v>
      </x:c>
      <x:c r="G469" s="538" t="inlineStr">
        <x:is>
          <x:t xml:space="preserve">Newfield Exploartion Company,
Newfield Exploration Mid Continent, Inc.</x:t>
        </x:is>
      </x:c>
      <x:c r="H469" s="538" t="inlineStr">
        <x:is>
          <x:t xml:space="preserve">Templar Energy, LLC</x:t>
        </x:is>
      </x:c>
      <x:c r="I469" s="538" t="inlineStr">
        <x:is>
          <x:t xml:space="preserve">All of 31-12N-24W, aol</x:t>
        </x:is>
      </x:c>
      <x:c r="J469" s="538" t="inlineStr">
        <x:is>
          <x:t xml:space="preserve">ARTI</x:t>
        </x:is>
      </x:c>
      <x:c r="K469" s="518" t="e">
        <x:f>HYPERLINK("https://okcountyrecords.com/detail/roger+mills/2014-005920","OKCountyRecords: 2014-005920")</x:f>
      </x:c>
      <x:c r="L469" s="519" t="inlineStr">
        <x:is>
          <x:t xml:space="preserve">Leasehold (non-mineral; excluded from mineral NMA). All-section coverage. Gross=tract-map basis.</x:t>
        </x:is>
      </x:c>
      <x:c r="M469" s="519" t="inlineStr">
        <x:is>
          <x:t xml:space="preserve">Confirm lease effect</x:t>
        </x:is>
      </x:c>
      <x:c r="N469" s="519" t="n"/>
      <x:c r="O469" s="519" t="inlineStr">
        <x:is>
          <x:t xml:space="preserve">OUTSIDE LANDS</x:t>
        </x:is>
      </x:c>
      <x:c r="P469" s="520" t="inlineStr">
        <x:is>
          <x:t xml:space="preserve">Chain — assignment (WI or minerals — read granting clause)</x:t>
        </x:is>
      </x:c>
      <x:c r="Q469" s="520" t="inlineStr">
        <x:is>
          <x:t xml:space="preserve">Review</x:t>
        </x:is>
      </x:c>
      <x:c r="R469" s="520" t="inlineStr">
        <x:is>
          <x:t xml:space="preserve">Yes</x:t>
        </x:is>
      </x:c>
      <x:c r="S469" s="520" t="inlineStr">
        <x:is>
          <x:t xml:space="preserve">Review</x:t>
        </x:is>
      </x:c>
      <x:c r="T469" s="520" t="inlineStr">
        <x:is>
          <x:t xml:space="preserve">Yes</x:t>
        </x:is>
      </x:c>
      <x:c r="U469" s="520" t="inlineStr">
        <x:is>
          <x:t xml:space="preserve">Yes: 1, 8 (broad legal)</x:t>
        </x:is>
      </x:c>
      <x:c r="V469" s="520" t="inlineStr">
        <x:is>
          <x:t xml:space="preserve">Medium</x:t>
        </x:is>
      </x:c>
      <x:c r="W469" s="520" t="inlineStr">
        <x:is>
          <x:t xml:space="preserve">Review — no exact prior-grantee match</x:t>
        </x:is>
      </x:c>
      <x:c r="X469" s="520" t="inlineStr">
        <x:is>
          <x:t xml:space="preserve">Review</x:t>
        </x:is>
      </x:c>
      <x:c r="Y469" s="520" t="inlineStr">
        <x:is>
          <x:t xml:space="preserve">Interest amount needs review</x:t>
        </x:is>
      </x:c>
      <x:c r="Z469" s="520" t="inlineStr">
        <x:is>
          <x:t xml:space="preserve">Review</x:t>
        </x:is>
      </x:c>
      <x:c r="AA469" s="520" t="inlineStr">
        <x:is>
          <x:t xml:space="preserve">Assignment — Newfield Exploartion Company, to Templar Energy, LLC (2270/316)</x:t>
        </x:is>
      </x:c>
      <x:c r="AB469" s="520" t="inlineStr">
        <x:is>
          <x:t xml:space="preserve">Needs source review: grantor source, interest amount</x:t>
        </x:is>
      </x:c>
    </x:row>
    <x:row r="470" s="520" customFormat="1" ht="96" customHeight="1">
      <x:c r="A470" s="519" t="inlineStr">
        <x:is>
          <x:t xml:space="preserve">2014-004286</x:t>
        </x:is>
      </x:c>
      <x:c r="B470" s="536" t="n"/>
      <x:c r="C470" s="536" t="inlineStr">
        <x:is>
          <x:t xml:space="preserve">Decree of Settlement of Final Account, Determination of Heirs, Legatees and Devisees of Decedent, and Decree of Distribution and Discharge</x:t>
        </x:is>
      </x:c>
      <x:c r="D470" s="536" t="inlineStr">
        <x:is>
          <x:t xml:space="preserve">2259/397</x:t>
        </x:is>
      </x:c>
      <x:c r="E470" s="537" t="n">
        <x:v>41821</x:v>
      </x:c>
      <x:c r="F470" s="537" t="n">
        <x:v>41821</x:v>
      </x:c>
      <x:c r="G470" s="538" t="inlineStr">
        <x:is>
          <x:t xml:space="preserve">Roger Mills County Court
RE: In the Matter of the Estate of Lyle Terrence Ibeling, Deceased</x:t>
        </x:is>
      </x:c>
      <x:c r="H470" s="538" t="inlineStr">
        <x:is>
          <x:t xml:space="preserve">Michelle Ibeling, 1/4,
Joel Ibeling, 1/4,
Janelle Ibeling Ness, 1/4,
Cassandra Wynia, 1/4</x:t>
        </x:is>
      </x:c>
      <x:c r="I470" s="538" t="inlineStr">
        <x:is>
          <x:t xml:space="preserve">NW/4 SE/4, S/2 SE/4, SW/4 NE/4 of 31-12N-24W, aol</x:t>
        </x:is>
      </x:c>
      <x:c r="J470" s="538" t="inlineStr">
        <x:is>
          <x:t xml:space="preserve">ARTI, An undivided 1/791.47 interest (1 net mineral acre, more or less), in and to all of the OIL, GAS and OTHER MINERALS in and under 2 sections</x:t>
        </x:is>
      </x:c>
      <x:c r="K470" s="518" t="e">
        <x:f>HYPERLINK("https://okcountyrecords.com/detail/roger+mills/2014-004286","OKCountyRecords: 2014-004286")</x:f>
      </x:c>
      <x:c r="L470" s="519" t="inlineStr">
        <x:is>
          <x:t xml:space="preserve">Mineral; basis Conv Amt(dec). Gross=tract-map basis.</x:t>
        </x:is>
      </x:c>
      <x:c r="M470" s="519" t="inlineStr">
        <x:is>
          <x:t xml:space="preserve">CURRENT OWNER SOURCE</x:t>
        </x:is>
      </x:c>
      <x:c r="N470" s="519" t="n"/>
      <x:c r="O470" s="519" t="inlineStr">
        <x:is>
          <x:t xml:space="preserve">OUTSIDE LANDS</x:t>
        </x:is>
      </x:c>
      <x:c r="P470" s="520" t="inlineStr">
        <x:is>
          <x:t xml:space="preserve">Chain — title support (succession/entity/probate)</x:t>
        </x:is>
      </x:c>
      <x:c r="Q470" s="520" t="inlineStr">
        <x:is>
          <x:t xml:space="preserve">Yes</x:t>
        </x:is>
      </x:c>
      <x:c r="R470" s="520" t="inlineStr">
        <x:is>
          <x:t xml:space="preserve">No</x:t>
        </x:is>
      </x:c>
      <x:c r="S470" s="520" t="inlineStr">
        <x:is>
          <x:t xml:space="preserve">Yes</x:t>
        </x:is>
      </x:c>
      <x:c r="T470" s="520" t="inlineStr">
        <x:is>
          <x:t xml:space="preserve">No</x:t>
        </x:is>
      </x:c>
      <x:c r="U470" s="520" t="inlineStr">
        <x:is>
          <x:t xml:space="preserve">Yes: 2 (legal supports)</x:t>
        </x:is>
      </x:c>
      <x:c r="V470" s="520" t="inlineStr">
        <x:is>
          <x:t xml:space="preserve">High</x:t>
        </x:is>
      </x:c>
      <x:c r="W470" s="520" t="inlineStr">
        <x:is>
          <x:t xml:space="preserve">Review — no exact prior-grantee match</x:t>
        </x:is>
      </x:c>
      <x:c r="X470" s="520" t="inlineStr">
        <x:is>
          <x:t xml:space="preserve">Review</x:t>
        </x:is>
      </x:c>
      <x:c r="Y470" s="520" t="inlineStr">
        <x:is>
          <x:t xml:space="preserve">Candidate 1 (helper — confirm from image)</x:t>
        </x:is>
      </x:c>
      <x:c r="Z470" s="520" t="inlineStr">
        <x:is>
          <x:t xml:space="preserve">Medium — helper value</x:t>
        </x:is>
      </x:c>
      <x:c r="AA470" s="520" t="inlineStr">
        <x:is>
          <x:t xml:space="preserve">Decree of Settlement of Final Ac — Roger Mills County Court to Michelle Ibeling, 1/4, (2259/397)</x:t>
        </x:is>
      </x:c>
      <x:c r="AB470" s="520" t="inlineStr">
        <x:is>
          <x:t xml:space="preserve">Needs source review: grantor source</x:t>
        </x:is>
      </x:c>
    </x:row>
    <x:row r="471" s="520" customFormat="1" ht="60" customHeight="1">
      <x:c r="A471" s="519" t="inlineStr">
        <x:is>
          <x:t xml:space="preserve">2014-005899</x:t>
        </x:is>
      </x:c>
      <x:c r="B471" s="536" t="n"/>
      <x:c r="C471" s="536" t="inlineStr">
        <x:is>
          <x:t xml:space="preserve">Mineral Deed</x:t>
        </x:is>
      </x:c>
      <x:c r="D471" s="536" t="inlineStr">
        <x:is>
          <x:t xml:space="preserve">2270/252</x:t>
        </x:is>
      </x:c>
      <x:c r="E471" s="537" t="n">
        <x:v>41851</x:v>
      </x:c>
      <x:c r="F471" s="537" t="n">
        <x:v>41905</x:v>
      </x:c>
      <x:c r="G471" s="538" t="inlineStr">
        <x:is>
          <x:t xml:space="preserve">Eddie Tom Lakey and Marinita Lakey, HW</x:t>
        </x:is>
      </x:c>
      <x:c r="H471" s="538" t="inlineStr">
        <x:is>
          <x:t xml:space="preserve">The Eddie Tom Lakey and Marinita Ann Lakey Revocable Trust dated June 1, 2014</x:t>
        </x:is>
      </x:c>
      <x:c r="I471" s="538" t="inlineStr">
        <x:is>
          <x:t xml:space="preserve">NW/4 of 31-12N-24W, aol</x:t>
        </x:is>
      </x:c>
      <x:c r="J471" s="538" t="inlineStr">
        <x:is>
          <x:t xml:space="preserve">ARTI</x:t>
        </x:is>
      </x:c>
      <x:c r="K471" s="518" t="e">
        <x:f>HYPERLINK("https://okcountyrecords.com/detail/roger+mills/2014-005899","OKCountyRecords: 2014-005899")</x:f>
      </x:c>
      <x:c r="L471" s="519" t="inlineStr">
        <x:is>
          <x:t xml:space="preserve">Mineral; basis Conv Amt(dec). Gross=tract-map basis.</x:t>
        </x:is>
      </x:c>
      <x:c r="M471" s="519" t="inlineStr">
        <x:is>
          <x:t xml:space="preserve">CURRENT OWNER SOURCE</x:t>
        </x:is>
      </x:c>
      <x:c r="N471" s="519" t="n"/>
      <x:c r="O471" s="519" t="inlineStr">
        <x:is>
          <x:t xml:space="preserve">OUTSIDE LANDS</x:t>
        </x:is>
      </x:c>
      <x:c r="P471" s="520" t="inlineStr">
        <x:is>
          <x:t xml:space="preserve">Chain — minerals</x:t>
        </x:is>
      </x:c>
      <x:c r="Q471" s="520" t="inlineStr">
        <x:is>
          <x:t xml:space="preserve">Yes</x:t>
        </x:is>
      </x:c>
      <x:c r="R471" s="520" t="inlineStr">
        <x:is>
          <x:t xml:space="preserve">No</x:t>
        </x:is>
      </x:c>
      <x:c r="S471" s="520" t="inlineStr">
        <x:is>
          <x:t xml:space="preserve">Yes</x:t>
        </x:is>
      </x:c>
      <x:c r="T471" s="520" t="inlineStr">
        <x:is>
          <x:t xml:space="preserve">No</x:t>
        </x:is>
      </x:c>
      <x:c r="U471" s="520" t="inlineStr">
        <x:is>
          <x:t xml:space="preserve">Yes: 4, 5 (broad legal)</x:t>
        </x:is>
      </x:c>
      <x:c r="V471" s="520" t="inlineStr">
        <x:is>
          <x:t xml:space="preserve">Medium</x:t>
        </x:is>
      </x:c>
      <x:c r="W471" s="520" t="inlineStr">
        <x:is>
          <x:t xml:space="preserve">Probable — name-normalized match to Runsheet 91 grantee; confirm</x:t>
        </x:is>
      </x:c>
      <x:c r="X471" s="520" t="inlineStr">
        <x:is>
          <x:t xml:space="preserve">Yes — on Tract 4 owner list</x:t>
        </x:is>
      </x:c>
      <x:c r="Y471" s="520" t="inlineStr">
        <x:is>
          <x:t xml:space="preserve">Candidate 1 (helper — confirm from image)</x:t>
        </x:is>
      </x:c>
      <x:c r="Z471" s="520" t="inlineStr">
        <x:is>
          <x:t xml:space="preserve">Medium — helper value</x:t>
        </x:is>
      </x:c>
      <x:c r="AA471" s="520" t="inlineStr">
        <x:is>
          <x:t xml:space="preserve">Mineral Deed — Eddie Tom Lakey and Marinita L to The Eddie Tom Lakey and Marini (2270/252)</x:t>
        </x:is>
      </x:c>
      <x:c r="AB471" s="520" t="inlineStr">
        <x:is>
          <x:t xml:space="preserve">Needs source review: grantor source</x:t>
        </x:is>
      </x:c>
    </x:row>
    <x:row r="472" s="520" customFormat="1" ht="48" customHeight="1">
      <x:c r="A472" s="519" t="inlineStr">
        <x:is>
          <x:t xml:space="preserve">2014-006293</x:t>
        </x:is>
      </x:c>
      <x:c r="B472" s="536" t="n"/>
      <x:c r="C472" s="536" t="inlineStr">
        <x:is>
          <x:t xml:space="preserve">Mineral Deed</x:t>
        </x:is>
      </x:c>
      <x:c r="D472" s="536" t="inlineStr">
        <x:is>
          <x:t xml:space="preserve">2273/223</x:t>
        </x:is>
      </x:c>
      <x:c r="E472" s="537" t="n">
        <x:v>41926</x:v>
      </x:c>
      <x:c r="F472" s="537" t="n">
        <x:v>41927</x:v>
      </x:c>
      <x:c r="G472" s="538" t="inlineStr">
        <x:is>
          <x:t xml:space="preserve">Joe Britton, same person as Joe H. Britton and Joe Harold Britton, Grantor, joined by his wife, Etta Britton</x:t>
        </x:is>
      </x:c>
      <x:c r="H472" s="538" t="inlineStr">
        <x:is>
          <x:t xml:space="preserve">Linda C. Browning</x:t>
        </x:is>
      </x:c>
      <x:c r="I472" s="538" t="inlineStr">
        <x:is>
          <x:t xml:space="preserve">E/2 NW/4, N/2 NE/4, NE/4 SE/4, SE/4 NE/4 of 31-12N-24W, aol</x:t>
        </x:is>
      </x:c>
      <x:c r="J472" s="538" t="inlineStr">
        <x:is>
          <x:t xml:space="preserve">2.30769 min. ac. In 31-12N-24W
all right, title and interest of Grantor in the oil, gas and other minerals and mineral rights in and under 2 sections</x:t>
        </x:is>
      </x:c>
      <x:c r="K472" s="518" t="e">
        <x:f>HYPERLINK("https://okcountyrecords.com/detail/roger+mills/2014-006293","OKCountyRecords: 2014-006293")</x:f>
      </x:c>
      <x:c r="L472" s="519" t="inlineStr">
        <x:is>
          <x:t xml:space="preserve">Mineral; basis Conv Amt(dec). Gross=tract-map basis.</x:t>
        </x:is>
      </x:c>
      <x:c r="M472" s="519" t="inlineStr">
        <x:is>
          <x:t xml:space="preserve">CURRENT OWNER SOURCE</x:t>
        </x:is>
      </x:c>
      <x:c r="N472" s="519" t="n"/>
      <x:c r="O472" s="519" t="inlineStr">
        <x:is>
          <x:t xml:space="preserve">OUTSIDE LANDS</x:t>
        </x:is>
      </x:c>
      <x:c r="P472" s="520" t="inlineStr">
        <x:is>
          <x:t xml:space="preserve">Chain — minerals</x:t>
        </x:is>
      </x:c>
      <x:c r="Q472" s="520" t="inlineStr">
        <x:is>
          <x:t xml:space="preserve">Yes</x:t>
        </x:is>
      </x:c>
      <x:c r="R472" s="520" t="inlineStr">
        <x:is>
          <x:t xml:space="preserve">No</x:t>
        </x:is>
      </x:c>
      <x:c r="S472" s="520" t="inlineStr">
        <x:is>
          <x:t xml:space="preserve">Yes</x:t>
        </x:is>
      </x:c>
      <x:c r="T472" s="520" t="inlineStr">
        <x:is>
          <x:t xml:space="preserve">No</x:t>
        </x:is>
      </x:c>
      <x:c r="U472" s="520" t="inlineStr">
        <x:is>
          <x:t xml:space="preserve">Legal maps to 1, 3, 4, 10; helper says 1, 3, 4, 8</x:t>
        </x:is>
      </x:c>
      <x:c r="V472" s="520" t="inlineStr">
        <x:is>
          <x:t xml:space="preserve">Review</x:t>
        </x:is>
      </x:c>
      <x:c r="W472" s="520" t="inlineStr">
        <x:is>
          <x:t xml:space="preserve">Probable — name-normalized match to Runsheet 197 grantee; confirm</x:t>
        </x:is>
      </x:c>
      <x:c r="X472" s="520" t="inlineStr">
        <x:is>
          <x:t xml:space="preserve">Yes — on Tract 3 owner list</x:t>
        </x:is>
      </x:c>
      <x:c r="Y472" s="520" t="inlineStr">
        <x:is>
          <x:t xml:space="preserve">Candidate 1 (helper — confirm from image)</x:t>
        </x:is>
      </x:c>
      <x:c r="Z472" s="520" t="inlineStr">
        <x:is>
          <x:t xml:space="preserve">Medium — helper value</x:t>
        </x:is>
      </x:c>
      <x:c r="AA472" s="520" t="inlineStr">
        <x:is>
          <x:t xml:space="preserve">Mineral Deed — Joe Britton, same person as Jo to Linda C. Browning (2273/223)</x:t>
        </x:is>
      </x:c>
      <x:c r="AB472" s="520" t="inlineStr">
        <x:is>
          <x:t xml:space="preserve">Needs source review: tract, grantor source</x:t>
        </x:is>
      </x:c>
    </x:row>
    <x:row r="473" s="520" customFormat="1" ht="96" customHeight="1">
      <x:c r="A473" s="519" t="inlineStr">
        <x:is>
          <x:t xml:space="preserve">2014-006352</x:t>
        </x:is>
      </x:c>
      <x:c r="B473" s="536" t="n"/>
      <x:c r="C473" s="536" t="inlineStr">
        <x:is>
          <x:t xml:space="preserve">Affidavit of Identity</x:t>
        </x:is>
      </x:c>
      <x:c r="D473" s="536" t="inlineStr">
        <x:is>
          <x:t xml:space="preserve">2273/539</x:t>
        </x:is>
      </x:c>
      <x:c r="E473" s="537" t="n">
        <x:v>41926</x:v>
      </x:c>
      <x:c r="F473" s="537" t="n">
        <x:v>41932</x:v>
      </x:c>
      <x:c r="G473" s="538" t="inlineStr">
        <x:is>
          <x:t xml:space="preserve">Jon Wilkerson</x:t>
        </x:is>
      </x:c>
      <x:c r="H473" s="538" t="inlineStr">
        <x:is>
          <x:t xml:space="preserve">The Public
RE: Linda Fields, aka Linda Klipfenstein, aka Linda Mize</x:t>
        </x:is>
      </x:c>
      <x:c r="I473" s="538" t="inlineStr">
        <x:is>
          <x:t xml:space="preserve">All of 31-12N-24W, aol</x:t>
        </x:is>
      </x:c>
      <x:c r="J473" s="538" t="inlineStr">
        <x:is>
          <x:t xml:space="preserve">See instrument</x:t>
        </x:is>
      </x:c>
      <x:c r="K473" s="518" t="e">
        <x:f>HYPERLINK("https://okcountyrecords.com/detail/roger+mills/2014-006352","OKCountyRecords: 2014-006352")</x:f>
      </x:c>
      <x:c r="L473" s="519" t="inlineStr">
        <x:is>
          <x:t xml:space="preserve">Other (non-mineral; excluded from mineral NMA). grantor indexed as 'The Public' — confirm source instrument. All-section coverage. Gross=tract-map basis.</x:t>
        </x:is>
      </x:c>
      <x:c r="M473" s="519" t="inlineStr">
        <x:is>
          <x:t xml:space="preserve">REVIEW</x:t>
        </x:is>
      </x:c>
      <x:c r="N473" s="519" t="inlineStr">
        <x:is>
          <x:t xml:space="preserve">Confirm conveyed mineral acreage from instrument image — named party indexed under 'The Public' (affidavit/notice); identity resolved.</x:t>
        </x:is>
      </x:c>
      <x:c r="O473" s="519" t="inlineStr">
        <x:is>
          <x:t xml:space="preserve">OUTSIDE LANDS</x:t>
        </x:is>
      </x:c>
      <x:c r="P473" s="520" t="inlineStr">
        <x:is>
          <x:t xml:space="preserve">Chain — title support (succession/entity/probate)</x:t>
        </x:is>
      </x:c>
      <x:c r="Q473" s="520" t="inlineStr">
        <x:is>
          <x:t xml:space="preserve">Yes</x:t>
        </x:is>
      </x:c>
      <x:c r="R473" s="520" t="inlineStr">
        <x:is>
          <x:t xml:space="preserve">No</x:t>
        </x:is>
      </x:c>
      <x:c r="S473" s="520" t="inlineStr">
        <x:is>
          <x:t xml:space="preserve">Yes</x:t>
        </x:is>
      </x:c>
      <x:c r="T473" s="520" t="inlineStr">
        <x:is>
          <x:t xml:space="preserve">No</x:t>
        </x:is>
      </x:c>
      <x:c r="U473" s="520" t="inlineStr">
        <x:is>
          <x:t xml:space="preserve">Yes: 1, 8 (broad legal)</x:t>
        </x:is>
      </x:c>
      <x:c r="V473" s="520" t="inlineStr">
        <x:is>
          <x:t xml:space="preserve">Medium</x:t>
        </x:is>
      </x:c>
      <x:c r="W473" s="520" t="inlineStr">
        <x:is>
          <x:t xml:space="preserve">Review — no exact prior-grantee match</x:t>
        </x:is>
      </x:c>
      <x:c r="X473" s="520" t="inlineStr">
        <x:is>
          <x:t xml:space="preserve">Review</x:t>
        </x:is>
      </x:c>
      <x:c r="Y473" s="520" t="inlineStr">
        <x:is>
          <x:t xml:space="preserve">Interest amount needs review</x:t>
        </x:is>
      </x:c>
      <x:c r="Z473" s="520" t="inlineStr">
        <x:is>
          <x:t xml:space="preserve">Review</x:t>
        </x:is>
      </x:c>
      <x:c r="AA473" s="520" t="inlineStr">
        <x:is>
          <x:t xml:space="preserve">Affidavit of Identity — Jon Wilkerson to The Public (2273/539)</x:t>
        </x:is>
      </x:c>
      <x:c r="AB473" s="520" t="inlineStr">
        <x:is>
          <x:t xml:space="preserve">Needs source review: grantor source, interest amount</x:t>
        </x:is>
      </x:c>
    </x:row>
    <x:row r="474" s="520" customFormat="1" ht="60" customHeight="1">
      <x:c r="A474" s="519" t="inlineStr">
        <x:is>
          <x:t xml:space="preserve">2015-002749</x:t>
        </x:is>
      </x:c>
      <x:c r="B474" s="536" t="n"/>
      <x:c r="C474" s="536" t="inlineStr">
        <x:is>
          <x:t xml:space="preserve">Assignment</x:t>
        </x:is>
      </x:c>
      <x:c r="D474" s="536" t="inlineStr">
        <x:is>
          <x:t xml:space="preserve">2308/23</x:t>
        </x:is>
      </x:c>
      <x:c r="E474" s="537" t="n">
        <x:v>41944</x:v>
      </x:c>
      <x:c r="F474" s="537" t="n">
        <x:v>42250</x:v>
      </x:c>
      <x:c r="G474" s="538" t="inlineStr">
        <x:is>
          <x:t xml:space="preserve">Chk Cleveland Tonkawa</x:t>
        </x:is>
      </x:c>
      <x:c r="H474" s="538" t="inlineStr">
        <x:is>
          <x:t xml:space="preserve">Fourpoint Energy, LLC</x:t>
        </x:is>
      </x:c>
      <x:c r="I474" s="538" t="inlineStr">
        <x:is>
          <x:t xml:space="preserve">All of 31-12N-24W, aol</x:t>
        </x:is>
      </x:c>
      <x:c r="J474" s="538" t="inlineStr">
        <x:is>
          <x:t xml:space="preserve">ARTI</x:t>
        </x:is>
      </x:c>
      <x:c r="K474" s="518" t="e">
        <x:f>HYPERLINK("https://okcountyrecords.com/detail/roger+mills/2015-002749","OKCountyRecords: 2015-002749")</x:f>
      </x:c>
      <x:c r="L474" s="519" t="inlineStr">
        <x:is>
          <x:t xml:space="preserve">Leasehold (non-mineral; excluded from mineral NMA). All-section coverage. Gross=tract-map basis.</x:t>
        </x:is>
      </x:c>
      <x:c r="M474" s="519" t="inlineStr">
        <x:is>
          <x:t xml:space="preserve">Confirm lease effect</x:t>
        </x:is>
      </x:c>
      <x:c r="N474" s="519" t="n"/>
      <x:c r="O474" s="519" t="inlineStr">
        <x:is>
          <x:t xml:space="preserve">OUTSIDE LANDS</x:t>
        </x:is>
      </x:c>
      <x:c r="P474" s="520" t="inlineStr">
        <x:is>
          <x:t xml:space="preserve">Chain — assignment (WI or minerals — read granting clause)</x:t>
        </x:is>
      </x:c>
      <x:c r="Q474" s="520" t="inlineStr">
        <x:is>
          <x:t xml:space="preserve">Review</x:t>
        </x:is>
      </x:c>
      <x:c r="R474" s="520" t="inlineStr">
        <x:is>
          <x:t xml:space="preserve">Yes</x:t>
        </x:is>
      </x:c>
      <x:c r="S474" s="520" t="inlineStr">
        <x:is>
          <x:t xml:space="preserve">Review</x:t>
        </x:is>
      </x:c>
      <x:c r="T474" s="520" t="inlineStr">
        <x:is>
          <x:t xml:space="preserve">Yes</x:t>
        </x:is>
      </x:c>
      <x:c r="U474" s="520" t="inlineStr">
        <x:is>
          <x:t xml:space="preserve">Yes: 1, 8 (broad legal)</x:t>
        </x:is>
      </x:c>
      <x:c r="V474" s="520" t="inlineStr">
        <x:is>
          <x:t xml:space="preserve">Medium</x:t>
        </x:is>
      </x:c>
      <x:c r="W474" s="520" t="inlineStr">
        <x:is>
          <x:t xml:space="preserve">Review — no exact prior-grantee match</x:t>
        </x:is>
      </x:c>
      <x:c r="X474" s="520" t="inlineStr">
        <x:is>
          <x:t xml:space="preserve">Review</x:t>
        </x:is>
      </x:c>
      <x:c r="Y474" s="520" t="inlineStr">
        <x:is>
          <x:t xml:space="preserve">Interest amount needs review</x:t>
        </x:is>
      </x:c>
      <x:c r="Z474" s="520" t="inlineStr">
        <x:is>
          <x:t xml:space="preserve">Review</x:t>
        </x:is>
      </x:c>
      <x:c r="AA474" s="520" t="inlineStr">
        <x:is>
          <x:t xml:space="preserve">Assignment — Chk Cleveland Tonkawa to Fourpoint Energy, LLC (2308/23)</x:t>
        </x:is>
      </x:c>
      <x:c r="AB474" s="520" t="inlineStr">
        <x:is>
          <x:t xml:space="preserve">Needs source review: grantor source, interest amount</x:t>
        </x:is>
      </x:c>
    </x:row>
    <x:row r="475" s="520" customFormat="1" ht="180" customHeight="1">
      <x:c r="A475" s="519" t="inlineStr">
        <x:is>
          <x:t xml:space="preserve">2015-000058</x:t>
        </x:is>
      </x:c>
      <x:c r="B475" s="536" t="n"/>
      <x:c r="C475" s="536" t="inlineStr">
        <x:is>
          <x:t xml:space="preserve">Assignment</x:t>
        </x:is>
      </x:c>
      <x:c r="D475" s="536" t="inlineStr">
        <x:is>
          <x:t xml:space="preserve">2282/234</x:t>
        </x:is>
      </x:c>
      <x:c r="E475" s="537" t="n">
        <x:v>41988</x:v>
      </x:c>
      <x:c r="F475" s="537" t="n">
        <x:v>42011</x:v>
      </x:c>
      <x:c r="G475" s="538" t="inlineStr">
        <x:is>
          <x:t xml:space="preserve">Linn Energy Holdings, LLC, a Delaware limited liability company ("LEH"), Linn Midstream, LLC, a Delaware limited liability company ("LINN Midstream"),
Linn Exploration Mid-Continent, LLC a Delaware limited liability company ("Linn Exploration"),
Mid-Continent II, LLC, Delaware limited liability company ("MidCon Ir'), Mid-Continent I, LLC, Delaware
limited liability company ("MidCon r"),
Linn Operating, Inc., a Delaware corporation ("LOr' and, collectively with LEH, Linn Exploration, MidCon II, MidCon I and LINN Midstream, "Assignor")</x:t>
        </x:is>
      </x:c>
      <x:c r="H475" s="538" t="inlineStr">
        <x:is>
          <x:t xml:space="preserve">EnerVest Energy Institutional Fund XIII-A, L.P., a Delaware
limited partnership ("EnerVest XIII-A"),
EnerVest Energy Institutional Fund XIII-WIB, L.P., a
Delaware limited partnership ("EnerVestXIII-WIB"),
EnerVest Energy Institutional Fund XIII- WIC, L.P., a Delaware limited partnership ("EnerVest XIII-WIC," and collectively with
EnerVest XIII-A and EnerVest XIII-WIB, "EnerVest"),
FourPoint Energy, LLC, a Colorado
limited liability company ("FourPoint," and collectively with EnerVest, "Assignee").</x:t>
        </x:is>
      </x:c>
      <x:c r="I475" s="538" t="inlineStr">
        <x:is>
          <x:t xml:space="preserve">All of 31-12N-24W, aol</x:t>
        </x:is>
      </x:c>
      <x:c r="J475" s="538" t="inlineStr">
        <x:is>
          <x:t xml:space="preserve">ARTI</x:t>
        </x:is>
      </x:c>
      <x:c r="K475" s="518" t="e">
        <x:f>HYPERLINK("https://okcountyrecords.com/detail/roger+mills/2015-000058","OKCountyRecords: 2015-000058")</x:f>
      </x:c>
      <x:c r="L475" s="519" t="inlineStr">
        <x:is>
          <x:t xml:space="preserve">Leasehold (non-mineral; excluded from mineral NMA). All-section coverage. Gross=tract-map basis.</x:t>
        </x:is>
      </x:c>
      <x:c r="M475" s="519" t="inlineStr">
        <x:is>
          <x:t xml:space="preserve">Confirm lease effect</x:t>
        </x:is>
      </x:c>
      <x:c r="N475" s="519" t="n"/>
      <x:c r="O475" s="519" t="inlineStr">
        <x:is>
          <x:t xml:space="preserve">OUTSIDE LANDS</x:t>
        </x:is>
      </x:c>
      <x:c r="P475" s="520" t="inlineStr">
        <x:is>
          <x:t xml:space="preserve">Chain — assignment (WI or minerals — read granting clause)</x:t>
        </x:is>
      </x:c>
      <x:c r="Q475" s="520" t="inlineStr">
        <x:is>
          <x:t xml:space="preserve">Review</x:t>
        </x:is>
      </x:c>
      <x:c r="R475" s="520" t="inlineStr">
        <x:is>
          <x:t xml:space="preserve">Yes</x:t>
        </x:is>
      </x:c>
      <x:c r="S475" s="520" t="inlineStr">
        <x:is>
          <x:t xml:space="preserve">Review</x:t>
        </x:is>
      </x:c>
      <x:c r="T475" s="520" t="inlineStr">
        <x:is>
          <x:t xml:space="preserve">Yes</x:t>
        </x:is>
      </x:c>
      <x:c r="U475" s="520" t="inlineStr">
        <x:is>
          <x:t xml:space="preserve">Yes: 1, 8 (broad legal)</x:t>
        </x:is>
      </x:c>
      <x:c r="V475" s="520" t="inlineStr">
        <x:is>
          <x:t xml:space="preserve">Medium</x:t>
        </x:is>
      </x:c>
      <x:c r="W475" s="520" t="inlineStr">
        <x:is>
          <x:t xml:space="preserve">Review — no exact prior-grantee match</x:t>
        </x:is>
      </x:c>
      <x:c r="X475" s="520" t="inlineStr">
        <x:is>
          <x:t xml:space="preserve">Review</x:t>
        </x:is>
      </x:c>
      <x:c r="Y475" s="520" t="inlineStr">
        <x:is>
          <x:t xml:space="preserve">Interest amount needs review</x:t>
        </x:is>
      </x:c>
      <x:c r="Z475" s="520" t="inlineStr">
        <x:is>
          <x:t xml:space="preserve">Review</x:t>
        </x:is>
      </x:c>
      <x:c r="AA475" s="520" t="inlineStr">
        <x:is>
          <x:t xml:space="preserve">Assignment — Linn Energy Holdings, LLC, a D to EnerVest Energy Institutional (2282/234)</x:t>
        </x:is>
      </x:c>
      <x:c r="AB475" s="520" t="inlineStr">
        <x:is>
          <x:t xml:space="preserve">Needs source review: grantor source, interest amount</x:t>
        </x:is>
      </x:c>
    </x:row>
    <x:row r="476" s="520" customFormat="1" ht="48" customHeight="1">
      <x:c r="A476" s="519" t="inlineStr">
        <x:is>
          <x:t xml:space="preserve">2015-000877</x:t>
        </x:is>
      </x:c>
      <x:c r="B476" s="536" t="n"/>
      <x:c r="C476" s="536" t="inlineStr">
        <x:is>
          <x:t xml:space="preserve">Mineral Deed</x:t>
        </x:is>
      </x:c>
      <x:c r="D476" s="536" t="inlineStr">
        <x:is>
          <x:t xml:space="preserve">2290/178</x:t>
        </x:is>
      </x:c>
      <x:c r="E476" s="537" t="n">
        <x:v>42061</x:v>
      </x:c>
      <x:c r="F476" s="537" t="n">
        <x:v>42068</x:v>
      </x:c>
      <x:c r="G476" s="538" t="inlineStr">
        <x:is>
          <x:t xml:space="preserve">William A. Smith and Isa May Smith, HW</x:t>
        </x:is>
      </x:c>
      <x:c r="H476" s="538" t="inlineStr">
        <x:is>
          <x:t xml:space="preserve">The William A. Smith and Isa May Smith Family Revocable Trust dated February 26, 2015
33839 Acme Road
Macomb, OK 74852</x:t>
        </x:is>
      </x:c>
      <x:c r="I476" s="538" t="inlineStr">
        <x:is>
          <x:t xml:space="preserve">NW/4 SE/4, S/2 SE/4, SW/4 NE/4 of 31-12N-24W, aol</x:t>
        </x:is>
      </x:c>
      <x:c r="J476" s="538" t="inlineStr">
        <x:is>
          <x:t xml:space="preserve">ARTI</x:t>
        </x:is>
      </x:c>
      <x:c r="K476" s="518" t="e">
        <x:f>HYPERLINK("https://okcountyrecords.com/detail/roger+mills/2015-000877","OKCountyRecords: 2015-000877")</x:f>
      </x:c>
      <x:c r="L476" s="519" t="inlineStr">
        <x:is>
          <x:t xml:space="preserve">Mineral; basis Conv Amt(dec). Gross=tract-map basis.</x:t>
        </x:is>
      </x:c>
      <x:c r="M476" s="519" t="inlineStr">
        <x:is>
          <x:t xml:space="preserve">CURRENT OWNER SOURCE</x:t>
        </x:is>
      </x:c>
      <x:c r="N476" s="519" t="n"/>
      <x:c r="O476" s="519" t="inlineStr">
        <x:is>
          <x:t xml:space="preserve">OUTSIDE LANDS</x:t>
        </x:is>
      </x:c>
      <x:c r="P476" s="520" t="inlineStr">
        <x:is>
          <x:t xml:space="preserve">Chain — minerals</x:t>
        </x:is>
      </x:c>
      <x:c r="Q476" s="520" t="inlineStr">
        <x:is>
          <x:t xml:space="preserve">Yes</x:t>
        </x:is>
      </x:c>
      <x:c r="R476" s="520" t="inlineStr">
        <x:is>
          <x:t xml:space="preserve">No</x:t>
        </x:is>
      </x:c>
      <x:c r="S476" s="520" t="inlineStr">
        <x:is>
          <x:t xml:space="preserve">Yes</x:t>
        </x:is>
      </x:c>
      <x:c r="T476" s="520" t="inlineStr">
        <x:is>
          <x:t xml:space="preserve">No</x:t>
        </x:is>
      </x:c>
      <x:c r="U476" s="520" t="inlineStr">
        <x:is>
          <x:t xml:space="preserve">Yes: 2 (legal supports)</x:t>
        </x:is>
      </x:c>
      <x:c r="V476" s="520" t="inlineStr">
        <x:is>
          <x:t xml:space="preserve">High</x:t>
        </x:is>
      </x:c>
      <x:c r="W476" s="520" t="inlineStr">
        <x:is>
          <x:t xml:space="preserve">Probable — name-normalized match to Runsheet 232 grantee; confirm</x:t>
        </x:is>
      </x:c>
      <x:c r="X476" s="520" t="inlineStr">
        <x:is>
          <x:t xml:space="preserve">Review</x:t>
        </x:is>
      </x:c>
      <x:c r="Y476" s="520" t="inlineStr">
        <x:is>
          <x:t xml:space="preserve">Candidate 1 (helper — confirm from image)</x:t>
        </x:is>
      </x:c>
      <x:c r="Z476" s="520" t="inlineStr">
        <x:is>
          <x:t xml:space="preserve">Medium — helper value</x:t>
        </x:is>
      </x:c>
      <x:c r="AA476" s="520" t="inlineStr">
        <x:is>
          <x:t xml:space="preserve">Mineral Deed — William A. Smith and Isa May S to The William A. Smith and Isa M (2290/178)</x:t>
        </x:is>
      </x:c>
      <x:c r="AB476" s="520" t="inlineStr">
        <x:is>
          <x:t xml:space="preserve">Needs source review: grantor source</x:t>
        </x:is>
      </x:c>
    </x:row>
    <x:row r="477" s="520" customFormat="1" ht="48" customHeight="1">
      <x:c r="A477" s="519" t="inlineStr">
        <x:is>
          <x:t xml:space="preserve">2015-001388</x:t>
        </x:is>
      </x:c>
      <x:c r="B477" s="536" t="n"/>
      <x:c r="C477" s="536" t="inlineStr">
        <x:is>
          <x:t xml:space="preserve">Stipulation</x:t>
        </x:is>
      </x:c>
      <x:c r="D477" s="536" t="inlineStr">
        <x:is>
          <x:t xml:space="preserve">2294/47</x:t>
        </x:is>
      </x:c>
      <x:c r="E477" s="537" t="n">
        <x:v>42111</x:v>
      </x:c>
      <x:c r="F477" s="537" t="n">
        <x:v>42115</x:v>
      </x:c>
      <x:c r="G477" s="538" t="inlineStr">
        <x:is>
          <x:t xml:space="preserve">Peggy J. Brawner</x:t>
        </x:is>
      </x:c>
      <x:c r="H477" s="538" t="inlineStr">
        <x:is>
          <x:t xml:space="preserve">ADWINA M. MULLEN or WALTER CRAIG MULLEN, JTWROS,1/2
ALLEN W. SMITH or JANET S. SMITH, JTWROS, 1/2</x:t>
        </x:is>
      </x:c>
      <x:c r="I477" s="538" t="inlineStr">
        <x:is>
          <x:t xml:space="preserve">NW/4 SE/4, S/2 SE/4, SW/4 NE/4 of 31-12N-24W</x:t>
        </x:is>
      </x:c>
      <x:c r="J477" s="538" t="inlineStr">
        <x:is>
          <x:t xml:space="preserve">An undivided 5.27323/160 interest (5.27323 mineral acres, more or less) in the OIL, GAS and OTHER
MINERALS</x:t>
        </x:is>
      </x:c>
      <x:c r="K477" s="518" t="e">
        <x:f>HYPERLINK("https://okcountyrecords.com/detail/roger+mills/2015-001388","OKCountyRecords: 2015-001388")</x:f>
      </x:c>
      <x:c r="L477" s="519" t="inlineStr">
        <x:is>
          <x:t xml:space="preserve">Leasehold (non-mineral; excluded from mineral NMA). Gross=tract-map basis.</x:t>
        </x:is>
      </x:c>
      <x:c r="M477" s="519" t="inlineStr">
        <x:is>
          <x:t xml:space="preserve">OK</x:t>
        </x:is>
      </x:c>
      <x:c r="N477" s="519" t="inlineStr">
        <x:is>
          <x:t xml:space="preserve">Non-conveying — notice/affidavit/address change (The Public).</x:t>
        </x:is>
      </x:c>
      <x:c r="O477" s="519" t="inlineStr">
        <x:is>
          <x:t xml:space="preserve">MINERAL DEED</x:t>
        </x:is>
      </x:c>
      <x:c r="P477" s="520" t="inlineStr">
        <x:is>
          <x:t xml:space="preserve">Chain — title support (stipulation)</x:t>
        </x:is>
      </x:c>
      <x:c r="Q477" s="520" t="inlineStr">
        <x:is>
          <x:t xml:space="preserve">Yes</x:t>
        </x:is>
      </x:c>
      <x:c r="R477" s="520" t="inlineStr">
        <x:is>
          <x:t xml:space="preserve">No</x:t>
        </x:is>
      </x:c>
      <x:c r="S477" s="520" t="inlineStr">
        <x:is>
          <x:t xml:space="preserve">Yes</x:t>
        </x:is>
      </x:c>
      <x:c r="T477" s="520" t="inlineStr">
        <x:is>
          <x:t xml:space="preserve">No</x:t>
        </x:is>
      </x:c>
      <x:c r="U477" s="520" t="inlineStr">
        <x:is>
          <x:t xml:space="preserve">Yes: 2 (legal supports)</x:t>
        </x:is>
      </x:c>
      <x:c r="V477" s="520" t="inlineStr">
        <x:is>
          <x:t xml:space="preserve">High</x:t>
        </x:is>
      </x:c>
      <x:c r="W477" s="520" t="inlineStr">
        <x:is>
          <x:t xml:space="preserve">Review — no exact prior-grantee match</x:t>
        </x:is>
      </x:c>
      <x:c r="X477" s="520" t="inlineStr">
        <x:is>
          <x:t xml:space="preserve">Review</x:t>
        </x:is>
      </x:c>
      <x:c r="Y477" s="520" t="inlineStr">
        <x:is>
          <x:t xml:space="preserve">Interest amount needs review</x:t>
        </x:is>
      </x:c>
      <x:c r="Z477" s="520" t="inlineStr">
        <x:is>
          <x:t xml:space="preserve">Review</x:t>
        </x:is>
      </x:c>
      <x:c r="AA477" s="520" t="inlineStr">
        <x:is>
          <x:t xml:space="preserve">Stipulation — Peggy J. Brawner to ADWINA M. MULLEN or WALTER CRA (2294/47)</x:t>
        </x:is>
      </x:c>
      <x:c r="AB477" s="520" t="inlineStr">
        <x:is>
          <x:t xml:space="preserve">Needs source review: grantor source, interest amount</x:t>
        </x:is>
      </x:c>
    </x:row>
    <x:row r="478" s="520" customFormat="1" ht="60" customHeight="1">
      <x:c r="A478" s="519" t="inlineStr">
        <x:is>
          <x:t xml:space="preserve">2015-001661</x:t>
        </x:is>
      </x:c>
      <x:c r="B478" s="536" t="n"/>
      <x:c r="C478" s="536" t="inlineStr">
        <x:is>
          <x:t xml:space="preserve">Assignment</x:t>
        </x:is>
      </x:c>
      <x:c r="D478" s="536" t="inlineStr">
        <x:is>
          <x:t xml:space="preserve">2295/372</x:t>
        </x:is>
      </x:c>
      <x:c r="E478" s="537" t="n">
        <x:v>42129</x:v>
      </x:c>
      <x:c r="F478" s="537" t="n">
        <x:v>42139</x:v>
      </x:c>
      <x:c r="G478" s="538" t="inlineStr">
        <x:is>
          <x:t xml:space="preserve">Robert H. Frazier</x:t>
        </x:is>
      </x:c>
      <x:c r="H478" s="538" t="inlineStr">
        <x:is>
          <x:t xml:space="preserve">Robert H. Frazier Royalty, LLC
P.O.BOX 50264
MIDLAND, TX 79710</x:t>
        </x:is>
      </x:c>
      <x:c r="I478" s="538" t="inlineStr">
        <x:is>
          <x:t xml:space="preserve">All of 31-12N-24W, aol</x:t>
        </x:is>
      </x:c>
      <x:c r="J478" s="538" t="inlineStr">
        <x:is>
          <x:t xml:space="preserve"> .063364 Min. Acres: Stipulation of Mineral Interest, book 1853, pg 546, Sept. 22, 2006.</x:t>
        </x:is>
      </x:c>
      <x:c r="K478" s="518" t="e">
        <x:f>HYPERLINK("https://okcountyrecords.com/detail/roger+mills/2015-001661","OKCountyRecords: 2015-001661")</x:f>
      </x:c>
      <x:c r="L478" s="519" t="inlineStr">
        <x:is>
          <x:t xml:space="preserve">Mineral; amount not stated — confirm from instrument. All-section coverage. Gross=tract-map basis.</x:t>
        </x:is>
      </x:c>
      <x:c r="M478" s="519" t="inlineStr">
        <x:is>
          <x:t xml:space="preserve">Confirm lease effect</x:t>
        </x:is>
      </x:c>
      <x:c r="N478" s="519" t="n"/>
      <x:c r="O478" s="519" t="inlineStr">
        <x:is>
          <x:t xml:space="preserve">OUTSIDE LANDS</x:t>
        </x:is>
      </x:c>
      <x:c r="P478" s="520" t="inlineStr">
        <x:is>
          <x:t xml:space="preserve">Chain — assignment (WI or minerals — read granting clause)</x:t>
        </x:is>
      </x:c>
      <x:c r="Q478" s="520" t="inlineStr">
        <x:is>
          <x:t xml:space="preserve">Review</x:t>
        </x:is>
      </x:c>
      <x:c r="R478" s="520" t="inlineStr">
        <x:is>
          <x:t xml:space="preserve">Yes</x:t>
        </x:is>
      </x:c>
      <x:c r="S478" s="520" t="inlineStr">
        <x:is>
          <x:t xml:space="preserve">Review</x:t>
        </x:is>
      </x:c>
      <x:c r="T478" s="520" t="inlineStr">
        <x:is>
          <x:t xml:space="preserve">Yes</x:t>
        </x:is>
      </x:c>
      <x:c r="U478" s="520" t="inlineStr">
        <x:is>
          <x:t xml:space="preserve">Yes: 1, 8 (broad legal)</x:t>
        </x:is>
      </x:c>
      <x:c r="V478" s="520" t="inlineStr">
        <x:is>
          <x:t xml:space="preserve">Medium</x:t>
        </x:is>
      </x:c>
      <x:c r="W478" s="520" t="inlineStr">
        <x:is>
          <x:t xml:space="preserve">Probable — name-normalized match to Runsheet 106 grantee; confirm</x:t>
        </x:is>
      </x:c>
      <x:c r="X478" s="520" t="inlineStr">
        <x:is>
          <x:t xml:space="preserve">Review</x:t>
        </x:is>
      </x:c>
      <x:c r="Y478" s="520" t="inlineStr">
        <x:is>
          <x:t xml:space="preserve">Interest amount needs review</x:t>
        </x:is>
      </x:c>
      <x:c r="Z478" s="520" t="inlineStr">
        <x:is>
          <x:t xml:space="preserve">Review</x:t>
        </x:is>
      </x:c>
      <x:c r="AA478" s="520" t="inlineStr">
        <x:is>
          <x:t xml:space="preserve">Assignment — Robert H. Frazier to Robert H. Frazier Royalty, LLC (2295/372)</x:t>
        </x:is>
      </x:c>
      <x:c r="AB478" s="520" t="inlineStr">
        <x:is>
          <x:t xml:space="preserve">Needs source review: grantor source, interest amount</x:t>
        </x:is>
      </x:c>
    </x:row>
    <x:row r="479" s="520" customFormat="1" ht="60" customHeight="1">
      <x:c r="A479" s="519" t="inlineStr">
        <x:is>
          <x:t xml:space="preserve">2015-002368</x:t>
        </x:is>
      </x:c>
      <x:c r="B479" s="536" t="n"/>
      <x:c r="C479" s="536" t="inlineStr">
        <x:is>
          <x:t xml:space="preserve">Memorandum</x:t>
        </x:is>
      </x:c>
      <x:c r="D479" s="536" t="inlineStr">
        <x:is>
          <x:t xml:space="preserve">2302/507</x:t>
        </x:is>
      </x:c>
      <x:c r="E479" s="537" t="n">
        <x:v>42199</x:v>
      </x:c>
      <x:c r="F479" s="537" t="n">
        <x:v>42207</x:v>
      </x:c>
      <x:c r="G479" s="538" t="inlineStr">
        <x:is>
          <x:t xml:space="preserve">Enervest Energy Institutional Fund Xiii Wib, L.P.</x:t>
        </x:is>
      </x:c>
      <x:c r="H479" s="538" t="inlineStr">
        <x:is>
          <x:t xml:space="preserve">Enervest Energy Institutional Fund Xiii B., L.P.</x:t>
        </x:is>
      </x:c>
      <x:c r="I479" s="538" t="inlineStr">
        <x:is>
          <x:t xml:space="preserve">All of 31-12N-24W, aol</x:t>
        </x:is>
      </x:c>
      <x:c r="J479" s="538" t="inlineStr">
        <x:is>
          <x:t xml:space="preserve">A net profits overriding royalty interest (the "NPP") equal to ninety-eight and one-half percent (98.5%) of the net profits, </x:t>
        </x:is>
      </x:c>
      <x:c r="K479" s="518" t="e">
        <x:f>HYPERLINK("https://okcountyrecords.com/detail/roger+mills/2015-002368","OKCountyRecords: 2015-002368")</x:f>
      </x:c>
      <x:c r="L479" s="519" t="inlineStr">
        <x:is>
          <x:t xml:space="preserve">Leasehold (non-mineral; excluded from mineral NMA). All-section coverage. Gross=tract-map basis.</x:t>
        </x:is>
      </x:c>
      <x:c r="M479" s="519" t="inlineStr">
        <x:is>
          <x:t xml:space="preserve">Confirm lease effect</x:t>
        </x:is>
      </x:c>
      <x:c r="N479" s="519" t="n"/>
      <x:c r="O479" s="519" t="inlineStr">
        <x:is>
          <x:t xml:space="preserve">OUTSIDE LANDS</x:t>
        </x:is>
      </x:c>
      <x:c r="P479" s="520" t="inlineStr">
        <x:is>
          <x:t xml:space="preserve">Review — read instrument (type unclear)</x:t>
        </x:is>
      </x:c>
      <x:c r="Q479" s="520" t="inlineStr">
        <x:is>
          <x:t xml:space="preserve">Review</x:t>
        </x:is>
      </x:c>
      <x:c r="R479" s="520" t="inlineStr">
        <x:is>
          <x:t xml:space="preserve">Review</x:t>
        </x:is>
      </x:c>
      <x:c r="S479" s="520" t="inlineStr">
        <x:is>
          <x:t xml:space="preserve">Review</x:t>
        </x:is>
      </x:c>
      <x:c r="T479" s="520" t="inlineStr">
        <x:is>
          <x:t xml:space="preserve">Review</x:t>
        </x:is>
      </x:c>
      <x:c r="U479" s="520" t="inlineStr">
        <x:is>
          <x:t xml:space="preserve">Yes: 1, 8 (broad legal)</x:t>
        </x:is>
      </x:c>
      <x:c r="V479" s="520" t="inlineStr">
        <x:is>
          <x:t xml:space="preserve">Medium</x:t>
        </x:is>
      </x:c>
      <x:c r="W479" s="520" t="inlineStr">
        <x:is>
          <x:t xml:space="preserve">Review — no exact prior-grantee match</x:t>
        </x:is>
      </x:c>
      <x:c r="X479" s="520" t="inlineStr">
        <x:is>
          <x:t xml:space="preserve">Review</x:t>
        </x:is>
      </x:c>
      <x:c r="Y479" s="520" t="inlineStr">
        <x:is>
          <x:t xml:space="preserve">Interest amount needs review</x:t>
        </x:is>
      </x:c>
      <x:c r="Z479" s="520" t="inlineStr">
        <x:is>
          <x:t xml:space="preserve">Review</x:t>
        </x:is>
      </x:c>
      <x:c r="AA479" s="520" t="inlineStr">
        <x:is>
          <x:t xml:space="preserve">Memorandum — Enervest Energy Institutional to Enervest Energy Institutional (2302/507)</x:t>
        </x:is>
      </x:c>
      <x:c r="AB479" s="520" t="inlineStr">
        <x:is>
          <x:t xml:space="preserve">Needs source review: grantor source, interest amount, instrument type</x:t>
        </x:is>
      </x:c>
    </x:row>
    <x:row r="480" s="520" customFormat="1" ht="60" customHeight="1">
      <x:c r="A480" s="519" t="inlineStr">
        <x:is>
          <x:t xml:space="preserve">2015-002369</x:t>
        </x:is>
      </x:c>
      <x:c r="B480" s="536" t="n"/>
      <x:c r="C480" s="536" t="inlineStr">
        <x:is>
          <x:t xml:space="preserve">Memorandum</x:t>
        </x:is>
      </x:c>
      <x:c r="D480" s="536" t="inlineStr">
        <x:is>
          <x:t xml:space="preserve">2302/512</x:t>
        </x:is>
      </x:c>
      <x:c r="E480" s="537" t="n">
        <x:v>42199</x:v>
      </x:c>
      <x:c r="F480" s="537" t="n">
        <x:v>42207</x:v>
      </x:c>
      <x:c r="G480" s="538" t="inlineStr">
        <x:is>
          <x:t xml:space="preserve">Enervest Energy Institutional Fund Xiii Wic, L.P.</x:t>
        </x:is>
      </x:c>
      <x:c r="H480" s="538" t="inlineStr">
        <x:is>
          <x:t xml:space="preserve">Enervest Energy Institutional Fund Xiii C., L.P.</x:t>
        </x:is>
      </x:c>
      <x:c r="I480" s="538" t="inlineStr">
        <x:is>
          <x:t xml:space="preserve">All of 31-12N-24W, aol</x:t>
        </x:is>
      </x:c>
      <x:c r="J480" s="538" t="inlineStr">
        <x:is>
          <x:t xml:space="preserve">A net profits overriding royalty interest (the "NPP") equal to ninety-eight and one-half percent (98.5%) of the net profits, </x:t>
        </x:is>
      </x:c>
      <x:c r="K480" s="518" t="e">
        <x:f>HYPERLINK("https://okcountyrecords.com/detail/roger+mills/2015-002369","OKCountyRecords: 2015-002369")</x:f>
      </x:c>
      <x:c r="L480" s="519" t="inlineStr">
        <x:is>
          <x:t xml:space="preserve">Leasehold (non-mineral; excluded from mineral NMA). All-section coverage. Gross=tract-map basis.</x:t>
        </x:is>
      </x:c>
      <x:c r="M480" s="519" t="inlineStr">
        <x:is>
          <x:t xml:space="preserve">Confirm lease effect</x:t>
        </x:is>
      </x:c>
      <x:c r="N480" s="519" t="n"/>
      <x:c r="O480" s="519" t="inlineStr">
        <x:is>
          <x:t xml:space="preserve">OUTSIDE LANDS</x:t>
        </x:is>
      </x:c>
      <x:c r="P480" s="520" t="inlineStr">
        <x:is>
          <x:t xml:space="preserve">Review — read instrument (type unclear)</x:t>
        </x:is>
      </x:c>
      <x:c r="Q480" s="520" t="inlineStr">
        <x:is>
          <x:t xml:space="preserve">Review</x:t>
        </x:is>
      </x:c>
      <x:c r="R480" s="520" t="inlineStr">
        <x:is>
          <x:t xml:space="preserve">Review</x:t>
        </x:is>
      </x:c>
      <x:c r="S480" s="520" t="inlineStr">
        <x:is>
          <x:t xml:space="preserve">Review</x:t>
        </x:is>
      </x:c>
      <x:c r="T480" s="520" t="inlineStr">
        <x:is>
          <x:t xml:space="preserve">Review</x:t>
        </x:is>
      </x:c>
      <x:c r="U480" s="520" t="inlineStr">
        <x:is>
          <x:t xml:space="preserve">Yes: 1, 8 (broad legal)</x:t>
        </x:is>
      </x:c>
      <x:c r="V480" s="520" t="inlineStr">
        <x:is>
          <x:t xml:space="preserve">Medium</x:t>
        </x:is>
      </x:c>
      <x:c r="W480" s="520" t="inlineStr">
        <x:is>
          <x:t xml:space="preserve">Review — no exact prior-grantee match</x:t>
        </x:is>
      </x:c>
      <x:c r="X480" s="520" t="inlineStr">
        <x:is>
          <x:t xml:space="preserve">Review</x:t>
        </x:is>
      </x:c>
      <x:c r="Y480" s="520" t="inlineStr">
        <x:is>
          <x:t xml:space="preserve">Interest amount needs review</x:t>
        </x:is>
      </x:c>
      <x:c r="Z480" s="520" t="inlineStr">
        <x:is>
          <x:t xml:space="preserve">Review</x:t>
        </x:is>
      </x:c>
      <x:c r="AA480" s="520" t="inlineStr">
        <x:is>
          <x:t xml:space="preserve">Memorandum — Enervest Energy Institutional to Enervest Energy Institutional (2302/512)</x:t>
        </x:is>
      </x:c>
      <x:c r="AB480" s="520" t="inlineStr">
        <x:is>
          <x:t xml:space="preserve">Needs source review: grantor source, interest amount, instrument type</x:t>
        </x:is>
      </x:c>
    </x:row>
    <x:row r="481" s="520" customFormat="1" ht="60" customHeight="1">
      <x:c r="A481" s="519" t="inlineStr">
        <x:is>
          <x:t xml:space="preserve">2015-003023</x:t>
        </x:is>
      </x:c>
      <x:c r="B481" s="536" t="n"/>
      <x:c r="C481" s="536" t="inlineStr">
        <x:is>
          <x:t xml:space="preserve">Correction Memorandum of Conveyance</x:t>
        </x:is>
      </x:c>
      <x:c r="D481" s="536" t="inlineStr">
        <x:is>
          <x:t xml:space="preserve">2311/337</x:t>
        </x:is>
      </x:c>
      <x:c r="E481" s="537" t="n">
        <x:v>42199</x:v>
      </x:c>
      <x:c r="F481" s="537" t="n">
        <x:v>42285</x:v>
      </x:c>
      <x:c r="G481" s="538" t="inlineStr">
        <x:is>
          <x:t xml:space="preserve">EnerVest Energy Institutional Fund XIII-WIB, L.P.
c/o EnerVest, Ltd.</x:t>
        </x:is>
      </x:c>
      <x:c r="H481" s="538" t="inlineStr">
        <x:is>
          <x:t xml:space="preserve">EnerVest Energy Institutional Fund XIII-B, L.P.
c/o EnerVest, Ltd.</x:t>
        </x:is>
      </x:c>
      <x:c r="I481" s="538" t="inlineStr">
        <x:is>
          <x:t xml:space="preserve">All of 31-12N-24W, aol</x:t>
        </x:is>
      </x:c>
      <x:c r="J481" s="538" t="inlineStr">
        <x:is>
          <x:t xml:space="preserve">Memorandum of Conveyance dated effective September 1, 2014, recorded in Book 2302, Page 507, in the Conveyance Records of Roger Mills County, Oklahoma, by and between Ener Vest Energy Institutional Fund XIII-WIB, L.P., 1001 Fannin, Suite 800, Houston, Texas 77002 (hereinafter referred to as "Grantor"), … Full recital in recorded instrument — see Link.</x:t>
        </x:is>
      </x:c>
      <x:c r="K481" s="518" t="e">
        <x:f>HYPERLINK("https://okcountyrecords.com/detail/roger+mills/2015-003023","OKCountyRecords: 2015-003023")</x:f>
      </x:c>
      <x:c r="L481" s="519" t="inlineStr">
        <x:is>
          <x:t xml:space="preserve">Mineral; confirm conveyed amount from instrument image. All-section coverage. Gross=tract-map basis.</x:t>
        </x:is>
      </x:c>
      <x:c r="M481" s="519" t="inlineStr">
        <x:is>
          <x:t xml:space="preserve">REVIEW</x:t>
        </x:is>
      </x:c>
      <x:c r="N481" s="519" t="inlineStr">
        <x:is>
          <x:t xml:space="preserve">Confirm whether row conveys mineral interest</x:t>
        </x:is>
      </x:c>
      <x:c r="O481" s="519" t="inlineStr">
        <x:is>
          <x:t xml:space="preserve">OUTSIDE LANDS</x:t>
        </x:is>
      </x:c>
      <x:c r="P481" s="520" t="inlineStr">
        <x:is>
          <x:t xml:space="preserve">Chain — deed (confirm minerals vs surface from instrument)</x:t>
        </x:is>
      </x:c>
      <x:c r="Q481" s="520" t="inlineStr">
        <x:is>
          <x:t xml:space="preserve">Yes</x:t>
        </x:is>
      </x:c>
      <x:c r="R481" s="520" t="inlineStr">
        <x:is>
          <x:t xml:space="preserve">No</x:t>
        </x:is>
      </x:c>
      <x:c r="S481" s="520" t="inlineStr">
        <x:is>
          <x:t xml:space="preserve">Review</x:t>
        </x:is>
      </x:c>
      <x:c r="T481" s="520" t="inlineStr">
        <x:is>
          <x:t xml:space="preserve">No</x:t>
        </x:is>
      </x:c>
      <x:c r="U481" s="520" t="inlineStr">
        <x:is>
          <x:t xml:space="preserve">Yes: 1, 8 (broad legal)</x:t>
        </x:is>
      </x:c>
      <x:c r="V481" s="520" t="inlineStr">
        <x:is>
          <x:t xml:space="preserve">Medium</x:t>
        </x:is>
      </x:c>
      <x:c r="W481" s="520" t="inlineStr">
        <x:is>
          <x:t xml:space="preserve">Review — no exact prior-grantee match</x:t>
        </x:is>
      </x:c>
      <x:c r="X481" s="520" t="inlineStr">
        <x:is>
          <x:t xml:space="preserve">Review</x:t>
        </x:is>
      </x:c>
      <x:c r="Y481" s="520" t="inlineStr">
        <x:is>
          <x:t xml:space="preserve">Interest amount needs review</x:t>
        </x:is>
      </x:c>
      <x:c r="Z481" s="520" t="inlineStr">
        <x:is>
          <x:t xml:space="preserve">Review</x:t>
        </x:is>
      </x:c>
      <x:c r="AA481" s="520" t="inlineStr">
        <x:is>
          <x:t xml:space="preserve">Correction Memorandum of Conveya — EnerVest Energy Institutional to EnerVest Energy Institutional (2311/337)</x:t>
        </x:is>
      </x:c>
      <x:c r="AB481" s="520" t="inlineStr">
        <x:is>
          <x:t xml:space="preserve">Needs source review: grantor source, interest amount</x:t>
        </x:is>
      </x:c>
    </x:row>
    <x:row r="482" s="520" customFormat="1" ht="60" customHeight="1">
      <x:c r="A482" s="519" t="inlineStr">
        <x:is>
          <x:t xml:space="preserve">2015-003022</x:t>
        </x:is>
      </x:c>
      <x:c r="B482" s="536" t="n"/>
      <x:c r="C482" s="536" t="inlineStr">
        <x:is>
          <x:t xml:space="preserve">Correction Memorandum of Conveyance</x:t>
        </x:is>
      </x:c>
      <x:c r="D482" s="536" t="inlineStr">
        <x:is>
          <x:t xml:space="preserve">2311/333</x:t>
        </x:is>
      </x:c>
      <x:c r="E482" s="537" t="n">
        <x:v>42199</x:v>
      </x:c>
      <x:c r="F482" s="537" t="n">
        <x:v>42285</x:v>
      </x:c>
      <x:c r="G482" s="538" t="inlineStr">
        <x:is>
          <x:t xml:space="preserve">EnerVest Energy Institutional Fund XIII-WIC, L.P.
c/o EnerVest, Ltd.</x:t>
        </x:is>
      </x:c>
      <x:c r="H482" s="538" t="inlineStr">
        <x:is>
          <x:t xml:space="preserve">EnerVest Energy Institutional Fund XIII-C, L.P.
c/o EnerVest, Ltd.</x:t>
        </x:is>
      </x:c>
      <x:c r="I482" s="538" t="inlineStr">
        <x:is>
          <x:t xml:space="preserve">All of 31-12N-24W, aol</x:t>
        </x:is>
      </x:c>
      <x:c r="J482" s="538" t="inlineStr">
        <x:is>
          <x:t xml:space="preserve">Memorandum of Conveyance dated effective September 1, 2014, recorded in Book 2302, Page 512, in the Conveyance Records of Roger Mills County, Oklahoma, by and between EnerVest Energy Institutional Fund XIII-WIC, L.P., 1001 Fannin, Suite 800, Houston, Texas 77002 (hereinafter referred to as "Grantor"), … Full recital in recorded instrument — see Link.</x:t>
        </x:is>
      </x:c>
      <x:c r="K482" s="518" t="e">
        <x:f>HYPERLINK("https://okcountyrecords.com/detail/roger+mills/2015-003022","OKCountyRecords: 2015-003022")</x:f>
      </x:c>
      <x:c r="L482" s="519" t="inlineStr">
        <x:is>
          <x:t xml:space="preserve">Mineral; confirm conveyed amount from instrument image. All-section coverage. Gross=tract-map basis.</x:t>
        </x:is>
      </x:c>
      <x:c r="M482" s="519" t="inlineStr">
        <x:is>
          <x:t xml:space="preserve">REVIEW</x:t>
        </x:is>
      </x:c>
      <x:c r="N482" s="519" t="inlineStr">
        <x:is>
          <x:t xml:space="preserve">Confirm whether row conveys mineral interest</x:t>
        </x:is>
      </x:c>
      <x:c r="O482" s="519" t="inlineStr">
        <x:is>
          <x:t xml:space="preserve">OUTSIDE LANDS</x:t>
        </x:is>
      </x:c>
      <x:c r="P482" s="520" t="inlineStr">
        <x:is>
          <x:t xml:space="preserve">Chain — deed (confirm minerals vs surface from instrument)</x:t>
        </x:is>
      </x:c>
      <x:c r="Q482" s="520" t="inlineStr">
        <x:is>
          <x:t xml:space="preserve">Yes</x:t>
        </x:is>
      </x:c>
      <x:c r="R482" s="520" t="inlineStr">
        <x:is>
          <x:t xml:space="preserve">No</x:t>
        </x:is>
      </x:c>
      <x:c r="S482" s="520" t="inlineStr">
        <x:is>
          <x:t xml:space="preserve">Review</x:t>
        </x:is>
      </x:c>
      <x:c r="T482" s="520" t="inlineStr">
        <x:is>
          <x:t xml:space="preserve">No</x:t>
        </x:is>
      </x:c>
      <x:c r="U482" s="520" t="inlineStr">
        <x:is>
          <x:t xml:space="preserve">Yes: 1, 8 (broad legal)</x:t>
        </x:is>
      </x:c>
      <x:c r="V482" s="520" t="inlineStr">
        <x:is>
          <x:t xml:space="preserve">Medium</x:t>
        </x:is>
      </x:c>
      <x:c r="W482" s="520" t="inlineStr">
        <x:is>
          <x:t xml:space="preserve">Review — no exact prior-grantee match</x:t>
        </x:is>
      </x:c>
      <x:c r="X482" s="520" t="inlineStr">
        <x:is>
          <x:t xml:space="preserve">Review</x:t>
        </x:is>
      </x:c>
      <x:c r="Y482" s="520" t="inlineStr">
        <x:is>
          <x:t xml:space="preserve">Interest amount needs review</x:t>
        </x:is>
      </x:c>
      <x:c r="Z482" s="520" t="inlineStr">
        <x:is>
          <x:t xml:space="preserve">Review</x:t>
        </x:is>
      </x:c>
      <x:c r="AA482" s="520" t="inlineStr">
        <x:is>
          <x:t xml:space="preserve">Correction Memorandum of Conveya — EnerVest Energy Institutional to EnerVest Energy Institutional (2311/333)</x:t>
        </x:is>
      </x:c>
      <x:c r="AB482" s="520" t="inlineStr">
        <x:is>
          <x:t xml:space="preserve">Needs source review: grantor source, interest amount</x:t>
        </x:is>
      </x:c>
    </x:row>
    <x:row r="483" s="520" customFormat="1" ht="60" customHeight="1">
      <x:c r="A483" s="519" t="inlineStr">
        <x:is>
          <x:t xml:space="preserve">2015-002791</x:t>
        </x:is>
      </x:c>
      <x:c r="B483" s="536" t="n"/>
      <x:c r="C483" s="536" t="inlineStr">
        <x:is>
          <x:t xml:space="preserve">Mineral Deed</x:t>
        </x:is>
      </x:c>
      <x:c r="D483" s="536" t="inlineStr">
        <x:is>
          <x:t xml:space="preserve">2309/236</x:t>
        </x:is>
      </x:c>
      <x:c r="E483" s="537" t="n">
        <x:v>42242</x:v>
      </x:c>
      <x:c r="F483" s="537" t="n">
        <x:v>42255</x:v>
      </x:c>
      <x:c r="G483" s="538" t="inlineStr">
        <x:is>
          <x:t xml:space="preserve">Jinkee D. Acuero Fuchs,
William Jesse Fuchs</x:t>
        </x:is>
      </x:c>
      <x:c r="H483" s="538" t="inlineStr">
        <x:is>
          <x:t xml:space="preserve">Jesse William Fuchs and Jinkee
D. Acuero Fuchs, as Trustees under the Declaration of Trust
10009 E. Franklin Rd.
Rorman, OK 73026</x:t>
        </x:is>
      </x:c>
      <x:c r="I483" s="538" t="inlineStr">
        <x:is>
          <x:t xml:space="preserve">NW/4 SW/4, S/2 SE/4, SW/4 NE/4 of 31-12N-24W, aol</x:t>
        </x:is>
      </x:c>
      <x:c r="J483" s="538" t="inlineStr">
        <x:is>
          <x:t xml:space="preserve">An undivided 22.915741/791.47 interest in all of the oil, gas and other minerals in and under 2 sections</x:t>
        </x:is>
      </x:c>
      <x:c r="K483" s="518" t="e">
        <x:f>HYPERLINK("https://okcountyrecords.com/detail/roger+mills/2015-002791","OKCountyRecords: 2015-002791")</x:f>
      </x:c>
      <x:c r="L483" s="519" t="inlineStr">
        <x:is>
          <x:t xml:space="preserve">Mineral; basis Conv Amt(dec). Gross=tract-map basis.</x:t>
        </x:is>
      </x:c>
      <x:c r="M483" s="519" t="inlineStr">
        <x:is>
          <x:t xml:space="preserve">CURRENT OWNER SOURCE</x:t>
        </x:is>
      </x:c>
      <x:c r="N483" s="519" t="n"/>
      <x:c r="O483" s="519" t="inlineStr">
        <x:is>
          <x:t xml:space="preserve">OUTSIDE LANDS</x:t>
        </x:is>
      </x:c>
      <x:c r="P483" s="520" t="inlineStr">
        <x:is>
          <x:t xml:space="preserve">Chain — minerals</x:t>
        </x:is>
      </x:c>
      <x:c r="Q483" s="520" t="inlineStr">
        <x:is>
          <x:t xml:space="preserve">Yes</x:t>
        </x:is>
      </x:c>
      <x:c r="R483" s="520" t="inlineStr">
        <x:is>
          <x:t xml:space="preserve">No</x:t>
        </x:is>
      </x:c>
      <x:c r="S483" s="520" t="inlineStr">
        <x:is>
          <x:t xml:space="preserve">Yes</x:t>
        </x:is>
      </x:c>
      <x:c r="T483" s="520" t="inlineStr">
        <x:is>
          <x:t xml:space="preserve">No</x:t>
        </x:is>
      </x:c>
      <x:c r="U483" s="520" t="inlineStr">
        <x:is>
          <x:t xml:space="preserve">Legal maps to 2, 9; helper says 2, 6</x:t>
        </x:is>
      </x:c>
      <x:c r="V483" s="520" t="inlineStr">
        <x:is>
          <x:t xml:space="preserve">Review</x:t>
        </x:is>
      </x:c>
      <x:c r="W483" s="520" t="inlineStr">
        <x:is>
          <x:t xml:space="preserve">Review — no exact prior-grantee match</x:t>
        </x:is>
      </x:c>
      <x:c r="X483" s="520" t="inlineStr">
        <x:is>
          <x:t xml:space="preserve">Review</x:t>
        </x:is>
      </x:c>
      <x:c r="Y483" s="520" t="inlineStr">
        <x:is>
          <x:t xml:space="preserve">Candidate 0.0289533917899605 (helper — confirm from image)</x:t>
        </x:is>
      </x:c>
      <x:c r="Z483" s="520" t="inlineStr">
        <x:is>
          <x:t xml:space="preserve">Medium — helper value</x:t>
        </x:is>
      </x:c>
      <x:c r="AA483" s="520" t="inlineStr">
        <x:is>
          <x:t xml:space="preserve">Mineral Deed — Jinkee D. Acuero Fuchs, to Jesse William Fuchs and Jinkee (2309/236)</x:t>
        </x:is>
      </x:c>
      <x:c r="AB483" s="520" t="inlineStr">
        <x:is>
          <x:t xml:space="preserve">Needs source review: tract, grantor source</x:t>
        </x:is>
      </x:c>
    </x:row>
    <x:row r="484" s="520" customFormat="1" ht="48" customHeight="1">
      <x:c r="A484" s="519" t="inlineStr">
        <x:is>
          <x:t xml:space="preserve">2016-001244</x:t>
        </x:is>
      </x:c>
      <x:c r="B484" s="536" t="n"/>
      <x:c r="C484" s="536" t="inlineStr">
        <x:is>
          <x:t xml:space="preserve">Memorandum of Trust</x:t>
        </x:is>
      </x:c>
      <x:c r="D484" s="536" t="inlineStr">
        <x:is>
          <x:t xml:space="preserve">2332/223</x:t>
        </x:is>
      </x:c>
      <x:c r="E484" s="537" t="n">
        <x:v>42255</x:v>
      </x:c>
      <x:c r="F484" s="537" t="n">
        <x:v>42513</x:v>
      </x:c>
      <x:c r="G484" s="538" t="inlineStr">
        <x:is>
          <x:t xml:space="preserve">Jesse William Fuchs,
Jinkee D. Acuero Fuchs</x:t>
        </x:is>
      </x:c>
      <x:c r="H484" s="538" t="inlineStr">
        <x:is>
          <x:t xml:space="preserve">Jesse William Trust Fuchs,
Jinkee D. Acuero Fuchs, Trust</x:t>
        </x:is>
      </x:c>
      <x:c r="I484" s="538" t="inlineStr">
        <x:is>
          <x:t xml:space="preserve">NW/4 SW/4, S/2 SE/4, SW/4 NE/4 of 31-12N-24W, aol</x:t>
        </x:is>
      </x:c>
      <x:c r="J484" s="538" t="inlineStr">
        <x:is>
          <x:t xml:space="preserve">Trust</x:t>
        </x:is>
      </x:c>
      <x:c r="K484" s="518" t="e">
        <x:f>HYPERLINK("https://okcountyrecords.com/detail/roger+mills/2016-001244","OKCountyRecords: 2016-001244")</x:f>
      </x:c>
      <x:c r="L484" s="519" t="inlineStr">
        <x:is>
          <x:t xml:space="preserve">Leasehold (non-mineral; excluded from mineral NMA). Gross=tract-map basis.</x:t>
        </x:is>
      </x:c>
      <x:c r="M484" s="519" t="n"/>
      <x:c r="N484" s="519" t="n"/>
      <x:c r="O484" s="519" t="inlineStr">
        <x:is>
          <x:t xml:space="preserve">OUTSIDE LANDS</x:t>
        </x:is>
      </x:c>
      <x:c r="P484" s="520" t="inlineStr">
        <x:is>
          <x:t xml:space="preserve">Chain — title support (succession/entity/probate)</x:t>
        </x:is>
      </x:c>
      <x:c r="Q484" s="520" t="inlineStr">
        <x:is>
          <x:t xml:space="preserve">Yes</x:t>
        </x:is>
      </x:c>
      <x:c r="R484" s="520" t="inlineStr">
        <x:is>
          <x:t xml:space="preserve">No</x:t>
        </x:is>
      </x:c>
      <x:c r="S484" s="520" t="inlineStr">
        <x:is>
          <x:t xml:space="preserve">Yes</x:t>
        </x:is>
      </x:c>
      <x:c r="T484" s="520" t="inlineStr">
        <x:is>
          <x:t xml:space="preserve">No</x:t>
        </x:is>
      </x:c>
      <x:c r="U484" s="520" t="inlineStr">
        <x:is>
          <x:t xml:space="preserve">Legal maps to 2, 9; helper says 2, 6</x:t>
        </x:is>
      </x:c>
      <x:c r="V484" s="520" t="inlineStr">
        <x:is>
          <x:t xml:space="preserve">Review</x:t>
        </x:is>
      </x:c>
      <x:c r="W484" s="520" t="inlineStr">
        <x:is>
          <x:t xml:space="preserve">Yes — prior grantee match</x:t>
        </x:is>
      </x:c>
      <x:c r="X484" s="520" t="inlineStr">
        <x:is>
          <x:t xml:space="preserve">Review</x:t>
        </x:is>
      </x:c>
      <x:c r="Y484" s="520" t="inlineStr">
        <x:is>
          <x:t xml:space="preserve">Interest amount needs review</x:t>
        </x:is>
      </x:c>
      <x:c r="Z484" s="520" t="inlineStr">
        <x:is>
          <x:t xml:space="preserve">Review</x:t>
        </x:is>
      </x:c>
      <x:c r="AA484" s="520" t="inlineStr">
        <x:is>
          <x:t xml:space="preserve">Memorandum of Trust — Jesse William Fuchs, to Jesse William Trust Fuchs, (2332/223)</x:t>
        </x:is>
      </x:c>
      <x:c r="AB484" s="520" t="inlineStr">
        <x:is>
          <x:t xml:space="preserve">Needs source review: tract, interest amount</x:t>
        </x:is>
      </x:c>
    </x:row>
    <x:row r="485" s="520" customFormat="1" ht="48" customHeight="1">
      <x:c r="A485" s="519" t="inlineStr">
        <x:is>
          <x:t xml:space="preserve">2015-003284</x:t>
        </x:is>
      </x:c>
      <x:c r="B485" s="536" t="n"/>
      <x:c r="C485" s="536" t="inlineStr">
        <x:is>
          <x:t xml:space="preserve">Mineral Deed</x:t>
        </x:is>
      </x:c>
      <x:c r="D485" s="536" t="inlineStr">
        <x:is>
          <x:t xml:space="preserve">2315/42</x:t>
        </x:is>
      </x:c>
      <x:c r="E485" s="537" t="n">
        <x:v>42305</x:v>
      </x:c>
      <x:c r="F485" s="537" t="n">
        <x:v>42313</x:v>
      </x:c>
      <x:c r="G485" s="538" t="inlineStr">
        <x:is>
          <x:t xml:space="preserve">Lighthouse Point, LLC</x:t>
        </x:is>
      </x:c>
      <x:c r="H485" s="538" t="inlineStr">
        <x:is>
          <x:t xml:space="preserve">Greystone Energy &amp; Minerals, LLC</x:t>
        </x:is>
      </x:c>
      <x:c r="I485" s="538" t="inlineStr">
        <x:is>
          <x:t xml:space="preserve">NW/4 SE/4, S/2 SE/4, SW/4 NE/4 of 31-12N-24W, aol</x:t>
        </x:is>
      </x:c>
      <x:c r="J485" s="538" t="inlineStr">
        <x:is>
          <x:t xml:space="preserve">3 NMA in 31-12N-24W
A total of Twenty Five and 7,225/10,000ths net mineral acres (25.7225) of Grantor's right, title and interest in and to all of the oil, gas and other minerals in and under 3 sections</x:t>
        </x:is>
      </x:c>
      <x:c r="K485" s="518" t="e">
        <x:f>HYPERLINK("https://okcountyrecords.com/detail/roger+mills/2015-003284","OKCountyRecords: 2015-003284")</x:f>
      </x:c>
      <x:c r="L485" s="519" t="inlineStr">
        <x:is>
          <x:t xml:space="preserve">Mineral; basis Conv Amt(dec). Gross=tract-map basis.</x:t>
        </x:is>
      </x:c>
      <x:c r="M485" s="519" t="inlineStr">
        <x:is>
          <x:t xml:space="preserve">CURRENT OWNER SOURCE</x:t>
        </x:is>
      </x:c>
      <x:c r="N485" s="519" t="inlineStr">
        <x:is>
          <x:t xml:space="preserve">Conveys 3 NMA per notes; conv. dec = 3/gross. Verify denominator/tract from image.</x:t>
        </x:is>
      </x:c>
      <x:c r="O485" s="519" t="inlineStr">
        <x:is>
          <x:t xml:space="preserve">OUTSIDE LANDS</x:t>
        </x:is>
      </x:c>
      <x:c r="P485" s="520" t="inlineStr">
        <x:is>
          <x:t xml:space="preserve">Chain — minerals</x:t>
        </x:is>
      </x:c>
      <x:c r="Q485" s="520" t="inlineStr">
        <x:is>
          <x:t xml:space="preserve">Yes</x:t>
        </x:is>
      </x:c>
      <x:c r="R485" s="520" t="inlineStr">
        <x:is>
          <x:t xml:space="preserve">No</x:t>
        </x:is>
      </x:c>
      <x:c r="S485" s="520" t="inlineStr">
        <x:is>
          <x:t xml:space="preserve">Yes</x:t>
        </x:is>
      </x:c>
      <x:c r="T485" s="520" t="inlineStr">
        <x:is>
          <x:t xml:space="preserve">No</x:t>
        </x:is>
      </x:c>
      <x:c r="U485" s="520" t="inlineStr">
        <x:is>
          <x:t xml:space="preserve">Yes: 2 (legal supports)</x:t>
        </x:is>
      </x:c>
      <x:c r="V485" s="520" t="inlineStr">
        <x:is>
          <x:t xml:space="preserve">High</x:t>
        </x:is>
      </x:c>
      <x:c r="W485" s="520" t="inlineStr">
        <x:is>
          <x:t xml:space="preserve">Yes — prior grantee match</x:t>
        </x:is>
      </x:c>
      <x:c r="X485" s="520" t="inlineStr">
        <x:is>
          <x:t xml:space="preserve">Yes — on Tract 2 owner list</x:t>
        </x:is>
      </x:c>
      <x:c r="Y485" s="520" t="inlineStr">
        <x:is>
          <x:t xml:space="preserve">Candidate 0.01875 (helper — confirm from image)</x:t>
        </x:is>
      </x:c>
      <x:c r="Z485" s="520" t="inlineStr">
        <x:is>
          <x:t xml:space="preserve">Medium — helper value</x:t>
        </x:is>
      </x:c>
      <x:c r="AA485" s="520" t="inlineStr">
        <x:is>
          <x:t xml:space="preserve">Mineral Deed — Lighthouse Point, LLC to Greystone Energy &amp; Minerals, L (2315/42)</x:t>
        </x:is>
      </x:c>
    </x:row>
    <x:row r="486" s="520" customFormat="1" ht="60" customHeight="1">
      <x:c r="A486" s="519" t="inlineStr">
        <x:is>
          <x:t xml:space="preserve">2016-001883</x:t>
        </x:is>
      </x:c>
      <x:c r="B486" s="536" t="n">
        <x:v>45</x:v>
      </x:c>
      <x:c r="C486" s="536" t="inlineStr">
        <x:is>
          <x:t xml:space="preserve">Assignment</x:t>
        </x:is>
      </x:c>
      <x:c r="D486" s="536" t="inlineStr">
        <x:is>
          <x:t xml:space="preserve">2343/1</x:t>
        </x:is>
      </x:c>
      <x:c r="E486" s="537" t="n">
        <x:v>42370</x:v>
      </x:c>
      <x:c r="F486" s="537" t="n">
        <x:v>42593</x:v>
      </x:c>
      <x:c r="G486" s="538" t="inlineStr">
        <x:is>
          <x:t xml:space="preserve">Devon Energy Production Co.</x:t>
        </x:is>
      </x:c>
      <x:c r="H486" s="538" t="inlineStr">
        <x:is>
          <x:t xml:space="preserve">Tecolote Holdings, LLC</x:t>
        </x:is>
      </x:c>
      <x:c r="I486" s="538" t="inlineStr">
        <x:is>
          <x:t xml:space="preserve">All of 31-12N-24W, aol</x:t>
        </x:is>
      </x:c>
      <x:c r="J486" s="538" t="inlineStr">
        <x:is>
          <x:t xml:space="preserve">ARTI</x:t>
        </x:is>
      </x:c>
      <x:c r="K486" s="518" t="e">
        <x:f>HYPERLINK("https://okcountyrecords.com/detail/roger+mills/2016-001883","OKCountyRecords: 2016-001883")</x:f>
      </x:c>
      <x:c r="L486" s="519" t="inlineStr">
        <x:is>
          <x:t xml:space="preserve">Leasehold (non-mineral; excluded from mineral NMA). All-section coverage. Gross=tract-map basis.</x:t>
        </x:is>
      </x:c>
      <x:c r="M486" s="519" t="inlineStr">
        <x:is>
          <x:t xml:space="preserve">CURRENT LEASE SOURCE</x:t>
        </x:is>
      </x:c>
      <x:c r="N486" s="519" t="n"/>
      <x:c r="O486" s="519" t="inlineStr">
        <x:is>
          <x:t xml:space="preserve">OUTSIDE LANDS</x:t>
        </x:is>
      </x:c>
      <x:c r="P486" s="520" t="inlineStr">
        <x:is>
          <x:t xml:space="preserve">Chain — assignment (WI or minerals — read granting clause)</x:t>
        </x:is>
      </x:c>
      <x:c r="Q486" s="520" t="inlineStr">
        <x:is>
          <x:t xml:space="preserve">Review</x:t>
        </x:is>
      </x:c>
      <x:c r="R486" s="520" t="inlineStr">
        <x:is>
          <x:t xml:space="preserve">Yes</x:t>
        </x:is>
      </x:c>
      <x:c r="S486" s="520" t="inlineStr">
        <x:is>
          <x:t xml:space="preserve">Review</x:t>
        </x:is>
      </x:c>
      <x:c r="T486" s="520" t="inlineStr">
        <x:is>
          <x:t xml:space="preserve">Yes</x:t>
        </x:is>
      </x:c>
      <x:c r="U486" s="520" t="inlineStr">
        <x:is>
          <x:t xml:space="preserve">Yes: 1, 8 (broad legal)</x:t>
        </x:is>
      </x:c>
      <x:c r="V486" s="520" t="inlineStr">
        <x:is>
          <x:t xml:space="preserve">Medium</x:t>
        </x:is>
      </x:c>
      <x:c r="W486" s="520" t="inlineStr">
        <x:is>
          <x:t xml:space="preserve">Review — no exact prior-grantee match</x:t>
        </x:is>
      </x:c>
      <x:c r="X486" s="520" t="inlineStr">
        <x:is>
          <x:t xml:space="preserve">Review</x:t>
        </x:is>
      </x:c>
      <x:c r="Y486" s="520" t="inlineStr">
        <x:is>
          <x:t xml:space="preserve">Interest amount needs review</x:t>
        </x:is>
      </x:c>
      <x:c r="Z486" s="520" t="inlineStr">
        <x:is>
          <x:t xml:space="preserve">Review</x:t>
        </x:is>
      </x:c>
      <x:c r="AA486" s="520" t="inlineStr">
        <x:is>
          <x:t xml:space="preserve">Assignment — Devon Energy Production Co. to Tecolote Holdings, LLC (2343/1)</x:t>
        </x:is>
      </x:c>
      <x:c r="AB486" s="520" t="inlineStr">
        <x:is>
          <x:t xml:space="preserve">Needs source review: grantor source, interest amount</x:t>
        </x:is>
      </x:c>
    </x:row>
    <x:row r="487" s="520" customFormat="1" ht="60" customHeight="1">
      <x:c r="A487" s="519" t="inlineStr">
        <x:is>
          <x:t xml:space="preserve">2016-001882</x:t>
        </x:is>
      </x:c>
      <x:c r="B487" s="536" t="n">
        <x:v>43</x:v>
      </x:c>
      <x:c r="C487" s="536" t="inlineStr">
        <x:is>
          <x:t xml:space="preserve">Quit Claim Mineral Deed</x:t>
        </x:is>
      </x:c>
      <x:c r="D487" s="536" t="inlineStr">
        <x:is>
          <x:t xml:space="preserve">2342/219</x:t>
        </x:is>
      </x:c>
      <x:c r="E487" s="537" t="n">
        <x:v>42370</x:v>
      </x:c>
      <x:c r="F487" s="537" t="n">
        <x:v>42593</x:v>
      </x:c>
      <x:c r="G487" s="538" t="inlineStr">
        <x:is>
          <x:t xml:space="preserve">Devon Energy Production Company, L.P., an Oklahoma limited partnership</x:t>
        </x:is>
      </x:c>
      <x:c r="H487" s="538" t="inlineStr">
        <x:is>
          <x:t xml:space="preserve">Tecolote Holdings, LLC, a Delaware limited liability
company</x:t>
        </x:is>
      </x:c>
      <x:c r="I487" s="538" t="inlineStr">
        <x:is>
          <x:t xml:space="preserve">N/2 NE/4, W/2 NW/4 of 31-12N-24W, aol</x:t>
        </x:is>
      </x:c>
      <x:c r="J487" s="538" t="inlineStr">
        <x:is>
          <x:t xml:space="preserve">all of Grantor's right, title and interest in and to the oil, gas and other minerals</x:t>
        </x:is>
      </x:c>
      <x:c r="K487" s="518" t="e">
        <x:f>HYPERLINK("https://okcountyrecords.com/detail/roger+mills/2016-001882","OKCountyRecords: 2016-001882")</x:f>
      </x:c>
      <x:c r="L487" s="519" t="inlineStr">
        <x:is>
          <x:t xml:space="preserve">Mineral; basis Conv Amt(dec). Gross=tract-map basis.</x:t>
        </x:is>
      </x:c>
      <x:c r="M487" s="519" t="inlineStr">
        <x:is>
          <x:t xml:space="preserve">REVIEW</x:t>
        </x:is>
      </x:c>
      <x:c r="N487" s="519" t="inlineStr">
        <x:is>
          <x:t xml:space="preserve">SOURCE: conveyed amount parsed from Notes as ARTI</x:t>
        </x:is>
      </x:c>
      <x:c r="O487" s="519" t="inlineStr">
        <x:is>
          <x:t xml:space="preserve">OUTSIDE LANDS</x:t>
        </x:is>
      </x:c>
      <x:c r="P487" s="520" t="inlineStr">
        <x:is>
          <x:t xml:space="preserve">Chain — minerals</x:t>
        </x:is>
      </x:c>
      <x:c r="Q487" s="520" t="inlineStr">
        <x:is>
          <x:t xml:space="preserve">Yes</x:t>
        </x:is>
      </x:c>
      <x:c r="R487" s="520" t="inlineStr">
        <x:is>
          <x:t xml:space="preserve">No</x:t>
        </x:is>
      </x:c>
      <x:c r="S487" s="520" t="inlineStr">
        <x:is>
          <x:t xml:space="preserve">Yes</x:t>
        </x:is>
      </x:c>
      <x:c r="T487" s="520" t="inlineStr">
        <x:is>
          <x:t xml:space="preserve">No</x:t>
        </x:is>
      </x:c>
      <x:c r="U487" s="520" t="inlineStr">
        <x:is>
          <x:t xml:space="preserve">Yes: 1, 5 (legal supports)</x:t>
        </x:is>
      </x:c>
      <x:c r="V487" s="520" t="inlineStr">
        <x:is>
          <x:t xml:space="preserve">High</x:t>
        </x:is>
      </x:c>
      <x:c r="W487" s="520" t="inlineStr">
        <x:is>
          <x:t xml:space="preserve">Review — no exact prior-grantee match</x:t>
        </x:is>
      </x:c>
      <x:c r="X487" s="520" t="inlineStr">
        <x:is>
          <x:t xml:space="preserve">Review</x:t>
        </x:is>
      </x:c>
      <x:c r="Y487" s="520" t="inlineStr">
        <x:is>
          <x:t xml:space="preserve">Candidate 1 (helper — confirm from image)</x:t>
        </x:is>
      </x:c>
      <x:c r="Z487" s="520" t="inlineStr">
        <x:is>
          <x:t xml:space="preserve">Medium — helper value</x:t>
        </x:is>
      </x:c>
      <x:c r="AA487" s="520" t="inlineStr">
        <x:is>
          <x:t xml:space="preserve">Quit Claim Mineral Deed — Devon Energy Production Compan to Tecolote Holdings, LLC, a Dela (2342/219)</x:t>
        </x:is>
      </x:c>
      <x:c r="AB487" s="520" t="inlineStr">
        <x:is>
          <x:t xml:space="preserve">Needs source review: grantor source</x:t>
        </x:is>
      </x:c>
    </x:row>
    <x:row r="488" s="520" customFormat="1" ht="60" customHeight="1">
      <x:c r="A488" s="519" t="inlineStr">
        <x:is>
          <x:t xml:space="preserve">2016-002793</x:t>
        </x:is>
      </x:c>
      <x:c r="B488" s="536" t="n">
        <x:v>46</x:v>
      </x:c>
      <x:c r="C488" s="536" t="inlineStr">
        <x:is>
          <x:t xml:space="preserve">Assignment</x:t>
        </x:is>
      </x:c>
      <x:c r="D488" s="536" t="inlineStr">
        <x:is>
          <x:t xml:space="preserve">2354/229</x:t>
        </x:is>
      </x:c>
      <x:c r="E488" s="537" t="n">
        <x:v>42673</x:v>
      </x:c>
      <x:c r="F488" s="537" t="n">
        <x:v>42719</x:v>
      </x:c>
      <x:c r="G488" s="538" t="inlineStr">
        <x:is>
          <x:t xml:space="preserve">Hefner Company, Inc.</x:t>
        </x:is>
      </x:c>
      <x:c r="H488" s="538" t="inlineStr">
        <x:is>
          <x:t xml:space="preserve">Cheyenne Resources, LLC</x:t>
        </x:is>
      </x:c>
      <x:c r="I488" s="538" t="inlineStr">
        <x:is>
          <x:t xml:space="preserve">All of 31-12N-24W, aol</x:t>
        </x:is>
      </x:c>
      <x:c r="J488" s="538" t="inlineStr">
        <x:is>
          <x:t xml:space="preserve">ARTI</x:t>
        </x:is>
      </x:c>
      <x:c r="K488" s="518" t="e">
        <x:f>HYPERLINK("https://okcountyrecords.com/detail/roger+mills/2016-002793","63e8b9a8d056433a9994fe46ca85076b.pdf | OKCountyRecords: 2016-002793")</x:f>
      </x:c>
      <x:c r="L488" s="519" t="inlineStr">
        <x:is>
          <x:t xml:space="preserve">Leasehold (non-mineral; excluded from mineral NMA). All-section coverage. Gross=tract-map basis.</x:t>
        </x:is>
      </x:c>
      <x:c r="M488" s="519" t="inlineStr">
        <x:is>
          <x:t xml:space="preserve">CURRENT LEASE SOURCE</x:t>
        </x:is>
      </x:c>
      <x:c r="N488" s="519" t="n"/>
      <x:c r="O488" s="519" t="inlineStr">
        <x:is>
          <x:t xml:space="preserve">OUTSIDE LANDS</x:t>
        </x:is>
      </x:c>
      <x:c r="P488" s="520" t="inlineStr">
        <x:is>
          <x:t xml:space="preserve">Chain — assignment (WI or minerals — read granting clause)</x:t>
        </x:is>
      </x:c>
      <x:c r="Q488" s="520" t="inlineStr">
        <x:is>
          <x:t xml:space="preserve">Review</x:t>
        </x:is>
      </x:c>
      <x:c r="R488" s="520" t="inlineStr">
        <x:is>
          <x:t xml:space="preserve">Yes</x:t>
        </x:is>
      </x:c>
      <x:c r="S488" s="520" t="inlineStr">
        <x:is>
          <x:t xml:space="preserve">Review</x:t>
        </x:is>
      </x:c>
      <x:c r="T488" s="520" t="inlineStr">
        <x:is>
          <x:t xml:space="preserve">Yes</x:t>
        </x:is>
      </x:c>
      <x:c r="U488" s="520" t="inlineStr">
        <x:is>
          <x:t xml:space="preserve">Yes: 1, 8 (broad legal)</x:t>
        </x:is>
      </x:c>
      <x:c r="V488" s="520" t="inlineStr">
        <x:is>
          <x:t xml:space="preserve">Medium</x:t>
        </x:is>
      </x:c>
      <x:c r="W488" s="520" t="inlineStr">
        <x:is>
          <x:t xml:space="preserve">Yes — prior grantee match</x:t>
        </x:is>
      </x:c>
      <x:c r="X488" s="520" t="inlineStr">
        <x:is>
          <x:t xml:space="preserve">Review</x:t>
        </x:is>
      </x:c>
      <x:c r="Y488" s="520" t="inlineStr">
        <x:is>
          <x:t xml:space="preserve">Interest amount needs review</x:t>
        </x:is>
      </x:c>
      <x:c r="Z488" s="520" t="inlineStr">
        <x:is>
          <x:t xml:space="preserve">Review</x:t>
        </x:is>
      </x:c>
      <x:c r="AA488" s="520" t="inlineStr">
        <x:is>
          <x:t xml:space="preserve">Assignment — Hefner Company, Inc. to Cheyenne Resources, LLC (2354/229)</x:t>
        </x:is>
      </x:c>
      <x:c r="AB488" s="520" t="inlineStr">
        <x:is>
          <x:t xml:space="preserve">Needs source review: interest amount</x:t>
        </x:is>
      </x:c>
    </x:row>
    <x:row r="489" s="520" customFormat="1" ht="60" customHeight="1">
      <x:c r="A489" s="519" t="inlineStr">
        <x:is>
          <x:t xml:space="preserve">2017-000083</x:t>
        </x:is>
      </x:c>
      <x:c r="B489" s="536" t="n">
        <x:v>48</x:v>
      </x:c>
      <x:c r="C489" s="536" t="inlineStr">
        <x:is>
          <x:t xml:space="preserve">Assignment</x:t>
        </x:is>
      </x:c>
      <x:c r="D489" s="536" t="inlineStr">
        <x:is>
          <x:t xml:space="preserve">2356/399</x:t>
        </x:is>
      </x:c>
      <x:c r="E489" s="537" t="n">
        <x:v>42682</x:v>
      </x:c>
      <x:c r="F489" s="537" t="n">
        <x:v>42752</x:v>
      </x:c>
      <x:c r="G489" s="538" t="inlineStr">
        <x:is>
          <x:t xml:space="preserve">Geodyne Resources, Inc.,
Samson Lone Star, LLC,
Samson Resources Company</x:t>
        </x:is>
      </x:c>
      <x:c r="H489" s="538" t="inlineStr">
        <x:is>
          <x:t xml:space="preserve">Fairway Resources III, LLC</x:t>
        </x:is>
      </x:c>
      <x:c r="I489" s="538" t="inlineStr">
        <x:is>
          <x:t xml:space="preserve">LALEXANDER of 31-12N-24W, aol</x:t>
        </x:is>
      </x:c>
      <x:c r="J489" s="538" t="inlineStr">
        <x:is>
          <x:t xml:space="preserve">ARTI</x:t>
        </x:is>
      </x:c>
      <x:c r="K489" s="518" t="e">
        <x:f>HYPERLINK("https://okcountyrecords.com/detail/roger+mills/2017-000083","OKCountyRecords: 2017-000083")</x:f>
      </x:c>
      <x:c r="L489" s="519" t="inlineStr">
        <x:is>
          <x:t xml:space="preserve">Leasehold (non-mineral; excluded from mineral NMA). All-section coverage. Gross=tract-map basis.</x:t>
        </x:is>
      </x:c>
      <x:c r="M489" s="519" t="inlineStr">
        <x:is>
          <x:t xml:space="preserve">CURRENT LEASE SOURCE</x:t>
        </x:is>
      </x:c>
      <x:c r="N489" s="519" t="n"/>
      <x:c r="O489" s="519" t="inlineStr">
        <x:is>
          <x:t xml:space="preserve">OUTSIDE LANDS</x:t>
        </x:is>
      </x:c>
      <x:c r="P489" s="520" t="inlineStr">
        <x:is>
          <x:t xml:space="preserve">Chain — assignment (WI or minerals — read granting clause)</x:t>
        </x:is>
      </x:c>
      <x:c r="Q489" s="520" t="inlineStr">
        <x:is>
          <x:t xml:space="preserve">Review</x:t>
        </x:is>
      </x:c>
      <x:c r="R489" s="520" t="inlineStr">
        <x:is>
          <x:t xml:space="preserve">Yes</x:t>
        </x:is>
      </x:c>
      <x:c r="S489" s="520" t="inlineStr">
        <x:is>
          <x:t xml:space="preserve">Review</x:t>
        </x:is>
      </x:c>
      <x:c r="T489" s="520" t="inlineStr">
        <x:is>
          <x:t xml:space="preserve">Yes</x:t>
        </x:is>
      </x:c>
      <x:c r="U489" s="520" t="inlineStr">
        <x:is>
          <x:t xml:space="preserve">Yes: 1, 8 (broad legal)</x:t>
        </x:is>
      </x:c>
      <x:c r="V489" s="520" t="inlineStr">
        <x:is>
          <x:t xml:space="preserve">Medium</x:t>
        </x:is>
      </x:c>
      <x:c r="W489" s="520" t="inlineStr">
        <x:is>
          <x:t xml:space="preserve">Review — no exact prior-grantee match</x:t>
        </x:is>
      </x:c>
      <x:c r="X489" s="520" t="inlineStr">
        <x:is>
          <x:t xml:space="preserve">Review</x:t>
        </x:is>
      </x:c>
      <x:c r="Y489" s="520" t="inlineStr">
        <x:is>
          <x:t xml:space="preserve">Interest amount needs review</x:t>
        </x:is>
      </x:c>
      <x:c r="Z489" s="520" t="inlineStr">
        <x:is>
          <x:t xml:space="preserve">Review</x:t>
        </x:is>
      </x:c>
      <x:c r="AA489" s="520" t="inlineStr">
        <x:is>
          <x:t xml:space="preserve">Assignment — Geodyne Resources, Inc., to Fairway Resources III, LLC (2356/399)</x:t>
        </x:is>
      </x:c>
      <x:c r="AB489" s="520" t="inlineStr">
        <x:is>
          <x:t xml:space="preserve">Needs source review: grantor source, interest amount</x:t>
        </x:is>
      </x:c>
    </x:row>
    <x:row r="490" s="520" customFormat="1" ht="132" customHeight="1">
      <x:c r="A490" s="519" t="inlineStr">
        <x:is>
          <x:t xml:space="preserve">2017-000951</x:t>
        </x:is>
      </x:c>
      <x:c r="B490" s="536" t="n"/>
      <x:c r="C490" s="536" t="inlineStr">
        <x:is>
          <x:t xml:space="preserve">Mineral Deed</x:t>
        </x:is>
      </x:c>
      <x:c r="D490" s="536" t="inlineStr">
        <x:is>
          <x:t xml:space="preserve">2365/338</x:t>
        </x:is>
      </x:c>
      <x:c r="E490" s="537" t="n">
        <x:v>42855</x:v>
      </x:c>
      <x:c r="F490" s="537" t="n">
        <x:v>42858</x:v>
      </x:c>
      <x:c r="G490" s="538" t="inlineStr">
        <x:is>
          <x:t xml:space="preserve">Ella Pearl Kirk</x:t>
        </x:is>
      </x:c>
      <x:c r="H490" s="538" t="inlineStr">
        <x:is>
          <x:t xml:space="preserve">Calvin Wayne Kirk
Box 524
Cheyenne, Oklahoma 73628</x:t>
        </x:is>
      </x:c>
      <x:c r="I490" s="538" t="inlineStr">
        <x:is>
          <x:t xml:space="preserve">The South Fifty-one (51) acres in the following tract of land, to-wit: a tract of land in Section 31, Township 12 North, Range 24 West I.M., described as follows: Beginning at the Northwest Corner of the Northwest Quarter of said South 50 chains, (or 200 rods) thence West 18.20 chains (or 72 8/10 rods) to Range line between Range 24 and 25, thence North on Range line 50 chains according to the Government Survey thereof;</x:t>
        </x:is>
      </x:c>
      <x:c r="J490" s="538" t="inlineStr">
        <x:is>
          <x:t xml:space="preserve">An undivided 2.2 acre interest, more or less, in the OIL, GAS and OTHER MINERALS</x:t>
        </x:is>
      </x:c>
      <x:c r="K490" s="518" t="e">
        <x:f>HYPERLINK("https://okcountyrecords.com/detail/roger+mills/2017-000951/19673811","OKCountyRecords: 2017-000951")</x:f>
      </x:c>
      <x:c r="L490" s="519" t="inlineStr">
        <x:is>
          <x:t xml:space="preserve">Mineral; 2.20 NMA conveyed (deed notes: 'undivided 2.2 acre interest') in the South 51 M&amp;B = Tract 9. Gross corrected from All(1-8)/640 to 51 (non-additive overlay). Interest decimal = 2.2/51 so TOTAL Net Ac = 2.20.</x:t>
        </x:is>
      </x:c>
      <x:c r="M490" s="519" t="inlineStr">
        <x:is>
          <x:t xml:space="preserve">OK</x:t>
        </x:is>
      </x:c>
      <x:c r="N490" s="519" t="inlineStr">
        <x:is>
          <x:t xml:space="preserve">Ella Pearl Kirk conveyed 2.20 NMA to Calvin Wayne Kirk; remaining 48.80 ac retained by Ella Pearl Kirk / estate (heirship to Confirm S image 2017-000951 / Bk 2365/338 + probate). Posted to Tract 9 grid &amp; Title!B115-B116. Gross corrected to 51 (South 51 overlay); Tract 9 is NON-ADDITIVE — not added to the 640-ac section total.</x:t>
        </x:is>
      </x:c>
      <x:c r="O490" s="519" t="inlineStr">
        <x:is>
          <x:t xml:space="preserve">MINERAL DEED</x:t>
        </x:is>
      </x:c>
      <x:c r="P490" s="520" t="inlineStr">
        <x:is>
          <x:t xml:space="preserve">Chain — minerals</x:t>
        </x:is>
      </x:c>
      <x:c r="Q490" s="520" t="inlineStr">
        <x:is>
          <x:t xml:space="preserve">Yes</x:t>
        </x:is>
      </x:c>
      <x:c r="R490" s="520" t="inlineStr">
        <x:is>
          <x:t xml:space="preserve">No</x:t>
        </x:is>
      </x:c>
      <x:c r="S490" s="520" t="inlineStr">
        <x:is>
          <x:t xml:space="preserve">Yes</x:t>
        </x:is>
      </x:c>
      <x:c r="T490" s="520" t="inlineStr">
        <x:is>
          <x:t xml:space="preserve">No</x:t>
        </x:is>
      </x:c>
      <x:c r="U490" s="520" t="inlineStr">
        <x:is>
          <x:t xml:space="preserve">Yes: 9 (broad legal)</x:t>
        </x:is>
      </x:c>
      <x:c r="V490" s="520" t="inlineStr">
        <x:is>
          <x:t xml:space="preserve">Medium</x:t>
        </x:is>
      </x:c>
      <x:c r="W490" s="520" t="inlineStr">
        <x:is>
          <x:t xml:space="preserve">Review — no exact prior-grantee match</x:t>
        </x:is>
      </x:c>
      <x:c r="X490" s="520" t="inlineStr">
        <x:is>
          <x:t xml:space="preserve">Review</x:t>
        </x:is>
      </x:c>
      <x:c r="Y490" s="520" t="inlineStr">
        <x:is>
          <x:t xml:space="preserve">Candidate 0.0431372549019608 (helper — confirm from image)</x:t>
        </x:is>
      </x:c>
      <x:c r="Z490" s="520" t="inlineStr">
        <x:is>
          <x:t xml:space="preserve">Medium — helper value</x:t>
        </x:is>
      </x:c>
      <x:c r="AA490" s="520" t="inlineStr">
        <x:is>
          <x:t xml:space="preserve">Mineral Deed — Ella Pearl Kirk to Calvin Wayne Kirk (2365/338)</x:t>
        </x:is>
      </x:c>
      <x:c r="AB490" s="520" t="inlineStr">
        <x:is>
          <x:t xml:space="preserve">Needs source review: grantor source</x:t>
        </x:is>
      </x:c>
    </x:row>
    <x:row r="491" s="520" customFormat="1" ht="60" customHeight="1">
      <x:c r="A491" s="519" t="inlineStr">
        <x:is>
          <x:t xml:space="preserve">2017-001403</x:t>
        </x:is>
      </x:c>
      <x:c r="B491" s="536" t="n"/>
      <x:c r="C491" s="536" t="inlineStr">
        <x:is>
          <x:t xml:space="preserve">Change of Address</x:t>
        </x:is>
      </x:c>
      <x:c r="D491" s="536" t="inlineStr">
        <x:is>
          <x:t xml:space="preserve">2370/359</x:t>
        </x:is>
      </x:c>
      <x:c r="E491" s="537" t="n">
        <x:v>42924</x:v>
      </x:c>
      <x:c r="F491" s="537" t="n">
        <x:v>42930</x:v>
      </x:c>
      <x:c r="G491" s="538" t="inlineStr">
        <x:is>
          <x:t xml:space="preserve">King Exploration</x:t>
        </x:is>
      </x:c>
      <x:c r="H491" s="538" t="inlineStr">
        <x:is>
          <x:t xml:space="preserve">The Public</x:t>
        </x:is>
      </x:c>
      <x:c r="I491" s="538" t="inlineStr">
        <x:is>
          <x:t xml:space="preserve">All of 31-12N-24W, aol</x:t>
        </x:is>
      </x:c>
      <x:c r="J491" s="538" t="inlineStr">
        <x:is>
          <x:t xml:space="preserve">Change of address of record only, no effect on mineral or title ownership.</x:t>
        </x:is>
      </x:c>
      <x:c r="K491" s="518" t="e">
        <x:f>HYPERLINK("https://okcountyrecords.com/detail/roger+mills/2017-001403","63e8b9a8d056433a9994fe46ca85076b.pdf | OKCountyRecords: 2017-001403")</x:f>
      </x:c>
      <x:c r="L491" s="519" t="inlineStr">
        <x:is>
          <x:t xml:space="preserve">Other (non-mineral; excluded from mineral NMA). All-section coverage. Gross=tract-map basis.</x:t>
        </x:is>
      </x:c>
      <x:c r="M491" s="519" t="inlineStr">
        <x:is>
          <x:t xml:space="preserve">OK</x:t>
        </x:is>
      </x:c>
      <x:c r="N491" s="519" t="inlineStr">
        <x:is>
          <x:t xml:space="preserve">Non-conveying — notice/affidavit/address change (The Public).</x:t>
        </x:is>
      </x:c>
      <x:c r="O491" s="519" t="inlineStr">
        <x:is>
          <x:t xml:space="preserve">OUTSIDE LANDS</x:t>
        </x:is>
      </x:c>
      <x:c r="P491" s="520" t="inlineStr">
        <x:is>
          <x:t xml:space="preserve">Do Not Chain — address only</x:t>
        </x:is>
      </x:c>
      <x:c r="Q491" s="520" t="inlineStr">
        <x:is>
          <x:t xml:space="preserve">No</x:t>
        </x:is>
      </x:c>
      <x:c r="R491" s="520" t="inlineStr">
        <x:is>
          <x:t xml:space="preserve">No</x:t>
        </x:is>
      </x:c>
      <x:c r="S491" s="520" t="inlineStr">
        <x:is>
          <x:t xml:space="preserve">No</x:t>
        </x:is>
      </x:c>
      <x:c r="T491" s="520" t="inlineStr">
        <x:is>
          <x:t xml:space="preserve">No</x:t>
        </x:is>
      </x:c>
      <x:c r="U491" s="520" t="inlineStr">
        <x:is>
          <x:t xml:space="preserve">Yes: 1, 8 (broad legal)</x:t>
        </x:is>
      </x:c>
      <x:c r="V491" s="520" t="inlineStr">
        <x:is>
          <x:t xml:space="preserve">Medium</x:t>
        </x:is>
      </x:c>
      <x:c r="W491" s="520" t="inlineStr">
        <x:is>
          <x:t xml:space="preserve">Review — no exact prior-grantee match</x:t>
        </x:is>
      </x:c>
      <x:c r="X491" s="520" t="inlineStr">
        <x:is>
          <x:t xml:space="preserve">Review</x:t>
        </x:is>
      </x:c>
      <x:c r="Y491" s="520" t="inlineStr">
        <x:is>
          <x:t xml:space="preserve">Interest amount needs review</x:t>
        </x:is>
      </x:c>
      <x:c r="Z491" s="520" t="inlineStr">
        <x:is>
          <x:t xml:space="preserve">Review</x:t>
        </x:is>
      </x:c>
      <x:c r="AA491" s="520" t="inlineStr">
        <x:is>
          <x:t xml:space="preserve">Change of Address — King Exploration to The Public (2370/359)</x:t>
        </x:is>
      </x:c>
      <x:c r="AB491" s="520" t="inlineStr">
        <x:is>
          <x:t xml:space="preserve">Needs source review: grantor source</x:t>
        </x:is>
      </x:c>
    </x:row>
    <x:row r="492" s="520" customFormat="1" ht="48" customHeight="1">
      <x:c r="A492" s="519" t="inlineStr">
        <x:is>
          <x:t xml:space="preserve">2017-001880</x:t>
        </x:is>
      </x:c>
      <x:c r="B492" s="536" t="n"/>
      <x:c r="C492" s="536" t="inlineStr">
        <x:is>
          <x:t xml:space="preserve">Mineral Deed</x:t>
        </x:is>
      </x:c>
      <x:c r="D492" s="536" t="inlineStr">
        <x:is>
          <x:t xml:space="preserve">2376/100</x:t>
        </x:is>
      </x:c>
      <x:c r="E492" s="537" t="n">
        <x:v>42985</x:v>
      </x:c>
      <x:c r="F492" s="537" t="n">
        <x:v>42996</x:v>
      </x:c>
      <x:c r="G492" s="538" t="inlineStr">
        <x:is>
          <x:t xml:space="preserve">Jon N. Wilkerson</x:t>
        </x:is>
      </x:c>
      <x:c r="H492" s="538" t="inlineStr">
        <x:is>
          <x:t xml:space="preserve">Tamara K. Wilkerson</x:t>
        </x:is>
      </x:c>
      <x:c r="I492" s="538" t="inlineStr">
        <x:is>
          <x:t xml:space="preserve">All of 31-12N-24W, aol</x:t>
        </x:is>
      </x:c>
      <x:c r="J492" s="538" t="inlineStr">
        <x:is>
          <x:t xml:space="preserve">ARTI</x:t>
        </x:is>
      </x:c>
      <x:c r="K492" s="518" t="e">
        <x:f>HYPERLINK("https://okcountyrecords.com/detail/roger+mills/2017-001880","OKCountyRecords: 2017-001880")</x:f>
      </x:c>
      <x:c r="L492" s="519" t="inlineStr">
        <x:is>
          <x:t xml:space="preserve">Mineral; basis Conv Amt(dec). All-section coverage. Gross=tract-map basis.</x:t>
        </x:is>
      </x:c>
      <x:c r="M492" s="519" t="inlineStr">
        <x:is>
          <x:t xml:space="preserve">CURRENT OWNER SOURCE</x:t>
        </x:is>
      </x:c>
      <x:c r="N492" s="519" t="n"/>
      <x:c r="O492" s="519" t="inlineStr">
        <x:is>
          <x:t xml:space="preserve">OUTSIDE LANDS</x:t>
        </x:is>
      </x:c>
      <x:c r="P492" s="520" t="inlineStr">
        <x:is>
          <x:t xml:space="preserve">Chain — minerals</x:t>
        </x:is>
      </x:c>
      <x:c r="Q492" s="520" t="inlineStr">
        <x:is>
          <x:t xml:space="preserve">Yes</x:t>
        </x:is>
      </x:c>
      <x:c r="R492" s="520" t="inlineStr">
        <x:is>
          <x:t xml:space="preserve">No</x:t>
        </x:is>
      </x:c>
      <x:c r="S492" s="520" t="inlineStr">
        <x:is>
          <x:t xml:space="preserve">Yes</x:t>
        </x:is>
      </x:c>
      <x:c r="T492" s="520" t="inlineStr">
        <x:is>
          <x:t xml:space="preserve">No</x:t>
        </x:is>
      </x:c>
      <x:c r="U492" s="520" t="inlineStr">
        <x:is>
          <x:t xml:space="preserve">Yes: 1, 8 (broad legal)</x:t>
        </x:is>
      </x:c>
      <x:c r="V492" s="520" t="inlineStr">
        <x:is>
          <x:t xml:space="preserve">Medium</x:t>
        </x:is>
      </x:c>
      <x:c r="W492" s="520" t="inlineStr">
        <x:is>
          <x:t xml:space="preserve">Review — no exact prior-grantee match</x:t>
        </x:is>
      </x:c>
      <x:c r="X492" s="520" t="inlineStr">
        <x:is>
          <x:t xml:space="preserve">Review</x:t>
        </x:is>
      </x:c>
      <x:c r="Y492" s="520" t="inlineStr">
        <x:is>
          <x:t xml:space="preserve">Candidate 1 (helper — confirm from image)</x:t>
        </x:is>
      </x:c>
      <x:c r="Z492" s="520" t="inlineStr">
        <x:is>
          <x:t xml:space="preserve">Medium — helper value</x:t>
        </x:is>
      </x:c>
      <x:c r="AA492" s="520" t="inlineStr">
        <x:is>
          <x:t xml:space="preserve">Mineral Deed — Jon N. Wilkerson to Tamara K. Wilkerson (2376/100)</x:t>
        </x:is>
      </x:c>
      <x:c r="AB492" s="520" t="inlineStr">
        <x:is>
          <x:t xml:space="preserve">Needs source review: grantor source</x:t>
        </x:is>
      </x:c>
    </x:row>
    <x:row r="493" s="520" customFormat="1" ht="60" customHeight="1">
      <x:c r="A493" s="519" t="inlineStr">
        <x:is>
          <x:t xml:space="preserve">2018-000119</x:t>
        </x:is>
      </x:c>
      <x:c r="B493" s="536" t="n">
        <x:v>47</x:v>
      </x:c>
      <x:c r="C493" s="536" t="inlineStr">
        <x:is>
          <x:t xml:space="preserve">Assignment</x:t>
        </x:is>
      </x:c>
      <x:c r="D493" s="536" t="inlineStr">
        <x:is>
          <x:t xml:space="preserve">2385/72</x:t>
        </x:is>
      </x:c>
      <x:c r="E493" s="537" t="n">
        <x:v>43083</x:v>
      </x:c>
      <x:c r="F493" s="537" t="n">
        <x:v>43119</x:v>
      </x:c>
      <x:c r="G493" s="538" t="inlineStr">
        <x:is>
          <x:t xml:space="preserve">Cheyenne Resources</x:t>
        </x:is>
      </x:c>
      <x:c r="H493" s="538" t="inlineStr">
        <x:is>
          <x:t xml:space="preserve">Templar Energy, LLC</x:t>
        </x:is>
      </x:c>
      <x:c r="I493" s="538" t="inlineStr">
        <x:is>
          <x:t xml:space="preserve">LALEXANDER 1-31 of 31-12N-24W</x:t>
        </x:is>
      </x:c>
      <x:c r="J493" s="538" t="inlineStr">
        <x:is>
          <x:t xml:space="preserve">All of Assignor's right, title and interest in and to the oil and gas leasehold and working interests, together with the rights incident thereto and appurtenances thereon, insofar and only insofar as said leasehold and working interests cover the wellbore of the Alexander 1-31 (API No. … Full recital in recorded instrument — see Link.</x:t>
        </x:is>
      </x:c>
      <x:c r="K493" s="518" t="e">
        <x:f>HYPERLINK("https://okcountyrecords.com/detail/roger+mills/2018-000119/20639253","OKCountyRecords: 2018-000119")</x:f>
      </x:c>
      <x:c r="L493" s="519" t="inlineStr">
        <x:is>
          <x:t xml:space="preserve">Leasehold (non-mineral; excluded from mineral NMA). All-section coverage. Gross=tract-map basis.</x:t>
        </x:is>
      </x:c>
      <x:c r="M493" s="519" t="inlineStr">
        <x:is>
          <x:t xml:space="preserve">CURRENT LEASE SOURCE</x:t>
        </x:is>
      </x:c>
      <x:c r="N493" s="519" t="n"/>
      <x:c r="O493" s="519" t="inlineStr">
        <x:is>
          <x:t xml:space="preserve">LEASE ASSIGNMENT</x:t>
        </x:is>
      </x:c>
      <x:c r="P493" s="520" t="inlineStr">
        <x:is>
          <x:t xml:space="preserve">Chain — assignment (WI or minerals — read granting clause)</x:t>
        </x:is>
      </x:c>
      <x:c r="Q493" s="520" t="inlineStr">
        <x:is>
          <x:t xml:space="preserve">Review</x:t>
        </x:is>
      </x:c>
      <x:c r="R493" s="520" t="inlineStr">
        <x:is>
          <x:t xml:space="preserve">Yes</x:t>
        </x:is>
      </x:c>
      <x:c r="S493" s="520" t="inlineStr">
        <x:is>
          <x:t xml:space="preserve">Review</x:t>
        </x:is>
      </x:c>
      <x:c r="T493" s="520" t="inlineStr">
        <x:is>
          <x:t xml:space="preserve">Yes</x:t>
        </x:is>
      </x:c>
      <x:c r="U493" s="520" t="inlineStr">
        <x:is>
          <x:t xml:space="preserve">Yes: 1, 8 (broad legal)</x:t>
        </x:is>
      </x:c>
      <x:c r="V493" s="520" t="inlineStr">
        <x:is>
          <x:t xml:space="preserve">Medium</x:t>
        </x:is>
      </x:c>
      <x:c r="W493" s="520" t="inlineStr">
        <x:is>
          <x:t xml:space="preserve">Review — no exact prior-grantee match</x:t>
        </x:is>
      </x:c>
      <x:c r="X493" s="520" t="inlineStr">
        <x:is>
          <x:t xml:space="preserve">Review</x:t>
        </x:is>
      </x:c>
      <x:c r="Y493" s="520" t="inlineStr">
        <x:is>
          <x:t xml:space="preserve">Interest amount needs review</x:t>
        </x:is>
      </x:c>
      <x:c r="Z493" s="520" t="inlineStr">
        <x:is>
          <x:t xml:space="preserve">Review</x:t>
        </x:is>
      </x:c>
      <x:c r="AA493" s="520" t="inlineStr">
        <x:is>
          <x:t xml:space="preserve">Assignment — Cheyenne Resources to Templar Energy, LLC (2385/72)</x:t>
        </x:is>
      </x:c>
      <x:c r="AB493" s="520" t="inlineStr">
        <x:is>
          <x:t xml:space="preserve">Needs source review: grantor source, interest amount</x:t>
        </x:is>
      </x:c>
    </x:row>
    <x:row r="494" s="520" customFormat="1" ht="108" customHeight="1">
      <x:c r="A494" s="519" t="inlineStr">
        <x:is>
          <x:t xml:space="preserve">2018-001569</x:t>
        </x:is>
      </x:c>
      <x:c r="B494" s="536" t="n"/>
      <x:c r="C494" s="536" t="inlineStr">
        <x:is>
          <x:t xml:space="preserve">Affidavit Regarding Merger of Diverse GP II, Diverse GP III, Diverse Energy Investments and Tdt Diverse LP With and Into Fortune Natural Resources Corporation</x:t>
        </x:is>
      </x:c>
      <x:c r="D494" s="536" t="inlineStr">
        <x:is>
          <x:t xml:space="preserve">2394/591</x:t>
        </x:is>
      </x:c>
      <x:c r="E494" s="537" t="n">
        <x:v>43249</x:v>
      </x:c>
      <x:c r="F494" s="537" t="n">
        <x:v>43272</x:v>
      </x:c>
      <x:c r="G494" s="538" t="inlineStr">
        <x:is>
          <x:t xml:space="preserve">Fortune Natural Resources Corp,
Robin D. Vp McGuire</x:t>
        </x:is>
      </x:c>
      <x:c r="H494" s="538" t="inlineStr">
        <x:is>
          <x:t xml:space="preserve">The Public</x:t>
        </x:is>
      </x:c>
      <x:c r="I494" s="538" t="inlineStr">
        <x:is>
          <x:t xml:space="preserve">All of 31-12N-24W, aol</x:t>
        </x:is>
      </x:c>
      <x:c r="J494" s="538" t="inlineStr">
        <x:is>
          <x:t xml:space="preserve">Fortune is a corporation organized under the laws of the State of Delaware. As evidenced by the Certificate of Merger from the State of Delaware, recorded in Book 1951, Page 240 of the Records of Roger Mills County, Oklahoma, a copy of which is attached hereto as Exhibit "B", effective September 30, … Full recital in recorded instrument — see Link.</x:t>
        </x:is>
      </x:c>
      <x:c r="K494" s="518" t="e">
        <x:f>HYPERLINK("https://okcountyrecords.com/detail/roger+mills/2018-001569","OKCountyRecords: 2018-001569")</x:f>
      </x:c>
      <x:c r="L494" s="519" t="inlineStr">
        <x:is>
          <x:t xml:space="preserve">Other (non-mineral; excluded from mineral NMA). All-section coverage. Gross=tract-map basis.</x:t>
        </x:is>
      </x:c>
      <x:c r="M494" s="519" t="inlineStr">
        <x:is>
          <x:t xml:space="preserve">OK</x:t>
        </x:is>
      </x:c>
      <x:c r="N494" s="519" t="inlineStr">
        <x:is>
          <x:t xml:space="preserve">Non-conveying — notice/affidavit/address change (The Public).</x:t>
        </x:is>
      </x:c>
      <x:c r="O494" s="519" t="inlineStr">
        <x:is>
          <x:t xml:space="preserve">OUTSIDE LANDS</x:t>
        </x:is>
      </x:c>
      <x:c r="P494" s="520" t="inlineStr">
        <x:is>
          <x:t xml:space="preserve">Chain — title support (succession/entity/probate)</x:t>
        </x:is>
      </x:c>
      <x:c r="Q494" s="520" t="inlineStr">
        <x:is>
          <x:t xml:space="preserve">Yes</x:t>
        </x:is>
      </x:c>
      <x:c r="R494" s="520" t="inlineStr">
        <x:is>
          <x:t xml:space="preserve">No</x:t>
        </x:is>
      </x:c>
      <x:c r="S494" s="520" t="inlineStr">
        <x:is>
          <x:t xml:space="preserve">Yes</x:t>
        </x:is>
      </x:c>
      <x:c r="T494" s="520" t="inlineStr">
        <x:is>
          <x:t xml:space="preserve">No</x:t>
        </x:is>
      </x:c>
      <x:c r="U494" s="520" t="inlineStr">
        <x:is>
          <x:t xml:space="preserve">Yes: 1, 8 (broad legal)</x:t>
        </x:is>
      </x:c>
      <x:c r="V494" s="520" t="inlineStr">
        <x:is>
          <x:t xml:space="preserve">Medium</x:t>
        </x:is>
      </x:c>
      <x:c r="W494" s="520" t="inlineStr">
        <x:is>
          <x:t xml:space="preserve">Review — no exact prior-grantee match</x:t>
        </x:is>
      </x:c>
      <x:c r="X494" s="520" t="inlineStr">
        <x:is>
          <x:t xml:space="preserve">Review</x:t>
        </x:is>
      </x:c>
      <x:c r="Y494" s="520" t="inlineStr">
        <x:is>
          <x:t xml:space="preserve">Interest amount needs review</x:t>
        </x:is>
      </x:c>
      <x:c r="Z494" s="520" t="inlineStr">
        <x:is>
          <x:t xml:space="preserve">Review</x:t>
        </x:is>
      </x:c>
      <x:c r="AA494" s="520" t="inlineStr">
        <x:is>
          <x:t xml:space="preserve">Affidavit Regarding Merger of Di — Fortune Natural Resources Corp to The Public (2394/591)</x:t>
        </x:is>
      </x:c>
      <x:c r="AB494" s="520" t="inlineStr">
        <x:is>
          <x:t xml:space="preserve">Needs source review: grantor source, interest amount</x:t>
        </x:is>
      </x:c>
    </x:row>
    <x:row r="495" s="520" customFormat="1" ht="60" customHeight="1">
      <x:c r="A495" s="519" t="inlineStr">
        <x:is>
          <x:t xml:space="preserve">2018-002786</x:t>
        </x:is>
      </x:c>
      <x:c r="B495" s="536" t="n"/>
      <x:c r="C495" s="536" t="inlineStr">
        <x:is>
          <x:t xml:space="preserve">Oil, Gas and Mineral Deed</x:t>
        </x:is>
      </x:c>
      <x:c r="D495" s="536" t="inlineStr">
        <x:is>
          <x:t xml:space="preserve">2407/124</x:t>
        </x:is>
      </x:c>
      <x:c r="E495" s="537" t="n">
        <x:v>43281</x:v>
      </x:c>
      <x:c r="F495" s="537" t="n">
        <x:v>43392</x:v>
      </x:c>
      <x:c r="G495" s="538" t="inlineStr">
        <x:is>
          <x:t xml:space="preserve">Bhp Billiton Petroleum Properties (N.A.), LP, a Texas limited partnership,
Bhp Billiton Petroleum (KCS Resources), LLC, a Delaware limited liability company</x:t>
        </x:is>
      </x:c>
      <x:c r="H495" s="538" t="inlineStr">
        <x:is>
          <x:t xml:space="preserve">Bhp Billiton Petroleum (North America), Inc., a Delaware
corporation</x:t>
        </x:is>
      </x:c>
      <x:c r="I495" s="538" t="inlineStr">
        <x:is>
          <x:t xml:space="preserve">All of 31-12N-24W, aol</x:t>
        </x:is>
      </x:c>
      <x:c r="J495" s="538" t="inlineStr">
        <x:is>
          <x:t xml:space="preserve">ARTI, see 786/270</x:t>
        </x:is>
      </x:c>
      <x:c r="K495" s="518" t="e">
        <x:f>HYPERLINK("https://okcountyrecords.com/detail/roger+mills/2018-002786","OKCountyRecords: 2018-002786")</x:f>
      </x:c>
      <x:c r="L495" s="519" t="inlineStr">
        <x:is>
          <x:t xml:space="preserve">Mineral; basis Conv Amt(dec). All-section coverage. Gross=tract-map basis.</x:t>
        </x:is>
      </x:c>
      <x:c r="M495" s="519" t="inlineStr">
        <x:is>
          <x:t xml:space="preserve">CURRENT OWNER SOURCE</x:t>
        </x:is>
      </x:c>
      <x:c r="N495" s="519" t="n"/>
      <x:c r="O495" s="519" t="inlineStr">
        <x:is>
          <x:t xml:space="preserve">OUTSIDE LANDS</x:t>
        </x:is>
      </x:c>
      <x:c r="P495" s="520" t="inlineStr">
        <x:is>
          <x:t xml:space="preserve">Chain — minerals</x:t>
        </x:is>
      </x:c>
      <x:c r="Q495" s="520" t="inlineStr">
        <x:is>
          <x:t xml:space="preserve">Yes</x:t>
        </x:is>
      </x:c>
      <x:c r="R495" s="520" t="inlineStr">
        <x:is>
          <x:t xml:space="preserve">No</x:t>
        </x:is>
      </x:c>
      <x:c r="S495" s="520" t="inlineStr">
        <x:is>
          <x:t xml:space="preserve">Yes</x:t>
        </x:is>
      </x:c>
      <x:c r="T495" s="520" t="inlineStr">
        <x:is>
          <x:t xml:space="preserve">No</x:t>
        </x:is>
      </x:c>
      <x:c r="U495" s="520" t="inlineStr">
        <x:is>
          <x:t xml:space="preserve">Yes: 1, 8 (broad legal)</x:t>
        </x:is>
      </x:c>
      <x:c r="V495" s="520" t="inlineStr">
        <x:is>
          <x:t xml:space="preserve">Medium</x:t>
        </x:is>
      </x:c>
      <x:c r="W495" s="520" t="inlineStr">
        <x:is>
          <x:t xml:space="preserve">Review — no exact prior-grantee match</x:t>
        </x:is>
      </x:c>
      <x:c r="X495" s="520" t="inlineStr">
        <x:is>
          <x:t xml:space="preserve">Review</x:t>
        </x:is>
      </x:c>
      <x:c r="Y495" s="520" t="inlineStr">
        <x:is>
          <x:t xml:space="preserve">Candidate 1 (helper — confirm from image)</x:t>
        </x:is>
      </x:c>
      <x:c r="Z495" s="520" t="inlineStr">
        <x:is>
          <x:t xml:space="preserve">Medium — helper value</x:t>
        </x:is>
      </x:c>
      <x:c r="AA495" s="520" t="inlineStr">
        <x:is>
          <x:t xml:space="preserve">Oil, Gas and Mineral Deed — Bhp Billiton Petroleum Propert to Bhp Billiton Petroleum (North (2407/124)</x:t>
        </x:is>
      </x:c>
      <x:c r="AB495" s="520" t="inlineStr">
        <x:is>
          <x:t xml:space="preserve">Needs source review: grantor source</x:t>
        </x:is>
      </x:c>
    </x:row>
    <x:row r="496" s="520" customFormat="1" ht="180" customHeight="1">
      <x:c r="A496" s="519" t="inlineStr">
        <x:is>
          <x:t xml:space="preserve">2018-002049</x:t>
        </x:is>
      </x:c>
      <x:c r="B496" s="536" t="n">
        <x:v>52</x:v>
      </x:c>
      <x:c r="C496" s="536" t="inlineStr">
        <x:is>
          <x:t xml:space="preserve">Memorandum of JOA Operator and Drag-Along Agreement</x:t>
        </x:is>
      </x:c>
      <x:c r="D496" s="536" t="inlineStr">
        <x:is>
          <x:t xml:space="preserve">2399/188</x:t>
        </x:is>
      </x:c>
      <x:c r="E496" s="537" t="n">
        <x:v>43314</x:v>
      </x:c>
      <x:c r="F496" s="537" t="n">
        <x:v>43327</x:v>
      </x:c>
      <x:c r="G496" s="538" t="inlineStr">
        <x:is>
          <x:t xml:space="preserve">(i) EnerVest Operating, LLC ("Operator"), (ii) EnerVest Ltd., EnerVest
Institutional GP, Ltd., and EnerVest Preferred Holdings XIII, L.P. (collectively, the
"Partners"), (iii) EnerVest Energy Institutional Fund XIII-A, L.P. ("Fund XIII-A"),
EnerVest Energy Institutional Fund XIII-WIB, L.P. ("Fund XIII-WIB"), EnerVest Energy Institutional Fund XIII-B, L.P. ("Fund XIII-B"), EnerVest Energy Institutional Fund XIII-WIC, L.P. "Fund XIII-WIC"), and EnerVest Energy Institutional Fund XIIIC, L.P. ("Fund XIII-C", and together with Fund XIII-A, Fund XIII-WIB, Fund XIII-B,
Fund XIII-WIC</x:t>
        </x:is>
      </x:c>
      <x:c r="H496" s="538" t="inlineStr">
        <x:is>
          <x:t xml:space="preserve">The Public</x:t>
        </x:is>
      </x:c>
      <x:c r="I496" s="538" t="inlineStr">
        <x:is>
          <x:t xml:space="preserve">All of 31-12N-24W, aol</x:t>
        </x:is>
      </x:c>
      <x:c r="J496" s="538" t="inlineStr">
        <x:is>
          <x:t xml:space="preserve">Provides record notice of lease</x:t>
        </x:is>
      </x:c>
      <x:c r="K496" s="518" t="e">
        <x:f>HYPERLINK("https://okcountyrecords.com/detail/roger+mills/2018-002049","63e8b9a8d056433a9994fe46ca85076b.pdf | OKCountyRecords: 2018-002049")</x:f>
      </x:c>
      <x:c r="L496" s="519" t="inlineStr">
        <x:is>
          <x:t xml:space="preserve">Leasehold (non-mineral; excluded from mineral NMA). All-section coverage. Gross=tract-map basis.</x:t>
        </x:is>
      </x:c>
      <x:c r="M496" s="519" t="inlineStr">
        <x:is>
          <x:t xml:space="preserve">OK</x:t>
        </x:is>
      </x:c>
      <x:c r="N496" s="519" t="inlineStr">
        <x:is>
          <x:t xml:space="preserve">Non-conveying — notice/affidavit/address change (The Public).</x:t>
        </x:is>
      </x:c>
      <x:c r="O496" s="519" t="inlineStr">
        <x:is>
          <x:t xml:space="preserve">OUTSIDE LANDS</x:t>
        </x:is>
      </x:c>
      <x:c r="P496" s="520" t="inlineStr">
        <x:is>
          <x:t xml:space="preserve">No chain effect — operating/JOA (WI context only)</x:t>
        </x:is>
      </x:c>
      <x:c r="Q496" s="520" t="inlineStr">
        <x:is>
          <x:t xml:space="preserve">No</x:t>
        </x:is>
      </x:c>
      <x:c r="R496" s="520" t="inlineStr">
        <x:is>
          <x:t xml:space="preserve">Review</x:t>
        </x:is>
      </x:c>
      <x:c r="S496" s="520" t="inlineStr">
        <x:is>
          <x:t xml:space="preserve">No</x:t>
        </x:is>
      </x:c>
      <x:c r="T496" s="520" t="inlineStr">
        <x:is>
          <x:t xml:space="preserve">No</x:t>
        </x:is>
      </x:c>
      <x:c r="U496" s="520" t="inlineStr">
        <x:is>
          <x:t xml:space="preserve">Yes: 1, 8 (broad legal)</x:t>
        </x:is>
      </x:c>
      <x:c r="V496" s="520" t="inlineStr">
        <x:is>
          <x:t xml:space="preserve">Medium</x:t>
        </x:is>
      </x:c>
      <x:c r="W496" s="520" t="inlineStr">
        <x:is>
          <x:t xml:space="preserve">Review — no exact prior-grantee match</x:t>
        </x:is>
      </x:c>
      <x:c r="X496" s="520" t="inlineStr">
        <x:is>
          <x:t xml:space="preserve">Review</x:t>
        </x:is>
      </x:c>
      <x:c r="Y496" s="520" t="inlineStr">
        <x:is>
          <x:t xml:space="preserve">Interest amount needs review</x:t>
        </x:is>
      </x:c>
      <x:c r="Z496" s="520" t="inlineStr">
        <x:is>
          <x:t xml:space="preserve">Review</x:t>
        </x:is>
      </x:c>
      <x:c r="AA496" s="520" t="inlineStr">
        <x:is>
          <x:t xml:space="preserve">Memorandum of JOA Operator and D — (i) EnerVest Operating, LLC (" to The Public (2399/188)</x:t>
        </x:is>
      </x:c>
      <x:c r="AB496" s="520" t="inlineStr">
        <x:is>
          <x:t xml:space="preserve">Needs source review: grantor source</x:t>
        </x:is>
      </x:c>
    </x:row>
    <x:row r="497" s="520" customFormat="1" ht="120" customHeight="1">
      <x:c r="A497" s="519" t="inlineStr">
        <x:is>
          <x:t xml:space="preserve">2018-002650</x:t>
        </x:is>
      </x:c>
      <x:c r="B497" s="536" t="n"/>
      <x:c r="C497" s="536" t="inlineStr">
        <x:is>
          <x:t xml:space="preserve">Quit Claim Mineral Deed</x:t>
        </x:is>
      </x:c>
      <x:c r="D497" s="536" t="inlineStr">
        <x:is>
          <x:t xml:space="preserve">2406/228</x:t>
        </x:is>
      </x:c>
      <x:c r="E497" s="537" t="n">
        <x:v>43363</x:v>
      </x:c>
      <x:c r="F497" s="537" t="n">
        <x:v>43382</x:v>
      </x:c>
      <x:c r="G497" s="538" t="inlineStr">
        <x:is>
          <x:t xml:space="preserve">Cindy Lou Vignal, Trustee under the Luther and Veronica Thurman Living Trust, a Revocable Trust, dated April 17, 2014</x:t>
        </x:is>
      </x:c>
      <x:c r="H497" s="538" t="inlineStr">
        <x:is>
          <x:t xml:space="preserve">Gary Wayne Vignal and Cindy Lou Vignal, Co-Trustees or their successors in Trust under the Gary and Cindy Vignal Living Trust, a Revocable Trust, dated September 20, 2018, and any amendments thereto
11598 N. 1800 Road
Sayre, OK 73662</x:t>
        </x:is>
      </x:c>
      <x:c r="I497" s="538" t="inlineStr">
        <x:is>
          <x:t xml:space="preserve">E/2 NW/4, N/2 NE/4 SW/4, NE/4 SE/4, SE/4 NE/4 of 31-12N-24W, aol</x:t>
        </x:is>
      </x:c>
      <x:c r="J497" s="538" t="inlineStr">
        <x:is>
          <x:t xml:space="preserve">ARTI, an undivided 110/260th in 2 sections</x:t>
        </x:is>
      </x:c>
      <x:c r="K497" s="518" t="e">
        <x:f>HYPERLINK("https://okcountyrecords.com/detail/roger+mills/2018-002650/21458328","OKCountyRecords: 2018-002650")</x:f>
      </x:c>
      <x:c r="L497" s="519" t="inlineStr">
        <x:is>
          <x:t xml:space="preserve">Mineral; basis Conv Amt(dec). Gross=tract-map basis.</x:t>
        </x:is>
      </x:c>
      <x:c r="M497" s="519" t="inlineStr">
        <x:is>
          <x:t xml:space="preserve">Confirm — source conflict</x:t>
        </x:is>
      </x:c>
      <x:c r="N497" s="519" t="inlineStr">
        <x:is>
          <x:t xml:space="preserve">User cited Bk 2406/0228 for the South 51 M&amp;B legal, but this instrument's recorded legal is ALIQUOT (E/2 NW/4; N/2 NE/4 SW/4; NE/4 SE/4; SE/4 NE/4) — NOT the South 51 acres. South 51 = 2017-000951 / Bk 2365/338 (row 31). Keep 2406/228 on its aliquot Tracts (1,3,4,7,8); do NOT cite for Tract 9. Pull image to confirm.</x:t>
        </x:is>
      </x:c>
      <x:c r="O497" s="519" t="inlineStr">
        <x:is>
          <x:t xml:space="preserve">OUTSIDE LANDS</x:t>
        </x:is>
      </x:c>
      <x:c r="P497" s="520" t="inlineStr">
        <x:is>
          <x:t xml:space="preserve">Chain — minerals</x:t>
        </x:is>
      </x:c>
      <x:c r="Q497" s="520" t="inlineStr">
        <x:is>
          <x:t xml:space="preserve">Yes</x:t>
        </x:is>
      </x:c>
      <x:c r="R497" s="520" t="inlineStr">
        <x:is>
          <x:t xml:space="preserve">No</x:t>
        </x:is>
      </x:c>
      <x:c r="S497" s="520" t="inlineStr">
        <x:is>
          <x:t xml:space="preserve">Yes</x:t>
        </x:is>
      </x:c>
      <x:c r="T497" s="520" t="inlineStr">
        <x:is>
          <x:t xml:space="preserve">No</x:t>
        </x:is>
      </x:c>
      <x:c r="U497" s="520" t="inlineStr">
        <x:is>
          <x:t xml:space="preserve">Legal maps to 1, 3, 4, 7, 10; helper says 1, 3, 4, 7, 8</x:t>
        </x:is>
      </x:c>
      <x:c r="V497" s="520" t="inlineStr">
        <x:is>
          <x:t xml:space="preserve">Review</x:t>
        </x:is>
      </x:c>
      <x:c r="W497" s="520" t="inlineStr">
        <x:is>
          <x:t xml:space="preserve">Review — no exact prior-grantee match</x:t>
        </x:is>
      </x:c>
      <x:c r="X497" s="520" t="inlineStr">
        <x:is>
          <x:t xml:space="preserve">Review</x:t>
        </x:is>
      </x:c>
      <x:c r="Y497" s="520" t="inlineStr">
        <x:is>
          <x:t xml:space="preserve">Candidate 1 (helper — confirm from image)</x:t>
        </x:is>
      </x:c>
      <x:c r="Z497" s="520" t="inlineStr">
        <x:is>
          <x:t xml:space="preserve">Medium — helper value</x:t>
        </x:is>
      </x:c>
      <x:c r="AA497" s="520" t="inlineStr">
        <x:is>
          <x:t xml:space="preserve">Quit Claim Mineral Deed — Cindy Lou Vignal, Trustee unde to Gary Wayne Vignal and Cindy Lo (2406/228)</x:t>
        </x:is>
      </x:c>
      <x:c r="AB497" s="520" t="inlineStr">
        <x:is>
          <x:t xml:space="preserve">Needs source review: tract, grantor source</x:t>
        </x:is>
      </x:c>
    </x:row>
    <x:row r="498" s="520" customFormat="1" ht="48" customHeight="1">
      <x:c r="A498" s="519" t="inlineStr">
        <x:is>
          <x:t xml:space="preserve">2019-001747</x:t>
        </x:is>
      </x:c>
      <x:c r="B498" s="536" t="n"/>
      <x:c r="C498" s="536" t="inlineStr">
        <x:is>
          <x:t xml:space="preserve">Mineral Deed</x:t>
        </x:is>
      </x:c>
      <x:c r="D498" s="536" t="inlineStr">
        <x:is>
          <x:t xml:space="preserve">2425/225</x:t>
        </x:is>
      </x:c>
      <x:c r="E498" s="537" t="n">
        <x:v>43423</x:v>
      </x:c>
      <x:c r="F498" s="537" t="n">
        <x:v>43693</x:v>
      </x:c>
      <x:c r="G498" s="538" t="inlineStr">
        <x:is>
          <x:t xml:space="preserve">Jonathan E. Jensen</x:t>
        </x:is>
      </x:c>
      <x:c r="H498" s="538" t="inlineStr">
        <x:is>
          <x:t xml:space="preserve">Gregory J. Winneke</x:t>
        </x:is>
      </x:c>
      <x:c r="I498" s="538" t="inlineStr">
        <x:is>
          <x:t xml:space="preserve">NW/4 SE/4, S/2 SE/4, SW/4 NE/4 of 31-12N-24W, aol</x:t>
        </x:is>
      </x:c>
      <x:c r="J498" s="538" t="inlineStr">
        <x:is>
          <x:t xml:space="preserve">ARTI</x:t>
        </x:is>
      </x:c>
      <x:c r="K498" s="518" t="e">
        <x:f>HYPERLINK("https://okcountyrecords.com/detail/roger+mills/2019-001747","OKCountyRecords: 2019-001747")</x:f>
      </x:c>
      <x:c r="L498" s="519" t="inlineStr">
        <x:is>
          <x:t xml:space="preserve">Mineral; basis Conv Amt(dec). Gross=tract-map basis.</x:t>
        </x:is>
      </x:c>
      <x:c r="M498" s="519" t="inlineStr">
        <x:is>
          <x:t xml:space="preserve">CURRENT OWNER SOURCE</x:t>
        </x:is>
      </x:c>
      <x:c r="N498" s="519" t="n"/>
      <x:c r="O498" s="519" t="inlineStr">
        <x:is>
          <x:t xml:space="preserve">OUTSIDE LANDS</x:t>
        </x:is>
      </x:c>
      <x:c r="P498" s="520" t="inlineStr">
        <x:is>
          <x:t xml:space="preserve">Chain — minerals</x:t>
        </x:is>
      </x:c>
      <x:c r="Q498" s="520" t="inlineStr">
        <x:is>
          <x:t xml:space="preserve">Yes</x:t>
        </x:is>
      </x:c>
      <x:c r="R498" s="520" t="inlineStr">
        <x:is>
          <x:t xml:space="preserve">No</x:t>
        </x:is>
      </x:c>
      <x:c r="S498" s="520" t="inlineStr">
        <x:is>
          <x:t xml:space="preserve">Yes</x:t>
        </x:is>
      </x:c>
      <x:c r="T498" s="520" t="inlineStr">
        <x:is>
          <x:t xml:space="preserve">No</x:t>
        </x:is>
      </x:c>
      <x:c r="U498" s="520" t="inlineStr">
        <x:is>
          <x:t xml:space="preserve">Yes: 2 (legal supports)</x:t>
        </x:is>
      </x:c>
      <x:c r="V498" s="520" t="inlineStr">
        <x:is>
          <x:t xml:space="preserve">High</x:t>
        </x:is>
      </x:c>
      <x:c r="W498" s="520" t="inlineStr">
        <x:is>
          <x:t xml:space="preserve">Yes — prior grantee match</x:t>
        </x:is>
      </x:c>
      <x:c r="X498" s="520" t="inlineStr">
        <x:is>
          <x:t xml:space="preserve">Yes — on Tract 2 owner list</x:t>
        </x:is>
      </x:c>
      <x:c r="Y498" s="520" t="inlineStr">
        <x:is>
          <x:t xml:space="preserve">Candidate 1 (helper — confirm from image)</x:t>
        </x:is>
      </x:c>
      <x:c r="Z498" s="520" t="inlineStr">
        <x:is>
          <x:t xml:space="preserve">Medium — helper value</x:t>
        </x:is>
      </x:c>
      <x:c r="AA498" s="520" t="inlineStr">
        <x:is>
          <x:t xml:space="preserve">Mineral Deed — Jonathan E. Jensen to Gregory J. Winneke (2425/225)</x:t>
        </x:is>
      </x:c>
    </x:row>
    <x:row r="499" s="520" customFormat="1" ht="60" customHeight="1">
      <x:c r="A499" s="519" t="inlineStr">
        <x:is>
          <x:t xml:space="preserve">2026-002877</x:t>
        </x:is>
      </x:c>
      <x:c r="B499" s="536" t="n"/>
      <x:c r="C499" s="536" t="inlineStr">
        <x:is>
          <x:t xml:space="preserve">Order Allowing Final Account, Determination of Heirs, Distribution and Discharge</x:t>
        </x:is>
      </x:c>
      <x:c r="D499" s="536" t="inlineStr">
        <x:is>
          <x:t xml:space="preserve">2700/395</x:t>
        </x:is>
      </x:c>
      <x:c r="E499" s="537" t="n">
        <x:v>43500</x:v>
      </x:c>
      <x:c r="F499" s="537" t="n">
        <x:v>46160</x:v>
      </x:c>
      <x:c r="G499" s="538" t="inlineStr">
        <x:is>
          <x:t xml:space="preserve">Roger Mills County Court
RE: In the Matter of the Estate of Audy C. Campbella/k/a A.C. CAMPBELL, Deceased</x:t>
        </x:is>
      </x:c>
      <x:c r="H499" s="538" t="inlineStr">
        <x:is>
          <x:t xml:space="preserve">Janis F. Campbell</x:t>
        </x:is>
      </x:c>
      <x:c r="I499" s="538" t="inlineStr">
        <x:is>
          <x:t xml:space="preserve">S/2 of Lot 3, Lot 4, S/2 NE/4 SW/4, SE/4 SW/4 of 31-12N-24W, aol</x:t>
        </x:is>
      </x:c>
      <x:c r="J499" s="538" t="inlineStr">
        <x:is>
          <x:t xml:space="preserve">ARTI, An undivided 10/115 34 interest in and to all of the oil, gas, and other minerals</x:t>
        </x:is>
      </x:c>
      <x:c r="K499" s="518" t="e">
        <x:f>HYPERLINK("https://okcountyrecords.com/detail/roger+mills/2026-002877/35377759","OKCountyRecords: 2026-002877")</x:f>
      </x:c>
      <x:c r="L499" s="519" t="inlineStr">
        <x:is>
          <x:t xml:space="preserve">Mineral; basis Conv Amt(dec). Gross=tract-map basis.</x:t>
        </x:is>
      </x:c>
      <x:c r="M499" s="519" t="inlineStr">
        <x:is>
          <x:t xml:space="preserve">CURRENT OWNER SOURCE</x:t>
        </x:is>
      </x:c>
      <x:c r="N499" s="519" t="n"/>
      <x:c r="O499" s="519" t="inlineStr">
        <x:is>
          <x:t xml:space="preserve">OUTSIDE LANDS</x:t>
        </x:is>
      </x:c>
      <x:c r="P499" s="520" t="inlineStr">
        <x:is>
          <x:t xml:space="preserve">Chain — title support (succession/entity/probate)</x:t>
        </x:is>
      </x:c>
      <x:c r="Q499" s="520" t="inlineStr">
        <x:is>
          <x:t xml:space="preserve">Yes</x:t>
        </x:is>
      </x:c>
      <x:c r="R499" s="520" t="inlineStr">
        <x:is>
          <x:t xml:space="preserve">No</x:t>
        </x:is>
      </x:c>
      <x:c r="S499" s="520" t="inlineStr">
        <x:is>
          <x:t xml:space="preserve">Yes</x:t>
        </x:is>
      </x:c>
      <x:c r="T499" s="520" t="inlineStr">
        <x:is>
          <x:t xml:space="preserve">No</x:t>
        </x:is>
      </x:c>
      <x:c r="U499" s="520" t="inlineStr">
        <x:is>
          <x:t xml:space="preserve">Legal maps to 5, 7, 9; helper says 2, 3, 5, 6, 7</x:t>
        </x:is>
      </x:c>
      <x:c r="V499" s="520" t="inlineStr">
        <x:is>
          <x:t xml:space="preserve">Review</x:t>
        </x:is>
      </x:c>
      <x:c r="W499" s="520" t="inlineStr">
        <x:is>
          <x:t xml:space="preserve">Review — no exact prior-grantee match</x:t>
        </x:is>
      </x:c>
      <x:c r="X499" s="520" t="inlineStr">
        <x:is>
          <x:t xml:space="preserve">Yes — on Tract 3 owner list</x:t>
        </x:is>
      </x:c>
      <x:c r="Y499" s="520" t="inlineStr">
        <x:is>
          <x:t xml:space="preserve">Candidate 1 (helper — confirm from image)</x:t>
        </x:is>
      </x:c>
      <x:c r="Z499" s="520" t="inlineStr">
        <x:is>
          <x:t xml:space="preserve">Medium — helper value</x:t>
        </x:is>
      </x:c>
      <x:c r="AA499" s="520" t="inlineStr">
        <x:is>
          <x:t xml:space="preserve">Order Allowing Final Account, De — Roger Mills County Court to Janis F. Campbell (2700/395)</x:t>
        </x:is>
      </x:c>
      <x:c r="AB499" s="520" t="inlineStr">
        <x:is>
          <x:t xml:space="preserve">Needs source review: tract, grantor source</x:t>
        </x:is>
      </x:c>
    </x:row>
    <x:row r="500" s="520" customFormat="1" ht="48" customHeight="1">
      <x:c r="A500" s="519" t="inlineStr">
        <x:is>
          <x:t xml:space="preserve">2019-001779</x:t>
        </x:is>
      </x:c>
      <x:c r="B500" s="536" t="n">
        <x:v>54</x:v>
      </x:c>
      <x:c r="C500" s="536" t="inlineStr">
        <x:is>
          <x:t xml:space="preserve">Assignment</x:t>
        </x:is>
      </x:c>
      <x:c r="D500" s="536" t="inlineStr">
        <x:is>
          <x:t xml:space="preserve">2425/380</x:t>
        </x:is>
      </x:c>
      <x:c r="E500" s="537" t="n">
        <x:v>43564</x:v>
      </x:c>
      <x:c r="F500" s="537" t="n">
        <x:v>43698</x:v>
      </x:c>
      <x:c r="G500" s="538" t="inlineStr">
        <x:is>
          <x:t xml:space="preserve">Bhp Billiton Petroleum</x:t>
        </x:is>
      </x:c>
      <x:c r="H500" s="538" t="inlineStr">
        <x:is>
          <x:t xml:space="preserve">Cohete Rojo, LLC</x:t>
        </x:is>
      </x:c>
      <x:c r="I500" s="538" t="inlineStr">
        <x:is>
          <x:t xml:space="preserve">E/2 NW/4 of 31-12N-24W</x:t>
        </x:is>
      </x:c>
      <x:c r="J500" s="538" t="inlineStr">
        <x:is>
          <x:t xml:space="preserve">ARTI in 786/270</x:t>
        </x:is>
      </x:c>
      <x:c r="K500" s="518" t="e">
        <x:f>HYPERLINK("https://okcountyrecords.com/detail/roger+mills/2019-001779","63e8b9a8d056433a9994fe46ca85076b.pdf | OKCountyRecords: 2019-001779")</x:f>
      </x:c>
      <x:c r="L500" s="519" t="inlineStr">
        <x:is>
          <x:t xml:space="preserve">Mineral; amount not stated — confirm from instrument. Gross=tract-map basis.</x:t>
        </x:is>
      </x:c>
      <x:c r="M500" s="519" t="inlineStr">
        <x:is>
          <x:t xml:space="preserve">CURRENT OWNER SOURCE</x:t>
        </x:is>
      </x:c>
      <x:c r="N500" s="519" t="n"/>
      <x:c r="O500" s="519" t="inlineStr">
        <x:is>
          <x:t xml:space="preserve">MINERAL DEED</x:t>
        </x:is>
      </x:c>
      <x:c r="P500" s="520" t="inlineStr">
        <x:is>
          <x:t xml:space="preserve">Chain — assignment (WI or minerals — read granting clause)</x:t>
        </x:is>
      </x:c>
      <x:c r="Q500" s="520" t="inlineStr">
        <x:is>
          <x:t xml:space="preserve">Review</x:t>
        </x:is>
      </x:c>
      <x:c r="R500" s="520" t="inlineStr">
        <x:is>
          <x:t xml:space="preserve">Yes</x:t>
        </x:is>
      </x:c>
      <x:c r="S500" s="520" t="inlineStr">
        <x:is>
          <x:t xml:space="preserve">Review</x:t>
        </x:is>
      </x:c>
      <x:c r="T500" s="520" t="inlineStr">
        <x:is>
          <x:t xml:space="preserve">Yes</x:t>
        </x:is>
      </x:c>
      <x:c r="U500" s="520" t="inlineStr">
        <x:is>
          <x:t xml:space="preserve">Yes: 4 (legal supports)</x:t>
        </x:is>
      </x:c>
      <x:c r="V500" s="520" t="inlineStr">
        <x:is>
          <x:t xml:space="preserve">High</x:t>
        </x:is>
      </x:c>
      <x:c r="W500" s="520" t="inlineStr">
        <x:is>
          <x:t xml:space="preserve">Review — no exact prior-grantee match</x:t>
        </x:is>
      </x:c>
      <x:c r="X500" s="520" t="inlineStr">
        <x:is>
          <x:t xml:space="preserve">Review</x:t>
        </x:is>
      </x:c>
      <x:c r="Y500" s="520" t="inlineStr">
        <x:is>
          <x:t xml:space="preserve">Interest amount needs review</x:t>
        </x:is>
      </x:c>
      <x:c r="Z500" s="520" t="inlineStr">
        <x:is>
          <x:t xml:space="preserve">Review</x:t>
        </x:is>
      </x:c>
      <x:c r="AA500" s="520" t="inlineStr">
        <x:is>
          <x:t xml:space="preserve">Assignment — Bhp Billiton Petroleum to Cohete Rojo, LLC (2425/380)</x:t>
        </x:is>
      </x:c>
      <x:c r="AB500" s="520" t="inlineStr">
        <x:is>
          <x:t xml:space="preserve">Needs source review: grantor source, interest amount</x:t>
        </x:is>
      </x:c>
    </x:row>
    <x:row r="501" s="520" customFormat="1" ht="60" customHeight="1">
      <x:c r="A501" s="519" t="inlineStr">
        <x:is>
          <x:t xml:space="preserve">2019-001855</x:t>
        </x:is>
      </x:c>
      <x:c r="B501" s="536" t="n"/>
      <x:c r="C501" s="536" t="inlineStr">
        <x:is>
          <x:t xml:space="preserve">Mineral Deed, Assignment, Conveyance and Bill of Sale</x:t>
        </x:is>
      </x:c>
      <x:c r="D501" s="536" t="inlineStr">
        <x:is>
          <x:t xml:space="preserve">2426/154</x:t>
        </x:is>
      </x:c>
      <x:c r="E501" s="537" t="n">
        <x:v>43739</x:v>
      </x:c>
      <x:c r="F501" s="537" t="n">
        <x:v>43711</x:v>
      </x:c>
      <x:c r="G501" s="538" t="inlineStr">
        <x:is>
          <x:t xml:space="preserve">Colt Development, LLC,
Roca Development, LLC</x:t>
        </x:is>
      </x:c>
      <x:c r="H501" s="538" t="inlineStr">
        <x:is>
          <x:t xml:space="preserve">Dustin Deal, LLC
11182 N. 2030 Rd.
Elk City, OK 73644</x:t>
        </x:is>
      </x:c>
      <x:c r="I501" s="538" t="inlineStr">
        <x:is>
          <x:t xml:space="preserve">E/2 NW/4 of 31-12N-24W</x:t>
        </x:is>
      </x:c>
      <x:c r="J501" s="538" t="inlineStr">
        <x:is>
          <x:t xml:space="preserve">ARTI</x:t>
        </x:is>
      </x:c>
      <x:c r="K501" s="518" t="e">
        <x:f>HYPERLINK("https://okcountyrecords.com/detail/roger+mills/2019-001855/22296278","OKCountyRecords: 2019-001855")</x:f>
      </x:c>
      <x:c r="L501" s="519" t="inlineStr">
        <x:is>
          <x:t xml:space="preserve">Mineral; basis Conv Amt(dec). Gross=tract-map basis.</x:t>
        </x:is>
      </x:c>
      <x:c r="M501" s="519" t="inlineStr">
        <x:is>
          <x:t xml:space="preserve">CURRENT OWNER SOURCE</x:t>
        </x:is>
      </x:c>
      <x:c r="N501" s="519" t="n"/>
      <x:c r="O501" s="519" t="inlineStr">
        <x:is>
          <x:t xml:space="preserve">MINERAL DEED</x:t>
        </x:is>
      </x:c>
      <x:c r="P501" s="520" t="inlineStr">
        <x:is>
          <x:t xml:space="preserve">Chain — WI/leasehold assignment</x:t>
        </x:is>
      </x:c>
      <x:c r="Q501" s="520" t="inlineStr">
        <x:is>
          <x:t xml:space="preserve">No</x:t>
        </x:is>
      </x:c>
      <x:c r="R501" s="520" t="inlineStr">
        <x:is>
          <x:t xml:space="preserve">Yes</x:t>
        </x:is>
      </x:c>
      <x:c r="S501" s="520" t="inlineStr">
        <x:is>
          <x:t xml:space="preserve">Review</x:t>
        </x:is>
      </x:c>
      <x:c r="T501" s="520" t="inlineStr">
        <x:is>
          <x:t xml:space="preserve">Yes</x:t>
        </x:is>
      </x:c>
      <x:c r="U501" s="520" t="inlineStr">
        <x:is>
          <x:t xml:space="preserve">Yes: 4 (legal supports)</x:t>
        </x:is>
      </x:c>
      <x:c r="V501" s="520" t="inlineStr">
        <x:is>
          <x:t xml:space="preserve">High</x:t>
        </x:is>
      </x:c>
      <x:c r="W501" s="520" t="inlineStr">
        <x:is>
          <x:t xml:space="preserve">Review — no exact prior-grantee match</x:t>
        </x:is>
      </x:c>
      <x:c r="X501" s="520" t="inlineStr">
        <x:is>
          <x:t xml:space="preserve">Yes — on Tract 4 owner list</x:t>
        </x:is>
      </x:c>
      <x:c r="Y501" s="520" t="inlineStr">
        <x:is>
          <x:t xml:space="preserve">Candidate 1 (helper — confirm from image)</x:t>
        </x:is>
      </x:c>
      <x:c r="Z501" s="520" t="inlineStr">
        <x:is>
          <x:t xml:space="preserve">Medium — helper value</x:t>
        </x:is>
      </x:c>
      <x:c r="AA501" s="520" t="inlineStr">
        <x:is>
          <x:t xml:space="preserve">Mineral Deed, Assignment, Convey — Colt Development, LLC, to Dustin Deal, LLC (2426/154)</x:t>
        </x:is>
      </x:c>
      <x:c r="AB501" s="520" t="inlineStr">
        <x:is>
          <x:t xml:space="preserve">Needs source review: grantor source</x:t>
        </x:is>
      </x:c>
    </x:row>
    <x:row r="502" s="520" customFormat="1" ht="144" customHeight="1">
      <x:c r="A502" s="519" t="inlineStr">
        <x:is>
          <x:t xml:space="preserve">2020-001283</x:t>
        </x:is>
      </x:c>
      <x:c r="B502" s="536" t="n">
        <x:v>56</x:v>
      </x:c>
      <x:c r="C502" s="536" t="inlineStr">
        <x:is>
          <x:t xml:space="preserve">Assignment</x:t>
        </x:is>
      </x:c>
      <x:c r="D502" s="536" t="inlineStr">
        <x:is>
          <x:t xml:space="preserve">2449/333</x:t>
        </x:is>
      </x:c>
      <x:c r="E502" s="537" t="n">
        <x:v>43831</x:v>
      </x:c>
      <x:c r="F502" s="537" t="n">
        <x:v>44060</x:v>
      </x:c>
      <x:c r="G502" s="538" t="inlineStr">
        <x:is>
          <x:t xml:space="preserve">TE Holdcorp, LLC, a Delaware limited liability company,
TE Holdings, LLC, a Delaware limited liability
company, TE Holdings II, LLC, a Delaware limited liability company,
Templar Energy, LLC, a
Delaware limited liability company,
Templar Operating, LLC, an Oklahoma limited liability
company,
Templar Midstream, LLC, an Oklahoma limited liability company</x:t>
        </x:is>
      </x:c>
      <x:c r="H502" s="538" t="inlineStr">
        <x:is>
          <x:t xml:space="preserve">Presidio Wab, LLC</x:t>
        </x:is>
      </x:c>
      <x:c r="I502" s="538" t="inlineStr">
        <x:is>
          <x:t xml:space="preserve">All of 31-12N-24W, aol</x:t>
        </x:is>
      </x:c>
      <x:c r="J502" s="538" t="inlineStr">
        <x:is>
          <x:t xml:space="preserve">ARTI</x:t>
        </x:is>
      </x:c>
      <x:c r="K502" s="518" t="e">
        <x:f>HYPERLINK("https://okcountyrecords.com/detail/roger+mills/2020-001283","63e8b9a8d056433a9994fe46ca85076b.pdf | OKCountyRecords: 2020-001283")</x:f>
      </x:c>
      <x:c r="L502" s="519" t="inlineStr">
        <x:is>
          <x:t xml:space="preserve">Leasehold (non-mineral; excluded from mineral NMA). All-section coverage. Gross=tract-map basis.</x:t>
        </x:is>
      </x:c>
      <x:c r="M502" s="519" t="inlineStr">
        <x:is>
          <x:t xml:space="preserve">CURRENT LEASE SOURCE</x:t>
        </x:is>
      </x:c>
      <x:c r="N502" s="519" t="n"/>
      <x:c r="O502" s="519" t="inlineStr">
        <x:is>
          <x:t xml:space="preserve">OUTSIDE LANDS</x:t>
        </x:is>
      </x:c>
      <x:c r="P502" s="520" t="inlineStr">
        <x:is>
          <x:t xml:space="preserve">Chain — assignment (WI or minerals — read granting clause)</x:t>
        </x:is>
      </x:c>
      <x:c r="Q502" s="520" t="inlineStr">
        <x:is>
          <x:t xml:space="preserve">Review</x:t>
        </x:is>
      </x:c>
      <x:c r="R502" s="520" t="inlineStr">
        <x:is>
          <x:t xml:space="preserve">Yes</x:t>
        </x:is>
      </x:c>
      <x:c r="S502" s="520" t="inlineStr">
        <x:is>
          <x:t xml:space="preserve">Review</x:t>
        </x:is>
      </x:c>
      <x:c r="T502" s="520" t="inlineStr">
        <x:is>
          <x:t xml:space="preserve">Yes</x:t>
        </x:is>
      </x:c>
      <x:c r="U502" s="520" t="inlineStr">
        <x:is>
          <x:t xml:space="preserve">Yes: 1, 8 (broad legal)</x:t>
        </x:is>
      </x:c>
      <x:c r="V502" s="520" t="inlineStr">
        <x:is>
          <x:t xml:space="preserve">Medium</x:t>
        </x:is>
      </x:c>
      <x:c r="W502" s="520" t="inlineStr">
        <x:is>
          <x:t xml:space="preserve">Review — no exact prior-grantee match</x:t>
        </x:is>
      </x:c>
      <x:c r="X502" s="520" t="inlineStr">
        <x:is>
          <x:t xml:space="preserve">Review</x:t>
        </x:is>
      </x:c>
      <x:c r="Y502" s="520" t="inlineStr">
        <x:is>
          <x:t xml:space="preserve">Interest amount needs review</x:t>
        </x:is>
      </x:c>
      <x:c r="Z502" s="520" t="inlineStr">
        <x:is>
          <x:t xml:space="preserve">Review</x:t>
        </x:is>
      </x:c>
      <x:c r="AA502" s="520" t="inlineStr">
        <x:is>
          <x:t xml:space="preserve">Assignment — TE Holdcorp, LLC, a Delaware l to Presidio Wab, LLC (2449/333)</x:t>
        </x:is>
      </x:c>
      <x:c r="AB502" s="520" t="inlineStr">
        <x:is>
          <x:t xml:space="preserve">Needs source review: grantor source, interest amount</x:t>
        </x:is>
      </x:c>
    </x:row>
    <x:row r="503" s="520" customFormat="1" ht="60" customHeight="1">
      <x:c r="A503" s="519" t="inlineStr">
        <x:is>
          <x:t xml:space="preserve">2021-001486</x:t>
        </x:is>
      </x:c>
      <x:c r="B503" s="536" t="n"/>
      <x:c r="C503" s="536" t="inlineStr">
        <x:is>
          <x:t xml:space="preserve">Second Correction to Assignment, Conveyance and Bill of Sale</x:t>
        </x:is>
      </x:c>
      <x:c r="D503" s="536" t="inlineStr">
        <x:is>
          <x:t xml:space="preserve">2473/1</x:t>
        </x:is>
      </x:c>
      <x:c r="E503" s="537" t="n">
        <x:v>44044</x:v>
      </x:c>
      <x:c r="F503" s="537" t="n">
        <x:v>44449</x:v>
      </x:c>
      <x:c r="G503" s="538" t="inlineStr">
        <x:is>
          <x:t xml:space="preserve">Blackbeard Operating, LLC,
Tecolote Holdings, LLC,
Tecolote Royalty, L.P.</x:t>
        </x:is>
      </x:c>
      <x:c r="H503" s="538" t="inlineStr">
        <x:is>
          <x:t xml:space="preserve">Mustang Fuel Corporation</x:t>
        </x:is>
      </x:c>
      <x:c r="I503" s="538" t="inlineStr">
        <x:is>
          <x:t xml:space="preserve">All of 31-12N-24W, aol</x:t>
        </x:is>
      </x:c>
      <x:c r="J503" s="538" t="inlineStr">
        <x:is>
          <x:t xml:space="preserve">Correction to Assignment, Conveyance and Bill of Sale, effective August 1, 2020, and recorded in Book 2454 at Page 234</x:t>
        </x:is>
      </x:c>
      <x:c r="K503" s="518" t="e">
        <x:f>HYPERLINK("https://okcountyrecords.com/detail/roger+mills/2021-001486","OKCountyRecords: 2021-001486")</x:f>
      </x:c>
      <x:c r="L503" s="519" t="inlineStr">
        <x:is>
          <x:t xml:space="preserve">Mineral; confirm conveyed amount from instrument image. All-section coverage. Gross=tract-map basis.</x:t>
        </x:is>
      </x:c>
      <x:c r="M503" s="519" t="inlineStr">
        <x:is>
          <x:t xml:space="preserve">REVIEW</x:t>
        </x:is>
      </x:c>
      <x:c r="N503" s="519" t="inlineStr">
        <x:is>
          <x:t xml:space="preserve">Confirm whether row conveys mineral interest</x:t>
        </x:is>
      </x:c>
      <x:c r="O503" s="519" t="inlineStr">
        <x:is>
          <x:t xml:space="preserve">OUTSIDE LANDS</x:t>
        </x:is>
      </x:c>
      <x:c r="P503" s="520" t="inlineStr">
        <x:is>
          <x:t xml:space="preserve">Chain — WI/leasehold assignment</x:t>
        </x:is>
      </x:c>
      <x:c r="Q503" s="520" t="inlineStr">
        <x:is>
          <x:t xml:space="preserve">No</x:t>
        </x:is>
      </x:c>
      <x:c r="R503" s="520" t="inlineStr">
        <x:is>
          <x:t xml:space="preserve">Yes</x:t>
        </x:is>
      </x:c>
      <x:c r="S503" s="520" t="inlineStr">
        <x:is>
          <x:t xml:space="preserve">Review</x:t>
        </x:is>
      </x:c>
      <x:c r="T503" s="520" t="inlineStr">
        <x:is>
          <x:t xml:space="preserve">Yes</x:t>
        </x:is>
      </x:c>
      <x:c r="U503" s="520" t="inlineStr">
        <x:is>
          <x:t xml:space="preserve">Yes: 1, 8 (broad legal)</x:t>
        </x:is>
      </x:c>
      <x:c r="V503" s="520" t="inlineStr">
        <x:is>
          <x:t xml:space="preserve">Medium</x:t>
        </x:is>
      </x:c>
      <x:c r="W503" s="520" t="inlineStr">
        <x:is>
          <x:t xml:space="preserve">Review — no exact prior-grantee match</x:t>
        </x:is>
      </x:c>
      <x:c r="X503" s="520" t="inlineStr">
        <x:is>
          <x:t xml:space="preserve">Review</x:t>
        </x:is>
      </x:c>
      <x:c r="Y503" s="520" t="inlineStr">
        <x:is>
          <x:t xml:space="preserve">Interest amount needs review</x:t>
        </x:is>
      </x:c>
      <x:c r="Z503" s="520" t="inlineStr">
        <x:is>
          <x:t xml:space="preserve">Review</x:t>
        </x:is>
      </x:c>
      <x:c r="AA503" s="520" t="inlineStr">
        <x:is>
          <x:t xml:space="preserve">Second Correction to Assignment, — Blackbeard Operating, LLC, to Mustang Fuel Corporation (2473/1)</x:t>
        </x:is>
      </x:c>
      <x:c r="AB503" s="520" t="inlineStr">
        <x:is>
          <x:t xml:space="preserve">Needs source review: grantor source, interest amount</x:t>
        </x:is>
      </x:c>
    </x:row>
    <x:row r="504" s="520" customFormat="1" ht="60" customHeight="1">
      <x:c r="A504" s="519" t="inlineStr">
        <x:is>
          <x:t xml:space="preserve">2020-001279</x:t>
        </x:is>
      </x:c>
      <x:c r="B504" s="536" t="n"/>
      <x:c r="C504" s="536" t="inlineStr">
        <x:is>
          <x:t xml:space="preserve">Affidavit</x:t>
        </x:is>
      </x:c>
      <x:c r="D504" s="536" t="inlineStr">
        <x:is>
          <x:t xml:space="preserve">2447/81</x:t>
        </x:is>
      </x:c>
      <x:c r="E504" s="537" t="n">
        <x:v>44050</x:v>
      </x:c>
      <x:c r="F504" s="537" t="n">
        <x:v>44060</x:v>
      </x:c>
      <x:c r="G504" s="538" t="inlineStr">
        <x:is>
          <x:t xml:space="preserve">Brett Barnes, Manager, General Counsel and Vice President, Land, of Presidio Investment Holdings, LLC, Manager of Presidio Wab, LLC</x:t>
        </x:is>
      </x:c>
      <x:c r="H504" s="538" t="inlineStr">
        <x:is>
          <x:t xml:space="preserve">The Public</x:t>
        </x:is>
      </x:c>
      <x:c r="I504" s="538" t="inlineStr">
        <x:is>
          <x:t xml:space="preserve">All of 31-12N-24W, aol</x:t>
        </x:is>
      </x:c>
      <x:c r="J504" s="538" t="inlineStr">
        <x:is>
          <x:t xml:space="preserve">Certain assets, including those described on attached Exhibit "B" (the "Assets") were owned by Templar Energy, LLC, TE Holdcorp, LLC, TE Holdings, LLC, TE Holdings II, LLC Templar Operating, LLC, Templar Midstream, LLC and TE Holdings Management, LLC (collectively, "Templar"). … Full recital in recorded instrument — see Link.</x:t>
        </x:is>
      </x:c>
      <x:c r="K504" s="518" t="e">
        <x:f>HYPERLINK("https://okcountyrecords.com/detail/roger+mills/2020-001279","OKCountyRecords: 2020-001279")</x:f>
      </x:c>
      <x:c r="L504" s="519" t="inlineStr">
        <x:is>
          <x:t xml:space="preserve">Other (non-mineral; excluded from mineral NMA). All-section coverage. Gross=tract-map basis.</x:t>
        </x:is>
      </x:c>
      <x:c r="M504" s="519" t="inlineStr">
        <x:is>
          <x:t xml:space="preserve">OK</x:t>
        </x:is>
      </x:c>
      <x:c r="N504" s="519" t="inlineStr">
        <x:is>
          <x:t xml:space="preserve">Non-conveying — notice/affidavit/address change (The Public).</x:t>
        </x:is>
      </x:c>
      <x:c r="O504" s="519" t="inlineStr">
        <x:is>
          <x:t xml:space="preserve">OUTSIDE LANDS</x:t>
        </x:is>
      </x:c>
      <x:c r="P504" s="520" t="inlineStr">
        <x:is>
          <x:t xml:space="preserve">Chain — title support (succession/entity/probate)</x:t>
        </x:is>
      </x:c>
      <x:c r="Q504" s="520" t="inlineStr">
        <x:is>
          <x:t xml:space="preserve">Yes</x:t>
        </x:is>
      </x:c>
      <x:c r="R504" s="520" t="inlineStr">
        <x:is>
          <x:t xml:space="preserve">No</x:t>
        </x:is>
      </x:c>
      <x:c r="S504" s="520" t="inlineStr">
        <x:is>
          <x:t xml:space="preserve">Yes</x:t>
        </x:is>
      </x:c>
      <x:c r="T504" s="520" t="inlineStr">
        <x:is>
          <x:t xml:space="preserve">No</x:t>
        </x:is>
      </x:c>
      <x:c r="U504" s="520" t="inlineStr">
        <x:is>
          <x:t xml:space="preserve">Yes: 1, 8 (broad legal)</x:t>
        </x:is>
      </x:c>
      <x:c r="V504" s="520" t="inlineStr">
        <x:is>
          <x:t xml:space="preserve">Medium</x:t>
        </x:is>
      </x:c>
      <x:c r="W504" s="520" t="inlineStr">
        <x:is>
          <x:t xml:space="preserve">Probable — name-normalized match to Runsheet 502 grantee; confirm</x:t>
        </x:is>
      </x:c>
      <x:c r="X504" s="520" t="inlineStr">
        <x:is>
          <x:t xml:space="preserve">Review</x:t>
        </x:is>
      </x:c>
      <x:c r="Y504" s="520" t="inlineStr">
        <x:is>
          <x:t xml:space="preserve">Candidate 0 (helper — confirm from image)</x:t>
        </x:is>
      </x:c>
      <x:c r="Z504" s="520" t="inlineStr">
        <x:is>
          <x:t xml:space="preserve">Medium — helper value</x:t>
        </x:is>
      </x:c>
      <x:c r="AA504" s="520" t="inlineStr">
        <x:is>
          <x:t xml:space="preserve">Affidavit — Brett Barnes, Manager, General to The Public (2447/81)</x:t>
        </x:is>
      </x:c>
      <x:c r="AB504" s="520" t="inlineStr">
        <x:is>
          <x:t xml:space="preserve">Needs source review: grantor source</x:t>
        </x:is>
      </x:c>
    </x:row>
    <x:row r="505" s="520" customFormat="1" ht="48" customHeight="1">
      <x:c r="A505" s="519" t="inlineStr">
        <x:is>
          <x:t xml:space="preserve">2020-001374</x:t>
        </x:is>
      </x:c>
      <x:c r="B505" s="536" t="n"/>
      <x:c r="C505" s="536" t="inlineStr">
        <x:is>
          <x:t xml:space="preserve">Quit Claim Mineral Deed</x:t>
        </x:is>
      </x:c>
      <x:c r="D505" s="536" t="inlineStr">
        <x:is>
          <x:t xml:space="preserve">2450/598</x:t>
        </x:is>
      </x:c>
      <x:c r="E505" s="537" t="n">
        <x:v>44071</x:v>
      </x:c>
      <x:c r="F505" s="537" t="n">
        <x:v>44076</x:v>
      </x:c>
      <x:c r="G505" s="538" t="inlineStr">
        <x:is>
          <x:t xml:space="preserve">Janis Fern Campbell</x:t>
        </x:is>
      </x:c>
      <x:c r="H505" s="538" t="inlineStr">
        <x:is>
          <x:t xml:space="preserve">The Audy and Janis Campbell Family Trust</x:t>
        </x:is>
      </x:c>
      <x:c r="I505" s="538" t="inlineStr">
        <x:is>
          <x:t xml:space="preserve">S/2 NE/4 SW/4, S/2 of Lot 3, Lot 4, SE/4 SW/4 of 31-12N-24W, aol</x:t>
        </x:is>
      </x:c>
      <x:c r="J505" s="538" t="inlineStr">
        <x:is>
          <x:t xml:space="preserve">ARTI</x:t>
        </x:is>
      </x:c>
      <x:c r="K505" s="518" t="e">
        <x:f>HYPERLINK("https://okcountyrecords.com/detail/roger+mills/2020-001374","OKCountyRecords: 2020-001374")</x:f>
      </x:c>
      <x:c r="L505" s="519" t="inlineStr">
        <x:is>
          <x:t xml:space="preserve">Mineral; basis Conv Amt(dec). Gross=tract-map basis.</x:t>
        </x:is>
      </x:c>
      <x:c r="M505" s="519" t="inlineStr">
        <x:is>
          <x:t xml:space="preserve">CURRENT OWNER SOURCE</x:t>
        </x:is>
      </x:c>
      <x:c r="N505" s="519" t="n"/>
      <x:c r="O505" s="519" t="inlineStr">
        <x:is>
          <x:t xml:space="preserve">OUTSIDE LANDS</x:t>
        </x:is>
      </x:c>
      <x:c r="P505" s="520" t="inlineStr">
        <x:is>
          <x:t xml:space="preserve">Chain — minerals</x:t>
        </x:is>
      </x:c>
      <x:c r="Q505" s="520" t="inlineStr">
        <x:is>
          <x:t xml:space="preserve">Yes</x:t>
        </x:is>
      </x:c>
      <x:c r="R505" s="520" t="inlineStr">
        <x:is>
          <x:t xml:space="preserve">No</x:t>
        </x:is>
      </x:c>
      <x:c r="S505" s="520" t="inlineStr">
        <x:is>
          <x:t xml:space="preserve">Yes</x:t>
        </x:is>
      </x:c>
      <x:c r="T505" s="520" t="inlineStr">
        <x:is>
          <x:t xml:space="preserve">No</x:t>
        </x:is>
      </x:c>
      <x:c r="U505" s="520" t="inlineStr">
        <x:is>
          <x:t xml:space="preserve">Legal maps to 5, 7, 9; helper says 2, 3, 5, 6, 7</x:t>
        </x:is>
      </x:c>
      <x:c r="V505" s="520" t="inlineStr">
        <x:is>
          <x:t xml:space="preserve">Review</x:t>
        </x:is>
      </x:c>
      <x:c r="W505" s="520" t="inlineStr">
        <x:is>
          <x:t xml:space="preserve">Probable — name-normalized match to Runsheet 499 grantee; confirm</x:t>
        </x:is>
      </x:c>
      <x:c r="X505" s="520" t="inlineStr">
        <x:is>
          <x:t xml:space="preserve">Yes — on Tract 3 owner list</x:t>
        </x:is>
      </x:c>
      <x:c r="Y505" s="520" t="inlineStr">
        <x:is>
          <x:t xml:space="preserve">Candidate 1 (helper — confirm from image)</x:t>
        </x:is>
      </x:c>
      <x:c r="Z505" s="520" t="inlineStr">
        <x:is>
          <x:t xml:space="preserve">Medium — helper value</x:t>
        </x:is>
      </x:c>
      <x:c r="AA505" s="520" t="inlineStr">
        <x:is>
          <x:t xml:space="preserve">Quit Claim Mineral Deed — Janis Fern Campbell to The Audy and Janis Campbell Fa (2450/598)</x:t>
        </x:is>
      </x:c>
      <x:c r="AB505" s="520" t="inlineStr">
        <x:is>
          <x:t xml:space="preserve">Needs source review: tract, grantor source</x:t>
        </x:is>
      </x:c>
    </x:row>
    <x:row r="506" s="520" customFormat="1" ht="48" customHeight="1">
      <x:c r="A506" s="519" t="inlineStr">
        <x:is>
          <x:t xml:space="preserve">2020-001577</x:t>
        </x:is>
      </x:c>
      <x:c r="B506" s="536" t="n">
        <x:v>57</x:v>
      </x:c>
      <x:c r="C506" s="536" t="inlineStr">
        <x:is>
          <x:t xml:space="preserve">Assignment</x:t>
        </x:is>
      </x:c>
      <x:c r="D506" s="536" t="inlineStr">
        <x:is>
          <x:t xml:space="preserve">2452/235</x:t>
        </x:is>
      </x:c>
      <x:c r="E506" s="537" t="n">
        <x:v>44105</x:v>
      </x:c>
      <x:c r="F506" s="537" t="n">
        <x:v>44118</x:v>
      </x:c>
      <x:c r="G506" s="538" t="inlineStr">
        <x:is>
          <x:t xml:space="preserve">Tecolote Holdings, LLC, a Delaware limited liability company,
Tecolote Royalty, LLC, a Delaware limited liability company</x:t>
        </x:is>
      </x:c>
      <x:c r="H506" s="538" t="inlineStr">
        <x:is>
          <x:t xml:space="preserve">Mustang Fuel Corporation</x:t>
        </x:is>
      </x:c>
      <x:c r="I506" s="538" t="inlineStr">
        <x:is>
          <x:t xml:space="preserve">All, E/2 NW/4, N/2 NE/4, NW/4 SE/4 of 31-12N-24W, aol</x:t>
        </x:is>
      </x:c>
      <x:c r="J506" s="538" t="inlineStr">
        <x:is>
          <x:t xml:space="preserve">ARTI</x:t>
        </x:is>
      </x:c>
      <x:c r="K506" s="518" t="e">
        <x:f>HYPERLINK("https://okcountyrecords.com/detail/roger+mills/2020-001577","63e8b9a8d056433a9994fe46ca85076b.pdf | OKCountyRecords: 2020-001577")</x:f>
      </x:c>
      <x:c r="L506" s="519" t="inlineStr">
        <x:is>
          <x:t xml:space="preserve">Leasehold (non-mineral; excluded from mineral NMA). Gross=tract-map basis.</x:t>
        </x:is>
      </x:c>
      <x:c r="M506" s="519" t="inlineStr">
        <x:is>
          <x:t xml:space="preserve">CURRENT LEASE SOURCE</x:t>
        </x:is>
      </x:c>
      <x:c r="N506" s="519" t="n"/>
      <x:c r="O506" s="519" t="inlineStr">
        <x:is>
          <x:t xml:space="preserve">OUTSIDE LANDS</x:t>
        </x:is>
      </x:c>
      <x:c r="P506" s="520" t="inlineStr">
        <x:is>
          <x:t xml:space="preserve">Chain — assignment (WI or minerals — read granting clause)</x:t>
        </x:is>
      </x:c>
      <x:c r="Q506" s="520" t="inlineStr">
        <x:is>
          <x:t xml:space="preserve">Review</x:t>
        </x:is>
      </x:c>
      <x:c r="R506" s="520" t="inlineStr">
        <x:is>
          <x:t xml:space="preserve">Yes</x:t>
        </x:is>
      </x:c>
      <x:c r="S506" s="520" t="inlineStr">
        <x:is>
          <x:t xml:space="preserve">Review</x:t>
        </x:is>
      </x:c>
      <x:c r="T506" s="520" t="inlineStr">
        <x:is>
          <x:t xml:space="preserve">Yes</x:t>
        </x:is>
      </x:c>
      <x:c r="U506" s="520" t="inlineStr">
        <x:is>
          <x:t xml:space="preserve">Yes: 1, 2, 4 (legal supports)</x:t>
        </x:is>
      </x:c>
      <x:c r="V506" s="520" t="inlineStr">
        <x:is>
          <x:t xml:space="preserve">High</x:t>
        </x:is>
      </x:c>
      <x:c r="W506" s="520" t="inlineStr">
        <x:is>
          <x:t xml:space="preserve">Review — no exact prior-grantee match</x:t>
        </x:is>
      </x:c>
      <x:c r="X506" s="520" t="inlineStr">
        <x:is>
          <x:t xml:space="preserve">Review</x:t>
        </x:is>
      </x:c>
      <x:c r="Y506" s="520" t="inlineStr">
        <x:is>
          <x:t xml:space="preserve">Interest amount needs review</x:t>
        </x:is>
      </x:c>
      <x:c r="Z506" s="520" t="inlineStr">
        <x:is>
          <x:t xml:space="preserve">Review</x:t>
        </x:is>
      </x:c>
      <x:c r="AA506" s="520" t="inlineStr">
        <x:is>
          <x:t xml:space="preserve">Assignment — Tecolote Holdings, LLC, a Dela to Mustang Fuel Corporation (2452/235)</x:t>
        </x:is>
      </x:c>
      <x:c r="AB506" s="520" t="inlineStr">
        <x:is>
          <x:t xml:space="preserve">Needs source review: grantor source, interest amount</x:t>
        </x:is>
      </x:c>
    </x:row>
    <x:row r="507" s="520" customFormat="1" ht="60" customHeight="1">
      <x:c r="A507" s="519" t="inlineStr">
        <x:is>
          <x:t xml:space="preserve">2020-001650</x:t>
        </x:is>
      </x:c>
      <x:c r="B507" s="536" t="n"/>
      <x:c r="C507" s="536" t="inlineStr">
        <x:is>
          <x:t xml:space="preserve">Quit Claim Mineral Deed</x:t>
        </x:is>
      </x:c>
      <x:c r="D507" s="536" t="inlineStr">
        <x:is>
          <x:t xml:space="preserve">2453/219</x:t>
        </x:is>
      </x:c>
      <x:c r="E507" s="537" t="n">
        <x:v>44126</x:v>
      </x:c>
      <x:c r="F507" s="537" t="n">
        <x:v>44133</x:v>
      </x:c>
      <x:c r="G507" s="538" t="inlineStr">
        <x:is>
          <x:t xml:space="preserve">Jack B. Searle and Tamara D. Searle, as Joint Tenants and Jack B. Searle,
individually</x:t>
        </x:is>
      </x:c>
      <x:c r="H507" s="538" t="inlineStr">
        <x:is>
          <x:t xml:space="preserve">Gt Mineral Holdings, LLC</x:t>
        </x:is>
      </x:c>
      <x:c r="I507" s="538" t="inlineStr">
        <x:is>
          <x:t xml:space="preserve">NW/4 SE/4, S/2 SE/4, SW/4 NE/4 of 31-12N-24W, aol</x:t>
        </x:is>
      </x:c>
      <x:c r="J507" s="538" t="inlineStr">
        <x:is>
          <x:t xml:space="preserve">ARTI,
It is the intent of Grantor to convey unto Grantee ALL of Grantor's right, title and interest in Roger Mills County, Oklahoma whether or not fully or accurately described herein pursuant to Case #2018DR30013 filed on July 7, 2020 in the District Court ofArchuleta County, Colorado.</x:t>
        </x:is>
      </x:c>
      <x:c r="K507" s="518" t="e">
        <x:f>HYPERLINK("https://okcountyrecords.com/detail/roger+mills/2020-001650","OKCountyRecords: 2020-001650")</x:f>
      </x:c>
      <x:c r="L507" s="519" t="inlineStr">
        <x:is>
          <x:t xml:space="preserve">Mineral; basis Conv Amt(dec). Gross=tract-map basis.</x:t>
        </x:is>
      </x:c>
      <x:c r="M507" s="519" t="n"/>
      <x:c r="N507" s="519" t="n"/>
      <x:c r="O507" s="519" t="inlineStr">
        <x:is>
          <x:t xml:space="preserve">OUTSIDE LANDS</x:t>
        </x:is>
      </x:c>
      <x:c r="P507" s="520" t="inlineStr">
        <x:is>
          <x:t xml:space="preserve">Chain — minerals</x:t>
        </x:is>
      </x:c>
      <x:c r="Q507" s="520" t="inlineStr">
        <x:is>
          <x:t xml:space="preserve">Yes</x:t>
        </x:is>
      </x:c>
      <x:c r="R507" s="520" t="inlineStr">
        <x:is>
          <x:t xml:space="preserve">No</x:t>
        </x:is>
      </x:c>
      <x:c r="S507" s="520" t="inlineStr">
        <x:is>
          <x:t xml:space="preserve">Yes</x:t>
        </x:is>
      </x:c>
      <x:c r="T507" s="520" t="inlineStr">
        <x:is>
          <x:t xml:space="preserve">No</x:t>
        </x:is>
      </x:c>
      <x:c r="U507" s="520" t="inlineStr">
        <x:is>
          <x:t xml:space="preserve">Yes: 2 (legal supports)</x:t>
        </x:is>
      </x:c>
      <x:c r="V507" s="520" t="inlineStr">
        <x:is>
          <x:t xml:space="preserve">High</x:t>
        </x:is>
      </x:c>
      <x:c r="W507" s="520" t="inlineStr">
        <x:is>
          <x:t xml:space="preserve">Review — no exact prior-grantee match</x:t>
        </x:is>
      </x:c>
      <x:c r="X507" s="520" t="inlineStr">
        <x:is>
          <x:t xml:space="preserve">Yes — on Tract 2 owner list</x:t>
        </x:is>
      </x:c>
      <x:c r="Y507" s="520" t="inlineStr">
        <x:is>
          <x:t xml:space="preserve">Candidate 1 (helper — confirm from image)</x:t>
        </x:is>
      </x:c>
      <x:c r="Z507" s="520" t="inlineStr">
        <x:is>
          <x:t xml:space="preserve">Medium — helper value</x:t>
        </x:is>
      </x:c>
      <x:c r="AA507" s="520" t="inlineStr">
        <x:is>
          <x:t xml:space="preserve">Quit Claim Mineral Deed — Jack B. Searle and Tamara D. S to Gt Mineral Holdings, LLC (2453/219)</x:t>
        </x:is>
      </x:c>
      <x:c r="AB507" s="520" t="inlineStr">
        <x:is>
          <x:t xml:space="preserve">Needs source review: grantor source</x:t>
        </x:is>
      </x:c>
    </x:row>
    <x:row r="508" s="520" customFormat="1" ht="48" customHeight="1">
      <x:c r="A508" s="519" t="inlineStr">
        <x:is>
          <x:t xml:space="preserve">2020-001708</x:t>
        </x:is>
      </x:c>
      <x:c r="B508" s="536" t="n">
        <x:v>58</x:v>
      </x:c>
      <x:c r="C508" s="536" t="inlineStr">
        <x:is>
          <x:t xml:space="preserve">Mineral Deed and Assignment</x:t>
        </x:is>
      </x:c>
      <x:c r="D508" s="536" t="inlineStr">
        <x:is>
          <x:t xml:space="preserve">2453/452</x:t>
        </x:is>
      </x:c>
      <x:c r="E508" s="537" t="n">
        <x:v>44136</x:v>
      </x:c>
      <x:c r="F508" s="537" t="n">
        <x:v>44144</x:v>
      </x:c>
      <x:c r="G508" s="538" t="inlineStr">
        <x:is>
          <x:t xml:space="preserve">Payday Holdings, LLC</x:t>
        </x:is>
      </x:c>
      <x:c r="H508" s="538" t="inlineStr">
        <x:is>
          <x:t xml:space="preserve">Andrew Pennington</x:t>
        </x:is>
      </x:c>
      <x:c r="I508" s="538" t="inlineStr">
        <x:is>
          <x:t xml:space="preserve">All of 31-12N-24W, aol</x:t>
        </x:is>
      </x:c>
      <x:c r="J508" s="538" t="inlineStr">
        <x:is>
          <x:t xml:space="preserve">ARTI, all of Grantor's right, title and interest in and to all of the oil, gas and other minerals, royalties, and overrides acquired by Grantors ALEXANDER 1-31</x:t>
        </x:is>
      </x:c>
      <x:c r="K508" s="518" t="e">
        <x:f>HYPERLINK("https://okcountyrecords.com/detail/roger+mills/2020-001708","63e8b9a8d056433a9994fe46ca85076b.pdf | OKCountyRecords: 2020-001708")</x:f>
      </x:c>
      <x:c r="L508" s="519" t="inlineStr">
        <x:is>
          <x:t xml:space="preserve">Mineral; basis Conv Amt(dec). All-section coverage. Gross=tract-map basis.</x:t>
        </x:is>
      </x:c>
      <x:c r="M508" s="519" t="inlineStr">
        <x:is>
          <x:t xml:space="preserve">CURRENT OWNER SOURCE</x:t>
        </x:is>
      </x:c>
      <x:c r="N508" s="519" t="n"/>
      <x:c r="O508" s="519" t="inlineStr">
        <x:is>
          <x:t xml:space="preserve">OUTSIDE LANDS</x:t>
        </x:is>
      </x:c>
      <x:c r="P508" s="520" t="inlineStr">
        <x:is>
          <x:t xml:space="preserve">Chain — minerals</x:t>
        </x:is>
      </x:c>
      <x:c r="Q508" s="520" t="inlineStr">
        <x:is>
          <x:t xml:space="preserve">Yes</x:t>
        </x:is>
      </x:c>
      <x:c r="R508" s="520" t="inlineStr">
        <x:is>
          <x:t xml:space="preserve">No</x:t>
        </x:is>
      </x:c>
      <x:c r="S508" s="520" t="inlineStr">
        <x:is>
          <x:t xml:space="preserve">Yes</x:t>
        </x:is>
      </x:c>
      <x:c r="T508" s="520" t="inlineStr">
        <x:is>
          <x:t xml:space="preserve">No</x:t>
        </x:is>
      </x:c>
      <x:c r="U508" s="520" t="inlineStr">
        <x:is>
          <x:t xml:space="preserve">Yes: 1, 8 (broad legal)</x:t>
        </x:is>
      </x:c>
      <x:c r="V508" s="520" t="inlineStr">
        <x:is>
          <x:t xml:space="preserve">Medium</x:t>
        </x:is>
      </x:c>
      <x:c r="W508" s="520" t="inlineStr">
        <x:is>
          <x:t xml:space="preserve">Review — no exact prior-grantee match</x:t>
        </x:is>
      </x:c>
      <x:c r="X508" s="520" t="inlineStr">
        <x:is>
          <x:t xml:space="preserve">Review</x:t>
        </x:is>
      </x:c>
      <x:c r="Y508" s="520" t="inlineStr">
        <x:is>
          <x:t xml:space="preserve">Candidate 1 (helper — confirm from image)</x:t>
        </x:is>
      </x:c>
      <x:c r="Z508" s="520" t="inlineStr">
        <x:is>
          <x:t xml:space="preserve">Medium — helper value</x:t>
        </x:is>
      </x:c>
      <x:c r="AA508" s="520" t="inlineStr">
        <x:is>
          <x:t xml:space="preserve">Mineral Deed and Assignment — Payday Holdings, LLC to Andrew Pennington (2453/452)</x:t>
        </x:is>
      </x:c>
      <x:c r="AB508" s="520" t="inlineStr">
        <x:is>
          <x:t xml:space="preserve">Needs source review: grantor source</x:t>
        </x:is>
      </x:c>
    </x:row>
    <x:row r="509" s="520" customFormat="1" ht="60" customHeight="1">
      <x:c r="A509" s="519" t="inlineStr">
        <x:is>
          <x:t xml:space="preserve">2020-001954</x:t>
        </x:is>
      </x:c>
      <x:c r="B509" s="536" t="n">
        <x:v>52</x:v>
      </x:c>
      <x:c r="C509" s="536" t="inlineStr">
        <x:is>
          <x:t xml:space="preserve">Assignment</x:t>
        </x:is>
      </x:c>
      <x:c r="D509" s="536" t="inlineStr">
        <x:is>
          <x:t xml:space="preserve">2455/446</x:t>
        </x:is>
      </x:c>
      <x:c r="E509" s="537" t="n">
        <x:v>44136</x:v>
      </x:c>
      <x:c r="F509" s="537" t="n">
        <x:v>44175</x:v>
      </x:c>
      <x:c r="G509" s="538" t="inlineStr">
        <x:is>
          <x:t xml:space="preserve">Tabally Hani</x:t>
        </x:is>
      </x:c>
      <x:c r="H509" s="538" t="inlineStr">
        <x:is>
          <x:t xml:space="preserve">J. Dominguez Santos</x:t>
        </x:is>
      </x:c>
      <x:c r="I509" s="538" t="inlineStr">
        <x:is>
          <x:t xml:space="preserve">LALEXANDER of 31-12N-24W</x:t>
        </x:is>
      </x:c>
      <x:c r="J509" s="538" t="inlineStr">
        <x:is>
          <x:t xml:space="preserve">Leasehold assigned (chain)
Index row only reviewed. Assignment terms/interest not fully stated in index; full assignment image required to confirm leases, depths, burdens, and retained interests.</x:t>
        </x:is>
      </x:c>
      <x:c r="K509" s="518" t="e">
        <x:f>HYPERLINK("https://okcountyrecords.com/detail/roger+mills/2020-001954/26392975","OKCountyRecords: 2020-001954")</x:f>
      </x:c>
      <x:c r="L509" s="519" t="inlineStr">
        <x:is>
          <x:t xml:space="preserve">Leasehold (non-mineral; excluded from mineral NMA). All-section coverage. Gross=tract-map basis.</x:t>
        </x:is>
      </x:c>
      <x:c r="M509" s="519" t="inlineStr">
        <x:is>
          <x:t xml:space="preserve">CURRENT LEASE SOURCE</x:t>
        </x:is>
      </x:c>
      <x:c r="N509" s="519" t="n"/>
      <x:c r="O509" s="519" t="inlineStr">
        <x:is>
          <x:t xml:space="preserve">EASEMENT</x:t>
        </x:is>
      </x:c>
      <x:c r="P509" s="520" t="inlineStr">
        <x:is>
          <x:t xml:space="preserve">Chain — assignment (WI or minerals — read granting clause)</x:t>
        </x:is>
      </x:c>
      <x:c r="Q509" s="520" t="inlineStr">
        <x:is>
          <x:t xml:space="preserve">Review</x:t>
        </x:is>
      </x:c>
      <x:c r="R509" s="520" t="inlineStr">
        <x:is>
          <x:t xml:space="preserve">Yes</x:t>
        </x:is>
      </x:c>
      <x:c r="S509" s="520" t="inlineStr">
        <x:is>
          <x:t xml:space="preserve">Review</x:t>
        </x:is>
      </x:c>
      <x:c r="T509" s="520" t="inlineStr">
        <x:is>
          <x:t xml:space="preserve">Yes</x:t>
        </x:is>
      </x:c>
      <x:c r="U509" s="520" t="inlineStr">
        <x:is>
          <x:t xml:space="preserve">Yes: 1, 8 (broad legal)</x:t>
        </x:is>
      </x:c>
      <x:c r="V509" s="520" t="inlineStr">
        <x:is>
          <x:t xml:space="preserve">Medium</x:t>
        </x:is>
      </x:c>
      <x:c r="W509" s="520" t="inlineStr">
        <x:is>
          <x:t xml:space="preserve">Review — no exact prior-grantee match</x:t>
        </x:is>
      </x:c>
      <x:c r="X509" s="520" t="inlineStr">
        <x:is>
          <x:t xml:space="preserve">Review</x:t>
        </x:is>
      </x:c>
      <x:c r="Y509" s="520" t="inlineStr">
        <x:is>
          <x:t xml:space="preserve">Interest amount needs review</x:t>
        </x:is>
      </x:c>
      <x:c r="Z509" s="520" t="inlineStr">
        <x:is>
          <x:t xml:space="preserve">Review</x:t>
        </x:is>
      </x:c>
      <x:c r="AA509" s="520" t="inlineStr">
        <x:is>
          <x:t xml:space="preserve">Assignment — Tabally Hani to J. Dominguez Santos (2455/446)</x:t>
        </x:is>
      </x:c>
      <x:c r="AB509" s="520" t="inlineStr">
        <x:is>
          <x:t xml:space="preserve">Needs source review: grantor source, interest amount</x:t>
        </x:is>
      </x:c>
    </x:row>
    <x:row r="510" s="520" customFormat="1" ht="60" customHeight="1">
      <x:c r="A510" s="519" t="inlineStr">
        <x:is>
          <x:t xml:space="preserve">2021-000697</x:t>
        </x:is>
      </x:c>
      <x:c r="B510" s="536" t="n">
        <x:v>60</x:v>
      </x:c>
      <x:c r="C510" s="536" t="inlineStr">
        <x:is>
          <x:t xml:space="preserve">Change of Name</x:t>
        </x:is>
      </x:c>
      <x:c r="D510" s="536" t="inlineStr">
        <x:is>
          <x:t xml:space="preserve">2463/147</x:t>
        </x:is>
      </x:c>
      <x:c r="E510" s="537" t="n">
        <x:v>44182</x:v>
      </x:c>
      <x:c r="F510" s="537" t="n">
        <x:v>44314</x:v>
      </x:c>
      <x:c r="G510" s="538" t="inlineStr">
        <x:is>
          <x:t xml:space="preserve">Fourpoint Energy, LLC</x:t>
        </x:is>
      </x:c>
      <x:c r="H510" s="538" t="inlineStr">
        <x:is>
          <x:t xml:space="preserve">Unbridled Resources, LLC</x:t>
        </x:is>
      </x:c>
      <x:c r="I510" s="538" t="inlineStr">
        <x:is>
          <x:t xml:space="preserve">All of 31-12N-24W, aol</x:t>
        </x:is>
      </x:c>
      <x:c r="J510" s="538" t="inlineStr">
        <x:is>
          <x:t xml:space="preserve">Identifies same party under new name</x:t>
        </x:is>
      </x:c>
      <x:c r="K510" s="518" t="e">
        <x:f>HYPERLINK("https://okcountyrecords.com/detail/roger+mills/2021-000697","63e8b9a8d056433a9994fe46ca85076b.pdf | OKCountyRecords: 2021-000697")</x:f>
      </x:c>
      <x:c r="L510" s="519" t="inlineStr">
        <x:is>
          <x:t xml:space="preserve">Other (non-mineral; excluded from mineral NMA). All-section coverage. Gross=tract-map basis.</x:t>
        </x:is>
      </x:c>
      <x:c r="M510" s="519" t="inlineStr">
        <x:is>
          <x:t xml:space="preserve">Confirm owner interest</x:t>
        </x:is>
      </x:c>
      <x:c r="N510" s="519" t="n"/>
      <x:c r="O510" s="519" t="inlineStr">
        <x:is>
          <x:t xml:space="preserve">OUTSIDE LANDS</x:t>
        </x:is>
      </x:c>
      <x:c r="P510" s="520" t="inlineStr">
        <x:is>
          <x:t xml:space="preserve">Chain — title support (succession/entity/probate)</x:t>
        </x:is>
      </x:c>
      <x:c r="Q510" s="520" t="inlineStr">
        <x:is>
          <x:t xml:space="preserve">Yes</x:t>
        </x:is>
      </x:c>
      <x:c r="R510" s="520" t="inlineStr">
        <x:is>
          <x:t xml:space="preserve">No</x:t>
        </x:is>
      </x:c>
      <x:c r="S510" s="520" t="inlineStr">
        <x:is>
          <x:t xml:space="preserve">Yes</x:t>
        </x:is>
      </x:c>
      <x:c r="T510" s="520" t="inlineStr">
        <x:is>
          <x:t xml:space="preserve">No</x:t>
        </x:is>
      </x:c>
      <x:c r="U510" s="520" t="inlineStr">
        <x:is>
          <x:t xml:space="preserve">Yes: 1, 8 (broad legal)</x:t>
        </x:is>
      </x:c>
      <x:c r="V510" s="520" t="inlineStr">
        <x:is>
          <x:t xml:space="preserve">Medium</x:t>
        </x:is>
      </x:c>
      <x:c r="W510" s="520" t="inlineStr">
        <x:is>
          <x:t xml:space="preserve">Yes — prior grantee match</x:t>
        </x:is>
      </x:c>
      <x:c r="X510" s="520" t="inlineStr">
        <x:is>
          <x:t xml:space="preserve">Review</x:t>
        </x:is>
      </x:c>
      <x:c r="Y510" s="520" t="inlineStr">
        <x:is>
          <x:t xml:space="preserve">Interest amount needs review</x:t>
        </x:is>
      </x:c>
      <x:c r="Z510" s="520" t="inlineStr">
        <x:is>
          <x:t xml:space="preserve">Review</x:t>
        </x:is>
      </x:c>
      <x:c r="AA510" s="520" t="inlineStr">
        <x:is>
          <x:t xml:space="preserve">Change of Name — Fourpoint Energy, LLC to Unbridled Resources, LLC (2463/147)</x:t>
        </x:is>
      </x:c>
      <x:c r="AB510" s="520" t="inlineStr">
        <x:is>
          <x:t xml:space="preserve">Needs source review: interest amount</x:t>
        </x:is>
      </x:c>
    </x:row>
    <x:row r="511" s="520" customFormat="1" ht="48" customHeight="1">
      <x:c r="A511" s="519" t="inlineStr">
        <x:is>
          <x:t xml:space="preserve">2021-001561</x:t>
        </x:is>
      </x:c>
      <x:c r="B511" s="536" t="n">
        <x:v>63</x:v>
      </x:c>
      <x:c r="C511" s="536" t="inlineStr">
        <x:is>
          <x:t xml:space="preserve">Assignment</x:t>
        </x:is>
      </x:c>
      <x:c r="D511" s="536" t="inlineStr">
        <x:is>
          <x:t xml:space="preserve">2479/1</x:t>
        </x:is>
      </x:c>
      <x:c r="E511" s="537" t="n">
        <x:v>44348</x:v>
      </x:c>
      <x:c r="F511" s="537" t="n">
        <x:v>44463</x:v>
      </x:c>
      <x:c r="G511" s="538" t="inlineStr">
        <x:is>
          <x:t xml:space="preserve">Fairway Resources III, LLC, a Delaware limited liability company,
Fairway Resources Partners III Minerals, LLC, a Delaware limited liability company</x:t>
        </x:is>
      </x:c>
      <x:c r="H511" s="538" t="inlineStr">
        <x:is>
          <x:t xml:space="preserve">Mustang Fuel Corporation</x:t>
        </x:is>
      </x:c>
      <x:c r="I511" s="538" t="inlineStr">
        <x:is>
          <x:t xml:space="preserve">E/2 NW/4, NE/4 SE/4, NW/4 SE/4, S/2 SE/4 of 31-12N-24W, aol</x:t>
        </x:is>
      </x:c>
      <x:c r="J511" s="538" t="inlineStr">
        <x:is>
          <x:t xml:space="preserve">Transfers leasehold/WI in chain</x:t>
        </x:is>
      </x:c>
      <x:c r="K511" s="518" t="e">
        <x:f>HYPERLINK("https://okcountyrecords.com/detail/roger+mills/2021-001561","63e8b9a8d056433a9994fe46ca85076b.pdf | OKCountyRecords: 2021-001561")</x:f>
      </x:c>
      <x:c r="L511" s="519" t="inlineStr">
        <x:is>
          <x:t xml:space="preserve">Leasehold (non-mineral; excluded from mineral NMA). Gross=tract-map basis.</x:t>
        </x:is>
      </x:c>
      <x:c r="M511" s="519" t="inlineStr">
        <x:is>
          <x:t xml:space="preserve">CURRENT LEASE SOURCE</x:t>
        </x:is>
      </x:c>
      <x:c r="N511" s="519" t="n"/>
      <x:c r="O511" s="519" t="inlineStr">
        <x:is>
          <x:t xml:space="preserve">OUTSIDE LANDS</x:t>
        </x:is>
      </x:c>
      <x:c r="P511" s="520" t="inlineStr">
        <x:is>
          <x:t xml:space="preserve">Chain — assignment (WI or minerals — read granting clause)</x:t>
        </x:is>
      </x:c>
      <x:c r="Q511" s="520" t="inlineStr">
        <x:is>
          <x:t xml:space="preserve">Review</x:t>
        </x:is>
      </x:c>
      <x:c r="R511" s="520" t="inlineStr">
        <x:is>
          <x:t xml:space="preserve">Yes</x:t>
        </x:is>
      </x:c>
      <x:c r="S511" s="520" t="inlineStr">
        <x:is>
          <x:t xml:space="preserve">Review</x:t>
        </x:is>
      </x:c>
      <x:c r="T511" s="520" t="inlineStr">
        <x:is>
          <x:t xml:space="preserve">Yes</x:t>
        </x:is>
      </x:c>
      <x:c r="U511" s="520" t="inlineStr">
        <x:is>
          <x:t xml:space="preserve">Legal maps to 2, 4, 10; helper says 2, 4, 8</x:t>
        </x:is>
      </x:c>
      <x:c r="V511" s="520" t="inlineStr">
        <x:is>
          <x:t xml:space="preserve">Review</x:t>
        </x:is>
      </x:c>
      <x:c r="W511" s="520" t="inlineStr">
        <x:is>
          <x:t xml:space="preserve">Review — no exact prior-grantee match</x:t>
        </x:is>
      </x:c>
      <x:c r="X511" s="520" t="inlineStr">
        <x:is>
          <x:t xml:space="preserve">Review</x:t>
        </x:is>
      </x:c>
      <x:c r="Y511" s="520" t="inlineStr">
        <x:is>
          <x:t xml:space="preserve">Interest amount needs review</x:t>
        </x:is>
      </x:c>
      <x:c r="Z511" s="520" t="inlineStr">
        <x:is>
          <x:t xml:space="preserve">Review</x:t>
        </x:is>
      </x:c>
      <x:c r="AA511" s="520" t="inlineStr">
        <x:is>
          <x:t xml:space="preserve">Assignment — Fairway Resources III, LLC, a to Mustang Fuel Corporation (2479/1)</x:t>
        </x:is>
      </x:c>
      <x:c r="AB511" s="520" t="inlineStr">
        <x:is>
          <x:t xml:space="preserve">Needs source review: tract, grantor source, interest amount</x:t>
        </x:is>
      </x:c>
    </x:row>
    <x:row r="512" s="520" customFormat="1" ht="36" customHeight="1">
      <x:c r="A512" s="519" t="inlineStr">
        <x:is>
          <x:t xml:space="preserve">2021-001068</x:t>
        </x:is>
      </x:c>
      <x:c r="B512" s="536" t="n"/>
      <x:c r="C512" s="536" t="inlineStr">
        <x:is>
          <x:t xml:space="preserve">Mineral Deed</x:t>
        </x:is>
      </x:c>
      <x:c r="D512" s="536" t="inlineStr">
        <x:is>
          <x:t xml:space="preserve">2467/476</x:t>
        </x:is>
      </x:c>
      <x:c r="E512" s="537" t="n">
        <x:v>44348</x:v>
      </x:c>
      <x:c r="F512" s="537" t="n">
        <x:v>44377</x:v>
      </x:c>
      <x:c r="G512" s="538" t="inlineStr">
        <x:is>
          <x:t xml:space="preserve">Grizzly Operating, LLC,
Vanguard Operating, LLC</x:t>
        </x:is>
      </x:c>
      <x:c r="H512" s="538" t="inlineStr">
        <x:is>
          <x:t xml:space="preserve">Psi Lke, LLC</x:t>
        </x:is>
      </x:c>
      <x:c r="I512" s="538" t="inlineStr">
        <x:is>
          <x:t xml:space="preserve">E/2 NW/4, N/2 NE/4 SW/4, NE/4 SE/4, SE/4 NE/4 of 31-12N-24W, aol</x:t>
        </x:is>
      </x:c>
      <x:c r="J512" s="538" t="inlineStr">
        <x:is>
          <x:t xml:space="preserve">ARTI, See 1765/306</x:t>
        </x:is>
      </x:c>
      <x:c r="K512" s="518" t="e">
        <x:f>HYPERLINK("https://okcountyrecords.com/detail/roger+mills/2021-001068","OKCountyRecords: 2021-001068")</x:f>
      </x:c>
      <x:c r="L512" s="519" t="inlineStr">
        <x:is>
          <x:t xml:space="preserve">Mineral; basis Conv Amt(dec). Gross=tract-map basis.</x:t>
        </x:is>
      </x:c>
      <x:c r="M512" s="519" t="n"/>
      <x:c r="N512" s="519" t="n"/>
      <x:c r="O512" s="519" t="inlineStr">
        <x:is>
          <x:t xml:space="preserve">OUTSIDE LANDS</x:t>
        </x:is>
      </x:c>
      <x:c r="P512" s="520" t="inlineStr">
        <x:is>
          <x:t xml:space="preserve">Chain — minerals</x:t>
        </x:is>
      </x:c>
      <x:c r="Q512" s="520" t="inlineStr">
        <x:is>
          <x:t xml:space="preserve">Yes</x:t>
        </x:is>
      </x:c>
      <x:c r="R512" s="520" t="inlineStr">
        <x:is>
          <x:t xml:space="preserve">No</x:t>
        </x:is>
      </x:c>
      <x:c r="S512" s="520" t="inlineStr">
        <x:is>
          <x:t xml:space="preserve">Yes</x:t>
        </x:is>
      </x:c>
      <x:c r="T512" s="520" t="inlineStr">
        <x:is>
          <x:t xml:space="preserve">No</x:t>
        </x:is>
      </x:c>
      <x:c r="U512" s="520" t="inlineStr">
        <x:is>
          <x:t xml:space="preserve">Legal maps to 1, 3, 4, 7, 10; helper says 1, 3, 4, 7, 8</x:t>
        </x:is>
      </x:c>
      <x:c r="V512" s="520" t="inlineStr">
        <x:is>
          <x:t xml:space="preserve">Review</x:t>
        </x:is>
      </x:c>
      <x:c r="W512" s="520" t="inlineStr">
        <x:is>
          <x:t xml:space="preserve">Review — no exact prior-grantee match</x:t>
        </x:is>
      </x:c>
      <x:c r="X512" s="520" t="inlineStr">
        <x:is>
          <x:t xml:space="preserve">Yes — on Tract 3 owner list</x:t>
        </x:is>
      </x:c>
      <x:c r="Y512" s="520" t="inlineStr">
        <x:is>
          <x:t xml:space="preserve">Candidate 1 (helper — confirm from image)</x:t>
        </x:is>
      </x:c>
      <x:c r="Z512" s="520" t="inlineStr">
        <x:is>
          <x:t xml:space="preserve">Medium — helper value</x:t>
        </x:is>
      </x:c>
      <x:c r="AA512" s="520" t="inlineStr">
        <x:is>
          <x:t xml:space="preserve">Mineral Deed — Grizzly Operating, LLC, to Psi Lke, LLC (2467/476)</x:t>
        </x:is>
      </x:c>
      <x:c r="AB512" s="520" t="inlineStr">
        <x:is>
          <x:t xml:space="preserve">Needs source review: tract, grantor source</x:t>
        </x:is>
      </x:c>
    </x:row>
    <x:row r="513" s="520" customFormat="1" ht="60" customHeight="1">
      <x:c r="A513" s="519" t="inlineStr">
        <x:is>
          <x:t xml:space="preserve">2021-001557</x:t>
        </x:is>
      </x:c>
      <x:c r="B513" s="536" t="n">
        <x:v>61</x:v>
      </x:c>
      <x:c r="C513" s="536" t="inlineStr">
        <x:is>
          <x:t xml:space="preserve">Affidavit of Merger</x:t>
        </x:is>
      </x:c>
      <x:c r="D513" s="536" t="inlineStr">
        <x:is>
          <x:t xml:space="preserve">2476/1</x:t>
        </x:is>
      </x:c>
      <x:c r="E513" s="537" t="n">
        <x:v>44407</x:v>
      </x:c>
      <x:c r="F513" s="537" t="n">
        <x:v>44462</x:v>
      </x:c>
      <x:c r="G513" s="538" t="inlineStr">
        <x:is>
          <x:t xml:space="preserve">Presidio Investment Holdings</x:t>
        </x:is>
      </x:c>
      <x:c r="H513" s="538" t="inlineStr">
        <x:is>
          <x:t xml:space="preserve">The Public</x:t>
        </x:is>
      </x:c>
      <x:c r="I513" s="538" t="inlineStr">
        <x:is>
          <x:t xml:space="preserve">All of 31-12N-24W, aol</x:t>
        </x:is>
      </x:c>
      <x:c r="J513" s="538" t="inlineStr">
        <x:is>
          <x:t xml:space="preserve">I am the General Counsel and Vice President of Land of Presidio Investment Holdings, LLC, a Delaware limited liability company (the "Company"), which Company is a manager of each of the limited liability companies set forth on Schedule 1 hereto and I am an officer of each ofthe corporations set forth … Full recital in recorded instrument — see Link.</x:t>
        </x:is>
      </x:c>
      <x:c r="K513" s="518" t="e">
        <x:f>HYPERLINK("https://okcountyrecords.com/detail/roger+mills/2021-001557","63e8b9a8d056433a9994fe46ca85076b.pdf | OKCountyRecords: 2021-001557")</x:f>
      </x:c>
      <x:c r="L513" s="519" t="inlineStr">
        <x:is>
          <x:t xml:space="preserve">Other (non-mineral; excluded from mineral NMA). All-section coverage. Gross=tract-map basis.</x:t>
        </x:is>
      </x:c>
      <x:c r="M513" s="519" t="inlineStr">
        <x:is>
          <x:t xml:space="preserve">OK</x:t>
        </x:is>
      </x:c>
      <x:c r="N513" s="519" t="inlineStr">
        <x:is>
          <x:t xml:space="preserve">Non-conveying — notice/affidavit/address change (The Public).</x:t>
        </x:is>
      </x:c>
      <x:c r="O513" s="519" t="inlineStr">
        <x:is>
          <x:t xml:space="preserve">OUTSIDE LANDS</x:t>
        </x:is>
      </x:c>
      <x:c r="P513" s="520" t="inlineStr">
        <x:is>
          <x:t xml:space="preserve">Chain — title support (succession/entity/probate)</x:t>
        </x:is>
      </x:c>
      <x:c r="Q513" s="520" t="inlineStr">
        <x:is>
          <x:t xml:space="preserve">Yes</x:t>
        </x:is>
      </x:c>
      <x:c r="R513" s="520" t="inlineStr">
        <x:is>
          <x:t xml:space="preserve">No</x:t>
        </x:is>
      </x:c>
      <x:c r="S513" s="520" t="inlineStr">
        <x:is>
          <x:t xml:space="preserve">Yes</x:t>
        </x:is>
      </x:c>
      <x:c r="T513" s="520" t="inlineStr">
        <x:is>
          <x:t xml:space="preserve">No</x:t>
        </x:is>
      </x:c>
      <x:c r="U513" s="520" t="inlineStr">
        <x:is>
          <x:t xml:space="preserve">Yes: 1, 8 (broad legal)</x:t>
        </x:is>
      </x:c>
      <x:c r="V513" s="520" t="inlineStr">
        <x:is>
          <x:t xml:space="preserve">Medium</x:t>
        </x:is>
      </x:c>
      <x:c r="W513" s="520" t="inlineStr">
        <x:is>
          <x:t xml:space="preserve">Review — no exact prior-grantee match</x:t>
        </x:is>
      </x:c>
      <x:c r="X513" s="520" t="inlineStr">
        <x:is>
          <x:t xml:space="preserve">Review</x:t>
        </x:is>
      </x:c>
      <x:c r="Y513" s="520" t="inlineStr">
        <x:is>
          <x:t xml:space="preserve">Interest amount needs review</x:t>
        </x:is>
      </x:c>
      <x:c r="Z513" s="520" t="inlineStr">
        <x:is>
          <x:t xml:space="preserve">Review</x:t>
        </x:is>
      </x:c>
      <x:c r="AA513" s="520" t="inlineStr">
        <x:is>
          <x:t xml:space="preserve">Affidavit of Merger — Presidio Investment Holdings to The Public (2476/1)</x:t>
        </x:is>
      </x:c>
      <x:c r="AB513" s="520" t="inlineStr">
        <x:is>
          <x:t xml:space="preserve">Needs source review: grantor source, interest amount</x:t>
        </x:is>
      </x:c>
    </x:row>
    <x:row r="514" s="520" customFormat="1" ht="84" customHeight="1">
      <x:c r="A514" s="519" t="inlineStr">
        <x:is>
          <x:t xml:space="preserve">2021-001559</x:t>
        </x:is>
      </x:c>
      <x:c r="B514" s="536" t="n">
        <x:v>62</x:v>
      </x:c>
      <x:c r="C514" s="536" t="inlineStr">
        <x:is>
          <x:t xml:space="preserve">Operating Agreement</x:t>
        </x:is>
      </x:c>
      <x:c r="D514" s="536" t="inlineStr">
        <x:is>
          <x:t xml:space="preserve">2478/1</x:t>
        </x:is>
      </x:c>
      <x:c r="E514" s="537" t="n">
        <x:v>44407</x:v>
      </x:c>
      <x:c r="F514" s="537" t="n">
        <x:v>44462</x:v>
      </x:c>
      <x:c r="G514" s="538" t="inlineStr">
        <x:is>
          <x:t xml:space="preserve">Presidio Petroleum, LLC</x:t>
        </x:is>
      </x:c>
      <x:c r="H514" s="538" t="inlineStr">
        <x:is>
          <x:t xml:space="preserve">Presidio WAB, LLC,
Presidio Transition, LLC,
Presidio Holding Company, LLC,
Presidio Finance Holding Company, LLC,
Presidio Finance, LLC,
Presidio Finance Nominee Corp.,
Presidio Intermediate Holding Company, LLC</x:t>
        </x:is>
      </x:c>
      <x:c r="I514" s="538" t="inlineStr">
        <x:is>
          <x:t xml:space="preserve">All of 31-12N-24W, aol</x:t>
        </x:is>
      </x:c>
      <x:c r="J514" s="538" t="inlineStr">
        <x:is>
          <x:t xml:space="preserve">HIS AGREEMENT, entered into by and between Presidio Petroleum, LLC, a Delaware limited
liability company, or its successor in interest, hereinafter referred to as "Operator," and the
signatory party or parties other than Operator, hereinafter referred to individually as "NonOperator," and collectively … Full recital in recorded instrument — see Link.</x:t>
        </x:is>
      </x:c>
      <x:c r="K514" s="518" t="e">
        <x:f>HYPERLINK("https://okcountyrecords.com/detail/roger+mills/2021-001559","63e8b9a8d056433a9994fe46ca85076b.pdf | OKCountyRecords: 2021-001559")</x:f>
      </x:c>
      <x:c r="L514" s="519" t="inlineStr">
        <x:is>
          <x:t xml:space="preserve">Other (non-mineral; excluded from mineral NMA). All-section coverage. Gross=tract-map basis.</x:t>
        </x:is>
      </x:c>
      <x:c r="M514" s="519" t="inlineStr">
        <x:is>
          <x:t xml:space="preserve">CURRENT LEASE SOURCE</x:t>
        </x:is>
      </x:c>
      <x:c r="N514" s="519" t="n"/>
      <x:c r="O514" s="519" t="inlineStr">
        <x:is>
          <x:t xml:space="preserve">OUTSIDE LANDS</x:t>
        </x:is>
      </x:c>
      <x:c r="P514" s="520" t="inlineStr">
        <x:is>
          <x:t xml:space="preserve">No chain effect — operating/JOA (WI context only)</x:t>
        </x:is>
      </x:c>
      <x:c r="Q514" s="520" t="inlineStr">
        <x:is>
          <x:t xml:space="preserve">No</x:t>
        </x:is>
      </x:c>
      <x:c r="R514" s="520" t="inlineStr">
        <x:is>
          <x:t xml:space="preserve">Review</x:t>
        </x:is>
      </x:c>
      <x:c r="S514" s="520" t="inlineStr">
        <x:is>
          <x:t xml:space="preserve">No</x:t>
        </x:is>
      </x:c>
      <x:c r="T514" s="520" t="inlineStr">
        <x:is>
          <x:t xml:space="preserve">No</x:t>
        </x:is>
      </x:c>
      <x:c r="U514" s="520" t="inlineStr">
        <x:is>
          <x:t xml:space="preserve">Yes: 1, 8 (broad legal)</x:t>
        </x:is>
      </x:c>
      <x:c r="V514" s="520" t="inlineStr">
        <x:is>
          <x:t xml:space="preserve">Medium</x:t>
        </x:is>
      </x:c>
      <x:c r="W514" s="520" t="inlineStr">
        <x:is>
          <x:t xml:space="preserve">Review — no exact prior-grantee match</x:t>
        </x:is>
      </x:c>
      <x:c r="X514" s="520" t="inlineStr">
        <x:is>
          <x:t xml:space="preserve">Review</x:t>
        </x:is>
      </x:c>
      <x:c r="Y514" s="520" t="inlineStr">
        <x:is>
          <x:t xml:space="preserve">Interest amount needs review</x:t>
        </x:is>
      </x:c>
      <x:c r="Z514" s="520" t="inlineStr">
        <x:is>
          <x:t xml:space="preserve">Review</x:t>
        </x:is>
      </x:c>
      <x:c r="AA514" s="520" t="inlineStr">
        <x:is>
          <x:t xml:space="preserve">Operating Agreement — Presidio Petroleum, LLC to Presidio WAB, LLC, (2478/1)</x:t>
        </x:is>
      </x:c>
      <x:c r="AB514" s="520" t="inlineStr">
        <x:is>
          <x:t xml:space="preserve">Needs source review: grantor source</x:t>
        </x:is>
      </x:c>
    </x:row>
    <x:row r="515" s="520" customFormat="1" ht="60" customHeight="1">
      <x:c r="A515" s="519" t="inlineStr">
        <x:is>
          <x:t xml:space="preserve">2021-001605</x:t>
        </x:is>
      </x:c>
      <x:c r="B515" s="536" t="n">
        <x:v>64</x:v>
      </x:c>
      <x:c r="C515" s="536" t="inlineStr">
        <x:is>
          <x:t xml:space="preserve">Assignment</x:t>
        </x:is>
      </x:c>
      <x:c r="D515" s="536" t="inlineStr">
        <x:is>
          <x:t xml:space="preserve">2480/297</x:t>
        </x:is>
      </x:c>
      <x:c r="E515" s="537" t="n">
        <x:v>44440</x:v>
      </x:c>
      <x:c r="F515" s="537" t="n">
        <x:v>44476</x:v>
      </x:c>
      <x:c r="G515" s="538" t="inlineStr">
        <x:is>
          <x:t xml:space="preserve">Tlw Investments, LLC</x:t>
        </x:is>
      </x:c>
      <x:c r="H515" s="538" t="inlineStr">
        <x:is>
          <x:t xml:space="preserve">Cannon Field Minerals Fund, L.P.</x:t>
        </x:is>
      </x:c>
      <x:c r="I515" s="538" t="inlineStr">
        <x:is>
          <x:t xml:space="preserve">A of 31-12N-24W</x:t>
        </x:is>
      </x:c>
      <x:c r="J515" s="538" t="inlineStr">
        <x:is>
          <x:t xml:space="preserve">Transfers leasehold/WI in chain</x:t>
        </x:is>
      </x:c>
      <x:c r="K515" s="518" t="e">
        <x:f>HYPERLINK("https://okcountyrecords.com/detail/roger+mills/2021-001605","63e8b9a8d056433a9994fe46ca85076b.pdf | OKCountyRecords: 2021-001605")</x:f>
      </x:c>
      <x:c r="L515" s="519" t="inlineStr">
        <x:is>
          <x:t xml:space="preserve">Leasehold (non-mineral; excluded from mineral NMA). All-section coverage. Gross=tract-map basis.</x:t>
        </x:is>
      </x:c>
      <x:c r="M515" s="519" t="inlineStr">
        <x:is>
          <x:t xml:space="preserve">CURRENT LEASE SOURCE</x:t>
        </x:is>
      </x:c>
      <x:c r="N515" s="519" t="n"/>
      <x:c r="O515" s="519" t="inlineStr">
        <x:is>
          <x:t xml:space="preserve">LEASE ASSIGNMENT</x:t>
        </x:is>
      </x:c>
      <x:c r="P515" s="520" t="inlineStr">
        <x:is>
          <x:t xml:space="preserve">Chain — assignment (WI or minerals — read granting clause)</x:t>
        </x:is>
      </x:c>
      <x:c r="Q515" s="520" t="inlineStr">
        <x:is>
          <x:t xml:space="preserve">Review</x:t>
        </x:is>
      </x:c>
      <x:c r="R515" s="520" t="inlineStr">
        <x:is>
          <x:t xml:space="preserve">Yes</x:t>
        </x:is>
      </x:c>
      <x:c r="S515" s="520" t="inlineStr">
        <x:is>
          <x:t xml:space="preserve">Review</x:t>
        </x:is>
      </x:c>
      <x:c r="T515" s="520" t="inlineStr">
        <x:is>
          <x:t xml:space="preserve">Yes</x:t>
        </x:is>
      </x:c>
      <x:c r="U515" s="520" t="inlineStr">
        <x:is>
          <x:t xml:space="preserve">Yes: 1, 8 (broad legal)</x:t>
        </x:is>
      </x:c>
      <x:c r="V515" s="520" t="inlineStr">
        <x:is>
          <x:t xml:space="preserve">Medium</x:t>
        </x:is>
      </x:c>
      <x:c r="W515" s="520" t="inlineStr">
        <x:is>
          <x:t xml:space="preserve">Review — no exact prior-grantee match</x:t>
        </x:is>
      </x:c>
      <x:c r="X515" s="520" t="inlineStr">
        <x:is>
          <x:t xml:space="preserve">Review</x:t>
        </x:is>
      </x:c>
      <x:c r="Y515" s="520" t="inlineStr">
        <x:is>
          <x:t xml:space="preserve">Interest amount needs review</x:t>
        </x:is>
      </x:c>
      <x:c r="Z515" s="520" t="inlineStr">
        <x:is>
          <x:t xml:space="preserve">Review</x:t>
        </x:is>
      </x:c>
      <x:c r="AA515" s="520" t="inlineStr">
        <x:is>
          <x:t xml:space="preserve">Assignment — Tlw Investments, LLC to Cannon Field Minerals Fund, L. (2480/297)</x:t>
        </x:is>
      </x:c>
      <x:c r="AB515" s="520" t="inlineStr">
        <x:is>
          <x:t xml:space="preserve">Needs source review: grantor source, interest amount</x:t>
        </x:is>
      </x:c>
    </x:row>
    <x:row r="516" s="520" customFormat="1" ht="60" customHeight="1">
      <x:c r="A516" s="519" t="inlineStr">
        <x:is>
          <x:t xml:space="preserve">2021-001774</x:t>
        </x:is>
      </x:c>
      <x:c r="B516" s="536" t="n"/>
      <x:c r="C516" s="536" t="inlineStr">
        <x:is>
          <x:t xml:space="preserve">Mineral Deed</x:t>
        </x:is>
      </x:c>
      <x:c r="D516" s="536" t="inlineStr">
        <x:is>
          <x:t xml:space="preserve">2481/287</x:t>
        </x:is>
      </x:c>
      <x:c r="E516" s="537" t="n">
        <x:v>44489</x:v>
      </x:c>
      <x:c r="F516" s="537" t="n">
        <x:v>44491</x:v>
      </x:c>
      <x:c r="G516" s="538" t="inlineStr">
        <x:is>
          <x:t xml:space="preserve">Greystone Energy &amp; Minerals, LLC, an Oklahoma limited liability company</x:t>
        </x:is>
      </x:c>
      <x:c r="H516" s="538" t="inlineStr">
        <x:is>
          <x:t xml:space="preserve">Cardinal Land Company, LLC, an Oklahoma limited liability company
5713 N.W. 132nd Street
Oklahoma City, OK 73142, 50%,
EDR, LLC, 50%</x:t>
        </x:is>
      </x:c>
      <x:c r="I516" s="538" t="inlineStr">
        <x:is>
          <x:t xml:space="preserve">NW/4 SE/4, S/2 SE/4, SW/4 NE/4 of 31-12N-24W, aol</x:t>
        </x:is>
      </x:c>
      <x:c r="J516" s="538" t="inlineStr">
        <x:is>
          <x:t xml:space="preserve">3.00 NMA, from a total of Twenty Five and 7,225/10,000ths net mineral acres (25.7225) of Grantor's right, title and interest in and to all of the oil, gas and other minerals in and under 3 sections</x:t>
        </x:is>
      </x:c>
      <x:c r="K516" s="518" t="e">
        <x:f>HYPERLINK("https://okcountyrecords.com/detail/roger+mills/2021-001774/26955795","OKCountyRecords: 2021-001774")</x:f>
      </x:c>
      <x:c r="L516" s="519" t="inlineStr">
        <x:is>
          <x:t xml:space="preserve">Mineral; basis Conv Amt(dec). Gross=tract-map basis.</x:t>
        </x:is>
      </x:c>
      <x:c r="M516" s="519" t="inlineStr">
        <x:is>
          <x:t xml:space="preserve">CURRENT OWNER SOURCE</x:t>
        </x:is>
      </x:c>
      <x:c r="N516" s="519" t="inlineStr">
        <x:is>
          <x:t xml:space="preserve">Conveys 3 NMA per notes; conv. dec = 3/gross. Verify denominator/tract from image.</x:t>
        </x:is>
      </x:c>
      <x:c r="O516" s="519" t="inlineStr">
        <x:is>
          <x:t xml:space="preserve">OUTSIDE LANDS</x:t>
        </x:is>
      </x:c>
      <x:c r="P516" s="520" t="inlineStr">
        <x:is>
          <x:t xml:space="preserve">Chain — minerals</x:t>
        </x:is>
      </x:c>
      <x:c r="Q516" s="520" t="inlineStr">
        <x:is>
          <x:t xml:space="preserve">Yes</x:t>
        </x:is>
      </x:c>
      <x:c r="R516" s="520" t="inlineStr">
        <x:is>
          <x:t xml:space="preserve">No</x:t>
        </x:is>
      </x:c>
      <x:c r="S516" s="520" t="inlineStr">
        <x:is>
          <x:t xml:space="preserve">Yes</x:t>
        </x:is>
      </x:c>
      <x:c r="T516" s="520" t="inlineStr">
        <x:is>
          <x:t xml:space="preserve">No</x:t>
        </x:is>
      </x:c>
      <x:c r="U516" s="520" t="inlineStr">
        <x:is>
          <x:t xml:space="preserve">Yes: 2 (legal supports)</x:t>
        </x:is>
      </x:c>
      <x:c r="V516" s="520" t="inlineStr">
        <x:is>
          <x:t xml:space="preserve">High</x:t>
        </x:is>
      </x:c>
      <x:c r="W516" s="520" t="inlineStr">
        <x:is>
          <x:t xml:space="preserve">Review — no exact prior-grantee match</x:t>
        </x:is>
      </x:c>
      <x:c r="X516" s="520" t="inlineStr">
        <x:is>
          <x:t xml:space="preserve">Review</x:t>
        </x:is>
      </x:c>
      <x:c r="Y516" s="520" t="inlineStr">
        <x:is>
          <x:t xml:space="preserve">Candidate 0.01875 (helper — confirm from image)</x:t>
        </x:is>
      </x:c>
      <x:c r="Z516" s="520" t="inlineStr">
        <x:is>
          <x:t xml:space="preserve">Medium — helper value</x:t>
        </x:is>
      </x:c>
      <x:c r="AA516" s="520" t="inlineStr">
        <x:is>
          <x:t xml:space="preserve">Mineral Deed — Greystone Energy &amp; Minerals, L to Cardinal Land Company, LLC, an (2481/287)</x:t>
        </x:is>
      </x:c>
      <x:c r="AB516" s="520" t="inlineStr">
        <x:is>
          <x:t xml:space="preserve">Needs source review: grantor source</x:t>
        </x:is>
      </x:c>
    </x:row>
    <x:row r="517" s="520" customFormat="1" ht="60" customHeight="1">
      <x:c r="A517" s="519" t="inlineStr">
        <x:is>
          <x:t xml:space="preserve">2022-000354</x:t>
        </x:is>
      </x:c>
      <x:c r="B517" s="536" t="n"/>
      <x:c r="C517" s="536" t="inlineStr">
        <x:is>
          <x:t xml:space="preserve">Assignment</x:t>
        </x:is>
      </x:c>
      <x:c r="D517" s="536" t="inlineStr">
        <x:is>
          <x:t xml:space="preserve">2488/81</x:t>
        </x:is>
      </x:c>
      <x:c r="E517" s="537" t="n">
        <x:v>44562</x:v>
      </x:c>
      <x:c r="F517" s="537" t="n">
        <x:v>44615</x:v>
      </x:c>
      <x:c r="G517" s="538" t="inlineStr">
        <x:is>
          <x:t xml:space="preserve">Tlw Investments</x:t>
        </x:is>
      </x:c>
      <x:c r="H517" s="538" t="inlineStr">
        <x:is>
          <x:t xml:space="preserve">Chanas Partners, LLC</x:t>
        </x:is>
      </x:c>
      <x:c r="I517" s="538" t="inlineStr">
        <x:is>
          <x:t xml:space="preserve">All of 31-12N-24W, aol</x:t>
        </x:is>
      </x:c>
      <x:c r="J517" s="538" t="inlineStr">
        <x:is>
          <x:t xml:space="preserve">ARTI</x:t>
        </x:is>
      </x:c>
      <x:c r="K517" s="518" t="e">
        <x:f>HYPERLINK("https://okcountyrecords.com/detail/roger+mills/2022-000354","OKCountyRecords: 2022-000354")</x:f>
      </x:c>
      <x:c r="L517" s="519" t="inlineStr">
        <x:is>
          <x:t xml:space="preserve">Leasehold (non-mineral; excluded from mineral NMA). All-section coverage. Gross=tract-map basis.</x:t>
        </x:is>
      </x:c>
      <x:c r="M517" s="519" t="n"/>
      <x:c r="N517" s="519" t="n"/>
      <x:c r="O517" s="519" t="inlineStr">
        <x:is>
          <x:t xml:space="preserve">OUTSIDE LANDS</x:t>
        </x:is>
      </x:c>
      <x:c r="P517" s="520" t="inlineStr">
        <x:is>
          <x:t xml:space="preserve">Chain — assignment (WI or minerals — read granting clause)</x:t>
        </x:is>
      </x:c>
      <x:c r="Q517" s="520" t="inlineStr">
        <x:is>
          <x:t xml:space="preserve">Review</x:t>
        </x:is>
      </x:c>
      <x:c r="R517" s="520" t="inlineStr">
        <x:is>
          <x:t xml:space="preserve">Yes</x:t>
        </x:is>
      </x:c>
      <x:c r="S517" s="520" t="inlineStr">
        <x:is>
          <x:t xml:space="preserve">Review</x:t>
        </x:is>
      </x:c>
      <x:c r="T517" s="520" t="inlineStr">
        <x:is>
          <x:t xml:space="preserve">Yes</x:t>
        </x:is>
      </x:c>
      <x:c r="U517" s="520" t="inlineStr">
        <x:is>
          <x:t xml:space="preserve">Yes: 1, 8 (broad legal)</x:t>
        </x:is>
      </x:c>
      <x:c r="V517" s="520" t="inlineStr">
        <x:is>
          <x:t xml:space="preserve">Medium</x:t>
        </x:is>
      </x:c>
      <x:c r="W517" s="520" t="inlineStr">
        <x:is>
          <x:t xml:space="preserve">Review — no exact prior-grantee match</x:t>
        </x:is>
      </x:c>
      <x:c r="X517" s="520" t="inlineStr">
        <x:is>
          <x:t xml:space="preserve">Review</x:t>
        </x:is>
      </x:c>
      <x:c r="Y517" s="520" t="inlineStr">
        <x:is>
          <x:t xml:space="preserve">Interest amount needs review</x:t>
        </x:is>
      </x:c>
      <x:c r="Z517" s="520" t="inlineStr">
        <x:is>
          <x:t xml:space="preserve">Review</x:t>
        </x:is>
      </x:c>
      <x:c r="AA517" s="520" t="inlineStr">
        <x:is>
          <x:t xml:space="preserve">Assignment — Tlw Investments to Chanas Partners, LLC (2488/81)</x:t>
        </x:is>
      </x:c>
      <x:c r="AB517" s="520" t="inlineStr">
        <x:is>
          <x:t xml:space="preserve">Needs source review: grantor source, interest amount</x:t>
        </x:is>
      </x:c>
    </x:row>
    <x:row r="518" s="520" customFormat="1" ht="48" customHeight="1">
      <x:c r="A518" s="519" t="inlineStr">
        <x:is>
          <x:t xml:space="preserve">2022-000185</x:t>
        </x:is>
      </x:c>
      <x:c r="B518" s="536" t="n"/>
      <x:c r="C518" s="536" t="inlineStr">
        <x:is>
          <x:t xml:space="preserve">Mineral Deed</x:t>
        </x:is>
      </x:c>
      <x:c r="D518" s="536" t="inlineStr">
        <x:is>
          <x:t xml:space="preserve">2486/262</x:t>
        </x:is>
      </x:c>
      <x:c r="E518" s="537" t="n">
        <x:v>44571</x:v>
      </x:c>
      <x:c r="F518" s="537" t="n">
        <x:v>44592</x:v>
      </x:c>
      <x:c r="G518" s="538" t="inlineStr">
        <x:is>
          <x:t xml:space="preserve">Psi Lke, LLC</x:t>
        </x:is>
      </x:c>
      <x:c r="H518" s="538" t="inlineStr">
        <x:is>
          <x:t xml:space="preserve">Cummins Minerals, Limited 70%
Eagle Owl, LP, 30%</x:t>
        </x:is>
      </x:c>
      <x:c r="I518" s="538" t="inlineStr">
        <x:is>
          <x:t xml:space="preserve">All of 31-12N-24W, aol</x:t>
        </x:is>
      </x:c>
      <x:c r="J518" s="538" t="inlineStr">
        <x:is>
          <x:t xml:space="preserve">ARTI, See 1765/306</x:t>
        </x:is>
      </x:c>
      <x:c r="K518" s="518" t="e">
        <x:f>HYPERLINK("https://okcountyrecords.com/detail/roger+mills/2022-000185","OKCountyRecords: 2022-000185")</x:f>
      </x:c>
      <x:c r="L518" s="519" t="inlineStr">
        <x:is>
          <x:t xml:space="preserve">Mineral; basis Conv Amt(dec). All-section coverage. Gross=tract-map basis.</x:t>
        </x:is>
      </x:c>
      <x:c r="M518" s="519" t="inlineStr">
        <x:is>
          <x:t xml:space="preserve">CURRENT OWNER SOURCE</x:t>
        </x:is>
      </x:c>
      <x:c r="N518" s="519" t="n"/>
      <x:c r="O518" s="519" t="inlineStr">
        <x:is>
          <x:t xml:space="preserve">OUTSIDE LANDS</x:t>
        </x:is>
      </x:c>
      <x:c r="P518" s="520" t="inlineStr">
        <x:is>
          <x:t xml:space="preserve">Chain — minerals</x:t>
        </x:is>
      </x:c>
      <x:c r="Q518" s="520" t="inlineStr">
        <x:is>
          <x:t xml:space="preserve">Yes</x:t>
        </x:is>
      </x:c>
      <x:c r="R518" s="520" t="inlineStr">
        <x:is>
          <x:t xml:space="preserve">No</x:t>
        </x:is>
      </x:c>
      <x:c r="S518" s="520" t="inlineStr">
        <x:is>
          <x:t xml:space="preserve">Yes</x:t>
        </x:is>
      </x:c>
      <x:c r="T518" s="520" t="inlineStr">
        <x:is>
          <x:t xml:space="preserve">No</x:t>
        </x:is>
      </x:c>
      <x:c r="U518" s="520" t="inlineStr">
        <x:is>
          <x:t xml:space="preserve">Yes: 1, 8 (broad legal)</x:t>
        </x:is>
      </x:c>
      <x:c r="V518" s="520" t="inlineStr">
        <x:is>
          <x:t xml:space="preserve">Medium</x:t>
        </x:is>
      </x:c>
      <x:c r="W518" s="520" t="inlineStr">
        <x:is>
          <x:t xml:space="preserve">Yes — prior grantee match</x:t>
        </x:is>
      </x:c>
      <x:c r="X518" s="520" t="inlineStr">
        <x:is>
          <x:t xml:space="preserve">Review</x:t>
        </x:is>
      </x:c>
      <x:c r="Y518" s="520" t="inlineStr">
        <x:is>
          <x:t xml:space="preserve">Candidate 1 (helper — confirm from image)</x:t>
        </x:is>
      </x:c>
      <x:c r="Z518" s="520" t="inlineStr">
        <x:is>
          <x:t xml:space="preserve">Medium — helper value</x:t>
        </x:is>
      </x:c>
      <x:c r="AA518" s="520" t="inlineStr">
        <x:is>
          <x:t xml:space="preserve">Mineral Deed — Psi Lke, LLC to Cummins Minerals, Limited 70% (2486/262)</x:t>
        </x:is>
      </x:c>
    </x:row>
    <x:row r="519" s="520" customFormat="1" ht="60" customHeight="1">
      <x:c r="A519" s="519" t="inlineStr">
        <x:is>
          <x:t xml:space="preserve">2022-001083</x:t>
        </x:is>
      </x:c>
      <x:c r="B519" s="536" t="n"/>
      <x:c r="C519" s="536" t="inlineStr">
        <x:is>
          <x:t xml:space="preserve">Affidavit of Merger</x:t>
        </x:is>
      </x:c>
      <x:c r="D519" s="536" t="inlineStr">
        <x:is>
          <x:t xml:space="preserve">2495/430</x:t>
        </x:is>
      </x:c>
      <x:c r="E519" s="537" t="n">
        <x:v>44713</x:v>
      </x:c>
      <x:c r="F519" s="537" t="n">
        <x:v>44715</x:v>
      </x:c>
      <x:c r="G519" s="538" t="inlineStr">
        <x:is>
          <x:t xml:space="preserve">Phx Minerals (de), Inc.,
Phx Minerals, Inc.</x:t>
        </x:is>
      </x:c>
      <x:c r="H519" s="538" t="inlineStr">
        <x:is>
          <x:t xml:space="preserve">The Public</x:t>
        </x:is>
      </x:c>
      <x:c r="I519" s="538" t="inlineStr">
        <x:is>
          <x:t xml:space="preserve">All of 31-12N-24W, aol</x:t>
        </x:is>
      </x:c>
      <x:c r="J519" s="538" t="inlineStr">
        <x:is>
          <x:t xml:space="preserve">PHX MINERALS INC., an Oklahoma corporation, does hereby certify that it is the owner of these locations, and has merged with and into PHX Minerals (DE), Inc., a Delaware corporation and to then change the company's name to PHX MINERALS INC. … Full recital in recorded instrument — see Link.</x:t>
        </x:is>
      </x:c>
      <x:c r="K519" s="518" t="e">
        <x:f>HYPERLINK("https://okcountyrecords.com/detail/roger+mills/2022-001083","OKCountyRecords: 2022-001083")</x:f>
      </x:c>
      <x:c r="L519" s="519" t="inlineStr">
        <x:is>
          <x:t xml:space="preserve">Other (non-mineral; excluded from mineral NMA). All-section coverage. Gross=tract-map basis.</x:t>
        </x:is>
      </x:c>
      <x:c r="M519" s="519" t="inlineStr">
        <x:is>
          <x:t xml:space="preserve">OK</x:t>
        </x:is>
      </x:c>
      <x:c r="N519" s="519" t="inlineStr">
        <x:is>
          <x:t xml:space="preserve">Non-conveying — notice/affidavit/address change (The Public).</x:t>
        </x:is>
      </x:c>
      <x:c r="O519" s="519" t="inlineStr">
        <x:is>
          <x:t xml:space="preserve">OUTSIDE LANDS</x:t>
        </x:is>
      </x:c>
      <x:c r="P519" s="520" t="inlineStr">
        <x:is>
          <x:t xml:space="preserve">Chain — title support (succession/entity/probate)</x:t>
        </x:is>
      </x:c>
      <x:c r="Q519" s="520" t="inlineStr">
        <x:is>
          <x:t xml:space="preserve">Yes</x:t>
        </x:is>
      </x:c>
      <x:c r="R519" s="520" t="inlineStr">
        <x:is>
          <x:t xml:space="preserve">No</x:t>
        </x:is>
      </x:c>
      <x:c r="S519" s="520" t="inlineStr">
        <x:is>
          <x:t xml:space="preserve">Yes</x:t>
        </x:is>
      </x:c>
      <x:c r="T519" s="520" t="inlineStr">
        <x:is>
          <x:t xml:space="preserve">No</x:t>
        </x:is>
      </x:c>
      <x:c r="U519" s="520" t="inlineStr">
        <x:is>
          <x:t xml:space="preserve">Yes: 1, 8 (broad legal)</x:t>
        </x:is>
      </x:c>
      <x:c r="V519" s="520" t="inlineStr">
        <x:is>
          <x:t xml:space="preserve">Medium</x:t>
        </x:is>
      </x:c>
      <x:c r="W519" s="520" t="inlineStr">
        <x:is>
          <x:t xml:space="preserve">Review — no exact prior-grantee match</x:t>
        </x:is>
      </x:c>
      <x:c r="X519" s="520" t="inlineStr">
        <x:is>
          <x:t xml:space="preserve">Review</x:t>
        </x:is>
      </x:c>
      <x:c r="Y519" s="520" t="inlineStr">
        <x:is>
          <x:t xml:space="preserve">Interest amount needs review</x:t>
        </x:is>
      </x:c>
      <x:c r="Z519" s="520" t="inlineStr">
        <x:is>
          <x:t xml:space="preserve">Review</x:t>
        </x:is>
      </x:c>
      <x:c r="AA519" s="520" t="inlineStr">
        <x:is>
          <x:t xml:space="preserve">Affidavit of Merger — Phx Minerals (de), Inc., to The Public (2495/430)</x:t>
        </x:is>
      </x:c>
      <x:c r="AB519" s="520" t="inlineStr">
        <x:is>
          <x:t xml:space="preserve">Needs source review: grantor source, interest amount</x:t>
        </x:is>
      </x:c>
    </x:row>
    <x:row r="520" s="520" customFormat="1" ht="48" customHeight="1">
      <x:c r="A520" s="519" t="inlineStr">
        <x:is>
          <x:t xml:space="preserve">2023-002269</x:t>
        </x:is>
      </x:c>
      <x:c r="B520" s="536" t="n"/>
      <x:c r="C520" s="536" t="inlineStr">
        <x:is>
          <x:t xml:space="preserve">Mineral Deed</x:t>
        </x:is>
      </x:c>
      <x:c r="D520" s="536" t="inlineStr">
        <x:is>
          <x:t xml:space="preserve">2529/217</x:t>
        </x:is>
      </x:c>
      <x:c r="E520" s="537" t="n">
        <x:v>45061</x:v>
      </x:c>
      <x:c r="F520" s="537" t="n">
        <x:v>45114</x:v>
      </x:c>
      <x:c r="G520" s="538" t="inlineStr">
        <x:is>
          <x:t xml:space="preserve">Gregory J. Winneke</x:t>
        </x:is>
      </x:c>
      <x:c r="H520" s="538" t="inlineStr">
        <x:is>
          <x:t xml:space="preserve">Eric Jansen
c/o Hasbany Insurance
254 Pleasandt St.
Methuen, Ma 01844</x:t>
        </x:is>
      </x:c>
      <x:c r="I520" s="538" t="inlineStr">
        <x:is>
          <x:t xml:space="preserve">NW/4 SE/4, S/2 SE/4, SW/4 NE/4 of 31-12N-24W, aol</x:t>
        </x:is>
      </x:c>
      <x:c r="J520" s="538" t="inlineStr">
        <x:is>
          <x:t xml:space="preserve">ARTI</x:t>
        </x:is>
      </x:c>
      <x:c r="K520" s="518" t="e">
        <x:f>HYPERLINK("https://okcountyrecords.com/detail/roger+mills/2023-002269","OKCountyRecords: 2023-002269")</x:f>
      </x:c>
      <x:c r="L520" s="519" t="inlineStr">
        <x:is>
          <x:t xml:space="preserve">Mineral; basis Conv Amt(dec). Gross=tract-map basis.</x:t>
        </x:is>
      </x:c>
      <x:c r="M520" s="519" t="inlineStr">
        <x:is>
          <x:t xml:space="preserve">CURRENT OWNER SOURCE</x:t>
        </x:is>
      </x:c>
      <x:c r="N520" s="519" t="n"/>
      <x:c r="O520" s="519" t="inlineStr">
        <x:is>
          <x:t xml:space="preserve">OUTSIDE LANDS</x:t>
        </x:is>
      </x:c>
      <x:c r="P520" s="520" t="inlineStr">
        <x:is>
          <x:t xml:space="preserve">Chain — minerals</x:t>
        </x:is>
      </x:c>
      <x:c r="Q520" s="520" t="inlineStr">
        <x:is>
          <x:t xml:space="preserve">Yes</x:t>
        </x:is>
      </x:c>
      <x:c r="R520" s="520" t="inlineStr">
        <x:is>
          <x:t xml:space="preserve">No</x:t>
        </x:is>
      </x:c>
      <x:c r="S520" s="520" t="inlineStr">
        <x:is>
          <x:t xml:space="preserve">Yes</x:t>
        </x:is>
      </x:c>
      <x:c r="T520" s="520" t="inlineStr">
        <x:is>
          <x:t xml:space="preserve">No</x:t>
        </x:is>
      </x:c>
      <x:c r="U520" s="520" t="inlineStr">
        <x:is>
          <x:t xml:space="preserve">Yes: 2 (legal supports)</x:t>
        </x:is>
      </x:c>
      <x:c r="V520" s="520" t="inlineStr">
        <x:is>
          <x:t xml:space="preserve">High</x:t>
        </x:is>
      </x:c>
      <x:c r="W520" s="520" t="inlineStr">
        <x:is>
          <x:t xml:space="preserve">Yes — prior grantee match</x:t>
        </x:is>
      </x:c>
      <x:c r="X520" s="520" t="inlineStr">
        <x:is>
          <x:t xml:space="preserve">Yes — on Tract 2 owner list</x:t>
        </x:is>
      </x:c>
      <x:c r="Y520" s="520" t="inlineStr">
        <x:is>
          <x:t xml:space="preserve">Candidate 1 (helper — confirm from image)</x:t>
        </x:is>
      </x:c>
      <x:c r="Z520" s="520" t="inlineStr">
        <x:is>
          <x:t xml:space="preserve">Medium — helper value</x:t>
        </x:is>
      </x:c>
      <x:c r="AA520" s="520" t="inlineStr">
        <x:is>
          <x:t xml:space="preserve">Mineral Deed — Gregory J. Winneke to Eric Jansen (2529/217)</x:t>
        </x:is>
      </x:c>
    </x:row>
    <x:row r="521" s="520" customFormat="1" ht="60" customHeight="1">
      <x:c r="A521" s="519" t="inlineStr">
        <x:is>
          <x:t xml:space="preserve">2024-004916</x:t>
        </x:is>
      </x:c>
      <x:c r="B521" s="536" t="n">
        <x:v>69</x:v>
      </x:c>
      <x:c r="C521" s="536" t="inlineStr">
        <x:is>
          <x:t xml:space="preserve">Assignment</x:t>
        </x:is>
      </x:c>
      <x:c r="D521" s="536" t="inlineStr">
        <x:is>
          <x:t xml:space="preserve">2584/149</x:t>
        </x:is>
      </x:c>
      <x:c r="E521" s="537" t="n">
        <x:v>45148</x:v>
      </x:c>
      <x:c r="F521" s="537" t="n">
        <x:v>45509</x:v>
      </x:c>
      <x:c r="G521" s="538" t="inlineStr">
        <x:is>
          <x:t xml:space="preserve">Chanas Partners, LLC</x:t>
        </x:is>
      </x:c>
      <x:c r="H521" s="538" t="inlineStr">
        <x:is>
          <x:t xml:space="preserve">NWR Mineral Partners, LLC
P.O. Box 7206
Edmond, OK 73083</x:t>
        </x:is>
      </x:c>
      <x:c r="I521" s="538" t="inlineStr">
        <x:is>
          <x:t xml:space="preserve">All of 31-12N-24W</x:t>
        </x:is>
      </x:c>
      <x:c r="J521" s="538" t="inlineStr">
        <x:is>
          <x:t xml:space="preserve">Transfers leasehold/WI in chain</x:t>
        </x:is>
      </x:c>
      <x:c r="K521" s="518" t="e">
        <x:f>HYPERLINK("https://okcountyrecords.com/detail/roger+mills/2024-004916","63e8b9a8d056433a9994fe46ca85076b.pdf | OKCountyRecords: 2024-004916")</x:f>
      </x:c>
      <x:c r="L521" s="519" t="inlineStr">
        <x:is>
          <x:t xml:space="preserve">Leasehold (non-mineral; excluded from mineral NMA). All-section coverage. Gross=tract-map basis.</x:t>
        </x:is>
      </x:c>
      <x:c r="M521" s="519" t="inlineStr">
        <x:is>
          <x:t xml:space="preserve">CURRENT LEASE SOURCE</x:t>
        </x:is>
      </x:c>
      <x:c r="N521" s="519" t="n"/>
      <x:c r="O521" s="519" t="inlineStr">
        <x:is>
          <x:t xml:space="preserve">LEASE ASSIGNMENT</x:t>
        </x:is>
      </x:c>
      <x:c r="P521" s="520" t="inlineStr">
        <x:is>
          <x:t xml:space="preserve">Chain — assignment (WI or minerals — read granting clause)</x:t>
        </x:is>
      </x:c>
      <x:c r="Q521" s="520" t="inlineStr">
        <x:is>
          <x:t xml:space="preserve">Review</x:t>
        </x:is>
      </x:c>
      <x:c r="R521" s="520" t="inlineStr">
        <x:is>
          <x:t xml:space="preserve">Yes</x:t>
        </x:is>
      </x:c>
      <x:c r="S521" s="520" t="inlineStr">
        <x:is>
          <x:t xml:space="preserve">Review</x:t>
        </x:is>
      </x:c>
      <x:c r="T521" s="520" t="inlineStr">
        <x:is>
          <x:t xml:space="preserve">Yes</x:t>
        </x:is>
      </x:c>
      <x:c r="U521" s="520" t="inlineStr">
        <x:is>
          <x:t xml:space="preserve">Yes: 1, 8 (broad legal)</x:t>
        </x:is>
      </x:c>
      <x:c r="V521" s="520" t="inlineStr">
        <x:is>
          <x:t xml:space="preserve">Medium</x:t>
        </x:is>
      </x:c>
      <x:c r="W521" s="520" t="inlineStr">
        <x:is>
          <x:t xml:space="preserve">Yes — prior grantee match</x:t>
        </x:is>
      </x:c>
      <x:c r="X521" s="520" t="inlineStr">
        <x:is>
          <x:t xml:space="preserve">Review</x:t>
        </x:is>
      </x:c>
      <x:c r="Y521" s="520" t="inlineStr">
        <x:is>
          <x:t xml:space="preserve">Interest amount needs review</x:t>
        </x:is>
      </x:c>
      <x:c r="Z521" s="520" t="inlineStr">
        <x:is>
          <x:t xml:space="preserve">Review</x:t>
        </x:is>
      </x:c>
      <x:c r="AA521" s="520" t="inlineStr">
        <x:is>
          <x:t xml:space="preserve">Assignment — Chanas Partners, LLC to NWR Mineral Partners, LLC (2584/149)</x:t>
        </x:is>
      </x:c>
      <x:c r="AB521" s="520" t="inlineStr">
        <x:is>
          <x:t xml:space="preserve">Needs source review: interest amount</x:t>
        </x:is>
      </x:c>
    </x:row>
    <x:row r="522" s="520" customFormat="1" ht="60" customHeight="1">
      <x:c r="A522" s="519" t="inlineStr">
        <x:is>
          <x:t xml:space="preserve">2024-004961</x:t>
        </x:is>
      </x:c>
      <x:c r="B522" s="536" t="n"/>
      <x:c r="C522" s="536" t="inlineStr">
        <x:is>
          <x:t xml:space="preserve">Partial Assignment</x:t>
        </x:is>
      </x:c>
      <x:c r="D522" s="536" t="inlineStr">
        <x:is>
          <x:t xml:space="preserve">2584/149</x:t>
        </x:is>
      </x:c>
      <x:c r="E522" s="537" t="n">
        <x:v>45148</x:v>
      </x:c>
      <x:c r="F522" s="537" t="n">
        <x:v>45509</x:v>
      </x:c>
      <x:c r="G522" s="538" t="inlineStr">
        <x:is>
          <x:t xml:space="preserve">Chanas Partners, LLC</x:t>
        </x:is>
      </x:c>
      <x:c r="H522" s="538" t="inlineStr">
        <x:is>
          <x:t xml:space="preserve">NWR Mineral Partners, LLC
P.O. Box 7206
Edmond, OK 73083</x:t>
        </x:is>
      </x:c>
      <x:c r="I522" s="538" t="inlineStr">
        <x:is>
          <x:t xml:space="preserve">All of 31-12N-24W, aol</x:t>
        </x:is>
      </x:c>
      <x:c r="J522" s="538" t="inlineStr">
        <x:is>
          <x:t xml:space="preserve">All of its right, title and interest in and to the Lands and Leases, Limited to the Des Moines Formation Only, which, for these purposes is described as from the top of the Marmaton Group to the base of the Cherokee Group, subject to the terms and provisions described below. … Full recital in recorded instrument — see Link.</x:t>
        </x:is>
      </x:c>
      <x:c r="K522" s="518" t="e">
        <x:f>HYPERLINK("https://okcountyrecords.com/detail/roger+mills/2024-004961","OKCountyRecords: 2024-004961")</x:f>
      </x:c>
      <x:c r="L522" s="519" t="inlineStr">
        <x:is>
          <x:t xml:space="preserve">Leasehold (non-mineral; excluded from mineral NMA). All-section coverage. Gross=tract-map basis.</x:t>
        </x:is>
      </x:c>
      <x:c r="M522" s="519" t="inlineStr">
        <x:is>
          <x:t xml:space="preserve">Confirm lease effect</x:t>
        </x:is>
      </x:c>
      <x:c r="N522" s="519" t="n"/>
      <x:c r="O522" s="519" t="inlineStr">
        <x:is>
          <x:t xml:space="preserve">OUTSIDE LANDS</x:t>
        </x:is>
      </x:c>
      <x:c r="P522" s="520" t="inlineStr">
        <x:is>
          <x:t xml:space="preserve">Chain — WI/leasehold assignment</x:t>
        </x:is>
      </x:c>
      <x:c r="Q522" s="520" t="inlineStr">
        <x:is>
          <x:t xml:space="preserve">No</x:t>
        </x:is>
      </x:c>
      <x:c r="R522" s="520" t="inlineStr">
        <x:is>
          <x:t xml:space="preserve">Yes</x:t>
        </x:is>
      </x:c>
      <x:c r="S522" s="520" t="inlineStr">
        <x:is>
          <x:t xml:space="preserve">Review</x:t>
        </x:is>
      </x:c>
      <x:c r="T522" s="520" t="inlineStr">
        <x:is>
          <x:t xml:space="preserve">Yes</x:t>
        </x:is>
      </x:c>
      <x:c r="U522" s="520" t="inlineStr">
        <x:is>
          <x:t xml:space="preserve">Yes: 1, 8 (broad legal)</x:t>
        </x:is>
      </x:c>
      <x:c r="V522" s="520" t="inlineStr">
        <x:is>
          <x:t xml:space="preserve">Medium</x:t>
        </x:is>
      </x:c>
      <x:c r="W522" s="520" t="inlineStr">
        <x:is>
          <x:t xml:space="preserve">Yes — prior grantee match</x:t>
        </x:is>
      </x:c>
      <x:c r="X522" s="520" t="inlineStr">
        <x:is>
          <x:t xml:space="preserve">Review</x:t>
        </x:is>
      </x:c>
      <x:c r="Y522" s="520" t="inlineStr">
        <x:is>
          <x:t xml:space="preserve">Interest amount needs review</x:t>
        </x:is>
      </x:c>
      <x:c r="Z522" s="520" t="inlineStr">
        <x:is>
          <x:t xml:space="preserve">Review</x:t>
        </x:is>
      </x:c>
      <x:c r="AA522" s="520" t="inlineStr">
        <x:is>
          <x:t xml:space="preserve">Partial Assignment — Chanas Partners, LLC to NWR Mineral Partners, LLC (2584/149)</x:t>
        </x:is>
      </x:c>
      <x:c r="AB522" s="520" t="inlineStr">
        <x:is>
          <x:t xml:space="preserve">Needs source review: interest amount</x:t>
        </x:is>
      </x:c>
    </x:row>
    <x:row r="523" s="520" customFormat="1" ht="60" customHeight="1">
      <x:c r="A523" s="519" t="inlineStr">
        <x:is>
          <x:t xml:space="preserve">2023-003590</x:t>
        </x:is>
      </x:c>
      <x:c r="B523" s="536" t="n">
        <x:v>66</x:v>
      </x:c>
      <x:c r="C523" s="536" t="inlineStr">
        <x:is>
          <x:t xml:space="preserve">Wellbore Assignment</x:t>
        </x:is>
      </x:c>
      <x:c r="D523" s="536" t="inlineStr">
        <x:is>
          <x:t xml:space="preserve">2542/413</x:t>
        </x:is>
      </x:c>
      <x:c r="E523" s="537" t="n">
        <x:v>45200</x:v>
      </x:c>
      <x:c r="F523" s="537" t="n">
        <x:v>45247</x:v>
      </x:c>
      <x:c r="G523" s="538" t="inlineStr">
        <x:is>
          <x:t xml:space="preserve">Unbridled Resources, LLC</x:t>
        </x:is>
      </x:c>
      <x:c r="H523" s="538" t="inlineStr">
        <x:is>
          <x:t xml:space="preserve">Mnr Abs Issuer I., LLC</x:t>
        </x:is>
      </x:c>
      <x:c r="I523" s="538" t="inlineStr">
        <x:is>
          <x:t xml:space="preserve">All of 31-12N-24W, aol</x:t>
        </x:is>
      </x:c>
      <x:c r="J523" s="538" t="inlineStr">
        <x:is>
          <x:t xml:space="preserve">Transfers wellbore-only rights</x:t>
        </x:is>
      </x:c>
      <x:c r="K523" s="518" t="e">
        <x:f>HYPERLINK("https://okcountyrecords.com/detail/roger+mills/2023-003590","63e8b9a8d056433a9994fe46ca85076b.pdf | OKCountyRecords: 2023-003590")</x:f>
      </x:c>
      <x:c r="L523" s="519" t="inlineStr">
        <x:is>
          <x:t xml:space="preserve">Leasehold (non-mineral; excluded from mineral NMA). All-section coverage. Gross=tract-map basis.</x:t>
        </x:is>
      </x:c>
      <x:c r="M523" s="519" t="inlineStr">
        <x:is>
          <x:t xml:space="preserve">CURRENT LEASE SOURCE</x:t>
        </x:is>
      </x:c>
      <x:c r="N523" s="519" t="n"/>
      <x:c r="O523" s="519" t="inlineStr">
        <x:is>
          <x:t xml:space="preserve">OUTSIDE LANDS</x:t>
        </x:is>
      </x:c>
      <x:c r="P523" s="520" t="inlineStr">
        <x:is>
          <x:t xml:space="preserve">Chain — WI/leasehold assignment</x:t>
        </x:is>
      </x:c>
      <x:c r="Q523" s="520" t="inlineStr">
        <x:is>
          <x:t xml:space="preserve">No</x:t>
        </x:is>
      </x:c>
      <x:c r="R523" s="520" t="inlineStr">
        <x:is>
          <x:t xml:space="preserve">Yes</x:t>
        </x:is>
      </x:c>
      <x:c r="S523" s="520" t="inlineStr">
        <x:is>
          <x:t xml:space="preserve">Review</x:t>
        </x:is>
      </x:c>
      <x:c r="T523" s="520" t="inlineStr">
        <x:is>
          <x:t xml:space="preserve">Yes</x:t>
        </x:is>
      </x:c>
      <x:c r="U523" s="520" t="inlineStr">
        <x:is>
          <x:t xml:space="preserve">Yes: 1, 8 (broad legal)</x:t>
        </x:is>
      </x:c>
      <x:c r="V523" s="520" t="inlineStr">
        <x:is>
          <x:t xml:space="preserve">Medium</x:t>
        </x:is>
      </x:c>
      <x:c r="W523" s="520" t="inlineStr">
        <x:is>
          <x:t xml:space="preserve">Yes — prior grantee match</x:t>
        </x:is>
      </x:c>
      <x:c r="X523" s="520" t="inlineStr">
        <x:is>
          <x:t xml:space="preserve">Review</x:t>
        </x:is>
      </x:c>
      <x:c r="Y523" s="520" t="inlineStr">
        <x:is>
          <x:t xml:space="preserve">Interest amount needs review</x:t>
        </x:is>
      </x:c>
      <x:c r="Z523" s="520" t="inlineStr">
        <x:is>
          <x:t xml:space="preserve">Review</x:t>
        </x:is>
      </x:c>
      <x:c r="AA523" s="520" t="inlineStr">
        <x:is>
          <x:t xml:space="preserve">Wellbore Assignment — Unbridled Resources, LLC to Mnr Abs Issuer I., LLC (2542/413)</x:t>
        </x:is>
      </x:c>
      <x:c r="AB523" s="520" t="inlineStr">
        <x:is>
          <x:t xml:space="preserve">Needs source review: interest amount</x:t>
        </x:is>
      </x:c>
    </x:row>
    <x:row r="524" s="520" customFormat="1" ht="48" customHeight="1">
      <x:c r="A524" s="519" t="inlineStr">
        <x:is>
          <x:t xml:space="preserve">2024-001313</x:t>
        </x:is>
      </x:c>
      <x:c r="B524" s="536" t="n"/>
      <x:c r="C524" s="536" t="inlineStr">
        <x:is>
          <x:t xml:space="preserve">Change of Address</x:t>
        </x:is>
      </x:c>
      <x:c r="D524" s="536" t="inlineStr">
        <x:is>
          <x:t xml:space="preserve">2561/142</x:t>
        </x:is>
      </x:c>
      <x:c r="E524" s="537" t="n">
        <x:v>45359</x:v>
      </x:c>
      <x:c r="F524" s="537" t="n">
        <x:v>45365</x:v>
      </x:c>
      <x:c r="G524" s="538" t="inlineStr">
        <x:is>
          <x:t xml:space="preserve">Paul R. Deutsch,
Deborah A. Deutsch</x:t>
        </x:is>
      </x:c>
      <x:c r="H524" s="538" t="inlineStr">
        <x:is>
          <x:t xml:space="preserve">The Public</x:t>
        </x:is>
      </x:c>
      <x:c r="I524" s="538" t="inlineStr">
        <x:is>
          <x:t xml:space="preserve">SW/4 NE/4, NW/4 SE/4, S/2 SE/4 of 31-12N-24W, aol</x:t>
        </x:is>
      </x:c>
      <x:c r="J524" s="538" t="inlineStr">
        <x:is>
          <x:t xml:space="preserve">New Address: 7828 NW 124th St
Kansas City, MO 64163</x:t>
        </x:is>
      </x:c>
      <x:c r="K524" s="518" t="e">
        <x:f>HYPERLINK("https://okcountyrecords.com/detail/roger+mills/2024-001313/31623586","OKCountyRecords: 2024-001313")</x:f>
      </x:c>
      <x:c r="L524" s="519" t="inlineStr">
        <x:is>
          <x:t xml:space="preserve">Other (non-mineral; excluded from mineral NMA). Gross=tract-map basis.</x:t>
        </x:is>
      </x:c>
      <x:c r="M524" s="519" t="inlineStr">
        <x:is>
          <x:t xml:space="preserve">OK</x:t>
        </x:is>
      </x:c>
      <x:c r="N524" s="519" t="inlineStr">
        <x:is>
          <x:t xml:space="preserve">Non-conveying — notice/affidavit/address change (The Public).</x:t>
        </x:is>
      </x:c>
      <x:c r="O524" s="519" t="inlineStr">
        <x:is>
          <x:t xml:space="preserve">OUTSIDE LANDS</x:t>
        </x:is>
      </x:c>
      <x:c r="P524" s="520" t="inlineStr">
        <x:is>
          <x:t xml:space="preserve">Do Not Chain — address only</x:t>
        </x:is>
      </x:c>
      <x:c r="Q524" s="520" t="inlineStr">
        <x:is>
          <x:t xml:space="preserve">No</x:t>
        </x:is>
      </x:c>
      <x:c r="R524" s="520" t="inlineStr">
        <x:is>
          <x:t xml:space="preserve">No</x:t>
        </x:is>
      </x:c>
      <x:c r="S524" s="520" t="inlineStr">
        <x:is>
          <x:t xml:space="preserve">No</x:t>
        </x:is>
      </x:c>
      <x:c r="T524" s="520" t="inlineStr">
        <x:is>
          <x:t xml:space="preserve">No</x:t>
        </x:is>
      </x:c>
      <x:c r="U524" s="520" t="inlineStr">
        <x:is>
          <x:t xml:space="preserve">Yes: 2 (legal supports)</x:t>
        </x:is>
      </x:c>
      <x:c r="V524" s="520" t="inlineStr">
        <x:is>
          <x:t xml:space="preserve">High</x:t>
        </x:is>
      </x:c>
      <x:c r="W524" s="520" t="inlineStr">
        <x:is>
          <x:t xml:space="preserve">Probable — name-normalized match to Runsheet 114 grantee; confirm</x:t>
        </x:is>
      </x:c>
      <x:c r="X524" s="520" t="inlineStr">
        <x:is>
          <x:t xml:space="preserve">Review</x:t>
        </x:is>
      </x:c>
      <x:c r="Y524" s="520" t="inlineStr">
        <x:is>
          <x:t xml:space="preserve">Interest amount needs review</x:t>
        </x:is>
      </x:c>
      <x:c r="Z524" s="520" t="inlineStr">
        <x:is>
          <x:t xml:space="preserve">Review</x:t>
        </x:is>
      </x:c>
      <x:c r="AA524" s="520" t="inlineStr">
        <x:is>
          <x:t xml:space="preserve">Change of Address — Paul R. Deutsch, to The Public (2561/142)</x:t>
        </x:is>
      </x:c>
      <x:c r="AB524" s="520" t="inlineStr">
        <x:is>
          <x:t xml:space="preserve">Needs source review: grantor source</x:t>
        </x:is>
      </x:c>
    </x:row>
    <x:row r="525" s="520" customFormat="1" ht="60" customHeight="1">
      <x:c r="A525" s="519" t="inlineStr">
        <x:is>
          <x:t xml:space="preserve">2024-007734</x:t>
        </x:is>
      </x:c>
      <x:c r="B525" s="536" t="n">
        <x:v>61</x:v>
      </x:c>
      <x:c r="C525" s="536" t="inlineStr">
        <x:is>
          <x:t xml:space="preserve">Assignment</x:t>
        </x:is>
      </x:c>
      <x:c r="D525" s="536" t="inlineStr">
        <x:is>
          <x:t xml:space="preserve">2604/111</x:t>
        </x:is>
      </x:c>
      <x:c r="E525" s="537" t="n">
        <x:v>45474</x:v>
      </x:c>
      <x:c r="F525" s="537" t="n">
        <x:v>45642</x:v>
      </x:c>
      <x:c r="G525" s="538" t="inlineStr">
        <x:is>
          <x:t xml:space="preserve">Gregg M. Satherlie and Chelin H. Satherlie 1989 Rev Trust, Dated September 27, 1989,
Christopher D. Greene, Trustee</x:t>
        </x:is>
      </x:c>
      <x:c r="H525" s="538" t="inlineStr">
        <x:is>
          <x:t xml:space="preserve">Trison Holdings, LLC</x:t>
        </x:is>
      </x:c>
      <x:c r="I525" s="538" t="inlineStr">
        <x:is>
          <x:t xml:space="preserve">All of 31-12N-24W, aol</x:t>
        </x:is>
      </x:c>
      <x:c r="J525" s="538" t="inlineStr">
        <x:is>
          <x:t xml:space="preserve">ARTI</x:t>
        </x:is>
      </x:c>
      <x:c r="K525" s="518" t="e">
        <x:f>HYPERLINK("https://okcountyrecords.com/detail/roger+mills/2024-007734/33733683","OKCountyRecords: 2024-007734")</x:f>
      </x:c>
      <x:c r="L525" s="519" t="inlineStr">
        <x:is>
          <x:t xml:space="preserve">Leasehold (non-mineral; excluded from mineral NMA). All-section coverage. Gross=tract-map basis.</x:t>
        </x:is>
      </x:c>
      <x:c r="M525" s="519" t="inlineStr">
        <x:is>
          <x:t xml:space="preserve">CURRENT LEASE SOURCE</x:t>
        </x:is>
      </x:c>
      <x:c r="N525" s="519" t="n"/>
      <x:c r="O525" s="519" t="inlineStr">
        <x:is>
          <x:t xml:space="preserve">OUTSIDE LANDS</x:t>
        </x:is>
      </x:c>
      <x:c r="P525" s="520" t="inlineStr">
        <x:is>
          <x:t xml:space="preserve">Chain — assignment (WI or minerals — read granting clause)</x:t>
        </x:is>
      </x:c>
      <x:c r="Q525" s="520" t="inlineStr">
        <x:is>
          <x:t xml:space="preserve">Review</x:t>
        </x:is>
      </x:c>
      <x:c r="R525" s="520" t="inlineStr">
        <x:is>
          <x:t xml:space="preserve">Yes</x:t>
        </x:is>
      </x:c>
      <x:c r="S525" s="520" t="inlineStr">
        <x:is>
          <x:t xml:space="preserve">Review</x:t>
        </x:is>
      </x:c>
      <x:c r="T525" s="520" t="inlineStr">
        <x:is>
          <x:t xml:space="preserve">Yes</x:t>
        </x:is>
      </x:c>
      <x:c r="U525" s="520" t="inlineStr">
        <x:is>
          <x:t xml:space="preserve">Yes: 1, 8 (broad legal)</x:t>
        </x:is>
      </x:c>
      <x:c r="V525" s="520" t="inlineStr">
        <x:is>
          <x:t xml:space="preserve">Medium</x:t>
        </x:is>
      </x:c>
      <x:c r="W525" s="520" t="inlineStr">
        <x:is>
          <x:t xml:space="preserve">Review — no exact prior-grantee match</x:t>
        </x:is>
      </x:c>
      <x:c r="X525" s="520" t="inlineStr">
        <x:is>
          <x:t xml:space="preserve">Review</x:t>
        </x:is>
      </x:c>
      <x:c r="Y525" s="520" t="inlineStr">
        <x:is>
          <x:t xml:space="preserve">Interest amount needs review</x:t>
        </x:is>
      </x:c>
      <x:c r="Z525" s="520" t="inlineStr">
        <x:is>
          <x:t xml:space="preserve">Review</x:t>
        </x:is>
      </x:c>
      <x:c r="AA525" s="520" t="inlineStr">
        <x:is>
          <x:t xml:space="preserve">Assignment — Gregg M. Satherlie and Chelin to Trison Holdings, LLC (2604/111)</x:t>
        </x:is>
      </x:c>
      <x:c r="AB525" s="520" t="inlineStr">
        <x:is>
          <x:t xml:space="preserve">Needs source review: grantor source, interest amount</x:t>
        </x:is>
      </x:c>
    </x:row>
    <x:row r="526" s="520" customFormat="1" ht="408" customHeight="1">
      <x:c r="A526" s="519" t="inlineStr">
        <x:is>
          <x:t xml:space="preserve">2024-007198</x:t>
        </x:is>
      </x:c>
      <x:c r="B526" s="536" t="n">
        <x:v>70</x:v>
      </x:c>
      <x:c r="C526" s="536" t="inlineStr">
        <x:is>
          <x:t xml:space="preserve">Conveyance</x:t>
        </x:is>
      </x:c>
      <x:c r="D526" s="536" t="inlineStr">
        <x:is>
          <x:t xml:space="preserve">2599/463</x:t>
        </x:is>
      </x:c>
      <x:c r="E526" s="537" t="n">
        <x:v>45588</x:v>
      </x:c>
      <x:c r="F526" s="537" t="n">
        <x:v>45614</x:v>
      </x:c>
      <x:c r="G526" s="538" t="inlineStr">
        <x:is>
          <x:t xml:space="preserve">Onigbe Consulting, LLC</x:t>
        </x:is>
      </x:c>
      <x:c r="H526" s="538" t="inlineStr">
        <x:is>
          <x:t xml:space="preserve">(i) Comanche Oil &amp; Gas, Inc., an Oklahoma corporation (herein called "COG"),
whose address is 5030 N May Ave, Ste 341, Oklahoma City, OK 73112, in care of Kandletop
Operating, LLC, an Oklahoma limited liability company (herein called "Operator"), whose address
is 301 W. Britton Rd. #13190, Oklahoma City, OK 73113, an undivided twenty-six percent (26%)
of Grantor's interest, (ii) Redhawk Asset Series, LLC, an Oklahoma limited liability company
("RAS"), whose address is 1629 N. Marion Ave., Oklahoma City, OK 73106, in care of Operator,
an undivided twenty percent (20%) of Grantor's interest, (iii) Redhawk Resources -Fund II, LP, a
Texas limited partnership ("RRF"), whose address is 4131 N. Central Expwy, Ste. 900, Dallas,
Texas 75204, in care of Operator, an undivided ten percent (10%) of Grantor's interest, (iv) Rumrich,
LLC, an Oklahoma limited liability company ("Rumrich"), whose address is 6608 N. Western
Ave., Ste. 236, Oklahoma City, Oklahoma 73116, in care of Operator, an undivided ten percent
(10%) of Grantor's interest, and (v) Brr OK III, LLC, a Texas limited liability company ("BRR";
each of COG, RAS, RRF, Rumrich and Brr referred to herein collectively as, "Grantees"), whose
address is Po Box 6310, Edmond, OK 73083</x:t>
        </x:is>
      </x:c>
      <x:c r="I526" s="538" t="inlineStr">
        <x:is>
          <x:t xml:space="preserve">All of 31-12N-24W, aol</x:t>
        </x:is>
      </x:c>
      <x:c r="J526" s="538" t="inlineStr">
        <x:is>
          <x:t xml:space="preserve">an undivided thirty-four percent (34%) of Grantor's interest,</x:t>
        </x:is>
      </x:c>
      <x:c r="K526" s="518" t="e">
        <x:f>HYPERLINK("https://okcountyrecords.com/detail/roger+mills/2024-007198","63e8b9a8d056433a9994fe46ca85076b.pdf | OKCountyRecords: 2024-007198")</x:f>
      </x:c>
      <x:c r="L526" s="519" t="inlineStr">
        <x:is>
          <x:t xml:space="preserve">Mineral; basis Conv Amt(dec). All-section coverage. Gross=tract-map basis.</x:t>
        </x:is>
      </x:c>
      <x:c r="M526" s="519" t="inlineStr">
        <x:is>
          <x:t xml:space="preserve">REVIEW</x:t>
        </x:is>
      </x:c>
      <x:c r="N526" s="519" t="inlineStr">
        <x:is>
          <x:t xml:space="preserve">Conveyed interest / decimal from instrument image</x:t>
        </x:is>
      </x:c>
      <x:c r="O526" s="519" t="inlineStr">
        <x:is>
          <x:t xml:space="preserve">OUTSIDE LANDS</x:t>
        </x:is>
      </x:c>
      <x:c r="P526" s="520" t="inlineStr">
        <x:is>
          <x:t xml:space="preserve">Chain — deed (confirm minerals vs surface from instrument)</x:t>
        </x:is>
      </x:c>
      <x:c r="Q526" s="520" t="inlineStr">
        <x:is>
          <x:t xml:space="preserve">Yes</x:t>
        </x:is>
      </x:c>
      <x:c r="R526" s="520" t="inlineStr">
        <x:is>
          <x:t xml:space="preserve">No</x:t>
        </x:is>
      </x:c>
      <x:c r="S526" s="520" t="inlineStr">
        <x:is>
          <x:t xml:space="preserve">Review</x:t>
        </x:is>
      </x:c>
      <x:c r="T526" s="520" t="inlineStr">
        <x:is>
          <x:t xml:space="preserve">No</x:t>
        </x:is>
      </x:c>
      <x:c r="U526" s="520" t="inlineStr">
        <x:is>
          <x:t xml:space="preserve">Yes: 1, 8 (broad legal)</x:t>
        </x:is>
      </x:c>
      <x:c r="V526" s="520" t="inlineStr">
        <x:is>
          <x:t xml:space="preserve">Medium</x:t>
        </x:is>
      </x:c>
      <x:c r="W526" s="520" t="inlineStr">
        <x:is>
          <x:t xml:space="preserve">Review — no exact prior-grantee match</x:t>
        </x:is>
      </x:c>
      <x:c r="X526" s="520" t="inlineStr">
        <x:is>
          <x:t xml:space="preserve">Review</x:t>
        </x:is>
      </x:c>
      <x:c r="Y526" s="520" t="inlineStr">
        <x:is>
          <x:t xml:space="preserve">Candidate 0.34 (helper — confirm from image)</x:t>
        </x:is>
      </x:c>
      <x:c r="Z526" s="520" t="inlineStr">
        <x:is>
          <x:t xml:space="preserve">Medium — helper value</x:t>
        </x:is>
      </x:c>
      <x:c r="AA526" s="520" t="inlineStr">
        <x:is>
          <x:t xml:space="preserve">Conveyance — Onigbe Consulting, LLC to (i) Comanche Oil &amp; Gas, Inc., (2599/463)</x:t>
        </x:is>
      </x:c>
      <x:c r="AB526" s="520" t="inlineStr">
        <x:is>
          <x:t xml:space="preserve">Needs source review: grantor source</x:t>
        </x:is>
      </x:c>
    </x:row>
    <x:row r="527" s="520" customFormat="1" ht="168" customHeight="1">
      <x:c r="A527" s="519" t="inlineStr">
        <x:is>
          <x:t xml:space="preserve">2024-007203</x:t>
        </x:is>
      </x:c>
      <x:c r="B527" s="536" t="n">
        <x:v>71</x:v>
      </x:c>
      <x:c r="C527" s="536" t="inlineStr">
        <x:is>
          <x:t xml:space="preserve">Affidavit of Merger</x:t>
        </x:is>
      </x:c>
      <x:c r="D527" s="536" t="inlineStr">
        <x:is>
          <x:t xml:space="preserve">2599/505</x:t>
        </x:is>
      </x:c>
      <x:c r="E527" s="537" t="n">
        <x:v>45589</x:v>
      </x:c>
      <x:c r="F527" s="537" t="n">
        <x:v>45614</x:v>
      </x:c>
      <x:c r="G527" s="538" t="inlineStr">
        <x:is>
          <x:t xml:space="preserve">Cameron Brown, Chief Executive Officer of Pressburg, LLC, a Delaware limited liability
company ("Pressburg"), and as Chief Executive Officer of Citizen Energy Operating, LLC, a
Delaware limited liability company ("CEO"), and as Chief Executive Officer of Blue Mountain
Midstream, LLC, a Delaware limited liability company ("BMM"), and as Chief Executive Officer
of Validus Energy II Midcon, LLC, a Delaware limited liability company ("Validus II"),
(collectively, the "Validus Entities")</x:t>
        </x:is>
      </x:c>
      <x:c r="H527" s="538" t="inlineStr">
        <x:is>
          <x:t xml:space="preserve">The Public</x:t>
        </x:is>
      </x:c>
      <x:c r="I527" s="538" t="inlineStr">
        <x:is>
          <x:t xml:space="preserve">All of 31-12N-24W, aol</x:t>
        </x:is>
      </x:c>
      <x:c r="J527" s="538" t="inlineStr">
        <x:is>
          <x:t xml:space="preserve">Effective as of October 24, 2024, Citizen Linn Holdco, LLC, a Delaware limited liability company (“Citizen-Linn"), merged with and into Pressburg, with Pressburg continuing as the surviving entity, in accordance with Section 18-209 of the Limited Liability Company Act of the State of Delaware. … Full recital in recorded instrument — see Link.</x:t>
        </x:is>
      </x:c>
      <x:c r="K527" s="518" t="e">
        <x:f>HYPERLINK("https://okcountyrecords.com/detail/roger+mills/2024-007203","63e8b9a8d056433a9994fe46ca85076b.pdf | OKCountyRecords: 2024-007203")</x:f>
      </x:c>
      <x:c r="L527" s="519" t="inlineStr">
        <x:is>
          <x:t xml:space="preserve">Mineral; basis Conv Amt(dec). All-section coverage. Gross=tract-map basis.</x:t>
        </x:is>
      </x:c>
      <x:c r="M527" s="519" t="inlineStr">
        <x:is>
          <x:t xml:space="preserve">OK</x:t>
        </x:is>
      </x:c>
      <x:c r="N527" s="519" t="inlineStr">
        <x:is>
          <x:t xml:space="preserve">Non-conveying per The Public rule; Validus merger affidavit notice (verify if operative deed exists).</x:t>
        </x:is>
      </x:c>
      <x:c r="O527" s="519" t="inlineStr">
        <x:is>
          <x:t xml:space="preserve">OUTSIDE LANDS</x:t>
        </x:is>
      </x:c>
      <x:c r="P527" s="520" t="inlineStr">
        <x:is>
          <x:t xml:space="preserve">Chain — title support (succession/entity/probate)</x:t>
        </x:is>
      </x:c>
      <x:c r="Q527" s="520" t="inlineStr">
        <x:is>
          <x:t xml:space="preserve">Yes</x:t>
        </x:is>
      </x:c>
      <x:c r="R527" s="520" t="inlineStr">
        <x:is>
          <x:t xml:space="preserve">No</x:t>
        </x:is>
      </x:c>
      <x:c r="S527" s="520" t="inlineStr">
        <x:is>
          <x:t xml:space="preserve">Yes</x:t>
        </x:is>
      </x:c>
      <x:c r="T527" s="520" t="inlineStr">
        <x:is>
          <x:t xml:space="preserve">No</x:t>
        </x:is>
      </x:c>
      <x:c r="U527" s="520" t="inlineStr">
        <x:is>
          <x:t xml:space="preserve">Yes: 1, 8 (broad legal)</x:t>
        </x:is>
      </x:c>
      <x:c r="V527" s="520" t="inlineStr">
        <x:is>
          <x:t xml:space="preserve">Medium</x:t>
        </x:is>
      </x:c>
      <x:c r="W527" s="520" t="inlineStr">
        <x:is>
          <x:t xml:space="preserve">Review — no exact prior-grantee match</x:t>
        </x:is>
      </x:c>
      <x:c r="X527" s="520" t="inlineStr">
        <x:is>
          <x:t xml:space="preserve">Review</x:t>
        </x:is>
      </x:c>
      <x:c r="Y527" s="520" t="inlineStr">
        <x:is>
          <x:t xml:space="preserve">Interest amount needs review</x:t>
        </x:is>
      </x:c>
      <x:c r="Z527" s="520" t="inlineStr">
        <x:is>
          <x:t xml:space="preserve">Review</x:t>
        </x:is>
      </x:c>
      <x:c r="AA527" s="520" t="inlineStr">
        <x:is>
          <x:t xml:space="preserve">Affidavit of Merger — Cameron Brown, Chief Executive to The Public (2599/505)</x:t>
        </x:is>
      </x:c>
      <x:c r="AB527" s="520" t="inlineStr">
        <x:is>
          <x:t xml:space="preserve">Needs source review: grantor source, interest amount</x:t>
        </x:is>
      </x:c>
    </x:row>
    <x:row r="528" s="520" customFormat="1" ht="48" customHeight="1">
      <x:c r="A528" s="519" t="inlineStr">
        <x:is>
          <x:t xml:space="preserve">2024-007338</x:t>
        </x:is>
      </x:c>
      <x:c r="B528" s="536" t="n"/>
      <x:c r="C528" s="536" t="inlineStr">
        <x:is>
          <x:t xml:space="preserve">Mineral Deed</x:t>
        </x:is>
      </x:c>
      <x:c r="D528" s="536" t="inlineStr">
        <x:is>
          <x:t xml:space="preserve">2600/472</x:t>
        </x:is>
      </x:c>
      <x:c r="E528" s="537" t="n">
        <x:v>45608</x:v>
      </x:c>
      <x:c r="F528" s="537" t="n">
        <x:v>45621</x:v>
      </x:c>
      <x:c r="G528" s="538" t="inlineStr">
        <x:is>
          <x:t xml:space="preserve">Carrie Leeann Mitchell</x:t>
        </x:is>
      </x:c>
      <x:c r="H528" s="538" t="inlineStr">
        <x:is>
          <x:t xml:space="preserve">James Gerard Buonaccorsi,
Mitchell-Buonaccorsi Living Trust,
Carrie Leeann Mitchell, Trustee</x:t>
        </x:is>
      </x:c>
      <x:c r="I528" s="538" t="inlineStr">
        <x:is>
          <x:t xml:space="preserve">All of 31-12N-24W, aol</x:t>
        </x:is>
      </x:c>
      <x:c r="J528" s="538" t="inlineStr">
        <x:is>
          <x:t xml:space="preserve">ARTI</x:t>
        </x:is>
      </x:c>
      <x:c r="K528" s="518" t="e">
        <x:f>HYPERLINK("https://okcountyrecords.com/detail/roger+mills/2024-007338/32904065","OKCountyRecords: 2024-007338")</x:f>
      </x:c>
      <x:c r="L528" s="519" t="inlineStr">
        <x:is>
          <x:t xml:space="preserve">Mineral; basis Conv Amt(dec). All-section coverage. Gross=tract-map basis.</x:t>
        </x:is>
      </x:c>
      <x:c r="M528" s="519" t="inlineStr">
        <x:is>
          <x:t xml:space="preserve">CURRENT OWNER SOURCE</x:t>
        </x:is>
      </x:c>
      <x:c r="N528" s="519" t="n"/>
      <x:c r="O528" s="519" t="inlineStr">
        <x:is>
          <x:t xml:space="preserve">OUTSIDE LANDS</x:t>
        </x:is>
      </x:c>
      <x:c r="P528" s="520" t="inlineStr">
        <x:is>
          <x:t xml:space="preserve">Chain — minerals</x:t>
        </x:is>
      </x:c>
      <x:c r="Q528" s="520" t="inlineStr">
        <x:is>
          <x:t xml:space="preserve">Yes</x:t>
        </x:is>
      </x:c>
      <x:c r="R528" s="520" t="inlineStr">
        <x:is>
          <x:t xml:space="preserve">No</x:t>
        </x:is>
      </x:c>
      <x:c r="S528" s="520" t="inlineStr">
        <x:is>
          <x:t xml:space="preserve">Yes</x:t>
        </x:is>
      </x:c>
      <x:c r="T528" s="520" t="inlineStr">
        <x:is>
          <x:t xml:space="preserve">No</x:t>
        </x:is>
      </x:c>
      <x:c r="U528" s="520" t="inlineStr">
        <x:is>
          <x:t xml:space="preserve">Yes: 1, 8 (broad legal)</x:t>
        </x:is>
      </x:c>
      <x:c r="V528" s="520" t="inlineStr">
        <x:is>
          <x:t xml:space="preserve">Medium</x:t>
        </x:is>
      </x:c>
      <x:c r="W528" s="520" t="inlineStr">
        <x:is>
          <x:t xml:space="preserve">Review — no exact prior-grantee match</x:t>
        </x:is>
      </x:c>
      <x:c r="X528" s="520" t="inlineStr">
        <x:is>
          <x:t xml:space="preserve">Yes — on Tract 1 owner list</x:t>
        </x:is>
      </x:c>
      <x:c r="Y528" s="520" t="inlineStr">
        <x:is>
          <x:t xml:space="preserve">Candidate 1 (helper — confirm from image)</x:t>
        </x:is>
      </x:c>
      <x:c r="Z528" s="520" t="inlineStr">
        <x:is>
          <x:t xml:space="preserve">Medium — helper value</x:t>
        </x:is>
      </x:c>
      <x:c r="AA528" s="520" t="inlineStr">
        <x:is>
          <x:t xml:space="preserve">Mineral Deed — Carrie Leeann Mitchell to James Gerard Buonaccorsi, (2600/472)</x:t>
        </x:is>
      </x:c>
      <x:c r="AB528" s="520" t="inlineStr">
        <x:is>
          <x:t xml:space="preserve">Needs source review: grantor source</x:t>
        </x:is>
      </x:c>
    </x:row>
    <x:row r="529" s="520" customFormat="1" ht="60" customHeight="1">
      <x:c r="A529" s="519" t="inlineStr">
        <x:is>
          <x:t xml:space="preserve">2025-000252</x:t>
        </x:is>
      </x:c>
      <x:c r="B529" s="536" t="n"/>
      <x:c r="C529" s="536" t="inlineStr">
        <x:is>
          <x:t xml:space="preserve">Correction to Assignment and Bill of Sale</x:t>
        </x:is>
      </x:c>
      <x:c r="D529" s="536" t="inlineStr">
        <x:is>
          <x:t xml:space="preserve">2608/397</x:t>
        </x:is>
      </x:c>
      <x:c r="E529" s="537" t="n">
        <x:v>45648</x:v>
      </x:c>
      <x:c r="F529" s="537" t="n">
        <x:v>45672</x:v>
      </x:c>
      <x:c r="G529" s="538" t="inlineStr">
        <x:is>
          <x:t xml:space="preserve">Fairway Resources III, LLC,
Fairway Resources Partners III Minerals, LLC</x:t>
        </x:is>
      </x:c>
      <x:c r="H529" s="538" t="inlineStr">
        <x:is>
          <x:t xml:space="preserve">Mustang Fuel Corporation</x:t>
        </x:is>
      </x:c>
      <x:c r="I529" s="538" t="inlineStr">
        <x:is>
          <x:t xml:space="preserve">All of 31-12N-24W, aol</x:t>
        </x:is>
      </x:c>
      <x:c r="J529" s="538" t="inlineStr">
        <x:is>
          <x:t xml:space="preserve">ARTI</x:t>
        </x:is>
      </x:c>
      <x:c r="K529" s="518" t="e">
        <x:f>HYPERLINK("https://okcountyrecords.com/detail/roger+mills/2025-000252","OKCountyRecords: 2025-000252")</x:f>
      </x:c>
      <x:c r="L529" s="519" t="inlineStr">
        <x:is>
          <x:t xml:space="preserve">Leasehold (non-mineral; excluded from mineral NMA). All-section coverage. Gross=tract-map basis.</x:t>
        </x:is>
      </x:c>
      <x:c r="M529" s="519" t="inlineStr">
        <x:is>
          <x:t xml:space="preserve">Confirm lease effect</x:t>
        </x:is>
      </x:c>
      <x:c r="N529" s="519" t="n"/>
      <x:c r="O529" s="519" t="inlineStr">
        <x:is>
          <x:t xml:space="preserve">OUTSIDE LANDS</x:t>
        </x:is>
      </x:c>
      <x:c r="P529" s="520" t="inlineStr">
        <x:is>
          <x:t xml:space="preserve">Chain — WI/leasehold assignment</x:t>
        </x:is>
      </x:c>
      <x:c r="Q529" s="520" t="inlineStr">
        <x:is>
          <x:t xml:space="preserve">No</x:t>
        </x:is>
      </x:c>
      <x:c r="R529" s="520" t="inlineStr">
        <x:is>
          <x:t xml:space="preserve">Yes</x:t>
        </x:is>
      </x:c>
      <x:c r="S529" s="520" t="inlineStr">
        <x:is>
          <x:t xml:space="preserve">Review</x:t>
        </x:is>
      </x:c>
      <x:c r="T529" s="520" t="inlineStr">
        <x:is>
          <x:t xml:space="preserve">Yes</x:t>
        </x:is>
      </x:c>
      <x:c r="U529" s="520" t="inlineStr">
        <x:is>
          <x:t xml:space="preserve">Yes: 1, 8 (broad legal)</x:t>
        </x:is>
      </x:c>
      <x:c r="V529" s="520" t="inlineStr">
        <x:is>
          <x:t xml:space="preserve">Medium</x:t>
        </x:is>
      </x:c>
      <x:c r="W529" s="520" t="inlineStr">
        <x:is>
          <x:t xml:space="preserve">Yes — prior grantee match</x:t>
        </x:is>
      </x:c>
      <x:c r="X529" s="520" t="inlineStr">
        <x:is>
          <x:t xml:space="preserve">Review</x:t>
        </x:is>
      </x:c>
      <x:c r="Y529" s="520" t="inlineStr">
        <x:is>
          <x:t xml:space="preserve">Interest amount needs review</x:t>
        </x:is>
      </x:c>
      <x:c r="Z529" s="520" t="inlineStr">
        <x:is>
          <x:t xml:space="preserve">Review</x:t>
        </x:is>
      </x:c>
      <x:c r="AA529" s="520" t="inlineStr">
        <x:is>
          <x:t xml:space="preserve">Correction to Assignment and Bil — Fairway Resources III, LLC, to Mustang Fuel Corporation (2608/397)</x:t>
        </x:is>
      </x:c>
      <x:c r="AB529" s="520" t="inlineStr">
        <x:is>
          <x:t xml:space="preserve">Needs source review: interest amount</x:t>
        </x:is>
      </x:c>
    </x:row>
    <x:row r="530" s="520" customFormat="1" ht="60" customHeight="1">
      <x:c r="A530" s="519" t="inlineStr">
        <x:is>
          <x:t xml:space="preserve">2025-001343</x:t>
        </x:is>
      </x:c>
      <x:c r="B530" s="536" t="n"/>
      <x:c r="C530" s="536" t="inlineStr">
        <x:is>
          <x:t xml:space="preserve">Joint Tenancy Quit Claim Mineral Deed</x:t>
        </x:is>
      </x:c>
      <x:c r="D530" s="536" t="inlineStr">
        <x:is>
          <x:t xml:space="preserve">2617/228</x:t>
        </x:is>
      </x:c>
      <x:c r="E530" s="537" t="n">
        <x:v>45726</x:v>
      </x:c>
      <x:c r="F530" s="537" t="n">
        <x:v>45728</x:v>
      </x:c>
      <x:c r="G530" s="538" t="inlineStr">
        <x:is>
          <x:t xml:space="preserve">Eleanore Wheeler aka Eleanor Wheeler, single</x:t>
        </x:is>
      </x:c>
      <x:c r="H530" s="538" t="inlineStr">
        <x:is>
          <x:t xml:space="preserve">Eleanore Wheeler and Shirley Wheeler, mother and daughter, JTWROS</x:t>
        </x:is>
      </x:c>
      <x:c r="I530" s="538" t="inlineStr">
        <x:is>
          <x:t xml:space="preserve">S/2 of Lot 3, Lot 4, S/2 NE/4 SW/4, SE/4 SW/4 of 31-12N-24W, aol</x:t>
        </x:is>
      </x:c>
      <x:c r="J530" s="538" t="inlineStr">
        <x:is>
          <x:t xml:space="preserve">ARTI</x:t>
        </x:is>
      </x:c>
      <x:c r="K530" s="518" t="e">
        <x:f>HYPERLINK("https://okcountyrecords.com/detail/roger+mills/2025-001343","OKCountyRecords: 2025-001343")</x:f>
      </x:c>
      <x:c r="L530" s="519" t="inlineStr">
        <x:is>
          <x:t xml:space="preserve">Mineral; basis Conv Amt(dec). Gross=tract-map basis.</x:t>
        </x:is>
      </x:c>
      <x:c r="M530" s="519" t="inlineStr">
        <x:is>
          <x:t xml:space="preserve">CURRENT OWNER SOURCE</x:t>
        </x:is>
      </x:c>
      <x:c r="N530" s="519" t="n"/>
      <x:c r="O530" s="519" t="inlineStr">
        <x:is>
          <x:t xml:space="preserve">OUTSIDE LANDS</x:t>
        </x:is>
      </x:c>
      <x:c r="P530" s="520" t="inlineStr">
        <x:is>
          <x:t xml:space="preserve">Chain — minerals</x:t>
        </x:is>
      </x:c>
      <x:c r="Q530" s="520" t="inlineStr">
        <x:is>
          <x:t xml:space="preserve">Yes</x:t>
        </x:is>
      </x:c>
      <x:c r="R530" s="520" t="inlineStr">
        <x:is>
          <x:t xml:space="preserve">No</x:t>
        </x:is>
      </x:c>
      <x:c r="S530" s="520" t="inlineStr">
        <x:is>
          <x:t xml:space="preserve">Yes</x:t>
        </x:is>
      </x:c>
      <x:c r="T530" s="520" t="inlineStr">
        <x:is>
          <x:t xml:space="preserve">No</x:t>
        </x:is>
      </x:c>
      <x:c r="U530" s="520" t="inlineStr">
        <x:is>
          <x:t xml:space="preserve">Legal maps to 5, 7, 9; helper says 2, 3, 5, 6, 7</x:t>
        </x:is>
      </x:c>
      <x:c r="V530" s="520" t="inlineStr">
        <x:is>
          <x:t xml:space="preserve">Review</x:t>
        </x:is>
      </x:c>
      <x:c r="W530" s="520" t="inlineStr">
        <x:is>
          <x:t xml:space="preserve">Review — no exact prior-grantee match</x:t>
        </x:is>
      </x:c>
      <x:c r="X530" s="520" t="inlineStr">
        <x:is>
          <x:t xml:space="preserve">Yes — on Tract 3 owner list</x:t>
        </x:is>
      </x:c>
      <x:c r="Y530" s="520" t="inlineStr">
        <x:is>
          <x:t xml:space="preserve">Candidate 1 (helper — confirm from image)</x:t>
        </x:is>
      </x:c>
      <x:c r="Z530" s="520" t="inlineStr">
        <x:is>
          <x:t xml:space="preserve">Medium — helper value</x:t>
        </x:is>
      </x:c>
      <x:c r="AA530" s="520" t="inlineStr">
        <x:is>
          <x:t xml:space="preserve">Joint Tenancy Quit Claim Mineral — Eleanore Wheeler aka Eleanor W to Eleanore Wheeler and Shirley W (2617/228)</x:t>
        </x:is>
      </x:c>
      <x:c r="AB530" s="520" t="inlineStr">
        <x:is>
          <x:t xml:space="preserve">Needs source review: tract, grantor source</x:t>
        </x:is>
      </x:c>
    </x:row>
    <x:row r="531" s="520" customFormat="1" ht="264" customHeight="1">
      <x:c r="A531" s="519" t="inlineStr">
        <x:is>
          <x:t xml:space="preserve">2025-003963</x:t>
        </x:is>
      </x:c>
      <x:c r="B531" s="536" t="n"/>
      <x:c r="C531" s="536" t="inlineStr">
        <x:is>
          <x:t xml:space="preserve">Warranty Deed</x:t>
        </x:is>
      </x:c>
      <x:c r="D531" s="536" t="inlineStr">
        <x:is>
          <x:t xml:space="preserve">2638/58</x:t>
        </x:is>
      </x:c>
      <x:c r="E531" s="537" t="n">
        <x:v>45726</x:v>
      </x:c>
      <x:c r="F531" s="537" t="n">
        <x:v>45840</x:v>
      </x:c>
      <x:c r="G531" s="538" t="inlineStr">
        <x:is>
          <x:t xml:space="preserve">Jesse Joe Newell, also known as Jesse J. Newell and Jesse Newell, and Rachael Elizabeth Newell, also known as Rachael E. Newell and Rachael Newell, husband and wife</x:t>
        </x:is>
      </x:c>
      <x:c r="H531" s="538" t="inlineStr">
        <x:is>
          <x:t xml:space="preserve">Joe Newell and Rachael Elizabeth Newell, Trustees of the Newell Farms Trust dated September 12, 2024, and any amendments thereto</x:t>
        </x:is>
      </x:c>
      <x:c r="I531" s="538" t="inlineStr">
        <x:is>
          <x:t xml:space="preserve">Lots 1, 2, 3, 4 and the East Half of the West Half in Section 31, Township 12 North, Range 24 W.I.M., Roger Mills County, Oklahoma, containing 307.42 acres, more or less. LESS AND EXCEPT a tract of land in the Southwest Quarter of said Section 31, described as follows: Beginning at the Southeast corner of the Southwest Quarter for a point of beginning; thence North 946 feet; thence West 2547.6 feet to section line between Section 31, Township 12 North, Range 24 W.I.M., and Section 36, Township 12 North, Range 25 W.I.M.; thence South along section line 946 feet; thence East 2547.6 feet to the point of beginning, containing 55.335 acres, more or less. AND LESS AND EXCEPT a tract of land in Lot 1 of said Section 31, described as follows: Beginning at the Northwest corner of said Lot 1; thence East 420.58 feet; thence South 725 feet; thence West 420.58 feet; thence North 725 feet to the point of beginning, containing 7 acres, more or less;</x:t>
        </x:is>
      </x:c>
      <x:c r="J531" s="538" t="inlineStr">
        <x:is>
          <x:t xml:space="preserve">An undivided one-half interest</x:t>
        </x:is>
      </x:c>
      <x:c r="K531" s="518" t="e">
        <x:f>HYPERLINK("https://okcountyrecords.com/detail/roger+mills/2025-003963","OKCountyRecords: 2025-003963")</x:f>
      </x:c>
      <x:c r="L531" s="519" t="inlineStr">
        <x:is>
          <x:t xml:space="preserve">Mineral; basis Conv Amt(dec). Gross=tract-map basis.</x:t>
        </x:is>
      </x:c>
      <x:c r="M531" s="519" t="inlineStr">
        <x:is>
          <x:t xml:space="preserve">REVIEW</x:t>
        </x:is>
      </x:c>
      <x:c r="N531" s="519" t="inlineStr">
        <x:is>
          <x:t xml:space="preserve">Conveyed interest / decimal from instrument image</x:t>
        </x:is>
      </x:c>
      <x:c r="O531" s="519" t="inlineStr">
        <x:is>
          <x:t xml:space="preserve">MINERAL DEED</x:t>
        </x:is>
      </x:c>
      <x:c r="P531" s="520" t="inlineStr">
        <x:is>
          <x:t xml:space="preserve">Chain — deed (confirm minerals vs surface from instrument)</x:t>
        </x:is>
      </x:c>
      <x:c r="Q531" s="520" t="inlineStr">
        <x:is>
          <x:t xml:space="preserve">Yes</x:t>
        </x:is>
      </x:c>
      <x:c r="R531" s="520" t="inlineStr">
        <x:is>
          <x:t xml:space="preserve">No</x:t>
        </x:is>
      </x:c>
      <x:c r="S531" s="520" t="inlineStr">
        <x:is>
          <x:t xml:space="preserve">Review</x:t>
        </x:is>
      </x:c>
      <x:c r="T531" s="520" t="inlineStr">
        <x:is>
          <x:t xml:space="preserve">No</x:t>
        </x:is>
      </x:c>
      <x:c r="U531" s="520" t="inlineStr">
        <x:is>
          <x:t xml:space="preserve">Yes: 5, 6 (legal supports)</x:t>
        </x:is>
      </x:c>
      <x:c r="V531" s="520" t="inlineStr">
        <x:is>
          <x:t xml:space="preserve">High</x:t>
        </x:is>
      </x:c>
      <x:c r="W531" s="520" t="inlineStr">
        <x:is>
          <x:t xml:space="preserve">Review — no exact prior-grantee match</x:t>
        </x:is>
      </x:c>
      <x:c r="X531" s="520" t="inlineStr">
        <x:is>
          <x:t xml:space="preserve">Yes — on Tract 5 owner list</x:t>
        </x:is>
      </x:c>
      <x:c r="Y531" s="520" t="inlineStr">
        <x:is>
          <x:t xml:space="preserve">Candidate 0.5 (helper — confirm from image)</x:t>
        </x:is>
      </x:c>
      <x:c r="Z531" s="520" t="inlineStr">
        <x:is>
          <x:t xml:space="preserve">Medium — helper value</x:t>
        </x:is>
      </x:c>
      <x:c r="AA531" s="520" t="inlineStr">
        <x:is>
          <x:t xml:space="preserve">Warranty Deed — Jesse Joe Newell, also known a to Joe Newell and Rachael Elizabe (2638/58)</x:t>
        </x:is>
      </x:c>
      <x:c r="AB531" s="520" t="inlineStr">
        <x:is>
          <x:t xml:space="preserve">Needs source review: grantor source</x:t>
        </x:is>
      </x:c>
    </x:row>
    <x:row r="532" s="520" customFormat="1" ht="36" customHeight="1">
      <x:c r="A532" s="519" t="inlineStr">
        <x:is>
          <x:t xml:space="preserve">2025-002463</x:t>
        </x:is>
      </x:c>
      <x:c r="B532" s="536" t="n"/>
      <x:c r="C532" s="536" t="inlineStr">
        <x:is>
          <x:t xml:space="preserve">Mineral Deed</x:t>
        </x:is>
      </x:c>
      <x:c r="D532" s="536" t="inlineStr">
        <x:is>
          <x:t xml:space="preserve">2625/231</x:t>
        </x:is>
      </x:c>
      <x:c r="E532" s="537" t="n">
        <x:v>45747</x:v>
      </x:c>
      <x:c r="F532" s="537" t="n">
        <x:v>45771</x:v>
      </x:c>
      <x:c r="G532" s="538" t="inlineStr">
        <x:is>
          <x:t xml:space="preserve">EDR, LLC</x:t>
        </x:is>
      </x:c>
      <x:c r="H532" s="538" t="inlineStr">
        <x:is>
          <x:t xml:space="preserve">Okki Industries, LLC
P.O. Box 54859
Oklahoma City, OK 73154</x:t>
        </x:is>
      </x:c>
      <x:c r="I532" s="538" t="inlineStr">
        <x:is>
          <x:t xml:space="preserve">NW/4 SE/4, S/2 SE/4, SW/4 NE/4 of 31-12N-24W, aol</x:t>
        </x:is>
      </x:c>
      <x:c r="J532" s="538" t="inlineStr">
        <x:is>
          <x:t xml:space="preserve">0.75 net mineral acres in 31-12N-24W from a total of 6.430625 net mineral acres of Grantor's right, title, and interest in and to all of the oil, gas and other minerals in and under 3 sections</x:t>
        </x:is>
      </x:c>
      <x:c r="K532" s="518" t="e">
        <x:f>HYPERLINK("https://okcountyrecords.com/detail/roger+mills/2025-002463/34027439","OKCountyRecords: 2025-002463")</x:f>
      </x:c>
      <x:c r="L532" s="519" t="inlineStr">
        <x:is>
          <x:t xml:space="preserve">Mineral; basis Conv Amt(dec). Gross=tract-map basis.</x:t>
        </x:is>
      </x:c>
      <x:c r="M532" s="519" t="inlineStr">
        <x:is>
          <x:t xml:space="preserve">REVIEW</x:t>
        </x:is>
      </x:c>
      <x:c r="N532" s="519" t="inlineStr">
        <x:is>
          <x:t xml:space="preserve">Denominator / tract allocation for 0.75 NMA from instrument image</x:t>
        </x:is>
      </x:c>
      <x:c r="O532" s="519" t="inlineStr">
        <x:is>
          <x:t xml:space="preserve">OUTSIDE LANDS</x:t>
        </x:is>
      </x:c>
      <x:c r="P532" s="520" t="inlineStr">
        <x:is>
          <x:t xml:space="preserve">Chain — minerals</x:t>
        </x:is>
      </x:c>
      <x:c r="Q532" s="520" t="inlineStr">
        <x:is>
          <x:t xml:space="preserve">Yes</x:t>
        </x:is>
      </x:c>
      <x:c r="R532" s="520" t="inlineStr">
        <x:is>
          <x:t xml:space="preserve">No</x:t>
        </x:is>
      </x:c>
      <x:c r="S532" s="520" t="inlineStr">
        <x:is>
          <x:t xml:space="preserve">Yes</x:t>
        </x:is>
      </x:c>
      <x:c r="T532" s="520" t="inlineStr">
        <x:is>
          <x:t xml:space="preserve">No</x:t>
        </x:is>
      </x:c>
      <x:c r="U532" s="520" t="inlineStr">
        <x:is>
          <x:t xml:space="preserve">Yes: 2 (legal supports)</x:t>
        </x:is>
      </x:c>
      <x:c r="V532" s="520" t="inlineStr">
        <x:is>
          <x:t xml:space="preserve">High</x:t>
        </x:is>
      </x:c>
      <x:c r="W532" s="520" t="inlineStr">
        <x:is>
          <x:t xml:space="preserve">Review — no exact prior-grantee match</x:t>
        </x:is>
      </x:c>
      <x:c r="X532" s="520" t="inlineStr">
        <x:is>
          <x:t xml:space="preserve">Yes — on Tract 2 owner list</x:t>
        </x:is>
      </x:c>
      <x:c r="Y532" s="520" t="inlineStr">
        <x:is>
          <x:t xml:space="preserve">Candidate 0.0046875 (helper — confirm from image)</x:t>
        </x:is>
      </x:c>
      <x:c r="Z532" s="520" t="inlineStr">
        <x:is>
          <x:t xml:space="preserve">Medium — helper value</x:t>
        </x:is>
      </x:c>
      <x:c r="AA532" s="520" t="inlineStr">
        <x:is>
          <x:t xml:space="preserve">Mineral Deed — EDR, LLC to Okki Industries, LLC (2625/231)</x:t>
        </x:is>
      </x:c>
      <x:c r="AB532" s="520" t="inlineStr">
        <x:is>
          <x:t xml:space="preserve">Needs source review: grantor source</x:t>
        </x:is>
      </x:c>
    </x:row>
    <x:row r="533" s="520" customFormat="1" ht="36" customHeight="1">
      <x:c r="A533" s="519" t="inlineStr">
        <x:is>
          <x:t xml:space="preserve">2025-002464</x:t>
        </x:is>
      </x:c>
      <x:c r="B533" s="536" t="n"/>
      <x:c r="C533" s="536" t="inlineStr">
        <x:is>
          <x:t xml:space="preserve">Mineral Deed</x:t>
        </x:is>
      </x:c>
      <x:c r="D533" s="536" t="inlineStr">
        <x:is>
          <x:t xml:space="preserve">2625/233</x:t>
        </x:is>
      </x:c>
      <x:c r="E533" s="537" t="n">
        <x:v>45747</x:v>
      </x:c>
      <x:c r="F533" s="537" t="n">
        <x:v>45771</x:v>
      </x:c>
      <x:c r="G533" s="538" t="inlineStr">
        <x:is>
          <x:t xml:space="preserve">EDR, LLC</x:t>
        </x:is>
      </x:c>
      <x:c r="H533" s="538" t="inlineStr">
        <x:is>
          <x:t xml:space="preserve">Del Monte Royalty Partners, LLC
P.O. Box 18776
Oklahoma City, OK 73154</x:t>
        </x:is>
      </x:c>
      <x:c r="I533" s="538" t="inlineStr">
        <x:is>
          <x:t xml:space="preserve">NW/4 SE/4, S/2 SE/4, SW/4 NE/4 of 31-12N-24W, aol</x:t>
        </x:is>
      </x:c>
      <x:c r="J533" s="538" t="inlineStr">
        <x:is>
          <x:t xml:space="preserve">0.75 net mineral acres in 31-12N-24W from a total of 6.430625 net mineral acres of Grantor's right, title, and interest in and to all of the oil, gas and other minerals in and under 3 sections</x:t>
        </x:is>
      </x:c>
      <x:c r="K533" s="518" t="e">
        <x:f>HYPERLINK("https://okcountyrecords.com/detail/roger+mills/2025-002464/34027438","OKCountyRecords: 2025-002464")</x:f>
      </x:c>
      <x:c r="L533" s="519" t="inlineStr">
        <x:is>
          <x:t xml:space="preserve">Mineral; basis Conv Amt(dec). Gross=tract-map basis.</x:t>
        </x:is>
      </x:c>
      <x:c r="M533" s="519" t="inlineStr">
        <x:is>
          <x:t xml:space="preserve">REVIEW</x:t>
        </x:is>
      </x:c>
      <x:c r="N533" s="519" t="inlineStr">
        <x:is>
          <x:t xml:space="preserve">Denominator / tract allocation for 0.75 NMA from instrument image</x:t>
        </x:is>
      </x:c>
      <x:c r="O533" s="519" t="inlineStr">
        <x:is>
          <x:t xml:space="preserve">OUTSIDE LANDS</x:t>
        </x:is>
      </x:c>
      <x:c r="P533" s="520" t="inlineStr">
        <x:is>
          <x:t xml:space="preserve">Chain — minerals</x:t>
        </x:is>
      </x:c>
      <x:c r="Q533" s="520" t="inlineStr">
        <x:is>
          <x:t xml:space="preserve">Yes</x:t>
        </x:is>
      </x:c>
      <x:c r="R533" s="520" t="inlineStr">
        <x:is>
          <x:t xml:space="preserve">No</x:t>
        </x:is>
      </x:c>
      <x:c r="S533" s="520" t="inlineStr">
        <x:is>
          <x:t xml:space="preserve">Yes</x:t>
        </x:is>
      </x:c>
      <x:c r="T533" s="520" t="inlineStr">
        <x:is>
          <x:t xml:space="preserve">No</x:t>
        </x:is>
      </x:c>
      <x:c r="U533" s="520" t="inlineStr">
        <x:is>
          <x:t xml:space="preserve">Yes: 2 (legal supports)</x:t>
        </x:is>
      </x:c>
      <x:c r="V533" s="520" t="inlineStr">
        <x:is>
          <x:t xml:space="preserve">High</x:t>
        </x:is>
      </x:c>
      <x:c r="W533" s="520" t="inlineStr">
        <x:is>
          <x:t xml:space="preserve">Review — no exact prior-grantee match</x:t>
        </x:is>
      </x:c>
      <x:c r="X533" s="520" t="inlineStr">
        <x:is>
          <x:t xml:space="preserve">Yes — on Tract 2 owner list</x:t>
        </x:is>
      </x:c>
      <x:c r="Y533" s="520" t="inlineStr">
        <x:is>
          <x:t xml:space="preserve">Candidate 0.0046875 (helper — confirm from image)</x:t>
        </x:is>
      </x:c>
      <x:c r="Z533" s="520" t="inlineStr">
        <x:is>
          <x:t xml:space="preserve">Medium — helper value</x:t>
        </x:is>
      </x:c>
      <x:c r="AA533" s="520" t="inlineStr">
        <x:is>
          <x:t xml:space="preserve">Mineral Deed — EDR, LLC to Del Monte Royalty Partners, LL (2625/233)</x:t>
        </x:is>
      </x:c>
      <x:c r="AB533" s="520" t="inlineStr">
        <x:is>
          <x:t xml:space="preserve">Needs source review: grantor source</x:t>
        </x:is>
      </x:c>
    </x:row>
    <x:row r="534" s="520" customFormat="1" ht="60" customHeight="1">
      <x:c r="A534" s="519" t="inlineStr">
        <x:is>
          <x:t xml:space="preserve">2025-002923</x:t>
        </x:is>
      </x:c>
      <x:c r="B534" s="536" t="n">
        <x:v>76</x:v>
      </x:c>
      <x:c r="C534" s="536" t="inlineStr">
        <x:is>
          <x:t xml:space="preserve">Affidavit of Merger</x:t>
        </x:is>
      </x:c>
      <x:c r="D534" s="536" t="inlineStr">
        <x:is>
          <x:t xml:space="preserve">2628/429</x:t>
        </x:is>
      </x:c>
      <x:c r="E534" s="537" t="n">
        <x:v>45784</x:v>
      </x:c>
      <x:c r="F534" s="537" t="n">
        <x:v>45792</x:v>
      </x:c>
      <x:c r="G534" s="538" t="inlineStr">
        <x:is>
          <x:t xml:space="preserve">Diversified Energy Company</x:t>
        </x:is>
      </x:c>
      <x:c r="H534" s="538" t="inlineStr">
        <x:is>
          <x:t xml:space="preserve">The Public</x:t>
        </x:is>
      </x:c>
      <x:c r="I534" s="538" t="inlineStr">
        <x:is>
          <x:t xml:space="preserve">All of 31-12N-24W, aol</x:t>
        </x:is>
      </x:c>
      <x:c r="J534" s="538" t="inlineStr">
        <x:is>
          <x:t xml:space="preserve">That a Certificate of Merger was filed with the Secretary of State of the State of Delaware evidencing the merger of Remington Merger Sub, LLC, a Delaware limited liability company, and wholly owned indirect subsidiary of Diversified, with and into Maverick Natural Resources, LLC a Delaware limited liability … Full recital in recorded instrument — see Link.</x:t>
        </x:is>
      </x:c>
      <x:c r="K534" s="518" t="e">
        <x:f>HYPERLINK("https://okcountyrecords.com/detail/roger+mills/2025-002923","63e8b9a8d056433a9994fe46ca85076b.pdf | OKCountyRecords: 2025-002923")</x:f>
      </x:c>
      <x:c r="L534" s="519" t="inlineStr">
        <x:is>
          <x:t xml:space="preserve">Other (non-mineral; excluded from mineral NMA). All-section coverage. Gross=tract-map basis.</x:t>
        </x:is>
      </x:c>
      <x:c r="M534" s="519" t="inlineStr">
        <x:is>
          <x:t xml:space="preserve">OK</x:t>
        </x:is>
      </x:c>
      <x:c r="N534" s="519" t="inlineStr">
        <x:is>
          <x:t xml:space="preserve">ARTI/notice instrument (The Public); no net mineral acres conveyed.</x:t>
        </x:is>
      </x:c>
      <x:c r="O534" s="519" t="inlineStr">
        <x:is>
          <x:t xml:space="preserve">OUTSIDE LANDS</x:t>
        </x:is>
      </x:c>
      <x:c r="P534" s="520" t="inlineStr">
        <x:is>
          <x:t xml:space="preserve">Chain — title support (succession/entity/probate)</x:t>
        </x:is>
      </x:c>
      <x:c r="Q534" s="520" t="inlineStr">
        <x:is>
          <x:t xml:space="preserve">Yes</x:t>
        </x:is>
      </x:c>
      <x:c r="R534" s="520" t="inlineStr">
        <x:is>
          <x:t xml:space="preserve">No</x:t>
        </x:is>
      </x:c>
      <x:c r="S534" s="520" t="inlineStr">
        <x:is>
          <x:t xml:space="preserve">Yes</x:t>
        </x:is>
      </x:c>
      <x:c r="T534" s="520" t="inlineStr">
        <x:is>
          <x:t xml:space="preserve">No</x:t>
        </x:is>
      </x:c>
      <x:c r="U534" s="520" t="inlineStr">
        <x:is>
          <x:t xml:space="preserve">Yes: 1, 8 (broad legal)</x:t>
        </x:is>
      </x:c>
      <x:c r="V534" s="520" t="inlineStr">
        <x:is>
          <x:t xml:space="preserve">Medium</x:t>
        </x:is>
      </x:c>
      <x:c r="W534" s="520" t="inlineStr">
        <x:is>
          <x:t xml:space="preserve">Review — no exact prior-grantee match</x:t>
        </x:is>
      </x:c>
      <x:c r="X534" s="520" t="inlineStr">
        <x:is>
          <x:t xml:space="preserve">Review</x:t>
        </x:is>
      </x:c>
      <x:c r="Y534" s="520" t="inlineStr">
        <x:is>
          <x:t xml:space="preserve">Interest amount needs review</x:t>
        </x:is>
      </x:c>
      <x:c r="Z534" s="520" t="inlineStr">
        <x:is>
          <x:t xml:space="preserve">Review</x:t>
        </x:is>
      </x:c>
      <x:c r="AA534" s="520" t="inlineStr">
        <x:is>
          <x:t xml:space="preserve">Affidavit of Merger — Diversified Energy Company to The Public (2628/429)</x:t>
        </x:is>
      </x:c>
      <x:c r="AB534" s="520" t="inlineStr">
        <x:is>
          <x:t xml:space="preserve">Needs source review: grantor source, interest amount</x:t>
        </x:is>
      </x:c>
    </x:row>
    <x:row r="535" s="520" customFormat="1" ht="48" customHeight="1">
      <x:c r="A535" s="519" t="inlineStr">
        <x:is>
          <x:t xml:space="preserve">2025-005448</x:t>
        </x:is>
      </x:c>
      <x:c r="B535" s="536" t="n"/>
      <x:c r="C535" s="536" t="inlineStr">
        <x:is>
          <x:t xml:space="preserve">Mineral Deed</x:t>
        </x:is>
      </x:c>
      <x:c r="D535" s="536" t="inlineStr">
        <x:is>
          <x:t xml:space="preserve">2649/286</x:t>
        </x:is>
      </x:c>
      <x:c r="E535" s="537" t="n">
        <x:v>45896</x:v>
      </x:c>
      <x:c r="F535" s="537" t="n">
        <x:v>45908</x:v>
      </x:c>
      <x:c r="G535" s="538" t="inlineStr">
        <x:is>
          <x:t xml:space="preserve">Gt Mineral Holdings, LLC</x:t>
        </x:is>
      </x:c>
      <x:c r="H535" s="538" t="inlineStr">
        <x:is>
          <x:t xml:space="preserve">Berlain Limited Company</x:t>
        </x:is>
      </x:c>
      <x:c r="I535" s="538" t="inlineStr">
        <x:is>
          <x:t xml:space="preserve">NW/4 SE/4, S/2 SE/4, SW/4 NE/4 of 31-12N-24W, aol</x:t>
        </x:is>
      </x:c>
      <x:c r="J535" s="538" t="inlineStr">
        <x:is>
          <x:t xml:space="preserve">ARTI</x:t>
        </x:is>
      </x:c>
      <x:c r="K535" s="518" t="e">
        <x:f>HYPERLINK("https://okcountyrecords.com/detail/roger+mills/2025-005448","OKCountyRecords: 2025-005448")</x:f>
      </x:c>
      <x:c r="L535" s="519" t="inlineStr">
        <x:is>
          <x:t xml:space="preserve">Mineral; basis Conv Amt(dec). Gross=tract-map basis.</x:t>
        </x:is>
      </x:c>
      <x:c r="M535" s="519" t="n"/>
      <x:c r="N535" s="519" t="n"/>
      <x:c r="O535" s="519" t="inlineStr">
        <x:is>
          <x:t xml:space="preserve">OUTSIDE LANDS</x:t>
        </x:is>
      </x:c>
      <x:c r="P535" s="520" t="inlineStr">
        <x:is>
          <x:t xml:space="preserve">Chain — minerals</x:t>
        </x:is>
      </x:c>
      <x:c r="Q535" s="520" t="inlineStr">
        <x:is>
          <x:t xml:space="preserve">Yes</x:t>
        </x:is>
      </x:c>
      <x:c r="R535" s="520" t="inlineStr">
        <x:is>
          <x:t xml:space="preserve">No</x:t>
        </x:is>
      </x:c>
      <x:c r="S535" s="520" t="inlineStr">
        <x:is>
          <x:t xml:space="preserve">Yes</x:t>
        </x:is>
      </x:c>
      <x:c r="T535" s="520" t="inlineStr">
        <x:is>
          <x:t xml:space="preserve">No</x:t>
        </x:is>
      </x:c>
      <x:c r="U535" s="520" t="inlineStr">
        <x:is>
          <x:t xml:space="preserve">Yes: 2 (legal supports)</x:t>
        </x:is>
      </x:c>
      <x:c r="V535" s="520" t="inlineStr">
        <x:is>
          <x:t xml:space="preserve">High</x:t>
        </x:is>
      </x:c>
      <x:c r="W535" s="520" t="inlineStr">
        <x:is>
          <x:t xml:space="preserve">Yes — prior grantee match</x:t>
        </x:is>
      </x:c>
      <x:c r="X535" s="520" t="inlineStr">
        <x:is>
          <x:t xml:space="preserve">Yes — on Tract 2 owner list</x:t>
        </x:is>
      </x:c>
      <x:c r="Y535" s="520" t="inlineStr">
        <x:is>
          <x:t xml:space="preserve">Candidate 1 (helper — confirm from image)</x:t>
        </x:is>
      </x:c>
      <x:c r="Z535" s="520" t="inlineStr">
        <x:is>
          <x:t xml:space="preserve">Medium — helper value</x:t>
        </x:is>
      </x:c>
      <x:c r="AA535" s="520" t="inlineStr">
        <x:is>
          <x:t xml:space="preserve">Mineral Deed — Gt Mineral Holdings, LLC to Berlain Limited Company (2649/286)</x:t>
        </x:is>
      </x:c>
    </x:row>
    <x:row r="536" s="520" customFormat="1" ht="48" customHeight="1">
      <x:c r="A536" s="519" t="inlineStr">
        <x:is>
          <x:t xml:space="preserve">2025-005451</x:t>
        </x:is>
      </x:c>
      <x:c r="B536" s="536" t="n"/>
      <x:c r="C536" s="536" t="inlineStr">
        <x:is>
          <x:t xml:space="preserve">Mineral Deed</x:t>
        </x:is>
      </x:c>
      <x:c r="D536" s="536" t="inlineStr">
        <x:is>
          <x:t xml:space="preserve">2649/298</x:t>
        </x:is>
      </x:c>
      <x:c r="E536" s="537" t="n">
        <x:v>45897</x:v>
      </x:c>
      <x:c r="F536" s="537" t="n">
        <x:v>45908</x:v>
      </x:c>
      <x:c r="G536" s="538" t="inlineStr">
        <x:is>
          <x:t xml:space="preserve">Berlain Limited Company</x:t>
        </x:is>
      </x:c>
      <x:c r="H536" s="538" t="inlineStr">
        <x:is>
          <x:t xml:space="preserve">Longreach Energy 2, LLC, 29.878109%,
Royfin Natural Gas, LLC, 70.121891%</x:t>
        </x:is>
      </x:c>
      <x:c r="I536" s="538" t="inlineStr">
        <x:is>
          <x:t xml:space="preserve">NW/4 SE/4, S/2 SE/4, SW/4 NE/4 of 31-12N-24W, aol</x:t>
        </x:is>
      </x:c>
      <x:c r="J536" s="538" t="inlineStr">
        <x:is>
          <x:t xml:space="preserve">ARTI</x:t>
        </x:is>
      </x:c>
      <x:c r="K536" s="518" t="e">
        <x:f>HYPERLINK("https://okcountyrecords.com/detail/roger+mills/2025-005451","OKCountyRecords: 2025-005451")</x:f>
      </x:c>
      <x:c r="L536" s="519" t="inlineStr">
        <x:is>
          <x:t xml:space="preserve">Mineral; basis Conv Amt(dec). Gross=tract-map basis.</x:t>
        </x:is>
      </x:c>
      <x:c r="M536" s="519" t="inlineStr">
        <x:is>
          <x:t xml:space="preserve">CURRENT OWNER SOURCE</x:t>
        </x:is>
      </x:c>
      <x:c r="N536" s="519" t="n"/>
      <x:c r="O536" s="519" t="inlineStr">
        <x:is>
          <x:t xml:space="preserve">OUTSIDE LANDS</x:t>
        </x:is>
      </x:c>
      <x:c r="P536" s="520" t="inlineStr">
        <x:is>
          <x:t xml:space="preserve">Chain — minerals</x:t>
        </x:is>
      </x:c>
      <x:c r="Q536" s="520" t="inlineStr">
        <x:is>
          <x:t xml:space="preserve">Yes</x:t>
        </x:is>
      </x:c>
      <x:c r="R536" s="520" t="inlineStr">
        <x:is>
          <x:t xml:space="preserve">No</x:t>
        </x:is>
      </x:c>
      <x:c r="S536" s="520" t="inlineStr">
        <x:is>
          <x:t xml:space="preserve">Yes</x:t>
        </x:is>
      </x:c>
      <x:c r="T536" s="520" t="inlineStr">
        <x:is>
          <x:t xml:space="preserve">No</x:t>
        </x:is>
      </x:c>
      <x:c r="U536" s="520" t="inlineStr">
        <x:is>
          <x:t xml:space="preserve">Yes: 2 (legal supports)</x:t>
        </x:is>
      </x:c>
      <x:c r="V536" s="520" t="inlineStr">
        <x:is>
          <x:t xml:space="preserve">High</x:t>
        </x:is>
      </x:c>
      <x:c r="W536" s="520" t="inlineStr">
        <x:is>
          <x:t xml:space="preserve">Yes — prior grantee match</x:t>
        </x:is>
      </x:c>
      <x:c r="X536" s="520" t="inlineStr">
        <x:is>
          <x:t xml:space="preserve">Review</x:t>
        </x:is>
      </x:c>
      <x:c r="Y536" s="520" t="inlineStr">
        <x:is>
          <x:t xml:space="preserve">Candidate 1 (helper — confirm from image)</x:t>
        </x:is>
      </x:c>
      <x:c r="Z536" s="520" t="inlineStr">
        <x:is>
          <x:t xml:space="preserve">Medium — helper value</x:t>
        </x:is>
      </x:c>
      <x:c r="AA536" s="520" t="inlineStr">
        <x:is>
          <x:t xml:space="preserve">Mineral Deed — Berlain Limited Company to Longreach Energy 2, LLC, 29.87 (2649/298)</x:t>
        </x:is>
      </x:c>
    </x:row>
    <x:row r="537" s="520" customFormat="1" ht="408" customHeight="1">
      <x:c r="A537" s="519" t="inlineStr">
        <x:is>
          <x:t xml:space="preserve">2025-006541</x:t>
        </x:is>
      </x:c>
      <x:c r="B537" s="536" t="n">
        <x:v>77</x:v>
      </x:c>
      <x:c r="C537" s="536" t="inlineStr">
        <x:is>
          <x:t xml:space="preserve">Memorandum of Divisive Merger and Subsequent Consolidations</x:t>
        </x:is>
      </x:c>
      <x:c r="D537" s="536" t="inlineStr">
        <x:is>
          <x:t xml:space="preserve">2660/341</x:t>
        </x:is>
      </x:c>
      <x:c r="E537" s="537" t="n">
        <x:v>45926</x:v>
      </x:c>
      <x:c r="F537" s="537" t="n">
        <x:v>45954</x:v>
      </x:c>
      <x:c r="G537" s="538" t="inlineStr">
        <x:is>
          <x:t xml:space="preserve">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x:t>
        </x:is>
      </x:c>
      <x:c r="H537" s="538" t="inlineStr">
        <x:is>
          <x:t xml:space="preserve">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x:t>
        </x:is>
      </x:c>
      <x:c r="I537" s="538" t="inlineStr">
        <x:is>
          <x:t xml:space="preserve">All of 31-12N-24W, aol</x:t>
        </x:is>
      </x:c>
      <x:c r="J537" s="538" t="inlineStr">
        <x:is>
          <x:t xml:space="preserve">Provides record notice of lease</x:t>
        </x:is>
      </x:c>
      <x:c r="K537" s="518" t="e">
        <x:f>HYPERLINK("https://okcountyrecords.com/detail/roger+mills/2025-006541","63e8b9a8d056433a9994fe46ca85076b.pdf | OKCountyRecords: 2025-006541")</x:f>
      </x:c>
      <x:c r="L537" s="519" t="inlineStr">
        <x:is>
          <x:t xml:space="preserve">Leasehold (non-mineral; excluded from mineral NMA). All-section coverage. Gross=tract-map basis.</x:t>
        </x:is>
      </x:c>
      <x:c r="M537" s="519" t="inlineStr">
        <x:is>
          <x:t xml:space="preserve">CURRENT LEASE SOURCE</x:t>
        </x:is>
      </x:c>
      <x:c r="N537" s="519" t="n"/>
      <x:c r="O537" s="519" t="inlineStr">
        <x:is>
          <x:t xml:space="preserve">OUTSIDE LANDS</x:t>
        </x:is>
      </x:c>
      <x:c r="P537" s="520" t="inlineStr">
        <x:is>
          <x:t xml:space="preserve">Chain — title support (succession/entity/probate)</x:t>
        </x:is>
      </x:c>
      <x:c r="Q537" s="520" t="inlineStr">
        <x:is>
          <x:t xml:space="preserve">Yes</x:t>
        </x:is>
      </x:c>
      <x:c r="R537" s="520" t="inlineStr">
        <x:is>
          <x:t xml:space="preserve">No</x:t>
        </x:is>
      </x:c>
      <x:c r="S537" s="520" t="inlineStr">
        <x:is>
          <x:t xml:space="preserve">Yes</x:t>
        </x:is>
      </x:c>
      <x:c r="T537" s="520" t="inlineStr">
        <x:is>
          <x:t xml:space="preserve">No</x:t>
        </x:is>
      </x:c>
      <x:c r="U537" s="520" t="inlineStr">
        <x:is>
          <x:t xml:space="preserve">Yes: 1, 8 (broad legal)</x:t>
        </x:is>
      </x:c>
      <x:c r="V537" s="520" t="inlineStr">
        <x:is>
          <x:t xml:space="preserve">Medium</x:t>
        </x:is>
      </x:c>
      <x:c r="W537" s="520" t="inlineStr">
        <x:is>
          <x:t xml:space="preserve">Review — no exact prior-grantee match</x:t>
        </x:is>
      </x:c>
      <x:c r="X537" s="520" t="inlineStr">
        <x:is>
          <x:t xml:space="preserve">Review</x:t>
        </x:is>
      </x:c>
      <x:c r="Y537" s="520" t="inlineStr">
        <x:is>
          <x:t xml:space="preserve">Interest amount needs review</x:t>
        </x:is>
      </x:c>
      <x:c r="Z537" s="520" t="inlineStr">
        <x:is>
          <x:t xml:space="preserve">Review</x:t>
        </x:is>
      </x:c>
      <x:c r="AA537" s="520" t="inlineStr">
        <x:is>
          <x:t xml:space="preserve">Memorandum of Divisive Merger an — Windsor OK, LLC, a Texas limite to Windsor OK, LLC, a Texas limite (2660/341)</x:t>
        </x:is>
      </x:c>
      <x:c r="AB537" s="520" t="inlineStr">
        <x:is>
          <x:t xml:space="preserve">Needs source review: grantor source, interest amount</x:t>
        </x:is>
      </x:c>
    </x:row>
    <x:row r="538" s="520" customFormat="1" ht="60" customHeight="1">
      <x:c r="A538" s="519" t="inlineStr">
        <x:is>
          <x:t xml:space="preserve">2025-006987</x:t>
        </x:is>
      </x:c>
      <x:c r="B538" s="536" t="n">
        <x:v>78</x:v>
      </x:c>
      <x:c r="C538" s="536" t="inlineStr">
        <x:is>
          <x:t xml:space="preserve">Wellbore Assignment</x:t>
        </x:is>
      </x:c>
      <x:c r="D538" s="536" t="inlineStr">
        <x:is>
          <x:t xml:space="preserve">2664/169</x:t>
        </x:is>
      </x:c>
      <x:c r="E538" s="537" t="n">
        <x:v>45931</x:v>
      </x:c>
      <x:c r="F538" s="537" t="n">
        <x:v>45975</x:v>
      </x:c>
      <x:c r="G538" s="538" t="inlineStr">
        <x:is>
          <x:t xml:space="preserve">Presidio Finance, LLC</x:t>
        </x:is>
      </x:c>
      <x:c r="H538" s="538" t="inlineStr">
        <x:is>
          <x:t xml:space="preserve">Martins Empire, LLC</x:t>
        </x:is>
      </x:c>
      <x:c r="I538" s="538" t="inlineStr">
        <x:is>
          <x:t xml:space="preserve">All of 31-12N-24W, aol</x:t>
        </x:is>
      </x:c>
      <x:c r="J538" s="538" t="inlineStr">
        <x:is>
          <x:t xml:space="preserve">Transfers wellbore-only rights
</x:t>
        </x:is>
      </x:c>
      <x:c r="K538" s="518" t="e">
        <x:f>HYPERLINK("https://okcountyrecords.com/detail/roger+mills/2025-006987","63e8b9a8d056433a9994fe46ca85076b.pdf | OKCountyRecords: 2025-006987")</x:f>
      </x:c>
      <x:c r="L538" s="519" t="inlineStr">
        <x:is>
          <x:t xml:space="preserve">Leasehold (non-mineral; excluded from mineral NMA). All-section coverage. Gross=tract-map basis.</x:t>
        </x:is>
      </x:c>
      <x:c r="M538" s="519" t="inlineStr">
        <x:is>
          <x:t xml:space="preserve">CURRENT LEASE SOURCE</x:t>
        </x:is>
      </x:c>
      <x:c r="N538" s="519" t="n"/>
      <x:c r="O538" s="519" t="inlineStr">
        <x:is>
          <x:t xml:space="preserve">OUTSIDE LANDS</x:t>
        </x:is>
      </x:c>
      <x:c r="P538" s="520" t="inlineStr">
        <x:is>
          <x:t xml:space="preserve">Chain — WI/leasehold assignment</x:t>
        </x:is>
      </x:c>
      <x:c r="Q538" s="520" t="inlineStr">
        <x:is>
          <x:t xml:space="preserve">No</x:t>
        </x:is>
      </x:c>
      <x:c r="R538" s="520" t="inlineStr">
        <x:is>
          <x:t xml:space="preserve">Yes</x:t>
        </x:is>
      </x:c>
      <x:c r="S538" s="520" t="inlineStr">
        <x:is>
          <x:t xml:space="preserve">Review</x:t>
        </x:is>
      </x:c>
      <x:c r="T538" s="520" t="inlineStr">
        <x:is>
          <x:t xml:space="preserve">Yes</x:t>
        </x:is>
      </x:c>
      <x:c r="U538" s="520" t="inlineStr">
        <x:is>
          <x:t xml:space="preserve">Yes: 1, 8 (broad legal)</x:t>
        </x:is>
      </x:c>
      <x:c r="V538" s="520" t="inlineStr">
        <x:is>
          <x:t xml:space="preserve">Medium</x:t>
        </x:is>
      </x:c>
      <x:c r="W538" s="520" t="inlineStr">
        <x:is>
          <x:t xml:space="preserve">Review — no exact prior-grantee match</x:t>
        </x:is>
      </x:c>
      <x:c r="X538" s="520" t="inlineStr">
        <x:is>
          <x:t xml:space="preserve">Review</x:t>
        </x:is>
      </x:c>
      <x:c r="Y538" s="520" t="inlineStr">
        <x:is>
          <x:t xml:space="preserve">Interest amount needs review</x:t>
        </x:is>
      </x:c>
      <x:c r="Z538" s="520" t="inlineStr">
        <x:is>
          <x:t xml:space="preserve">Review</x:t>
        </x:is>
      </x:c>
      <x:c r="AA538" s="520" t="inlineStr">
        <x:is>
          <x:t xml:space="preserve">Wellbore Assignment — Presidio Finance, LLC to Martins Empire, LLC (2664/169)</x:t>
        </x:is>
      </x:c>
      <x:c r="AB538" s="520" t="inlineStr">
        <x:is>
          <x:t xml:space="preserve">Needs source review: grantor source, interest amount</x:t>
        </x:is>
      </x:c>
    </x:row>
    <x:row r="539" s="520" customFormat="1" ht="48" customHeight="1">
      <x:c r="A539" s="519" t="inlineStr">
        <x:is>
          <x:t xml:space="preserve">2026-000691</x:t>
        </x:is>
      </x:c>
      <x:c r="B539" s="536" t="n"/>
      <x:c r="C539" s="536" t="inlineStr">
        <x:is>
          <x:t xml:space="preserve">Mineral Deed</x:t>
        </x:is>
      </x:c>
      <x:c r="D539" s="536" t="inlineStr">
        <x:is>
          <x:t xml:space="preserve">2682/183</x:t>
        </x:is>
      </x:c>
      <x:c r="E539" s="537" t="n">
        <x:v>45971</x:v>
      </x:c>
      <x:c r="F539" s="537" t="n">
        <x:v>46062</x:v>
      </x:c>
      <x:c r="G539" s="538" t="inlineStr">
        <x:is>
          <x:t xml:space="preserve">Clint Roy Kirk</x:t>
        </x:is>
      </x:c>
      <x:c r="H539" s="538" t="inlineStr">
        <x:is>
          <x:t xml:space="preserve">J and A Minerals, LLC</x:t>
        </x:is>
      </x:c>
      <x:c r="I539" s="538" t="inlineStr">
        <x:is>
          <x:t xml:space="preserve">S/2 of Lot 3, S/2 NE/4 SW/4, Lot 4, SE/4 SW/4 of 31-12N-24W, aol</x:t>
        </x:is>
      </x:c>
      <x:c r="J539" s="538" t="inlineStr">
        <x:is>
          <x:t xml:space="preserve">ARTI, It is the intent of Grantor to convey unto Grantee, ALL of Grantor's right, title and interest</x:t>
        </x:is>
      </x:c>
      <x:c r="K539" s="518" t="e">
        <x:f>HYPERLINK("https://okcountyrecords.com/detail/roger+mills/2026-000691","OKCountyRecords: 2026-000691")</x:f>
      </x:c>
      <x:c r="L539" s="519" t="inlineStr">
        <x:is>
          <x:t xml:space="preserve">Mineral; basis Conv Amt(dec). Gross=tract-map basis.</x:t>
        </x:is>
      </x:c>
      <x:c r="M539" s="519" t="inlineStr">
        <x:is>
          <x:t xml:space="preserve">CURRENT OWNER SOURCE</x:t>
        </x:is>
      </x:c>
      <x:c r="N539" s="519" t="n"/>
      <x:c r="O539" s="519" t="inlineStr">
        <x:is>
          <x:t xml:space="preserve">OUTSIDE LANDS</x:t>
        </x:is>
      </x:c>
      <x:c r="P539" s="520" t="inlineStr">
        <x:is>
          <x:t xml:space="preserve">Chain — minerals</x:t>
        </x:is>
      </x:c>
      <x:c r="Q539" s="520" t="inlineStr">
        <x:is>
          <x:t xml:space="preserve">Yes</x:t>
        </x:is>
      </x:c>
      <x:c r="R539" s="520" t="inlineStr">
        <x:is>
          <x:t xml:space="preserve">No</x:t>
        </x:is>
      </x:c>
      <x:c r="S539" s="520" t="inlineStr">
        <x:is>
          <x:t xml:space="preserve">Yes</x:t>
        </x:is>
      </x:c>
      <x:c r="T539" s="520" t="inlineStr">
        <x:is>
          <x:t xml:space="preserve">No</x:t>
        </x:is>
      </x:c>
      <x:c r="U539" s="520" t="inlineStr">
        <x:is>
          <x:t xml:space="preserve">Legal maps to 5, 7, 9; helper says 2, 3, 5, 6, 7</x:t>
        </x:is>
      </x:c>
      <x:c r="V539" s="520" t="inlineStr">
        <x:is>
          <x:t xml:space="preserve">Review</x:t>
        </x:is>
      </x:c>
      <x:c r="W539" s="520" t="inlineStr">
        <x:is>
          <x:t xml:space="preserve">Review — no exact prior-grantee match</x:t>
        </x:is>
      </x:c>
      <x:c r="X539" s="520" t="inlineStr">
        <x:is>
          <x:t xml:space="preserve">Yes — on Tract 3 owner list</x:t>
        </x:is>
      </x:c>
      <x:c r="Y539" s="520" t="inlineStr">
        <x:is>
          <x:t xml:space="preserve">Candidate 1 (helper — confirm from image)</x:t>
        </x:is>
      </x:c>
      <x:c r="Z539" s="520" t="inlineStr">
        <x:is>
          <x:t xml:space="preserve">Medium — helper value</x:t>
        </x:is>
      </x:c>
      <x:c r="AA539" s="520" t="inlineStr">
        <x:is>
          <x:t xml:space="preserve">Mineral Deed — Clint Roy Kirk to J and A Minerals, LLC (2682/183)</x:t>
        </x:is>
      </x:c>
      <x:c r="AB539" s="520" t="inlineStr">
        <x:is>
          <x:t xml:space="preserve">Needs source review: tract, grantor source</x:t>
        </x:is>
      </x:c>
    </x:row>
    <x:row r="540" s="520" customFormat="1" ht="48" customHeight="1">
      <x:c r="A540" s="519" t="inlineStr">
        <x:is>
          <x:t xml:space="preserve">2026-002547</x:t>
        </x:is>
      </x:c>
      <x:c r="B540" s="536" t="n">
        <x:v>98</x:v>
      </x:c>
      <x:c r="C540" s="536" t="inlineStr">
        <x:is>
          <x:t xml:space="preserve">Wellbore Assignment</x:t>
        </x:is>
      </x:c>
      <x:c r="D540" s="536" t="inlineStr">
        <x:is>
          <x:t xml:space="preserve">2698/69</x:t>
        </x:is>
      </x:c>
      <x:c r="E540" s="537" t="n">
        <x:v>46023</x:v>
      </x:c>
      <x:c r="F540" s="537" t="n">
        <x:v>46146</x:v>
      </x:c>
      <x:c r="G540" s="538" t="inlineStr">
        <x:is>
          <x:t xml:space="preserve">Martin's Empire, LLC</x:t>
        </x:is>
      </x:c>
      <x:c r="H540" s="538" t="inlineStr">
        <x:is>
          <x:t xml:space="preserve">Stride Bank, of the Unbrella Trust, Trustee</x:t>
        </x:is>
      </x:c>
      <x:c r="I540" s="538" t="inlineStr">
        <x:is>
          <x:t xml:space="preserve">NW/4 NW/4 of 31-12N-24W, aol</x:t>
        </x:is>
      </x:c>
      <x:c r="J540" s="538" t="inlineStr">
        <x:is>
          <x:t xml:space="preserve">Transfers wellbore-only rights
See 2664/169</x:t>
        </x:is>
      </x:c>
      <x:c r="K540" s="518" t="e">
        <x:f>HYPERLINK("https://okcountyrecords.com/detail/roger+mills/2026-002547/35349405","OKCountyRecords: 2026-002547")</x:f>
      </x:c>
      <x:c r="L540" s="519" t="inlineStr">
        <x:is>
          <x:t xml:space="preserve">Leasehold (non-mineral; excluded from mineral NMA). Gross=tract-map basis.</x:t>
        </x:is>
      </x:c>
      <x:c r="M540" s="519" t="inlineStr">
        <x:is>
          <x:t xml:space="preserve">CURRENT LEASE SOURCE</x:t>
        </x:is>
      </x:c>
      <x:c r="N540" s="519" t="n"/>
      <x:c r="O540" s="519" t="inlineStr">
        <x:is>
          <x:t xml:space="preserve">OUTSIDE LANDS</x:t>
        </x:is>
      </x:c>
      <x:c r="P540" s="520" t="inlineStr">
        <x:is>
          <x:t xml:space="preserve">Chain — WI/leasehold assignment</x:t>
        </x:is>
      </x:c>
      <x:c r="Q540" s="520" t="inlineStr">
        <x:is>
          <x:t xml:space="preserve">No</x:t>
        </x:is>
      </x:c>
      <x:c r="R540" s="520" t="inlineStr">
        <x:is>
          <x:t xml:space="preserve">Yes</x:t>
        </x:is>
      </x:c>
      <x:c r="S540" s="520" t="inlineStr">
        <x:is>
          <x:t xml:space="preserve">Review</x:t>
        </x:is>
      </x:c>
      <x:c r="T540" s="520" t="inlineStr">
        <x:is>
          <x:t xml:space="preserve">Yes</x:t>
        </x:is>
      </x:c>
      <x:c r="U540" s="520" t="inlineStr">
        <x:is>
          <x:t xml:space="preserve">Yes: 5 (legal supports)</x:t>
        </x:is>
      </x:c>
      <x:c r="V540" s="520" t="inlineStr">
        <x:is>
          <x:t xml:space="preserve">High</x:t>
        </x:is>
      </x:c>
      <x:c r="W540" s="520" t="inlineStr">
        <x:is>
          <x:t xml:space="preserve">Yes — prior grantee match</x:t>
        </x:is>
      </x:c>
      <x:c r="X540" s="520" t="inlineStr">
        <x:is>
          <x:t xml:space="preserve">Review</x:t>
        </x:is>
      </x:c>
      <x:c r="Y540" s="520" t="inlineStr">
        <x:is>
          <x:t xml:space="preserve">Interest amount needs review</x:t>
        </x:is>
      </x:c>
      <x:c r="Z540" s="520" t="inlineStr">
        <x:is>
          <x:t xml:space="preserve">Review</x:t>
        </x:is>
      </x:c>
      <x:c r="AA540" s="520" t="inlineStr">
        <x:is>
          <x:t xml:space="preserve">Wellbore Assignment — Martin's Empire, LLC to Stride Bank, of the Unbrella T (2698/69)</x:t>
        </x:is>
      </x:c>
      <x:c r="AB540" s="520" t="inlineStr">
        <x:is>
          <x:t xml:space="preserve">Needs source review: interest amount</x:t>
        </x:is>
      </x:c>
    </x:row>
    <x:row r="541" s="520" customFormat="1" ht="72" customHeight="1">
      <x:c r="A541" s="519" t="inlineStr">
        <x:is>
          <x:t xml:space="preserve">2026-000506</x:t>
        </x:is>
      </x:c>
      <x:c r="B541" s="536" t="n"/>
      <x:c r="C541" s="536" t="inlineStr">
        <x:is>
          <x:t xml:space="preserve">Correction and Supplement to Memorandum of Divisive Merger</x:t>
        </x:is>
      </x:c>
      <x:c r="D541" s="536" t="inlineStr">
        <x:is>
          <x:t xml:space="preserve">2679/1</x:t>
        </x:is>
      </x:c>
      <x:c r="E541" s="537" t="n">
        <x:v>46041</x:v>
      </x:c>
      <x:c r="F541" s="537" t="n">
        <x:v>46052</x:v>
      </x:c>
      <x:c r="G541" s="538" t="inlineStr">
        <x:is>
          <x:t xml:space="preserve">Midcon Buyerco, LLC,
Midcon Energy Development, LLC,
Midcon Energy Pdp, LLC,
Midcon Energy Prodction, LLC,
Windsor OK, LLC</x:t>
        </x:is>
      </x:c>
      <x:c r="H541" s="538" t="inlineStr">
        <x:is>
          <x:t xml:space="preserve">The Public</x:t>
        </x:is>
      </x:c>
      <x:c r="I541" s="538" t="inlineStr">
        <x:is>
          <x:t xml:space="preserve">All of 31-12N-24W, aol</x:t>
        </x:is>
      </x:c>
      <x:c r="J541" s="538" t="inlineStr">
        <x:is>
          <x:t xml:space="preserve">WHEREAS, the sole mémber of Windsor OK approved the Plan of Divisional Merger of Windsor OK, LLC, which provided for a divisional merger of Windsor OK (the "Merger") pursuant to the Texas Business Organization Code, as amended (the "TBOC") and as defined by TBOC
Section 1.002(55)(A), which resulted in … Full recital in recorded instrument — see Link.</x:t>
        </x:is>
      </x:c>
      <x:c r="K541" s="518" t="e">
        <x:f>HYPERLINK("https://okcountyrecords.com/detail/roger+mills/2026-000506","63e8b9a8d056433a9994fe46ca85076b.pdf | OKCountyRecords: 2026-000506")</x:f>
      </x:c>
      <x:c r="L541" s="519" t="inlineStr">
        <x:is>
          <x:t xml:space="preserve">Leasehold (non-mineral; excluded from mineral NMA). All-section coverage. Gross=tract-map basis.</x:t>
        </x:is>
      </x:c>
      <x:c r="M541" s="519" t="inlineStr">
        <x:is>
          <x:t xml:space="preserve">OK</x:t>
        </x:is>
      </x:c>
      <x:c r="N541" s="519" t="inlineStr">
        <x:is>
          <x:t xml:space="preserve">ARTI/notice instrument (The Public); no net mineral acres conveyed.</x:t>
        </x:is>
      </x:c>
      <x:c r="O541" s="519" t="inlineStr">
        <x:is>
          <x:t xml:space="preserve">OUTSIDE LANDS</x:t>
        </x:is>
      </x:c>
      <x:c r="P541" s="520" t="inlineStr">
        <x:is>
          <x:t xml:space="preserve">Chain — title support (succession/entity/probate)</x:t>
        </x:is>
      </x:c>
      <x:c r="Q541" s="520" t="inlineStr">
        <x:is>
          <x:t xml:space="preserve">Yes</x:t>
        </x:is>
      </x:c>
      <x:c r="R541" s="520" t="inlineStr">
        <x:is>
          <x:t xml:space="preserve">No</x:t>
        </x:is>
      </x:c>
      <x:c r="S541" s="520" t="inlineStr">
        <x:is>
          <x:t xml:space="preserve">Yes</x:t>
        </x:is>
      </x:c>
      <x:c r="T541" s="520" t="inlineStr">
        <x:is>
          <x:t xml:space="preserve">No</x:t>
        </x:is>
      </x:c>
      <x:c r="U541" s="520" t="inlineStr">
        <x:is>
          <x:t xml:space="preserve">Yes: 1, 8 (broad legal)</x:t>
        </x:is>
      </x:c>
      <x:c r="V541" s="520" t="inlineStr">
        <x:is>
          <x:t xml:space="preserve">Medium</x:t>
        </x:is>
      </x:c>
      <x:c r="W541" s="520" t="inlineStr">
        <x:is>
          <x:t xml:space="preserve">Review — no exact prior-grantee match</x:t>
        </x:is>
      </x:c>
      <x:c r="X541" s="520" t="inlineStr">
        <x:is>
          <x:t xml:space="preserve">Review</x:t>
        </x:is>
      </x:c>
      <x:c r="Y541" s="520" t="inlineStr">
        <x:is>
          <x:t xml:space="preserve">Interest amount needs review</x:t>
        </x:is>
      </x:c>
      <x:c r="Z541" s="520" t="inlineStr">
        <x:is>
          <x:t xml:space="preserve">Review</x:t>
        </x:is>
      </x:c>
      <x:c r="AA541" s="520" t="inlineStr">
        <x:is>
          <x:t xml:space="preserve">Correction and Supplement to Mem — Midcon Buyerco, LLC, to The Public (2679/1)</x:t>
        </x:is>
      </x:c>
      <x:c r="AB541" s="520" t="inlineStr">
        <x:is>
          <x:t xml:space="preserve">Needs source review: grantor source, interest amount</x:t>
        </x:is>
      </x:c>
    </x:row>
    <x:row r="542" s="520" customFormat="1" ht="84" customHeight="1">
      <x:c r="A542" s="519" t="inlineStr">
        <x:is>
          <x:t xml:space="preserve">2026-003145</x:t>
        </x:is>
      </x:c>
      <x:c r="B542" s="536" t="n">
        <x:v>66</x:v>
      </x:c>
      <x:c r="C542" s="536" t="inlineStr">
        <x:is>
          <x:t xml:space="preserve">Oil and Gas Lease</x:t>
        </x:is>
      </x:c>
      <x:c r="D542" s="536" t="inlineStr">
        <x:is>
          <x:t xml:space="preserve">2702/505</x:t>
        </x:is>
      </x:c>
      <x:c r="E542" s="537" t="n">
        <x:v>46064</x:v>
      </x:c>
      <x:c r="F542" s="537" t="n">
        <x:v>46170</x:v>
      </x:c>
      <x:c r="G542" s="538" t="inlineStr">
        <x:is>
          <x:t xml:space="preserve">Gena W. Moore, a/k/a Gena Mitchell Williams, a/k/a Gena Williams
100 W Dogwood Steet
Hobart, OK 73651</x:t>
        </x:is>
      </x:c>
      <x:c r="H542" s="538" t="inlineStr">
        <x:is>
          <x:t xml:space="preserve">Silver Oak Natural Resources, LLC</x:t>
        </x:is>
      </x:c>
      <x:c r="I542" s="538" t="inlineStr">
        <x:is>
          <x:t xml:space="preserve">N/2 NE/4, SE/4 NE/4, NE/4 SE/4, E/2 NW/4, S/2 of Lot 3, Lot 4, S/2 NE/4 SW/4, SE/4 SW/4, N/2 NE/4 SW/4 of 31-12N-24W</x:t>
        </x:is>
      </x:c>
      <x:c r="J542" s="538" t="inlineStr">
        <x:is>
          <x:t xml:space="preserve">375.34 acres, more or less
three-sixteenths (3/16ths) royalty
for a term of five (5) years 
This Lease may be subject to a Prior Oiland Gas Lease (the "Prior Lease") covering the lease premises The
Prior Lease is from Nancy Mitchell Willams, as Lessor, to R. … Full recital in recorded instrument — see Link.</x:t>
        </x:is>
      </x:c>
      <x:c r="K542" s="518" t="e">
        <x:f>HYPERLINK("https://okcountyrecords.com/detail/roger+mills/2026-003145/35404151","OKCountyRecords: 2026-003145")</x:f>
      </x:c>
      <x:c r="L542" s="519" t="inlineStr">
        <x:is>
          <x:t xml:space="preserve">Leasehold (non-mineral; excluded from mineral NMA). All-section coverage. Gross=tract-map basis.</x:t>
        </x:is>
      </x:c>
      <x:c r="M542" s="519" t="inlineStr">
        <x:is>
          <x:t xml:space="preserve">CURRENT LEASE SOURCE</x:t>
        </x:is>
      </x:c>
      <x:c r="N542" s="519" t="n"/>
      <x:c r="O542" s="519" t="inlineStr">
        <x:is>
          <x:t xml:space="preserve">OGL / BASE LEASE</x:t>
        </x:is>
      </x:c>
      <x:c r="P542" s="520" t="inlineStr">
        <x:is>
          <x:t xml:space="preserve">Chain — leasehold (OGL)</x:t>
        </x:is>
      </x:c>
      <x:c r="Q542" s="520" t="inlineStr">
        <x:is>
          <x:t xml:space="preserve">No</x:t>
        </x:is>
      </x:c>
      <x:c r="R542" s="520" t="inlineStr">
        <x:is>
          <x:t xml:space="preserve">Yes</x:t>
        </x:is>
      </x:c>
      <x:c r="S542" s="520" t="inlineStr">
        <x:is>
          <x:t xml:space="preserve">No</x:t>
        </x:is>
      </x:c>
      <x:c r="T542" s="520" t="inlineStr">
        <x:is>
          <x:t xml:space="preserve">Yes</x:t>
        </x:is>
      </x:c>
      <x:c r="U542" s="520" t="inlineStr">
        <x:is>
          <x:t xml:space="preserve">Legal maps to 1, 3, 4, 5, 7, 9, 10; helper says 1, 8</x:t>
        </x:is>
      </x:c>
      <x:c r="V542" s="520" t="inlineStr">
        <x:is>
          <x:t xml:space="preserve">Review</x:t>
        </x:is>
      </x:c>
      <x:c r="W542" s="520" t="inlineStr">
        <x:is>
          <x:t xml:space="preserve">Review — no exact prior-grantee match</x:t>
        </x:is>
      </x:c>
      <x:c r="X542" s="520" t="inlineStr">
        <x:is>
          <x:t xml:space="preserve">Review</x:t>
        </x:is>
      </x:c>
      <x:c r="Y542" s="520" t="inlineStr">
        <x:is>
          <x:t xml:space="preserve">Interest amount needs review</x:t>
        </x:is>
      </x:c>
      <x:c r="Z542" s="520" t="inlineStr">
        <x:is>
          <x:t xml:space="preserve">Review</x:t>
        </x:is>
      </x:c>
      <x:c r="AA542" s="520" t="inlineStr">
        <x:is>
          <x:t xml:space="preserve">Oil and Gas Lease — Gena W. Moore, a/k/a Gena Mitc to Silver Oak Natural Resources, (2702/505)</x:t>
        </x:is>
      </x:c>
      <x:c r="AB542" s="520" t="inlineStr">
        <x:is>
          <x:t xml:space="preserve">Needs source review: tract, grantor source, interest amount</x:t>
        </x:is>
      </x:c>
    </x:row>
    <x:row r="543" s="520" customFormat="1" ht="84" customHeight="1">
      <x:c r="A543" s="519" t="inlineStr">
        <x:is>
          <x:t xml:space="preserve">2026-002511</x:t>
        </x:is>
      </x:c>
      <x:c r="B543" s="536" t="n">
        <x:v>67</x:v>
      </x:c>
      <x:c r="C543" s="536" t="inlineStr">
        <x:is>
          <x:t xml:space="preserve">Oil and Gas Lease</x:t>
        </x:is>
      </x:c>
      <x:c r="D543" s="536" t="inlineStr">
        <x:is>
          <x:t xml:space="preserve">2697/520</x:t>
        </x:is>
      </x:c>
      <x:c r="E543" s="537" t="n">
        <x:v>46070</x:v>
      </x:c>
      <x:c r="F543" s="537" t="n">
        <x:v>46143</x:v>
      </x:c>
      <x:c r="G543" s="538" t="inlineStr">
        <x:is>
          <x:t xml:space="preserve">Keri Lee Daigle Tucker Trust
728 Hollyhock Dr.
Lexington, Ky 40511</x:t>
        </x:is>
      </x:c>
      <x:c r="H543" s="538" t="inlineStr">
        <x:is>
          <x:t xml:space="preserve">Silver Oak Natural Resources, LLC</x:t>
        </x:is>
      </x:c>
      <x:c r="I543" s="538" t="inlineStr">
        <x:is>
          <x:t xml:space="preserve">SE/4 NE/4, NE/4 SE/4, E/2 NW/4, N/2 NE/4 SW/4 of 31-12N-24W</x:t>
        </x:is>
      </x:c>
      <x:c r="J543" s="538" t="inlineStr">
        <x:is>
          <x:t xml:space="preserve">180 acres, more or less
term of five (5) years
three-sixteenths (3/16ths) royalty
This Lease may be subject to a Prior Oil and Gas Lease (the "Prior Lease") covering the lease premises The Prior Lease is from Marchelle Sorenson Daigle and Michelle Sorenson Johnson, Trustees of the Sorenson Oil and Gas … Full recital in recorded instrument — see Link.</x:t>
        </x:is>
      </x:c>
      <x:c r="K543" s="539" t="inlineStr">
        <x:is>
          <x:t xml:space="preserve">OKCountyRecords: 2026-002511</x:t>
        </x:is>
      </x:c>
      <x:c r="L543" s="519" t="inlineStr">
        <x:is>
          <x:t xml:space="preserve">Leasehold (non-mineral; excluded from mineral NMA). Gross=tract-map basis.</x:t>
        </x:is>
      </x:c>
      <x:c r="M543" s="519" t="inlineStr">
        <x:is>
          <x:t xml:space="preserve">CURRENT LEASE SOURCE</x:t>
        </x:is>
      </x:c>
      <x:c r="N543" s="519" t="n"/>
      <x:c r="O543" s="519" t="inlineStr">
        <x:is>
          <x:t xml:space="preserve">OGL / BASE LEASE</x:t>
        </x:is>
      </x:c>
      <x:c r="P543" s="520" t="inlineStr">
        <x:is>
          <x:t xml:space="preserve">Chain — leasehold (OGL)</x:t>
        </x:is>
      </x:c>
      <x:c r="Q543" s="520" t="inlineStr">
        <x:is>
          <x:t xml:space="preserve">No</x:t>
        </x:is>
      </x:c>
      <x:c r="R543" s="520" t="inlineStr">
        <x:is>
          <x:t xml:space="preserve">Yes</x:t>
        </x:is>
      </x:c>
      <x:c r="S543" s="520" t="inlineStr">
        <x:is>
          <x:t xml:space="preserve">No</x:t>
        </x:is>
      </x:c>
      <x:c r="T543" s="520" t="inlineStr">
        <x:is>
          <x:t xml:space="preserve">Yes</x:t>
        </x:is>
      </x:c>
      <x:c r="U543" s="520" t="inlineStr">
        <x:is>
          <x:t xml:space="preserve">Legal maps to 1, 3, 4, 7, 10; helper says 1, 3, 4, 7, 8</x:t>
        </x:is>
      </x:c>
      <x:c r="V543" s="520" t="inlineStr">
        <x:is>
          <x:t xml:space="preserve">Review</x:t>
        </x:is>
      </x:c>
      <x:c r="W543" s="520" t="inlineStr">
        <x:is>
          <x:t xml:space="preserve">Review — no exact prior-grantee match</x:t>
        </x:is>
      </x:c>
      <x:c r="X543" s="520" t="inlineStr">
        <x:is>
          <x:t xml:space="preserve">Review</x:t>
        </x:is>
      </x:c>
      <x:c r="Y543" s="520" t="inlineStr">
        <x:is>
          <x:t xml:space="preserve">Interest amount needs review</x:t>
        </x:is>
      </x:c>
      <x:c r="Z543" s="520" t="inlineStr">
        <x:is>
          <x:t xml:space="preserve">Review</x:t>
        </x:is>
      </x:c>
      <x:c r="AA543" s="520" t="inlineStr">
        <x:is>
          <x:t xml:space="preserve">Oil and Gas Lease — Keri Lee Daigle Tucker Trust to Silver Oak Natural Resources, (2697/520)</x:t>
        </x:is>
      </x:c>
      <x:c r="AB543" s="520" t="inlineStr">
        <x:is>
          <x:t xml:space="preserve">Needs source review: tract, grantor source, interest amount</x:t>
        </x:is>
      </x:c>
    </x:row>
    <x:row r="544" s="520" customFormat="1" ht="96" customHeight="1">
      <x:c r="A544" s="519" t="inlineStr">
        <x:is>
          <x:t xml:space="preserve">2026-001952</x:t>
        </x:is>
      </x:c>
      <x:c r="B544" s="536" t="n">
        <x:v>68</x:v>
      </x:c>
      <x:c r="C544" s="536" t="inlineStr">
        <x:is>
          <x:t xml:space="preserve">Oil and Gas Lease</x:t>
        </x:is>
      </x:c>
      <x:c r="D544" s="536" t="inlineStr">
        <x:is>
          <x:t xml:space="preserve">2693/349</x:t>
        </x:is>
      </x:c>
      <x:c r="E544" s="537" t="n">
        <x:v>46076</x:v>
      </x:c>
      <x:c r="F544" s="537" t="n">
        <x:v>46122</x:v>
      </x:c>
      <x:c r="G544" s="538" t="inlineStr">
        <x:is>
          <x:t xml:space="preserve">Mark Ashley Daigle Trust
11681 E. 83rd Street N, Apt. C
Owasso, OK 74055</x:t>
        </x:is>
      </x:c>
      <x:c r="H544" s="538" t="inlineStr">
        <x:is>
          <x:t xml:space="preserve">Silver Oak Natural Resources, LLC</x:t>
        </x:is>
      </x:c>
      <x:c r="I544" s="538" t="inlineStr">
        <x:is>
          <x:t xml:space="preserve">SE/4 NE/4, NE/4 SE/4, E/2 NW/4, N/2 NE/4 SW/4 of 31-12N-24W</x:t>
        </x:is>
      </x:c>
      <x:c r="J544" s="538" t="inlineStr">
        <x:is>
          <x:t xml:space="preserve">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 Full recital in recorded instrument — see Link.</x:t>
        </x:is>
      </x:c>
      <x:c r="K544" s="518" t="e">
        <x:f>HYPERLINK("https://okcountyrecords.com/detail/roger+mills/2026-001952/35274563","OKCountyRecords: 2026-001952")</x:f>
      </x:c>
      <x:c r="L544" s="519" t="inlineStr">
        <x:is>
          <x:t xml:space="preserve">Leasehold (non-mineral; excluded from mineral NMA). Gross=tract-map basis.</x:t>
        </x:is>
      </x:c>
      <x:c r="M544" s="519" t="inlineStr">
        <x:is>
          <x:t xml:space="preserve">CURRENT LEASE SOURCE</x:t>
        </x:is>
      </x:c>
      <x:c r="N544" s="519" t="n"/>
      <x:c r="O544" s="519" t="inlineStr">
        <x:is>
          <x:t xml:space="preserve">OGL / BASE LEASE</x:t>
        </x:is>
      </x:c>
      <x:c r="P544" s="520" t="inlineStr">
        <x:is>
          <x:t xml:space="preserve">Chain — leasehold (OGL)</x:t>
        </x:is>
      </x:c>
      <x:c r="Q544" s="520" t="inlineStr">
        <x:is>
          <x:t xml:space="preserve">No</x:t>
        </x:is>
      </x:c>
      <x:c r="R544" s="520" t="inlineStr">
        <x:is>
          <x:t xml:space="preserve">Yes</x:t>
        </x:is>
      </x:c>
      <x:c r="S544" s="520" t="inlineStr">
        <x:is>
          <x:t xml:space="preserve">No</x:t>
        </x:is>
      </x:c>
      <x:c r="T544" s="520" t="inlineStr">
        <x:is>
          <x:t xml:space="preserve">Yes</x:t>
        </x:is>
      </x:c>
      <x:c r="U544" s="520" t="inlineStr">
        <x:is>
          <x:t xml:space="preserve">Legal maps to 1, 3, 4, 7, 10; helper says 1, 3, 4, 7, 8</x:t>
        </x:is>
      </x:c>
      <x:c r="V544" s="520" t="inlineStr">
        <x:is>
          <x:t xml:space="preserve">Review</x:t>
        </x:is>
      </x:c>
      <x:c r="W544" s="520" t="inlineStr">
        <x:is>
          <x:t xml:space="preserve">Probable — name-normalized match to Runsheet 437 grantee; confirm</x:t>
        </x:is>
      </x:c>
      <x:c r="X544" s="520" t="inlineStr">
        <x:is>
          <x:t xml:space="preserve">Review</x:t>
        </x:is>
      </x:c>
      <x:c r="Y544" s="520" t="inlineStr">
        <x:is>
          <x:t xml:space="preserve">Interest amount needs review</x:t>
        </x:is>
      </x:c>
      <x:c r="Z544" s="520" t="inlineStr">
        <x:is>
          <x:t xml:space="preserve">Review</x:t>
        </x:is>
      </x:c>
      <x:c r="AA544" s="520" t="inlineStr">
        <x:is>
          <x:t xml:space="preserve">Oil and Gas Lease — Mark Ashley Daigle Trust to Silver Oak Natural Resources, (2693/349)</x:t>
        </x:is>
      </x:c>
      <x:c r="AB544" s="520" t="inlineStr">
        <x:is>
          <x:t xml:space="preserve">Needs source review: tract, grantor source, interest amount</x:t>
        </x:is>
      </x:c>
    </x:row>
    <x:row r="545" s="520" customFormat="1" ht="84" customHeight="1">
      <x:c r="A545" s="519" t="inlineStr">
        <x:is>
          <x:t xml:space="preserve">2026-001949</x:t>
        </x:is>
      </x:c>
      <x:c r="B545" s="536" t="n">
        <x:v>64</x:v>
      </x:c>
      <x:c r="C545" s="536" t="inlineStr">
        <x:is>
          <x:t xml:space="preserve">Oil and Gas Lease</x:t>
        </x:is>
      </x:c>
      <x:c r="D545" s="536" t="inlineStr">
        <x:is>
          <x:t xml:space="preserve">2693/337</x:t>
        </x:is>
      </x:c>
      <x:c r="E545" s="537" t="n">
        <x:v>46076</x:v>
      </x:c>
      <x:c r="F545" s="537" t="n">
        <x:v>46122</x:v>
      </x:c>
      <x:c r="G545" s="538" t="inlineStr">
        <x:is>
          <x:t xml:space="preserve">Mitchell Buonaccorsi Living Trust U/A dated July 9, 2024
1880 Old Salem Road
Watkinsville, Ga 30677</x:t>
        </x:is>
      </x:c>
      <x:c r="H545" s="538" t="inlineStr">
        <x:is>
          <x:t xml:space="preserve">Silver Oak Natural Resources, LLC
5030 N. May Avenue, Suite 125
Oklahoma City, OK 73112</x:t>
        </x:is>
      </x:c>
      <x:c r="I545" s="538" t="inlineStr">
        <x:is>
          <x:t xml:space="preserve">E/2 NW/4, N/2 NE/4, N/2 NE/4 SW/4, NE/4 SE/4, NE/4 SW/4, S/2, Lots 3-4, SE/4 NE/4, SE/4 SW/4 of 31-12N-24W</x:t>
        </x:is>
      </x:c>
      <x:c r="J545" s="538" t="inlineStr">
        <x:is>
          <x:t xml:space="preserve">355.34 acres, more or less
three-sixteenths (3/16ths) royalty
for a term of three (3) years 
This Lease may be subject to a Prior Oil and Gas Lease (the "Prior Lease") covering the lease premises. The Prior Lease is from Carrie Leeann Mitchell, as Lessor, to R. Michael Lortz, as Lessee, dated January 14, 2004. … Full recital in recorded instrument — see Link.</x:t>
        </x:is>
      </x:c>
      <x:c r="K545" s="518" t="e">
        <x:f>HYPERLINK("https://okcountyrecords.com/detail/roger+mills/2026-001949/35274564","OKCountyRecords: 2026-001949")</x:f>
      </x:c>
      <x:c r="L545" s="519" t="inlineStr">
        <x:is>
          <x:t xml:space="preserve">Leasehold (non-mineral; excluded from mineral NMA). Gross=tract-map basis.</x:t>
        </x:is>
      </x:c>
      <x:c r="M545" s="519" t="inlineStr">
        <x:is>
          <x:t xml:space="preserve">CURRENT LEASE SOURCE</x:t>
        </x:is>
      </x:c>
      <x:c r="N545" s="519" t="n"/>
      <x:c r="O545" s="519" t="inlineStr">
        <x:is>
          <x:t xml:space="preserve">OGL / BASE LEASE</x:t>
        </x:is>
      </x:c>
      <x:c r="P545" s="520" t="inlineStr">
        <x:is>
          <x:t xml:space="preserve">Chain — leasehold (OGL)</x:t>
        </x:is>
      </x:c>
      <x:c r="Q545" s="520" t="inlineStr">
        <x:is>
          <x:t xml:space="preserve">No</x:t>
        </x:is>
      </x:c>
      <x:c r="R545" s="520" t="inlineStr">
        <x:is>
          <x:t xml:space="preserve">Yes</x:t>
        </x:is>
      </x:c>
      <x:c r="S545" s="520" t="inlineStr">
        <x:is>
          <x:t xml:space="preserve">No</x:t>
        </x:is>
      </x:c>
      <x:c r="T545" s="520" t="inlineStr">
        <x:is>
          <x:t xml:space="preserve">Yes</x:t>
        </x:is>
      </x:c>
      <x:c r="U545" s="520" t="inlineStr">
        <x:is>
          <x:t xml:space="preserve">Legal maps to 1, 3, 4, 5, 7, 10; helper says 1, 3, 4, 5, 6, 7, 8</x:t>
        </x:is>
      </x:c>
      <x:c r="V545" s="520" t="inlineStr">
        <x:is>
          <x:t xml:space="preserve">Review</x:t>
        </x:is>
      </x:c>
      <x:c r="W545" s="520" t="inlineStr">
        <x:is>
          <x:t xml:space="preserve">Review — no exact prior-grantee match</x:t>
        </x:is>
      </x:c>
      <x:c r="X545" s="520" t="inlineStr">
        <x:is>
          <x:t xml:space="preserve">Review</x:t>
        </x:is>
      </x:c>
      <x:c r="Y545" s="520" t="inlineStr">
        <x:is>
          <x:t xml:space="preserve">Interest amount needs review</x:t>
        </x:is>
      </x:c>
      <x:c r="Z545" s="520" t="inlineStr">
        <x:is>
          <x:t xml:space="preserve">Review</x:t>
        </x:is>
      </x:c>
      <x:c r="AA545" s="520" t="inlineStr">
        <x:is>
          <x:t xml:space="preserve">Oil and Gas Lease — Mitchell Buonaccorsi Living Tr to Silver Oak Natural Resources, (2693/337)</x:t>
        </x:is>
      </x:c>
      <x:c r="AB545" s="520" t="inlineStr">
        <x:is>
          <x:t xml:space="preserve">Needs source review: tract, grantor source, interest amount</x:t>
        </x:is>
      </x:c>
    </x:row>
    <x:row r="546" s="520" customFormat="1" ht="96" customHeight="1">
      <x:c r="A546" s="519" t="inlineStr">
        <x:is>
          <x:t xml:space="preserve">2026-001951</x:t>
        </x:is>
      </x:c>
      <x:c r="B546" s="536" t="n">
        <x:v>69</x:v>
      </x:c>
      <x:c r="C546" s="536" t="inlineStr">
        <x:is>
          <x:t xml:space="preserve">Oil and Gas Lease</x:t>
        </x:is>
      </x:c>
      <x:c r="D546" s="536" t="inlineStr">
        <x:is>
          <x:t xml:space="preserve">2693/345</x:t>
        </x:is>
      </x:c>
      <x:c r="E546" s="537" t="n">
        <x:v>46080</x:v>
      </x:c>
      <x:c r="F546" s="537" t="n">
        <x:v>46122</x:v>
      </x:c>
      <x:c r="G546" s="538" t="inlineStr">
        <x:is>
          <x:t xml:space="preserve">Kevin Warner Johnson Trust
13259 Darwin Lane
Austin, TX 78729</x:t>
        </x:is>
      </x:c>
      <x:c r="H546" s="538" t="inlineStr">
        <x:is>
          <x:t xml:space="preserve">Silver Oak Natural Resources, LLC</x:t>
        </x:is>
      </x:c>
      <x:c r="I546" s="538" t="inlineStr">
        <x:is>
          <x:t xml:space="preserve">SE/4 NE/4, NE/4 SE/4, E/2 NW/4, N/2 NE/4 SW/4 of 31-12N-24W</x:t>
        </x:is>
      </x:c>
      <x:c r="J546" s="538" t="inlineStr">
        <x:is>
          <x:t xml:space="preserve">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 Full recital in recorded instrument — see Link.</x:t>
        </x:is>
      </x:c>
      <x:c r="K546" s="518" t="e">
        <x:f>HYPERLINK("https://okcountyrecords.com/detail/roger+mills/2026-001951/35274565","OKCountyRecords: 2026-001951")</x:f>
      </x:c>
      <x:c r="L546" s="519" t="inlineStr">
        <x:is>
          <x:t xml:space="preserve">Leasehold (non-mineral; excluded from mineral NMA). Gross=tract-map basis.</x:t>
        </x:is>
      </x:c>
      <x:c r="M546" s="519" t="inlineStr">
        <x:is>
          <x:t xml:space="preserve">CURRENT LEASE SOURCE</x:t>
        </x:is>
      </x:c>
      <x:c r="N546" s="519" t="n"/>
      <x:c r="O546" s="519" t="inlineStr">
        <x:is>
          <x:t xml:space="preserve">OGL / BASE LEASE</x:t>
        </x:is>
      </x:c>
      <x:c r="P546" s="520" t="inlineStr">
        <x:is>
          <x:t xml:space="preserve">Chain — leasehold (OGL)</x:t>
        </x:is>
      </x:c>
      <x:c r="Q546" s="520" t="inlineStr">
        <x:is>
          <x:t xml:space="preserve">No</x:t>
        </x:is>
      </x:c>
      <x:c r="R546" s="520" t="inlineStr">
        <x:is>
          <x:t xml:space="preserve">Yes</x:t>
        </x:is>
      </x:c>
      <x:c r="S546" s="520" t="inlineStr">
        <x:is>
          <x:t xml:space="preserve">No</x:t>
        </x:is>
      </x:c>
      <x:c r="T546" s="520" t="inlineStr">
        <x:is>
          <x:t xml:space="preserve">Yes</x:t>
        </x:is>
      </x:c>
      <x:c r="U546" s="520" t="inlineStr">
        <x:is>
          <x:t xml:space="preserve">Legal maps to 1, 3, 4, 7, 10; helper says 1, 3, 4, 7, 8</x:t>
        </x:is>
      </x:c>
      <x:c r="V546" s="520" t="inlineStr">
        <x:is>
          <x:t xml:space="preserve">Review</x:t>
        </x:is>
      </x:c>
      <x:c r="W546" s="520" t="inlineStr">
        <x:is>
          <x:t xml:space="preserve">Review — no exact prior-grantee match</x:t>
        </x:is>
      </x:c>
      <x:c r="X546" s="520" t="inlineStr">
        <x:is>
          <x:t xml:space="preserve">Review</x:t>
        </x:is>
      </x:c>
      <x:c r="Y546" s="520" t="inlineStr">
        <x:is>
          <x:t xml:space="preserve">Interest amount needs review</x:t>
        </x:is>
      </x:c>
      <x:c r="Z546" s="520" t="inlineStr">
        <x:is>
          <x:t xml:space="preserve">Review</x:t>
        </x:is>
      </x:c>
      <x:c r="AA546" s="520" t="inlineStr">
        <x:is>
          <x:t xml:space="preserve">Oil and Gas Lease — Kevin Warner Johnson Trust to Silver Oak Natural Resources, (2693/345)</x:t>
        </x:is>
      </x:c>
      <x:c r="AB546" s="520" t="inlineStr">
        <x:is>
          <x:t xml:space="preserve">Needs source review: tract, grantor source, interest amount</x:t>
        </x:is>
      </x:c>
    </x:row>
    <x:row r="547" s="520" customFormat="1" ht="48" customHeight="1">
      <x:c r="A547" s="519" t="inlineStr">
        <x:is>
          <x:t xml:space="preserve">2026-001374</x:t>
        </x:is>
      </x:c>
      <x:c r="B547" s="536" t="n"/>
      <x:c r="C547" s="536" t="inlineStr">
        <x:is>
          <x:t xml:space="preserve">Mineral Deed</x:t>
        </x:is>
      </x:c>
      <x:c r="D547" s="536" t="inlineStr">
        <x:is>
          <x:t xml:space="preserve">2688/409</x:t>
        </x:is>
      </x:c>
      <x:c r="E547" s="537" t="n">
        <x:v>46084</x:v>
      </x:c>
      <x:c r="F547" s="537" t="n">
        <x:v>46092</x:v>
      </x:c>
      <x:c r="G547" s="538" t="inlineStr">
        <x:is>
          <x:t xml:space="preserve">J and A Minerals, LLC</x:t>
        </x:is>
      </x:c>
      <x:c r="H547" s="538" t="inlineStr">
        <x:is>
          <x:t xml:space="preserve">Pine Tree Energy Partners, LLC</x:t>
        </x:is>
      </x:c>
      <x:c r="I547" s="538" t="inlineStr">
        <x:is>
          <x:t xml:space="preserve">S/2 of Lot 3, Lot 4, NE/4 SW/4, SE/4 SW/4 of 31-12N-24W, aol</x:t>
        </x:is>
      </x:c>
      <x:c r="J547" s="538" t="inlineStr">
        <x:is>
          <x:t xml:space="preserve">1.25 Net Mineral Acres, all right, title and interest acquired in and to the-mineral-fee-interests, including but not limited to the oil, gas and other minerals</x:t>
        </x:is>
      </x:c>
      <x:c r="K547" s="518" t="e">
        <x:f>HYPERLINK("https://okcountyrecords.com/detail/roger+mills/2026-001374","OKCountyRecords: 2026-001374")</x:f>
      </x:c>
      <x:c r="L547" s="519" t="inlineStr">
        <x:is>
          <x:t xml:space="preserve">Mineral; basis Conv Amt(dec). Gross=tract-map basis.</x:t>
        </x:is>
      </x:c>
      <x:c r="M547" s="519" t="inlineStr">
        <x:is>
          <x:t xml:space="preserve">CURRENT OWNER SOURCE</x:t>
        </x:is>
      </x:c>
      <x:c r="N547" s="519" t="inlineStr">
        <x:is>
          <x:t xml:space="preserve">Conveys 1.25 NMA per notes; conv. dec = 1.25/gross. Verify denominator/tract from image.</x:t>
        </x:is>
      </x:c>
      <x:c r="O547" s="519" t="inlineStr">
        <x:is>
          <x:t xml:space="preserve">OUTSIDE LANDS</x:t>
        </x:is>
      </x:c>
      <x:c r="P547" s="520" t="inlineStr">
        <x:is>
          <x:t xml:space="preserve">Chain — minerals</x:t>
        </x:is>
      </x:c>
      <x:c r="Q547" s="520" t="inlineStr">
        <x:is>
          <x:t xml:space="preserve">Yes</x:t>
        </x:is>
      </x:c>
      <x:c r="R547" s="520" t="inlineStr">
        <x:is>
          <x:t xml:space="preserve">No</x:t>
        </x:is>
      </x:c>
      <x:c r="S547" s="520" t="inlineStr">
        <x:is>
          <x:t xml:space="preserve">Yes</x:t>
        </x:is>
      </x:c>
      <x:c r="T547" s="520" t="inlineStr">
        <x:is>
          <x:t xml:space="preserve">No</x:t>
        </x:is>
      </x:c>
      <x:c r="U547" s="520" t="inlineStr">
        <x:is>
          <x:t xml:space="preserve">Legal maps to 5, 7, 9; helper says 5, 6, 7</x:t>
        </x:is>
      </x:c>
      <x:c r="V547" s="520" t="inlineStr">
        <x:is>
          <x:t xml:space="preserve">Review</x:t>
        </x:is>
      </x:c>
      <x:c r="W547" s="520" t="inlineStr">
        <x:is>
          <x:t xml:space="preserve">Yes — prior grantee match</x:t>
        </x:is>
      </x:c>
      <x:c r="X547" s="520" t="inlineStr">
        <x:is>
          <x:t xml:space="preserve">Yes — on Tract 5 owner list</x:t>
        </x:is>
      </x:c>
      <x:c r="Y547" s="520" t="inlineStr">
        <x:is>
          <x:t xml:space="preserve">Candidate 0.00520833333333333 (helper — confirm from image)</x:t>
        </x:is>
      </x:c>
      <x:c r="Z547" s="520" t="inlineStr">
        <x:is>
          <x:t xml:space="preserve">Medium — helper value</x:t>
        </x:is>
      </x:c>
      <x:c r="AA547" s="520" t="inlineStr">
        <x:is>
          <x:t xml:space="preserve">Mineral Deed — J and A Minerals, LLC to Pine Tree Energy Partners, LLC (2688/409)</x:t>
        </x:is>
      </x:c>
      <x:c r="AB547" s="520" t="inlineStr">
        <x:is>
          <x:t xml:space="preserve">Needs source review: tract</x:t>
        </x:is>
      </x:c>
    </x:row>
    <x:row r="548" s="520" customFormat="1" ht="84" customHeight="1">
      <x:c r="A548" s="519" t="inlineStr">
        <x:is>
          <x:t xml:space="preserve">2026-002509</x:t>
        </x:is>
      </x:c>
      <x:c r="B548" s="536" t="n"/>
      <x:c r="C548" s="536" t="inlineStr">
        <x:is>
          <x:t xml:space="preserve">Affidavit of Heirship</x:t>
        </x:is>
      </x:c>
      <x:c r="D548" s="536" t="inlineStr">
        <x:is>
          <x:t xml:space="preserve">2697/517</x:t>
        </x:is>
      </x:c>
      <x:c r="E548" s="537" t="n">
        <x:v>46106</x:v>
      </x:c>
      <x:c r="F548" s="537" t="n">
        <x:v>46143</x:v>
      </x:c>
      <x:c r="G548" s="538" t="inlineStr">
        <x:is>
          <x:t xml:space="preserve">Carrie Leeann Mitchell</x:t>
        </x:is>
      </x:c>
      <x:c r="H548" s="538" t="inlineStr">
        <x:is>
          <x:t xml:space="preserve">The Public
RE: Nancy Susan Mitchell, Deceased
Heirs:
Ronald Paul Dold</x:t>
        </x:is>
      </x:c>
      <x:c r="I548" s="538" t="inlineStr">
        <x:is>
          <x:t xml:space="preserve">All of 31-12N-24W, aol</x:t>
        </x:is>
      </x:c>
      <x:c r="J548" s="538" t="inlineStr">
        <x:is>
          <x:t xml:space="preserve">ARTI
Nancy Susan Mitchell died intestate, a resident of Memphis, Shelby County, Tennessee, on or about February 7, 2015, her estate was never piobated and there are no plans to probate her estate A copy ofthe certified death certificate is attached hereto Nancy Susan Mitchell was a married at the time … Full recital in recorded instrument — see Link.</x:t>
        </x:is>
      </x:c>
      <x:c r="K548" s="518" t="e">
        <x:f>HYPERLINK("https://okcountyrecords.com/detail/roger+mills/2026-002509/35346709","OKCountyRecords: 2026-002509")</x:f>
      </x:c>
      <x:c r="L548" s="519" t="inlineStr">
        <x:is>
          <x:t xml:space="preserve">Mineral; basis Conv Amt(dec). grantor indexed as 'The Public' — confirm source instrument. All-section coverage. Gross=tract-map basis.</x:t>
        </x:is>
      </x:c>
      <x:c r="M548" s="519" t="inlineStr">
        <x:is>
          <x:t xml:space="preserve">REVIEW</x:t>
        </x:is>
      </x:c>
      <x:c r="N548" s="519" t="inlineStr">
        <x:is>
          <x:t xml:space="preserve">Confirm conveyed mineral acreage from instrument image — named party indexed under 'The Public' (affidavit/notice); identity resolved.</x:t>
        </x:is>
      </x:c>
      <x:c r="O548" s="519" t="inlineStr">
        <x:is>
          <x:t xml:space="preserve">OUTSIDE LANDS</x:t>
        </x:is>
      </x:c>
      <x:c r="P548" s="520" t="inlineStr">
        <x:is>
          <x:t xml:space="preserve">Chain — title support (succession/entity/probate)</x:t>
        </x:is>
      </x:c>
      <x:c r="Q548" s="520" t="inlineStr">
        <x:is>
          <x:t xml:space="preserve">Yes</x:t>
        </x:is>
      </x:c>
      <x:c r="R548" s="520" t="inlineStr">
        <x:is>
          <x:t xml:space="preserve">No</x:t>
        </x:is>
      </x:c>
      <x:c r="S548" s="520" t="inlineStr">
        <x:is>
          <x:t xml:space="preserve">Yes</x:t>
        </x:is>
      </x:c>
      <x:c r="T548" s="520" t="inlineStr">
        <x:is>
          <x:t xml:space="preserve">No</x:t>
        </x:is>
      </x:c>
      <x:c r="U548" s="520" t="inlineStr">
        <x:is>
          <x:t xml:space="preserve">Yes: 1, 8 (broad legal)</x:t>
        </x:is>
      </x:c>
      <x:c r="V548" s="520" t="inlineStr">
        <x:is>
          <x:t xml:space="preserve">Medium</x:t>
        </x:is>
      </x:c>
      <x:c r="W548" s="520" t="inlineStr">
        <x:is>
          <x:t xml:space="preserve">Review — no exact prior-grantee match</x:t>
        </x:is>
      </x:c>
      <x:c r="X548" s="520" t="inlineStr">
        <x:is>
          <x:t xml:space="preserve">Review</x:t>
        </x:is>
      </x:c>
      <x:c r="Y548" s="520" t="inlineStr">
        <x:is>
          <x:t xml:space="preserve">Candidate 1 (helper — confirm from image)</x:t>
        </x:is>
      </x:c>
      <x:c r="Z548" s="520" t="inlineStr">
        <x:is>
          <x:t xml:space="preserve">Medium — helper value</x:t>
        </x:is>
      </x:c>
      <x:c r="AA548" s="520" t="inlineStr">
        <x:is>
          <x:t xml:space="preserve">Affidavit of Heirship — Carrie Leeann Mitchell to The Public (2697/517)</x:t>
        </x:is>
      </x:c>
      <x:c r="AB548" s="520" t="inlineStr">
        <x:is>
          <x:t xml:space="preserve">Needs source review: grantor source</x:t>
        </x:is>
      </x:c>
    </x:row>
    <x:row r="549" s="520" customFormat="1" ht="84" customHeight="1">
      <x:c r="A549" s="519" t="inlineStr">
        <x:is>
          <x:t xml:space="preserve">2026-002512</x:t>
        </x:is>
      </x:c>
      <x:c r="B549" s="536" t="n">
        <x:v>65</x:v>
      </x:c>
      <x:c r="C549" s="536" t="inlineStr">
        <x:is>
          <x:t xml:space="preserve">Oil and Gas Lease</x:t>
        </x:is>
      </x:c>
      <x:c r="D549" s="536" t="inlineStr">
        <x:is>
          <x:t xml:space="preserve">2697/524</x:t>
        </x:is>
      </x:c>
      <x:c r="E549" s="537" t="n">
        <x:v>46112</x:v>
      </x:c>
      <x:c r="F549" s="537" t="n">
        <x:v>46143</x:v>
      </x:c>
      <x:c r="G549" s="538" t="inlineStr">
        <x:is>
          <x:t xml:space="preserve">Ronald Paul Dold
753 Velma Street
Memphis, Tn 38104</x:t>
        </x:is>
      </x:c>
      <x:c r="H549" s="538" t="inlineStr">
        <x:is>
          <x:t xml:space="preserve">Silver Oak Natural Resources, LLC</x:t>
        </x:is>
      </x:c>
      <x:c r="I549" s="538" t="inlineStr">
        <x:is>
          <x:t xml:space="preserve">N/2 NE/4, SE/4 NE/4, NE/4 SE/4, E/2 NW/4, S/2 Lot 3, Lot 4, S/2 NE/4 SW/4, SE/4 SW/4, N/2 NE/4 SW/4 of 31-12N-24W</x:t>
        </x:is>
      </x:c>
      <x:c r="J549" s="538" t="inlineStr">
        <x:is>
          <x:t xml:space="preserve">375.34 acres, more or less
term of three (3) years
three-sixteenths (3/16ths) royalty
This Lease may be subject to a Prior Oil and Gas Lease (the "Prior Lease") covering the lease premises The Prior Lease is from Nancy Susan Mitchell, as Lessor, to R Michael Lortz, as Lessee, dated January 14, 2004, … Full recital in recorded instrument — see Link.</x:t>
        </x:is>
      </x:c>
      <x:c r="K549" s="518" t="e">
        <x:f>HYPERLINK("https://okcountyrecords.com/detail/roger+mills/2026-002512/35346712","OKCountyRecords: 2026-002512")</x:f>
      </x:c>
      <x:c r="L549" s="519" t="inlineStr">
        <x:is>
          <x:t xml:space="preserve">Leasehold (non-mineral; excluded from mineral NMA). All-section coverage. Gross=tract-map basis.</x:t>
        </x:is>
      </x:c>
      <x:c r="M549" s="519" t="inlineStr">
        <x:is>
          <x:t xml:space="preserve">CURRENT LEASE SOURCE</x:t>
        </x:is>
      </x:c>
      <x:c r="N549" s="519" t="n"/>
      <x:c r="O549" s="519" t="inlineStr">
        <x:is>
          <x:t xml:space="preserve">OGL / BASE LEASE</x:t>
        </x:is>
      </x:c>
      <x:c r="P549" s="520" t="inlineStr">
        <x:is>
          <x:t xml:space="preserve">Chain — leasehold (OGL)</x:t>
        </x:is>
      </x:c>
      <x:c r="Q549" s="520" t="inlineStr">
        <x:is>
          <x:t xml:space="preserve">No</x:t>
        </x:is>
      </x:c>
      <x:c r="R549" s="520" t="inlineStr">
        <x:is>
          <x:t xml:space="preserve">Yes</x:t>
        </x:is>
      </x:c>
      <x:c r="S549" s="520" t="inlineStr">
        <x:is>
          <x:t xml:space="preserve">No</x:t>
        </x:is>
      </x:c>
      <x:c r="T549" s="520" t="inlineStr">
        <x:is>
          <x:t xml:space="preserve">Yes</x:t>
        </x:is>
      </x:c>
      <x:c r="U549" s="520" t="inlineStr">
        <x:is>
          <x:t xml:space="preserve">Legal maps to 1, 3, 4, 5, 7, 9, 10; helper says 1, 8</x:t>
        </x:is>
      </x:c>
      <x:c r="V549" s="520" t="inlineStr">
        <x:is>
          <x:t xml:space="preserve">Review</x:t>
        </x:is>
      </x:c>
      <x:c r="W549" s="520" t="inlineStr">
        <x:is>
          <x:t xml:space="preserve">Review — no exact prior-grantee match</x:t>
        </x:is>
      </x:c>
      <x:c r="X549" s="520" t="inlineStr">
        <x:is>
          <x:t xml:space="preserve">Review</x:t>
        </x:is>
      </x:c>
      <x:c r="Y549" s="520" t="inlineStr">
        <x:is>
          <x:t xml:space="preserve">Interest amount needs review</x:t>
        </x:is>
      </x:c>
      <x:c r="Z549" s="520" t="inlineStr">
        <x:is>
          <x:t xml:space="preserve">Review</x:t>
        </x:is>
      </x:c>
      <x:c r="AA549" s="520" t="inlineStr">
        <x:is>
          <x:t xml:space="preserve">Oil and Gas Lease — Ronald Paul Dold to Silver Oak Natural Resources, (2697/524)</x:t>
        </x:is>
      </x:c>
      <x:c r="AB549" s="520" t="inlineStr">
        <x:is>
          <x:t xml:space="preserve">Needs source review: tract, grantor source, interest amount</x:t>
        </x:is>
      </x:c>
    </x:row>
    <x:row r="550" s="520" customFormat="1" ht="60" customHeight="1">
      <x:c r="A550" s="519" t="inlineStr">
        <x:is>
          <x:t xml:space="preserve">2026-001845</x:t>
        </x:is>
      </x:c>
      <x:c r="B550" s="536" t="n">
        <x:v>80</x:v>
      </x:c>
      <x:c r="C550" s="536" t="inlineStr">
        <x:is>
          <x:t xml:space="preserve">Affidavit Concerning Recording - Midcon DEV</x:t>
        </x:is>
      </x:c>
      <x:c r="D550" s="536" t="inlineStr">
        <x:is>
          <x:t xml:space="preserve">2692/431</x:t>
        </x:is>
      </x:c>
      <x:c r="E550" s="537" t="n">
        <x:v>46113</x:v>
      </x:c>
      <x:c r="F550" s="537" t="n">
        <x:v>46119</x:v>
      </x:c>
      <x:c r="G550" s="538" t="inlineStr">
        <x:is>
          <x:t xml:space="preserve">Vice President Long Matthew,
Midcon Energy Pdp, LLC</x:t>
        </x:is>
      </x:c>
      <x:c r="H550" s="538" t="inlineStr">
        <x:is>
          <x:t xml:space="preserve">The Public</x:t>
        </x:is>
      </x:c>
      <x:c r="I550" s="538" t="inlineStr">
        <x:is>
          <x:t xml:space="preserve">All of 31-12N-24W, aol</x:t>
        </x:is>
      </x:c>
      <x:c r="J550" s="538" t="inlineStr">
        <x:is>
          <x:t xml:space="preserve">On October 7, 2025, there was filed that certain Mortgage, with Power of Sale, Fixture Filing, As-Extracted Collateral Filing, Security Agreement, Financing Statement and Assignment of Production from MidCon Energy Development, LLC, as Mortgagor, to Macquarie Bank Limited, as Administrative Agent for … Full recital in recorded instrument — see Link.</x:t>
        </x:is>
      </x:c>
      <x:c r="K550" s="518" t="e">
        <x:f>HYPERLINK("https://okcountyrecords.com/detail/roger+mills/2026-001845","OKCountyRecords: 2026-001845")</x:f>
      </x:c>
      <x:c r="L550" s="519" t="inlineStr">
        <x:is>
          <x:t xml:space="preserve">Other (non-mineral; excluded from mineral NMA). All-section coverage. Gross=tract-map basis.</x:t>
        </x:is>
      </x:c>
      <x:c r="M550" s="519" t="inlineStr">
        <x:is>
          <x:t xml:space="preserve">OK</x:t>
        </x:is>
      </x:c>
      <x:c r="N550" s="519" t="inlineStr">
        <x:is>
          <x:t xml:space="preserve">ARTI/notice instrument (The Public); no net mineral acres conveyed.</x:t>
        </x:is>
      </x:c>
      <x:c r="O550" s="519" t="inlineStr">
        <x:is>
          <x:t xml:space="preserve">OUTSIDE LANDS</x:t>
        </x:is>
      </x:c>
      <x:c r="P550" s="520" t="inlineStr">
        <x:is>
          <x:t xml:space="preserve">Chain — title support (succession/entity/probate)</x:t>
        </x:is>
      </x:c>
      <x:c r="Q550" s="520" t="inlineStr">
        <x:is>
          <x:t xml:space="preserve">Yes</x:t>
        </x:is>
      </x:c>
      <x:c r="R550" s="520" t="inlineStr">
        <x:is>
          <x:t xml:space="preserve">No</x:t>
        </x:is>
      </x:c>
      <x:c r="S550" s="520" t="inlineStr">
        <x:is>
          <x:t xml:space="preserve">Yes</x:t>
        </x:is>
      </x:c>
      <x:c r="T550" s="520" t="inlineStr">
        <x:is>
          <x:t xml:space="preserve">No</x:t>
        </x:is>
      </x:c>
      <x:c r="U550" s="520" t="inlineStr">
        <x:is>
          <x:t xml:space="preserve">Yes: 1, 8 (broad legal)</x:t>
        </x:is>
      </x:c>
      <x:c r="V550" s="520" t="inlineStr">
        <x:is>
          <x:t xml:space="preserve">Medium</x:t>
        </x:is>
      </x:c>
      <x:c r="W550" s="520" t="inlineStr">
        <x:is>
          <x:t xml:space="preserve">Review — no exact prior-grantee match</x:t>
        </x:is>
      </x:c>
      <x:c r="X550" s="520" t="inlineStr">
        <x:is>
          <x:t xml:space="preserve">Review</x:t>
        </x:is>
      </x:c>
      <x:c r="Y550" s="520" t="inlineStr">
        <x:is>
          <x:t xml:space="preserve">Interest amount needs review</x:t>
        </x:is>
      </x:c>
      <x:c r="Z550" s="520" t="inlineStr">
        <x:is>
          <x:t xml:space="preserve">Review</x:t>
        </x:is>
      </x:c>
      <x:c r="AA550" s="520" t="inlineStr">
        <x:is>
          <x:t xml:space="preserve">Affidavit Concerning Recording - — Vice President Long Matthew, to The Public (2692/431)</x:t>
        </x:is>
      </x:c>
      <x:c r="AB550" s="520" t="inlineStr">
        <x:is>
          <x:t xml:space="preserve">Needs source review: grantor source, interest amount</x:t>
        </x:is>
      </x:c>
    </x:row>
    <x:row r="551" s="520" customFormat="1" ht="60" customHeight="1">
      <x:c r="A551" s="519" t="inlineStr">
        <x:is>
          <x:t xml:space="preserve">2026-001844</x:t>
        </x:is>
      </x:c>
      <x:c r="B551" s="536" t="n">
        <x:v>79</x:v>
      </x:c>
      <x:c r="C551" s="536" t="inlineStr">
        <x:is>
          <x:t xml:space="preserve">Affidavit Concerning Recording – Midcon PDP</x:t>
        </x:is>
      </x:c>
      <x:c r="D551" s="536" t="inlineStr">
        <x:is>
          <x:t xml:space="preserve">2692/412</x:t>
        </x:is>
      </x:c>
      <x:c r="E551" s="537" t="n">
        <x:v>46113</x:v>
      </x:c>
      <x:c r="F551" s="537" t="n">
        <x:v>46119</x:v>
      </x:c>
      <x:c r="G551" s="538" t="inlineStr">
        <x:is>
          <x:t xml:space="preserve">Vice President Long Matthew,
Midcon Energy Pdp, LLC</x:t>
        </x:is>
      </x:c>
      <x:c r="H551" s="538" t="inlineStr">
        <x:is>
          <x:t xml:space="preserve">The Public</x:t>
        </x:is>
      </x:c>
      <x:c r="I551" s="538" t="inlineStr">
        <x:is>
          <x:t xml:space="preserve">All of 31-12N-24W, aol</x:t>
        </x:is>
      </x:c>
      <x:c r="J551" s="538" t="inlineStr">
        <x:is>
          <x:t xml:space="preserve">On October 7, 2025, there was filed that certain Mortgage, with Power of Sale, Fixture Filing, As-Extracted Collateral Filing, Security Agreement, Financing Statement and Assignment of Production from MidCon Energy PDP, LLC, as Mortgagor, to Macquarie Bank Limited, as Administrative Agent for the benefit … Full recital in recorded instrument — see Link.</x:t>
        </x:is>
      </x:c>
      <x:c r="K551" s="518" t="e">
        <x:f>HYPERLINK("https://okcountyrecords.com/detail/roger+mills/2026-001844","OKCountyRecords: 2026-001844")</x:f>
      </x:c>
      <x:c r="L551" s="519" t="inlineStr">
        <x:is>
          <x:t xml:space="preserve">Other (non-mineral; excluded from mineral NMA). All-section coverage. Gross=tract-map basis.</x:t>
        </x:is>
      </x:c>
      <x:c r="M551" s="519" t="inlineStr">
        <x:is>
          <x:t xml:space="preserve">OK</x:t>
        </x:is>
      </x:c>
      <x:c r="N551" s="519" t="inlineStr">
        <x:is>
          <x:t xml:space="preserve">ARTI/notice instrument (The Public); no net mineral acres conveyed.</x:t>
        </x:is>
      </x:c>
      <x:c r="O551" s="519" t="inlineStr">
        <x:is>
          <x:t xml:space="preserve">OUTSIDE LANDS</x:t>
        </x:is>
      </x:c>
      <x:c r="P551" s="520" t="inlineStr">
        <x:is>
          <x:t xml:space="preserve">Chain — title support (succession/entity/probate)</x:t>
        </x:is>
      </x:c>
      <x:c r="Q551" s="520" t="inlineStr">
        <x:is>
          <x:t xml:space="preserve">Yes</x:t>
        </x:is>
      </x:c>
      <x:c r="R551" s="520" t="inlineStr">
        <x:is>
          <x:t xml:space="preserve">No</x:t>
        </x:is>
      </x:c>
      <x:c r="S551" s="520" t="inlineStr">
        <x:is>
          <x:t xml:space="preserve">Yes</x:t>
        </x:is>
      </x:c>
      <x:c r="T551" s="520" t="inlineStr">
        <x:is>
          <x:t xml:space="preserve">No</x:t>
        </x:is>
      </x:c>
      <x:c r="U551" s="520" t="inlineStr">
        <x:is>
          <x:t xml:space="preserve">Yes: 1, 8 (broad legal)</x:t>
        </x:is>
      </x:c>
      <x:c r="V551" s="520" t="inlineStr">
        <x:is>
          <x:t xml:space="preserve">Medium</x:t>
        </x:is>
      </x:c>
      <x:c r="W551" s="520" t="inlineStr">
        <x:is>
          <x:t xml:space="preserve">Review — no exact prior-grantee match</x:t>
        </x:is>
      </x:c>
      <x:c r="X551" s="520" t="inlineStr">
        <x:is>
          <x:t xml:space="preserve">Review</x:t>
        </x:is>
      </x:c>
      <x:c r="Y551" s="520" t="inlineStr">
        <x:is>
          <x:t xml:space="preserve">Interest amount needs review</x:t>
        </x:is>
      </x:c>
      <x:c r="Z551" s="520" t="inlineStr">
        <x:is>
          <x:t xml:space="preserve">Review</x:t>
        </x:is>
      </x:c>
      <x:c r="AA551" s="520" t="inlineStr">
        <x:is>
          <x:t xml:space="preserve">Affidavit Concerning Recording – — Vice President Long Matthew, to The Public (2692/412)</x:t>
        </x:is>
      </x:c>
      <x:c r="AB551" s="520" t="inlineStr">
        <x:is>
          <x:t xml:space="preserve">Needs source review: grantor source, interest amount</x:t>
        </x:is>
      </x:c>
    </x:row>
    <x:row r="552" s="520" customFormat="1" ht="72" customHeight="1">
      <x:c r="A552" s="519" t="inlineStr">
        <x:is>
          <x:t xml:space="preserve">2026-002510</x:t>
        </x:is>
      </x:c>
      <x:c r="B552" s="536" t="n">
        <x:v>85</x:v>
      </x:c>
      <x:c r="C552" s="536" t="inlineStr">
        <x:is>
          <x:t xml:space="preserve">Affidavit of Identity</x:t>
        </x:is>
      </x:c>
      <x:c r="D552" s="536" t="inlineStr">
        <x:is>
          <x:t xml:space="preserve">2697/519</x:t>
        </x:is>
      </x:c>
      <x:c r="E552" s="537" t="n">
        <x:v>46125</x:v>
      </x:c>
      <x:c r="F552" s="537" t="n">
        <x:v>46143</x:v>
      </x:c>
      <x:c r="G552" s="538" t="inlineStr">
        <x:is>
          <x:t xml:space="preserve">The Keri Lee Daigle Trust, the Keri Lee Daigle Tucker Trust, Keri L. Tucker, S/k/a Daigle, Keri Lee</x:t>
        </x:is>
      </x:c>
      <x:c r="H552" s="538" t="inlineStr">
        <x:is>
          <x:t xml:space="preserve">The Public</x:t>
        </x:is>
      </x:c>
      <x:c r="I552" s="538" t="inlineStr">
        <x:is>
          <x:t xml:space="preserve">E/2 NW/4, N/2, N/2 NE/4 SW/4, NE/4 SE/4, S/2 Lots 3-4, S/2 NE/4 SW/4, SE/4 NE/4, SE/4 SW/4 of 31-12N-24W</x:t>
        </x:is>
      </x:c>
      <x:c r="J552" s="538" t="inlineStr">
        <x:is>
          <x:t xml:space="preserve">Keri L Tucker, Keri Lee Daigle, Keri Daigle Tucker are one and the same person wherever said names appear in the record concerning said title 4 The Keri Lee Daigle Trust, The Keri Lee Daigle Tucker Trust, The Keri Daigle Tucker Trust are one and the same entity wherever said names appear in the record concerning said title, with The Keri Daigle Tucker Trust being the exact name of the Trust</x:t>
        </x:is>
      </x:c>
      <x:c r="K552" s="539" t="inlineStr">
        <x:is>
          <x:t xml:space="preserve">OKCountyRecords: 2026-002510</x:t>
        </x:is>
      </x:c>
      <x:c r="L552" s="519" t="inlineStr">
        <x:is>
          <x:t xml:space="preserve">Other (non-mineral; excluded from mineral NMA). Gross=tract-map basis.</x:t>
        </x:is>
      </x:c>
      <x:c r="M552" s="519" t="inlineStr">
        <x:is>
          <x:t xml:space="preserve">OK</x:t>
        </x:is>
      </x:c>
      <x:c r="N552" s="519" t="inlineStr">
        <x:is>
          <x:t xml:space="preserve">Non-conveying — notice/affidavit/address change (The Public).</x:t>
        </x:is>
      </x:c>
      <x:c r="O552" s="519" t="inlineStr">
        <x:is>
          <x:t xml:space="preserve">AFFIDAVIT / HEIRSHIP / PROBATE</x:t>
        </x:is>
      </x:c>
      <x:c r="P552" s="520" t="inlineStr">
        <x:is>
          <x:t xml:space="preserve">Chain — title support (succession/entity/probate)</x:t>
        </x:is>
      </x:c>
      <x:c r="Q552" s="520" t="inlineStr">
        <x:is>
          <x:t xml:space="preserve">Yes</x:t>
        </x:is>
      </x:c>
      <x:c r="R552" s="520" t="inlineStr">
        <x:is>
          <x:t xml:space="preserve">No</x:t>
        </x:is>
      </x:c>
      <x:c r="S552" s="520" t="inlineStr">
        <x:is>
          <x:t xml:space="preserve">Yes</x:t>
        </x:is>
      </x:c>
      <x:c r="T552" s="520" t="inlineStr">
        <x:is>
          <x:t xml:space="preserve">No</x:t>
        </x:is>
      </x:c>
      <x:c r="U552" s="520" t="inlineStr">
        <x:is>
          <x:t xml:space="preserve">Legal maps to 1, 3, 4, 5, 7, 9, 10; helper says 1, 3, 4, 7, 8</x:t>
        </x:is>
      </x:c>
      <x:c r="V552" s="520" t="inlineStr">
        <x:is>
          <x:t xml:space="preserve">Review</x:t>
        </x:is>
      </x:c>
      <x:c r="W552" s="520" t="inlineStr">
        <x:is>
          <x:t xml:space="preserve">Review — no exact prior-grantee match</x:t>
        </x:is>
      </x:c>
      <x:c r="X552" s="520" t="inlineStr">
        <x:is>
          <x:t xml:space="preserve">Yes — on Tract 3 owner list</x:t>
        </x:is>
      </x:c>
      <x:c r="Y552" s="520" t="inlineStr">
        <x:is>
          <x:t xml:space="preserve">Interest amount needs review</x:t>
        </x:is>
      </x:c>
      <x:c r="Z552" s="520" t="inlineStr">
        <x:is>
          <x:t xml:space="preserve">Review</x:t>
        </x:is>
      </x:c>
      <x:c r="AA552" s="520" t="inlineStr">
        <x:is>
          <x:t xml:space="preserve">Affidavit of Identity — The Keri Lee Daigle Trust, the to The Public (2697/519)</x:t>
        </x:is>
      </x:c>
      <x:c r="AB552" s="520" t="inlineStr">
        <x:is>
          <x:t xml:space="preserve">Needs source review: tract, grantor source, interest amount</x:t>
        </x:is>
      </x:c>
    </x:row>
    <x:row r="553" s="520" customFormat="1" ht="96" customHeight="1">
      <x:c r="A553" s="519" t="n"/>
      <x:c r="B553" s="536" t="n"/>
      <x:c r="C553" s="536" t="inlineStr">
        <x:is>
          <x:t xml:space="preserve">Change of Address</x:t>
        </x:is>
      </x:c>
      <x:c r="D553" s="536" t="inlineStr">
        <x:is>
          <x:t xml:space="preserve">2700/268</x:t>
        </x:is>
      </x:c>
      <x:c r="E553" s="537" t="n">
        <x:v>46147</x:v>
      </x:c>
      <x:c r="F553" s="537" t="n">
        <x:v>46160</x:v>
      </x:c>
      <x:c r="G553" s="538" t="inlineStr">
        <x:is>
          <x:t xml:space="preserve">Royfin Natural Gas, LLC,
Tamworth Resources, LLC,
Scott Martin,
Longreach Energy Investments, Inc.</x:t>
        </x:is>
      </x:c>
      <x:c r="H553" s="538" t="inlineStr">
        <x:is>
          <x:t xml:space="preserve">The Public</x:t>
        </x:is>
      </x:c>
      <x:c r="I553" s="538" t="inlineStr">
        <x:is>
          <x:t xml:space="preserve">All of 11-12N-21W aol</x:t>
        </x:is>
      </x:c>
      <x:c r="J553" s="538" t="inlineStr">
        <x:is>
          <x:t xml:space="preserve">Longreach Energy Investments, Inc
Giant Capital Energy 2, LLC (fka Longreach Energy 2, LLC)
(copy of Certificate of Name Change attached as Exhibit "A")
Royfin Natural Gas, LLC
Tamworth Resources, LLC
have changed their address to
401 South Boston Avenue, Suite 1900
Tulsa, OK 74103</x:t>
        </x:is>
      </x:c>
      <x:c r="K553" s="518" t="e">
        <x:f>HYPERLINK("https://okcountyrecords.com/search/roger%20mills","OKCountyRecords search: Change of Address 2700/0268")</x:f>
      </x:c>
      <x:c r="L553" s="519" t="inlineStr">
        <x:is>
          <x:t xml:space="preserve">Other (non-mineral; excluded from mineral NMA). Gross acres unresolved. Gross=tract-map basis.</x:t>
        </x:is>
      </x:c>
      <x:c r="M553" s="519" t="inlineStr">
        <x:is>
          <x:t xml:space="preserve">OK</x:t>
        </x:is>
      </x:c>
      <x:c r="N553" s="519" t="inlineStr">
        <x:is>
          <x:t xml:space="preserve">Document number / image number | EXCLUDED/REFERENCE: off-section (All of 11-12N-21W), address-change notice — see Excluded/Reference section below.</x:t>
        </x:is>
      </x:c>
      <x:c r="O553" s="519" t="inlineStr">
        <x:is>
          <x:t xml:space="preserve">OUTSIDE LANDS</x:t>
        </x:is>
      </x:c>
      <x:c r="P553" s="520" t="inlineStr">
        <x:is>
          <x:t xml:space="preserve">Do Not Chain — other section lands</x:t>
        </x:is>
      </x:c>
      <x:c r="Q553" s="520" t="inlineStr">
        <x:is>
          <x:t xml:space="preserve">No</x:t>
        </x:is>
      </x:c>
      <x:c r="R553" s="520" t="inlineStr">
        <x:is>
          <x:t xml:space="preserve">No</x:t>
        </x:is>
      </x:c>
      <x:c r="S553" s="520" t="inlineStr">
        <x:is>
          <x:t xml:space="preserve">No</x:t>
        </x:is>
      </x:c>
      <x:c r="T553" s="520" t="inlineStr">
        <x:is>
          <x:t xml:space="preserve">No</x:t>
        </x:is>
      </x:c>
      <x:c r="U553" s="520" t="inlineStr">
        <x:is>
          <x:t xml:space="preserve">Other section — no Sec 31 tract</x:t>
        </x:is>
      </x:c>
      <x:c r="V553" s="520" t="inlineStr">
        <x:is>
          <x:t xml:space="preserve">High</x:t>
        </x:is>
      </x:c>
      <x:c r="W553" s="520" t="inlineStr">
        <x:is>
          <x:t xml:space="preserve">Probable — name-normalized match to Runsheet 386 grantee; confirm</x:t>
        </x:is>
      </x:c>
      <x:c r="X553" s="520" t="inlineStr">
        <x:is>
          <x:t xml:space="preserve">Yes — on Tract 3 owner list</x:t>
        </x:is>
      </x:c>
      <x:c r="Y553" s="520" t="inlineStr">
        <x:is>
          <x:t xml:space="preserve">Interest amount needs review</x:t>
        </x:is>
      </x:c>
      <x:c r="Z553" s="520" t="inlineStr">
        <x:is>
          <x:t xml:space="preserve">Review</x:t>
        </x:is>
      </x:c>
      <x:c r="AA553" s="520" t="inlineStr">
        <x:is>
          <x:t xml:space="preserve">Change of Address — Royfin Natural Gas, LLC, to The Public (2700/268)</x:t>
        </x:is>
      </x:c>
      <x:c r="AB553" s="520" t="inlineStr">
        <x:is>
          <x:t xml:space="preserve">Needs source review: grantor source</x:t>
        </x:is>
      </x:c>
    </x:row>
    <x:row r="554" s="520" customFormat="1" ht="84" customHeight="1">
      <x:c r="A554" s="519" t="inlineStr">
        <x:is>
          <x:t xml:space="preserve">2026-003142</x:t>
        </x:is>
      </x:c>
      <x:c r="B554" s="536" t="n"/>
      <x:c r="C554" s="536" t="inlineStr">
        <x:is>
          <x:t xml:space="preserve">Affidavit of Death &amp; Heirship</x:t>
        </x:is>
      </x:c>
      <x:c r="D554" s="536" t="inlineStr">
        <x:is>
          <x:t xml:space="preserve">2702/500</x:t>
        </x:is>
      </x:c>
      <x:c r="E554" s="537" t="n">
        <x:v>46162</x:v>
      </x:c>
      <x:c r="F554" s="537" t="n">
        <x:v>46170</x:v>
      </x:c>
      <x:c r="G554" s="538" t="inlineStr">
        <x:is>
          <x:t xml:space="preserve">Carrie Leeann Mitchell</x:t>
        </x:is>
      </x:c>
      <x:c r="H554" s="538" t="inlineStr">
        <x:is>
          <x:t xml:space="preserve">The Public
RE: Gene Gilbert Williams, Deceased
Heirs:
Gena W. Moore, a/k/a Gena Mitchell
William, a/k/a Gena Williams, a/k/a
Gena Willams Moore</x:t>
        </x:is>
      </x:c>
      <x:c r="I554" s="538" t="inlineStr">
        <x:is>
          <x:t xml:space="preserve">All of 31-12N-24W, aol</x:t>
        </x:is>
      </x:c>
      <x:c r="J554" s="538" t="inlineStr">
        <x:is>
          <x:t xml:space="preserve">ARTI</x:t>
        </x:is>
      </x:c>
      <x:c r="K554" s="518" t="e">
        <x:f>HYPERLINK("https://okcountyrecords.com/detail/roger+mills/2026-003142/35404150","OKCountyRecords: 2026-003142")</x:f>
      </x:c>
      <x:c r="L554" s="519" t="inlineStr">
        <x:is>
          <x:t xml:space="preserve">Mineral; basis Conv Amt(dec). grantor indexed as 'The Public' — confirm source instrument. All-section coverage. Gross=tract-map basis.</x:t>
        </x:is>
      </x:c>
      <x:c r="M554" s="519" t="inlineStr">
        <x:is>
          <x:t xml:space="preserve">REVIEW</x:t>
        </x:is>
      </x:c>
      <x:c r="N554" s="519" t="inlineStr">
        <x:is>
          <x:t xml:space="preserve">Confirm conveyed mineral acreage from instrument image — named party indexed under 'The Public' (affidavit/notice); identity resolved.</x:t>
        </x:is>
      </x:c>
      <x:c r="O554" s="519" t="inlineStr">
        <x:is>
          <x:t xml:space="preserve">OUTSIDE LANDS</x:t>
        </x:is>
      </x:c>
      <x:c r="P554" s="520" t="inlineStr">
        <x:is>
          <x:t xml:space="preserve">Chain — title support (succession/entity/probate)</x:t>
        </x:is>
      </x:c>
      <x:c r="Q554" s="520" t="inlineStr">
        <x:is>
          <x:t xml:space="preserve">Yes</x:t>
        </x:is>
      </x:c>
      <x:c r="R554" s="520" t="inlineStr">
        <x:is>
          <x:t xml:space="preserve">No</x:t>
        </x:is>
      </x:c>
      <x:c r="S554" s="520" t="inlineStr">
        <x:is>
          <x:t xml:space="preserve">Yes</x:t>
        </x:is>
      </x:c>
      <x:c r="T554" s="520" t="inlineStr">
        <x:is>
          <x:t xml:space="preserve">No</x:t>
        </x:is>
      </x:c>
      <x:c r="U554" s="520" t="inlineStr">
        <x:is>
          <x:t xml:space="preserve">Yes: 1, 8 (broad legal)</x:t>
        </x:is>
      </x:c>
      <x:c r="V554" s="520" t="inlineStr">
        <x:is>
          <x:t xml:space="preserve">Medium</x:t>
        </x:is>
      </x:c>
      <x:c r="W554" s="520" t="inlineStr">
        <x:is>
          <x:t xml:space="preserve">Review — no exact prior-grantee match</x:t>
        </x:is>
      </x:c>
      <x:c r="X554" s="520" t="inlineStr">
        <x:is>
          <x:t xml:space="preserve">Review</x:t>
        </x:is>
      </x:c>
      <x:c r="Y554" s="520" t="inlineStr">
        <x:is>
          <x:t xml:space="preserve">Candidate 1 (helper — confirm from image)</x:t>
        </x:is>
      </x:c>
      <x:c r="Z554" s="520" t="inlineStr">
        <x:is>
          <x:t xml:space="preserve">Medium — helper value</x:t>
        </x:is>
      </x:c>
      <x:c r="AA554" s="520" t="inlineStr">
        <x:is>
          <x:t xml:space="preserve">Affidavit of Death &amp; Heirship — Carrie Leeann Mitchell to The Public (2702/500)</x:t>
        </x:is>
      </x:c>
      <x:c r="AB554" s="520" t="inlineStr">
        <x:is>
          <x:t xml:space="preserve">Needs source review: grantor source</x:t>
        </x:is>
      </x:c>
    </x:row>
    <x:row r="555" s="520" customFormat="1" ht="84" customHeight="1">
      <x:c r="A555" s="519" t="inlineStr">
        <x:is>
          <x:t xml:space="preserve">2026-003143</x:t>
        </x:is>
      </x:c>
      <x:c r="B555" s="536" t="n"/>
      <x:c r="C555" s="536" t="inlineStr">
        <x:is>
          <x:t xml:space="preserve">Affidavit of Death &amp; Heirship</x:t>
        </x:is>
      </x:c>
      <x:c r="D555" s="536" t="inlineStr">
        <x:is>
          <x:t xml:space="preserve">2702/503</x:t>
        </x:is>
      </x:c>
      <x:c r="E555" s="537" t="n">
        <x:v>46162</x:v>
      </x:c>
      <x:c r="F555" s="537" t="n">
        <x:v>46170</x:v>
      </x:c>
      <x:c r="G555" s="538" t="inlineStr">
        <x:is>
          <x:t xml:space="preserve">Carrie Leeann Mitchell</x:t>
        </x:is>
      </x:c>
      <x:c r="H555" s="538" t="inlineStr">
        <x:is>
          <x:t xml:space="preserve">The Public
RE: Marvin Mitchell Williams, Deceased
Heirs:
Gena W. Moore, a/k/a Gena Mitchell
William, a/k/a Gena Willhams, a/k/a
Gena Williams Moore</x:t>
        </x:is>
      </x:c>
      <x:c r="I555" s="538" t="inlineStr">
        <x:is>
          <x:t xml:space="preserve">All of 31-12N-24W, aol</x:t>
        </x:is>
      </x:c>
      <x:c r="J555" s="538" t="inlineStr">
        <x:is>
          <x:t xml:space="preserve">ARTI</x:t>
        </x:is>
      </x:c>
      <x:c r="K555" s="539" t="e">
        <x:f>HYPERLINK("https://okcountyrecords.com/detail/roger+mills/2026-003143/35404149","OKCountyRecords: 2026-003143")</x:f>
      </x:c>
      <x:c r="L555" s="519" t="inlineStr">
        <x:is>
          <x:t xml:space="preserve">Mineral; basis Conv Amt(dec). grantor indexed as 'The Public' — confirm source instrument. All-section coverage. Gross=tract-map basis.</x:t>
        </x:is>
      </x:c>
      <x:c r="M555" s="519" t="inlineStr">
        <x:is>
          <x:t xml:space="preserve">REVIEW</x:t>
        </x:is>
      </x:c>
      <x:c r="N555" s="519" t="inlineStr">
        <x:is>
          <x:t xml:space="preserve">Confirm conveyed mineral acreage from instrument image — named party indexed under 'The Public' (affidavit/notice); identity resolved.</x:t>
        </x:is>
      </x:c>
      <x:c r="O555" s="519" t="inlineStr">
        <x:is>
          <x:t xml:space="preserve">OUTSIDE LANDS</x:t>
        </x:is>
      </x:c>
      <x:c r="P555" s="520" t="inlineStr">
        <x:is>
          <x:t xml:space="preserve">Chain — title support (succession/entity/probate)</x:t>
        </x:is>
      </x:c>
      <x:c r="Q555" s="520" t="inlineStr">
        <x:is>
          <x:t xml:space="preserve">Yes</x:t>
        </x:is>
      </x:c>
      <x:c r="R555" s="520" t="inlineStr">
        <x:is>
          <x:t xml:space="preserve">No</x:t>
        </x:is>
      </x:c>
      <x:c r="S555" s="520" t="inlineStr">
        <x:is>
          <x:t xml:space="preserve">Yes</x:t>
        </x:is>
      </x:c>
      <x:c r="T555" s="520" t="inlineStr">
        <x:is>
          <x:t xml:space="preserve">No</x:t>
        </x:is>
      </x:c>
      <x:c r="U555" s="520" t="inlineStr">
        <x:is>
          <x:t xml:space="preserve">Yes: 1, 8 (broad legal)</x:t>
        </x:is>
      </x:c>
      <x:c r="V555" s="520" t="inlineStr">
        <x:is>
          <x:t xml:space="preserve">Medium</x:t>
        </x:is>
      </x:c>
      <x:c r="W555" s="520" t="inlineStr">
        <x:is>
          <x:t xml:space="preserve">Review — no exact prior-grantee match</x:t>
        </x:is>
      </x:c>
      <x:c r="X555" s="520" t="inlineStr">
        <x:is>
          <x:t xml:space="preserve">Review</x:t>
        </x:is>
      </x:c>
      <x:c r="Y555" s="520" t="inlineStr">
        <x:is>
          <x:t xml:space="preserve">Candidate 1 (helper — confirm from image)</x:t>
        </x:is>
      </x:c>
      <x:c r="Z555" s="520" t="inlineStr">
        <x:is>
          <x:t xml:space="preserve">Medium — helper value</x:t>
        </x:is>
      </x:c>
      <x:c r="AA555" s="520" t="inlineStr">
        <x:is>
          <x:t xml:space="preserve">Affidavit of Death &amp; Heirship — Carrie Leeann Mitchell to The Public (2702/503)</x:t>
        </x:is>
      </x:c>
      <x:c r="AB555" s="520" t="inlineStr">
        <x:is>
          <x:t xml:space="preserve">Needs source review: grantor source</x:t>
        </x:is>
      </x:c>
    </x:row>
    <x:row r="556" s="520" customFormat="1" ht="60" customHeight="1">
      <x:c r="A556" s="519" t="inlineStr">
        <x:is>
          <x:t xml:space="preserve">2026-003144</x:t>
        </x:is>
      </x:c>
      <x:c r="B556" s="536" t="n"/>
      <x:c r="C556" s="536" t="inlineStr">
        <x:is>
          <x:t xml:space="preserve">Affidavit of Identity</x:t>
        </x:is>
      </x:c>
      <x:c r="D556" s="536" t="inlineStr">
        <x:is>
          <x:t xml:space="preserve">2702/504</x:t>
        </x:is>
      </x:c>
      <x:c r="E556" s="537" t="n">
        <x:v>46170</x:v>
      </x:c>
      <x:c r="F556" s="537" t="n">
        <x:v>46170</x:v>
      </x:c>
      <x:c r="G556" s="538" t="inlineStr">
        <x:is>
          <x:t xml:space="preserve">Gena W. Moore,
Gena Williams Moore,
Gena Williams,
Gena Mitchell Williams</x:t>
        </x:is>
      </x:c>
      <x:c r="H556" s="538" t="inlineStr">
        <x:is>
          <x:t xml:space="preserve">The Public</x:t>
        </x:is>
      </x:c>
      <x:c r="I556" s="538" t="inlineStr">
        <x:is>
          <x:t xml:space="preserve">E/2 NW/4, N/2 NE/4, N/2 NE/4 SW/4, NE/4 SE/4, S/2 Lots 3-4, S/2 NE/4 SW/4, SE/4 NE/4, SE/4 SW/4 of 31-12N-24W, aol</x:t>
        </x:is>
      </x:c>
      <x:c r="J556" s="538" t="inlineStr">
        <x:is>
          <x:t xml:space="preserve">Gena W Moore, Gena Mitchell Williams, Gena Williams, Gena Williams Moore are one and the same person wherever said names appear in the record concerning said title</x:t>
        </x:is>
      </x:c>
      <x:c r="K556" s="518" t="e">
        <x:f>HYPERLINK("https://okcountyrecords.com/detail/roger+mills/2026-003144/35404152","OKCountyRecords: 2026-003144")</x:f>
      </x:c>
      <x:c r="L556" s="519" t="inlineStr">
        <x:is>
          <x:t xml:space="preserve">Other (non-mineral; excluded from mineral NMA). All-section coverage. Gross=tract-map basis.</x:t>
        </x:is>
      </x:c>
      <x:c r="M556" s="519" t="inlineStr">
        <x:is>
          <x:t xml:space="preserve">OK</x:t>
        </x:is>
      </x:c>
      <x:c r="N556" s="519" t="inlineStr">
        <x:is>
          <x:t xml:space="preserve">Non-conveying — notice/affidavit/address change (The Public).</x:t>
        </x:is>
      </x:c>
      <x:c r="O556" s="519" t="inlineStr">
        <x:is>
          <x:t xml:space="preserve">OUTSIDE LANDS</x:t>
        </x:is>
      </x:c>
      <x:c r="P556" s="520" t="inlineStr">
        <x:is>
          <x:t xml:space="preserve">Chain — title support (succession/entity/probate)</x:t>
        </x:is>
      </x:c>
      <x:c r="Q556" s="520" t="inlineStr">
        <x:is>
          <x:t xml:space="preserve">Yes</x:t>
        </x:is>
      </x:c>
      <x:c r="R556" s="520" t="inlineStr">
        <x:is>
          <x:t xml:space="preserve">No</x:t>
        </x:is>
      </x:c>
      <x:c r="S556" s="520" t="inlineStr">
        <x:is>
          <x:t xml:space="preserve">Yes</x:t>
        </x:is>
      </x:c>
      <x:c r="T556" s="520" t="inlineStr">
        <x:is>
          <x:t xml:space="preserve">No</x:t>
        </x:is>
      </x:c>
      <x:c r="U556" s="520" t="inlineStr">
        <x:is>
          <x:t xml:space="preserve">Legal maps to 1, 3, 4, 5, 7, 9, 10; helper says 1, 8</x:t>
        </x:is>
      </x:c>
      <x:c r="V556" s="520" t="inlineStr">
        <x:is>
          <x:t xml:space="preserve">Review</x:t>
        </x:is>
      </x:c>
      <x:c r="W556" s="520" t="inlineStr">
        <x:is>
          <x:t xml:space="preserve">Review — no exact prior-grantee match</x:t>
        </x:is>
      </x:c>
      <x:c r="X556" s="520" t="inlineStr">
        <x:is>
          <x:t xml:space="preserve">Review</x:t>
        </x:is>
      </x:c>
      <x:c r="Y556" s="520" t="inlineStr">
        <x:is>
          <x:t xml:space="preserve">Interest amount needs review</x:t>
        </x:is>
      </x:c>
      <x:c r="Z556" s="520" t="inlineStr">
        <x:is>
          <x:t xml:space="preserve">Review</x:t>
        </x:is>
      </x:c>
      <x:c r="AA556" s="520" t="inlineStr">
        <x:is>
          <x:t xml:space="preserve">Affidavit of Identity — Gena W. Moore, to The Public (2702/504)</x:t>
        </x:is>
      </x:c>
      <x:c r="AB556" s="520" t="inlineStr">
        <x:is>
          <x:t xml:space="preserve">Needs source review: tract, grantor source, interest amount</x:t>
        </x:is>
      </x:c>
    </x:row>
    <x:row r="557" s="520" customFormat="1" ht="84" customHeight="1">
      <x:c r="A557" s="519" t="inlineStr">
        <x:is>
          <x:t xml:space="preserve">2026-003315</x:t>
        </x:is>
      </x:c>
      <x:c r="B557" s="536" t="n"/>
      <x:c r="C557" s="536" t="inlineStr">
        <x:is>
          <x:t xml:space="preserve">Order Allowing Final Account, Determining Heirs and Final Decree of Distribution</x:t>
        </x:is>
      </x:c>
      <x:c r="D557" s="536" t="inlineStr">
        <x:is>
          <x:t xml:space="preserve">2704/142</x:t>
        </x:is>
      </x:c>
      <x:c r="E557" s="537" t="n">
        <x:v>46175</x:v>
      </x:c>
      <x:c r="F557" s="537" t="n">
        <x:v>46178</x:v>
      </x:c>
      <x:c r="G557" s="538" t="inlineStr">
        <x:is>
          <x:t xml:space="preserve">Roger Mills County Court
RE: In the Matter of the Estate of Darrell Edward Hamilton, Deceased</x:t>
        </x:is>
      </x:c>
      <x:c r="H557" s="538" t="inlineStr">
        <x:is>
          <x:t xml:space="preserve">Darren P. McSweeney
530 Eldridge St, #P03
Lawrence, Kansas 66049</x:t>
        </x:is>
      </x:c>
      <x:c r="I557" s="538" t="inlineStr">
        <x:is>
          <x:t xml:space="preserve">NW/4 SE/4, S/2 SE/4, SW/4 NE/4 of 31-12N-24W, aol</x:t>
        </x:is>
      </x:c>
      <x:c r="J557" s="538" t="inlineStr">
        <x:is>
          <x:t xml:space="preserve">ARTI</x:t>
        </x:is>
      </x:c>
      <x:c r="K557" s="518" t="e">
        <x:f>HYPERLINK("https://okcountyrecords.com/detail/roger+mills/2026-003315/35464678","OKCountyRecords: 2026-003315")</x:f>
      </x:c>
      <x:c r="L557" s="519" t="inlineStr">
        <x:is>
          <x:t xml:space="preserve">Mineral; basis Conv Amt(dec). Gross=tract-map basis.</x:t>
        </x:is>
      </x:c>
      <x:c r="M557" s="519" t="inlineStr">
        <x:is>
          <x:t xml:space="preserve">2026 FINAL DECREE — Tract 2</x:t>
        </x:is>
      </x:c>
      <x:c r="N557" s="519" t="inlineStr">
        <x:is>
          <x:t xml:space="preserve">Final Decree distributes Hamilton estate ARTI in Tract 2 lands (NW/4 SE/4, S/2 SE/4, SW/4 NE/4) to Darren P. McSweeney (160 gross ac). Tract 2 owner/NMA update PENDING image confirmation of the estate's mineral fraction.</x:t>
        </x:is>
      </x:c>
      <x:c r="O557" s="519" t="inlineStr">
        <x:is>
          <x:t xml:space="preserve">OUTSIDE LANDS</x:t>
        </x:is>
      </x:c>
      <x:c r="P557" s="520" t="inlineStr">
        <x:is>
          <x:t xml:space="preserve">Chain — title support (succession/entity/probate)</x:t>
        </x:is>
      </x:c>
      <x:c r="Q557" s="520" t="inlineStr">
        <x:is>
          <x:t xml:space="preserve">Yes</x:t>
        </x:is>
      </x:c>
      <x:c r="R557" s="520" t="inlineStr">
        <x:is>
          <x:t xml:space="preserve">No</x:t>
        </x:is>
      </x:c>
      <x:c r="S557" s="520" t="inlineStr">
        <x:is>
          <x:t xml:space="preserve">Yes</x:t>
        </x:is>
      </x:c>
      <x:c r="T557" s="520" t="inlineStr">
        <x:is>
          <x:t xml:space="preserve">No</x:t>
        </x:is>
      </x:c>
      <x:c r="U557" s="520" t="inlineStr">
        <x:is>
          <x:t xml:space="preserve">Yes: 2 (legal supports)</x:t>
        </x:is>
      </x:c>
      <x:c r="V557" s="520" t="inlineStr">
        <x:is>
          <x:t xml:space="preserve">High</x:t>
        </x:is>
      </x:c>
      <x:c r="W557" s="520" t="inlineStr">
        <x:is>
          <x:t xml:space="preserve">Review — no exact prior-grantee match</x:t>
        </x:is>
      </x:c>
      <x:c r="X557" s="520" t="inlineStr">
        <x:is>
          <x:t xml:space="preserve">Yes — on Tract 2 owner list</x:t>
        </x:is>
      </x:c>
      <x:c r="Y557" s="520" t="inlineStr">
        <x:is>
          <x:t xml:space="preserve">Candidate 1 (helper — confirm from image)</x:t>
        </x:is>
      </x:c>
      <x:c r="Z557" s="520" t="inlineStr">
        <x:is>
          <x:t xml:space="preserve">Medium — helper value</x:t>
        </x:is>
      </x:c>
      <x:c r="AA557" s="520" t="inlineStr">
        <x:is>
          <x:t xml:space="preserve">Order Allowing Final Account, De — Roger Mills County Court to Darren P. McSweeney (2704/142)</x:t>
        </x:is>
      </x:c>
      <x:c r="AB557" s="520" t="inlineStr">
        <x:is>
          <x:t xml:space="preserve">Needs source review: grantor source</x:t>
        </x:is>
      </x:c>
    </x:row>
    <x:row r="558" s="520" customFormat="1" ht="60" customHeight="1">
      <x:c r="A558" s="519" t="inlineStr">
        <x:is>
          <x:t xml:space="preserve">1950-001326</x:t>
        </x:is>
      </x:c>
      <x:c r="B558" s="536" t="n"/>
      <x:c r="C558" s="536" t="inlineStr">
        <x:is>
          <x:t xml:space="preserve">Miscellaneous</x:t>
        </x:is>
      </x:c>
      <x:c r="D558" s="536" t="inlineStr">
        <x:is>
          <x:t xml:space="preserve">MIS25/335</x:t>
        </x:is>
      </x:c>
      <x:c r="E558" s="537" t="n"/>
      <x:c r="F558" s="537" t="n">
        <x:v>18321</x:v>
      </x:c>
      <x:c r="G558" s="538" t="inlineStr">
        <x:is>
          <x:t xml:space="preserve">Carrie Lou Mitchell,
Marvin G. Mitchell</x:t>
        </x:is>
      </x:c>
      <x:c r="H558" s="538" t="inlineStr">
        <x:is>
          <x:t xml:space="preserve">Gulf Oil Corp</x:t>
        </x:is>
      </x:c>
      <x:c r="I558" s="538" t="inlineStr">
        <x:is>
          <x:t xml:space="preserve">31-12N-24W</x:t>
        </x:is>
      </x:c>
      <x:c r="J558" s="538" t="inlineStr">
        <x:is>
          <x:t xml:space="preserve">See instrument</x:t>
        </x:is>
      </x:c>
      <x:c r="K558" s="518" t="e">
        <x:f>HYPERLINK("https://okcountyrecords.com/detail/roger+mills/1950-001326","OKCountyRecords: 1950-001326")</x:f>
      </x:c>
      <x:c r="L558" s="519" t="inlineStr">
        <x:is>
          <x:t xml:space="preserve">Other (non-mineral; excluded from mineral NMA). All-section coverage. Gross=tract-map basis.</x:t>
        </x:is>
      </x:c>
      <x:c r="M558" s="519" t="n"/>
      <x:c r="N558" s="519" t="n"/>
      <x:c r="O558" s="519" t="inlineStr">
        <x:is>
          <x:t xml:space="preserve">IGNORE FOR MINERAL OWNERSHIP</x:t>
        </x:is>
      </x:c>
      <x:c r="P558" s="520" t="inlineStr">
        <x:is>
          <x:t xml:space="preserve">Review — read instrument (type unclear)</x:t>
        </x:is>
      </x:c>
      <x:c r="Q558" s="520" t="inlineStr">
        <x:is>
          <x:t xml:space="preserve">Review</x:t>
        </x:is>
      </x:c>
      <x:c r="R558" s="520" t="inlineStr">
        <x:is>
          <x:t xml:space="preserve">Review</x:t>
        </x:is>
      </x:c>
      <x:c r="S558" s="520" t="inlineStr">
        <x:is>
          <x:t xml:space="preserve">Review</x:t>
        </x:is>
      </x:c>
      <x:c r="T558" s="520" t="inlineStr">
        <x:is>
          <x:t xml:space="preserve">Review</x:t>
        </x:is>
      </x:c>
      <x:c r="U558" s="520" t="inlineStr">
        <x:is>
          <x:t xml:space="preserve">Yes: 1, 8 (broad legal)</x:t>
        </x:is>
      </x:c>
      <x:c r="V558" s="520" t="inlineStr">
        <x:is>
          <x:t xml:space="preserve">Medium</x:t>
        </x:is>
      </x:c>
      <x:c r="W558" s="520" t="inlineStr">
        <x:is>
          <x:t xml:space="preserve">Yes — prior grantee match</x:t>
        </x:is>
      </x:c>
      <x:c r="X558" s="520" t="inlineStr">
        <x:is>
          <x:t xml:space="preserve">Review</x:t>
        </x:is>
      </x:c>
      <x:c r="Y558" s="520" t="inlineStr">
        <x:is>
          <x:t xml:space="preserve">Interest amount needs review</x:t>
        </x:is>
      </x:c>
      <x:c r="Z558" s="520" t="inlineStr">
        <x:is>
          <x:t xml:space="preserve">Review</x:t>
        </x:is>
      </x:c>
      <x:c r="AA558" s="520" t="inlineStr">
        <x:is>
          <x:t xml:space="preserve">Miscellaneous — Carrie Lou Mitchell, to Gulf Oil Corp (MIS25/335)</x:t>
        </x:is>
      </x:c>
      <x:c r="AB558" s="520" t="inlineStr">
        <x:is>
          <x:t xml:space="preserve">Needs source review: interest amount, instrument type</x:t>
        </x:is>
      </x:c>
    </x:row>
    <x:row r="559" s="520" customFormat="1" ht="60" customHeight="1">
      <x:c r="A559" s="519" t="inlineStr">
        <x:is>
          <x:t xml:space="preserve">1918-001215</x:t>
        </x:is>
      </x:c>
      <x:c r="B559" s="536" t="n"/>
      <x:c r="C559" s="536" t="inlineStr">
        <x:is>
          <x:t xml:space="preserve">Miscellaneous</x:t>
        </x:is>
      </x:c>
      <x:c r="D559" s="536" t="inlineStr">
        <x:is>
          <x:t xml:space="preserve">MIS10/485</x:t>
        </x:is>
      </x:c>
      <x:c r="E559" s="537" t="n"/>
      <x:c r="F559" s="537" t="n">
        <x:v>6902</x:v>
      </x:c>
      <x:c r="G559" s="538" t="inlineStr">
        <x:is>
          <x:t xml:space="preserve">E. S. Repass</x:t>
        </x:is>
      </x:c>
      <x:c r="H559" s="538" t="inlineStr">
        <x:is>
          <x:t xml:space="preserve">William C. Bain</x:t>
        </x:is>
      </x:c>
      <x:c r="I559" s="538" t="inlineStr">
        <x:is>
          <x:t xml:space="preserve">31-12N-24W</x:t>
        </x:is>
      </x:c>
      <x:c r="J559" s="538" t="inlineStr">
        <x:is>
          <x:t xml:space="preserve">See instrument</x:t>
        </x:is>
      </x:c>
      <x:c r="K559" s="518" t="e">
        <x:f>HYPERLINK("https://okcountyrecords.com/detail/roger+mills/1918-001215","OKCountyRecords: 1918-001215")</x:f>
      </x:c>
      <x:c r="L559" s="519" t="inlineStr">
        <x:is>
          <x:t xml:space="preserve">Other (non-mineral; excluded from mineral NMA). All-section coverage. Gross=tract-map basis.</x:t>
        </x:is>
      </x:c>
      <x:c r="M559" s="519" t="n"/>
      <x:c r="N559" s="519" t="n"/>
      <x:c r="O559" s="519" t="inlineStr">
        <x:is>
          <x:t xml:space="preserve">IGNORE FOR MINERAL OWNERSHIP</x:t>
        </x:is>
      </x:c>
      <x:c r="P559" s="520" t="inlineStr">
        <x:is>
          <x:t xml:space="preserve">Review — read instrument (type unclear)</x:t>
        </x:is>
      </x:c>
      <x:c r="Q559" s="520" t="inlineStr">
        <x:is>
          <x:t xml:space="preserve">Review</x:t>
        </x:is>
      </x:c>
      <x:c r="R559" s="520" t="inlineStr">
        <x:is>
          <x:t xml:space="preserve">Review</x:t>
        </x:is>
      </x:c>
      <x:c r="S559" s="520" t="inlineStr">
        <x:is>
          <x:t xml:space="preserve">Review</x:t>
        </x:is>
      </x:c>
      <x:c r="T559" s="520" t="inlineStr">
        <x:is>
          <x:t xml:space="preserve">Review</x:t>
        </x:is>
      </x:c>
      <x:c r="U559" s="520" t="inlineStr">
        <x:is>
          <x:t xml:space="preserve">Yes: 1, 8 (broad legal)</x:t>
        </x:is>
      </x:c>
      <x:c r="V559" s="520" t="inlineStr">
        <x:is>
          <x:t xml:space="preserve">Medium</x:t>
        </x:is>
      </x:c>
      <x:c r="W559" s="520" t="inlineStr">
        <x:is>
          <x:t xml:space="preserve">Review — no exact prior-grantee match</x:t>
        </x:is>
      </x:c>
      <x:c r="X559" s="520" t="inlineStr">
        <x:is>
          <x:t xml:space="preserve">Review</x:t>
        </x:is>
      </x:c>
      <x:c r="Y559" s="520" t="inlineStr">
        <x:is>
          <x:t xml:space="preserve">Interest amount needs review</x:t>
        </x:is>
      </x:c>
      <x:c r="Z559" s="520" t="inlineStr">
        <x:is>
          <x:t xml:space="preserve">Review</x:t>
        </x:is>
      </x:c>
      <x:c r="AA559" s="520" t="inlineStr">
        <x:is>
          <x:t xml:space="preserve">Miscellaneous — E. S. Repass to William C. Bain (MIS10/485)</x:t>
        </x:is>
      </x:c>
      <x:c r="AB559" s="520" t="inlineStr">
        <x:is>
          <x:t xml:space="preserve">Needs source review: grantor source, interest amount, instrument type</x:t>
        </x:is>
      </x:c>
    </x:row>
    <x:row r="560" s="520" customFormat="1" ht="60" customHeight="1">
      <x:c r="A560" s="519" t="inlineStr">
        <x:is>
          <x:t xml:space="preserve">1930-001678</x:t>
        </x:is>
      </x:c>
      <x:c r="B560" s="536" t="n"/>
      <x:c r="C560" s="536" t="inlineStr">
        <x:is>
          <x:t xml:space="preserve">Miscellaneous</x:t>
        </x:is>
      </x:c>
      <x:c r="D560" s="536" t="inlineStr">
        <x:is>
          <x:t xml:space="preserve">MIS15/55</x:t>
        </x:is>
      </x:c>
      <x:c r="E560" s="537" t="n"/>
      <x:c r="F560" s="537" t="n">
        <x:v>11139</x:v>
      </x:c>
      <x:c r="G560" s="538" t="inlineStr">
        <x:is>
          <x:t xml:space="preserve">G. D. Wooley</x:t>
        </x:is>
      </x:c>
      <x:c r="H560" s="538" t="inlineStr">
        <x:is>
          <x:t xml:space="preserve">The Public</x:t>
        </x:is>
      </x:c>
      <x:c r="I560" s="538" t="inlineStr">
        <x:is>
          <x:t xml:space="preserve">31-12N-24W, aol</x:t>
        </x:is>
      </x:c>
      <x:c r="J560" s="538" t="inlineStr">
        <x:is>
          <x:t xml:space="preserve">See instrument</x:t>
        </x:is>
      </x:c>
      <x:c r="K560" s="518" t="e">
        <x:f>HYPERLINK("https://okcountyrecords.com/detail/roger+mills/1930-001678","OKCountyRecords: 1930-001678")</x:f>
      </x:c>
      <x:c r="L560" s="519" t="inlineStr">
        <x:is>
          <x:t xml:space="preserve">Other (non-mineral; excluded from mineral NMA). All-section coverage. Gross=tract-map basis.</x:t>
        </x:is>
      </x:c>
      <x:c r="M560" s="519" t="inlineStr">
        <x:is>
          <x:t xml:space="preserve">OK</x:t>
        </x:is>
      </x:c>
      <x:c r="N560" s="519" t="inlineStr">
        <x:is>
          <x:t xml:space="preserve">Non-conveying — notice/affidavit/address change (The Public).</x:t>
        </x:is>
      </x:c>
      <x:c r="O560" s="519" t="inlineStr">
        <x:is>
          <x:t xml:space="preserve">OUTSIDE LANDS</x:t>
        </x:is>
      </x:c>
      <x:c r="P560" s="520" t="inlineStr">
        <x:is>
          <x:t xml:space="preserve">Review — read instrument (type unclear)</x:t>
        </x:is>
      </x:c>
      <x:c r="Q560" s="520" t="inlineStr">
        <x:is>
          <x:t xml:space="preserve">Review</x:t>
        </x:is>
      </x:c>
      <x:c r="R560" s="520" t="inlineStr">
        <x:is>
          <x:t xml:space="preserve">Review</x:t>
        </x:is>
      </x:c>
      <x:c r="S560" s="520" t="inlineStr">
        <x:is>
          <x:t xml:space="preserve">Review</x:t>
        </x:is>
      </x:c>
      <x:c r="T560" s="520" t="inlineStr">
        <x:is>
          <x:t xml:space="preserve">Review</x:t>
        </x:is>
      </x:c>
      <x:c r="U560" s="520" t="inlineStr">
        <x:is>
          <x:t xml:space="preserve">Yes: 1, 8 (broad legal)</x:t>
        </x:is>
      </x:c>
      <x:c r="V560" s="520" t="inlineStr">
        <x:is>
          <x:t xml:space="preserve">Medium</x:t>
        </x:is>
      </x:c>
      <x:c r="W560" s="520" t="inlineStr">
        <x:is>
          <x:t xml:space="preserve">Review — no exact prior-grantee match</x:t>
        </x:is>
      </x:c>
      <x:c r="X560" s="520" t="inlineStr">
        <x:is>
          <x:t xml:space="preserve">Review</x:t>
        </x:is>
      </x:c>
      <x:c r="Y560" s="520" t="inlineStr">
        <x:is>
          <x:t xml:space="preserve">Interest amount needs review</x:t>
        </x:is>
      </x:c>
      <x:c r="Z560" s="520" t="inlineStr">
        <x:is>
          <x:t xml:space="preserve">Review</x:t>
        </x:is>
      </x:c>
      <x:c r="AA560" s="520" t="inlineStr">
        <x:is>
          <x:t xml:space="preserve">Miscellaneous — G. D. Wooley to The Public (MIS15/55)</x:t>
        </x:is>
      </x:c>
      <x:c r="AB560" s="520" t="inlineStr">
        <x:is>
          <x:t xml:space="preserve">Needs source review: grantor source, interest amount, instrument type</x:t>
        </x:is>
      </x:c>
    </x:row>
    <x:row r="561" s="520" customFormat="1" ht="60" customHeight="1">
      <x:c r="A561" s="519" t="inlineStr">
        <x:is>
          <x:t xml:space="preserve">1930-001681</x:t>
        </x:is>
      </x:c>
      <x:c r="B561" s="536" t="n"/>
      <x:c r="C561" s="536" t="inlineStr">
        <x:is>
          <x:t xml:space="preserve">Miscellaneous</x:t>
        </x:is>
      </x:c>
      <x:c r="D561" s="536" t="inlineStr">
        <x:is>
          <x:t xml:space="preserve">MIS15/59</x:t>
        </x:is>
      </x:c>
      <x:c r="E561" s="537" t="n"/>
      <x:c r="F561" s="537" t="n">
        <x:v>11164</x:v>
      </x:c>
      <x:c r="G561" s="538" t="inlineStr">
        <x:is>
          <x:t xml:space="preserve">Roy M. Johnson</x:t>
        </x:is>
      </x:c>
      <x:c r="H561" s="538" t="inlineStr">
        <x:is>
          <x:t xml:space="preserve">The Public</x:t>
        </x:is>
      </x:c>
      <x:c r="I561" s="538" t="inlineStr">
        <x:is>
          <x:t xml:space="preserve">31-12N-24W, aol</x:t>
        </x:is>
      </x:c>
      <x:c r="J561" s="538" t="inlineStr">
        <x:is>
          <x:t xml:space="preserve">OGLs</x:t>
        </x:is>
      </x:c>
      <x:c r="K561" s="518" t="e">
        <x:f>HYPERLINK("https://okcountyrecords.com/detail/roger+mills/1930-001681","OKCountyRecords: 1930-001681")</x:f>
      </x:c>
      <x:c r="L561" s="519" t="inlineStr">
        <x:is>
          <x:t xml:space="preserve">Other (non-mineral; excluded from mineral NMA). All-section coverage. Gross=tract-map basis.</x:t>
        </x:is>
      </x:c>
      <x:c r="M561" s="519" t="inlineStr">
        <x:is>
          <x:t xml:space="preserve">OK</x:t>
        </x:is>
      </x:c>
      <x:c r="N561" s="519" t="inlineStr">
        <x:is>
          <x:t xml:space="preserve">Non-conveying — notice/affidavit/address change (The Public).</x:t>
        </x:is>
      </x:c>
      <x:c r="O561" s="519" t="inlineStr">
        <x:is>
          <x:t xml:space="preserve">OUTSIDE LANDS</x:t>
        </x:is>
      </x:c>
      <x:c r="P561" s="520" t="inlineStr">
        <x:is>
          <x:t xml:space="preserve">Review — read instrument (type unclear)</x:t>
        </x:is>
      </x:c>
      <x:c r="Q561" s="520" t="inlineStr">
        <x:is>
          <x:t xml:space="preserve">Review</x:t>
        </x:is>
      </x:c>
      <x:c r="R561" s="520" t="inlineStr">
        <x:is>
          <x:t xml:space="preserve">Review</x:t>
        </x:is>
      </x:c>
      <x:c r="S561" s="520" t="inlineStr">
        <x:is>
          <x:t xml:space="preserve">Review</x:t>
        </x:is>
      </x:c>
      <x:c r="T561" s="520" t="inlineStr">
        <x:is>
          <x:t xml:space="preserve">Review</x:t>
        </x:is>
      </x:c>
      <x:c r="U561" s="520" t="inlineStr">
        <x:is>
          <x:t xml:space="preserve">Yes: 1, 8 (broad legal)</x:t>
        </x:is>
      </x:c>
      <x:c r="V561" s="520" t="inlineStr">
        <x:is>
          <x:t xml:space="preserve">Medium</x:t>
        </x:is>
      </x:c>
      <x:c r="W561" s="520" t="inlineStr">
        <x:is>
          <x:t xml:space="preserve">Yes — prior grantee match</x:t>
        </x:is>
      </x:c>
      <x:c r="X561" s="520" t="inlineStr">
        <x:is>
          <x:t xml:space="preserve">Review</x:t>
        </x:is>
      </x:c>
      <x:c r="Y561" s="520" t="inlineStr">
        <x:is>
          <x:t xml:space="preserve">Interest amount needs review</x:t>
        </x:is>
      </x:c>
      <x:c r="Z561" s="520" t="inlineStr">
        <x:is>
          <x:t xml:space="preserve">Review</x:t>
        </x:is>
      </x:c>
      <x:c r="AA561" s="520" t="inlineStr">
        <x:is>
          <x:t xml:space="preserve">Miscellaneous — Roy M. Johnson to The Public (MIS15/59)</x:t>
        </x:is>
      </x:c>
      <x:c r="AB561" s="520" t="inlineStr">
        <x:is>
          <x:t xml:space="preserve">Needs source review: interest amount, instrument type</x:t>
        </x:is>
      </x:c>
    </x:row>
    <x:row r="562" s="520" customFormat="1" ht="60" customHeight="1">
      <x:c r="A562" s="519" t="inlineStr">
        <x:is>
          <x:t xml:space="preserve">1959-001270</x:t>
        </x:is>
      </x:c>
      <x:c r="B562" s="536" t="n"/>
      <x:c r="C562" s="536" t="inlineStr">
        <x:is>
          <x:t xml:space="preserve">Miscellaneous</x:t>
        </x:is>
      </x:c>
      <x:c r="D562" s="536" t="inlineStr">
        <x:is>
          <x:t xml:space="preserve">MIS29/334</x:t>
        </x:is>
      </x:c>
      <x:c r="E562" s="537" t="n"/>
      <x:c r="F562" s="537" t="n">
        <x:v>21696</x:v>
      </x:c>
      <x:c r="G562" s="538" t="inlineStr">
        <x:is>
          <x:t xml:space="preserve">Southwestern Bell Telephone Co.</x:t>
        </x:is>
      </x:c>
      <x:c r="H562" s="538" t="inlineStr">
        <x:is>
          <x:t xml:space="preserve">The Public</x:t>
        </x:is>
      </x:c>
      <x:c r="I562" s="538" t="inlineStr">
        <x:is>
          <x:t xml:space="preserve">31-12N-24W, aol</x:t>
        </x:is>
      </x:c>
      <x:c r="J562" s="538" t="inlineStr">
        <x:is>
          <x:t xml:space="preserve">See instrument</x:t>
        </x:is>
      </x:c>
      <x:c r="K562" s="518" t="e">
        <x:f>HYPERLINK("https://okcountyrecords.com/detail/roger+mills/1959-001270","OKCountyRecords: 1959-001270")</x:f>
      </x:c>
      <x:c r="L562" s="519" t="inlineStr">
        <x:is>
          <x:t xml:space="preserve">Other (non-mineral; excluded from mineral NMA). All-section coverage. Gross=tract-map basis.</x:t>
        </x:is>
      </x:c>
      <x:c r="M562" s="519" t="inlineStr">
        <x:is>
          <x:t xml:space="preserve">OK</x:t>
        </x:is>
      </x:c>
      <x:c r="N562" s="519" t="inlineStr">
        <x:is>
          <x:t xml:space="preserve">Non-conveying — notice/affidavit/address change (The Public).</x:t>
        </x:is>
      </x:c>
      <x:c r="O562" s="519" t="inlineStr">
        <x:is>
          <x:t xml:space="preserve">OUTSIDE LANDS</x:t>
        </x:is>
      </x:c>
      <x:c r="P562" s="520" t="inlineStr">
        <x:is>
          <x:t xml:space="preserve">Review — read instrument (type unclear)</x:t>
        </x:is>
      </x:c>
      <x:c r="Q562" s="520" t="inlineStr">
        <x:is>
          <x:t xml:space="preserve">Review</x:t>
        </x:is>
      </x:c>
      <x:c r="R562" s="520" t="inlineStr">
        <x:is>
          <x:t xml:space="preserve">Review</x:t>
        </x:is>
      </x:c>
      <x:c r="S562" s="520" t="inlineStr">
        <x:is>
          <x:t xml:space="preserve">Review</x:t>
        </x:is>
      </x:c>
      <x:c r="T562" s="520" t="inlineStr">
        <x:is>
          <x:t xml:space="preserve">Review</x:t>
        </x:is>
      </x:c>
      <x:c r="U562" s="520" t="inlineStr">
        <x:is>
          <x:t xml:space="preserve">Yes: 1, 8 (broad legal)</x:t>
        </x:is>
      </x:c>
      <x:c r="V562" s="520" t="inlineStr">
        <x:is>
          <x:t xml:space="preserve">Medium</x:t>
        </x:is>
      </x:c>
      <x:c r="W562" s="520" t="inlineStr">
        <x:is>
          <x:t xml:space="preserve">Review — no exact prior-grantee match</x:t>
        </x:is>
      </x:c>
      <x:c r="X562" s="520" t="inlineStr">
        <x:is>
          <x:t xml:space="preserve">Review</x:t>
        </x:is>
      </x:c>
      <x:c r="Y562" s="520" t="inlineStr">
        <x:is>
          <x:t xml:space="preserve">Interest amount needs review</x:t>
        </x:is>
      </x:c>
      <x:c r="Z562" s="520" t="inlineStr">
        <x:is>
          <x:t xml:space="preserve">Review</x:t>
        </x:is>
      </x:c>
      <x:c r="AA562" s="520" t="inlineStr">
        <x:is>
          <x:t xml:space="preserve">Miscellaneous — Southwestern Bell Telephone Co to The Public (MIS29/334)</x:t>
        </x:is>
      </x:c>
      <x:c r="AB562" s="520" t="inlineStr">
        <x:is>
          <x:t xml:space="preserve">Needs source review: grantor source, interest amount, instrument type</x:t>
        </x:is>
      </x:c>
    </x:row>
    <x:row r="563" s="520" customFormat="1" ht="48" customHeight="1">
      <x:c r="A563" s="519" t="inlineStr">
        <x:is>
          <x:t xml:space="preserve">I-1915-000349</x:t>
        </x:is>
      </x:c>
      <x:c r="B563" s="536" t="n"/>
      <x:c r="C563" s="536" t="inlineStr">
        <x:is>
          <x:t xml:space="preserve">SD</x:t>
        </x:is>
      </x:c>
      <x:c r="D563" s="536" t="inlineStr">
        <x:is>
          <x:t xml:space="preserve">D21/463</x:t>
        </x:is>
      </x:c>
      <x:c r="E563" s="537" t="n"/>
      <x:c r="F563" s="537" t="n"/>
      <x:c r="G563" s="538" t="n"/>
      <x:c r="H563" s="538" t="n"/>
      <x:c r="I563" s="538" t="inlineStr">
        <x:is>
          <x:t xml:space="preserve">Appears in Tract 1 grid (N/2 NE/4 31-12N-24W) — confirm legal from recorded image</x:t>
        </x:is>
      </x:c>
      <x:c r="J563" s="538" t="inlineStr">
        <x:is>
          <x:t xml:space="preserve">Grid ID in Tract 1!I (conveyed=ARTI). Not previously in Runsheet — added for source control.</x:t>
        </x:is>
      </x:c>
      <x:c r="K563" s="540" t="inlineStr">
        <x:is>
          <x:t xml:space="preserve">No online image confirmed — pull Roger Mills Book D21/463 (1915) at courthouse</x:t>
        </x:is>
      </x:c>
      <x:c r="L563" s="519" t="inlineStr">
        <x:is>
          <x:t xml:space="preserve">Mineral; amount not stated — confirm from instrument. Gross=tract-map basis.</x:t>
        </x:is>
      </x:c>
      <x:c r="M563" s="519" t="inlineStr">
        <x:is>
          <x:t xml:space="preserve">Needs source review</x:t>
        </x:is>
      </x:c>
      <x:c r="N563" s="519" t="inlineStr">
        <x:is>
          <x:t xml:space="preserve">Pull recorded image (Bk/Pg D21/463); confirm doc type, grantor, grantee, legal, dates, and conveyed interest.</x:t>
        </x:is>
      </x:c>
      <x:c r="O563" s="519" t="inlineStr">
        <x:is>
          <x:t xml:space="preserve">MINERAL DEED</x:t>
        </x:is>
      </x:c>
      <x:c r="P563" s="520" t="inlineStr">
        <x:is>
          <x:t xml:space="preserve">Review — read instrument (type unclear)</x:t>
        </x:is>
      </x:c>
      <x:c r="Q563" s="520" t="inlineStr">
        <x:is>
          <x:t xml:space="preserve">Review</x:t>
        </x:is>
      </x:c>
      <x:c r="R563" s="520" t="inlineStr">
        <x:is>
          <x:t xml:space="preserve">Review</x:t>
        </x:is>
      </x:c>
      <x:c r="S563" s="520" t="inlineStr">
        <x:is>
          <x:t xml:space="preserve">Review</x:t>
        </x:is>
      </x:c>
      <x:c r="T563" s="520" t="inlineStr">
        <x:is>
          <x:t xml:space="preserve">Review</x:t>
        </x:is>
      </x:c>
      <x:c r="U563" s="520" t="inlineStr">
        <x:is>
          <x:t xml:space="preserve">Yes: 1 (legal supports)</x:t>
        </x:is>
      </x:c>
      <x:c r="V563" s="520" t="inlineStr">
        <x:is>
          <x:t xml:space="preserve">High</x:t>
        </x:is>
      </x:c>
      <x:c r="W563" s="520" t="inlineStr">
        <x:is>
          <x:t xml:space="preserve">Review — no exact prior-grantee match</x:t>
        </x:is>
      </x:c>
      <x:c r="X563" s="520" t="inlineStr">
        <x:is>
          <x:t xml:space="preserve">Review</x:t>
        </x:is>
      </x:c>
      <x:c r="Y563" s="520" t="inlineStr">
        <x:is>
          <x:t xml:space="preserve">Interest amount needs review</x:t>
        </x:is>
      </x:c>
      <x:c r="Z563" s="520" t="inlineStr">
        <x:is>
          <x:t xml:space="preserve">Review</x:t>
        </x:is>
      </x:c>
      <x:c r="AA563" s="520" t="inlineStr">
        <x:is>
          <x:t xml:space="preserve">SD — to (D21/463)</x:t>
        </x:is>
      </x:c>
      <x:c r="AB563" s="520" t="inlineStr">
        <x:is>
          <x:t xml:space="preserve">Needs source review: grantor source, interest amount, instrument type</x:t>
        </x:is>
      </x:c>
    </x:row>
    <x:row r="564" s="520" customFormat="1" ht="48" customHeight="1">
      <x:c r="A564" s="519" t="inlineStr">
        <x:is>
          <x:t xml:space="preserve">I-1916-000206</x:t>
        </x:is>
      </x:c>
      <x:c r="B564" s="536" t="n"/>
      <x:c r="C564" s="536" t="inlineStr">
        <x:is>
          <x:t xml:space="preserve">SD</x:t>
        </x:is>
      </x:c>
      <x:c r="D564" s="536" t="inlineStr">
        <x:is>
          <x:t xml:space="preserve">D21/507</x:t>
        </x:is>
      </x:c>
      <x:c r="E564" s="537" t="n"/>
      <x:c r="F564" s="537" t="n"/>
      <x:c r="G564" s="538" t="n"/>
      <x:c r="H564" s="538" t="n"/>
      <x:c r="I564" s="538" t="inlineStr">
        <x:is>
          <x:t xml:space="preserve">Appears in Tract 1 grid (N/2 NE/4 31-12N-24W) — confirm legal from recorded image</x:t>
        </x:is>
      </x:c>
      <x:c r="J564" s="538" t="inlineStr">
        <x:is>
          <x:t xml:space="preserve">Grid ID in Tract 1!J (conveyed=ARTI). Not previously in Runsheet — added for source control.</x:t>
        </x:is>
      </x:c>
      <x:c r="K564" s="540" t="inlineStr">
        <x:is>
          <x:t xml:space="preserve">No online image confirmed — pull Roger Mills Book D21/507 (1916) at courthouse</x:t>
        </x:is>
      </x:c>
      <x:c r="L564" s="519" t="inlineStr">
        <x:is>
          <x:t xml:space="preserve">Mineral; amount not stated — confirm from instrument. Gross=tract-map basis.</x:t>
        </x:is>
      </x:c>
      <x:c r="M564" s="519" t="inlineStr">
        <x:is>
          <x:t xml:space="preserve">Needs source review</x:t>
        </x:is>
      </x:c>
      <x:c r="N564" s="519" t="inlineStr">
        <x:is>
          <x:t xml:space="preserve">Pull recorded image (Bk/Pg D21/507); confirm doc type, grantor, grantee, legal, dates, and conveyed interest.</x:t>
        </x:is>
      </x:c>
      <x:c r="O564" s="519" t="inlineStr">
        <x:is>
          <x:t xml:space="preserve">MINERAL DEED</x:t>
        </x:is>
      </x:c>
      <x:c r="P564" s="520" t="inlineStr">
        <x:is>
          <x:t xml:space="preserve">Review — read instrument (type unclear)</x:t>
        </x:is>
      </x:c>
      <x:c r="Q564" s="520" t="inlineStr">
        <x:is>
          <x:t xml:space="preserve">Review</x:t>
        </x:is>
      </x:c>
      <x:c r="R564" s="520" t="inlineStr">
        <x:is>
          <x:t xml:space="preserve">Review</x:t>
        </x:is>
      </x:c>
      <x:c r="S564" s="520" t="inlineStr">
        <x:is>
          <x:t xml:space="preserve">Review</x:t>
        </x:is>
      </x:c>
      <x:c r="T564" s="520" t="inlineStr">
        <x:is>
          <x:t xml:space="preserve">Review</x:t>
        </x:is>
      </x:c>
      <x:c r="U564" s="520" t="inlineStr">
        <x:is>
          <x:t xml:space="preserve">Yes: 1 (legal supports)</x:t>
        </x:is>
      </x:c>
      <x:c r="V564" s="520" t="inlineStr">
        <x:is>
          <x:t xml:space="preserve">High</x:t>
        </x:is>
      </x:c>
      <x:c r="W564" s="520" t="inlineStr">
        <x:is>
          <x:t xml:space="preserve">Review — no exact prior-grantee match</x:t>
        </x:is>
      </x:c>
      <x:c r="X564" s="520" t="inlineStr">
        <x:is>
          <x:t xml:space="preserve">Review</x:t>
        </x:is>
      </x:c>
      <x:c r="Y564" s="520" t="inlineStr">
        <x:is>
          <x:t xml:space="preserve">Interest amount needs review</x:t>
        </x:is>
      </x:c>
      <x:c r="Z564" s="520" t="inlineStr">
        <x:is>
          <x:t xml:space="preserve">Review</x:t>
        </x:is>
      </x:c>
      <x:c r="AA564" s="520" t="inlineStr">
        <x:is>
          <x:t xml:space="preserve">SD — to (D21/507)</x:t>
        </x:is>
      </x:c>
      <x:c r="AB564" s="520" t="inlineStr">
        <x:is>
          <x:t xml:space="preserve">Needs source review: grantor source, interest amount, instrument type</x:t>
        </x:is>
      </x:c>
    </x:row>
    <x:row r="565">
      <x:c r="A565" s="519" t="n"/>
      <x:c r="B565" s="536" t="n"/>
      <x:c r="C565" s="536" t="n"/>
      <x:c r="D565" s="536" t="n"/>
      <x:c r="E565" s="537" t="n"/>
      <x:c r="F565" s="537" t="n"/>
      <x:c r="G565" s="538" t="n"/>
      <x:c r="H565" s="538" t="n"/>
      <x:c r="I565" s="538" t="n"/>
      <x:c r="J565" s="538" t="n"/>
      <x:c r="K565" s="372" t="n"/>
      <x:c r="L565" s="519" t="n"/>
      <x:c r="M565" s="519" t="n"/>
      <x:c r="N565" s="519" t="n"/>
      <x:c r="O565" s="519" t="n"/>
    </x:row>
    <x:row r="566">
      <x:c r="K566" s="294" t="n"/>
    </x:row>
  </x:sheetData>
  <x:conditionalFormatting sqref="K2:K123 K125:K564">
    <x:cfRule type="expression" dxfId="1" priority="3">
      <x:formula>#REF!="Mineral"</x:formula>
    </x:cfRule>
  </x:conditionalFormatting>
  <x:pageMargins left="0.7" right="0.7" top="0.75" bottom="0.75" header="0.3" footer="0.3"/>
</x:worksheet>
</file>

<file path=xl/worksheets/sheet6.xml><?xml version="1.0" encoding="utf-8"?>
<x:worksheet xmlns:x="http://schemas.openxmlformats.org/spreadsheetml/2006/main">
  <x:sheetFormatPr baseColWidth="8" defaultColWidth="14.42578125" defaultRowHeight="12.75"/>
  <x:cols>
    <x:col min="1" max="1" width="8.140625" style="19" customWidth="1"/>
    <x:col min="2" max="2" width="6.85546875" style="18" customWidth="1"/>
    <x:col min="3" max="3" width="11.5703125" style="17" customWidth="1"/>
    <x:col min="4" max="4" width="48" style="16" customWidth="1"/>
    <x:col min="5" max="5" width="10.5703125" style="15" customWidth="1"/>
    <x:col min="6" max="6" width="6.85546875" style="13" customWidth="1"/>
    <x:col min="7" max="12" width="13" style="13" customWidth="1"/>
    <x:col min="13" max="188" width="13" style="95" customWidth="1"/>
    <x:col min="189" max="189" width="3" style="14" customWidth="1"/>
    <x:col min="190" max="16384" width="14.42578125" style="13" customWidth="1"/>
  </x:cols>
  <x:sheetData>
    <x:row r="1" s="569" customFormat="1" ht="13.5" customHeight="1">
      <x:c r="E1" s="477" t="inlineStr">
        <x:is>
          <x:t xml:space="preserve">Instrument</x:t>
        </x:is>
      </x:c>
      <x:c r="F1" s="592" t="n"/>
      <x:c r="G1" s="63" t="n"/>
      <x:c r="H1" s="115" t="inlineStr">
        <x:is>
          <x:t xml:space="preserve">PAT</x:t>
        </x:is>
      </x:c>
      <x:c r="I1" s="115" t="inlineStr">
        <x:is>
          <x:t xml:space="preserve">SD</x:t>
        </x:is>
      </x:c>
      <x:c r="J1" s="115" t="inlineStr">
        <x:is>
          <x:t xml:space="preserve">SD</x:t>
        </x:is>
      </x:c>
      <x:c r="K1" s="116" t="inlineStr">
        <x:is>
          <x:t xml:space="preserve">DEED</x:t>
        </x:is>
      </x:c>
      <x:c r="L1" s="116" t="inlineStr">
        <x:is>
          <x:t xml:space="preserve">DEED</x:t>
        </x:is>
      </x:c>
      <x:c r="M1" s="116" t="inlineStr">
        <x:is>
          <x:t xml:space="preserve">DEED</x:t>
        </x:is>
      </x:c>
      <x:c r="N1" s="116" t="inlineStr">
        <x:is>
          <x:t xml:space="preserve">DEED</x:t>
        </x:is>
      </x:c>
      <x:c r="O1" s="116" t="inlineStr">
        <x:is>
          <x:t xml:space="preserve">DECREE</x:t>
        </x:is>
      </x:c>
      <x:c r="P1" s="116" t="inlineStr">
        <x:is>
          <x:t xml:space="preserve">QCD</x:t>
        </x:is>
      </x:c>
      <x:c r="Q1" s="116" t="inlineStr">
        <x:is>
          <x:t xml:space="preserve">WD</x:t>
        </x:is>
      </x:c>
      <x:c r="R1" s="116" t="inlineStr">
        <x:is>
          <x:t xml:space="preserve">QCD</x:t>
        </x:is>
      </x:c>
      <x:c r="S1" s="116" t="inlineStr">
        <x:is>
          <x:t xml:space="preserve">ASSN</x:t>
        </x:is>
      </x:c>
      <x:c r="T1" s="116" t="inlineStr">
        <x:is>
          <x:t xml:space="preserve">ASSN</x:t>
        </x:is>
      </x:c>
      <x:c r="U1" s="116" t="inlineStr">
        <x:is>
          <x:t xml:space="preserve">WD</x:t>
        </x:is>
      </x:c>
      <x:c r="V1" s="116" t="inlineStr">
        <x:is>
          <x:t xml:space="preserve">WD</x:t>
        </x:is>
      </x:c>
      <x:c r="W1" s="116" t="inlineStr">
        <x:is>
          <x:t xml:space="preserve">DECREE</x:t>
        </x:is>
      </x:c>
      <x:c r="X1" s="116" t="inlineStr">
        <x:is>
          <x:t xml:space="preserve">MD</x:t>
        </x:is>
      </x:c>
      <x:c r="Y1" s="116" t="inlineStr">
        <x:is>
          <x:t xml:space="preserve">DEED</x:t>
        </x:is>
      </x:c>
      <x:c r="Z1" s="116" t="inlineStr">
        <x:is>
          <x:t xml:space="preserve">MD</x:t>
        </x:is>
      </x:c>
      <x:c r="AA1" s="116" t="inlineStr">
        <x:is>
          <x:t xml:space="preserve">DECREE</x:t>
        </x:is>
      </x:c>
      <x:c r="AB1" s="116" t="inlineStr">
        <x:is>
          <x:t xml:space="preserve">MD</x:t>
        </x:is>
      </x:c>
      <x:c r="AC1" s="116" t="inlineStr">
        <x:is>
          <x:t xml:space="preserve">AOH</x:t>
        </x:is>
      </x:c>
      <x:c r="AD1" s="116" t="inlineStr">
        <x:is>
          <x:t xml:space="preserve">AOH</x:t>
        </x:is>
      </x:c>
      <x:c r="AE1" s="116" t="n"/>
      <x:c r="AF1" s="116" t="n"/>
      <x:c r="AG1" s="116" t="n"/>
      <x:c r="AH1" s="116" t="n"/>
      <x:c r="AI1" s="116" t="n"/>
      <x:c r="AJ1" s="116" t="n"/>
      <x:c r="AK1" s="116" t="n"/>
      <x:c r="AL1" s="116" t="n"/>
      <x:c r="AM1" s="116" t="n"/>
      <x:c r="AN1" s="116" t="n"/>
      <x:c r="AO1" s="116" t="n"/>
      <x:c r="AP1" s="116" t="n"/>
      <x:c r="AQ1" s="116" t="n"/>
      <x:c r="AR1" s="116" t="n"/>
      <x:c r="AS1" s="116" t="n"/>
      <x:c r="AT1" s="116" t="n"/>
      <x:c r="AU1" s="116" t="n"/>
      <x:c r="AV1" s="116" t="n"/>
      <x:c r="AW1" s="116" t="n"/>
      <x:c r="AX1" s="116" t="n"/>
      <x:c r="AY1" s="116" t="n"/>
      <x:c r="AZ1" s="116" t="n"/>
      <x:c r="BA1" s="116" t="n"/>
      <x:c r="BB1" s="116" t="n"/>
      <x:c r="BC1" s="116" t="n"/>
      <x:c r="BD1" s="116" t="n"/>
      <x:c r="BE1" s="116" t="n"/>
      <x:c r="BF1" s="116" t="n"/>
      <x:c r="BG1" s="116" t="n"/>
      <x:c r="BH1" s="116" t="n"/>
      <x:c r="BI1" s="116" t="n"/>
      <x:c r="BJ1" s="116" t="n"/>
      <x:c r="BK1" s="116" t="n"/>
      <x:c r="BL1" s="116" t="n"/>
      <x:c r="BM1" s="116" t="n"/>
      <x:c r="BN1" s="116" t="n"/>
      <x:c r="BO1" s="116" t="n"/>
      <x:c r="BP1" s="116" t="n"/>
      <x:c r="BQ1" s="116" t="n"/>
      <x:c r="BR1" s="116" t="n"/>
      <x:c r="BS1" s="116" t="n"/>
      <x:c r="BT1" s="116" t="n"/>
      <x:c r="BU1" s="116" t="n"/>
      <x:c r="BV1" s="116" t="n"/>
      <x:c r="BW1" s="116" t="n"/>
      <x:c r="BX1" s="116" t="n"/>
      <x:c r="BY1" s="116" t="n"/>
      <x:c r="BZ1" s="116" t="n"/>
      <x:c r="CA1" s="116" t="n"/>
      <x:c r="CB1" s="116" t="n"/>
      <x:c r="CC1" s="116" t="n"/>
      <x:c r="CD1" s="116" t="n"/>
      <x:c r="CE1" s="116" t="n"/>
      <x:c r="CF1" s="116" t="n"/>
      <x:c r="CG1" s="116" t="n"/>
      <x:c r="CH1" s="116" t="n"/>
      <x:c r="CI1" s="116" t="n"/>
      <x:c r="CJ1" s="116" t="n"/>
      <x:c r="CK1" s="116" t="n"/>
      <x:c r="CL1" s="116" t="n"/>
      <x:c r="CM1" s="116" t="n"/>
      <x:c r="CN1" s="116" t="n"/>
      <x:c r="CO1" s="116" t="n"/>
      <x:c r="CP1" s="116" t="n"/>
      <x:c r="CQ1" s="116" t="n"/>
      <x:c r="CR1" s="116" t="n"/>
      <x:c r="CS1" s="116" t="n"/>
      <x:c r="CT1" s="116" t="n"/>
    </x:row>
    <x:row r="2" s="62" customFormat="1" ht="12.75" customHeight="1">
      <x:c r="A2" s="614" t="inlineStr">
        <x:is>
          <x:t xml:space="preserve">1</x:t>
        </x:is>
      </x:c>
      <x:c r="B2" s="615" t="inlineStr">
        <x:is>
          <x:t xml:space="preserve">TRACT</x:t>
        </x:is>
      </x:c>
      <x:c r="C2" s="593" t="n"/>
      <x:c r="D2" s="616" t="inlineStr">
        <x:is>
          <x:t xml:space="preserve">N/2 NE/4, containing 80 acres</x:t>
        </x:is>
      </x:c>
      <x:c r="E2" s="617" t="inlineStr">
        <x:is>
          <x:t xml:space="preserve">Image Number</x:t>
        </x:is>
      </x:c>
      <x:c r="F2" s="618" t="n"/>
      <x:c r="G2" s="63" t="n"/>
      <x:c r="H2" s="117" t="inlineStr">
        <x:is>
          <x:t xml:space="preserve">1930-002914</x:t>
        </x:is>
      </x:c>
      <x:c r="I2" s="117" t="inlineStr">
        <x:is>
          <x:t xml:space="preserve">I-1915-000349</x:t>
        </x:is>
      </x:c>
      <x:c r="J2" s="117" t="inlineStr">
        <x:is>
          <x:t xml:space="preserve">I-1916-000206</x:t>
        </x:is>
      </x:c>
      <x:c r="K2" s="117" t="inlineStr">
        <x:is>
          <x:t xml:space="preserve">1916-000332</x:t>
        </x:is>
      </x:c>
      <x:c r="L2" s="117" t="inlineStr">
        <x:is>
          <x:t xml:space="preserve">1921-000501</x:t>
        </x:is>
      </x:c>
      <x:c r="M2" s="118" t="inlineStr">
        <x:is>
          <x:t xml:space="preserve">1921-000502</x:t>
        </x:is>
      </x:c>
      <x:c r="N2" s="118" t="inlineStr">
        <x:is>
          <x:t xml:space="preserve">1927-000712</x:t>
        </x:is>
      </x:c>
      <x:c r="O2" s="118" t="inlineStr">
        <x:is>
          <x:t xml:space="preserve">2005-008386</x:t>
        </x:is>
      </x:c>
      <x:c r="P2" s="118" t="inlineStr">
        <x:is>
          <x:t xml:space="preserve">1935-000201</x:t>
        </x:is>
      </x:c>
      <x:c r="Q2" s="118" t="inlineStr">
        <x:is>
          <x:t xml:space="preserve">1937-000416</x:t>
        </x:is>
      </x:c>
      <x:c r="R2" s="118" t="inlineStr">
        <x:is>
          <x:t xml:space="preserve">1939-001120</x:t>
        </x:is>
      </x:c>
      <x:c r="S2" s="118" t="inlineStr">
        <x:is>
          <x:t xml:space="preserve">1939-000083</x:t>
        </x:is>
      </x:c>
      <x:c r="T2" s="118" t="inlineStr">
        <x:is>
          <x:t xml:space="preserve">1939-000083</x:t>
        </x:is>
      </x:c>
      <x:c r="U2" s="118" t="inlineStr">
        <x:is>
          <x:t xml:space="preserve">1949-000814</x:t>
        </x:is>
      </x:c>
      <x:c r="V2" s="118" t="inlineStr">
        <x:is>
          <x:t xml:space="preserve">1950-000383</x:t>
        </x:is>
      </x:c>
      <x:c r="W2" s="118" t="inlineStr">
        <x:is>
          <x:t xml:space="preserve">1967-002816</x:t>
        </x:is>
      </x:c>
      <x:c r="X2" s="118" t="inlineStr">
        <x:is>
          <x:t xml:space="preserve">1979-005655</x:t>
        </x:is>
      </x:c>
      <x:c r="Y2" s="118" t="inlineStr">
        <x:is>
          <x:t xml:space="preserve">1988-004185</x:t>
        </x:is>
      </x:c>
      <x:c r="Z2" s="118" t="inlineStr">
        <x:is>
          <x:t xml:space="preserve">1992-003373</x:t>
        </x:is>
      </x:c>
      <x:c r="AA2" s="118" t="inlineStr">
        <x:is>
          <x:t xml:space="preserve">2013-000518</x:t>
        </x:is>
      </x:c>
      <x:c r="AB2" s="118" t="inlineStr">
        <x:is>
          <x:t xml:space="preserve">2024-007338</x:t>
        </x:is>
      </x:c>
      <x:c r="AC2" s="118" t="inlineStr">
        <x:is>
          <x:t xml:space="preserve">2026-002509</x:t>
        </x:is>
      </x:c>
      <x:c r="AD2" s="118" t="inlineStr">
        <x:is>
          <x:t xml:space="preserve">2026-003142</x:t>
        </x:is>
      </x:c>
      <x:c r="AE2" s="118" t="n"/>
      <x:c r="AF2" s="118" t="n"/>
      <x:c r="AG2" s="118" t="n"/>
      <x:c r="AH2" s="118" t="n"/>
      <x:c r="AI2" s="118" t="n"/>
      <x:c r="AJ2" s="118" t="n"/>
      <x:c r="AK2" s="118" t="n"/>
      <x:c r="AL2" s="118" t="n"/>
      <x:c r="AM2" s="118" t="n"/>
      <x:c r="AN2" s="118" t="n"/>
      <x:c r="AO2" s="118" t="n"/>
      <x:c r="AP2" s="118" t="n"/>
      <x:c r="AQ2" s="118" t="n"/>
      <x:c r="AR2" s="118" t="n"/>
      <x:c r="AS2" s="118" t="n"/>
      <x:c r="AT2" s="118" t="n"/>
      <x:c r="AU2" s="118" t="n"/>
      <x:c r="AV2" s="118" t="n"/>
      <x:c r="AW2" s="118" t="n"/>
      <x:c r="AX2" s="118" t="n"/>
      <x:c r="AY2" s="118" t="n"/>
      <x:c r="AZ2" s="118" t="n"/>
      <x:c r="BA2" s="118" t="n"/>
      <x:c r="BB2" s="118" t="n"/>
      <x:c r="BC2" s="118" t="n"/>
      <x:c r="BD2" s="118" t="n"/>
      <x:c r="BE2" s="118" t="n"/>
      <x:c r="BF2" s="118" t="n"/>
      <x:c r="BG2" s="118" t="n"/>
      <x:c r="BH2" s="118" t="n"/>
      <x:c r="BI2" s="118" t="n"/>
      <x:c r="BJ2" s="118" t="n"/>
      <x:c r="BK2" s="118" t="n"/>
      <x:c r="BL2" s="118" t="n"/>
      <x:c r="BM2" s="118" t="n"/>
      <x:c r="BN2" s="118" t="n"/>
      <x:c r="BO2" s="118" t="n"/>
      <x:c r="BP2" s="118" t="n"/>
      <x:c r="BQ2" s="118" t="n"/>
      <x:c r="BR2" s="118" t="n"/>
      <x:c r="BS2" s="118" t="n"/>
      <x:c r="BT2" s="118" t="n"/>
      <x:c r="BU2" s="118" t="n"/>
      <x:c r="BV2" s="118" t="n"/>
      <x:c r="BW2" s="118" t="n"/>
      <x:c r="BX2" s="118" t="n"/>
      <x:c r="BY2" s="118" t="n"/>
      <x:c r="BZ2" s="118" t="n"/>
      <x:c r="CA2" s="118" t="n"/>
      <x:c r="CB2" s="118" t="n"/>
      <x:c r="CC2" s="118" t="n"/>
      <x:c r="CD2" s="118" t="n"/>
      <x:c r="CE2" s="118" t="n"/>
      <x:c r="CF2" s="118" t="n"/>
      <x:c r="CG2" s="118" t="n"/>
      <x:c r="CH2" s="118" t="n"/>
      <x:c r="CI2" s="118" t="n"/>
      <x:c r="CJ2" s="118" t="n"/>
      <x:c r="CK2" s="118" t="n"/>
      <x:c r="CL2" s="118" t="n"/>
      <x:c r="CM2" s="118" t="n"/>
      <x:c r="CN2" s="118" t="n"/>
      <x:c r="CO2" s="118" t="n"/>
      <x:c r="CP2" s="118" t="n"/>
      <x:c r="CQ2" s="118" t="n"/>
      <x:c r="CR2" s="118" t="n"/>
      <x:c r="CS2" s="118" t="n"/>
      <x:c r="CT2" s="118" t="n"/>
      <x:c r="CU2" s="96" t="n"/>
      <x:c r="CV2" s="96" t="n"/>
      <x:c r="CW2" s="96" t="n"/>
      <x:c r="CX2" s="96" t="n"/>
      <x:c r="CY2" s="96" t="n"/>
      <x:c r="CZ2" s="96" t="n"/>
      <x:c r="DA2" s="96" t="n"/>
      <x:c r="DB2" s="96" t="n"/>
      <x:c r="DC2" s="96" t="n"/>
      <x:c r="DD2" s="96" t="n"/>
      <x:c r="DE2" s="96" t="n"/>
      <x:c r="DF2" s="96" t="n"/>
      <x:c r="DG2" s="96" t="n"/>
      <x:c r="DH2" s="96" t="n"/>
      <x:c r="DI2" s="96" t="n"/>
      <x:c r="DJ2" s="96" t="n"/>
      <x:c r="DK2" s="96" t="n"/>
      <x:c r="DL2" s="96" t="n"/>
      <x:c r="DM2" s="96" t="n"/>
      <x:c r="DN2" s="96" t="n"/>
      <x:c r="DO2" s="96" t="n"/>
      <x:c r="DP2" s="96" t="n"/>
      <x:c r="DQ2" s="96" t="n"/>
      <x:c r="DR2" s="96" t="n"/>
      <x:c r="DS2" s="96" t="n"/>
      <x:c r="DT2" s="96" t="n"/>
      <x:c r="DU2" s="96" t="n"/>
      <x:c r="DV2" s="96" t="n"/>
      <x:c r="DW2" s="96" t="n"/>
      <x:c r="DX2" s="96" t="n"/>
      <x:c r="DY2" s="96" t="n"/>
      <x:c r="DZ2" s="96" t="n"/>
      <x:c r="EA2" s="96" t="n"/>
      <x:c r="EB2" s="96" t="n"/>
      <x:c r="EC2" s="96" t="n"/>
      <x:c r="ED2" s="96" t="n"/>
      <x:c r="EE2" s="96" t="n"/>
      <x:c r="EF2" s="96" t="n"/>
      <x:c r="EG2" s="96" t="n"/>
      <x:c r="EH2" s="96" t="n"/>
      <x:c r="EI2" s="96" t="n"/>
      <x:c r="EJ2" s="96" t="n"/>
      <x:c r="EK2" s="96" t="n"/>
      <x:c r="EL2" s="96" t="n"/>
      <x:c r="EM2" s="96" t="n"/>
      <x:c r="EN2" s="96" t="n"/>
      <x:c r="EO2" s="96" t="n"/>
      <x:c r="EP2" s="96" t="n"/>
      <x:c r="EQ2" s="96" t="n"/>
      <x:c r="ER2" s="96" t="n"/>
      <x:c r="ES2" s="96" t="n"/>
      <x:c r="ET2" s="96" t="n"/>
      <x:c r="EU2" s="96" t="n"/>
      <x:c r="EV2" s="96" t="n"/>
      <x:c r="EW2" s="96" t="n"/>
      <x:c r="EX2" s="96" t="n"/>
      <x:c r="EY2" s="96" t="n"/>
      <x:c r="EZ2" s="96" t="n"/>
      <x:c r="FA2" s="96" t="n"/>
      <x:c r="FB2" s="96" t="n"/>
      <x:c r="FC2" s="96" t="n"/>
      <x:c r="FD2" s="96" t="n"/>
      <x:c r="FE2" s="96" t="n"/>
      <x:c r="FF2" s="96" t="n"/>
      <x:c r="FG2" s="96" t="n"/>
      <x:c r="FH2" s="96" t="n"/>
      <x:c r="FI2" s="96" t="n"/>
      <x:c r="FJ2" s="96" t="n"/>
      <x:c r="FK2" s="96" t="n"/>
      <x:c r="FL2" s="96" t="n"/>
      <x:c r="FM2" s="96" t="n"/>
      <x:c r="FN2" s="96" t="n"/>
      <x:c r="FO2" s="96" t="n"/>
      <x:c r="FP2" s="96" t="n"/>
      <x:c r="FQ2" s="96" t="n"/>
      <x:c r="FR2" s="96" t="n"/>
      <x:c r="FS2" s="96" t="n"/>
      <x:c r="FT2" s="96" t="n"/>
      <x:c r="FU2" s="96" t="n"/>
      <x:c r="FV2" s="96" t="n"/>
      <x:c r="FW2" s="96" t="n"/>
      <x:c r="FX2" s="96" t="n"/>
      <x:c r="FY2" s="96" t="n"/>
      <x:c r="FZ2" s="96" t="n"/>
      <x:c r="GA2" s="96" t="n"/>
      <x:c r="GB2" s="96" t="n"/>
      <x:c r="GC2" s="96" t="n"/>
      <x:c r="GD2" s="96" t="n"/>
      <x:c r="GE2" s="96" t="n"/>
      <x:c r="GF2" s="96" t="n"/>
    </x:row>
    <x:row r="3" s="62" customFormat="1" ht="23.100000381469727" customHeight="1">
      <x:c r="A3" s="619" t="n"/>
      <x:c r="B3" s="620" t="inlineStr">
        <x:is>
          <x:t xml:space="preserve">DESCRIPTION</x:t>
        </x:is>
      </x:c>
      <x:c r="C3" s="593" t="n"/>
      <x:c r="D3" s="621" t="n"/>
      <x:c r="E3" s="622" t="inlineStr">
        <x:is>
          <x:t xml:space="preserve">Book / Page </x:t>
        </x:is>
      </x:c>
      <x:c r="F3" s="618" t="n"/>
      <x:c r="G3" s="63" t="n"/>
      <x:c r="H3" s="6" t="inlineStr">
        <x:is>
          <x:t xml:space="preserve">PAT10/234</x:t>
        </x:is>
      </x:c>
      <x:c r="I3" s="6" t="inlineStr">
        <x:is>
          <x:t xml:space="preserve">D21/463</x:t>
        </x:is>
      </x:c>
      <x:c r="J3" s="6" t="inlineStr">
        <x:is>
          <x:t xml:space="preserve">D21/507</x:t>
        </x:is>
      </x:c>
      <x:c r="K3" s="6" t="inlineStr">
        <x:is>
          <x:t xml:space="preserve">D22/248</x:t>
        </x:is>
      </x:c>
      <x:c r="L3" s="4" t="inlineStr">
        <x:is>
          <x:t xml:space="preserve">D31/387</x:t>
        </x:is>
      </x:c>
      <x:c r="M3" s="119" t="inlineStr">
        <x:is>
          <x:t xml:space="preserve">D31/388</x:t>
        </x:is>
      </x:c>
      <x:c r="N3" s="6" t="inlineStr">
        <x:is>
          <x:t xml:space="preserve">D38/173</x:t>
        </x:is>
      </x:c>
      <x:c r="O3" s="5" t="inlineStr">
        <x:is>
          <x:t xml:space="preserve">1816/41</x:t>
        </x:is>
      </x:c>
      <x:c r="P3" s="6" t="inlineStr">
        <x:is>
          <x:t xml:space="preserve">D45/395</x:t>
        </x:is>
      </x:c>
      <x:c r="Q3" s="6" t="inlineStr">
        <x:is>
          <x:t xml:space="preserve">D48/72</x:t>
        </x:is>
      </x:c>
      <x:c r="R3" s="6" t="inlineStr">
        <x:is>
          <x:t xml:space="preserve">QCD3/491</x:t>
        </x:is>
      </x:c>
      <x:c r="S3" s="6" t="inlineStr">
        <x:is>
          <x:t xml:space="preserve">ASN13/186</x:t>
        </x:is>
      </x:c>
      <x:c r="T3" s="6" t="inlineStr">
        <x:is>
          <x:t xml:space="preserve">ASN13/186</x:t>
        </x:is>
      </x:c>
      <x:c r="U3" s="6" t="inlineStr">
        <x:is>
          <x:t xml:space="preserve">D59/251</x:t>
        </x:is>
      </x:c>
      <x:c r="V3" s="6" t="inlineStr">
        <x:is>
          <x:t xml:space="preserve">D59/410</x:t>
        </x:is>
      </x:c>
      <x:c r="W3" s="6" t="inlineStr">
        <x:is>
          <x:t xml:space="preserve">MIS86/33</x:t>
        </x:is>
      </x:c>
      <x:c r="X3" s="6" t="inlineStr">
        <x:is>
          <x:t xml:space="preserve">277/64</x:t>
        </x:is>
      </x:c>
      <x:c r="Y3" s="6" t="inlineStr">
        <x:is>
          <x:t xml:space="preserve">981/2</x:t>
        </x:is>
      </x:c>
      <x:c r="Z3" s="6" t="inlineStr">
        <x:is>
          <x:t xml:space="preserve">1294/169</x:t>
        </x:is>
      </x:c>
      <x:c r="AA3" s="6" t="inlineStr">
        <x:is>
          <x:t xml:space="preserve">2177/33</x:t>
        </x:is>
      </x:c>
      <x:c r="AB3" s="6" t="inlineStr">
        <x:is>
          <x:t xml:space="preserve">2600/472</x:t>
        </x:is>
      </x:c>
      <x:c r="AC3" s="6" t="inlineStr">
        <x:is>
          <x:t xml:space="preserve">2697/517</x:t>
        </x:is>
      </x:c>
      <x:c r="AD3" s="6" t="inlineStr">
        <x:is>
          <x:t xml:space="preserve">2702/500</x:t>
        </x:is>
      </x:c>
      <x:c r="AE3" s="6" t="n"/>
      <x:c r="AF3" s="6" t="n"/>
      <x:c r="AG3" s="6" t="n"/>
      <x:c r="AH3" s="6" t="n"/>
      <x:c r="AI3" s="6" t="n"/>
      <x:c r="AJ3" s="6" t="n"/>
      <x:c r="AK3" s="6" t="n"/>
      <x:c r="AL3" s="6" t="n"/>
      <x:c r="AM3" s="118" t="n"/>
      <x:c r="AN3" s="118" t="n"/>
      <x:c r="AO3" s="6" t="n"/>
      <x:c r="AP3" s="6" t="n"/>
      <x:c r="AQ3" s="118" t="n"/>
      <x:c r="AR3" s="5" t="n"/>
      <x:c r="AS3" s="6" t="n"/>
      <x:c r="AT3" s="6" t="n"/>
      <x:c r="AU3" s="6" t="n"/>
      <x:c r="AV3" s="6" t="n"/>
      <x:c r="AW3" s="6" t="n"/>
      <x:c r="AX3" s="6" t="n"/>
      <x:c r="AY3" s="6" t="n"/>
      <x:c r="AZ3" s="6" t="n"/>
      <x:c r="BA3" s="118" t="n"/>
      <x:c r="BB3" s="118" t="n"/>
      <x:c r="BC3" s="118" t="n"/>
      <x:c r="BD3" s="5" t="n"/>
      <x:c r="BE3" s="118" t="n"/>
      <x:c r="BF3" s="118" t="n"/>
      <x:c r="BG3" s="118" t="n"/>
      <x:c r="BH3" s="118" t="n"/>
      <x:c r="BI3" s="118" t="n"/>
      <x:c r="BJ3" s="118" t="n"/>
      <x:c r="BK3" s="118" t="n"/>
      <x:c r="BL3" s="118" t="n"/>
      <x:c r="BM3" s="118" t="n"/>
      <x:c r="BN3" s="118" t="n"/>
      <x:c r="BO3" s="118" t="n"/>
      <x:c r="BP3" s="118" t="n"/>
      <x:c r="BQ3" s="118" t="n"/>
      <x:c r="BR3" s="118" t="n"/>
      <x:c r="BS3" s="118" t="n"/>
      <x:c r="BT3" s="118" t="n"/>
      <x:c r="BU3" s="118" t="n"/>
      <x:c r="BV3" s="118" t="n"/>
      <x:c r="BW3" s="118" t="n"/>
      <x:c r="BX3" s="118" t="n"/>
      <x:c r="BY3" s="118" t="n"/>
      <x:c r="BZ3" s="118" t="n"/>
      <x:c r="CA3" s="118" t="n"/>
      <x:c r="CB3" s="118" t="n"/>
      <x:c r="CC3" s="118" t="n"/>
      <x:c r="CD3" s="118" t="n"/>
      <x:c r="CE3" s="118" t="n"/>
      <x:c r="CF3" s="118" t="n"/>
      <x:c r="CG3" s="118" t="n"/>
      <x:c r="CH3" s="118" t="n"/>
      <x:c r="CI3" s="118" t="n"/>
      <x:c r="CJ3" s="118" t="n"/>
      <x:c r="CK3" s="118" t="n"/>
      <x:c r="CL3" s="118" t="n"/>
      <x:c r="CM3" s="118" t="n"/>
      <x:c r="CN3" s="118" t="n"/>
      <x:c r="CO3" s="118" t="n"/>
      <x:c r="CP3" s="118" t="n"/>
      <x:c r="CQ3" s="118" t="n"/>
      <x:c r="CR3" s="118" t="n"/>
      <x:c r="CS3" s="118" t="n"/>
      <x:c r="CT3" s="118" t="n"/>
      <x:c r="CU3" s="96" t="n"/>
      <x:c r="CV3" s="96" t="n"/>
      <x:c r="CW3" s="96" t="n"/>
      <x:c r="CX3" s="96" t="n"/>
      <x:c r="CY3" s="96" t="n"/>
      <x:c r="CZ3" s="96" t="n"/>
      <x:c r="DA3" s="96" t="n"/>
      <x:c r="DB3" s="96" t="n"/>
      <x:c r="DC3" s="96" t="n"/>
      <x:c r="DD3" s="96" t="n"/>
      <x:c r="DE3" s="96" t="n"/>
      <x:c r="DF3" s="96" t="n"/>
      <x:c r="DG3" s="96" t="n"/>
      <x:c r="DH3" s="96" t="n"/>
      <x:c r="DI3" s="96" t="n"/>
      <x:c r="DJ3" s="96" t="n"/>
      <x:c r="DK3" s="96" t="n"/>
      <x:c r="DL3" s="96" t="n"/>
      <x:c r="DM3" s="96" t="n"/>
      <x:c r="DN3" s="96" t="n"/>
      <x:c r="DO3" s="96" t="n"/>
      <x:c r="DP3" s="96" t="n"/>
      <x:c r="DQ3" s="96" t="n"/>
      <x:c r="DR3" s="96" t="n"/>
      <x:c r="DS3" s="96" t="n"/>
      <x:c r="DT3" s="96" t="n"/>
      <x:c r="DU3" s="96" t="n"/>
      <x:c r="DV3" s="96" t="n"/>
      <x:c r="DW3" s="96" t="n"/>
      <x:c r="DX3" s="96" t="n"/>
      <x:c r="DY3" s="96" t="n"/>
      <x:c r="DZ3" s="96" t="n"/>
      <x:c r="EA3" s="96" t="n"/>
      <x:c r="EB3" s="96" t="n"/>
      <x:c r="EC3" s="96" t="n"/>
      <x:c r="ED3" s="96" t="n"/>
      <x:c r="EE3" s="96" t="n"/>
      <x:c r="EF3" s="96" t="n"/>
      <x:c r="EG3" s="96" t="n"/>
      <x:c r="EH3" s="96" t="n"/>
      <x:c r="EI3" s="96" t="n"/>
      <x:c r="EJ3" s="96" t="n"/>
      <x:c r="EK3" s="96" t="n"/>
      <x:c r="EL3" s="96" t="n"/>
      <x:c r="EM3" s="96" t="n"/>
      <x:c r="EN3" s="96" t="n"/>
      <x:c r="EO3" s="96" t="n"/>
      <x:c r="EP3" s="96" t="n"/>
      <x:c r="EQ3" s="96" t="n"/>
      <x:c r="ER3" s="96" t="n"/>
      <x:c r="ES3" s="96" t="n"/>
      <x:c r="ET3" s="96" t="n"/>
      <x:c r="EU3" s="96" t="n"/>
      <x:c r="EV3" s="96" t="n"/>
      <x:c r="EW3" s="96" t="n"/>
      <x:c r="EX3" s="96" t="n"/>
      <x:c r="EY3" s="96" t="n"/>
      <x:c r="EZ3" s="96" t="n"/>
      <x:c r="FA3" s="96" t="n"/>
      <x:c r="FB3" s="96" t="n"/>
      <x:c r="FC3" s="96" t="n"/>
      <x:c r="FD3" s="96" t="n"/>
      <x:c r="FE3" s="96" t="n"/>
      <x:c r="FF3" s="96" t="n"/>
      <x:c r="FG3" s="96" t="n"/>
      <x:c r="FH3" s="96" t="n"/>
      <x:c r="FI3" s="96" t="n"/>
      <x:c r="FJ3" s="96" t="n"/>
      <x:c r="FK3" s="96" t="n"/>
      <x:c r="FL3" s="96" t="n"/>
      <x:c r="FM3" s="96" t="n"/>
      <x:c r="FN3" s="96" t="n"/>
      <x:c r="FO3" s="96" t="n"/>
      <x:c r="FP3" s="96" t="n"/>
      <x:c r="FQ3" s="96" t="n"/>
      <x:c r="FR3" s="96" t="n"/>
      <x:c r="FS3" s="96" t="n"/>
      <x:c r="FT3" s="96" t="n"/>
      <x:c r="FU3" s="96" t="n"/>
      <x:c r="FV3" s="96" t="n"/>
      <x:c r="FW3" s="96" t="n"/>
      <x:c r="FX3" s="96" t="n"/>
      <x:c r="FY3" s="96" t="n"/>
      <x:c r="FZ3" s="96" t="n"/>
      <x:c r="GA3" s="96" t="n"/>
      <x:c r="GB3" s="96" t="n"/>
      <x:c r="GC3" s="96" t="n"/>
      <x:c r="GD3" s="96" t="n"/>
      <x:c r="GE3" s="96" t="n"/>
      <x:c r="GF3" s="96" t="n"/>
    </x:row>
    <x:row r="4" s="62" customFormat="1" ht="12.75" customHeight="1">
      <x:c r="A4" s="619" t="n"/>
      <x:c r="B4" s="623" t="n"/>
      <x:c r="C4" s="593" t="n"/>
      <x:c r="D4" s="624" t="n"/>
      <x:c r="E4" s="491" t="inlineStr">
        <x:is>
          <x:t xml:space="preserve">Date </x:t>
        </x:is>
      </x:c>
      <x:c r="F4" s="618" t="n"/>
      <x:c r="G4" s="60" t="n"/>
      <x:c r="H4" s="5" t="n"/>
      <x:c r="I4" s="7" t="n">
        <x:v>10127</x:v>
      </x:c>
      <x:c r="J4" s="7" t="n">
        <x:v>10618</x:v>
      </x:c>
      <x:c r="K4" s="5" t="n">
        <x:v>10502</x:v>
      </x:c>
      <x:c r="L4" s="5" t="n">
        <x:v>10633</x:v>
      </x:c>
      <x:c r="M4" s="5" t="n">
        <x:v>10826</x:v>
      </x:c>
      <x:c r="N4" s="5" t="n">
        <x:v>16746</x:v>
      </x:c>
      <x:c r="O4" s="5" t="n">
        <x:v>23995</x:v>
      </x:c>
      <x:c r="P4" s="5" t="n">
        <x:v>25990</x:v>
      </x:c>
      <x:c r="Q4" s="5" t="n">
        <x:v>25974</x:v>
      </x:c>
      <x:c r="R4" s="5" t="n">
        <x:v>25974</x:v>
      </x:c>
      <x:c r="S4" s="5" t="n">
        <x:v>27051</x:v>
      </x:c>
      <x:c r="T4" s="5" t="n">
        <x:v>29152</x:v>
      </x:c>
      <x:c r="U4" s="5" t="n">
        <x:v>29644</x:v>
      </x:c>
      <x:c r="V4" s="5" t="n">
        <x:v>30446</x:v>
      </x:c>
      <x:c r="W4" s="5" t="n">
        <x:v>30767</x:v>
      </x:c>
      <x:c r="X4" s="120" t="n">
        <x:v>30767</x:v>
      </x:c>
      <x:c r="Y4" s="120" t="n">
        <x:v>31833</x:v>
      </x:c>
      <x:c r="Z4" s="5" t="n">
        <x:v>33056</x:v>
      </x:c>
      <x:c r="AA4" s="5" t="n">
        <x:v>36524</x:v>
      </x:c>
      <x:c r="AB4" s="5" t="n">
        <x:v>38468</x:v>
      </x:c>
      <x:c r="AC4" s="5" t="n">
        <x:v>38700</x:v>
      </x:c>
      <x:c r="AD4" s="5" t="n">
        <x:v>38757</x:v>
      </x:c>
      <x:c r="AE4" s="5" t="n"/>
      <x:c r="AF4" s="5" t="n"/>
      <x:c r="AG4" s="5" t="n"/>
      <x:c r="AH4" s="5" t="n"/>
      <x:c r="AI4" s="5" t="n"/>
      <x:c r="AJ4" s="5" t="n"/>
      <x:c r="AK4" s="5" t="n"/>
      <x:c r="AL4" s="5" t="n"/>
      <x:c r="AM4" s="120" t="n"/>
      <x:c r="AN4" s="120" t="n"/>
      <x:c r="AO4" s="5" t="n"/>
      <x:c r="AP4" s="5" t="n"/>
      <x:c r="AQ4" s="120" t="n"/>
      <x:c r="AR4" s="5" t="n"/>
      <x:c r="AS4" s="5" t="n"/>
      <x:c r="AT4" s="5" t="n"/>
      <x:c r="AU4" s="5" t="n"/>
      <x:c r="AV4" s="5" t="n"/>
      <x:c r="AW4" s="5" t="n"/>
      <x:c r="AX4" s="5" t="n"/>
      <x:c r="AY4" s="5" t="n"/>
      <x:c r="AZ4" s="5" t="n"/>
      <x:c r="BA4" s="120" t="n"/>
      <x:c r="BB4" s="120" t="n"/>
      <x:c r="BC4" s="120" t="n"/>
      <x:c r="BD4" s="5" t="n"/>
      <x:c r="BE4" s="120" t="n"/>
      <x:c r="BF4" s="120" t="n"/>
      <x:c r="BG4" s="120" t="n"/>
      <x:c r="BH4" s="120" t="n"/>
      <x:c r="BI4" s="120" t="n"/>
      <x:c r="BJ4" s="120" t="n"/>
      <x:c r="BK4" s="120" t="n"/>
      <x:c r="BL4" s="120" t="n"/>
      <x:c r="BM4" s="120" t="n"/>
      <x:c r="BN4" s="120" t="n"/>
      <x:c r="BO4" s="120" t="n"/>
      <x:c r="BP4" s="120" t="n"/>
      <x:c r="BQ4" s="120" t="n"/>
      <x:c r="BR4" s="120" t="n"/>
      <x:c r="BS4" s="120" t="n"/>
      <x:c r="BT4" s="120" t="n"/>
      <x:c r="BU4" s="120" t="n"/>
      <x:c r="BV4" s="120" t="n"/>
      <x:c r="BW4" s="120" t="n"/>
      <x:c r="BX4" s="120" t="n"/>
      <x:c r="BY4" s="120" t="n"/>
      <x:c r="BZ4" s="120" t="n"/>
      <x:c r="CA4" s="120" t="n"/>
      <x:c r="CB4" s="120" t="n"/>
      <x:c r="CC4" s="120" t="n"/>
      <x:c r="CD4" s="120" t="n"/>
      <x:c r="CE4" s="120" t="n"/>
      <x:c r="CF4" s="120" t="n"/>
      <x:c r="CG4" s="120" t="n"/>
      <x:c r="CH4" s="120" t="n"/>
      <x:c r="CI4" s="120" t="n"/>
      <x:c r="CJ4" s="120" t="n"/>
      <x:c r="CK4" s="120" t="n"/>
      <x:c r="CL4" s="120" t="n"/>
      <x:c r="CM4" s="120" t="n"/>
      <x:c r="CN4" s="120" t="n"/>
      <x:c r="CO4" s="120" t="n"/>
      <x:c r="CP4" s="120" t="n"/>
      <x:c r="CQ4" s="120" t="n"/>
      <x:c r="CR4" s="120" t="n"/>
      <x:c r="CS4" s="120" t="n"/>
      <x:c r="CT4" s="120" t="n"/>
      <x:c r="CU4" s="97" t="n"/>
      <x:c r="CV4" s="97" t="n"/>
      <x:c r="CW4" s="97" t="n"/>
      <x:c r="CX4" s="97" t="n"/>
      <x:c r="CY4" s="97" t="n"/>
      <x:c r="CZ4" s="97" t="n"/>
      <x:c r="DA4" s="97" t="n"/>
      <x:c r="DB4" s="97" t="n"/>
      <x:c r="DC4" s="97" t="n"/>
      <x:c r="DD4" s="97" t="n"/>
      <x:c r="DE4" s="97" t="n"/>
      <x:c r="DF4" s="97" t="n"/>
      <x:c r="DG4" s="97" t="n"/>
      <x:c r="DH4" s="97" t="n"/>
      <x:c r="DI4" s="97" t="n"/>
      <x:c r="DJ4" s="97" t="n"/>
      <x:c r="DK4" s="97" t="n"/>
      <x:c r="DL4" s="97" t="n"/>
      <x:c r="DM4" s="97" t="n"/>
      <x:c r="DN4" s="97" t="n"/>
      <x:c r="DO4" s="97" t="n"/>
      <x:c r="DP4" s="97" t="n"/>
      <x:c r="DQ4" s="97" t="n"/>
      <x:c r="DR4" s="97" t="n"/>
      <x:c r="DS4" s="97" t="n"/>
      <x:c r="DT4" s="97" t="n"/>
      <x:c r="DU4" s="97" t="n"/>
      <x:c r="DV4" s="97" t="n"/>
      <x:c r="DW4" s="97" t="n"/>
      <x:c r="DX4" s="97" t="n"/>
      <x:c r="DY4" s="97" t="n"/>
      <x:c r="DZ4" s="97" t="n"/>
      <x:c r="EA4" s="97" t="n"/>
      <x:c r="EB4" s="97" t="n"/>
      <x:c r="EC4" s="97" t="n"/>
      <x:c r="ED4" s="97" t="n"/>
      <x:c r="EE4" s="97" t="n"/>
      <x:c r="EF4" s="97" t="n"/>
      <x:c r="EG4" s="97" t="n"/>
      <x:c r="EH4" s="97" t="n"/>
      <x:c r="EI4" s="97" t="n"/>
      <x:c r="EJ4" s="97" t="n"/>
      <x:c r="EK4" s="97" t="n"/>
      <x:c r="EL4" s="97" t="n"/>
      <x:c r="EM4" s="97" t="n"/>
      <x:c r="EN4" s="97" t="n"/>
      <x:c r="EO4" s="97" t="n"/>
      <x:c r="EP4" s="97" t="n"/>
      <x:c r="EQ4" s="97" t="n"/>
      <x:c r="ER4" s="97" t="n"/>
      <x:c r="ES4" s="97" t="n"/>
      <x:c r="ET4" s="97" t="n"/>
      <x:c r="EU4" s="97" t="n"/>
      <x:c r="EV4" s="97" t="n"/>
      <x:c r="EW4" s="97" t="n"/>
      <x:c r="EX4" s="97" t="n"/>
      <x:c r="EY4" s="97" t="n"/>
      <x:c r="EZ4" s="97" t="n"/>
      <x:c r="FA4" s="97" t="n"/>
      <x:c r="FB4" s="97" t="n"/>
      <x:c r="FC4" s="97" t="n"/>
      <x:c r="FD4" s="97" t="n"/>
      <x:c r="FE4" s="97" t="n"/>
      <x:c r="FF4" s="97" t="n"/>
      <x:c r="FG4" s="97" t="n"/>
      <x:c r="FH4" s="97" t="n"/>
      <x:c r="FI4" s="97" t="n"/>
      <x:c r="FJ4" s="97" t="n"/>
      <x:c r="FK4" s="97" t="n"/>
      <x:c r="FL4" s="97" t="n"/>
      <x:c r="FM4" s="97" t="n"/>
      <x:c r="FN4" s="97" t="n"/>
      <x:c r="FO4" s="97" t="n"/>
      <x:c r="FP4" s="97" t="n"/>
      <x:c r="FQ4" s="97" t="n"/>
      <x:c r="FR4" s="97" t="n"/>
      <x:c r="FS4" s="97" t="n"/>
      <x:c r="FT4" s="97" t="n"/>
      <x:c r="FU4" s="97" t="n"/>
      <x:c r="FV4" s="97" t="n"/>
      <x:c r="FW4" s="97" t="n"/>
      <x:c r="FX4" s="97" t="n"/>
      <x:c r="FY4" s="97" t="n"/>
      <x:c r="FZ4" s="97" t="n"/>
      <x:c r="GA4" s="97" t="n"/>
      <x:c r="GB4" s="97" t="n"/>
      <x:c r="GC4" s="97" t="n"/>
      <x:c r="GD4" s="97" t="n"/>
      <x:c r="GE4" s="97" t="n"/>
      <x:c r="GF4" s="97" t="n"/>
    </x:row>
    <x:row r="5" s="57" customFormat="1" ht="27.75" customHeight="1">
      <x:c r="A5" s="619" t="n"/>
      <x:c r="B5" s="625" t="inlineStr">
        <x:is>
          <x:t xml:space="preserve">TRACT ACRES</x:t>
        </x:is>
      </x:c>
      <x:c r="C5" s="626" t="n"/>
      <x:c r="D5" s="65" t="n">
        <x:v>80</x:v>
      </x:c>
      <x:c r="E5" s="627" t="inlineStr">
        <x:is>
          <x:t xml:space="preserve">Conveyance </x:t>
        </x:is>
      </x:c>
      <x:c r="F5" s="628" t="n"/>
      <x:c r="G5" s="60" t="n"/>
      <x:c r="H5" s="117" t="inlineStr">
        <x:is>
          <x:t xml:space="preserve">ARTI</x:t>
        </x:is>
      </x:c>
      <x:c r="I5" s="117" t="inlineStr">
        <x:is>
          <x:t xml:space="preserve">ARTI</x:t>
        </x:is>
      </x:c>
      <x:c r="J5" s="117" t="inlineStr">
        <x:is>
          <x:t xml:space="preserve">ARTI</x:t>
        </x:is>
      </x:c>
      <x:c r="K5" s="117" t="inlineStr">
        <x:is>
          <x:t xml:space="preserve">ARTI</x:t>
        </x:is>
      </x:c>
      <x:c r="L5" s="117" t="inlineStr">
        <x:is>
          <x:t xml:space="preserve">ARTI</x:t>
        </x:is>
      </x:c>
      <x:c r="M5" s="118" t="inlineStr">
        <x:is>
          <x:t xml:space="preserve">ARTI</x:t>
        </x:is>
      </x:c>
      <x:c r="N5" s="118" t="inlineStr">
        <x:is>
          <x:t xml:space="preserve">UND 1/2</x:t>
        </x:is>
      </x:c>
      <x:c r="O5" s="118" t="inlineStr">
        <x:is>
          <x:t xml:space="preserve">ARTI</x:t>
        </x:is>
      </x:c>
      <x:c r="P5" s="118" t="inlineStr">
        <x:is>
          <x:t xml:space="preserve">ARTI</x:t>
        </x:is>
      </x:c>
      <x:c r="Q5" s="118" t="inlineStr">
        <x:is>
          <x:t xml:space="preserve">ARTI</x:t>
        </x:is>
      </x:c>
      <x:c r="R5" s="118" t="inlineStr">
        <x:is>
          <x:t xml:space="preserve">ARTI</x:t>
        </x:is>
      </x:c>
      <x:c r="S5" s="118" t="inlineStr">
        <x:is>
          <x:t xml:space="preserve">ARTI</x:t>
        </x:is>
      </x:c>
      <x:c r="T5" s="118" t="inlineStr">
        <x:is>
          <x:t xml:space="preserve">ARTI</x:t>
        </x:is>
      </x:c>
      <x:c r="U5" s="118" t="inlineStr">
        <x:is>
          <x:t xml:space="preserve">ARTI</x:t>
        </x:is>
      </x:c>
      <x:c r="V5" s="118" t="inlineStr">
        <x:is>
          <x:t xml:space="preserve">ARTI</x:t>
        </x:is>
      </x:c>
      <x:c r="W5" s="118" t="inlineStr">
        <x:is>
          <x:t xml:space="preserve">UND 1/2</x:t>
        </x:is>
      </x:c>
      <x:c r="X5" s="118" t="inlineStr">
        <x:is>
          <x:t xml:space="preserve">UND 1/2</x:t>
        </x:is>
      </x:c>
      <x:c r="Y5" s="118" t="inlineStr">
        <x:is>
          <x:t xml:space="preserve">ARTI</x:t>
        </x:is>
      </x:c>
      <x:c r="Z5" s="118" t="inlineStr">
        <x:is>
          <x:t xml:space="preserve">ARTI</x:t>
        </x:is>
      </x:c>
      <x:c r="AA5" s="118" t="inlineStr">
        <x:is>
          <x:t xml:space="preserve">ARTI</x:t>
        </x:is>
      </x:c>
      <x:c r="AB5" s="118" t="inlineStr">
        <x:is>
          <x:t xml:space="preserve">ARTI</x:t>
        </x:is>
      </x:c>
      <x:c r="AC5" s="118" t="inlineStr">
        <x:is>
          <x:t xml:space="preserve">ARTI</x:t>
        </x:is>
      </x:c>
      <x:c r="AD5" s="118" t="inlineStr">
        <x:is>
          <x:t xml:space="preserve">ARTI</x:t>
        </x:is>
      </x:c>
      <x:c r="AE5" s="118" t="n"/>
      <x:c r="AF5" s="118" t="n"/>
      <x:c r="AG5" s="118" t="n"/>
      <x:c r="AH5" s="118" t="n"/>
      <x:c r="AI5" s="118" t="n"/>
      <x:c r="AJ5" s="118" t="n"/>
      <x:c r="AK5" s="118" t="n"/>
      <x:c r="AL5" s="118" t="n"/>
      <x:c r="AM5" s="118" t="n"/>
      <x:c r="AN5" s="118" t="n"/>
      <x:c r="AO5" s="118" t="n"/>
      <x:c r="AP5" s="118" t="n"/>
      <x:c r="AQ5" s="118" t="n"/>
      <x:c r="AR5" s="118" t="n"/>
      <x:c r="AS5" s="118" t="n"/>
      <x:c r="AT5" s="118" t="n"/>
      <x:c r="AU5" s="118" t="n"/>
      <x:c r="AV5" s="118" t="n"/>
      <x:c r="AW5" s="118" t="n"/>
      <x:c r="AX5" s="118" t="n"/>
      <x:c r="AY5" s="118" t="n"/>
      <x:c r="AZ5" s="118" t="n"/>
      <x:c r="BA5" s="118" t="n"/>
      <x:c r="BB5" s="118" t="n"/>
      <x:c r="BC5" s="118" t="n"/>
      <x:c r="BD5" s="118" t="n"/>
      <x:c r="BE5" s="118" t="n"/>
      <x:c r="BF5" s="118" t="n"/>
      <x:c r="BG5" s="118" t="n"/>
      <x:c r="BH5" s="118" t="n"/>
      <x:c r="BI5" s="118" t="n"/>
      <x:c r="BJ5" s="118" t="n"/>
      <x:c r="BK5" s="118" t="n"/>
      <x:c r="BL5" s="118" t="n"/>
      <x:c r="BM5" s="118" t="n"/>
      <x:c r="BN5" s="118" t="n"/>
      <x:c r="BO5" s="118" t="n"/>
      <x:c r="BP5" s="118" t="n"/>
      <x:c r="BQ5" s="118" t="n"/>
      <x:c r="BR5" s="118" t="n"/>
      <x:c r="BS5" s="118" t="n"/>
      <x:c r="BT5" s="118" t="n"/>
      <x:c r="BU5" s="118" t="n"/>
      <x:c r="BV5" s="118" t="n"/>
      <x:c r="BW5" s="118" t="n"/>
      <x:c r="BX5" s="118" t="n"/>
      <x:c r="BY5" s="118" t="n"/>
      <x:c r="BZ5" s="118" t="n"/>
      <x:c r="CA5" s="118" t="n"/>
      <x:c r="CB5" s="118" t="n"/>
      <x:c r="CC5" s="118" t="n"/>
      <x:c r="CD5" s="118" t="n"/>
      <x:c r="CE5" s="118" t="n"/>
      <x:c r="CF5" s="118" t="n"/>
      <x:c r="CG5" s="118" t="n"/>
      <x:c r="CH5" s="118" t="n"/>
      <x:c r="CI5" s="118" t="n"/>
      <x:c r="CJ5" s="118" t="n"/>
      <x:c r="CK5" s="118" t="n"/>
      <x:c r="CL5" s="118" t="n"/>
      <x:c r="CM5" s="118" t="n"/>
      <x:c r="CN5" s="118" t="n"/>
      <x:c r="CO5" s="118" t="n"/>
      <x:c r="CP5" s="118" t="n"/>
      <x:c r="CQ5" s="118" t="n"/>
      <x:c r="CR5" s="118" t="n"/>
      <x:c r="CS5" s="118" t="n"/>
      <x:c r="CT5" s="118" t="n"/>
      <x:c r="CU5" s="96" t="n"/>
      <x:c r="CV5" s="96" t="n"/>
      <x:c r="CW5" s="96" t="n"/>
      <x:c r="CX5" s="96" t="n"/>
      <x:c r="CY5" s="96" t="n"/>
      <x:c r="CZ5" s="96" t="n"/>
      <x:c r="DA5" s="96" t="n"/>
      <x:c r="DB5" s="96" t="n"/>
      <x:c r="DC5" s="96" t="n"/>
      <x:c r="DD5" s="96" t="n"/>
      <x:c r="DE5" s="96" t="n"/>
      <x:c r="DF5" s="96" t="n"/>
      <x:c r="DG5" s="96" t="n"/>
      <x:c r="DH5" s="96" t="n"/>
      <x:c r="DI5" s="96" t="n"/>
      <x:c r="DJ5" s="96" t="n"/>
      <x:c r="DK5" s="96" t="n"/>
      <x:c r="DL5" s="96" t="n"/>
      <x:c r="DM5" s="96" t="n"/>
      <x:c r="DN5" s="96" t="n"/>
      <x:c r="DO5" s="96" t="n"/>
      <x:c r="DP5" s="96" t="n"/>
      <x:c r="DQ5" s="96" t="n"/>
      <x:c r="DR5" s="96" t="n"/>
      <x:c r="DS5" s="96" t="n"/>
      <x:c r="DT5" s="96" t="n"/>
      <x:c r="DU5" s="96" t="n"/>
      <x:c r="DV5" s="96" t="n"/>
      <x:c r="DW5" s="96" t="n"/>
      <x:c r="DX5" s="96" t="n"/>
      <x:c r="DY5" s="96" t="n"/>
      <x:c r="DZ5" s="96" t="n"/>
      <x:c r="EA5" s="96" t="n"/>
      <x:c r="EB5" s="96" t="n"/>
      <x:c r="EC5" s="96" t="n"/>
      <x:c r="ED5" s="96" t="n"/>
      <x:c r="EE5" s="96" t="n"/>
      <x:c r="EF5" s="96" t="n"/>
      <x:c r="EG5" s="96" t="n"/>
      <x:c r="EH5" s="96" t="n"/>
      <x:c r="EI5" s="96" t="n"/>
      <x:c r="EJ5" s="96" t="n"/>
      <x:c r="EK5" s="96" t="n"/>
      <x:c r="EL5" s="96" t="n"/>
      <x:c r="EM5" s="96" t="n"/>
      <x:c r="EN5" s="96" t="n"/>
      <x:c r="EO5" s="96" t="n"/>
      <x:c r="EP5" s="96" t="n"/>
      <x:c r="EQ5" s="96" t="n"/>
      <x:c r="ER5" s="96" t="n"/>
      <x:c r="ES5" s="96" t="n"/>
      <x:c r="ET5" s="96" t="n"/>
      <x:c r="EU5" s="96" t="n"/>
      <x:c r="EV5" s="96" t="n"/>
      <x:c r="EW5" s="96" t="n"/>
      <x:c r="EX5" s="96" t="n"/>
      <x:c r="EY5" s="96" t="n"/>
      <x:c r="EZ5" s="96" t="n"/>
      <x:c r="FA5" s="96" t="n"/>
      <x:c r="FB5" s="96" t="n"/>
      <x:c r="FC5" s="96" t="n"/>
      <x:c r="FD5" s="96" t="n"/>
      <x:c r="FE5" s="96" t="n"/>
      <x:c r="FF5" s="96" t="n"/>
      <x:c r="FG5" s="96" t="n"/>
      <x:c r="FH5" s="96" t="n"/>
      <x:c r="FI5" s="96" t="n"/>
      <x:c r="FJ5" s="96" t="n"/>
      <x:c r="FK5" s="96" t="n"/>
      <x:c r="FL5" s="96" t="n"/>
      <x:c r="FM5" s="96" t="n"/>
      <x:c r="FN5" s="96" t="n"/>
      <x:c r="FO5" s="96" t="n"/>
      <x:c r="FP5" s="96" t="n"/>
      <x:c r="FQ5" s="96" t="n"/>
      <x:c r="FR5" s="96" t="n"/>
      <x:c r="FS5" s="96" t="n"/>
      <x:c r="FT5" s="96" t="n"/>
      <x:c r="FU5" s="96" t="n"/>
      <x:c r="FV5" s="96" t="n"/>
      <x:c r="FW5" s="96" t="n"/>
      <x:c r="FX5" s="96" t="n"/>
      <x:c r="FY5" s="96" t="n"/>
      <x:c r="FZ5" s="96" t="n"/>
      <x:c r="GA5" s="96" t="n"/>
      <x:c r="GB5" s="96" t="n"/>
      <x:c r="GC5" s="96" t="n"/>
      <x:c r="GD5" s="96" t="n"/>
      <x:c r="GE5" s="96" t="n"/>
      <x:c r="GF5" s="96" t="n"/>
    </x:row>
    <x:row r="6" s="55" customFormat="1" ht="14.25" customHeight="1">
      <x:c r="A6" s="629" t="n"/>
      <x:c r="B6" s="630" t="inlineStr">
        <x:is>
          <x:t xml:space="preserve">BASE OGL</x:t>
        </x:is>
      </x:c>
      <x:c r="C6" s="631" t="n">
        <x:v>80</x:v>
      </x:c>
      <x:c r="D6" s="632" t="inlineStr">
        <x:is>
          <x:t xml:space="preserve">Tract 1</x:t>
        </x:is>
      </x:c>
      <x:c r="E6" s="631" t="n">
        <x:f>SUBTOTAL(9,E9:E205)</x:f>
        <x:v>1</x:v>
      </x:c>
      <x:c r="F6" s="633" t="inlineStr">
        <x:is>
          <x:t xml:space="preserve">SURFACE</x:t>
        </x:is>
      </x:c>
      <x:c r="G6" s="64" t="n"/>
      <x:c r="H6" s="64" t="n"/>
      <x:c r="I6" s="64" t="str">
        <x:f>IF(I7=0,"","RECHECK")</x:f>
      </x:c>
      <x:c r="J6" s="64" t="n"/>
      <x:c r="K6" s="64" t="n"/>
      <x:c r="L6" s="64" t="n"/>
      <x:c r="M6" s="98" t="str">
        <x:f>IF(M7=0,"","RECHECK")</x:f>
      </x:c>
      <x:c r="N6" s="98" t="str">
        <x:f>IF(N7=0,"","RECHECK")</x:f>
      </x:c>
      <x:c r="O6" s="98" t="str">
        <x:f>IF(O7=0,"","RECHECK")</x:f>
      </x:c>
      <x:c r="P6" s="98" t="str">
        <x:f>IF(P7=0,"","RECHECK")</x:f>
      </x:c>
      <x:c r="Q6" s="98" t="str">
        <x:f>IF(Q7=0,"","RECHECK")</x:f>
      </x:c>
      <x:c r="R6" s="98" t="str">
        <x:f>IF(R7=0,"","RECHECK")</x:f>
      </x:c>
      <x:c r="S6" s="98" t="n"/>
      <x:c r="T6" s="98" t="str">
        <x:f>IF(T7=0,"","RECHECK")</x:f>
      </x:c>
      <x:c r="U6" s="98" t="str">
        <x:f>IF(U7=0,"","RECHECK")</x:f>
      </x:c>
      <x:c r="V6" s="98" t="str">
        <x:f>IF(V7=0,"","RECHECK")</x:f>
      </x:c>
      <x:c r="W6" s="98" t="str">
        <x:f>IF(W7=0,"","RECHECK")</x:f>
      </x:c>
      <x:c r="X6" s="98" t="str">
        <x:f>IF(X7=0,"","RECHECK")</x:f>
      </x:c>
      <x:c r="Y6" s="98" t="str">
        <x:f>IF(Y7=0,"","RECHECK")</x:f>
      </x:c>
      <x:c r="Z6" s="98" t="str">
        <x:f>IF(Z7=0,"","RECHECK")</x:f>
      </x:c>
      <x:c r="AA6" s="98" t="str">
        <x:f>IF(AA7=0,"","RECHECK")</x:f>
      </x:c>
      <x:c r="AB6" s="98" t="str">
        <x:f>IF(AB7=0,"","RECHECK")</x:f>
      </x:c>
      <x:c r="AC6" s="98" t="str">
        <x:f>IF(AC7=0,"","RECHECK")</x:f>
      </x:c>
      <x:c r="AD6" s="98" t="str">
        <x:f>IF(AD7=0,"","RECHECK")</x:f>
      </x:c>
      <x:c r="AE6" s="98" t="str">
        <x:f>IF(AE7=0,"","RECHECK")</x:f>
      </x:c>
      <x:c r="AF6" s="98" t="str">
        <x:f>IF(AF7=0,"","RECHECK")</x:f>
      </x:c>
      <x:c r="AG6" s="98" t="str">
        <x:f>IF(AG7=0,"","RECHECK")</x:f>
      </x:c>
      <x:c r="AH6" s="98" t="str">
        <x:f>IF(AH7=0,"","RECHECK")</x:f>
      </x:c>
      <x:c r="AI6" s="98" t="str">
        <x:f>IF(AI7=0,"","RECHECK")</x:f>
      </x:c>
      <x:c r="AJ6" s="98" t="str">
        <x:f>IF(AJ7=0,"","RECHECK")</x:f>
      </x:c>
      <x:c r="AK6" s="98" t="str">
        <x:f>IF(AK7=0,"","RECHECK")</x:f>
      </x:c>
      <x:c r="AL6" s="98" t="str">
        <x:f>IF(AL7=0,"","RECHECK")</x:f>
      </x:c>
      <x:c r="AM6" s="98" t="str">
        <x:f>IF(AM7=0,"","RECHECK")</x:f>
      </x:c>
      <x:c r="AN6" s="98" t="str">
        <x:f>IF(AN7=0,"","RECHECK")</x:f>
      </x:c>
      <x:c r="AO6" s="98" t="n"/>
      <x:c r="AP6" s="98" t="n"/>
      <x:c r="AQ6" s="98" t="n"/>
      <x:c r="AR6" s="98" t="str">
        <x:f>IF(AR7=0,"","RECHECK")</x:f>
      </x:c>
      <x:c r="AS6" s="98" t="str">
        <x:f>IF(AS7=0,"","RECHECK")</x:f>
      </x:c>
      <x:c r="AT6" s="98" t="str">
        <x:f>IF(AT7=0,"","RECHECK")</x:f>
      </x:c>
      <x:c r="AU6" s="98" t="str">
        <x:f>IF(AU7=0,"","RECHECK")</x:f>
      </x:c>
      <x:c r="AV6" s="98" t="n"/>
      <x:c r="AW6" s="98" t="n"/>
      <x:c r="AX6" s="98" t="str">
        <x:f>IF(AX7=0,"","RECHECK")</x:f>
      </x:c>
      <x:c r="AY6" s="98" t="str">
        <x:f>IF(AY7=0,"","RECHECK")</x:f>
      </x:c>
      <x:c r="AZ6" s="98" t="str">
        <x:f>IF(AZ7=0,"","RECHECK")</x:f>
      </x:c>
      <x:c r="BA6" s="98" t="str">
        <x:f>IF(BA7=0,"","RECHECK")</x:f>
      </x:c>
      <x:c r="BB6" s="98" t="str">
        <x:f>IF(BB7=0,"","RECHECK")</x:f>
      </x:c>
      <x:c r="BC6" s="98" t="str">
        <x:f>IF(BC7=0,"","RECHECK")</x:f>
      </x:c>
      <x:c r="BD6" s="98" t="str">
        <x:f>IF(BD7=0,"","RECHECK")</x:f>
      </x:c>
      <x:c r="BE6" s="98" t="str">
        <x:f>IF(BE7=0,"","RECHECK")</x:f>
      </x:c>
      <x:c r="BF6" s="98" t="str">
        <x:f>IF(BF7=0,"","RECHECK")</x:f>
      </x:c>
      <x:c r="BG6" s="98" t="str">
        <x:f>IF(BG7=0,"","RECHECK")</x:f>
      </x:c>
      <x:c r="BH6" s="98" t="str">
        <x:f>IF(BH7=0,"","RECHECK")</x:f>
      </x:c>
      <x:c r="BI6" s="98" t="str">
        <x:f>IF(BI7=0,"","RECHECK")</x:f>
      </x:c>
      <x:c r="BJ6" s="98" t="str">
        <x:f>IF(BJ7=0,"","RECHECK")</x:f>
      </x:c>
      <x:c r="BK6" s="98" t="str">
        <x:f>IF(BK7=0,"","RECHECK")</x:f>
      </x:c>
      <x:c r="BL6" s="98" t="str">
        <x:f>IF(BL7=0,"","RECHECK")</x:f>
      </x:c>
      <x:c r="BM6" s="98" t="str">
        <x:f>IF(BM7=0,"","RECHECK")</x:f>
      </x:c>
      <x:c r="BN6" s="98" t="str">
        <x:f>IF(BN7=0,"","RECHECK")</x:f>
      </x:c>
      <x:c r="BO6" s="98" t="str">
        <x:f>IF(BO7=0,"","RECHECK")</x:f>
      </x:c>
      <x:c r="BP6" s="98" t="str">
        <x:f>IF(BP7=0,"","RECHECK")</x:f>
      </x:c>
      <x:c r="BQ6" s="98" t="str">
        <x:f>IF(BQ7=0,"","RECHECK")</x:f>
      </x:c>
      <x:c r="BR6" s="98" t="str">
        <x:f>IF(BR7=0,"","RECHECK")</x:f>
      </x:c>
      <x:c r="BS6" s="98" t="str">
        <x:f>IF(BS7=0,"","RECHECK")</x:f>
      </x:c>
      <x:c r="BT6" s="98" t="str">
        <x:f>IF(BT7=0,"","RECHECK")</x:f>
      </x:c>
      <x:c r="BU6" s="98" t="str">
        <x:f>IF(BU7=0,"","RECHECK")</x:f>
      </x:c>
      <x:c r="BV6" s="98" t="str">
        <x:f>IF(BV7=0,"","RECHECK")</x:f>
      </x:c>
      <x:c r="BW6" s="98" t="str">
        <x:f>IF(BW7=0,"","RECHECK")</x:f>
      </x:c>
      <x:c r="BX6" s="98" t="str">
        <x:f>IF(BX7=0,"","RECHECK")</x:f>
      </x:c>
      <x:c r="BY6" s="98" t="str">
        <x:f>IF(BY7=0,"","RECHECK")</x:f>
      </x:c>
      <x:c r="BZ6" s="98" t="str">
        <x:f>IF(BZ7=0,"","RECHECK")</x:f>
      </x:c>
      <x:c r="CA6" s="98" t="str">
        <x:f>IF(CA7=0,"","RECHECK")</x:f>
      </x:c>
      <x:c r="CB6" s="98" t="str">
        <x:f>IF(CB7=0,"","RECHECK")</x:f>
      </x:c>
      <x:c r="CC6" s="98" t="str">
        <x:f>IF(CC7=0,"","RECHECK")</x:f>
      </x:c>
      <x:c r="CD6" s="98" t="str">
        <x:f>IF(CD7=0,"","RECHECK")</x:f>
      </x:c>
      <x:c r="CE6" s="98" t="str">
        <x:f>IF(CE7=0,"","RECHECK")</x:f>
      </x:c>
      <x:c r="CF6" s="98" t="str">
        <x:f>IF(CF7=0,"","RECHECK")</x:f>
      </x:c>
      <x:c r="CG6" s="98" t="str">
        <x:f>IF(CG7=0,"","RECHECK")</x:f>
      </x:c>
      <x:c r="CH6" s="98" t="str">
        <x:f>IF(CH7=0,"","RECHECK")</x:f>
      </x:c>
      <x:c r="CI6" s="98" t="str">
        <x:f>IF(CI7=0,"","RECHECK")</x:f>
      </x:c>
      <x:c r="CJ6" s="98" t="str">
        <x:f>IF(CJ7=0,"","RECHECK")</x:f>
      </x:c>
      <x:c r="CK6" s="98" t="str">
        <x:f>IF(CK7=0,"","RECHECK")</x:f>
      </x:c>
      <x:c r="CL6" s="98" t="str">
        <x:f>IF(CL7=0,"","RECHECK")</x:f>
      </x:c>
      <x:c r="CM6" s="98" t="str">
        <x:f>IF(CM7=0,"","RECHECK")</x:f>
      </x:c>
      <x:c r="CN6" s="98" t="str">
        <x:f>IF(CN7=0,"","RECHECK")</x:f>
      </x:c>
      <x:c r="CO6" s="98" t="str">
        <x:f>IF(CO7=0,"","RECHECK")</x:f>
      </x:c>
      <x:c r="CP6" s="98" t="str">
        <x:f>IF(CP7=0,"","RECHECK")</x:f>
      </x:c>
      <x:c r="CQ6" s="98" t="str">
        <x:f>IF(CQ7=0,"","RECHECK")</x:f>
      </x:c>
      <x:c r="CR6" s="98" t="str">
        <x:f>IF(CR7=0,"","RECHECK")</x:f>
      </x:c>
      <x:c r="CS6" s="98" t="str">
        <x:f>IF(CS7=0,"","RECHECK")</x:f>
      </x:c>
      <x:c r="CT6" s="98" t="str">
        <x:f>IF(CT7=0,"","RECHECK")</x:f>
      </x:c>
      <x:c r="CU6" s="98" t="str">
        <x:f>IF(CU7=0,"","RECHECK")</x:f>
      </x:c>
      <x:c r="CV6" s="98" t="str">
        <x:f>IF(CV7=0,"","RECHECK")</x:f>
      </x:c>
      <x:c r="CW6" s="98" t="str">
        <x:f>IF(CW7=0,"","RECHECK")</x:f>
      </x:c>
      <x:c r="CX6" s="98" t="str">
        <x:f>IF(CX7=0,"","RECHECK")</x:f>
      </x:c>
      <x:c r="CY6" s="98" t="str">
        <x:f>IF(CY7=0,"","RECHECK")</x:f>
      </x:c>
      <x:c r="CZ6" s="98" t="str">
        <x:f>IF(CZ7=0,"","RECHECK")</x:f>
      </x:c>
      <x:c r="DA6" s="98" t="str">
        <x:f>IF(DA7=0,"","RECHECK")</x:f>
      </x:c>
      <x:c r="DB6" s="98" t="str">
        <x:f>IF(DB7=0,"","RECHECK")</x:f>
      </x:c>
      <x:c r="DC6" s="98" t="str">
        <x:f>IF(DC7=0,"","RECHECK")</x:f>
      </x:c>
      <x:c r="DD6" s="98" t="str">
        <x:f>IF(DD7=0,"","RECHECK")</x:f>
      </x:c>
      <x:c r="DE6" s="98" t="str">
        <x:f>IF(DE7=0,"","RECHECK")</x:f>
      </x:c>
      <x:c r="DF6" s="98" t="str">
        <x:f>IF(DF7=0,"","RECHECK")</x:f>
      </x:c>
      <x:c r="DG6" s="98" t="str">
        <x:f>IF(DG7=0,"","RECHECK")</x:f>
      </x:c>
      <x:c r="DH6" s="98" t="str">
        <x:f>IF(DH7=0,"","RECHECK")</x:f>
      </x:c>
      <x:c r="DI6" s="98" t="str">
        <x:f>IF(DI7=0,"","RECHECK")</x:f>
      </x:c>
      <x:c r="DJ6" s="98" t="str">
        <x:f>IF(DJ7=0,"","RECHECK")</x:f>
      </x:c>
      <x:c r="DK6" s="98" t="str">
        <x:f>IF(DK7=0,"","RECHECK")</x:f>
      </x:c>
      <x:c r="DL6" s="98" t="str">
        <x:f>IF(DL7=0,"","RECHECK")</x:f>
      </x:c>
      <x:c r="DM6" s="98" t="str">
        <x:f>IF(DM7=0,"","RECHECK")</x:f>
      </x:c>
      <x:c r="DN6" s="98" t="str">
        <x:f>IF(DN7=0,"","RECHECK")</x:f>
      </x:c>
      <x:c r="DO6" s="98" t="str">
        <x:f>IF(DO7=0,"","RECHECK")</x:f>
      </x:c>
      <x:c r="DP6" s="98" t="str">
        <x:f>IF(DP7=0,"","RECHECK")</x:f>
      </x:c>
      <x:c r="DQ6" s="98" t="str">
        <x:f>IF(DQ7=0,"","RECHECK")</x:f>
      </x:c>
      <x:c r="DR6" s="98" t="str">
        <x:f>IF(DR7=0,"","RECHECK")</x:f>
      </x:c>
      <x:c r="DS6" s="98" t="str">
        <x:f>IF(DS7=0,"","RECHECK")</x:f>
      </x:c>
      <x:c r="DT6" s="98" t="str">
        <x:f>IF(DT7=0,"","RECHECK")</x:f>
      </x:c>
      <x:c r="DU6" s="98" t="str">
        <x:f>IF(DU7=0,"","RECHECK")</x:f>
      </x:c>
      <x:c r="DV6" s="98" t="str">
        <x:f>IF(DV7=0,"","RECHECK")</x:f>
      </x:c>
      <x:c r="DW6" s="98" t="str">
        <x:f>IF(DW7=0,"","RECHECK")</x:f>
      </x:c>
      <x:c r="DX6" s="98" t="str">
        <x:f>IF(DX7=0,"","RECHECK")</x:f>
      </x:c>
      <x:c r="DY6" s="98" t="str">
        <x:f>IF(DY7=0,"","RECHECK")</x:f>
      </x:c>
      <x:c r="DZ6" s="98" t="str">
        <x:f>IF(DZ7=0,"","RECHECK")</x:f>
      </x:c>
      <x:c r="EA6" s="98" t="str">
        <x:f>IF(EA7=0,"","RECHECK")</x:f>
      </x:c>
      <x:c r="EB6" s="98" t="str">
        <x:f>IF(EB7=0,"","RECHECK")</x:f>
      </x:c>
      <x:c r="EC6" s="98" t="str">
        <x:f>IF(EC7=0,"","RECHECK")</x:f>
      </x:c>
      <x:c r="ED6" s="98" t="str">
        <x:f>IF(ED7=0,"","RECHECK")</x:f>
      </x:c>
      <x:c r="EE6" s="98" t="str">
        <x:f>IF(EE7=0,"","RECHECK")</x:f>
      </x:c>
      <x:c r="EF6" s="98" t="str">
        <x:f>IF(EF7=0,"","RECHECK")</x:f>
      </x:c>
      <x:c r="EG6" s="98" t="str">
        <x:f>IF(EG7=0,"","RECHECK")</x:f>
      </x:c>
      <x:c r="EH6" s="98" t="str">
        <x:f>IF(EH7=0,"","RECHECK")</x:f>
      </x:c>
      <x:c r="EI6" s="98" t="str">
        <x:f>IF(EI7=0,"","RECHECK")</x:f>
      </x:c>
      <x:c r="EJ6" s="98" t="str">
        <x:f>IF(EJ7=0,"","RECHECK")</x:f>
      </x:c>
      <x:c r="EK6" s="98" t="str">
        <x:f>IF(EK7=0,"","RECHECK")</x:f>
      </x:c>
      <x:c r="EL6" s="98" t="str">
        <x:f>IF(EL7=0,"","RECHECK")</x:f>
      </x:c>
      <x:c r="EM6" s="98" t="str">
        <x:f>IF(EM7=0,"","RECHECK")</x:f>
      </x:c>
      <x:c r="EN6" s="98" t="str">
        <x:f>IF(EN7=0,"","RECHECK")</x:f>
      </x:c>
      <x:c r="EO6" s="98" t="str">
        <x:f>IF(EO7=0,"","RECHECK")</x:f>
      </x:c>
      <x:c r="EP6" s="98" t="str">
        <x:f>IF(EP7=0,"","RECHECK")</x:f>
      </x:c>
      <x:c r="EQ6" s="98" t="str">
        <x:f>IF(EQ7=0,"","RECHECK")</x:f>
      </x:c>
      <x:c r="ER6" s="98" t="str">
        <x:f>IF(ER7=0,"","RECHECK")</x:f>
      </x:c>
      <x:c r="ES6" s="98" t="str">
        <x:f>IF(ES7=0,"","RECHECK")</x:f>
      </x:c>
      <x:c r="ET6" s="98" t="str">
        <x:f>IF(ET7=0,"","RECHECK")</x:f>
      </x:c>
      <x:c r="EU6" s="98" t="str">
        <x:f>IF(EU7=0,"","RECHECK")</x:f>
      </x:c>
      <x:c r="EV6" s="98" t="str">
        <x:f>IF(EV7=0,"","RECHECK")</x:f>
      </x:c>
      <x:c r="EW6" s="98" t="str">
        <x:f>IF(EW7=0,"","RECHECK")</x:f>
      </x:c>
      <x:c r="EX6" s="98" t="str">
        <x:f>IF(EX7=0,"","RECHECK")</x:f>
      </x:c>
      <x:c r="EY6" s="98" t="str">
        <x:f>IF(EY7=0,"","RECHECK")</x:f>
      </x:c>
      <x:c r="EZ6" s="98" t="str">
        <x:f>IF(EZ7=0,"","RECHECK")</x:f>
      </x:c>
      <x:c r="FA6" s="98" t="str">
        <x:f>IF(FA7=0,"","RECHECK")</x:f>
      </x:c>
      <x:c r="FB6" s="98" t="str">
        <x:f>IF(FB7=0,"","RECHECK")</x:f>
      </x:c>
      <x:c r="FC6" s="98" t="str">
        <x:f>IF(FC7=0,"","RECHECK")</x:f>
      </x:c>
      <x:c r="FD6" s="98" t="str">
        <x:f>IF(FD7=0,"","RECHECK")</x:f>
      </x:c>
      <x:c r="FE6" s="98" t="str">
        <x:f>IF(FE7=0,"","RECHECK")</x:f>
      </x:c>
      <x:c r="FF6" s="98" t="str">
        <x:f>IF(FF7=0,"","RECHECK")</x:f>
      </x:c>
      <x:c r="FG6" s="98" t="str">
        <x:f>IF(FG7=0,"","RECHECK")</x:f>
      </x:c>
      <x:c r="FH6" s="98" t="str">
        <x:f>IF(FH7=0,"","RECHECK")</x:f>
      </x:c>
      <x:c r="FI6" s="98" t="str">
        <x:f>IF(FI7=0,"","RECHECK")</x:f>
      </x:c>
      <x:c r="FJ6" s="98" t="str">
        <x:f>IF(FJ7=0,"","RECHECK")</x:f>
      </x:c>
      <x:c r="FK6" s="98" t="str">
        <x:f>IF(FK7=0,"","RECHECK")</x:f>
      </x:c>
      <x:c r="FL6" s="98" t="str">
        <x:f>IF(FL7=0,"","RECHECK")</x:f>
      </x:c>
      <x:c r="FM6" s="98" t="str">
        <x:f>IF(FM7=0,"","RECHECK")</x:f>
      </x:c>
      <x:c r="FN6" s="98" t="str">
        <x:f>IF(FN7=0,"","RECHECK")</x:f>
      </x:c>
      <x:c r="FO6" s="98" t="str">
        <x:f>IF(FO7=0,"","RECHECK")</x:f>
      </x:c>
      <x:c r="FP6" s="98" t="str">
        <x:f>IF(FP7=0,"","RECHECK")</x:f>
      </x:c>
      <x:c r="FQ6" s="98" t="str">
        <x:f>IF(FQ7=0,"","RECHECK")</x:f>
      </x:c>
      <x:c r="FR6" s="98" t="str">
        <x:f>IF(FR7=0,"","RECHECK")</x:f>
      </x:c>
      <x:c r="FS6" s="98" t="str">
        <x:f>IF(FS7=0,"","RECHECK")</x:f>
      </x:c>
      <x:c r="FT6" s="98" t="str">
        <x:f>IF(FT7=0,"","RECHECK")</x:f>
      </x:c>
      <x:c r="FU6" s="98" t="str">
        <x:f>IF(FU7=0,"","RECHECK")</x:f>
      </x:c>
      <x:c r="FV6" s="98" t="str">
        <x:f>IF(FV7=0,"","RECHECK")</x:f>
      </x:c>
      <x:c r="FW6" s="98" t="str">
        <x:f>IF(FW7=0,"","RECHECK")</x:f>
      </x:c>
      <x:c r="FX6" s="98" t="str">
        <x:f>IF(FX7=0,"","RECHECK")</x:f>
      </x:c>
      <x:c r="FY6" s="98" t="str">
        <x:f>IF(FY7=0,"","RECHECK")</x:f>
      </x:c>
      <x:c r="FZ6" s="98" t="str">
        <x:f>IF(FZ7=0,"","RECHECK")</x:f>
      </x:c>
      <x:c r="GA6" s="98" t="str">
        <x:f>IF(GA7=0,"","RECHECK")</x:f>
      </x:c>
      <x:c r="GB6" s="98" t="str">
        <x:f>IF(GB7=0,"","RECHECK")</x:f>
      </x:c>
      <x:c r="GC6" s="98" t="str">
        <x:f>IF(GC7=0,"","RECHECK")</x:f>
      </x:c>
      <x:c r="GD6" s="98" t="str">
        <x:f>IF(GD7=0,"","RECHECK")</x:f>
      </x:c>
      <x:c r="GE6" s="98" t="str">
        <x:f>IF(GE7=0,"","RECHECK")</x:f>
      </x:c>
      <x:c r="GF6" s="98" t="str">
        <x:f>IF(GF7=0,"","RECHECK")</x:f>
      </x:c>
    </x:row>
    <x:row r="7" s="53" customFormat="1" ht="14.25" customHeight="1">
      <x:c r="A7" s="54" t="n"/>
      <x:c r="B7" s="593" t="n"/>
      <x:c r="C7" s="634" t="n"/>
      <x:c r="D7" s="634" t="n"/>
      <x:c r="E7" s="634" t="n"/>
      <x:c r="F7" s="635" t="n"/>
      <x:c r="G7" s="636" t="n">
        <x:f>SUBTOTAL(9,G10:G206)</x:f>
        <x:v>1</x:v>
      </x:c>
      <x:c r="H7" s="637" t="n">
        <x:f>SUBTOTAL(9,H10:H206)</x:f>
        <x:v>0</x:v>
      </x:c>
      <x:c r="I7" s="637" t="n">
        <x:f>SUBTOTAL(9,I10:I206)</x:f>
        <x:v>0</x:v>
      </x:c>
      <x:c r="J7" s="637" t="n">
        <x:f>SUBTOTAL(9,J10:J206)</x:f>
        <x:v>0</x:v>
      </x:c>
      <x:c r="K7" s="637" t="n">
        <x:f>SUBTOTAL(9,K10:K206)</x:f>
        <x:v>0</x:v>
      </x:c>
      <x:c r="L7" s="637" t="n">
        <x:f>SUBTOTAL(9,L10:L206)</x:f>
        <x:v>0</x:v>
      </x:c>
      <x:c r="M7" s="638" t="n">
        <x:f>SUBTOTAL(9,M10:M206)</x:f>
        <x:v>0</x:v>
      </x:c>
      <x:c r="N7" s="638" t="n">
        <x:f>SUBTOTAL(9,N10:N206)</x:f>
        <x:v>0</x:v>
      </x:c>
      <x:c r="O7" s="638" t="n">
        <x:f>SUBTOTAL(9,O10:O206)</x:f>
        <x:v>0</x:v>
      </x:c>
      <x:c r="P7" s="638" t="n">
        <x:f>SUBTOTAL(9,P10:P206)</x:f>
        <x:v>0</x:v>
      </x:c>
      <x:c r="Q7" s="638" t="n">
        <x:f>SUBTOTAL(9,Q10:Q206)</x:f>
        <x:v>0</x:v>
      </x:c>
      <x:c r="R7" s="638" t="n">
        <x:f>SUBTOTAL(9,R10:R206)</x:f>
        <x:v>0</x:v>
      </x:c>
      <x:c r="S7" s="638" t="n">
        <x:f>SUBTOTAL(9,S10:S206)</x:f>
        <x:v>0</x:v>
      </x:c>
      <x:c r="T7" s="638" t="n">
        <x:f>SUBTOTAL(9,T10:T206)</x:f>
        <x:v>0</x:v>
      </x:c>
      <x:c r="U7" s="638" t="n">
        <x:f>SUBTOTAL(9,U10:U206)</x:f>
        <x:v>0</x:v>
      </x:c>
      <x:c r="V7" s="638" t="n">
        <x:f>SUBTOTAL(9,V10:V206)</x:f>
        <x:v>0</x:v>
      </x:c>
      <x:c r="W7" s="638" t="n">
        <x:f>SUBTOTAL(9,W10:W206)</x:f>
        <x:v>0</x:v>
      </x:c>
      <x:c r="X7" s="638" t="n">
        <x:f>SUBTOTAL(9,X10:X206)</x:f>
        <x:v>0</x:v>
      </x:c>
      <x:c r="Y7" s="638" t="n">
        <x:f>SUBTOTAL(9,Y10:Y206)</x:f>
        <x:v>0</x:v>
      </x:c>
      <x:c r="Z7" s="638" t="n">
        <x:f>SUBTOTAL(9,Z10:Z206)</x:f>
        <x:v>0</x:v>
      </x:c>
      <x:c r="AA7" s="638" t="n">
        <x:f>SUBTOTAL(9,AA10:AA206)</x:f>
        <x:v>0</x:v>
      </x:c>
      <x:c r="AB7" s="638" t="n">
        <x:f>SUBTOTAL(9,AB10:AB206)</x:f>
        <x:v>0</x:v>
      </x:c>
      <x:c r="AC7" s="638" t="n">
        <x:f>SUBTOTAL(9,AC10:AC206)</x:f>
        <x:v>0</x:v>
      </x:c>
      <x:c r="AD7" s="638" t="n">
        <x:f>SUBTOTAL(9,AD10:AD206)</x:f>
        <x:v>0</x:v>
      </x:c>
      <x:c r="AE7" s="638" t="n">
        <x:f>SUBTOTAL(9,AE10:AE206)</x:f>
        <x:v>0</x:v>
      </x:c>
      <x:c r="AF7" s="638" t="n">
        <x:f>SUBTOTAL(9,AF10:AF206)</x:f>
        <x:v>0</x:v>
      </x:c>
      <x:c r="AG7" s="638" t="n">
        <x:f>SUBTOTAL(9,AG10:AG206)</x:f>
        <x:v>0</x:v>
      </x:c>
      <x:c r="AH7" s="638" t="n">
        <x:f>SUBTOTAL(9,AH10:AH206)</x:f>
        <x:v>0</x:v>
      </x:c>
      <x:c r="AI7" s="638" t="n">
        <x:f>SUBTOTAL(9,AI10:AI206)</x:f>
        <x:v>0</x:v>
      </x:c>
      <x:c r="AJ7" s="638" t="n">
        <x:f>SUBTOTAL(9,AJ10:AJ206)</x:f>
        <x:v>0</x:v>
      </x:c>
      <x:c r="AK7" s="638" t="n">
        <x:f>SUBTOTAL(9,AK10:AK206)</x:f>
        <x:v>0</x:v>
      </x:c>
      <x:c r="AL7" s="638" t="n">
        <x:f>SUBTOTAL(9,AL10:AL206)</x:f>
        <x:v>0</x:v>
      </x:c>
      <x:c r="AM7" s="638" t="n">
        <x:f>SUBTOTAL(9,AM10:AM206)</x:f>
        <x:v>0</x:v>
      </x:c>
      <x:c r="AN7" s="638" t="n">
        <x:f>SUBTOTAL(9,AN10:AN206)</x:f>
        <x:v>0</x:v>
      </x:c>
      <x:c r="AO7" s="638" t="n">
        <x:f>SUBTOTAL(9,AO10:AO206)</x:f>
        <x:v>0</x:v>
      </x:c>
      <x:c r="AP7" s="638" t="n">
        <x:f>SUBTOTAL(9,AP10:AP206)</x:f>
        <x:v>0</x:v>
      </x:c>
      <x:c r="AQ7" s="638" t="n">
        <x:f>SUBTOTAL(9,AQ10:AQ206)</x:f>
        <x:v>0</x:v>
      </x:c>
      <x:c r="AR7" s="638" t="n">
        <x:f>SUBTOTAL(9,AR10:AR206)</x:f>
        <x:v>0</x:v>
      </x:c>
      <x:c r="AS7" s="638" t="n">
        <x:v>0</x:v>
      </x:c>
      <x:c r="AT7" s="638" t="n">
        <x:f>SUBTOTAL(9,AT10:AT206)</x:f>
        <x:v>0</x:v>
      </x:c>
      <x:c r="AU7" s="638" t="n">
        <x:f>SUBTOTAL(9,AU10:AU206)</x:f>
        <x:v>0</x:v>
      </x:c>
      <x:c r="AV7" s="638" t="n">
        <x:f>SUBTOTAL(9,AV10:AV201)</x:f>
        <x:v>0</x:v>
      </x:c>
      <x:c r="AW7" s="638" t="n">
        <x:f>SUBTOTAL(9,AW10:AW195)</x:f>
        <x:v>0</x:v>
      </x:c>
      <x:c r="AX7" s="638" t="n">
        <x:f>SUBTOTAL(9,AX10:AX195)</x:f>
        <x:v>0</x:v>
      </x:c>
      <x:c r="AY7" s="638" t="n">
        <x:f>SUBTOTAL(9,AY10:AY195)</x:f>
        <x:v>0</x:v>
      </x:c>
      <x:c r="AZ7" s="638" t="n">
        <x:f>SUBTOTAL(9,AZ10:AZ195)</x:f>
        <x:v>0</x:v>
      </x:c>
      <x:c r="BA7" s="638" t="n">
        <x:f>SUBTOTAL(9,BA10:BA206)</x:f>
        <x:v>0</x:v>
      </x:c>
      <x:c r="BB7" s="638" t="n">
        <x:f>SUBTOTAL(9,BB10:BB206)</x:f>
        <x:v>0</x:v>
      </x:c>
      <x:c r="BC7" s="638" t="n">
        <x:f>SUBTOTAL(9,BC10:BC206)</x:f>
        <x:v>0</x:v>
      </x:c>
      <x:c r="BD7" s="638" t="n">
        <x:f>SUBTOTAL(9,BD10:BD202)</x:f>
        <x:v>0</x:v>
      </x:c>
      <x:c r="BE7" s="638" t="n">
        <x:f>SUBTOTAL(9,BE10:BE206)</x:f>
        <x:v>0</x:v>
      </x:c>
      <x:c r="BF7" s="638" t="n">
        <x:f>SUBTOTAL(9,BF10:BF206)</x:f>
        <x:v>0</x:v>
      </x:c>
      <x:c r="BG7" s="638" t="n">
        <x:f>SUBTOTAL(9,BG10:BG206)</x:f>
        <x:v>0</x:v>
      </x:c>
      <x:c r="BH7" s="638" t="n">
        <x:f>SUBTOTAL(9,BH10:BH206)</x:f>
        <x:v>0</x:v>
      </x:c>
      <x:c r="BI7" s="638" t="n">
        <x:f>SUBTOTAL(9,BI10:BI206)</x:f>
        <x:v>0</x:v>
      </x:c>
      <x:c r="BJ7" s="638" t="n">
        <x:f>SUBTOTAL(9,BJ10:BJ206)</x:f>
        <x:v>0</x:v>
      </x:c>
      <x:c r="BK7" s="638" t="n">
        <x:f>SUBTOTAL(9,BK10:BK206)</x:f>
        <x:v>0</x:v>
      </x:c>
      <x:c r="BL7" s="638" t="n">
        <x:f>SUBTOTAL(9,BL10:BL206)</x:f>
        <x:v>0</x:v>
      </x:c>
      <x:c r="BM7" s="638" t="n">
        <x:f>SUBTOTAL(9,BM10:BM206)</x:f>
        <x:v>0</x:v>
      </x:c>
      <x:c r="BN7" s="638" t="n">
        <x:f>SUBTOTAL(9,BN10:BN206)</x:f>
        <x:v>0</x:v>
      </x:c>
      <x:c r="BO7" s="638" t="n">
        <x:f>SUBTOTAL(9,BO10:BO206)</x:f>
        <x:v>0</x:v>
      </x:c>
      <x:c r="BP7" s="638" t="n">
        <x:f>SUBTOTAL(9,BP10:BP206)</x:f>
        <x:v>0</x:v>
      </x:c>
      <x:c r="BQ7" s="638" t="n">
        <x:f>SUBTOTAL(9,BQ10:BQ206)</x:f>
        <x:v>0</x:v>
      </x:c>
      <x:c r="BR7" s="638" t="n">
        <x:f>SUBTOTAL(9,BR10:BR206)</x:f>
        <x:v>0</x:v>
      </x:c>
      <x:c r="BS7" s="638" t="n">
        <x:f>SUBTOTAL(9,BS10:BS206)</x:f>
        <x:v>0</x:v>
      </x:c>
      <x:c r="BT7" s="638" t="n">
        <x:f>SUBTOTAL(9,BT10:BT206)</x:f>
        <x:v>0</x:v>
      </x:c>
      <x:c r="BU7" s="638" t="n">
        <x:f>SUBTOTAL(9,BU10:BU206)</x:f>
        <x:v>0</x:v>
      </x:c>
      <x:c r="BV7" s="638" t="n">
        <x:f>SUBTOTAL(9,BV10:BV206)</x:f>
        <x:v>0</x:v>
      </x:c>
      <x:c r="BW7" s="638" t="n">
        <x:f>SUBTOTAL(9,BW10:BW206)</x:f>
        <x:v>0</x:v>
      </x:c>
      <x:c r="BX7" s="638" t="n">
        <x:f>SUBTOTAL(9,BX10:BX206)</x:f>
        <x:v>0</x:v>
      </x:c>
      <x:c r="BY7" s="638" t="n">
        <x:f>SUBTOTAL(9,BY10:BY206)</x:f>
        <x:v>0</x:v>
      </x:c>
      <x:c r="BZ7" s="638" t="n">
        <x:f>SUBTOTAL(9,BZ10:BZ206)</x:f>
        <x:v>0</x:v>
      </x:c>
      <x:c r="CA7" s="638" t="n">
        <x:f>SUBTOTAL(9,CA10:CA206)</x:f>
        <x:v>0</x:v>
      </x:c>
      <x:c r="CB7" s="638" t="n">
        <x:f>SUBTOTAL(9,CB10:CB206)</x:f>
        <x:v>0</x:v>
      </x:c>
      <x:c r="CC7" s="638" t="n">
        <x:f>SUBTOTAL(9,CC10:CC206)</x:f>
        <x:v>0</x:v>
      </x:c>
      <x:c r="CD7" s="638" t="n">
        <x:f>SUBTOTAL(9,CD10:CD206)</x:f>
        <x:v>0</x:v>
      </x:c>
      <x:c r="CE7" s="638" t="n">
        <x:f>SUBTOTAL(9,CE10:CE206)</x:f>
        <x:v>0</x:v>
      </x:c>
      <x:c r="CF7" s="638" t="n">
        <x:f>SUBTOTAL(9,CF10:CF206)</x:f>
        <x:v>0</x:v>
      </x:c>
      <x:c r="CG7" s="638" t="n">
        <x:f>SUBTOTAL(9,CG10:CG206)</x:f>
        <x:v>0</x:v>
      </x:c>
      <x:c r="CH7" s="638" t="n">
        <x:f>SUBTOTAL(9,CH10:CH206)</x:f>
        <x:v>0</x:v>
      </x:c>
      <x:c r="CI7" s="638" t="n">
        <x:f>SUBTOTAL(9,CI10:CI206)</x:f>
        <x:v>0</x:v>
      </x:c>
      <x:c r="CJ7" s="638" t="n">
        <x:f>SUBTOTAL(9,CJ10:CJ206)</x:f>
        <x:v>0</x:v>
      </x:c>
      <x:c r="CK7" s="638" t="n">
        <x:f>SUBTOTAL(9,CK10:CK206)</x:f>
        <x:v>0</x:v>
      </x:c>
      <x:c r="CL7" s="638" t="n">
        <x:f>SUBTOTAL(9,CL10:CL206)</x:f>
        <x:v>0</x:v>
      </x:c>
      <x:c r="CM7" s="638" t="n">
        <x:f>SUBTOTAL(9,CM10:CM206)</x:f>
        <x:v>0</x:v>
      </x:c>
      <x:c r="CN7" s="638" t="n">
        <x:f>SUBTOTAL(9,CN10:CN206)</x:f>
        <x:v>0</x:v>
      </x:c>
      <x:c r="CO7" s="638" t="n">
        <x:f>SUBTOTAL(9,CO10:CO206)</x:f>
        <x:v>0</x:v>
      </x:c>
      <x:c r="CP7" s="638" t="n">
        <x:f>SUBTOTAL(9,CP10:CP206)</x:f>
        <x:v>0</x:v>
      </x:c>
      <x:c r="CQ7" s="638" t="n">
        <x:f>SUBTOTAL(9,CQ10:CQ206)</x:f>
        <x:v>0</x:v>
      </x:c>
      <x:c r="CR7" s="638" t="n">
        <x:f>SUBTOTAL(9,CR10:CR206)</x:f>
        <x:v>0</x:v>
      </x:c>
      <x:c r="CS7" s="638" t="n">
        <x:f>SUBTOTAL(9,CS10:CS206)</x:f>
        <x:v>0</x:v>
      </x:c>
      <x:c r="CT7" s="638" t="n">
        <x:f>SUBTOTAL(9,CT10:CT206)</x:f>
        <x:v>0</x:v>
      </x:c>
      <x:c r="CU7" s="638" t="n">
        <x:f>SUBTOTAL(9,CU10:CU206)</x:f>
        <x:v>0</x:v>
      </x:c>
      <x:c r="CV7" s="638" t="n">
        <x:f>SUBTOTAL(9,CV10:CV206)</x:f>
        <x:v>0</x:v>
      </x:c>
      <x:c r="CW7" s="638" t="n">
        <x:f>SUBTOTAL(9,CW10:CW206)</x:f>
        <x:v>0</x:v>
      </x:c>
      <x:c r="CX7" s="638" t="n">
        <x:f>SUBTOTAL(9,CX10:CX206)</x:f>
        <x:v>0</x:v>
      </x:c>
      <x:c r="CY7" s="638" t="n">
        <x:f>SUBTOTAL(9,CY10:CY206)</x:f>
        <x:v>0</x:v>
      </x:c>
      <x:c r="CZ7" s="638" t="n">
        <x:f>SUBTOTAL(9,CZ10:CZ206)</x:f>
        <x:v>0</x:v>
      </x:c>
      <x:c r="DA7" s="638" t="n">
        <x:f>SUBTOTAL(9,DA10:DA206)</x:f>
        <x:v>0</x:v>
      </x:c>
      <x:c r="DB7" s="638" t="n">
        <x:f>SUBTOTAL(9,DB10:DB206)</x:f>
        <x:v>0</x:v>
      </x:c>
      <x:c r="DC7" s="638" t="n">
        <x:f>SUBTOTAL(9,DC10:DC206)</x:f>
        <x:v>0</x:v>
      </x:c>
      <x:c r="DD7" s="638" t="n">
        <x:f>SUBTOTAL(9,DD10:DD206)</x:f>
        <x:v>0</x:v>
      </x:c>
      <x:c r="DE7" s="638" t="n">
        <x:f>SUBTOTAL(9,DE10:DE206)</x:f>
        <x:v>0</x:v>
      </x:c>
      <x:c r="DF7" s="638" t="n">
        <x:f>SUBTOTAL(9,DF10:DF206)</x:f>
        <x:v>0</x:v>
      </x:c>
      <x:c r="DG7" s="638" t="n">
        <x:f>SUBTOTAL(9,DG10:DG206)</x:f>
        <x:v>0</x:v>
      </x:c>
      <x:c r="DH7" s="638" t="n">
        <x:f>SUBTOTAL(9,DH10:DH206)</x:f>
        <x:v>0</x:v>
      </x:c>
      <x:c r="DI7" s="638" t="n">
        <x:f>SUBTOTAL(9,DI10:DI206)</x:f>
        <x:v>0</x:v>
      </x:c>
      <x:c r="DJ7" s="638" t="n">
        <x:f>SUBTOTAL(9,DJ10:DJ206)</x:f>
        <x:v>0</x:v>
      </x:c>
      <x:c r="DK7" s="638" t="n">
        <x:f>SUBTOTAL(9,DK10:DK206)</x:f>
        <x:v>0</x:v>
      </x:c>
      <x:c r="DL7" s="638" t="n">
        <x:f>SUBTOTAL(9,DL10:DL206)</x:f>
        <x:v>0</x:v>
      </x:c>
      <x:c r="DM7" s="638" t="n">
        <x:f>SUBTOTAL(9,DM10:DM206)</x:f>
        <x:v>0</x:v>
      </x:c>
      <x:c r="DN7" s="638" t="n">
        <x:f>SUBTOTAL(9,DN10:DN206)</x:f>
        <x:v>0</x:v>
      </x:c>
      <x:c r="DO7" s="638" t="n">
        <x:f>SUBTOTAL(9,DO10:DO206)</x:f>
        <x:v>0</x:v>
      </x:c>
      <x:c r="DP7" s="638" t="n">
        <x:f>SUBTOTAL(9,DP10:DP206)</x:f>
        <x:v>0</x:v>
      </x:c>
      <x:c r="DQ7" s="638" t="n">
        <x:f>SUBTOTAL(9,DQ10:DQ206)</x:f>
        <x:v>0</x:v>
      </x:c>
      <x:c r="DR7" s="638" t="n">
        <x:f>SUBTOTAL(9,DR10:DR206)</x:f>
        <x:v>0</x:v>
      </x:c>
      <x:c r="DS7" s="638" t="n">
        <x:f>SUBTOTAL(9,DS10:DS206)</x:f>
        <x:v>0</x:v>
      </x:c>
      <x:c r="DT7" s="638" t="n">
        <x:f>SUBTOTAL(9,DT10:DT206)</x:f>
        <x:v>0</x:v>
      </x:c>
      <x:c r="DU7" s="638" t="n">
        <x:f>SUBTOTAL(9,DU10:DU206)</x:f>
        <x:v>0</x:v>
      </x:c>
      <x:c r="DV7" s="638" t="n">
        <x:f>SUBTOTAL(9,DV10:DV206)</x:f>
        <x:v>0</x:v>
      </x:c>
      <x:c r="DW7" s="638" t="n">
        <x:f>SUBTOTAL(9,DW10:DW206)</x:f>
        <x:v>0</x:v>
      </x:c>
      <x:c r="DX7" s="638" t="n">
        <x:f>SUBTOTAL(9,DX10:DX206)</x:f>
        <x:v>0</x:v>
      </x:c>
      <x:c r="DY7" s="638" t="n">
        <x:f>SUBTOTAL(9,DY10:DY206)</x:f>
        <x:v>0</x:v>
      </x:c>
      <x:c r="DZ7" s="638" t="n">
        <x:f>SUBTOTAL(9,DZ10:DZ206)</x:f>
        <x:v>0</x:v>
      </x:c>
      <x:c r="EA7" s="638" t="n">
        <x:f>SUBTOTAL(9,EA10:EA206)</x:f>
        <x:v>0</x:v>
      </x:c>
      <x:c r="EB7" s="638" t="n">
        <x:f>SUBTOTAL(9,EB10:EB206)</x:f>
        <x:v>0</x:v>
      </x:c>
      <x:c r="EC7" s="638" t="n">
        <x:f>SUBTOTAL(9,EC10:EC206)</x:f>
        <x:v>0</x:v>
      </x:c>
      <x:c r="ED7" s="638" t="n">
        <x:f>SUBTOTAL(9,ED10:ED206)</x:f>
        <x:v>0</x:v>
      </x:c>
      <x:c r="EE7" s="638" t="n">
        <x:f>SUBTOTAL(9,EE10:EE206)</x:f>
        <x:v>0</x:v>
      </x:c>
      <x:c r="EF7" s="638" t="n">
        <x:f>SUBTOTAL(9,EF10:EF206)</x:f>
        <x:v>0</x:v>
      </x:c>
      <x:c r="EG7" s="638" t="n">
        <x:f>SUBTOTAL(9,EG10:EG206)</x:f>
        <x:v>0</x:v>
      </x:c>
      <x:c r="EH7" s="638" t="n">
        <x:f>SUBTOTAL(9,EH10:EH206)</x:f>
        <x:v>0</x:v>
      </x:c>
      <x:c r="EI7" s="638" t="n">
        <x:f>SUBTOTAL(9,EI10:EI206)</x:f>
        <x:v>0</x:v>
      </x:c>
      <x:c r="EJ7" s="638" t="n">
        <x:f>SUBTOTAL(9,EJ10:EJ206)</x:f>
        <x:v>0</x:v>
      </x:c>
      <x:c r="EK7" s="638" t="n">
        <x:f>SUBTOTAL(9,EK10:EK206)</x:f>
        <x:v>0</x:v>
      </x:c>
      <x:c r="EL7" s="638" t="n">
        <x:f>SUBTOTAL(9,EL10:EL206)</x:f>
        <x:v>0</x:v>
      </x:c>
      <x:c r="EM7" s="638" t="n">
        <x:f>SUBTOTAL(9,EM10:EM206)</x:f>
        <x:v>0</x:v>
      </x:c>
      <x:c r="EN7" s="638" t="n">
        <x:f>SUBTOTAL(9,EN10:EN206)</x:f>
        <x:v>0</x:v>
      </x:c>
      <x:c r="EO7" s="638" t="n">
        <x:f>SUBTOTAL(9,EO10:EO206)</x:f>
        <x:v>0</x:v>
      </x:c>
      <x:c r="EP7" s="638" t="n">
        <x:f>SUBTOTAL(9,EP10:EP206)</x:f>
        <x:v>0</x:v>
      </x:c>
      <x:c r="EQ7" s="638" t="n">
        <x:f>SUBTOTAL(9,EQ10:EQ206)</x:f>
        <x:v>0</x:v>
      </x:c>
      <x:c r="ER7" s="638" t="n">
        <x:f>SUBTOTAL(9,ER10:ER206)</x:f>
        <x:v>0</x:v>
      </x:c>
      <x:c r="ES7" s="638" t="n">
        <x:f>SUBTOTAL(9,ES10:ES206)</x:f>
        <x:v>0</x:v>
      </x:c>
      <x:c r="ET7" s="638" t="n">
        <x:f>SUBTOTAL(9,ET10:ET206)</x:f>
        <x:v>0</x:v>
      </x:c>
      <x:c r="EU7" s="638" t="n">
        <x:f>SUBTOTAL(9,EU10:EU206)</x:f>
        <x:v>0</x:v>
      </x:c>
      <x:c r="EV7" s="638" t="n">
        <x:f>SUBTOTAL(9,EV10:EV206)</x:f>
        <x:v>0</x:v>
      </x:c>
      <x:c r="EW7" s="638" t="n">
        <x:f>SUBTOTAL(9,EW10:EW206)</x:f>
        <x:v>0</x:v>
      </x:c>
      <x:c r="EX7" s="638" t="n">
        <x:f>SUBTOTAL(9,EX10:EX206)</x:f>
        <x:v>0</x:v>
      </x:c>
      <x:c r="EY7" s="638" t="n">
        <x:f>SUBTOTAL(9,EY10:EY206)</x:f>
        <x:v>0</x:v>
      </x:c>
      <x:c r="EZ7" s="638" t="n">
        <x:f>SUBTOTAL(9,EZ10:EZ206)</x:f>
        <x:v>0</x:v>
      </x:c>
      <x:c r="FA7" s="638" t="n">
        <x:f>SUBTOTAL(9,FA10:FA206)</x:f>
        <x:v>0</x:v>
      </x:c>
      <x:c r="FB7" s="638" t="n">
        <x:f>SUBTOTAL(9,FB10:FB206)</x:f>
        <x:v>0</x:v>
      </x:c>
      <x:c r="FC7" s="638" t="n">
        <x:f>SUBTOTAL(9,FC10:FC206)</x:f>
        <x:v>0</x:v>
      </x:c>
      <x:c r="FD7" s="638" t="n">
        <x:f>SUBTOTAL(9,FD10:FD206)</x:f>
        <x:v>0</x:v>
      </x:c>
      <x:c r="FE7" s="638" t="n">
        <x:f>SUBTOTAL(9,FE10:FE206)</x:f>
        <x:v>0</x:v>
      </x:c>
      <x:c r="FF7" s="638" t="n">
        <x:f>SUBTOTAL(9,FF10:FF206)</x:f>
        <x:v>0</x:v>
      </x:c>
      <x:c r="FG7" s="638" t="n">
        <x:f>SUBTOTAL(9,FG10:FG206)</x:f>
        <x:v>0</x:v>
      </x:c>
      <x:c r="FH7" s="638" t="n">
        <x:f>SUBTOTAL(9,FH10:FH206)</x:f>
        <x:v>0</x:v>
      </x:c>
      <x:c r="FI7" s="638" t="n">
        <x:f>SUBTOTAL(9,FI10:FI206)</x:f>
        <x:v>0</x:v>
      </x:c>
      <x:c r="FJ7" s="638" t="n">
        <x:f>SUBTOTAL(9,FJ10:FJ206)</x:f>
        <x:v>0</x:v>
      </x:c>
      <x:c r="FK7" s="638" t="n">
        <x:f>SUBTOTAL(9,FK10:FK206)</x:f>
        <x:v>0</x:v>
      </x:c>
      <x:c r="FL7" s="638" t="n">
        <x:f>SUBTOTAL(9,FL10:FL206)</x:f>
        <x:v>0</x:v>
      </x:c>
      <x:c r="FM7" s="638" t="n">
        <x:f>SUBTOTAL(9,FM10:FM206)</x:f>
        <x:v>0</x:v>
      </x:c>
      <x:c r="FN7" s="638" t="n">
        <x:f>SUBTOTAL(9,FN10:FN206)</x:f>
        <x:v>0</x:v>
      </x:c>
      <x:c r="FO7" s="638" t="n">
        <x:f>SUBTOTAL(9,FO10:FO206)</x:f>
        <x:v>0</x:v>
      </x:c>
      <x:c r="FP7" s="638" t="n">
        <x:f>SUBTOTAL(9,FP10:FP206)</x:f>
        <x:v>0</x:v>
      </x:c>
      <x:c r="FQ7" s="638" t="n">
        <x:f>SUBTOTAL(9,FQ10:FQ206)</x:f>
        <x:v>0</x:v>
      </x:c>
      <x:c r="FR7" s="638" t="n">
        <x:f>SUBTOTAL(9,FR10:FR206)</x:f>
        <x:v>0</x:v>
      </x:c>
      <x:c r="FS7" s="638" t="n">
        <x:f>SUBTOTAL(9,FS10:FS206)</x:f>
        <x:v>0</x:v>
      </x:c>
      <x:c r="FT7" s="638" t="n">
        <x:f>SUBTOTAL(9,FT10:FT206)</x:f>
        <x:v>0</x:v>
      </x:c>
      <x:c r="FU7" s="638" t="n">
        <x:f>SUBTOTAL(9,FU10:FU206)</x:f>
        <x:v>0</x:v>
      </x:c>
      <x:c r="FV7" s="638" t="n">
        <x:f>SUBTOTAL(9,FV10:FV206)</x:f>
        <x:v>0</x:v>
      </x:c>
      <x:c r="FW7" s="638" t="n">
        <x:f>SUBTOTAL(9,FW10:FW206)</x:f>
        <x:v>0</x:v>
      </x:c>
      <x:c r="FX7" s="638" t="n">
        <x:f>SUBTOTAL(9,FX10:FX206)</x:f>
        <x:v>0</x:v>
      </x:c>
      <x:c r="FY7" s="638" t="n">
        <x:f>SUBTOTAL(9,FY10:FY206)</x:f>
        <x:v>0</x:v>
      </x:c>
      <x:c r="FZ7" s="638" t="n">
        <x:f>SUBTOTAL(9,FZ10:FZ206)</x:f>
        <x:v>0</x:v>
      </x:c>
      <x:c r="GA7" s="638" t="n">
        <x:f>SUBTOTAL(9,GA10:GA206)</x:f>
        <x:v>0</x:v>
      </x:c>
      <x:c r="GB7" s="638" t="n">
        <x:f>SUBTOTAL(9,GB10:GB206)</x:f>
        <x:v>0</x:v>
      </x:c>
      <x:c r="GC7" s="638" t="n">
        <x:f>SUBTOTAL(9,GC10:GC206)</x:f>
        <x:v>0</x:v>
      </x:c>
      <x:c r="GD7" s="638" t="n">
        <x:f>SUBTOTAL(9,GD10:GD206)</x:f>
        <x:v>0</x:v>
      </x:c>
      <x:c r="GE7" s="638" t="n">
        <x:f>SUBTOTAL(9,GE10:GE206)</x:f>
        <x:v>0</x:v>
      </x:c>
      <x:c r="GF7" s="638" t="n">
        <x:f>SUBTOTAL(9,GF10:GF206)</x:f>
        <x:v>0</x:v>
      </x:c>
    </x:row>
    <x:row r="8" s="26" customFormat="1" ht="14.25" customHeight="1">
      <x:c r="A8" s="52" t="inlineStr">
        <x:is>
          <x:t xml:space="preserve">NOTES</x:t>
        </x:is>
      </x:c>
      <x:c r="B8" s="639" t="n"/>
      <x:c r="C8" s="51" t="inlineStr">
        <x:is>
          <x:t xml:space="preserve">NET ACRES</x:t>
        </x:is>
      </x:c>
      <x:c r="D8" s="50" t="inlineStr">
        <x:is>
          <x:t xml:space="preserve">OWNERS</x:t>
        </x:is>
      </x:c>
      <x:c r="E8" s="49" t="inlineStr">
        <x:is>
          <x:t xml:space="preserve">TOTAL </x:t>
        </x:is>
      </x:c>
      <x:c r="F8" s="640" t="n"/>
      <x:c r="G8" s="641" t="n"/>
      <x:c r="H8" s="642" t="n"/>
      <x:c r="I8" s="642" t="n"/>
      <x:c r="J8" s="642" t="n"/>
      <x:c r="K8" s="642" t="n"/>
      <x:c r="L8" s="642" t="n"/>
      <x:c r="M8" s="642" t="n"/>
      <x:c r="N8" s="642" t="n"/>
      <x:c r="O8" s="642" t="n"/>
      <x:c r="P8" s="642" t="n"/>
      <x:c r="Q8" s="642" t="n"/>
      <x:c r="R8" s="642" t="n"/>
      <x:c r="S8" s="642" t="n"/>
      <x:c r="T8" s="642" t="n"/>
      <x:c r="U8" s="642" t="n"/>
      <x:c r="V8" s="642" t="n"/>
      <x:c r="W8" s="642" t="n"/>
      <x:c r="X8" s="642" t="n"/>
      <x:c r="Y8" s="642" t="n"/>
      <x:c r="Z8" s="642" t="n"/>
      <x:c r="AA8" s="642" t="n"/>
      <x:c r="AB8" s="642" t="n"/>
      <x:c r="AC8" s="642" t="n"/>
      <x:c r="AD8" s="642" t="n"/>
      <x:c r="AE8" s="642" t="n"/>
      <x:c r="AF8" s="642" t="n"/>
      <x:c r="AG8" s="642" t="n"/>
      <x:c r="AH8" s="642" t="n"/>
      <x:c r="AI8" s="642" t="n"/>
      <x:c r="AJ8" s="642" t="n"/>
      <x:c r="AK8" s="642" t="n"/>
      <x:c r="AL8" s="642" t="n"/>
      <x:c r="AM8" s="642" t="n"/>
      <x:c r="AN8" s="642" t="n"/>
      <x:c r="AO8" s="642" t="n"/>
      <x:c r="AP8" s="642" t="n"/>
      <x:c r="AQ8" s="642" t="n"/>
      <x:c r="AR8" s="642" t="n"/>
      <x:c r="AS8" s="642" t="n"/>
      <x:c r="AT8" s="642" t="n"/>
      <x:c r="AU8" s="642" t="n"/>
      <x:c r="AV8" s="642" t="n"/>
      <x:c r="AW8" s="642" t="n"/>
      <x:c r="AX8" s="642" t="n"/>
      <x:c r="AY8" s="642" t="n"/>
      <x:c r="AZ8" s="642" t="n"/>
      <x:c r="BA8" s="642" t="n"/>
      <x:c r="BB8" s="642" t="n"/>
      <x:c r="BC8" s="642" t="n"/>
      <x:c r="BD8" s="642" t="n"/>
      <x:c r="BE8" s="642" t="n"/>
      <x:c r="BF8" s="642" t="n"/>
      <x:c r="BG8" s="642" t="n"/>
      <x:c r="BH8" s="642" t="n"/>
      <x:c r="BI8" s="642" t="n"/>
      <x:c r="BJ8" s="642" t="n"/>
      <x:c r="BK8" s="642" t="n"/>
      <x:c r="BL8" s="642" t="n"/>
      <x:c r="BM8" s="642" t="n"/>
      <x:c r="BN8" s="642" t="n"/>
      <x:c r="BO8" s="642" t="n"/>
      <x:c r="BP8" s="642" t="n"/>
      <x:c r="BQ8" s="642" t="n"/>
      <x:c r="BR8" s="642" t="n"/>
      <x:c r="BS8" s="642" t="n"/>
      <x:c r="BT8" s="642" t="n"/>
      <x:c r="BU8" s="642" t="n"/>
      <x:c r="BV8" s="642" t="n"/>
      <x:c r="BW8" s="642" t="n"/>
      <x:c r="BX8" s="642" t="n"/>
      <x:c r="BY8" s="642" t="n"/>
      <x:c r="BZ8" s="642" t="n"/>
      <x:c r="CA8" s="642" t="n"/>
      <x:c r="CB8" s="642" t="n"/>
      <x:c r="CC8" s="642" t="n"/>
      <x:c r="CD8" s="642" t="n"/>
      <x:c r="CE8" s="642" t="n"/>
      <x:c r="CF8" s="642" t="n"/>
      <x:c r="CG8" s="642" t="n"/>
      <x:c r="CH8" s="642" t="n"/>
      <x:c r="CI8" s="642" t="n"/>
      <x:c r="CJ8" s="642" t="n"/>
      <x:c r="CK8" s="642" t="n"/>
      <x:c r="CL8" s="642" t="n"/>
      <x:c r="CM8" s="642" t="n"/>
      <x:c r="CN8" s="642" t="n"/>
      <x:c r="CO8" s="642" t="n"/>
      <x:c r="CP8" s="642" t="n"/>
      <x:c r="CQ8" s="642" t="n"/>
      <x:c r="CR8" s="642" t="n"/>
      <x:c r="CS8" s="642" t="n"/>
      <x:c r="CT8" s="642" t="n"/>
      <x:c r="CU8" s="642" t="n"/>
      <x:c r="CV8" s="642" t="n"/>
      <x:c r="CW8" s="642" t="n"/>
      <x:c r="CX8" s="642" t="n"/>
      <x:c r="CY8" s="642" t="n"/>
      <x:c r="CZ8" s="642" t="n"/>
      <x:c r="DA8" s="642" t="n"/>
      <x:c r="DB8" s="642" t="n"/>
      <x:c r="DC8" s="642" t="n"/>
      <x:c r="DD8" s="642" t="n"/>
      <x:c r="DE8" s="642" t="n"/>
      <x:c r="DF8" s="642" t="n"/>
      <x:c r="DG8" s="642" t="n"/>
      <x:c r="DH8" s="642" t="n"/>
      <x:c r="DI8" s="642" t="n"/>
      <x:c r="DJ8" s="642" t="n"/>
      <x:c r="DK8" s="642" t="n"/>
      <x:c r="DL8" s="642" t="n"/>
      <x:c r="DM8" s="642" t="n"/>
      <x:c r="DN8" s="642" t="n"/>
      <x:c r="DO8" s="642" t="n"/>
      <x:c r="DP8" s="642" t="n"/>
      <x:c r="DQ8" s="642" t="n"/>
      <x:c r="DR8" s="642" t="n"/>
      <x:c r="DS8" s="642" t="n"/>
      <x:c r="DT8" s="642" t="n"/>
      <x:c r="DU8" s="642" t="n"/>
      <x:c r="DV8" s="642" t="n"/>
      <x:c r="DW8" s="642" t="n"/>
      <x:c r="DX8" s="642" t="n"/>
      <x:c r="DY8" s="642" t="n"/>
      <x:c r="DZ8" s="642" t="n"/>
      <x:c r="EA8" s="642" t="n"/>
      <x:c r="EB8" s="642" t="n"/>
      <x:c r="EC8" s="642" t="n"/>
      <x:c r="ED8" s="642" t="n"/>
      <x:c r="EE8" s="642" t="n"/>
      <x:c r="EF8" s="642" t="n"/>
      <x:c r="EG8" s="642" t="n"/>
      <x:c r="EH8" s="642" t="n"/>
      <x:c r="EI8" s="642" t="n"/>
      <x:c r="EJ8" s="642" t="n"/>
      <x:c r="EK8" s="642" t="n"/>
      <x:c r="EL8" s="642" t="n"/>
      <x:c r="EM8" s="642" t="n"/>
      <x:c r="EN8" s="642" t="n"/>
      <x:c r="EO8" s="642" t="n"/>
      <x:c r="EP8" s="642" t="n"/>
      <x:c r="EQ8" s="642" t="n"/>
      <x:c r="ER8" s="642" t="n"/>
      <x:c r="ES8" s="642" t="n"/>
      <x:c r="ET8" s="642" t="n"/>
      <x:c r="EU8" s="642" t="n"/>
      <x:c r="EV8" s="642" t="n"/>
      <x:c r="EW8" s="642" t="n"/>
      <x:c r="EX8" s="642" t="n"/>
      <x:c r="EY8" s="642" t="n"/>
      <x:c r="EZ8" s="642" t="n"/>
      <x:c r="FA8" s="642" t="n"/>
      <x:c r="FB8" s="642" t="n"/>
      <x:c r="FC8" s="642" t="n"/>
      <x:c r="FD8" s="642" t="n"/>
      <x:c r="FE8" s="642" t="n"/>
      <x:c r="FF8" s="642" t="n"/>
      <x:c r="FG8" s="642" t="n"/>
      <x:c r="FH8" s="642" t="n"/>
      <x:c r="FI8" s="642" t="n"/>
      <x:c r="FJ8" s="642" t="n"/>
      <x:c r="FK8" s="642" t="n"/>
      <x:c r="FL8" s="642" t="n"/>
      <x:c r="FM8" s="642" t="n"/>
      <x:c r="FN8" s="642" t="n"/>
      <x:c r="FO8" s="642" t="n"/>
      <x:c r="FP8" s="642" t="n"/>
      <x:c r="FQ8" s="642" t="n"/>
      <x:c r="FR8" s="642" t="n"/>
      <x:c r="FS8" s="642" t="n"/>
      <x:c r="FT8" s="642" t="n"/>
      <x:c r="FU8" s="642" t="n"/>
      <x:c r="FV8" s="642" t="n"/>
      <x:c r="FW8" s="642" t="n"/>
      <x:c r="FX8" s="642" t="n"/>
      <x:c r="FY8" s="642" t="n"/>
      <x:c r="FZ8" s="642" t="n"/>
      <x:c r="GA8" s="642" t="n"/>
      <x:c r="GB8" s="642" t="n"/>
      <x:c r="GC8" s="642" t="n"/>
      <x:c r="GD8" s="642" t="n"/>
      <x:c r="GE8" s="642" t="n"/>
      <x:c r="GF8" s="642" t="n"/>
    </x:row>
    <x:row r="9" s="40" customFormat="1" ht="12.75" customHeight="1">
      <x:c r="A9" s="48" t="n"/>
      <x:c r="B9" s="47" t="n"/>
      <x:c r="C9" s="45" t="n"/>
      <x:c r="D9" s="46" t="n"/>
      <x:c r="E9" s="45" t="n"/>
      <x:c r="F9" s="44" t="n"/>
      <x:c r="G9" s="43" t="n"/>
      <x:c r="H9" s="42" t="n"/>
      <x:c r="I9" s="41" t="n"/>
      <x:c r="J9" s="41" t="n"/>
      <x:c r="K9" s="41" t="n"/>
      <x:c r="L9" s="41" t="n"/>
      <x:c r="M9" s="99" t="n"/>
      <x:c r="N9" s="99" t="n"/>
      <x:c r="O9" s="99" t="n"/>
      <x:c r="P9" s="99" t="n"/>
      <x:c r="Q9" s="99" t="n"/>
      <x:c r="R9" s="99" t="n"/>
      <x:c r="S9" s="99" t="n"/>
      <x:c r="T9" s="99" t="n"/>
      <x:c r="U9" s="99" t="n"/>
      <x:c r="V9" s="99" t="n"/>
      <x:c r="W9" s="99" t="n"/>
      <x:c r="X9" s="99" t="n"/>
      <x:c r="Y9" s="99" t="n"/>
      <x:c r="Z9" s="99" t="n"/>
      <x:c r="AA9" s="99" t="n"/>
      <x:c r="AB9" s="99" t="n"/>
      <x:c r="AC9" s="99" t="n"/>
      <x:c r="AD9" s="99" t="n"/>
      <x:c r="AE9" s="99" t="n"/>
      <x:c r="AF9" s="99" t="n"/>
      <x:c r="AG9" s="99" t="n"/>
      <x:c r="AH9" s="99" t="n"/>
      <x:c r="AI9" s="99" t="n"/>
      <x:c r="AJ9" s="99" t="n"/>
      <x:c r="AK9" s="99" t="n"/>
      <x:c r="AL9" s="99" t="n"/>
      <x:c r="AM9" s="99" t="n"/>
      <x:c r="AN9" s="99" t="n"/>
      <x:c r="AO9" s="105" t="n"/>
      <x:c r="AP9" s="105" t="n"/>
      <x:c r="AQ9" s="99" t="n"/>
      <x:c r="AR9" s="99" t="n"/>
      <x:c r="AS9" s="99" t="n"/>
      <x:c r="AT9" s="99" t="n"/>
      <x:c r="AU9" s="99" t="n"/>
      <x:c r="AV9" s="99" t="n"/>
      <x:c r="AW9" s="99" t="n"/>
      <x:c r="AX9" s="99" t="n"/>
      <x:c r="AY9" s="99" t="n"/>
      <x:c r="AZ9" s="99" t="n"/>
      <x:c r="BA9" s="99" t="n"/>
      <x:c r="BB9" s="99" t="n"/>
      <x:c r="BC9" s="99" t="n"/>
      <x:c r="BD9" s="99" t="n"/>
      <x:c r="BE9" s="99" t="n"/>
      <x:c r="BF9" s="99" t="n"/>
      <x:c r="BG9" s="99" t="n"/>
      <x:c r="BH9" s="99" t="n"/>
      <x:c r="BI9" s="99" t="n"/>
      <x:c r="BJ9" s="99" t="n"/>
      <x:c r="BK9" s="99" t="n"/>
      <x:c r="BL9" s="99" t="n"/>
      <x:c r="BM9" s="99" t="n"/>
      <x:c r="BN9" s="99" t="n"/>
      <x:c r="BO9" s="99" t="n"/>
      <x:c r="BP9" s="99" t="n"/>
      <x:c r="BQ9" s="99" t="n"/>
      <x:c r="BR9" s="99" t="n"/>
      <x:c r="BS9" s="99" t="n"/>
      <x:c r="BT9" s="99" t="n"/>
      <x:c r="BU9" s="99" t="n"/>
      <x:c r="BV9" s="99" t="n"/>
      <x:c r="BW9" s="99" t="n"/>
      <x:c r="BX9" s="99" t="n"/>
      <x:c r="BY9" s="99" t="n"/>
      <x:c r="BZ9" s="99" t="n"/>
      <x:c r="CA9" s="99" t="n"/>
      <x:c r="CB9" s="99" t="n"/>
      <x:c r="CC9" s="99" t="n"/>
      <x:c r="CD9" s="99" t="n"/>
      <x:c r="CE9" s="99" t="n"/>
      <x:c r="CF9" s="99" t="n"/>
      <x:c r="CG9" s="99" t="n"/>
      <x:c r="CH9" s="99" t="n"/>
      <x:c r="CI9" s="99" t="n"/>
      <x:c r="CJ9" s="99" t="n"/>
      <x:c r="CK9" s="99" t="n"/>
      <x:c r="CL9" s="99" t="n"/>
      <x:c r="CM9" s="99" t="n"/>
      <x:c r="CN9" s="99" t="n"/>
      <x:c r="CO9" s="99" t="n"/>
      <x:c r="CP9" s="99" t="n"/>
      <x:c r="CQ9" s="99" t="n"/>
      <x:c r="CR9" s="99" t="n"/>
      <x:c r="CS9" s="99" t="n"/>
      <x:c r="CT9" s="99" t="n"/>
      <x:c r="CU9" s="99" t="n"/>
      <x:c r="CV9" s="99" t="n"/>
      <x:c r="CW9" s="99" t="n"/>
      <x:c r="CX9" s="99" t="n"/>
      <x:c r="CY9" s="99" t="n"/>
      <x:c r="CZ9" s="99" t="n"/>
      <x:c r="DA9" s="99" t="n"/>
      <x:c r="DB9" s="99" t="n"/>
      <x:c r="DC9" s="99" t="n"/>
      <x:c r="DD9" s="99" t="n"/>
      <x:c r="DE9" s="99" t="n"/>
      <x:c r="DF9" s="99" t="n"/>
      <x:c r="DG9" s="99" t="n"/>
      <x:c r="DH9" s="99" t="n"/>
      <x:c r="DI9" s="99" t="n"/>
      <x:c r="DJ9" s="99" t="n"/>
      <x:c r="DK9" s="99" t="n"/>
      <x:c r="DL9" s="99" t="n"/>
      <x:c r="DM9" s="99" t="n"/>
      <x:c r="DN9" s="99" t="n"/>
      <x:c r="DO9" s="99" t="n"/>
      <x:c r="DP9" s="99" t="n"/>
      <x:c r="DQ9" s="99" t="n"/>
      <x:c r="DR9" s="99" t="n"/>
      <x:c r="DS9" s="99" t="n"/>
      <x:c r="DT9" s="99" t="n"/>
      <x:c r="DU9" s="99" t="n"/>
      <x:c r="DV9" s="99" t="n"/>
      <x:c r="DW9" s="99" t="n"/>
      <x:c r="DX9" s="99" t="n"/>
      <x:c r="DY9" s="99" t="n"/>
      <x:c r="DZ9" s="99" t="n"/>
      <x:c r="EA9" s="99" t="n"/>
      <x:c r="EB9" s="99" t="n"/>
      <x:c r="EC9" s="99" t="n"/>
      <x:c r="ED9" s="99" t="n"/>
      <x:c r="EE9" s="99" t="n"/>
      <x:c r="EF9" s="99" t="n"/>
      <x:c r="EG9" s="99" t="n"/>
      <x:c r="EH9" s="99" t="n"/>
      <x:c r="EI9" s="99" t="n"/>
      <x:c r="EJ9" s="99" t="n"/>
      <x:c r="EK9" s="99" t="n"/>
      <x:c r="EL9" s="99" t="n"/>
      <x:c r="EM9" s="99" t="n"/>
      <x:c r="EN9" s="99" t="n"/>
      <x:c r="EO9" s="99" t="n"/>
      <x:c r="EP9" s="99" t="n"/>
      <x:c r="EQ9" s="99" t="n"/>
      <x:c r="ER9" s="99" t="n"/>
      <x:c r="ES9" s="99" t="n"/>
      <x:c r="ET9" s="99" t="n"/>
      <x:c r="EU9" s="99" t="n"/>
      <x:c r="EV9" s="99" t="n"/>
      <x:c r="EW9" s="99" t="n"/>
      <x:c r="EX9" s="99" t="n"/>
      <x:c r="EY9" s="99" t="n"/>
      <x:c r="EZ9" s="99" t="n"/>
      <x:c r="FA9" s="99" t="n"/>
      <x:c r="FB9" s="99" t="n"/>
      <x:c r="FC9" s="99" t="n"/>
      <x:c r="FD9" s="99" t="n"/>
      <x:c r="FE9" s="99" t="n"/>
      <x:c r="FF9" s="99" t="n"/>
      <x:c r="FG9" s="99" t="n"/>
      <x:c r="FH9" s="99" t="n"/>
      <x:c r="FI9" s="99" t="n"/>
      <x:c r="FJ9" s="99" t="n"/>
      <x:c r="FK9" s="99" t="n"/>
      <x:c r="FL9" s="99" t="n"/>
      <x:c r="FM9" s="99" t="n"/>
      <x:c r="FN9" s="99" t="n"/>
      <x:c r="FO9" s="99" t="n"/>
      <x:c r="FP9" s="99" t="n"/>
      <x:c r="FQ9" s="99" t="n"/>
      <x:c r="FR9" s="99" t="n"/>
      <x:c r="FS9" s="99" t="n"/>
      <x:c r="FT9" s="99" t="n"/>
      <x:c r="FU9" s="99" t="n"/>
      <x:c r="FV9" s="99" t="n"/>
      <x:c r="FW9" s="99" t="n"/>
      <x:c r="FX9" s="99" t="n"/>
      <x:c r="FY9" s="99" t="n"/>
      <x:c r="FZ9" s="99" t="n"/>
      <x:c r="GA9" s="99" t="n"/>
      <x:c r="GB9" s="99" t="n"/>
      <x:c r="GC9" s="99" t="n"/>
      <x:c r="GD9" s="99" t="n"/>
      <x:c r="GE9" s="99" t="n"/>
      <x:c r="GF9" s="99" t="n"/>
    </x:row>
    <x:row r="10" s="27" customFormat="1">
      <x:c r="A10" s="38" t="n"/>
      <x:c r="B10" s="37" t="n"/>
      <x:c r="C10" s="36" t="n">
        <x:f>E10*D$5</x:f>
        <x:v>0</x:v>
      </x:c>
      <x:c r="D10" s="103" t="inlineStr">
        <x:is>
          <x:t xml:space="preserve">United States of America</x:t>
        </x:is>
      </x:c>
      <x:c r="E10" s="36" t="n">
        <x:f>SUM(G10:HT10)</x:f>
        <x:v>0</x:v>
      </x:c>
      <x:c r="F10" s="35" t="n"/>
      <x:c r="G10" s="121" t="n">
        <x:v>1</x:v>
      </x:c>
      <x:c r="H10" s="121" t="n">
        <x:v>-1</x:v>
      </x:c>
      <x:c r="I10" s="122" t="n"/>
      <x:c r="J10" s="121" t="n"/>
      <x:c r="K10" s="121" t="n"/>
      <x:c r="L10" s="121" t="n"/>
      <x:c r="M10" s="123" t="n"/>
      <x:c r="N10" s="123" t="n"/>
      <x:c r="O10" s="123" t="n"/>
      <x:c r="P10" s="123" t="n"/>
      <x:c r="Q10" s="123" t="n"/>
      <x:c r="R10" s="123" t="n"/>
      <x:c r="S10" s="123" t="n"/>
      <x:c r="T10" s="123" t="n"/>
      <x:c r="U10" s="123" t="n"/>
      <x:c r="V10" s="123" t="n"/>
      <x:c r="W10" s="123" t="n"/>
      <x:c r="X10" s="123" t="n"/>
      <x:c r="Y10" s="123" t="n"/>
      <x:c r="Z10" s="123" t="n"/>
      <x:c r="AA10" s="123" t="n"/>
      <x:c r="AB10" s="123" t="n"/>
      <x:c r="AC10" s="123" t="n"/>
      <x:c r="AD10" s="123" t="n"/>
      <x:c r="AE10" s="123" t="n"/>
      <x:c r="AF10" s="123" t="n"/>
      <x:c r="AG10" s="123" t="n"/>
      <x:c r="AH10" s="123" t="n"/>
      <x:c r="AI10" s="123" t="n"/>
      <x:c r="AJ10" s="123" t="n"/>
      <x:c r="AK10" s="123" t="n"/>
      <x:c r="AL10" s="123" t="n"/>
      <x:c r="AM10" s="123" t="n"/>
      <x:c r="AN10" s="123" t="n"/>
      <x:c r="AO10" s="124" t="n"/>
      <x:c r="AP10" s="124" t="n"/>
      <x:c r="AQ10" s="123" t="n"/>
      <x:c r="AR10" s="123" t="n"/>
      <x:c r="AS10" s="123" t="n"/>
      <x:c r="AT10" s="123" t="n"/>
      <x:c r="AU10" s="123" t="n"/>
      <x:c r="AV10" s="123" t="n"/>
      <x:c r="AW10" s="123" t="n"/>
      <x:c r="AX10" s="123" t="n"/>
      <x:c r="AY10" s="123" t="n"/>
      <x:c r="AZ10" s="123" t="n"/>
      <x:c r="BA10" s="123" t="n"/>
      <x:c r="BB10" s="123" t="n"/>
      <x:c r="BC10" s="123" t="n"/>
      <x:c r="BD10" s="123" t="n"/>
      <x:c r="BE10" s="123" t="n"/>
      <x:c r="BF10" s="123" t="n"/>
      <x:c r="BG10" s="123" t="n"/>
      <x:c r="BH10" s="123" t="n"/>
      <x:c r="BI10" s="100" t="n"/>
      <x:c r="BJ10" s="100" t="n"/>
      <x:c r="BK10" s="100" t="n"/>
      <x:c r="BL10" s="100" t="n"/>
      <x:c r="BM10" s="100" t="n"/>
      <x:c r="BN10" s="100" t="n"/>
      <x:c r="BO10" s="100" t="n"/>
      <x:c r="BP10" s="100" t="n"/>
      <x:c r="BQ10" s="100" t="n"/>
      <x:c r="BR10" s="100" t="n"/>
      <x:c r="BS10" s="100" t="n"/>
      <x:c r="BT10" s="100" t="n"/>
      <x:c r="BU10" s="100" t="n"/>
      <x:c r="BV10" s="100" t="n"/>
      <x:c r="BW10" s="100" t="n"/>
      <x:c r="BX10" s="100" t="n"/>
      <x:c r="BY10" s="100" t="n"/>
      <x:c r="BZ10" s="100" t="n"/>
      <x:c r="CA10" s="100" t="n"/>
      <x:c r="CB10" s="100" t="n"/>
      <x:c r="CC10" s="100" t="n"/>
      <x:c r="CD10" s="100" t="n"/>
      <x:c r="CE10" s="100" t="n"/>
      <x:c r="CF10" s="100" t="n"/>
      <x:c r="CG10" s="100" t="n"/>
      <x:c r="CH10" s="100" t="n"/>
      <x:c r="CI10" s="100" t="n"/>
      <x:c r="CJ10" s="100" t="n"/>
      <x:c r="CK10" s="100" t="n"/>
      <x:c r="CL10" s="100" t="n"/>
      <x:c r="CM10" s="100" t="n"/>
      <x:c r="CN10" s="100" t="n"/>
      <x:c r="CO10" s="100" t="n"/>
      <x:c r="CP10" s="100" t="n"/>
      <x:c r="CQ10" s="100" t="n"/>
      <x:c r="CR10" s="100" t="n"/>
      <x:c r="CS10" s="100" t="n"/>
      <x:c r="CT10" s="100" t="n"/>
      <x:c r="CU10" s="100" t="n"/>
      <x:c r="CV10" s="100" t="n"/>
      <x:c r="CW10" s="100" t="n"/>
      <x:c r="CX10" s="100" t="n"/>
      <x:c r="CY10" s="100" t="n"/>
      <x:c r="CZ10" s="100" t="n"/>
      <x:c r="DA10" s="100" t="n"/>
      <x:c r="DB10" s="100" t="n"/>
      <x:c r="DC10" s="100" t="n"/>
      <x:c r="DD10" s="100" t="n"/>
      <x:c r="DE10" s="100" t="n"/>
      <x:c r="DF10" s="100" t="n"/>
      <x:c r="DG10" s="100" t="n"/>
      <x:c r="DH10" s="100" t="n"/>
      <x:c r="DI10" s="100" t="n"/>
      <x:c r="DJ10" s="100" t="n"/>
      <x:c r="DK10" s="100" t="n"/>
      <x:c r="DL10" s="100" t="n"/>
      <x:c r="DM10" s="100" t="n"/>
      <x:c r="DN10" s="100" t="n"/>
      <x:c r="DO10" s="100" t="n"/>
      <x:c r="DP10" s="100" t="n"/>
      <x:c r="DQ10" s="100" t="n"/>
      <x:c r="DR10" s="100" t="n"/>
      <x:c r="DS10" s="100" t="n"/>
      <x:c r="DT10" s="100" t="n"/>
      <x:c r="DU10" s="100" t="n"/>
      <x:c r="DV10" s="100" t="n"/>
      <x:c r="DW10" s="100" t="n"/>
      <x:c r="DX10" s="100" t="n"/>
      <x:c r="DY10" s="100" t="n"/>
      <x:c r="DZ10" s="100" t="n"/>
      <x:c r="EA10" s="100" t="n"/>
      <x:c r="EB10" s="100" t="n"/>
      <x:c r="EC10" s="100" t="n"/>
      <x:c r="ED10" s="100" t="n"/>
      <x:c r="EE10" s="100" t="n"/>
      <x:c r="EF10" s="100" t="n"/>
      <x:c r="EG10" s="100" t="n"/>
      <x:c r="EH10" s="100" t="n"/>
      <x:c r="EI10" s="100" t="n"/>
      <x:c r="EJ10" s="100" t="n"/>
      <x:c r="EK10" s="100" t="n"/>
      <x:c r="EL10" s="100" t="n"/>
      <x:c r="EM10" s="100" t="n"/>
      <x:c r="EN10" s="100" t="n"/>
      <x:c r="EO10" s="100" t="n"/>
      <x:c r="EP10" s="100" t="n"/>
      <x:c r="EQ10" s="100" t="n"/>
      <x:c r="ER10" s="100" t="n"/>
      <x:c r="ES10" s="100" t="n"/>
      <x:c r="ET10" s="100" t="n"/>
      <x:c r="EU10" s="100" t="n"/>
      <x:c r="EV10" s="100" t="n"/>
      <x:c r="EW10" s="100" t="n"/>
      <x:c r="EX10" s="100" t="n"/>
      <x:c r="EY10" s="100" t="n"/>
      <x:c r="EZ10" s="100" t="n"/>
      <x:c r="FA10" s="100" t="n"/>
      <x:c r="FB10" s="100" t="n"/>
      <x:c r="FC10" s="100" t="n"/>
      <x:c r="FD10" s="100" t="n"/>
      <x:c r="FE10" s="100" t="n"/>
      <x:c r="FF10" s="100" t="n"/>
      <x:c r="FG10" s="100" t="n"/>
      <x:c r="FH10" s="100" t="n"/>
      <x:c r="FI10" s="100" t="n"/>
      <x:c r="FJ10" s="100" t="n"/>
      <x:c r="FK10" s="100" t="n"/>
      <x:c r="FL10" s="100" t="n"/>
      <x:c r="FM10" s="100" t="n"/>
      <x:c r="FN10" s="100" t="n"/>
      <x:c r="FO10" s="100" t="n"/>
      <x:c r="FP10" s="100" t="n"/>
      <x:c r="FQ10" s="100" t="n"/>
      <x:c r="FR10" s="100" t="n"/>
      <x:c r="FS10" s="100" t="n"/>
      <x:c r="FT10" s="100" t="n"/>
      <x:c r="FU10" s="100" t="n"/>
      <x:c r="FV10" s="100" t="n"/>
      <x:c r="FW10" s="100" t="n"/>
      <x:c r="FX10" s="100" t="n"/>
      <x:c r="FY10" s="100" t="n"/>
      <x:c r="FZ10" s="100" t="n"/>
      <x:c r="GA10" s="100" t="n"/>
      <x:c r="GB10" s="100" t="n"/>
      <x:c r="GC10" s="100" t="n"/>
      <x:c r="GD10" s="100" t="n"/>
      <x:c r="GE10" s="100" t="n"/>
      <x:c r="GF10" s="100" t="n"/>
    </x:row>
    <x:row r="11" s="27" customFormat="1">
      <x:c r="A11" s="20" t="n"/>
      <x:c r="B11" s="37" t="n"/>
      <x:c r="C11" s="86" t="n">
        <x:f>E11*D$5</x:f>
        <x:v>0</x:v>
      </x:c>
      <x:c r="D11" s="103" t="inlineStr">
        <x:is>
          <x:t xml:space="preserve">Roy A. Garrison</x:t>
        </x:is>
      </x:c>
      <x:c r="E11" s="86" t="n">
        <x:f>SUM(G11:HT11)</x:f>
        <x:v>0</x:v>
      </x:c>
      <x:c r="F11" s="35" t="n"/>
      <x:c r="G11" s="121" t="n"/>
      <x:c r="H11" s="121" t="n">
        <x:v>1</x:v>
      </x:c>
      <x:c r="I11" s="121" t="n">
        <x:v>-1</x:v>
      </x:c>
      <x:c r="J11" s="121" t="n"/>
      <x:c r="K11" s="121" t="n"/>
      <x:c r="L11" s="121" t="n"/>
      <x:c r="M11" s="123" t="n"/>
      <x:c r="N11" s="123" t="n"/>
      <x:c r="O11" s="123" t="n"/>
      <x:c r="P11" s="123" t="n"/>
      <x:c r="Q11" s="123" t="n"/>
      <x:c r="R11" s="123" t="n"/>
      <x:c r="S11" s="123" t="n"/>
      <x:c r="T11" s="123" t="n"/>
      <x:c r="U11" s="123" t="n"/>
      <x:c r="V11" s="123" t="n"/>
      <x:c r="W11" s="123" t="n"/>
      <x:c r="X11" s="123" t="n"/>
      <x:c r="Y11" s="123" t="n"/>
      <x:c r="Z11" s="123" t="n"/>
      <x:c r="AA11" s="123" t="n"/>
      <x:c r="AB11" s="123" t="n"/>
      <x:c r="AC11" s="123" t="n"/>
      <x:c r="AD11" s="123" t="n"/>
      <x:c r="AE11" s="123" t="n"/>
      <x:c r="AF11" s="123" t="n"/>
      <x:c r="AG11" s="123" t="n"/>
      <x:c r="AH11" s="123" t="n"/>
      <x:c r="AI11" s="123" t="n"/>
      <x:c r="AJ11" s="123" t="n"/>
      <x:c r="AK11" s="123" t="n"/>
      <x:c r="AL11" s="123" t="n"/>
      <x:c r="AM11" s="123" t="n"/>
      <x:c r="AN11" s="123" t="n"/>
      <x:c r="AO11" s="124" t="n"/>
      <x:c r="AP11" s="124" t="n"/>
      <x:c r="AQ11" s="123" t="n"/>
      <x:c r="AR11" s="123" t="n"/>
      <x:c r="AS11" s="124" t="n"/>
      <x:c r="AT11" s="123" t="n"/>
      <x:c r="AU11" s="123" t="n"/>
      <x:c r="AV11" s="123" t="n"/>
      <x:c r="AW11" s="123" t="n"/>
      <x:c r="AX11" s="123" t="n"/>
      <x:c r="AY11" s="123" t="n"/>
      <x:c r="AZ11" s="123" t="n"/>
      <x:c r="BA11" s="123" t="n"/>
      <x:c r="BB11" s="123" t="n"/>
      <x:c r="BC11" s="123" t="n"/>
      <x:c r="BD11" s="123" t="n"/>
      <x:c r="BE11" s="123" t="n"/>
      <x:c r="BF11" s="123" t="n"/>
      <x:c r="BG11" s="123" t="n"/>
      <x:c r="BH11" s="123" t="n"/>
      <x:c r="BI11" s="100" t="n"/>
      <x:c r="BJ11" s="100" t="n"/>
      <x:c r="BK11" s="100" t="n"/>
      <x:c r="BL11" s="100" t="n"/>
      <x:c r="BM11" s="100" t="n"/>
      <x:c r="BN11" s="100" t="n"/>
      <x:c r="BO11" s="100" t="n"/>
      <x:c r="BP11" s="100" t="n"/>
      <x:c r="BQ11" s="100" t="n"/>
      <x:c r="BR11" s="100" t="n"/>
      <x:c r="BS11" s="100" t="n"/>
      <x:c r="BT11" s="100" t="n"/>
      <x:c r="BU11" s="100" t="n"/>
      <x:c r="BV11" s="100" t="n"/>
      <x:c r="BW11" s="100" t="n"/>
      <x:c r="BX11" s="100" t="n"/>
      <x:c r="BY11" s="100" t="n"/>
      <x:c r="BZ11" s="100" t="n"/>
      <x:c r="CA11" s="100" t="n"/>
      <x:c r="CB11" s="100" t="n"/>
      <x:c r="CC11" s="100" t="n"/>
      <x:c r="CD11" s="100" t="n"/>
      <x:c r="CE11" s="100" t="n"/>
      <x:c r="CF11" s="100" t="n"/>
      <x:c r="CG11" s="100" t="n"/>
      <x:c r="CH11" s="100" t="n"/>
      <x:c r="CI11" s="100" t="n"/>
      <x:c r="CJ11" s="100" t="n"/>
      <x:c r="CK11" s="100" t="n"/>
      <x:c r="CL11" s="100" t="n"/>
      <x:c r="CM11" s="100" t="n"/>
      <x:c r="CN11" s="100" t="n"/>
      <x:c r="CO11" s="100" t="n"/>
      <x:c r="CP11" s="100" t="n"/>
      <x:c r="CQ11" s="100" t="n"/>
      <x:c r="CR11" s="100" t="n"/>
      <x:c r="CS11" s="100" t="n"/>
      <x:c r="CT11" s="100" t="n"/>
      <x:c r="CU11" s="100" t="n"/>
      <x:c r="CV11" s="100" t="n"/>
      <x:c r="CW11" s="100" t="n"/>
      <x:c r="CX11" s="100" t="n"/>
      <x:c r="CY11" s="100" t="n"/>
      <x:c r="CZ11" s="100" t="n"/>
      <x:c r="DA11" s="100" t="n"/>
      <x:c r="DB11" s="100" t="n"/>
      <x:c r="DC11" s="100" t="n"/>
      <x:c r="DD11" s="100" t="n"/>
      <x:c r="DE11" s="100" t="n"/>
      <x:c r="DF11" s="100" t="n"/>
      <x:c r="DG11" s="100" t="n"/>
      <x:c r="DH11" s="100" t="n"/>
      <x:c r="DI11" s="100" t="n"/>
      <x:c r="DJ11" s="100" t="n"/>
      <x:c r="DK11" s="100" t="n"/>
      <x:c r="DL11" s="100" t="n"/>
      <x:c r="DM11" s="100" t="n"/>
      <x:c r="DN11" s="100" t="n"/>
      <x:c r="DO11" s="100" t="n"/>
      <x:c r="DP11" s="100" t="n"/>
      <x:c r="DQ11" s="100" t="n"/>
      <x:c r="DR11" s="100" t="n"/>
      <x:c r="DS11" s="100" t="n"/>
      <x:c r="DT11" s="100" t="n"/>
      <x:c r="DU11" s="100" t="n"/>
      <x:c r="DV11" s="100" t="n"/>
      <x:c r="DW11" s="100" t="n"/>
      <x:c r="DX11" s="100" t="n"/>
      <x:c r="DY11" s="100" t="n"/>
      <x:c r="DZ11" s="100" t="n"/>
      <x:c r="EA11" s="100" t="n"/>
      <x:c r="EB11" s="100" t="n"/>
      <x:c r="EC11" s="100" t="n"/>
      <x:c r="ED11" s="100" t="n"/>
      <x:c r="EE11" s="100" t="n"/>
      <x:c r="EF11" s="100" t="n"/>
      <x:c r="EG11" s="100" t="n"/>
      <x:c r="EH11" s="100" t="n"/>
      <x:c r="EI11" s="100" t="n"/>
      <x:c r="EJ11" s="100" t="n"/>
      <x:c r="EK11" s="100" t="n"/>
      <x:c r="EL11" s="100" t="n"/>
      <x:c r="EM11" s="100" t="n"/>
      <x:c r="EN11" s="100" t="n"/>
      <x:c r="EO11" s="100" t="n"/>
      <x:c r="EP11" s="100" t="n"/>
      <x:c r="EQ11" s="100" t="n"/>
      <x:c r="ER11" s="100" t="n"/>
      <x:c r="ES11" s="100" t="n"/>
      <x:c r="ET11" s="100" t="n"/>
      <x:c r="EU11" s="100" t="n"/>
      <x:c r="EV11" s="100" t="n"/>
      <x:c r="EW11" s="100" t="n"/>
      <x:c r="EX11" s="100" t="n"/>
      <x:c r="EY11" s="100" t="n"/>
      <x:c r="EZ11" s="100" t="n"/>
      <x:c r="FA11" s="100" t="n"/>
      <x:c r="FB11" s="100" t="n"/>
      <x:c r="FC11" s="100" t="n"/>
      <x:c r="FD11" s="100" t="n"/>
      <x:c r="FE11" s="100" t="n"/>
      <x:c r="FF11" s="100" t="n"/>
      <x:c r="FG11" s="100" t="n"/>
      <x:c r="FH11" s="100" t="n"/>
      <x:c r="FI11" s="100" t="n"/>
      <x:c r="FJ11" s="100" t="n"/>
      <x:c r="FK11" s="100" t="n"/>
      <x:c r="FL11" s="100" t="n"/>
      <x:c r="FM11" s="100" t="n"/>
      <x:c r="FN11" s="100" t="n"/>
      <x:c r="FO11" s="100" t="n"/>
      <x:c r="FP11" s="100" t="n"/>
      <x:c r="FQ11" s="100" t="n"/>
      <x:c r="FR11" s="100" t="n"/>
      <x:c r="FS11" s="100" t="n"/>
      <x:c r="FT11" s="100" t="n"/>
      <x:c r="FU11" s="100" t="n"/>
      <x:c r="FV11" s="100" t="n"/>
      <x:c r="FW11" s="100" t="n"/>
      <x:c r="FX11" s="100" t="n"/>
      <x:c r="FY11" s="100" t="n"/>
      <x:c r="FZ11" s="100" t="n"/>
      <x:c r="GA11" s="100" t="n"/>
      <x:c r="GB11" s="100" t="n"/>
      <x:c r="GC11" s="100" t="n"/>
      <x:c r="GD11" s="100" t="n"/>
      <x:c r="GE11" s="100" t="n"/>
      <x:c r="GF11" s="100" t="n"/>
    </x:row>
    <x:row r="12" s="27" customFormat="1" ht="24" customHeight="1">
      <x:c r="A12" s="20" t="n"/>
      <x:c r="B12" s="37" t="n"/>
      <x:c r="C12" s="86" t="n">
        <x:f>E12*D$5</x:f>
        <x:v>0</x:v>
      </x:c>
      <x:c r="D12" s="103" t="inlineStr">
        <x:is>
          <x:t xml:space="preserve">R. L. Trammell, as sheriff of Roger Mills County, State of Oklahoma</x:t>
        </x:is>
      </x:c>
      <x:c r="E12" s="86" t="n">
        <x:f>SUM(G12:HT12)</x:f>
        <x:v>0</x:v>
      </x:c>
      <x:c r="F12" s="35" t="n"/>
      <x:c r="G12" s="121" t="n"/>
      <x:c r="H12" s="121" t="n"/>
      <x:c r="I12" s="121" t="n">
        <x:v>0</x:v>
      </x:c>
      <x:c r="J12" s="121" t="n">
        <x:v>0</x:v>
      </x:c>
      <x:c r="K12" s="121" t="n"/>
      <x:c r="L12" s="121" t="n"/>
      <x:c r="M12" s="123" t="n"/>
      <x:c r="N12" s="123" t="n"/>
      <x:c r="O12" s="123" t="n"/>
      <x:c r="P12" s="123" t="n"/>
      <x:c r="Q12" s="123" t="n"/>
      <x:c r="R12" s="123" t="n"/>
      <x:c r="S12" s="123" t="n"/>
      <x:c r="T12" s="123" t="n"/>
      <x:c r="U12" s="123" t="n"/>
      <x:c r="V12" s="123" t="n"/>
      <x:c r="W12" s="123" t="n"/>
      <x:c r="X12" s="123" t="n"/>
      <x:c r="Y12" s="123" t="n"/>
      <x:c r="Z12" s="123" t="n"/>
      <x:c r="AA12" s="123" t="n"/>
      <x:c r="AB12" s="123" t="n"/>
      <x:c r="AC12" s="123" t="n"/>
      <x:c r="AD12" s="123" t="n"/>
      <x:c r="AE12" s="123" t="n"/>
      <x:c r="AF12" s="123" t="n"/>
      <x:c r="AG12" s="123" t="n"/>
      <x:c r="AH12" s="123" t="n"/>
      <x:c r="AI12" s="123" t="n"/>
      <x:c r="AJ12" s="123" t="n"/>
      <x:c r="AK12" s="123" t="n"/>
      <x:c r="AL12" s="123" t="n"/>
      <x:c r="AM12" s="123" t="n"/>
      <x:c r="AN12" s="123" t="n"/>
      <x:c r="AO12" s="123" t="n"/>
      <x:c r="AP12" s="123" t="n"/>
      <x:c r="AQ12" s="123" t="n"/>
      <x:c r="AR12" s="123" t="n"/>
      <x:c r="AS12" s="124" t="n"/>
      <x:c r="AT12" s="123" t="n"/>
      <x:c r="AU12" s="123" t="n"/>
      <x:c r="AV12" s="123" t="n"/>
      <x:c r="AW12" s="123" t="n"/>
      <x:c r="AX12" s="123" t="n"/>
      <x:c r="AY12" s="123" t="n"/>
      <x:c r="AZ12" s="123" t="n"/>
      <x:c r="BA12" s="123" t="n"/>
      <x:c r="BB12" s="123" t="n"/>
      <x:c r="BC12" s="123" t="n"/>
      <x:c r="BD12" s="124" t="n"/>
      <x:c r="BE12" s="123" t="n"/>
      <x:c r="BF12" s="123" t="n"/>
      <x:c r="BG12" s="123" t="n"/>
      <x:c r="BH12" s="123" t="n"/>
      <x:c r="BI12" s="100" t="n"/>
      <x:c r="BJ12" s="100" t="n"/>
      <x:c r="BK12" s="100" t="n"/>
      <x:c r="BL12" s="100" t="n"/>
      <x:c r="BM12" s="100" t="n"/>
      <x:c r="BN12" s="100" t="n"/>
      <x:c r="BO12" s="100" t="n"/>
      <x:c r="BP12" s="100" t="n"/>
      <x:c r="BQ12" s="100" t="n"/>
      <x:c r="BR12" s="100" t="n"/>
      <x:c r="BS12" s="100" t="n"/>
      <x:c r="BT12" s="100" t="n"/>
      <x:c r="BU12" s="100" t="n"/>
      <x:c r="BV12" s="100" t="n"/>
      <x:c r="BW12" s="100" t="n"/>
      <x:c r="BX12" s="100" t="n"/>
      <x:c r="BY12" s="100" t="n"/>
      <x:c r="BZ12" s="100" t="n"/>
      <x:c r="CA12" s="100" t="n"/>
      <x:c r="CB12" s="100" t="n"/>
      <x:c r="CC12" s="100" t="n"/>
      <x:c r="CD12" s="100" t="n"/>
      <x:c r="CE12" s="100" t="n"/>
      <x:c r="CF12" s="100" t="n"/>
      <x:c r="CG12" s="100" t="n"/>
      <x:c r="CH12" s="100" t="n"/>
      <x:c r="CI12" s="100" t="n"/>
      <x:c r="CJ12" s="100" t="n"/>
      <x:c r="CK12" s="100" t="n"/>
      <x:c r="CL12" s="100" t="n"/>
      <x:c r="CM12" s="100" t="n"/>
      <x:c r="CN12" s="100" t="n"/>
      <x:c r="CO12" s="100" t="n"/>
      <x:c r="CP12" s="100" t="n"/>
      <x:c r="CQ12" s="100" t="n"/>
      <x:c r="CR12" s="100" t="n"/>
      <x:c r="CS12" s="100" t="n"/>
      <x:c r="CT12" s="100" t="n"/>
      <x:c r="CU12" s="100" t="n"/>
      <x:c r="CV12" s="100" t="n"/>
      <x:c r="CW12" s="100" t="n"/>
      <x:c r="CX12" s="100" t="n"/>
      <x:c r="CY12" s="100" t="n"/>
      <x:c r="CZ12" s="100" t="n"/>
      <x:c r="DA12" s="100" t="n"/>
      <x:c r="DB12" s="100" t="n"/>
      <x:c r="DC12" s="100" t="n"/>
      <x:c r="DD12" s="100" t="n"/>
      <x:c r="DE12" s="100" t="n"/>
      <x:c r="DF12" s="100" t="n"/>
      <x:c r="DG12" s="100" t="n"/>
      <x:c r="DH12" s="100" t="n"/>
      <x:c r="DI12" s="100" t="n"/>
      <x:c r="DJ12" s="100" t="n"/>
      <x:c r="DK12" s="100" t="n"/>
      <x:c r="DL12" s="100" t="n"/>
      <x:c r="DM12" s="100" t="n"/>
      <x:c r="DN12" s="100" t="n"/>
      <x:c r="DO12" s="100" t="n"/>
      <x:c r="DP12" s="100" t="n"/>
      <x:c r="DQ12" s="100" t="n"/>
      <x:c r="DR12" s="100" t="n"/>
      <x:c r="DS12" s="100" t="n"/>
      <x:c r="DT12" s="100" t="n"/>
      <x:c r="DU12" s="100" t="n"/>
      <x:c r="DV12" s="100" t="n"/>
      <x:c r="DW12" s="100" t="n"/>
      <x:c r="DX12" s="100" t="n"/>
      <x:c r="DY12" s="100" t="n"/>
      <x:c r="DZ12" s="100" t="n"/>
      <x:c r="EA12" s="100" t="n"/>
      <x:c r="EB12" s="100" t="n"/>
      <x:c r="EC12" s="100" t="n"/>
      <x:c r="ED12" s="100" t="n"/>
      <x:c r="EE12" s="100" t="n"/>
      <x:c r="EF12" s="100" t="n"/>
      <x:c r="EG12" s="100" t="n"/>
      <x:c r="EH12" s="100" t="n"/>
      <x:c r="EI12" s="100" t="n"/>
      <x:c r="EJ12" s="100" t="n"/>
      <x:c r="EK12" s="100" t="n"/>
      <x:c r="EL12" s="100" t="n"/>
      <x:c r="EM12" s="100" t="n"/>
      <x:c r="EN12" s="100" t="n"/>
      <x:c r="EO12" s="100" t="n"/>
      <x:c r="EP12" s="100" t="n"/>
      <x:c r="EQ12" s="100" t="n"/>
      <x:c r="ER12" s="100" t="n"/>
      <x:c r="ES12" s="100" t="n"/>
      <x:c r="ET12" s="100" t="n"/>
      <x:c r="EU12" s="100" t="n"/>
      <x:c r="EV12" s="100" t="n"/>
      <x:c r="EW12" s="100" t="n"/>
      <x:c r="EX12" s="100" t="n"/>
      <x:c r="EY12" s="100" t="n"/>
      <x:c r="EZ12" s="100" t="n"/>
      <x:c r="FA12" s="100" t="n"/>
      <x:c r="FB12" s="100" t="n"/>
      <x:c r="FC12" s="100" t="n"/>
      <x:c r="FD12" s="100" t="n"/>
      <x:c r="FE12" s="100" t="n"/>
      <x:c r="FF12" s="100" t="n"/>
      <x:c r="FG12" s="100" t="n"/>
      <x:c r="FH12" s="100" t="n"/>
      <x:c r="FI12" s="100" t="n"/>
      <x:c r="FJ12" s="100" t="n"/>
      <x:c r="FK12" s="100" t="n"/>
      <x:c r="FL12" s="100" t="n"/>
      <x:c r="FM12" s="100" t="n"/>
      <x:c r="FN12" s="100" t="n"/>
      <x:c r="FO12" s="100" t="n"/>
      <x:c r="FP12" s="100" t="n"/>
      <x:c r="FQ12" s="100" t="n"/>
      <x:c r="FR12" s="100" t="n"/>
      <x:c r="FS12" s="100" t="n"/>
      <x:c r="FT12" s="100" t="n"/>
      <x:c r="FU12" s="100" t="n"/>
      <x:c r="FV12" s="100" t="n"/>
      <x:c r="FW12" s="100" t="n"/>
      <x:c r="FX12" s="100" t="n"/>
      <x:c r="FY12" s="100" t="n"/>
      <x:c r="FZ12" s="100" t="n"/>
      <x:c r="GA12" s="100" t="n"/>
      <x:c r="GB12" s="100" t="n"/>
      <x:c r="GC12" s="100" t="n"/>
      <x:c r="GD12" s="100" t="n"/>
      <x:c r="GE12" s="100" t="n"/>
      <x:c r="GF12" s="100" t="n"/>
    </x:row>
    <x:row r="13" s="27" customFormat="1">
      <x:c r="B13" s="80" t="n"/>
      <x:c r="C13" s="86" t="n">
        <x:f>E13*D$5</x:f>
        <x:v>0</x:v>
      </x:c>
      <x:c r="D13" s="103" t="inlineStr">
        <x:is>
          <x:t xml:space="preserve">W. D. Wilson</x:t>
        </x:is>
      </x:c>
      <x:c r="E13" s="86" t="n">
        <x:f>SUM(G13:HT13)</x:f>
        <x:v>0</x:v>
      </x:c>
      <x:c r="F13" s="35" t="n"/>
      <x:c r="G13" s="121" t="n"/>
      <x:c r="H13" s="122" t="n"/>
      <x:c r="I13" s="121" t="n">
        <x:v>1</x:v>
      </x:c>
      <x:c r="J13" s="121" t="n">
        <x:v>-1</x:v>
      </x:c>
      <x:c r="K13" s="121" t="n"/>
      <x:c r="L13" s="121" t="n"/>
      <x:c r="M13" s="123" t="n"/>
      <x:c r="N13" s="123" t="n"/>
      <x:c r="O13" s="123" t="n"/>
      <x:c r="P13" s="123" t="n"/>
      <x:c r="Q13" s="123" t="n"/>
      <x:c r="R13" s="123" t="n"/>
      <x:c r="S13" s="123" t="n"/>
      <x:c r="T13" s="123" t="n"/>
      <x:c r="U13" s="123" t="n"/>
      <x:c r="V13" s="123" t="n"/>
      <x:c r="W13" s="123" t="n"/>
      <x:c r="X13" s="123" t="n"/>
      <x:c r="Y13" s="123" t="n"/>
      <x:c r="Z13" s="123" t="n"/>
      <x:c r="AA13" s="123" t="n"/>
      <x:c r="AB13" s="123" t="n"/>
      <x:c r="AC13" s="123" t="n"/>
      <x:c r="AD13" s="123" t="n"/>
      <x:c r="AE13" s="123" t="n"/>
      <x:c r="AF13" s="123" t="n"/>
      <x:c r="AG13" s="123" t="n"/>
      <x:c r="AH13" s="123" t="n"/>
      <x:c r="AI13" s="123" t="n"/>
      <x:c r="AJ13" s="123" t="n"/>
      <x:c r="AK13" s="123" t="n"/>
      <x:c r="AL13" s="123" t="n"/>
      <x:c r="AM13" s="123" t="n"/>
      <x:c r="AN13" s="123" t="n"/>
      <x:c r="AO13" s="123" t="n"/>
      <x:c r="AP13" s="123" t="n"/>
      <x:c r="AQ13" s="123" t="n"/>
      <x:c r="AR13" s="123" t="n"/>
      <x:c r="AS13" s="123" t="n"/>
      <x:c r="AT13" s="123" t="n"/>
      <x:c r="AU13" s="123" t="n"/>
      <x:c r="AV13" s="124" t="n"/>
      <x:c r="AW13" s="123" t="n"/>
      <x:c r="AX13" s="123" t="n"/>
      <x:c r="AY13" s="123" t="n"/>
      <x:c r="AZ13" s="123" t="n"/>
      <x:c r="BA13" s="123" t="n"/>
      <x:c r="BB13" s="123" t="n"/>
      <x:c r="BC13" s="123" t="n"/>
      <x:c r="BD13" s="123" t="n"/>
      <x:c r="BE13" s="123" t="n"/>
      <x:c r="BF13" s="123" t="n"/>
      <x:c r="BG13" s="123" t="n"/>
      <x:c r="BH13" s="123" t="n"/>
      <x:c r="BI13" s="100" t="n"/>
      <x:c r="BJ13" s="100" t="n"/>
      <x:c r="BK13" s="100" t="n"/>
      <x:c r="BL13" s="100" t="n"/>
      <x:c r="BM13" s="100" t="n"/>
      <x:c r="BN13" s="100" t="n"/>
      <x:c r="BO13" s="100" t="n"/>
      <x:c r="BP13" s="100" t="n"/>
      <x:c r="BQ13" s="100" t="n"/>
      <x:c r="BR13" s="100" t="n"/>
      <x:c r="BS13" s="100" t="n"/>
      <x:c r="BT13" s="100" t="n"/>
      <x:c r="BU13" s="100" t="n"/>
      <x:c r="BV13" s="100" t="n"/>
      <x:c r="BW13" s="100" t="n"/>
      <x:c r="BX13" s="100" t="n"/>
      <x:c r="BY13" s="100" t="n"/>
      <x:c r="BZ13" s="100" t="n"/>
      <x:c r="CA13" s="100" t="n"/>
      <x:c r="CB13" s="100" t="n"/>
      <x:c r="CC13" s="100" t="n"/>
      <x:c r="CD13" s="100" t="n"/>
      <x:c r="CE13" s="100" t="n"/>
      <x:c r="CF13" s="100" t="n"/>
      <x:c r="CG13" s="100" t="n"/>
      <x:c r="CH13" s="100" t="n"/>
      <x:c r="CI13" s="100" t="n"/>
      <x:c r="CJ13" s="100" t="n"/>
      <x:c r="CK13" s="100" t="n"/>
      <x:c r="CL13" s="100" t="n"/>
      <x:c r="CM13" s="100" t="n"/>
      <x:c r="CN13" s="100" t="n"/>
      <x:c r="CO13" s="100" t="n"/>
      <x:c r="CP13" s="100" t="n"/>
      <x:c r="CQ13" s="100" t="n"/>
      <x:c r="CR13" s="100" t="n"/>
      <x:c r="CS13" s="100" t="n"/>
      <x:c r="CT13" s="100" t="n"/>
      <x:c r="CU13" s="100" t="n"/>
      <x:c r="CV13" s="100" t="n"/>
      <x:c r="CW13" s="100" t="n"/>
      <x:c r="CX13" s="100" t="n"/>
      <x:c r="CY13" s="100" t="n"/>
      <x:c r="CZ13" s="100" t="n"/>
      <x:c r="DA13" s="100" t="n"/>
      <x:c r="DB13" s="100" t="n"/>
      <x:c r="DC13" s="100" t="n"/>
      <x:c r="DD13" s="100" t="n"/>
      <x:c r="DE13" s="100" t="n"/>
      <x:c r="DF13" s="100" t="n"/>
      <x:c r="DG13" s="100" t="n"/>
      <x:c r="DH13" s="100" t="n"/>
      <x:c r="DI13" s="100" t="n"/>
      <x:c r="DJ13" s="100" t="n"/>
      <x:c r="DK13" s="100" t="n"/>
      <x:c r="DL13" s="100" t="n"/>
      <x:c r="DM13" s="100" t="n"/>
      <x:c r="DN13" s="100" t="n"/>
      <x:c r="DO13" s="100" t="n"/>
      <x:c r="DP13" s="100" t="n"/>
      <x:c r="DQ13" s="100" t="n"/>
      <x:c r="DR13" s="100" t="n"/>
      <x:c r="DS13" s="100" t="n"/>
      <x:c r="DT13" s="100" t="n"/>
      <x:c r="DU13" s="100" t="n"/>
      <x:c r="DV13" s="100" t="n"/>
      <x:c r="DW13" s="100" t="n"/>
      <x:c r="DX13" s="100" t="n"/>
      <x:c r="DY13" s="100" t="n"/>
      <x:c r="DZ13" s="100" t="n"/>
      <x:c r="EA13" s="100" t="n"/>
      <x:c r="EB13" s="100" t="n"/>
      <x:c r="EC13" s="100" t="n"/>
      <x:c r="ED13" s="100" t="n"/>
      <x:c r="EE13" s="100" t="n"/>
      <x:c r="EF13" s="100" t="n"/>
      <x:c r="EG13" s="100" t="n"/>
      <x:c r="EH13" s="100" t="n"/>
      <x:c r="EI13" s="100" t="n"/>
      <x:c r="EJ13" s="100" t="n"/>
      <x:c r="EK13" s="100" t="n"/>
      <x:c r="EL13" s="100" t="n"/>
      <x:c r="EM13" s="100" t="n"/>
      <x:c r="EN13" s="100" t="n"/>
      <x:c r="EO13" s="100" t="n"/>
      <x:c r="EP13" s="100" t="n"/>
      <x:c r="EQ13" s="100" t="n"/>
      <x:c r="ER13" s="100" t="n"/>
      <x:c r="ES13" s="100" t="n"/>
      <x:c r="ET13" s="100" t="n"/>
      <x:c r="EU13" s="100" t="n"/>
      <x:c r="EV13" s="100" t="n"/>
      <x:c r="EW13" s="100" t="n"/>
      <x:c r="EX13" s="100" t="n"/>
      <x:c r="EY13" s="100" t="n"/>
      <x:c r="EZ13" s="100" t="n"/>
      <x:c r="FA13" s="100" t="n"/>
      <x:c r="FB13" s="100" t="n"/>
      <x:c r="FC13" s="100" t="n"/>
      <x:c r="FD13" s="100" t="n"/>
      <x:c r="FE13" s="100" t="n"/>
      <x:c r="FF13" s="100" t="n"/>
      <x:c r="FG13" s="100" t="n"/>
      <x:c r="FH13" s="100" t="n"/>
      <x:c r="FI13" s="100" t="n"/>
      <x:c r="FJ13" s="100" t="n"/>
      <x:c r="FK13" s="100" t="n"/>
      <x:c r="FL13" s="100" t="n"/>
      <x:c r="FM13" s="100" t="n"/>
      <x:c r="FN13" s="100" t="n"/>
      <x:c r="FO13" s="100" t="n"/>
      <x:c r="FP13" s="100" t="n"/>
      <x:c r="FQ13" s="100" t="n"/>
      <x:c r="FR13" s="100" t="n"/>
      <x:c r="FS13" s="100" t="n"/>
      <x:c r="FT13" s="100" t="n"/>
      <x:c r="FU13" s="100" t="n"/>
      <x:c r="FV13" s="100" t="n"/>
      <x:c r="FW13" s="100" t="n"/>
      <x:c r="FX13" s="100" t="n"/>
      <x:c r="FY13" s="100" t="n"/>
      <x:c r="FZ13" s="100" t="n"/>
      <x:c r="GA13" s="100" t="n"/>
      <x:c r="GB13" s="100" t="n"/>
      <x:c r="GC13" s="100" t="n"/>
      <x:c r="GD13" s="100" t="n"/>
      <x:c r="GE13" s="100" t="n"/>
      <x:c r="GF13" s="100" t="n"/>
    </x:row>
    <x:row r="14" s="27" customFormat="1">
      <x:c r="A14" s="79" t="n"/>
      <x:c r="B14" s="79" t="n"/>
      <x:c r="C14" s="36" t="n">
        <x:f>E14*D$5</x:f>
        <x:v>0</x:v>
      </x:c>
      <x:c r="D14" s="103" t="inlineStr">
        <x:is>
          <x:t xml:space="preserve">H. L. Rowley and Myrtie Rowley, HW</x:t>
        </x:is>
      </x:c>
      <x:c r="E14" s="36" t="n">
        <x:f>SUM(G14:HT14)</x:f>
        <x:v>0</x:v>
      </x:c>
      <x:c r="F14" s="35" t="n"/>
      <x:c r="G14" s="121" t="n"/>
      <x:c r="H14" s="121" t="n"/>
      <x:c r="I14" s="121" t="inlineStr">
        <x:is>
          <x:t xml:space="preserve"> </x:t>
        </x:is>
      </x:c>
      <x:c r="J14" s="121" t="n">
        <x:v>1</x:v>
      </x:c>
      <x:c r="K14" s="121" t="n">
        <x:v>-1</x:v>
      </x:c>
      <x:c r="L14" s="121" t="n"/>
      <x:c r="M14" s="123" t="n"/>
      <x:c r="N14" s="123" t="n"/>
      <x:c r="O14" s="123" t="n"/>
      <x:c r="P14" s="123" t="n"/>
      <x:c r="Q14" s="123" t="n"/>
      <x:c r="R14" s="123" t="n"/>
      <x:c r="S14" s="123" t="n"/>
      <x:c r="T14" s="123" t="n"/>
      <x:c r="U14" s="123" t="n"/>
      <x:c r="V14" s="123" t="n"/>
      <x:c r="W14" s="123" t="n"/>
      <x:c r="X14" s="123" t="n"/>
      <x:c r="Y14" s="123" t="n"/>
      <x:c r="Z14" s="123" t="n"/>
      <x:c r="AA14" s="123" t="n"/>
      <x:c r="AB14" s="123" t="n"/>
      <x:c r="AC14" s="123" t="n"/>
      <x:c r="AD14" s="123" t="n"/>
      <x:c r="AE14" s="123" t="n"/>
      <x:c r="AF14" s="123" t="n"/>
      <x:c r="AG14" s="123" t="n"/>
      <x:c r="AH14" s="123" t="n"/>
      <x:c r="AI14" s="123" t="n"/>
      <x:c r="AJ14" s="123" t="n"/>
      <x:c r="AK14" s="123" t="n"/>
      <x:c r="AL14" s="123" t="n"/>
      <x:c r="AM14" s="123" t="n"/>
      <x:c r="AN14" s="123" t="n"/>
      <x:c r="AO14" s="123" t="n"/>
      <x:c r="AP14" s="123" t="n"/>
      <x:c r="AQ14" s="123" t="n"/>
      <x:c r="AR14" s="123" t="n"/>
      <x:c r="AS14" s="123" t="n"/>
      <x:c r="AT14" s="123" t="n"/>
      <x:c r="AU14" s="123" t="n"/>
      <x:c r="AV14" s="124" t="n"/>
      <x:c r="AW14" s="122" t="n"/>
      <x:c r="AX14" s="122" t="n"/>
      <x:c r="AY14" s="122" t="n"/>
      <x:c r="AZ14" s="122" t="n"/>
      <x:c r="BA14" s="123" t="n"/>
      <x:c r="BB14" s="123" t="n"/>
      <x:c r="BC14" s="123" t="n"/>
      <x:c r="BD14" s="123" t="n"/>
      <x:c r="BE14" s="123" t="n"/>
      <x:c r="BF14" s="123" t="n"/>
      <x:c r="BG14" s="123" t="n"/>
      <x:c r="BH14" s="123" t="n"/>
      <x:c r="BI14" s="100" t="n"/>
      <x:c r="BJ14" s="100" t="n"/>
      <x:c r="BK14" s="100" t="n"/>
      <x:c r="BL14" s="100" t="n"/>
      <x:c r="BM14" s="100" t="n"/>
      <x:c r="BN14" s="100" t="n"/>
      <x:c r="BO14" s="100" t="n"/>
      <x:c r="BP14" s="100" t="n"/>
      <x:c r="BQ14" s="100" t="n"/>
      <x:c r="BR14" s="100" t="n"/>
      <x:c r="BS14" s="100" t="n"/>
      <x:c r="BT14" s="100" t="n"/>
      <x:c r="BU14" s="100" t="n"/>
      <x:c r="BV14" s="100" t="n"/>
      <x:c r="BW14" s="100" t="n"/>
      <x:c r="BX14" s="100" t="n"/>
      <x:c r="BY14" s="100" t="n"/>
      <x:c r="BZ14" s="100" t="n"/>
      <x:c r="CA14" s="100" t="n"/>
      <x:c r="CB14" s="100" t="n"/>
      <x:c r="CC14" s="100" t="n"/>
      <x:c r="CD14" s="100" t="n"/>
      <x:c r="CE14" s="100" t="n"/>
      <x:c r="CF14" s="100" t="n"/>
      <x:c r="CG14" s="100" t="n"/>
      <x:c r="CH14" s="100" t="n"/>
      <x:c r="CI14" s="100" t="n"/>
      <x:c r="CJ14" s="100" t="n"/>
      <x:c r="CK14" s="100" t="n"/>
      <x:c r="CL14" s="100" t="n"/>
      <x:c r="CM14" s="100" t="n"/>
      <x:c r="CN14" s="100" t="n"/>
      <x:c r="CO14" s="100" t="n"/>
      <x:c r="CP14" s="100" t="n"/>
      <x:c r="CQ14" s="100" t="n"/>
      <x:c r="CR14" s="100" t="n"/>
      <x:c r="CS14" s="100" t="n"/>
      <x:c r="CT14" s="100" t="n"/>
      <x:c r="CU14" s="100" t="n"/>
      <x:c r="CV14" s="100" t="n"/>
      <x:c r="CW14" s="100" t="n"/>
      <x:c r="CX14" s="100" t="n"/>
      <x:c r="CY14" s="100" t="n"/>
      <x:c r="CZ14" s="100" t="n"/>
      <x:c r="DA14" s="100" t="n"/>
      <x:c r="DB14" s="100" t="n"/>
      <x:c r="DC14" s="100" t="n"/>
      <x:c r="DD14" s="100" t="n"/>
      <x:c r="DE14" s="100" t="n"/>
      <x:c r="DF14" s="100" t="n"/>
      <x:c r="DG14" s="100" t="n"/>
      <x:c r="DH14" s="100" t="n"/>
      <x:c r="DI14" s="100" t="n"/>
      <x:c r="DJ14" s="100" t="n"/>
      <x:c r="DK14" s="100" t="n"/>
      <x:c r="DL14" s="100" t="n"/>
      <x:c r="DM14" s="100" t="n"/>
      <x:c r="DN14" s="100" t="n"/>
      <x:c r="DO14" s="100" t="n"/>
      <x:c r="DP14" s="100" t="n"/>
      <x:c r="DQ14" s="100" t="n"/>
      <x:c r="DR14" s="100" t="n"/>
      <x:c r="DS14" s="100" t="n"/>
      <x:c r="DT14" s="100" t="n"/>
      <x:c r="DU14" s="100" t="n"/>
      <x:c r="DV14" s="100" t="n"/>
      <x:c r="DW14" s="100" t="n"/>
      <x:c r="DX14" s="100" t="n"/>
      <x:c r="DY14" s="100" t="n"/>
      <x:c r="DZ14" s="100" t="n"/>
      <x:c r="EA14" s="100" t="n"/>
      <x:c r="EB14" s="100" t="n"/>
      <x:c r="EC14" s="100" t="n"/>
      <x:c r="ED14" s="100" t="n"/>
      <x:c r="EE14" s="100" t="n"/>
      <x:c r="EF14" s="100" t="n"/>
      <x:c r="EG14" s="100" t="n"/>
      <x:c r="EH14" s="100" t="n"/>
      <x:c r="EI14" s="100" t="n"/>
      <x:c r="EJ14" s="100" t="n"/>
      <x:c r="EK14" s="100" t="n"/>
      <x:c r="EL14" s="100" t="n"/>
      <x:c r="EM14" s="100" t="n"/>
      <x:c r="EN14" s="100" t="n"/>
      <x:c r="EO14" s="100" t="n"/>
      <x:c r="EP14" s="100" t="n"/>
      <x:c r="EQ14" s="100" t="n"/>
      <x:c r="ER14" s="100" t="n"/>
      <x:c r="ES14" s="100" t="n"/>
      <x:c r="ET14" s="100" t="n"/>
      <x:c r="EU14" s="100" t="n"/>
      <x:c r="EV14" s="100" t="n"/>
      <x:c r="EW14" s="100" t="n"/>
      <x:c r="EX14" s="100" t="n"/>
      <x:c r="EY14" s="100" t="n"/>
      <x:c r="EZ14" s="100" t="n"/>
      <x:c r="FA14" s="100" t="n"/>
      <x:c r="FB14" s="100" t="n"/>
      <x:c r="FC14" s="100" t="n"/>
      <x:c r="FD14" s="100" t="n"/>
      <x:c r="FE14" s="100" t="n"/>
      <x:c r="FF14" s="100" t="n"/>
      <x:c r="FG14" s="100" t="n"/>
      <x:c r="FH14" s="100" t="n"/>
      <x:c r="FI14" s="100" t="n"/>
      <x:c r="FJ14" s="100" t="n"/>
      <x:c r="FK14" s="100" t="n"/>
      <x:c r="FL14" s="100" t="n"/>
      <x:c r="FM14" s="100" t="n"/>
      <x:c r="FN14" s="100" t="n"/>
      <x:c r="FO14" s="100" t="n"/>
      <x:c r="FP14" s="100" t="n"/>
      <x:c r="FQ14" s="100" t="n"/>
      <x:c r="FR14" s="100" t="n"/>
      <x:c r="FS14" s="100" t="n"/>
      <x:c r="FT14" s="100" t="n"/>
      <x:c r="FU14" s="100" t="n"/>
      <x:c r="FV14" s="100" t="n"/>
      <x:c r="FW14" s="100" t="n"/>
      <x:c r="FX14" s="100" t="n"/>
      <x:c r="FY14" s="100" t="n"/>
      <x:c r="FZ14" s="100" t="n"/>
      <x:c r="GA14" s="100" t="n"/>
      <x:c r="GB14" s="100" t="n"/>
      <x:c r="GC14" s="100" t="n"/>
      <x:c r="GD14" s="100" t="n"/>
      <x:c r="GE14" s="100" t="n"/>
      <x:c r="GF14" s="100" t="n"/>
    </x:row>
    <x:row r="15" s="27" customFormat="1">
      <x:c r="A15" s="38" t="n"/>
      <x:c r="B15" s="37" t="n"/>
      <x:c r="C15" s="36" t="n">
        <x:f>E15*D$5</x:f>
        <x:v>0</x:v>
      </x:c>
      <x:c r="D15" s="103" t="inlineStr">
        <x:is>
          <x:t xml:space="preserve">H. E. Rupp</x:t>
        </x:is>
      </x:c>
      <x:c r="E15" s="36" t="n">
        <x:f>SUM(G15:HT15)</x:f>
        <x:v>0</x:v>
      </x:c>
      <x:c r="F15" s="35" t="n"/>
      <x:c r="G15" s="121" t="n"/>
      <x:c r="H15" s="122" t="n"/>
      <x:c r="I15" s="121" t="n"/>
      <x:c r="J15" s="121" t="n"/>
      <x:c r="K15" s="121" t="n">
        <x:v>1</x:v>
      </x:c>
      <x:c r="L15" s="121" t="n">
        <x:v>-1</x:v>
      </x:c>
      <x:c r="M15" s="123" t="n"/>
      <x:c r="N15" s="123" t="n"/>
      <x:c r="O15" s="123" t="n"/>
      <x:c r="P15" s="123" t="n"/>
      <x:c r="Q15" s="123" t="n"/>
      <x:c r="R15" s="123" t="n"/>
      <x:c r="S15" s="123" t="n"/>
      <x:c r="T15" s="123" t="n"/>
      <x:c r="U15" s="123" t="n"/>
      <x:c r="V15" s="123" t="n"/>
      <x:c r="W15" s="123" t="n"/>
      <x:c r="X15" s="123" t="n"/>
      <x:c r="Y15" s="123" t="n"/>
      <x:c r="Z15" s="123" t="n"/>
      <x:c r="AA15" s="123" t="n"/>
      <x:c r="AB15" s="123" t="n"/>
      <x:c r="AC15" s="123" t="n"/>
      <x:c r="AD15" s="123" t="n"/>
      <x:c r="AE15" s="123" t="n"/>
      <x:c r="AF15" s="123" t="n"/>
      <x:c r="AG15" s="123" t="n"/>
      <x:c r="AH15" s="123" t="n"/>
      <x:c r="AI15" s="123" t="n"/>
      <x:c r="AJ15" s="123" t="n"/>
      <x:c r="AK15" s="123" t="n"/>
      <x:c r="AL15" s="123" t="n"/>
      <x:c r="AM15" s="123" t="n"/>
      <x:c r="AN15" s="123" t="n"/>
      <x:c r="AO15" s="123" t="n"/>
      <x:c r="AP15" s="123" t="n"/>
      <x:c r="AQ15" s="123" t="n"/>
      <x:c r="AR15" s="123" t="n"/>
      <x:c r="AS15" s="123" t="n"/>
      <x:c r="AT15" s="123" t="n"/>
      <x:c r="AU15" s="123" t="n"/>
      <x:c r="AV15" s="123" t="n"/>
      <x:c r="AW15" s="122" t="n"/>
      <x:c r="AX15" s="122" t="n"/>
      <x:c r="AY15" s="122" t="n"/>
      <x:c r="AZ15" s="122" t="n"/>
      <x:c r="BA15" s="123" t="n"/>
      <x:c r="BB15" s="123" t="n"/>
      <x:c r="BC15" s="123" t="n"/>
      <x:c r="BD15" s="123" t="n"/>
      <x:c r="BE15" s="123" t="n"/>
      <x:c r="BF15" s="123" t="n"/>
      <x:c r="BG15" s="123" t="n"/>
      <x:c r="BH15" s="123" t="n"/>
      <x:c r="BI15" s="100" t="n"/>
      <x:c r="BJ15" s="100" t="n"/>
      <x:c r="BK15" s="100" t="n"/>
      <x:c r="BL15" s="100" t="n"/>
      <x:c r="BM15" s="100" t="n"/>
      <x:c r="BN15" s="100" t="n"/>
      <x:c r="BO15" s="100" t="n"/>
      <x:c r="BP15" s="100" t="n"/>
      <x:c r="BQ15" s="100" t="n"/>
      <x:c r="BR15" s="100" t="n"/>
      <x:c r="BS15" s="100" t="n"/>
      <x:c r="BT15" s="100" t="n"/>
      <x:c r="BU15" s="100" t="n"/>
      <x:c r="BV15" s="100" t="n"/>
      <x:c r="BW15" s="100" t="n"/>
      <x:c r="BX15" s="100" t="n"/>
      <x:c r="BY15" s="100" t="n"/>
      <x:c r="BZ15" s="100" t="n"/>
      <x:c r="CA15" s="100" t="n"/>
      <x:c r="CB15" s="100" t="n"/>
      <x:c r="CC15" s="100" t="n"/>
      <x:c r="CD15" s="100" t="n"/>
      <x:c r="CE15" s="100" t="n"/>
      <x:c r="CF15" s="100" t="n"/>
      <x:c r="CG15" s="100" t="n"/>
      <x:c r="CH15" s="100" t="n"/>
      <x:c r="CI15" s="100" t="n"/>
      <x:c r="CJ15" s="100" t="n"/>
      <x:c r="CK15" s="100" t="n"/>
      <x:c r="CL15" s="100" t="n"/>
      <x:c r="CM15" s="100" t="n"/>
      <x:c r="CN15" s="100" t="n"/>
      <x:c r="CO15" s="100" t="n"/>
      <x:c r="CP15" s="100" t="n"/>
      <x:c r="CQ15" s="100" t="n"/>
      <x:c r="CR15" s="100" t="n"/>
      <x:c r="CS15" s="100" t="n"/>
      <x:c r="CT15" s="100" t="n"/>
      <x:c r="CU15" s="100" t="n"/>
      <x:c r="CV15" s="100" t="n"/>
      <x:c r="CW15" s="100" t="n"/>
      <x:c r="CX15" s="100" t="n"/>
      <x:c r="CY15" s="100" t="n"/>
      <x:c r="CZ15" s="100" t="n"/>
      <x:c r="DA15" s="100" t="n"/>
      <x:c r="DB15" s="100" t="n"/>
      <x:c r="DC15" s="100" t="n"/>
      <x:c r="DD15" s="100" t="n"/>
      <x:c r="DE15" s="100" t="n"/>
      <x:c r="DF15" s="100" t="n"/>
      <x:c r="DG15" s="100" t="n"/>
      <x:c r="DH15" s="100" t="n"/>
      <x:c r="DI15" s="100" t="n"/>
      <x:c r="DJ15" s="100" t="n"/>
      <x:c r="DK15" s="100" t="n"/>
      <x:c r="DL15" s="100" t="n"/>
      <x:c r="DM15" s="100" t="n"/>
      <x:c r="DN15" s="100" t="n"/>
      <x:c r="DO15" s="100" t="n"/>
      <x:c r="DP15" s="100" t="n"/>
      <x:c r="DQ15" s="100" t="n"/>
      <x:c r="DR15" s="100" t="n"/>
      <x:c r="DS15" s="100" t="n"/>
      <x:c r="DT15" s="100" t="n"/>
      <x:c r="DU15" s="100" t="n"/>
      <x:c r="DV15" s="100" t="n"/>
      <x:c r="DW15" s="100" t="n"/>
      <x:c r="DX15" s="100" t="n"/>
      <x:c r="DY15" s="100" t="n"/>
      <x:c r="DZ15" s="100" t="n"/>
      <x:c r="EA15" s="100" t="n"/>
      <x:c r="EB15" s="100" t="n"/>
      <x:c r="EC15" s="100" t="n"/>
      <x:c r="ED15" s="100" t="n"/>
      <x:c r="EE15" s="100" t="n"/>
      <x:c r="EF15" s="100" t="n"/>
      <x:c r="EG15" s="100" t="n"/>
      <x:c r="EH15" s="100" t="n"/>
      <x:c r="EI15" s="100" t="n"/>
      <x:c r="EJ15" s="100" t="n"/>
      <x:c r="EK15" s="100" t="n"/>
      <x:c r="EL15" s="100" t="n"/>
      <x:c r="EM15" s="100" t="n"/>
      <x:c r="EN15" s="100" t="n"/>
      <x:c r="EO15" s="100" t="n"/>
      <x:c r="EP15" s="100" t="n"/>
      <x:c r="EQ15" s="100" t="n"/>
      <x:c r="ER15" s="100" t="n"/>
      <x:c r="ES15" s="100" t="n"/>
      <x:c r="ET15" s="100" t="n"/>
      <x:c r="EU15" s="100" t="n"/>
      <x:c r="EV15" s="100" t="n"/>
      <x:c r="EW15" s="100" t="n"/>
      <x:c r="EX15" s="100" t="n"/>
      <x:c r="EY15" s="100" t="n"/>
      <x:c r="EZ15" s="100" t="n"/>
      <x:c r="FA15" s="100" t="n"/>
      <x:c r="FB15" s="100" t="n"/>
      <x:c r="FC15" s="100" t="n"/>
      <x:c r="FD15" s="100" t="n"/>
      <x:c r="FE15" s="100" t="n"/>
      <x:c r="FF15" s="100" t="n"/>
      <x:c r="FG15" s="100" t="n"/>
      <x:c r="FH15" s="100" t="n"/>
      <x:c r="FI15" s="100" t="n"/>
      <x:c r="FJ15" s="100" t="n"/>
      <x:c r="FK15" s="100" t="n"/>
      <x:c r="FL15" s="100" t="n"/>
      <x:c r="FM15" s="100" t="n"/>
      <x:c r="FN15" s="100" t="n"/>
      <x:c r="FO15" s="100" t="n"/>
      <x:c r="FP15" s="100" t="n"/>
      <x:c r="FQ15" s="100" t="n"/>
      <x:c r="FR15" s="100" t="n"/>
      <x:c r="FS15" s="100" t="n"/>
      <x:c r="FT15" s="100" t="n"/>
      <x:c r="FU15" s="100" t="n"/>
      <x:c r="FV15" s="100" t="n"/>
      <x:c r="FW15" s="100" t="n"/>
      <x:c r="FX15" s="100" t="n"/>
      <x:c r="FY15" s="100" t="n"/>
      <x:c r="FZ15" s="100" t="n"/>
      <x:c r="GA15" s="100" t="n"/>
      <x:c r="GB15" s="100" t="n"/>
      <x:c r="GC15" s="100" t="n"/>
      <x:c r="GD15" s="100" t="n"/>
      <x:c r="GE15" s="100" t="n"/>
      <x:c r="GF15" s="100" t="n"/>
    </x:row>
    <x:row r="16" s="27" customFormat="1">
      <x:c r="A16" s="38" t="n"/>
      <x:c r="B16" s="37" t="n"/>
      <x:c r="C16" s="36" t="n">
        <x:f>E16*D$5</x:f>
        <x:v>0</x:v>
      </x:c>
      <x:c r="D16" s="103" t="inlineStr">
        <x:is>
          <x:t xml:space="preserve">E. C. Winford</x:t>
        </x:is>
      </x:c>
      <x:c r="E16" s="36" t="n">
        <x:f>SUM(G16:HT16)</x:f>
        <x:v>0</x:v>
      </x:c>
      <x:c r="F16" s="35" t="n"/>
      <x:c r="G16" s="121" t="n"/>
      <x:c r="H16" s="122" t="n"/>
      <x:c r="I16" s="121" t="n"/>
      <x:c r="J16" s="121" t="n"/>
      <x:c r="K16" s="121" t="n"/>
      <x:c r="L16" s="121" t="n">
        <x:v>1</x:v>
      </x:c>
      <x:c r="M16" s="123" t="n">
        <x:v>-1</x:v>
      </x:c>
      <x:c r="N16" s="123" t="n"/>
      <x:c r="O16" s="123" t="n"/>
      <x:c r="P16" s="123" t="n"/>
      <x:c r="Q16" s="123" t="n"/>
      <x:c r="R16" s="123" t="n"/>
      <x:c r="S16" s="123" t="n"/>
      <x:c r="T16" s="123" t="n"/>
      <x:c r="U16" s="123" t="n"/>
      <x:c r="V16" s="123" t="n"/>
      <x:c r="W16" s="123" t="n"/>
      <x:c r="X16" s="123" t="n"/>
      <x:c r="Y16" s="123" t="n"/>
      <x:c r="Z16" s="123" t="n"/>
      <x:c r="AA16" s="123" t="n"/>
      <x:c r="AB16" s="123" t="n"/>
      <x:c r="AC16" s="123" t="n"/>
      <x:c r="AD16" s="123" t="n"/>
      <x:c r="AE16" s="123" t="n"/>
      <x:c r="AF16" s="123" t="n"/>
      <x:c r="AG16" s="123" t="n"/>
      <x:c r="AH16" s="123" t="n"/>
      <x:c r="AI16" s="123" t="n"/>
      <x:c r="AJ16" s="123" t="n"/>
      <x:c r="AK16" s="123" t="n"/>
      <x:c r="AL16" s="123" t="n"/>
      <x:c r="AM16" s="123" t="n"/>
      <x:c r="AN16" s="123" t="n"/>
      <x:c r="AO16" s="106" t="n"/>
      <x:c r="AP16" s="106" t="n"/>
      <x:c r="AQ16" s="123" t="n"/>
      <x:c r="AR16" s="123" t="n"/>
      <x:c r="AS16" s="123" t="n"/>
      <x:c r="AT16" s="123" t="n"/>
      <x:c r="AU16" s="123" t="n"/>
      <x:c r="AV16" s="123" t="n"/>
      <x:c r="AW16" s="122" t="n"/>
      <x:c r="AX16" s="122" t="n"/>
      <x:c r="AY16" s="122" t="n"/>
      <x:c r="AZ16" s="122" t="n"/>
      <x:c r="BA16" s="123" t="n"/>
      <x:c r="BB16" s="123" t="n"/>
      <x:c r="BC16" s="123" t="n"/>
      <x:c r="BD16" s="123" t="n"/>
      <x:c r="BE16" s="123" t="n"/>
      <x:c r="BF16" s="123" t="n"/>
      <x:c r="BG16" s="123" t="n"/>
      <x:c r="BH16" s="123" t="n"/>
      <x:c r="BI16" s="100" t="n"/>
      <x:c r="BJ16" s="100" t="n"/>
      <x:c r="BK16" s="100" t="n"/>
      <x:c r="BL16" s="100" t="n"/>
      <x:c r="BM16" s="100" t="n"/>
      <x:c r="BN16" s="100" t="n"/>
      <x:c r="BO16" s="100" t="n"/>
      <x:c r="BP16" s="100" t="n"/>
      <x:c r="BQ16" s="100" t="n"/>
      <x:c r="BR16" s="100" t="n"/>
      <x:c r="BS16" s="100" t="n"/>
      <x:c r="BT16" s="100" t="n"/>
      <x:c r="BU16" s="100" t="n"/>
      <x:c r="BV16" s="100" t="n"/>
      <x:c r="BW16" s="100" t="n"/>
      <x:c r="BX16" s="100" t="n"/>
      <x:c r="BY16" s="100" t="n"/>
      <x:c r="BZ16" s="100" t="n"/>
      <x:c r="CA16" s="100" t="n"/>
      <x:c r="CB16" s="100" t="n"/>
      <x:c r="CC16" s="100" t="n"/>
      <x:c r="CD16" s="100" t="n"/>
      <x:c r="CE16" s="100" t="n"/>
      <x:c r="CF16" s="100" t="n"/>
      <x:c r="CG16" s="100" t="n"/>
      <x:c r="CH16" s="100" t="n"/>
      <x:c r="CI16" s="100" t="n"/>
      <x:c r="CJ16" s="100" t="n"/>
      <x:c r="CK16" s="100" t="n"/>
      <x:c r="CL16" s="100" t="n"/>
      <x:c r="CM16" s="100" t="n"/>
      <x:c r="CN16" s="100" t="n"/>
      <x:c r="CO16" s="100" t="n"/>
      <x:c r="CP16" s="100" t="n"/>
      <x:c r="CQ16" s="100" t="n"/>
      <x:c r="CR16" s="100" t="n"/>
      <x:c r="CS16" s="100" t="n"/>
      <x:c r="CT16" s="100" t="n"/>
      <x:c r="CU16" s="100" t="n"/>
      <x:c r="CV16" s="100" t="n"/>
      <x:c r="CW16" s="100" t="n"/>
      <x:c r="CX16" s="100" t="n"/>
      <x:c r="CY16" s="100" t="n"/>
      <x:c r="CZ16" s="100" t="n"/>
      <x:c r="DA16" s="100" t="n"/>
      <x:c r="DB16" s="100" t="n"/>
      <x:c r="DC16" s="100" t="n"/>
      <x:c r="DD16" s="100" t="n"/>
      <x:c r="DE16" s="100" t="n"/>
      <x:c r="DF16" s="100" t="n"/>
      <x:c r="DG16" s="100" t="n"/>
      <x:c r="DH16" s="100" t="n"/>
      <x:c r="DI16" s="100" t="n"/>
      <x:c r="DJ16" s="100" t="n"/>
      <x:c r="DK16" s="100" t="n"/>
      <x:c r="DL16" s="100" t="n"/>
      <x:c r="DM16" s="100" t="n"/>
      <x:c r="DN16" s="100" t="n"/>
      <x:c r="DO16" s="100" t="n"/>
      <x:c r="DP16" s="100" t="n"/>
      <x:c r="DQ16" s="100" t="n"/>
      <x:c r="DR16" s="100" t="n"/>
      <x:c r="DS16" s="100" t="n"/>
      <x:c r="DT16" s="100" t="n"/>
      <x:c r="DU16" s="100" t="n"/>
      <x:c r="DV16" s="100" t="n"/>
      <x:c r="DW16" s="100" t="n"/>
      <x:c r="DX16" s="100" t="n"/>
      <x:c r="DY16" s="100" t="n"/>
      <x:c r="DZ16" s="100" t="n"/>
      <x:c r="EA16" s="100" t="n"/>
      <x:c r="EB16" s="100" t="n"/>
      <x:c r="EC16" s="100" t="n"/>
      <x:c r="ED16" s="100" t="n"/>
      <x:c r="EE16" s="100" t="n"/>
      <x:c r="EF16" s="100" t="n"/>
      <x:c r="EG16" s="100" t="n"/>
      <x:c r="EH16" s="100" t="n"/>
      <x:c r="EI16" s="100" t="n"/>
      <x:c r="EJ16" s="100" t="n"/>
      <x:c r="EK16" s="100" t="n"/>
      <x:c r="EL16" s="100" t="n"/>
      <x:c r="EM16" s="100" t="n"/>
      <x:c r="EN16" s="100" t="n"/>
      <x:c r="EO16" s="100" t="n"/>
      <x:c r="EP16" s="100" t="n"/>
      <x:c r="EQ16" s="100" t="n"/>
      <x:c r="ER16" s="100" t="n"/>
      <x:c r="ES16" s="100" t="n"/>
      <x:c r="ET16" s="100" t="n"/>
      <x:c r="EU16" s="100" t="n"/>
      <x:c r="EV16" s="100" t="n"/>
      <x:c r="EW16" s="100" t="n"/>
      <x:c r="EX16" s="100" t="n"/>
      <x:c r="EY16" s="100" t="n"/>
      <x:c r="EZ16" s="100" t="n"/>
      <x:c r="FA16" s="100" t="n"/>
      <x:c r="FB16" s="100" t="n"/>
      <x:c r="FC16" s="100" t="n"/>
      <x:c r="FD16" s="100" t="n"/>
      <x:c r="FE16" s="100" t="n"/>
      <x:c r="FF16" s="100" t="n"/>
      <x:c r="FG16" s="100" t="n"/>
      <x:c r="FH16" s="100" t="n"/>
      <x:c r="FI16" s="100" t="n"/>
      <x:c r="FJ16" s="100" t="n"/>
      <x:c r="FK16" s="100" t="n"/>
      <x:c r="FL16" s="100" t="n"/>
      <x:c r="FM16" s="100" t="n"/>
      <x:c r="FN16" s="100" t="n"/>
      <x:c r="FO16" s="100" t="n"/>
      <x:c r="FP16" s="100" t="n"/>
      <x:c r="FQ16" s="100" t="n"/>
      <x:c r="FR16" s="100" t="n"/>
      <x:c r="FS16" s="100" t="n"/>
      <x:c r="FT16" s="100" t="n"/>
      <x:c r="FU16" s="100" t="n"/>
      <x:c r="FV16" s="100" t="n"/>
      <x:c r="FW16" s="100" t="n"/>
      <x:c r="FX16" s="100" t="n"/>
      <x:c r="FY16" s="100" t="n"/>
      <x:c r="FZ16" s="100" t="n"/>
      <x:c r="GA16" s="100" t="n"/>
      <x:c r="GB16" s="100" t="n"/>
      <x:c r="GC16" s="100" t="n"/>
      <x:c r="GD16" s="100" t="n"/>
      <x:c r="GE16" s="100" t="n"/>
      <x:c r="GF16" s="100" t="n"/>
    </x:row>
    <x:row r="17" s="27" customFormat="1">
      <x:c r="A17" s="38" t="n"/>
      <x:c r="B17" s="39" t="n"/>
      <x:c r="C17" s="36" t="n">
        <x:f>E17*D$5</x:f>
        <x:v>0</x:v>
      </x:c>
      <x:c r="D17" s="103" t="inlineStr">
        <x:is>
          <x:t xml:space="preserve">Louis E. Jaques</x:t>
        </x:is>
      </x:c>
      <x:c r="E17" s="36" t="n">
        <x:f>SUM(G17:HT17)</x:f>
        <x:v>0</x:v>
      </x:c>
      <x:c r="F17" s="35" t="n"/>
      <x:c r="G17" s="121" t="n"/>
      <x:c r="H17" s="121" t="n"/>
      <x:c r="I17" s="121" t="n"/>
      <x:c r="J17" s="121" t="n"/>
      <x:c r="K17" s="121" t="n"/>
      <x:c r="L17" s="121" t="n"/>
      <x:c r="M17" s="123" t="n">
        <x:v>1</x:v>
      </x:c>
      <x:c r="N17" s="123" t="n">
        <x:v>-0.5</x:v>
      </x:c>
      <x:c r="O17" s="123" t="n">
        <x:v>-0.5</x:v>
      </x:c>
      <x:c r="P17" s="123" t="n"/>
      <x:c r="Q17" s="123" t="n"/>
      <x:c r="R17" s="123" t="n"/>
      <x:c r="S17" s="123" t="n"/>
      <x:c r="T17" s="123" t="n"/>
      <x:c r="U17" s="123" t="n"/>
      <x:c r="V17" s="123" t="n"/>
      <x:c r="W17" s="123" t="n"/>
      <x:c r="X17" s="123" t="n"/>
      <x:c r="Y17" s="123" t="n"/>
      <x:c r="Z17" s="123" t="n"/>
      <x:c r="AA17" s="123" t="n"/>
      <x:c r="AB17" s="123" t="n"/>
      <x:c r="AC17" s="123" t="n"/>
      <x:c r="AD17" s="123" t="n"/>
      <x:c r="AE17" s="123" t="n"/>
      <x:c r="AF17" s="123" t="n"/>
      <x:c r="AG17" s="123" t="n"/>
      <x:c r="AH17" s="123" t="n"/>
      <x:c r="AI17" s="123" t="n"/>
      <x:c r="AJ17" s="123" t="n"/>
      <x:c r="AK17" s="123" t="n"/>
      <x:c r="AL17" s="123" t="n"/>
      <x:c r="AM17" s="123" t="n"/>
      <x:c r="AN17" s="123" t="n"/>
      <x:c r="AO17" s="123" t="n"/>
      <x:c r="AP17" s="123" t="n"/>
      <x:c r="AQ17" s="123" t="n"/>
      <x:c r="AR17" s="123" t="n"/>
      <x:c r="AS17" s="123" t="n"/>
      <x:c r="AT17" s="123" t="n"/>
      <x:c r="AU17" s="123" t="n"/>
      <x:c r="AV17" s="123" t="n"/>
      <x:c r="AW17" s="122" t="n"/>
      <x:c r="AX17" s="122" t="n"/>
      <x:c r="AY17" s="122" t="n"/>
      <x:c r="AZ17" s="122" t="n"/>
      <x:c r="BA17" s="123" t="n"/>
      <x:c r="BB17" s="123" t="n"/>
      <x:c r="BC17" s="123" t="n"/>
      <x:c r="BD17" s="123" t="n"/>
      <x:c r="BE17" s="123" t="n"/>
      <x:c r="BF17" s="123" t="n"/>
      <x:c r="BG17" s="123" t="n"/>
      <x:c r="BH17" s="123" t="n"/>
      <x:c r="BI17" s="100" t="n"/>
      <x:c r="BJ17" s="100" t="n"/>
      <x:c r="BK17" s="100" t="n"/>
      <x:c r="BL17" s="100" t="n"/>
      <x:c r="BM17" s="100" t="n"/>
      <x:c r="BN17" s="100" t="n"/>
      <x:c r="BO17" s="100" t="n"/>
      <x:c r="BP17" s="100" t="n"/>
      <x:c r="BQ17" s="100" t="n"/>
      <x:c r="BR17" s="100" t="n"/>
      <x:c r="BS17" s="100" t="n"/>
      <x:c r="BT17" s="100" t="n"/>
      <x:c r="BU17" s="100" t="n"/>
      <x:c r="BV17" s="100" t="n"/>
      <x:c r="BW17" s="100" t="n"/>
      <x:c r="BX17" s="100" t="n"/>
      <x:c r="BY17" s="100" t="n"/>
      <x:c r="BZ17" s="100" t="n"/>
      <x:c r="CA17" s="100" t="n"/>
      <x:c r="CB17" s="100" t="n"/>
      <x:c r="CC17" s="100" t="n"/>
      <x:c r="CD17" s="100" t="n"/>
      <x:c r="CE17" s="100" t="n"/>
      <x:c r="CF17" s="100" t="n"/>
      <x:c r="CG17" s="100" t="n"/>
      <x:c r="CH17" s="100" t="n"/>
      <x:c r="CI17" s="100" t="n"/>
      <x:c r="CJ17" s="100" t="n"/>
      <x:c r="CK17" s="100" t="n"/>
      <x:c r="CL17" s="100" t="n"/>
      <x:c r="CM17" s="100" t="n"/>
      <x:c r="CN17" s="100" t="n"/>
      <x:c r="CO17" s="100" t="n"/>
      <x:c r="CP17" s="100" t="n"/>
      <x:c r="CQ17" s="100" t="n"/>
      <x:c r="CR17" s="100" t="n"/>
      <x:c r="CS17" s="100" t="n"/>
      <x:c r="CT17" s="100" t="n"/>
      <x:c r="CU17" s="100" t="n"/>
      <x:c r="CV17" s="100" t="n"/>
      <x:c r="CW17" s="100" t="n"/>
      <x:c r="CX17" s="100" t="n"/>
      <x:c r="CY17" s="100" t="n"/>
      <x:c r="CZ17" s="100" t="n"/>
      <x:c r="DA17" s="100" t="n"/>
      <x:c r="DB17" s="100" t="n"/>
      <x:c r="DC17" s="100" t="n"/>
      <x:c r="DD17" s="100" t="n"/>
      <x:c r="DE17" s="100" t="n"/>
      <x:c r="DF17" s="100" t="n"/>
      <x:c r="DG17" s="100" t="n"/>
      <x:c r="DH17" s="100" t="n"/>
      <x:c r="DI17" s="100" t="n"/>
      <x:c r="DJ17" s="100" t="n"/>
      <x:c r="DK17" s="100" t="n"/>
      <x:c r="DL17" s="100" t="n"/>
      <x:c r="DM17" s="100" t="n"/>
      <x:c r="DN17" s="100" t="n"/>
      <x:c r="DO17" s="100" t="n"/>
      <x:c r="DP17" s="100" t="n"/>
      <x:c r="DQ17" s="100" t="n"/>
      <x:c r="DR17" s="100" t="n"/>
      <x:c r="DS17" s="100" t="n"/>
      <x:c r="DT17" s="100" t="n"/>
      <x:c r="DU17" s="100" t="n"/>
      <x:c r="DV17" s="100" t="n"/>
      <x:c r="DW17" s="100" t="n"/>
      <x:c r="DX17" s="100" t="n"/>
      <x:c r="DY17" s="100" t="n"/>
      <x:c r="DZ17" s="100" t="n"/>
      <x:c r="EA17" s="100" t="n"/>
      <x:c r="EB17" s="100" t="n"/>
      <x:c r="EC17" s="100" t="n"/>
      <x:c r="ED17" s="100" t="n"/>
      <x:c r="EE17" s="100" t="n"/>
      <x:c r="EF17" s="100" t="n"/>
      <x:c r="EG17" s="100" t="n"/>
      <x:c r="EH17" s="100" t="n"/>
      <x:c r="EI17" s="100" t="n"/>
      <x:c r="EJ17" s="100" t="n"/>
      <x:c r="EK17" s="100" t="n"/>
      <x:c r="EL17" s="100" t="n"/>
      <x:c r="EM17" s="100" t="n"/>
      <x:c r="EN17" s="100" t="n"/>
      <x:c r="EO17" s="100" t="n"/>
      <x:c r="EP17" s="100" t="n"/>
      <x:c r="EQ17" s="100" t="n"/>
      <x:c r="ER17" s="100" t="n"/>
      <x:c r="ES17" s="100" t="n"/>
      <x:c r="ET17" s="100" t="n"/>
      <x:c r="EU17" s="100" t="n"/>
      <x:c r="EV17" s="100" t="n"/>
      <x:c r="EW17" s="100" t="n"/>
      <x:c r="EX17" s="100" t="n"/>
      <x:c r="EY17" s="100" t="n"/>
      <x:c r="EZ17" s="100" t="n"/>
      <x:c r="FA17" s="100" t="n"/>
      <x:c r="FB17" s="100" t="n"/>
      <x:c r="FC17" s="100" t="n"/>
      <x:c r="FD17" s="100" t="n"/>
      <x:c r="FE17" s="100" t="n"/>
      <x:c r="FF17" s="100" t="n"/>
      <x:c r="FG17" s="100" t="n"/>
      <x:c r="FH17" s="100" t="n"/>
      <x:c r="FI17" s="100" t="n"/>
      <x:c r="FJ17" s="100" t="n"/>
      <x:c r="FK17" s="100" t="n"/>
      <x:c r="FL17" s="100" t="n"/>
      <x:c r="FM17" s="100" t="n"/>
      <x:c r="FN17" s="100" t="n"/>
      <x:c r="FO17" s="100" t="n"/>
      <x:c r="FP17" s="100" t="n"/>
      <x:c r="FQ17" s="100" t="n"/>
      <x:c r="FR17" s="100" t="n"/>
      <x:c r="FS17" s="100" t="n"/>
      <x:c r="FT17" s="100" t="n"/>
      <x:c r="FU17" s="100" t="n"/>
      <x:c r="FV17" s="100" t="n"/>
      <x:c r="FW17" s="100" t="n"/>
      <x:c r="FX17" s="100" t="n"/>
      <x:c r="FY17" s="100" t="n"/>
      <x:c r="FZ17" s="100" t="n"/>
      <x:c r="GA17" s="100" t="n"/>
      <x:c r="GB17" s="100" t="n"/>
      <x:c r="GC17" s="100" t="n"/>
      <x:c r="GD17" s="100" t="n"/>
      <x:c r="GE17" s="100" t="n"/>
      <x:c r="GF17" s="100" t="n"/>
    </x:row>
    <x:row r="18" s="27" customFormat="1">
      <x:c r="A18" s="38" t="n"/>
      <x:c r="B18" s="37" t="n"/>
      <x:c r="C18" s="36" t="n">
        <x:f>E18*D$5</x:f>
        <x:v>0</x:v>
      </x:c>
      <x:c r="D18" s="104" t="inlineStr">
        <x:is>
          <x:t xml:space="preserve">Panhandle Co-operative Royalty Co.</x:t>
        </x:is>
      </x:c>
      <x:c r="E18" s="36" t="n">
        <x:f>SUM(G18:HT18)</x:f>
        <x:v>0</x:v>
      </x:c>
      <x:c r="F18" s="35" t="n"/>
      <x:c r="G18" s="121" t="n"/>
      <x:c r="H18" s="121" t="n"/>
      <x:c r="I18" s="121" t="n"/>
      <x:c r="J18" s="121" t="n"/>
      <x:c r="K18" s="121" t="n"/>
      <x:c r="L18" s="121" t="n"/>
      <x:c r="M18" s="123" t="n"/>
      <x:c r="N18" s="123" t="n">
        <x:v>0.5</x:v>
      </x:c>
      <x:c r="O18" s="123" t="n"/>
      <x:c r="P18" s="124" t="n"/>
      <x:c r="Q18" s="123" t="n"/>
      <x:c r="R18" s="123" t="n"/>
      <x:c r="S18" s="123" t="n">
        <x:v>-0.125</x:v>
      </x:c>
      <x:c r="T18" s="123" t="n">
        <x:v>-0.125</x:v>
      </x:c>
      <x:c r="U18" s="123" t="n"/>
      <x:c r="V18" s="123" t="n"/>
      <x:c r="W18" s="123" t="n"/>
      <x:c r="X18" s="124" t="n">
        <x:v>-0.25</x:v>
      </x:c>
      <x:c r="Y18" s="124" t="n"/>
      <x:c r="Z18" s="123" t="n"/>
      <x:c r="AA18" s="123" t="n"/>
      <x:c r="AB18" s="123" t="n"/>
      <x:c r="AC18" s="123" t="n"/>
      <x:c r="AD18" s="123" t="n"/>
      <x:c r="AE18" s="123" t="n"/>
      <x:c r="AF18" s="123" t="n"/>
      <x:c r="AG18" s="123" t="n"/>
      <x:c r="AH18" s="123" t="n"/>
      <x:c r="AI18" s="123" t="n"/>
      <x:c r="AJ18" s="123" t="n"/>
      <x:c r="AK18" s="123" t="n"/>
      <x:c r="AL18" s="123" t="n"/>
      <x:c r="AM18" s="123" t="n"/>
      <x:c r="AN18" s="123" t="n"/>
      <x:c r="AO18" s="123" t="n"/>
      <x:c r="AP18" s="123" t="n"/>
      <x:c r="AQ18" s="123" t="n"/>
      <x:c r="AR18" s="123" t="n"/>
      <x:c r="AS18" s="123" t="n"/>
      <x:c r="AT18" s="123" t="n"/>
      <x:c r="AU18" s="123" t="n"/>
      <x:c r="AV18" s="123" t="n"/>
      <x:c r="AW18" s="122" t="n"/>
      <x:c r="AX18" s="122" t="n"/>
      <x:c r="AY18" s="122" t="n"/>
      <x:c r="AZ18" s="122" t="n"/>
      <x:c r="BA18" s="123" t="n"/>
      <x:c r="BB18" s="123" t="n"/>
      <x:c r="BC18" s="123" t="n"/>
      <x:c r="BD18" s="124" t="n"/>
      <x:c r="BE18" s="123" t="n"/>
      <x:c r="BF18" s="123" t="n"/>
      <x:c r="BG18" s="123" t="n"/>
      <x:c r="BH18" s="123" t="n"/>
      <x:c r="BI18" s="100" t="n"/>
      <x:c r="BJ18" s="100" t="n"/>
      <x:c r="BK18" s="100" t="n"/>
      <x:c r="BL18" s="100" t="n"/>
      <x:c r="BM18" s="100" t="n"/>
      <x:c r="BN18" s="100" t="n"/>
      <x:c r="BO18" s="100" t="n"/>
      <x:c r="BP18" s="100" t="n"/>
      <x:c r="BQ18" s="100" t="n"/>
      <x:c r="BR18" s="100" t="n"/>
      <x:c r="BS18" s="100" t="n"/>
      <x:c r="BT18" s="100" t="n"/>
      <x:c r="BU18" s="100" t="n"/>
      <x:c r="BV18" s="100" t="n"/>
      <x:c r="BW18" s="100" t="n"/>
      <x:c r="BX18" s="100" t="n"/>
      <x:c r="BY18" s="100" t="n"/>
      <x:c r="BZ18" s="100" t="n"/>
      <x:c r="CA18" s="100" t="n"/>
      <x:c r="CB18" s="100" t="n"/>
      <x:c r="CC18" s="100" t="n"/>
      <x:c r="CD18" s="100" t="n"/>
      <x:c r="CE18" s="100" t="n"/>
      <x:c r="CF18" s="100" t="n"/>
      <x:c r="CG18" s="100" t="n"/>
      <x:c r="CH18" s="100" t="n"/>
      <x:c r="CI18" s="100" t="n"/>
      <x:c r="CJ18" s="100" t="n"/>
      <x:c r="CK18" s="100" t="n"/>
      <x:c r="CL18" s="100" t="n"/>
      <x:c r="CM18" s="100" t="n"/>
      <x:c r="CN18" s="100" t="n"/>
      <x:c r="CO18" s="100" t="n"/>
      <x:c r="CP18" s="100" t="n"/>
      <x:c r="CQ18" s="100" t="n"/>
      <x:c r="CR18" s="100" t="n"/>
      <x:c r="CS18" s="100" t="n"/>
      <x:c r="CT18" s="100" t="n"/>
      <x:c r="CU18" s="100" t="n"/>
      <x:c r="CV18" s="100" t="n"/>
      <x:c r="CW18" s="100" t="n"/>
      <x:c r="CX18" s="100" t="n"/>
      <x:c r="CY18" s="100" t="n"/>
      <x:c r="CZ18" s="100" t="n"/>
      <x:c r="DA18" s="100" t="n"/>
      <x:c r="DB18" s="100" t="n"/>
      <x:c r="DC18" s="100" t="n"/>
      <x:c r="DD18" s="100" t="n"/>
      <x:c r="DE18" s="100" t="n"/>
      <x:c r="DF18" s="100" t="n"/>
      <x:c r="DG18" s="100" t="n"/>
      <x:c r="DH18" s="100" t="n"/>
      <x:c r="DI18" s="100" t="n"/>
      <x:c r="DJ18" s="100" t="n"/>
      <x:c r="DK18" s="100" t="n"/>
      <x:c r="DL18" s="100" t="n"/>
      <x:c r="DM18" s="100" t="n"/>
      <x:c r="DN18" s="100" t="n"/>
      <x:c r="DO18" s="100" t="n"/>
      <x:c r="DP18" s="100" t="n"/>
      <x:c r="DQ18" s="100" t="n"/>
      <x:c r="DR18" s="100" t="n"/>
      <x:c r="DS18" s="100" t="n"/>
      <x:c r="DT18" s="100" t="n"/>
      <x:c r="DU18" s="100" t="n"/>
      <x:c r="DV18" s="100" t="n"/>
      <x:c r="DW18" s="100" t="n"/>
      <x:c r="DX18" s="100" t="n"/>
      <x:c r="DY18" s="100" t="n"/>
      <x:c r="DZ18" s="100" t="n"/>
      <x:c r="EA18" s="100" t="n"/>
      <x:c r="EB18" s="100" t="n"/>
      <x:c r="EC18" s="100" t="n"/>
      <x:c r="ED18" s="100" t="n"/>
      <x:c r="EE18" s="100" t="n"/>
      <x:c r="EF18" s="100" t="n"/>
      <x:c r="EG18" s="100" t="n"/>
      <x:c r="EH18" s="100" t="n"/>
      <x:c r="EI18" s="100" t="n"/>
      <x:c r="EJ18" s="100" t="n"/>
      <x:c r="EK18" s="100" t="n"/>
      <x:c r="EL18" s="100" t="n"/>
      <x:c r="EM18" s="100" t="n"/>
      <x:c r="EN18" s="100" t="n"/>
      <x:c r="EO18" s="100" t="n"/>
      <x:c r="EP18" s="100" t="n"/>
      <x:c r="EQ18" s="100" t="n"/>
      <x:c r="ER18" s="100" t="n"/>
      <x:c r="ES18" s="100" t="n"/>
      <x:c r="ET18" s="100" t="n"/>
      <x:c r="EU18" s="100" t="n"/>
      <x:c r="EV18" s="100" t="n"/>
      <x:c r="EW18" s="100" t="n"/>
      <x:c r="EX18" s="100" t="n"/>
      <x:c r="EY18" s="100" t="n"/>
      <x:c r="EZ18" s="100" t="n"/>
      <x:c r="FA18" s="100" t="n"/>
      <x:c r="FB18" s="100" t="n"/>
      <x:c r="FC18" s="100" t="n"/>
      <x:c r="FD18" s="100" t="n"/>
      <x:c r="FE18" s="100" t="n"/>
      <x:c r="FF18" s="100" t="n"/>
      <x:c r="FG18" s="100" t="n"/>
      <x:c r="FH18" s="100" t="n"/>
      <x:c r="FI18" s="100" t="n"/>
      <x:c r="FJ18" s="100" t="n"/>
      <x:c r="FK18" s="100" t="n"/>
      <x:c r="FL18" s="100" t="n"/>
      <x:c r="FM18" s="100" t="n"/>
      <x:c r="FN18" s="100" t="n"/>
      <x:c r="FO18" s="100" t="n"/>
      <x:c r="FP18" s="100" t="n"/>
      <x:c r="FQ18" s="100" t="n"/>
      <x:c r="FR18" s="100" t="n"/>
      <x:c r="FS18" s="100" t="n"/>
      <x:c r="FT18" s="100" t="n"/>
      <x:c r="FU18" s="100" t="n"/>
      <x:c r="FV18" s="100" t="n"/>
      <x:c r="FW18" s="100" t="n"/>
      <x:c r="FX18" s="100" t="n"/>
      <x:c r="FY18" s="100" t="n"/>
      <x:c r="FZ18" s="100" t="n"/>
      <x:c r="GA18" s="100" t="n"/>
      <x:c r="GB18" s="100" t="n"/>
      <x:c r="GC18" s="100" t="n"/>
      <x:c r="GD18" s="100" t="n"/>
      <x:c r="GE18" s="100" t="n"/>
      <x:c r="GF18" s="100" t="n"/>
    </x:row>
    <x:row r="19" s="27" customFormat="1">
      <x:c r="A19" s="38" t="n"/>
      <x:c r="B19" s="37" t="n"/>
      <x:c r="C19" s="36" t="n">
        <x:f>E19*D$5</x:f>
        <x:v>0</x:v>
      </x:c>
      <x:c r="D19" s="104" t="inlineStr">
        <x:is>
          <x:t xml:space="preserve">Virginia Jaques</x:t>
        </x:is>
      </x:c>
      <x:c r="E19" s="36" t="n">
        <x:f>SUM(G19:HT19)</x:f>
        <x:v>0</x:v>
      </x:c>
      <x:c r="F19" s="35" t="n"/>
      <x:c r="G19" s="121" t="n"/>
      <x:c r="H19" s="121" t="n"/>
      <x:c r="I19" s="121" t="n"/>
      <x:c r="J19" s="121" t="n"/>
      <x:c r="K19" s="121" t="n"/>
      <x:c r="L19" s="121" t="n"/>
      <x:c r="M19" s="123" t="n"/>
      <x:c r="N19" s="123" t="n"/>
      <x:c r="O19" s="123" t="n">
        <x:v>0.25</x:v>
      </x:c>
      <x:c r="P19" s="124" t="n">
        <x:v>0.25</x:v>
      </x:c>
      <x:c r="Q19" s="123" t="n">
        <x:v>-0.5</x:v>
      </x:c>
      <x:c r="R19" s="123" t="n">
        <x:v>0</x:v>
      </x:c>
      <x:c r="S19" s="123" t="n"/>
      <x:c r="T19" s="123" t="n"/>
      <x:c r="U19" s="123" t="n"/>
      <x:c r="V19" s="123" t="n"/>
      <x:c r="W19" s="123" t="n"/>
      <x:c r="X19" s="123" t="n"/>
      <x:c r="Y19" s="123" t="n"/>
      <x:c r="Z19" s="123" t="n"/>
      <x:c r="AA19" s="123" t="n"/>
      <x:c r="AB19" s="123" t="n"/>
      <x:c r="AC19" s="123" t="n"/>
      <x:c r="AD19" s="123" t="n"/>
      <x:c r="AE19" s="123" t="n"/>
      <x:c r="AF19" s="123" t="n"/>
      <x:c r="AG19" s="123" t="n"/>
      <x:c r="AH19" s="123" t="n"/>
      <x:c r="AI19" s="123" t="n"/>
      <x:c r="AJ19" s="123" t="n"/>
      <x:c r="AK19" s="123" t="n"/>
      <x:c r="AL19" s="123" t="n"/>
      <x:c r="AM19" s="123" t="n"/>
      <x:c r="AN19" s="123" t="n"/>
      <x:c r="AO19" s="123" t="n"/>
      <x:c r="AP19" s="123" t="n"/>
      <x:c r="AQ19" s="123" t="n"/>
      <x:c r="AR19" s="123" t="n"/>
      <x:c r="AS19" s="123" t="n"/>
      <x:c r="AT19" s="123" t="n"/>
      <x:c r="AU19" s="123" t="n"/>
      <x:c r="AV19" s="123" t="n"/>
      <x:c r="AW19" s="122" t="n"/>
      <x:c r="AX19" s="122" t="n"/>
      <x:c r="AY19" s="122" t="n"/>
      <x:c r="AZ19" s="122" t="n"/>
      <x:c r="BA19" s="123" t="n"/>
      <x:c r="BB19" s="123" t="n"/>
      <x:c r="BC19" s="123" t="n"/>
      <x:c r="BD19" s="123" t="n"/>
      <x:c r="BE19" s="123" t="n"/>
      <x:c r="BF19" s="123" t="n"/>
      <x:c r="BG19" s="123" t="n"/>
      <x:c r="BH19" s="123" t="n"/>
      <x:c r="BI19" s="100" t="n"/>
      <x:c r="BJ19" s="100" t="n"/>
      <x:c r="BK19" s="100" t="n"/>
      <x:c r="BL19" s="100" t="n"/>
      <x:c r="BM19" s="100" t="n"/>
      <x:c r="BN19" s="100" t="n"/>
      <x:c r="BO19" s="100" t="n"/>
      <x:c r="BP19" s="100" t="n"/>
      <x:c r="BQ19" s="100" t="n"/>
      <x:c r="BR19" s="100" t="n"/>
      <x:c r="BS19" s="100" t="n"/>
      <x:c r="BT19" s="100" t="n"/>
      <x:c r="BU19" s="100" t="n"/>
      <x:c r="BV19" s="100" t="n"/>
      <x:c r="BW19" s="100" t="n"/>
      <x:c r="BX19" s="100" t="n"/>
      <x:c r="BY19" s="100" t="n"/>
      <x:c r="BZ19" s="100" t="n"/>
      <x:c r="CA19" s="100" t="n"/>
      <x:c r="CB19" s="100" t="n"/>
      <x:c r="CC19" s="100" t="n"/>
      <x:c r="CD19" s="100" t="n"/>
      <x:c r="CE19" s="100" t="n"/>
      <x:c r="CF19" s="100" t="n"/>
      <x:c r="CG19" s="100" t="n"/>
      <x:c r="CH19" s="100" t="n"/>
      <x:c r="CI19" s="100" t="n"/>
      <x:c r="CJ19" s="100" t="n"/>
      <x:c r="CK19" s="100" t="n"/>
      <x:c r="CL19" s="100" t="n"/>
      <x:c r="CM19" s="100" t="n"/>
      <x:c r="CN19" s="100" t="n"/>
      <x:c r="CO19" s="100" t="n"/>
      <x:c r="CP19" s="100" t="n"/>
      <x:c r="CQ19" s="100" t="n"/>
      <x:c r="CR19" s="100" t="n"/>
      <x:c r="CS19" s="100" t="n"/>
      <x:c r="CT19" s="100" t="n"/>
      <x:c r="CU19" s="100" t="n"/>
      <x:c r="CV19" s="100" t="n"/>
      <x:c r="CW19" s="100" t="n"/>
      <x:c r="CX19" s="100" t="n"/>
      <x:c r="CY19" s="100" t="n"/>
      <x:c r="CZ19" s="100" t="n"/>
      <x:c r="DA19" s="100" t="n"/>
      <x:c r="DB19" s="100" t="n"/>
      <x:c r="DC19" s="100" t="n"/>
      <x:c r="DD19" s="100" t="n"/>
      <x:c r="DE19" s="100" t="n"/>
      <x:c r="DF19" s="100" t="n"/>
      <x:c r="DG19" s="100" t="n"/>
      <x:c r="DH19" s="100" t="n"/>
      <x:c r="DI19" s="100" t="n"/>
      <x:c r="DJ19" s="100" t="n"/>
      <x:c r="DK19" s="100" t="n"/>
      <x:c r="DL19" s="100" t="n"/>
      <x:c r="DM19" s="100" t="n"/>
      <x:c r="DN19" s="100" t="n"/>
      <x:c r="DO19" s="100" t="n"/>
      <x:c r="DP19" s="100" t="n"/>
      <x:c r="DQ19" s="100" t="n"/>
      <x:c r="DR19" s="100" t="n"/>
      <x:c r="DS19" s="100" t="n"/>
      <x:c r="DT19" s="100" t="n"/>
      <x:c r="DU19" s="100" t="n"/>
      <x:c r="DV19" s="100" t="n"/>
      <x:c r="DW19" s="100" t="n"/>
      <x:c r="DX19" s="100" t="n"/>
      <x:c r="DY19" s="100" t="n"/>
      <x:c r="DZ19" s="100" t="n"/>
      <x:c r="EA19" s="100" t="n"/>
      <x:c r="EB19" s="100" t="n"/>
      <x:c r="EC19" s="100" t="n"/>
      <x:c r="ED19" s="100" t="n"/>
      <x:c r="EE19" s="100" t="n"/>
      <x:c r="EF19" s="100" t="n"/>
      <x:c r="EG19" s="100" t="n"/>
      <x:c r="EH19" s="100" t="n"/>
      <x:c r="EI19" s="100" t="n"/>
      <x:c r="EJ19" s="100" t="n"/>
      <x:c r="EK19" s="100" t="n"/>
      <x:c r="EL19" s="100" t="n"/>
      <x:c r="EM19" s="100" t="n"/>
      <x:c r="EN19" s="100" t="n"/>
      <x:c r="EO19" s="100" t="n"/>
      <x:c r="EP19" s="100" t="n"/>
      <x:c r="EQ19" s="100" t="n"/>
      <x:c r="ER19" s="100" t="n"/>
      <x:c r="ES19" s="100" t="n"/>
      <x:c r="ET19" s="100" t="n"/>
      <x:c r="EU19" s="100" t="n"/>
      <x:c r="EV19" s="100" t="n"/>
      <x:c r="EW19" s="100" t="n"/>
      <x:c r="EX19" s="100" t="n"/>
      <x:c r="EY19" s="100" t="n"/>
      <x:c r="EZ19" s="100" t="n"/>
      <x:c r="FA19" s="100" t="n"/>
      <x:c r="FB19" s="100" t="n"/>
      <x:c r="FC19" s="100" t="n"/>
      <x:c r="FD19" s="100" t="n"/>
      <x:c r="FE19" s="100" t="n"/>
      <x:c r="FF19" s="100" t="n"/>
      <x:c r="FG19" s="100" t="n"/>
      <x:c r="FH19" s="100" t="n"/>
      <x:c r="FI19" s="100" t="n"/>
      <x:c r="FJ19" s="100" t="n"/>
      <x:c r="FK19" s="100" t="n"/>
      <x:c r="FL19" s="100" t="n"/>
      <x:c r="FM19" s="100" t="n"/>
      <x:c r="FN19" s="100" t="n"/>
      <x:c r="FO19" s="100" t="n"/>
      <x:c r="FP19" s="100" t="n"/>
      <x:c r="FQ19" s="100" t="n"/>
      <x:c r="FR19" s="100" t="n"/>
      <x:c r="FS19" s="100" t="n"/>
      <x:c r="FT19" s="100" t="n"/>
      <x:c r="FU19" s="100" t="n"/>
      <x:c r="FV19" s="100" t="n"/>
      <x:c r="FW19" s="100" t="n"/>
      <x:c r="FX19" s="100" t="n"/>
      <x:c r="FY19" s="100" t="n"/>
      <x:c r="FZ19" s="100" t="n"/>
      <x:c r="GA19" s="100" t="n"/>
      <x:c r="GB19" s="100" t="n"/>
      <x:c r="GC19" s="100" t="n"/>
      <x:c r="GD19" s="100" t="n"/>
      <x:c r="GE19" s="100" t="n"/>
      <x:c r="GF19" s="100" t="n"/>
    </x:row>
    <x:row r="20" s="27" customFormat="1">
      <x:c r="A20" s="38" t="n"/>
      <x:c r="B20" s="37" t="n"/>
      <x:c r="C20" s="86" t="n">
        <x:f>E20*D$5</x:f>
        <x:v>0</x:v>
      </x:c>
      <x:c r="D20" s="104" t="inlineStr">
        <x:is>
          <x:t xml:space="preserve">Ethel Brister</x:t>
        </x:is>
      </x:c>
      <x:c r="E20" s="86" t="n">
        <x:f>SUM(G20:HT20)</x:f>
        <x:v>0</x:v>
      </x:c>
      <x:c r="F20" s="35" t="n"/>
      <x:c r="G20" s="121" t="n"/>
      <x:c r="H20" s="121" t="n"/>
      <x:c r="I20" s="121" t="n"/>
      <x:c r="J20" s="121" t="n"/>
      <x:c r="K20" s="121" t="n"/>
      <x:c r="L20" s="121" t="n"/>
      <x:c r="M20" s="123" t="n"/>
      <x:c r="N20" s="123" t="n"/>
      <x:c r="O20" s="123" t="n">
        <x:v>0.25</x:v>
      </x:c>
      <x:c r="P20" s="124" t="n">
        <x:v>-0.25</x:v>
      </x:c>
      <x:c r="Q20" s="123" t="n"/>
      <x:c r="R20" s="123" t="n">
        <x:v>0</x:v>
      </x:c>
      <x:c r="S20" s="123" t="n"/>
      <x:c r="T20" s="124" t="n"/>
      <x:c r="U20" s="123" t="n"/>
      <x:c r="V20" s="123" t="n"/>
      <x:c r="W20" s="123" t="n"/>
      <x:c r="X20" s="123" t="n"/>
      <x:c r="Y20" s="123" t="n"/>
      <x:c r="Z20" s="123" t="n"/>
      <x:c r="AA20" s="123" t="n"/>
      <x:c r="AB20" s="123" t="n"/>
      <x:c r="AC20" s="123" t="n"/>
      <x:c r="AD20" s="123" t="n"/>
      <x:c r="AE20" s="123" t="n"/>
      <x:c r="AF20" s="123" t="n"/>
      <x:c r="AG20" s="123" t="n"/>
      <x:c r="AH20" s="123" t="n"/>
      <x:c r="AI20" s="123" t="n"/>
      <x:c r="AJ20" s="123" t="n"/>
      <x:c r="AK20" s="123" t="n"/>
      <x:c r="AL20" s="123" t="n"/>
      <x:c r="AM20" s="123" t="n"/>
      <x:c r="AN20" s="123" t="n"/>
      <x:c r="AO20" s="123" t="n"/>
      <x:c r="AP20" s="123" t="n"/>
      <x:c r="AQ20" s="123" t="n"/>
      <x:c r="AR20" s="123" t="n"/>
      <x:c r="AS20" s="123" t="n"/>
      <x:c r="AT20" s="123" t="n"/>
      <x:c r="AU20" s="123" t="n"/>
      <x:c r="AV20" s="123" t="n"/>
      <x:c r="AW20" s="123" t="n"/>
      <x:c r="AX20" s="123" t="n"/>
      <x:c r="AY20" s="123" t="n"/>
      <x:c r="AZ20" s="123" t="n"/>
      <x:c r="BA20" s="123" t="n"/>
      <x:c r="BB20" s="123" t="n"/>
      <x:c r="BC20" s="123" t="n"/>
      <x:c r="BD20" s="123" t="n"/>
      <x:c r="BE20" s="123" t="n"/>
      <x:c r="BF20" s="123" t="n"/>
      <x:c r="BG20" s="123" t="n"/>
      <x:c r="BH20" s="123" t="n"/>
      <x:c r="BI20" s="100" t="n"/>
      <x:c r="BJ20" s="100" t="n"/>
      <x:c r="BK20" s="100" t="n"/>
      <x:c r="BL20" s="100" t="n"/>
      <x:c r="BM20" s="100" t="n"/>
      <x:c r="BN20" s="100" t="n"/>
      <x:c r="BO20" s="100" t="n"/>
      <x:c r="BP20" s="100" t="n"/>
      <x:c r="BQ20" s="100" t="n"/>
      <x:c r="BR20" s="100" t="n"/>
      <x:c r="BS20" s="100" t="n"/>
      <x:c r="BT20" s="100" t="n"/>
      <x:c r="BU20" s="100" t="n"/>
      <x:c r="BV20" s="100" t="n"/>
      <x:c r="BW20" s="100" t="n"/>
      <x:c r="BX20" s="100" t="n"/>
      <x:c r="BY20" s="100" t="n"/>
      <x:c r="BZ20" s="100" t="n"/>
      <x:c r="CA20" s="100" t="n"/>
      <x:c r="CB20" s="100" t="n"/>
      <x:c r="CC20" s="100" t="n"/>
      <x:c r="CD20" s="100" t="n"/>
      <x:c r="CE20" s="100" t="n"/>
      <x:c r="CF20" s="100" t="n"/>
      <x:c r="CG20" s="100" t="n"/>
      <x:c r="CH20" s="100" t="n"/>
      <x:c r="CI20" s="100" t="n"/>
      <x:c r="CJ20" s="100" t="n"/>
      <x:c r="CK20" s="100" t="n"/>
      <x:c r="CL20" s="100" t="n"/>
      <x:c r="CM20" s="100" t="n"/>
      <x:c r="CN20" s="100" t="n"/>
      <x:c r="CO20" s="100" t="n"/>
      <x:c r="CP20" s="100" t="n"/>
      <x:c r="CQ20" s="100" t="n"/>
      <x:c r="CR20" s="100" t="n"/>
      <x:c r="CS20" s="100" t="n"/>
      <x:c r="CT20" s="100" t="n"/>
      <x:c r="CU20" s="100" t="n"/>
      <x:c r="CV20" s="100" t="n"/>
      <x:c r="CW20" s="100" t="n"/>
      <x:c r="CX20" s="100" t="n"/>
      <x:c r="CY20" s="100" t="n"/>
      <x:c r="CZ20" s="100" t="n"/>
      <x:c r="DA20" s="100" t="n"/>
      <x:c r="DB20" s="100" t="n"/>
      <x:c r="DC20" s="100" t="n"/>
      <x:c r="DD20" s="100" t="n"/>
      <x:c r="DE20" s="100" t="n"/>
      <x:c r="DF20" s="100" t="n"/>
      <x:c r="DG20" s="100" t="n"/>
      <x:c r="DH20" s="100" t="n"/>
      <x:c r="DI20" s="100" t="n"/>
      <x:c r="DJ20" s="100" t="n"/>
      <x:c r="DK20" s="100" t="n"/>
      <x:c r="DL20" s="100" t="n"/>
      <x:c r="DM20" s="100" t="n"/>
      <x:c r="DN20" s="100" t="n"/>
      <x:c r="DO20" s="100" t="n"/>
      <x:c r="DP20" s="100" t="n"/>
      <x:c r="DQ20" s="100" t="n"/>
      <x:c r="DR20" s="100" t="n"/>
      <x:c r="DS20" s="100" t="n"/>
      <x:c r="DT20" s="100" t="n"/>
      <x:c r="DU20" s="100" t="n"/>
      <x:c r="DV20" s="100" t="n"/>
      <x:c r="DW20" s="100" t="n"/>
      <x:c r="DX20" s="100" t="n"/>
      <x:c r="DY20" s="100" t="n"/>
      <x:c r="DZ20" s="100" t="n"/>
      <x:c r="EA20" s="100" t="n"/>
      <x:c r="EB20" s="100" t="n"/>
      <x:c r="EC20" s="100" t="n"/>
      <x:c r="ED20" s="100" t="n"/>
      <x:c r="EE20" s="100" t="n"/>
      <x:c r="EF20" s="100" t="n"/>
      <x:c r="EG20" s="100" t="n"/>
      <x:c r="EH20" s="100" t="n"/>
      <x:c r="EI20" s="100" t="n"/>
      <x:c r="EJ20" s="100" t="n"/>
      <x:c r="EK20" s="100" t="n"/>
      <x:c r="EL20" s="100" t="n"/>
      <x:c r="EM20" s="100" t="n"/>
      <x:c r="EN20" s="100" t="n"/>
      <x:c r="EO20" s="100" t="n"/>
      <x:c r="EP20" s="100" t="n"/>
      <x:c r="EQ20" s="100" t="n"/>
      <x:c r="ER20" s="100" t="n"/>
      <x:c r="ES20" s="100" t="n"/>
      <x:c r="ET20" s="100" t="n"/>
      <x:c r="EU20" s="100" t="n"/>
      <x:c r="EV20" s="100" t="n"/>
      <x:c r="EW20" s="100" t="n"/>
      <x:c r="EX20" s="100" t="n"/>
      <x:c r="EY20" s="100" t="n"/>
      <x:c r="EZ20" s="100" t="n"/>
      <x:c r="FA20" s="100" t="n"/>
      <x:c r="FB20" s="100" t="n"/>
      <x:c r="FC20" s="100" t="n"/>
      <x:c r="FD20" s="100" t="n"/>
      <x:c r="FE20" s="100" t="n"/>
      <x:c r="FF20" s="100" t="n"/>
      <x:c r="FG20" s="100" t="n"/>
      <x:c r="FH20" s="100" t="n"/>
      <x:c r="FI20" s="100" t="n"/>
      <x:c r="FJ20" s="100" t="n"/>
      <x:c r="FK20" s="100" t="n"/>
      <x:c r="FL20" s="100" t="n"/>
      <x:c r="FM20" s="100" t="n"/>
      <x:c r="FN20" s="100" t="n"/>
      <x:c r="FO20" s="100" t="n"/>
      <x:c r="FP20" s="100" t="n"/>
      <x:c r="FQ20" s="100" t="n"/>
      <x:c r="FR20" s="100" t="n"/>
      <x:c r="FS20" s="100" t="n"/>
      <x:c r="FT20" s="100" t="n"/>
      <x:c r="FU20" s="100" t="n"/>
      <x:c r="FV20" s="100" t="n"/>
      <x:c r="FW20" s="100" t="n"/>
      <x:c r="FX20" s="100" t="n"/>
      <x:c r="FY20" s="100" t="n"/>
      <x:c r="FZ20" s="100" t="n"/>
      <x:c r="GA20" s="100" t="n"/>
      <x:c r="GB20" s="100" t="n"/>
      <x:c r="GC20" s="100" t="n"/>
      <x:c r="GD20" s="100" t="n"/>
      <x:c r="GE20" s="100" t="n"/>
      <x:c r="GF20" s="100" t="n"/>
    </x:row>
    <x:row r="21" s="27" customFormat="1">
      <x:c r="A21" s="38" t="n"/>
      <x:c r="B21" s="39" t="n"/>
      <x:c r="C21" s="36" t="n">
        <x:f>E21*D$5</x:f>
        <x:v>0</x:v>
      </x:c>
      <x:c r="D21" s="104" t="inlineStr">
        <x:is>
          <x:t xml:space="preserve">Flag Oil Company of Oklahoma</x:t>
        </x:is>
      </x:c>
      <x:c r="E21" s="36" t="n">
        <x:f>SUM(G21:HT21)</x:f>
        <x:v>0</x:v>
      </x:c>
      <x:c r="F21" s="35" t="n"/>
      <x:c r="G21" s="121" t="n"/>
      <x:c r="H21" s="121" t="n"/>
      <x:c r="I21" s="121" t="n"/>
      <x:c r="J21" s="121" t="n"/>
      <x:c r="K21" s="121" t="n"/>
      <x:c r="L21" s="121" t="n"/>
      <x:c r="M21" s="123" t="n"/>
      <x:c r="N21" s="123" t="n"/>
      <x:c r="O21" s="123" t="n"/>
      <x:c r="P21" s="123" t="n"/>
      <x:c r="Q21" s="124" t="n"/>
      <x:c r="R21" s="123" t="n"/>
      <x:c r="S21" s="123" t="n">
        <x:v>0.125</x:v>
      </x:c>
      <x:c r="T21" s="123" t="n">
        <x:v>0.125</x:v>
      </x:c>
      <x:c r="U21" s="123" t="n"/>
      <x:c r="V21" s="123" t="n"/>
      <x:c r="W21" s="124" t="n"/>
      <x:c r="X21" s="123" t="n"/>
      <x:c r="Y21" s="123" t="n">
        <x:v>-0.25</x:v>
      </x:c>
      <x:c r="Z21" s="123" t="n"/>
      <x:c r="AA21" s="123" t="n"/>
      <x:c r="AB21" s="123" t="n"/>
      <x:c r="AC21" s="123" t="n"/>
      <x:c r="AD21" s="123" t="n"/>
      <x:c r="AE21" s="123" t="n"/>
      <x:c r="AF21" s="123" t="n"/>
      <x:c r="AG21" s="123" t="n"/>
      <x:c r="AH21" s="123" t="n"/>
      <x:c r="AI21" s="123" t="n"/>
      <x:c r="AJ21" s="123" t="n"/>
      <x:c r="AK21" s="123" t="n"/>
      <x:c r="AL21" s="123" t="n"/>
      <x:c r="AM21" s="123" t="n"/>
      <x:c r="AN21" s="123" t="n"/>
      <x:c r="AO21" s="123" t="n"/>
      <x:c r="AP21" s="123" t="n"/>
      <x:c r="AQ21" s="123" t="n"/>
      <x:c r="AR21" s="123" t="n"/>
      <x:c r="AS21" s="123" t="n"/>
      <x:c r="AT21" s="123" t="n"/>
      <x:c r="AU21" s="123" t="n"/>
      <x:c r="AV21" s="123" t="n"/>
      <x:c r="AW21" s="123" t="n"/>
      <x:c r="AX21" s="123" t="n"/>
      <x:c r="AY21" s="123" t="n"/>
      <x:c r="AZ21" s="123" t="n"/>
      <x:c r="BA21" s="123" t="n"/>
      <x:c r="BB21" s="123" t="n"/>
      <x:c r="BC21" s="123" t="n"/>
      <x:c r="BD21" s="123" t="n"/>
      <x:c r="BE21" s="123" t="n"/>
      <x:c r="BF21" s="123" t="n"/>
      <x:c r="BG21" s="123" t="n"/>
      <x:c r="BH21" s="123" t="n"/>
      <x:c r="BI21" s="100" t="n"/>
      <x:c r="BJ21" s="100" t="n"/>
      <x:c r="BK21" s="100" t="n"/>
      <x:c r="BL21" s="100" t="n"/>
      <x:c r="BM21" s="100" t="n"/>
      <x:c r="BN21" s="100" t="n"/>
      <x:c r="BO21" s="100" t="n"/>
      <x:c r="BP21" s="100" t="n"/>
      <x:c r="BQ21" s="100" t="n"/>
      <x:c r="BR21" s="100" t="n"/>
      <x:c r="BS21" s="100" t="n"/>
      <x:c r="BT21" s="100" t="n"/>
      <x:c r="BU21" s="100" t="n"/>
      <x:c r="BV21" s="100" t="n"/>
      <x:c r="BW21" s="100" t="n"/>
      <x:c r="BX21" s="100" t="n"/>
      <x:c r="BY21" s="100" t="n"/>
      <x:c r="BZ21" s="100" t="n"/>
      <x:c r="CA21" s="100" t="n"/>
      <x:c r="CB21" s="100" t="n"/>
      <x:c r="CC21" s="100" t="n"/>
      <x:c r="CD21" s="100" t="n"/>
      <x:c r="CE21" s="100" t="n"/>
      <x:c r="CF21" s="100" t="n"/>
      <x:c r="CG21" s="100" t="n"/>
      <x:c r="CH21" s="100" t="n"/>
      <x:c r="CI21" s="100" t="n"/>
      <x:c r="CJ21" s="100" t="n"/>
      <x:c r="CK21" s="100" t="n"/>
      <x:c r="CL21" s="100" t="n"/>
      <x:c r="CM21" s="100" t="n"/>
      <x:c r="CN21" s="100" t="n"/>
      <x:c r="CO21" s="100" t="n"/>
      <x:c r="CP21" s="100" t="n"/>
      <x:c r="CQ21" s="100" t="n"/>
      <x:c r="CR21" s="100" t="n"/>
      <x:c r="CS21" s="100" t="n"/>
      <x:c r="CT21" s="100" t="n"/>
      <x:c r="CU21" s="100" t="n"/>
      <x:c r="CV21" s="100" t="n"/>
      <x:c r="CW21" s="100" t="n"/>
      <x:c r="CX21" s="100" t="n"/>
      <x:c r="CY21" s="100" t="n"/>
      <x:c r="CZ21" s="100" t="n"/>
      <x:c r="DA21" s="100" t="n"/>
      <x:c r="DB21" s="100" t="n"/>
      <x:c r="DC21" s="100" t="n"/>
      <x:c r="DD21" s="100" t="n"/>
      <x:c r="DE21" s="100" t="n"/>
      <x:c r="DF21" s="100" t="n"/>
      <x:c r="DG21" s="100" t="n"/>
      <x:c r="DH21" s="100" t="n"/>
      <x:c r="DI21" s="100" t="n"/>
      <x:c r="DJ21" s="100" t="n"/>
      <x:c r="DK21" s="100" t="n"/>
      <x:c r="DL21" s="100" t="n"/>
      <x:c r="DM21" s="100" t="n"/>
      <x:c r="DN21" s="100" t="n"/>
      <x:c r="DO21" s="100" t="n"/>
      <x:c r="DP21" s="100" t="n"/>
      <x:c r="DQ21" s="100" t="n"/>
      <x:c r="DR21" s="100" t="n"/>
      <x:c r="DS21" s="100" t="n"/>
      <x:c r="DT21" s="100" t="n"/>
      <x:c r="DU21" s="100" t="n"/>
      <x:c r="DV21" s="100" t="n"/>
      <x:c r="DW21" s="100" t="n"/>
      <x:c r="DX21" s="100" t="n"/>
      <x:c r="DY21" s="100" t="n"/>
      <x:c r="DZ21" s="100" t="n"/>
      <x:c r="EA21" s="100" t="n"/>
      <x:c r="EB21" s="100" t="n"/>
      <x:c r="EC21" s="100" t="n"/>
      <x:c r="ED21" s="100" t="n"/>
      <x:c r="EE21" s="100" t="n"/>
      <x:c r="EF21" s="100" t="n"/>
      <x:c r="EG21" s="100" t="n"/>
      <x:c r="EH21" s="100" t="n"/>
      <x:c r="EI21" s="100" t="n"/>
      <x:c r="EJ21" s="100" t="n"/>
      <x:c r="EK21" s="100" t="n"/>
      <x:c r="EL21" s="100" t="n"/>
      <x:c r="EM21" s="100" t="n"/>
      <x:c r="EN21" s="100" t="n"/>
      <x:c r="EO21" s="100" t="n"/>
      <x:c r="EP21" s="100" t="n"/>
      <x:c r="EQ21" s="100" t="n"/>
      <x:c r="ER21" s="100" t="n"/>
      <x:c r="ES21" s="100" t="n"/>
      <x:c r="ET21" s="100" t="n"/>
      <x:c r="EU21" s="100" t="n"/>
      <x:c r="EV21" s="100" t="n"/>
      <x:c r="EW21" s="100" t="n"/>
      <x:c r="EX21" s="100" t="n"/>
      <x:c r="EY21" s="100" t="n"/>
      <x:c r="EZ21" s="100" t="n"/>
      <x:c r="FA21" s="100" t="n"/>
      <x:c r="FB21" s="100" t="n"/>
      <x:c r="FC21" s="100" t="n"/>
      <x:c r="FD21" s="100" t="n"/>
      <x:c r="FE21" s="100" t="n"/>
      <x:c r="FF21" s="100" t="n"/>
      <x:c r="FG21" s="100" t="n"/>
      <x:c r="FH21" s="100" t="n"/>
      <x:c r="FI21" s="100" t="n"/>
      <x:c r="FJ21" s="100" t="n"/>
      <x:c r="FK21" s="100" t="n"/>
      <x:c r="FL21" s="100" t="n"/>
      <x:c r="FM21" s="100" t="n"/>
      <x:c r="FN21" s="100" t="n"/>
      <x:c r="FO21" s="100" t="n"/>
      <x:c r="FP21" s="100" t="n"/>
      <x:c r="FQ21" s="100" t="n"/>
      <x:c r="FR21" s="100" t="n"/>
      <x:c r="FS21" s="100" t="n"/>
      <x:c r="FT21" s="100" t="n"/>
      <x:c r="FU21" s="100" t="n"/>
      <x:c r="FV21" s="100" t="n"/>
      <x:c r="FW21" s="100" t="n"/>
      <x:c r="FX21" s="100" t="n"/>
      <x:c r="FY21" s="100" t="n"/>
      <x:c r="FZ21" s="100" t="n"/>
      <x:c r="GA21" s="100" t="n"/>
      <x:c r="GB21" s="100" t="n"/>
      <x:c r="GC21" s="100" t="n"/>
      <x:c r="GD21" s="100" t="n"/>
      <x:c r="GE21" s="100" t="n"/>
      <x:c r="GF21" s="100" t="n"/>
    </x:row>
    <x:row r="22" s="27" customFormat="1">
      <x:c r="A22" s="38" t="n"/>
      <x:c r="B22" s="39" t="n"/>
      <x:c r="C22" s="86" t="n">
        <x:f>E22*D$5</x:f>
        <x:v>0</x:v>
      </x:c>
      <x:c r="D22" s="104" t="inlineStr">
        <x:is>
          <x:t xml:space="preserve">H. M. Carter</x:t>
        </x:is>
      </x:c>
      <x:c r="E22" s="86" t="n">
        <x:f>SUM(G22:HT22)</x:f>
        <x:v>0</x:v>
      </x:c>
      <x:c r="F22" s="35" t="n"/>
      <x:c r="G22" s="121" t="n"/>
      <x:c r="H22" s="122" t="n"/>
      <x:c r="I22" s="121" t="n"/>
      <x:c r="J22" s="121" t="n"/>
      <x:c r="K22" s="121" t="n"/>
      <x:c r="L22" s="121" t="n"/>
      <x:c r="M22" s="123" t="n"/>
      <x:c r="N22" s="123" t="n"/>
      <x:c r="O22" s="123" t="n"/>
      <x:c r="P22" s="123" t="n"/>
      <x:c r="Q22" s="124" t="n">
        <x:v>0.5</x:v>
      </x:c>
      <x:c r="R22" s="124" t="n"/>
      <x:c r="S22" s="123" t="n"/>
      <x:c r="T22" s="123" t="n"/>
      <x:c r="U22" s="123" t="n">
        <x:v>-0.5</x:v>
      </x:c>
      <x:c r="V22" s="123" t="n">
        <x:v>0</x:v>
      </x:c>
      <x:c r="W22" s="124" t="n"/>
      <x:c r="X22" s="123" t="n"/>
      <x:c r="Y22" s="123" t="n"/>
      <x:c r="Z22" s="123" t="n"/>
      <x:c r="AA22" s="123" t="n"/>
      <x:c r="AB22" s="123" t="n"/>
      <x:c r="AC22" s="123" t="n"/>
      <x:c r="AD22" s="123" t="n"/>
      <x:c r="AE22" s="123" t="n"/>
      <x:c r="AF22" s="123" t="n"/>
      <x:c r="AG22" s="123" t="n"/>
      <x:c r="AH22" s="123" t="n"/>
      <x:c r="AI22" s="123" t="n"/>
      <x:c r="AJ22" s="123" t="n"/>
      <x:c r="AK22" s="123" t="n"/>
      <x:c r="AL22" s="123" t="n"/>
      <x:c r="AM22" s="123" t="n"/>
      <x:c r="AN22" s="123" t="n"/>
      <x:c r="AO22" s="123" t="n"/>
      <x:c r="AP22" s="123" t="n"/>
      <x:c r="AQ22" s="123" t="n"/>
      <x:c r="AR22" s="123" t="n"/>
      <x:c r="AS22" s="123" t="n"/>
      <x:c r="AT22" s="123" t="n"/>
      <x:c r="AU22" s="123" t="n"/>
      <x:c r="AV22" s="123" t="n"/>
      <x:c r="AW22" s="123" t="n"/>
      <x:c r="AX22" s="123" t="n"/>
      <x:c r="AY22" s="123" t="n"/>
      <x:c r="AZ22" s="123" t="n"/>
      <x:c r="BA22" s="123" t="n"/>
      <x:c r="BB22" s="123" t="n"/>
      <x:c r="BC22" s="123" t="n"/>
      <x:c r="BD22" s="123" t="n"/>
      <x:c r="BE22" s="123" t="n"/>
      <x:c r="BF22" s="123" t="n"/>
      <x:c r="BG22" s="123" t="n"/>
      <x:c r="BH22" s="123" t="n"/>
      <x:c r="BI22" s="100" t="n"/>
      <x:c r="BJ22" s="100" t="n"/>
      <x:c r="BK22" s="100" t="n"/>
      <x:c r="BL22" s="100" t="n"/>
      <x:c r="BM22" s="100" t="n"/>
      <x:c r="BN22" s="100" t="n"/>
      <x:c r="BO22" s="100" t="n"/>
      <x:c r="BP22" s="100" t="n"/>
      <x:c r="BQ22" s="100" t="n"/>
      <x:c r="BR22" s="100" t="n"/>
      <x:c r="BS22" s="100" t="n"/>
      <x:c r="BT22" s="100" t="n"/>
      <x:c r="BU22" s="100" t="n"/>
      <x:c r="BV22" s="100" t="n"/>
      <x:c r="BW22" s="100" t="n"/>
      <x:c r="BX22" s="100" t="n"/>
      <x:c r="BY22" s="100" t="n"/>
      <x:c r="BZ22" s="100" t="n"/>
      <x:c r="CA22" s="100" t="n"/>
      <x:c r="CB22" s="100" t="n"/>
      <x:c r="CC22" s="100" t="n"/>
      <x:c r="CD22" s="100" t="n"/>
      <x:c r="CE22" s="100" t="n"/>
      <x:c r="CF22" s="100" t="n"/>
      <x:c r="CG22" s="100" t="n"/>
      <x:c r="CH22" s="100" t="n"/>
      <x:c r="CI22" s="100" t="n"/>
      <x:c r="CJ22" s="100" t="n"/>
      <x:c r="CK22" s="100" t="n"/>
      <x:c r="CL22" s="100" t="n"/>
      <x:c r="CM22" s="100" t="n"/>
      <x:c r="CN22" s="100" t="n"/>
      <x:c r="CO22" s="100" t="n"/>
      <x:c r="CP22" s="100" t="n"/>
      <x:c r="CQ22" s="100" t="n"/>
      <x:c r="CR22" s="100" t="n"/>
      <x:c r="CS22" s="100" t="n"/>
      <x:c r="CT22" s="100" t="n"/>
      <x:c r="CU22" s="100" t="n"/>
      <x:c r="CV22" s="100" t="n"/>
      <x:c r="CW22" s="100" t="n"/>
      <x:c r="CX22" s="100" t="n"/>
      <x:c r="CY22" s="100" t="n"/>
      <x:c r="CZ22" s="100" t="n"/>
      <x:c r="DA22" s="100" t="n"/>
      <x:c r="DB22" s="100" t="n"/>
      <x:c r="DC22" s="100" t="n"/>
      <x:c r="DD22" s="100" t="n"/>
      <x:c r="DE22" s="100" t="n"/>
      <x:c r="DF22" s="100" t="n"/>
      <x:c r="DG22" s="100" t="n"/>
      <x:c r="DH22" s="100" t="n"/>
      <x:c r="DI22" s="100" t="n"/>
      <x:c r="DJ22" s="100" t="n"/>
      <x:c r="DK22" s="100" t="n"/>
      <x:c r="DL22" s="100" t="n"/>
      <x:c r="DM22" s="100" t="n"/>
      <x:c r="DN22" s="100" t="n"/>
      <x:c r="DO22" s="100" t="n"/>
      <x:c r="DP22" s="100" t="n"/>
      <x:c r="DQ22" s="100" t="n"/>
      <x:c r="DR22" s="100" t="n"/>
      <x:c r="DS22" s="100" t="n"/>
      <x:c r="DT22" s="100" t="n"/>
      <x:c r="DU22" s="100" t="n"/>
      <x:c r="DV22" s="100" t="n"/>
      <x:c r="DW22" s="100" t="n"/>
      <x:c r="DX22" s="100" t="n"/>
      <x:c r="DY22" s="100" t="n"/>
      <x:c r="DZ22" s="100" t="n"/>
      <x:c r="EA22" s="100" t="n"/>
      <x:c r="EB22" s="100" t="n"/>
      <x:c r="EC22" s="100" t="n"/>
      <x:c r="ED22" s="100" t="n"/>
      <x:c r="EE22" s="100" t="n"/>
      <x:c r="EF22" s="100" t="n"/>
      <x:c r="EG22" s="100" t="n"/>
      <x:c r="EH22" s="100" t="n"/>
      <x:c r="EI22" s="100" t="n"/>
      <x:c r="EJ22" s="100" t="n"/>
      <x:c r="EK22" s="100" t="n"/>
      <x:c r="EL22" s="100" t="n"/>
      <x:c r="EM22" s="100" t="n"/>
      <x:c r="EN22" s="100" t="n"/>
      <x:c r="EO22" s="100" t="n"/>
      <x:c r="EP22" s="100" t="n"/>
      <x:c r="EQ22" s="100" t="n"/>
      <x:c r="ER22" s="100" t="n"/>
      <x:c r="ES22" s="100" t="n"/>
      <x:c r="ET22" s="100" t="n"/>
      <x:c r="EU22" s="100" t="n"/>
      <x:c r="EV22" s="100" t="n"/>
      <x:c r="EW22" s="100" t="n"/>
      <x:c r="EX22" s="100" t="n"/>
      <x:c r="EY22" s="100" t="n"/>
      <x:c r="EZ22" s="100" t="n"/>
      <x:c r="FA22" s="100" t="n"/>
      <x:c r="FB22" s="100" t="n"/>
      <x:c r="FC22" s="100" t="n"/>
      <x:c r="FD22" s="100" t="n"/>
      <x:c r="FE22" s="100" t="n"/>
      <x:c r="FF22" s="100" t="n"/>
      <x:c r="FG22" s="100" t="n"/>
      <x:c r="FH22" s="100" t="n"/>
      <x:c r="FI22" s="100" t="n"/>
      <x:c r="FJ22" s="100" t="n"/>
      <x:c r="FK22" s="100" t="n"/>
      <x:c r="FL22" s="100" t="n"/>
      <x:c r="FM22" s="100" t="n"/>
      <x:c r="FN22" s="100" t="n"/>
      <x:c r="FO22" s="100" t="n"/>
      <x:c r="FP22" s="100" t="n"/>
      <x:c r="FQ22" s="100" t="n"/>
      <x:c r="FR22" s="100" t="n"/>
      <x:c r="FS22" s="100" t="n"/>
      <x:c r="FT22" s="100" t="n"/>
      <x:c r="FU22" s="100" t="n"/>
      <x:c r="FV22" s="100" t="n"/>
      <x:c r="FW22" s="100" t="n"/>
      <x:c r="FX22" s="100" t="n"/>
      <x:c r="FY22" s="100" t="n"/>
      <x:c r="FZ22" s="100" t="n"/>
      <x:c r="GA22" s="100" t="n"/>
      <x:c r="GB22" s="100" t="n"/>
      <x:c r="GC22" s="100" t="n"/>
      <x:c r="GD22" s="100" t="n"/>
      <x:c r="GE22" s="100" t="n"/>
      <x:c r="GF22" s="100" t="n"/>
    </x:row>
    <x:row r="23" s="27" customFormat="1">
      <x:c r="A23" s="38" t="n"/>
      <x:c r="B23" s="37" t="n"/>
      <x:c r="C23" s="86" t="n">
        <x:f>E23*D$5</x:f>
        <x:v>0</x:v>
      </x:c>
      <x:c r="D23" s="103" t="inlineStr">
        <x:is>
          <x:t xml:space="preserve">Marvin G. Mitchell and Carrie Lou Mitchell, HW, JTWROS</x:t>
        </x:is>
      </x:c>
      <x:c r="E23" s="86" t="n">
        <x:f>SUM(G23:HT23)</x:f>
        <x:v>0</x:v>
      </x:c>
      <x:c r="F23" s="35" t="n"/>
      <x:c r="G23" s="121" t="n"/>
      <x:c r="H23" s="121" t="n"/>
      <x:c r="I23" s="121" t="n"/>
      <x:c r="J23" s="121" t="n"/>
      <x:c r="K23" s="121" t="n"/>
      <x:c r="L23" s="121" t="n"/>
      <x:c r="M23" s="123" t="n"/>
      <x:c r="N23" s="123" t="n"/>
      <x:c r="O23" s="123" t="n"/>
      <x:c r="P23" s="123" t="n"/>
      <x:c r="Q23" s="124" t="n"/>
      <x:c r="R23" s="124" t="n"/>
      <x:c r="S23" s="123" t="n"/>
      <x:c r="T23" s="123" t="n"/>
      <x:c r="U23" s="123" t="n">
        <x:v>0.5</x:v>
      </x:c>
      <x:c r="V23" s="123" t="n">
        <x:v>0</x:v>
      </x:c>
      <x:c r="W23" s="124" t="n">
        <x:v>-0.5</x:v>
      </x:c>
      <x:c r="X23" s="123" t="n"/>
      <x:c r="Y23" s="123" t="n"/>
      <x:c r="Z23" s="123" t="n"/>
      <x:c r="AA23" s="123" t="n"/>
      <x:c r="AB23" s="123" t="n"/>
      <x:c r="AC23" s="123" t="n"/>
      <x:c r="AD23" s="123" t="n"/>
      <x:c r="AE23" s="123" t="n"/>
      <x:c r="AF23" s="123" t="n"/>
      <x:c r="AG23" s="123" t="n"/>
      <x:c r="AH23" s="123" t="n"/>
      <x:c r="AI23" s="123" t="n"/>
      <x:c r="AJ23" s="123" t="n"/>
      <x:c r="AK23" s="123" t="n"/>
      <x:c r="AL23" s="123" t="n"/>
      <x:c r="AM23" s="123" t="n"/>
      <x:c r="AN23" s="123" t="n"/>
      <x:c r="AO23" s="123" t="n"/>
      <x:c r="AP23" s="123" t="n"/>
      <x:c r="AQ23" s="123" t="n"/>
      <x:c r="AR23" s="123" t="n"/>
      <x:c r="AS23" s="123" t="n"/>
      <x:c r="AT23" s="123" t="n"/>
      <x:c r="AU23" s="123" t="n"/>
      <x:c r="AV23" s="123" t="n"/>
      <x:c r="AW23" s="123" t="n"/>
      <x:c r="AX23" s="123" t="n"/>
      <x:c r="AY23" s="123" t="n"/>
      <x:c r="AZ23" s="123" t="n"/>
      <x:c r="BA23" s="123" t="n"/>
      <x:c r="BB23" s="123" t="n"/>
      <x:c r="BC23" s="123" t="n"/>
      <x:c r="BD23" s="123" t="n"/>
      <x:c r="BE23" s="123" t="n"/>
      <x:c r="BF23" s="123" t="n"/>
      <x:c r="BG23" s="123" t="n"/>
      <x:c r="BH23" s="123" t="n"/>
      <x:c r="BI23" s="100" t="n"/>
      <x:c r="BJ23" s="100" t="n"/>
      <x:c r="BK23" s="100" t="n"/>
      <x:c r="BL23" s="100" t="n"/>
      <x:c r="BM23" s="100" t="n"/>
      <x:c r="BN23" s="100" t="n"/>
      <x:c r="BO23" s="100" t="n"/>
      <x:c r="BP23" s="100" t="n"/>
      <x:c r="BQ23" s="100" t="n"/>
      <x:c r="BR23" s="100" t="n"/>
      <x:c r="BS23" s="100" t="n"/>
      <x:c r="BT23" s="100" t="n"/>
      <x:c r="BU23" s="100" t="n"/>
      <x:c r="BV23" s="100" t="n"/>
      <x:c r="BW23" s="100" t="n"/>
      <x:c r="BX23" s="100" t="n"/>
      <x:c r="BY23" s="100" t="n"/>
      <x:c r="BZ23" s="100" t="n"/>
      <x:c r="CA23" s="100" t="n"/>
      <x:c r="CB23" s="100" t="n"/>
      <x:c r="CC23" s="100" t="n"/>
      <x:c r="CD23" s="100" t="n"/>
      <x:c r="CE23" s="100" t="n"/>
      <x:c r="CF23" s="100" t="n"/>
      <x:c r="CG23" s="100" t="n"/>
      <x:c r="CH23" s="100" t="n"/>
      <x:c r="CI23" s="100" t="n"/>
      <x:c r="CJ23" s="100" t="n"/>
      <x:c r="CK23" s="100" t="n"/>
      <x:c r="CL23" s="100" t="n"/>
      <x:c r="CM23" s="100" t="n"/>
      <x:c r="CN23" s="100" t="n"/>
      <x:c r="CO23" s="100" t="n"/>
      <x:c r="CP23" s="100" t="n"/>
      <x:c r="CQ23" s="100" t="n"/>
      <x:c r="CR23" s="100" t="n"/>
      <x:c r="CS23" s="100" t="n"/>
      <x:c r="CT23" s="100" t="n"/>
      <x:c r="CU23" s="100" t="n"/>
      <x:c r="CV23" s="100" t="n"/>
      <x:c r="CW23" s="100" t="n"/>
      <x:c r="CX23" s="100" t="n"/>
      <x:c r="CY23" s="100" t="n"/>
      <x:c r="CZ23" s="100" t="n"/>
      <x:c r="DA23" s="100" t="n"/>
      <x:c r="DB23" s="100" t="n"/>
      <x:c r="DC23" s="100" t="n"/>
      <x:c r="DD23" s="100" t="n"/>
      <x:c r="DE23" s="100" t="n"/>
      <x:c r="DF23" s="100" t="n"/>
      <x:c r="DG23" s="100" t="n"/>
      <x:c r="DH23" s="100" t="n"/>
      <x:c r="DI23" s="100" t="n"/>
      <x:c r="DJ23" s="100" t="n"/>
      <x:c r="DK23" s="100" t="n"/>
      <x:c r="DL23" s="100" t="n"/>
      <x:c r="DM23" s="100" t="n"/>
      <x:c r="DN23" s="100" t="n"/>
      <x:c r="DO23" s="100" t="n"/>
      <x:c r="DP23" s="100" t="n"/>
      <x:c r="DQ23" s="100" t="n"/>
      <x:c r="DR23" s="100" t="n"/>
      <x:c r="DS23" s="100" t="n"/>
      <x:c r="DT23" s="100" t="n"/>
      <x:c r="DU23" s="100" t="n"/>
      <x:c r="DV23" s="100" t="n"/>
      <x:c r="DW23" s="100" t="n"/>
      <x:c r="DX23" s="100" t="n"/>
      <x:c r="DY23" s="100" t="n"/>
      <x:c r="DZ23" s="100" t="n"/>
      <x:c r="EA23" s="100" t="n"/>
      <x:c r="EB23" s="100" t="n"/>
      <x:c r="EC23" s="100" t="n"/>
      <x:c r="ED23" s="100" t="n"/>
      <x:c r="EE23" s="100" t="n"/>
      <x:c r="EF23" s="100" t="n"/>
      <x:c r="EG23" s="100" t="n"/>
      <x:c r="EH23" s="100" t="n"/>
      <x:c r="EI23" s="100" t="n"/>
      <x:c r="EJ23" s="100" t="n"/>
      <x:c r="EK23" s="100" t="n"/>
      <x:c r="EL23" s="100" t="n"/>
      <x:c r="EM23" s="100" t="n"/>
      <x:c r="EN23" s="100" t="n"/>
      <x:c r="EO23" s="100" t="n"/>
      <x:c r="EP23" s="100" t="n"/>
      <x:c r="EQ23" s="100" t="n"/>
      <x:c r="ER23" s="100" t="n"/>
      <x:c r="ES23" s="100" t="n"/>
      <x:c r="ET23" s="100" t="n"/>
      <x:c r="EU23" s="100" t="n"/>
      <x:c r="EV23" s="100" t="n"/>
      <x:c r="EW23" s="100" t="n"/>
      <x:c r="EX23" s="100" t="n"/>
      <x:c r="EY23" s="100" t="n"/>
      <x:c r="EZ23" s="100" t="n"/>
      <x:c r="FA23" s="100" t="n"/>
      <x:c r="FB23" s="100" t="n"/>
      <x:c r="FC23" s="100" t="n"/>
      <x:c r="FD23" s="100" t="n"/>
      <x:c r="FE23" s="100" t="n"/>
      <x:c r="FF23" s="100" t="n"/>
      <x:c r="FG23" s="100" t="n"/>
      <x:c r="FH23" s="100" t="n"/>
      <x:c r="FI23" s="100" t="n"/>
      <x:c r="FJ23" s="100" t="n"/>
      <x:c r="FK23" s="100" t="n"/>
      <x:c r="FL23" s="100" t="n"/>
      <x:c r="FM23" s="100" t="n"/>
      <x:c r="FN23" s="100" t="n"/>
      <x:c r="FO23" s="100" t="n"/>
      <x:c r="FP23" s="100" t="n"/>
      <x:c r="FQ23" s="100" t="n"/>
      <x:c r="FR23" s="100" t="n"/>
      <x:c r="FS23" s="100" t="n"/>
      <x:c r="FT23" s="100" t="n"/>
      <x:c r="FU23" s="100" t="n"/>
      <x:c r="FV23" s="100" t="n"/>
      <x:c r="FW23" s="100" t="n"/>
      <x:c r="FX23" s="100" t="n"/>
      <x:c r="FY23" s="100" t="n"/>
      <x:c r="FZ23" s="100" t="n"/>
      <x:c r="GA23" s="100" t="n"/>
      <x:c r="GB23" s="100" t="n"/>
      <x:c r="GC23" s="100" t="n"/>
      <x:c r="GD23" s="100" t="n"/>
      <x:c r="GE23" s="100" t="n"/>
      <x:c r="GF23" s="100" t="n"/>
    </x:row>
    <x:row r="24" s="27" customFormat="1">
      <x:c r="A24" s="38" t="n"/>
      <x:c r="B24" s="37" t="n"/>
      <x:c r="C24" s="86" t="n">
        <x:f>E24*D$5</x:f>
        <x:v>0</x:v>
      </x:c>
      <x:c r="D24" s="103" t="inlineStr">
        <x:is>
          <x:t xml:space="preserve">Marvin Mitchell Williams</x:t>
        </x:is>
      </x:c>
      <x:c r="E24" s="86" t="n">
        <x:f>SUM(G24:HT24)</x:f>
        <x:v>0</x:v>
      </x:c>
      <x:c r="F24" s="35" t="n"/>
      <x:c r="G24" s="121" t="n"/>
      <x:c r="H24" s="121" t="n"/>
      <x:c r="I24" s="121" t="n"/>
      <x:c r="J24" s="121" t="n"/>
      <x:c r="K24" s="121" t="n"/>
      <x:c r="L24" s="121" t="n"/>
      <x:c r="M24" s="123" t="n"/>
      <x:c r="N24" s="123" t="n"/>
      <x:c r="O24" s="123" t="n"/>
      <x:c r="P24" s="123" t="n"/>
      <x:c r="Q24" s="124" t="n"/>
      <x:c r="R24" s="124" t="n"/>
      <x:c r="S24" s="123" t="n"/>
      <x:c r="T24" s="123" t="n"/>
      <x:c r="U24" s="123" t="n"/>
      <x:c r="V24" s="123" t="n"/>
      <x:c r="W24" s="124" t="n">
        <x:v>0.125</x:v>
      </x:c>
      <x:c r="X24" s="123" t="n"/>
      <x:c r="Y24" s="123" t="n"/>
      <x:c r="Z24" s="123" t="n">
        <x:v>-0.125</x:v>
      </x:c>
      <x:c r="AA24" s="123" t="n"/>
      <x:c r="AB24" s="123" t="n"/>
      <x:c r="AC24" s="123" t="n"/>
      <x:c r="AD24" s="123" t="n"/>
      <x:c r="AE24" s="123" t="n"/>
      <x:c r="AF24" s="123" t="n"/>
      <x:c r="AG24" s="123" t="n"/>
      <x:c r="AH24" s="123" t="n"/>
      <x:c r="AI24" s="123" t="n"/>
      <x:c r="AJ24" s="123" t="n"/>
      <x:c r="AK24" s="123" t="n"/>
      <x:c r="AL24" s="123" t="n"/>
      <x:c r="AM24" s="123" t="n"/>
      <x:c r="AN24" s="123" t="n"/>
      <x:c r="AO24" s="123" t="n"/>
      <x:c r="AP24" s="123" t="n"/>
      <x:c r="AQ24" s="123" t="n"/>
      <x:c r="AR24" s="123" t="n"/>
      <x:c r="AS24" s="123" t="n"/>
      <x:c r="AT24" s="123" t="n"/>
      <x:c r="AU24" s="123" t="n"/>
      <x:c r="AV24" s="123" t="n"/>
      <x:c r="AW24" s="123" t="n"/>
      <x:c r="AX24" s="123" t="n"/>
      <x:c r="AY24" s="123" t="n"/>
      <x:c r="AZ24" s="123" t="n"/>
      <x:c r="BA24" s="123" t="n"/>
      <x:c r="BB24" s="123" t="n"/>
      <x:c r="BC24" s="123" t="n"/>
      <x:c r="BD24" s="123" t="n"/>
      <x:c r="BE24" s="123" t="n"/>
      <x:c r="BF24" s="123" t="n"/>
      <x:c r="BG24" s="123" t="n"/>
      <x:c r="BH24" s="123" t="n"/>
      <x:c r="BI24" s="100" t="n"/>
      <x:c r="BJ24" s="100" t="n"/>
      <x:c r="BK24" s="100" t="n"/>
      <x:c r="BL24" s="100" t="n"/>
      <x:c r="BM24" s="100" t="n"/>
      <x:c r="BN24" s="100" t="n"/>
      <x:c r="BO24" s="100" t="n"/>
      <x:c r="BP24" s="100" t="n"/>
      <x:c r="BQ24" s="100" t="n"/>
      <x:c r="BR24" s="100" t="n"/>
      <x:c r="BS24" s="100" t="n"/>
      <x:c r="BT24" s="100" t="n"/>
      <x:c r="BU24" s="100" t="n"/>
      <x:c r="BV24" s="100" t="n"/>
      <x:c r="BW24" s="100" t="n"/>
      <x:c r="BX24" s="100" t="n"/>
      <x:c r="BY24" s="100" t="n"/>
      <x:c r="BZ24" s="100" t="n"/>
      <x:c r="CA24" s="100" t="n"/>
      <x:c r="CB24" s="100" t="n"/>
      <x:c r="CC24" s="100" t="n"/>
      <x:c r="CD24" s="100" t="n"/>
      <x:c r="CE24" s="100" t="n"/>
      <x:c r="CF24" s="100" t="n"/>
      <x:c r="CG24" s="100" t="n"/>
      <x:c r="CH24" s="100" t="n"/>
      <x:c r="CI24" s="100" t="n"/>
      <x:c r="CJ24" s="100" t="n"/>
      <x:c r="CK24" s="100" t="n"/>
      <x:c r="CL24" s="100" t="n"/>
      <x:c r="CM24" s="100" t="n"/>
      <x:c r="CN24" s="100" t="n"/>
      <x:c r="CO24" s="100" t="n"/>
      <x:c r="CP24" s="100" t="n"/>
      <x:c r="CQ24" s="100" t="n"/>
      <x:c r="CR24" s="100" t="n"/>
      <x:c r="CS24" s="100" t="n"/>
      <x:c r="CT24" s="100" t="n"/>
      <x:c r="CU24" s="100" t="n"/>
      <x:c r="CV24" s="100" t="n"/>
      <x:c r="CW24" s="100" t="n"/>
      <x:c r="CX24" s="100" t="n"/>
      <x:c r="CY24" s="100" t="n"/>
      <x:c r="CZ24" s="100" t="n"/>
      <x:c r="DA24" s="100" t="n"/>
      <x:c r="DB24" s="100" t="n"/>
      <x:c r="DC24" s="100" t="n"/>
      <x:c r="DD24" s="100" t="n"/>
      <x:c r="DE24" s="100" t="n"/>
      <x:c r="DF24" s="100" t="n"/>
      <x:c r="DG24" s="100" t="n"/>
      <x:c r="DH24" s="100" t="n"/>
      <x:c r="DI24" s="100" t="n"/>
      <x:c r="DJ24" s="100" t="n"/>
      <x:c r="DK24" s="100" t="n"/>
      <x:c r="DL24" s="100" t="n"/>
      <x:c r="DM24" s="100" t="n"/>
      <x:c r="DN24" s="100" t="n"/>
      <x:c r="DO24" s="100" t="n"/>
      <x:c r="DP24" s="100" t="n"/>
      <x:c r="DQ24" s="100" t="n"/>
      <x:c r="DR24" s="100" t="n"/>
      <x:c r="DS24" s="100" t="n"/>
      <x:c r="DT24" s="100" t="n"/>
      <x:c r="DU24" s="100" t="n"/>
      <x:c r="DV24" s="100" t="n"/>
      <x:c r="DW24" s="100" t="n"/>
      <x:c r="DX24" s="100" t="n"/>
      <x:c r="DY24" s="100" t="n"/>
      <x:c r="DZ24" s="100" t="n"/>
      <x:c r="EA24" s="100" t="n"/>
      <x:c r="EB24" s="100" t="n"/>
      <x:c r="EC24" s="100" t="n"/>
      <x:c r="ED24" s="100" t="n"/>
      <x:c r="EE24" s="100" t="n"/>
      <x:c r="EF24" s="100" t="n"/>
      <x:c r="EG24" s="100" t="n"/>
      <x:c r="EH24" s="100" t="n"/>
      <x:c r="EI24" s="100" t="n"/>
      <x:c r="EJ24" s="100" t="n"/>
      <x:c r="EK24" s="100" t="n"/>
      <x:c r="EL24" s="100" t="n"/>
      <x:c r="EM24" s="100" t="n"/>
      <x:c r="EN24" s="100" t="n"/>
      <x:c r="EO24" s="100" t="n"/>
      <x:c r="EP24" s="100" t="n"/>
      <x:c r="EQ24" s="100" t="n"/>
      <x:c r="ER24" s="100" t="n"/>
      <x:c r="ES24" s="100" t="n"/>
      <x:c r="ET24" s="100" t="n"/>
      <x:c r="EU24" s="100" t="n"/>
      <x:c r="EV24" s="100" t="n"/>
      <x:c r="EW24" s="100" t="n"/>
      <x:c r="EX24" s="100" t="n"/>
      <x:c r="EY24" s="100" t="n"/>
      <x:c r="EZ24" s="100" t="n"/>
      <x:c r="FA24" s="100" t="n"/>
      <x:c r="FB24" s="100" t="n"/>
      <x:c r="FC24" s="100" t="n"/>
      <x:c r="FD24" s="100" t="n"/>
      <x:c r="FE24" s="100" t="n"/>
      <x:c r="FF24" s="100" t="n"/>
      <x:c r="FG24" s="100" t="n"/>
      <x:c r="FH24" s="100" t="n"/>
      <x:c r="FI24" s="100" t="n"/>
      <x:c r="FJ24" s="100" t="n"/>
      <x:c r="FK24" s="100" t="n"/>
      <x:c r="FL24" s="100" t="n"/>
      <x:c r="FM24" s="100" t="n"/>
      <x:c r="FN24" s="100" t="n"/>
      <x:c r="FO24" s="100" t="n"/>
      <x:c r="FP24" s="100" t="n"/>
      <x:c r="FQ24" s="100" t="n"/>
      <x:c r="FR24" s="100" t="n"/>
      <x:c r="FS24" s="100" t="n"/>
      <x:c r="FT24" s="100" t="n"/>
      <x:c r="FU24" s="100" t="n"/>
      <x:c r="FV24" s="100" t="n"/>
      <x:c r="FW24" s="100" t="n"/>
      <x:c r="FX24" s="100" t="n"/>
      <x:c r="FY24" s="100" t="n"/>
      <x:c r="FZ24" s="100" t="n"/>
      <x:c r="GA24" s="100" t="n"/>
      <x:c r="GB24" s="100" t="n"/>
      <x:c r="GC24" s="100" t="n"/>
      <x:c r="GD24" s="100" t="n"/>
      <x:c r="GE24" s="100" t="n"/>
      <x:c r="GF24" s="100" t="n"/>
    </x:row>
    <x:row r="25" s="27" customFormat="1">
      <x:c r="A25" s="38" t="n"/>
      <x:c r="B25" s="37" t="inlineStr">
        <x:is>
          <x:t xml:space="preserve">4, 66</x:t>
        </x:is>
      </x:c>
      <x:c r="C25" s="86" t="n">
        <x:f>E25*D$5</x:f>
        <x:v>0</x:v>
      </x:c>
      <x:c r="D25" s="104" t="inlineStr">
        <x:is>
          <x:t xml:space="preserve">Gena Williams</x:t>
        </x:is>
      </x:c>
      <x:c r="E25" s="86" t="n">
        <x:f>SUM(G25:HT25)</x:f>
        <x:v>0</x:v>
      </x:c>
      <x:c r="F25" s="35" t="n"/>
      <x:c r="G25" s="121" t="n"/>
      <x:c r="H25" s="121" t="n"/>
      <x:c r="I25" s="121" t="n"/>
      <x:c r="J25" s="121" t="n"/>
      <x:c r="K25" s="121" t="n"/>
      <x:c r="L25" s="121" t="n"/>
      <x:c r="M25" s="123" t="n"/>
      <x:c r="N25" s="123" t="n"/>
      <x:c r="O25" s="123" t="n"/>
      <x:c r="P25" s="123" t="n"/>
      <x:c r="Q25" s="124" t="n"/>
      <x:c r="R25" s="124" t="n"/>
      <x:c r="S25" s="123" t="n"/>
      <x:c r="T25" s="123" t="n"/>
      <x:c r="U25" s="123" t="n"/>
      <x:c r="V25" s="123" t="n"/>
      <x:c r="W25" s="124" t="n">
        <x:v>0.125</x:v>
      </x:c>
      <x:c r="X25" s="123" t="n"/>
      <x:c r="Y25" s="123" t="n"/>
      <x:c r="Z25" s="123" t="n"/>
      <x:c r="AA25" s="123" t="n"/>
      <x:c r="AB25" s="124" t="n"/>
      <x:c r="AC25" s="123" t="n"/>
      <x:c r="AD25" s="123" t="n">
        <x:v>-0.125</x:v>
      </x:c>
      <x:c r="AE25" s="123" t="n"/>
      <x:c r="AF25" s="123" t="n"/>
      <x:c r="AG25" s="123" t="n"/>
      <x:c r="AH25" s="123" t="n"/>
      <x:c r="AI25" s="123" t="n"/>
      <x:c r="AJ25" s="123" t="n"/>
      <x:c r="AK25" s="123" t="n"/>
      <x:c r="AL25" s="123" t="n"/>
      <x:c r="AM25" s="123" t="n"/>
      <x:c r="AN25" s="123" t="n"/>
      <x:c r="AO25" s="123" t="n"/>
      <x:c r="AP25" s="123" t="n"/>
      <x:c r="AQ25" s="123" t="n"/>
      <x:c r="AR25" s="123" t="n"/>
      <x:c r="AS25" s="123" t="n"/>
      <x:c r="AT25" s="123" t="n"/>
      <x:c r="AU25" s="123" t="n"/>
      <x:c r="AV25" s="123" t="n"/>
      <x:c r="AW25" s="123" t="n"/>
      <x:c r="AX25" s="123" t="n"/>
      <x:c r="AY25" s="6" t="n"/>
      <x:c r="AZ25" s="123" t="n"/>
      <x:c r="BA25" s="123" t="n"/>
      <x:c r="BB25" s="123" t="n"/>
      <x:c r="BC25" s="123" t="n"/>
      <x:c r="BD25" s="123" t="n"/>
      <x:c r="BE25" s="123" t="n"/>
      <x:c r="BF25" s="123" t="n"/>
      <x:c r="BG25" s="123" t="n"/>
      <x:c r="BH25" s="123" t="n"/>
      <x:c r="BI25" s="100" t="n"/>
      <x:c r="BJ25" s="100" t="n"/>
      <x:c r="BK25" s="100" t="n"/>
      <x:c r="BL25" s="100" t="n"/>
      <x:c r="BM25" s="100" t="n"/>
      <x:c r="BN25" s="100" t="n"/>
      <x:c r="BO25" s="100" t="n"/>
      <x:c r="BP25" s="100" t="n"/>
      <x:c r="BQ25" s="100" t="n"/>
      <x:c r="BR25" s="100" t="n"/>
      <x:c r="BS25" s="100" t="n"/>
      <x:c r="BT25" s="100" t="n"/>
      <x:c r="BU25" s="100" t="n"/>
      <x:c r="BV25" s="100" t="n"/>
      <x:c r="BW25" s="100" t="n"/>
      <x:c r="BX25" s="100" t="n"/>
      <x:c r="BY25" s="100" t="n"/>
      <x:c r="BZ25" s="100" t="n"/>
      <x:c r="CA25" s="100" t="n"/>
      <x:c r="CB25" s="100" t="n"/>
      <x:c r="CC25" s="100" t="n"/>
      <x:c r="CD25" s="100" t="n"/>
      <x:c r="CE25" s="100" t="n"/>
      <x:c r="CF25" s="100" t="n"/>
      <x:c r="CG25" s="100" t="n"/>
      <x:c r="CH25" s="100" t="n"/>
      <x:c r="CI25" s="100" t="n"/>
      <x:c r="CJ25" s="100" t="n"/>
      <x:c r="CK25" s="100" t="n"/>
      <x:c r="CL25" s="100" t="n"/>
      <x:c r="CM25" s="100" t="n"/>
      <x:c r="CN25" s="100" t="n"/>
      <x:c r="CO25" s="100" t="n"/>
      <x:c r="CP25" s="100" t="n"/>
      <x:c r="CQ25" s="100" t="n"/>
      <x:c r="CR25" s="100" t="n"/>
      <x:c r="CS25" s="100" t="n"/>
      <x:c r="CT25" s="100" t="n"/>
      <x:c r="CU25" s="100" t="n"/>
      <x:c r="CV25" s="100" t="n"/>
      <x:c r="CW25" s="100" t="n"/>
      <x:c r="CX25" s="100" t="n"/>
      <x:c r="CY25" s="100" t="n"/>
      <x:c r="CZ25" s="100" t="n"/>
      <x:c r="DA25" s="100" t="n"/>
      <x:c r="DB25" s="100" t="n"/>
      <x:c r="DC25" s="100" t="n"/>
      <x:c r="DD25" s="100" t="n"/>
      <x:c r="DE25" s="100" t="n"/>
      <x:c r="DF25" s="100" t="n"/>
      <x:c r="DG25" s="100" t="n"/>
      <x:c r="DH25" s="100" t="n"/>
      <x:c r="DI25" s="100" t="n"/>
      <x:c r="DJ25" s="100" t="n"/>
      <x:c r="DK25" s="100" t="n"/>
      <x:c r="DL25" s="100" t="n"/>
      <x:c r="DM25" s="100" t="n"/>
      <x:c r="DN25" s="100" t="n"/>
      <x:c r="DO25" s="100" t="n"/>
      <x:c r="DP25" s="100" t="n"/>
      <x:c r="DQ25" s="100" t="n"/>
      <x:c r="DR25" s="100" t="n"/>
      <x:c r="DS25" s="100" t="n"/>
      <x:c r="DT25" s="100" t="n"/>
      <x:c r="DU25" s="100" t="n"/>
      <x:c r="DV25" s="100" t="n"/>
      <x:c r="DW25" s="100" t="n"/>
      <x:c r="DX25" s="100" t="n"/>
      <x:c r="DY25" s="100" t="n"/>
      <x:c r="DZ25" s="100" t="n"/>
      <x:c r="EA25" s="100" t="n"/>
      <x:c r="EB25" s="100" t="n"/>
      <x:c r="EC25" s="100" t="n"/>
      <x:c r="ED25" s="100" t="n"/>
      <x:c r="EE25" s="100" t="n"/>
      <x:c r="EF25" s="100" t="n"/>
      <x:c r="EG25" s="100" t="n"/>
      <x:c r="EH25" s="100" t="n"/>
      <x:c r="EI25" s="100" t="n"/>
      <x:c r="EJ25" s="100" t="n"/>
      <x:c r="EK25" s="100" t="n"/>
      <x:c r="EL25" s="100" t="n"/>
      <x:c r="EM25" s="100" t="n"/>
      <x:c r="EN25" s="100" t="n"/>
      <x:c r="EO25" s="100" t="n"/>
      <x:c r="EP25" s="100" t="n"/>
      <x:c r="EQ25" s="100" t="n"/>
      <x:c r="ER25" s="100" t="n"/>
      <x:c r="ES25" s="100" t="n"/>
      <x:c r="ET25" s="100" t="n"/>
      <x:c r="EU25" s="100" t="n"/>
      <x:c r="EV25" s="100" t="n"/>
      <x:c r="EW25" s="100" t="n"/>
      <x:c r="EX25" s="100" t="n"/>
      <x:c r="EY25" s="100" t="n"/>
      <x:c r="EZ25" s="100" t="n"/>
      <x:c r="FA25" s="100" t="n"/>
      <x:c r="FB25" s="100" t="n"/>
      <x:c r="FC25" s="100" t="n"/>
      <x:c r="FD25" s="100" t="n"/>
      <x:c r="FE25" s="100" t="n"/>
      <x:c r="FF25" s="100" t="n"/>
      <x:c r="FG25" s="100" t="n"/>
      <x:c r="FH25" s="100" t="n"/>
      <x:c r="FI25" s="100" t="n"/>
      <x:c r="FJ25" s="100" t="n"/>
      <x:c r="FK25" s="100" t="n"/>
      <x:c r="FL25" s="100" t="n"/>
      <x:c r="FM25" s="100" t="n"/>
      <x:c r="FN25" s="100" t="n"/>
      <x:c r="FO25" s="100" t="n"/>
      <x:c r="FP25" s="100" t="n"/>
      <x:c r="FQ25" s="100" t="n"/>
      <x:c r="FR25" s="100" t="n"/>
      <x:c r="FS25" s="100" t="n"/>
      <x:c r="FT25" s="100" t="n"/>
      <x:c r="FU25" s="100" t="n"/>
      <x:c r="FV25" s="100" t="n"/>
      <x:c r="FW25" s="100" t="n"/>
      <x:c r="FX25" s="100" t="n"/>
      <x:c r="FY25" s="100" t="n"/>
      <x:c r="FZ25" s="100" t="n"/>
      <x:c r="GA25" s="100" t="n"/>
      <x:c r="GB25" s="100" t="n"/>
      <x:c r="GC25" s="100" t="n"/>
      <x:c r="GD25" s="100" t="n"/>
      <x:c r="GE25" s="100" t="n"/>
      <x:c r="GF25" s="100" t="n"/>
    </x:row>
    <x:row r="26" s="27" customFormat="1">
      <x:c r="A26" s="38" t="n"/>
      <x:c r="B26" s="37" t="n"/>
      <x:c r="C26" s="86" t="n">
        <x:f>E26*D$5</x:f>
        <x:v>0</x:v>
      </x:c>
      <x:c r="D26" s="103" t="inlineStr">
        <x:is>
          <x:t xml:space="preserve">Carrie Leeann Williams</x:t>
        </x:is>
      </x:c>
      <x:c r="E26" s="86" t="n">
        <x:f>SUM(G26:HT26)</x:f>
        <x:v>0</x:v>
      </x:c>
      <x:c r="F26" s="35" t="n"/>
      <x:c r="G26" s="121" t="n"/>
      <x:c r="H26" s="121" t="n"/>
      <x:c r="I26" s="121" t="n"/>
      <x:c r="J26" s="121" t="n"/>
      <x:c r="K26" s="121" t="n"/>
      <x:c r="L26" s="121" t="n"/>
      <x:c r="M26" s="123" t="n"/>
      <x:c r="N26" s="6" t="n"/>
      <x:c r="O26" s="123" t="n"/>
      <x:c r="P26" s="123" t="n"/>
      <x:c r="Q26" s="123" t="n"/>
      <x:c r="R26" s="123" t="n"/>
      <x:c r="S26" s="123" t="n"/>
      <x:c r="T26" s="124" t="n"/>
      <x:c r="U26" s="123" t="n"/>
      <x:c r="V26" s="123" t="n"/>
      <x:c r="W26" s="123" t="n">
        <x:v>0.125</x:v>
      </x:c>
      <x:c r="X26" s="123" t="n"/>
      <x:c r="Y26" s="123" t="n"/>
      <x:c r="Z26" s="124" t="n"/>
      <x:c r="AA26" s="123" t="n"/>
      <x:c r="AB26" s="123" t="n">
        <x:v>-0.125</x:v>
      </x:c>
      <x:c r="AC26" s="123" t="n"/>
      <x:c r="AD26" s="123" t="n"/>
      <x:c r="AE26" s="123" t="n"/>
      <x:c r="AF26" s="123" t="n"/>
      <x:c r="AG26" s="123" t="n"/>
      <x:c r="AH26" s="123" t="n"/>
      <x:c r="AI26" s="123" t="n"/>
      <x:c r="AJ26" s="123" t="n"/>
      <x:c r="AK26" s="123" t="n"/>
      <x:c r="AL26" s="123" t="n"/>
      <x:c r="AM26" s="123" t="n"/>
      <x:c r="AN26" s="123" t="n"/>
      <x:c r="AO26" s="123" t="n"/>
      <x:c r="AP26" s="123" t="n"/>
      <x:c r="AQ26" s="123" t="n"/>
      <x:c r="AR26" s="123" t="n"/>
      <x:c r="AS26" s="123" t="n"/>
      <x:c r="AT26" s="123" t="n"/>
      <x:c r="AU26" s="123" t="n"/>
      <x:c r="AV26" s="123" t="n"/>
      <x:c r="AW26" s="123" t="n"/>
      <x:c r="AX26" s="123" t="n"/>
      <x:c r="AY26" s="5" t="n"/>
      <x:c r="AZ26" s="123" t="n"/>
      <x:c r="BA26" s="123" t="n"/>
      <x:c r="BB26" s="123" t="n"/>
      <x:c r="BC26" s="123" t="n"/>
      <x:c r="BD26" s="123" t="n"/>
      <x:c r="BE26" s="123" t="n"/>
      <x:c r="BF26" s="123" t="n"/>
      <x:c r="BG26" s="123" t="n"/>
      <x:c r="BH26" s="123" t="n"/>
      <x:c r="BI26" s="100" t="n"/>
      <x:c r="BJ26" s="100" t="n"/>
      <x:c r="BK26" s="100" t="n"/>
      <x:c r="BL26" s="100" t="n"/>
      <x:c r="BM26" s="100" t="n"/>
      <x:c r="BN26" s="100" t="n"/>
      <x:c r="BO26" s="100" t="n"/>
      <x:c r="BP26" s="100" t="n"/>
      <x:c r="BQ26" s="100" t="n"/>
      <x:c r="BR26" s="100" t="n"/>
      <x:c r="BS26" s="100" t="n"/>
      <x:c r="BT26" s="100" t="n"/>
      <x:c r="BU26" s="100" t="n"/>
      <x:c r="BV26" s="100" t="n"/>
      <x:c r="BW26" s="100" t="n"/>
      <x:c r="BX26" s="100" t="n"/>
      <x:c r="BY26" s="100" t="n"/>
      <x:c r="BZ26" s="100" t="n"/>
      <x:c r="CA26" s="100" t="n"/>
      <x:c r="CB26" s="100" t="n"/>
      <x:c r="CC26" s="100" t="n"/>
      <x:c r="CD26" s="100" t="n"/>
      <x:c r="CE26" s="100" t="n"/>
      <x:c r="CF26" s="100" t="n"/>
      <x:c r="CG26" s="100" t="n"/>
      <x:c r="CH26" s="100" t="n"/>
      <x:c r="CI26" s="100" t="n"/>
      <x:c r="CJ26" s="100" t="n"/>
      <x:c r="CK26" s="100" t="n"/>
      <x:c r="CL26" s="100" t="n"/>
      <x:c r="CM26" s="100" t="n"/>
      <x:c r="CN26" s="100" t="n"/>
      <x:c r="CO26" s="100" t="n"/>
      <x:c r="CP26" s="100" t="n"/>
      <x:c r="CQ26" s="100" t="n"/>
      <x:c r="CR26" s="100" t="n"/>
      <x:c r="CS26" s="100" t="n"/>
      <x:c r="CT26" s="100" t="n"/>
      <x:c r="CU26" s="100" t="n"/>
      <x:c r="CV26" s="100" t="n"/>
      <x:c r="CW26" s="100" t="n"/>
      <x:c r="CX26" s="100" t="n"/>
      <x:c r="CY26" s="100" t="n"/>
      <x:c r="CZ26" s="100" t="n"/>
      <x:c r="DA26" s="100" t="n"/>
      <x:c r="DB26" s="100" t="n"/>
      <x:c r="DC26" s="100" t="n"/>
      <x:c r="DD26" s="100" t="n"/>
      <x:c r="DE26" s="100" t="n"/>
      <x:c r="DF26" s="100" t="n"/>
      <x:c r="DG26" s="100" t="n"/>
      <x:c r="DH26" s="100" t="n"/>
      <x:c r="DI26" s="100" t="n"/>
      <x:c r="DJ26" s="100" t="n"/>
      <x:c r="DK26" s="100" t="n"/>
      <x:c r="DL26" s="100" t="n"/>
      <x:c r="DM26" s="100" t="n"/>
      <x:c r="DN26" s="100" t="n"/>
      <x:c r="DO26" s="100" t="n"/>
      <x:c r="DP26" s="100" t="n"/>
      <x:c r="DQ26" s="100" t="n"/>
      <x:c r="DR26" s="100" t="n"/>
      <x:c r="DS26" s="100" t="n"/>
      <x:c r="DT26" s="100" t="n"/>
      <x:c r="DU26" s="100" t="n"/>
      <x:c r="DV26" s="100" t="n"/>
      <x:c r="DW26" s="100" t="n"/>
      <x:c r="DX26" s="100" t="n"/>
      <x:c r="DY26" s="100" t="n"/>
      <x:c r="DZ26" s="100" t="n"/>
      <x:c r="EA26" s="100" t="n"/>
      <x:c r="EB26" s="100" t="n"/>
      <x:c r="EC26" s="100" t="n"/>
      <x:c r="ED26" s="100" t="n"/>
      <x:c r="EE26" s="100" t="n"/>
      <x:c r="EF26" s="100" t="n"/>
      <x:c r="EG26" s="100" t="n"/>
      <x:c r="EH26" s="100" t="n"/>
      <x:c r="EI26" s="100" t="n"/>
      <x:c r="EJ26" s="100" t="n"/>
      <x:c r="EK26" s="100" t="n"/>
      <x:c r="EL26" s="100" t="n"/>
      <x:c r="EM26" s="100" t="n"/>
      <x:c r="EN26" s="100" t="n"/>
      <x:c r="EO26" s="100" t="n"/>
      <x:c r="EP26" s="100" t="n"/>
      <x:c r="EQ26" s="100" t="n"/>
      <x:c r="ER26" s="100" t="n"/>
      <x:c r="ES26" s="100" t="n"/>
      <x:c r="ET26" s="100" t="n"/>
      <x:c r="EU26" s="100" t="n"/>
      <x:c r="EV26" s="100" t="n"/>
      <x:c r="EW26" s="100" t="n"/>
      <x:c r="EX26" s="100" t="n"/>
      <x:c r="EY26" s="100" t="n"/>
      <x:c r="EZ26" s="100" t="n"/>
      <x:c r="FA26" s="100" t="n"/>
      <x:c r="FB26" s="100" t="n"/>
      <x:c r="FC26" s="100" t="n"/>
      <x:c r="FD26" s="100" t="n"/>
      <x:c r="FE26" s="100" t="n"/>
      <x:c r="FF26" s="100" t="n"/>
      <x:c r="FG26" s="100" t="n"/>
      <x:c r="FH26" s="100" t="n"/>
      <x:c r="FI26" s="100" t="n"/>
      <x:c r="FJ26" s="100" t="n"/>
      <x:c r="FK26" s="100" t="n"/>
      <x:c r="FL26" s="100" t="n"/>
      <x:c r="FM26" s="100" t="n"/>
      <x:c r="FN26" s="100" t="n"/>
      <x:c r="FO26" s="100" t="n"/>
      <x:c r="FP26" s="100" t="n"/>
      <x:c r="FQ26" s="100" t="n"/>
      <x:c r="FR26" s="100" t="n"/>
      <x:c r="FS26" s="100" t="n"/>
      <x:c r="FT26" s="100" t="n"/>
      <x:c r="FU26" s="100" t="n"/>
      <x:c r="FV26" s="100" t="n"/>
      <x:c r="FW26" s="100" t="n"/>
      <x:c r="FX26" s="100" t="n"/>
      <x:c r="FY26" s="100" t="n"/>
      <x:c r="FZ26" s="100" t="n"/>
      <x:c r="GA26" s="100" t="n"/>
      <x:c r="GB26" s="100" t="n"/>
      <x:c r="GC26" s="100" t="n"/>
      <x:c r="GD26" s="100" t="n"/>
      <x:c r="GE26" s="100" t="n"/>
      <x:c r="GF26" s="100" t="n"/>
    </x:row>
    <x:row r="27" s="27" customFormat="1">
      <x:c r="A27" s="38" t="n"/>
      <x:c r="B27" s="37" t="n">
        <x:v>2</x:v>
      </x:c>
      <x:c r="C27" s="36" t="n">
        <x:f>E27*D$5</x:f>
        <x:v>0</x:v>
      </x:c>
      <x:c r="D27" s="103" t="inlineStr">
        <x:is>
          <x:t xml:space="preserve">Nancy Susan Mitchell</x:t>
        </x:is>
      </x:c>
      <x:c r="E27" s="36" t="n">
        <x:f>SUM(G27:HT27)</x:f>
        <x:v>0</x:v>
      </x:c>
      <x:c r="F27" s="35" t="n"/>
      <x:c r="G27" s="121" t="n"/>
      <x:c r="H27" s="121" t="n"/>
      <x:c r="I27" s="121" t="n"/>
      <x:c r="J27" s="121" t="n"/>
      <x:c r="K27" s="121" t="n"/>
      <x:c r="L27" s="121" t="n"/>
      <x:c r="M27" s="123" t="n"/>
      <x:c r="N27" s="5" t="n"/>
      <x:c r="O27" s="123" t="n"/>
      <x:c r="P27" s="123" t="n"/>
      <x:c r="Q27" s="123" t="n"/>
      <x:c r="R27" s="123" t="n"/>
      <x:c r="S27" s="123" t="n"/>
      <x:c r="T27" s="124" t="n"/>
      <x:c r="U27" s="124" t="n"/>
      <x:c r="V27" s="123" t="n"/>
      <x:c r="W27" s="123" t="n">
        <x:v>0.125</x:v>
      </x:c>
      <x:c r="X27" s="123" t="n"/>
      <x:c r="Y27" s="123" t="n"/>
      <x:c r="Z27" s="123" t="n"/>
      <x:c r="AA27" s="123" t="n"/>
      <x:c r="AB27" s="123" t="n"/>
      <x:c r="AC27" s="123" t="n">
        <x:v>-0.125</x:v>
      </x:c>
      <x:c r="AD27" s="123" t="n"/>
      <x:c r="AE27" s="123" t="n"/>
      <x:c r="AF27" s="123" t="n"/>
      <x:c r="AG27" s="123" t="n"/>
      <x:c r="AH27" s="123" t="n"/>
      <x:c r="AI27" s="123" t="n"/>
      <x:c r="AJ27" s="123" t="n"/>
      <x:c r="AK27" s="123" t="n"/>
      <x:c r="AL27" s="123" t="n"/>
      <x:c r="AM27" s="123" t="n"/>
      <x:c r="AN27" s="123" t="n"/>
      <x:c r="AO27" s="123" t="n"/>
      <x:c r="AP27" s="123" t="n"/>
      <x:c r="AQ27" s="123" t="n"/>
      <x:c r="AR27" s="123" t="n"/>
      <x:c r="AS27" s="123" t="n"/>
      <x:c r="AT27" s="123" t="n"/>
      <x:c r="AU27" s="123" t="n"/>
      <x:c r="AV27" s="123" t="n"/>
      <x:c r="AW27" s="123" t="n"/>
      <x:c r="AX27" s="123" t="n"/>
      <x:c r="AY27" s="5" t="n"/>
      <x:c r="AZ27" s="123" t="n"/>
      <x:c r="BA27" s="123" t="n"/>
      <x:c r="BB27" s="123" t="n"/>
      <x:c r="BC27" s="123" t="n"/>
      <x:c r="BD27" s="123" t="n"/>
      <x:c r="BE27" s="123" t="n"/>
      <x:c r="BF27" s="123" t="n"/>
      <x:c r="BG27" s="123" t="n"/>
      <x:c r="BH27" s="123" t="n"/>
      <x:c r="BI27" s="100" t="n"/>
      <x:c r="BJ27" s="100" t="n"/>
      <x:c r="BK27" s="100" t="n"/>
      <x:c r="BL27" s="100" t="n"/>
      <x:c r="BM27" s="100" t="n"/>
      <x:c r="BN27" s="100" t="n"/>
      <x:c r="BO27" s="100" t="n"/>
      <x:c r="BP27" s="100" t="n"/>
      <x:c r="BQ27" s="100" t="n"/>
      <x:c r="BR27" s="100" t="n"/>
      <x:c r="BS27" s="100" t="n"/>
      <x:c r="BT27" s="100" t="n"/>
      <x:c r="BU27" s="100" t="n"/>
      <x:c r="BV27" s="100" t="n"/>
      <x:c r="BW27" s="100" t="n"/>
      <x:c r="BX27" s="100" t="n"/>
      <x:c r="BY27" s="100" t="n"/>
      <x:c r="BZ27" s="100" t="n"/>
      <x:c r="CA27" s="100" t="n"/>
      <x:c r="CB27" s="100" t="n"/>
      <x:c r="CC27" s="100" t="n"/>
      <x:c r="CD27" s="100" t="n"/>
      <x:c r="CE27" s="100" t="n"/>
      <x:c r="CF27" s="100" t="n"/>
      <x:c r="CG27" s="100" t="n"/>
      <x:c r="CH27" s="100" t="n"/>
      <x:c r="CI27" s="100" t="n"/>
      <x:c r="CJ27" s="100" t="n"/>
      <x:c r="CK27" s="100" t="n"/>
      <x:c r="CL27" s="100" t="n"/>
      <x:c r="CM27" s="100" t="n"/>
      <x:c r="CN27" s="100" t="n"/>
      <x:c r="CO27" s="100" t="n"/>
      <x:c r="CP27" s="100" t="n"/>
      <x:c r="CQ27" s="100" t="n"/>
      <x:c r="CR27" s="100" t="n"/>
      <x:c r="CS27" s="100" t="n"/>
      <x:c r="CT27" s="100" t="n"/>
      <x:c r="CU27" s="100" t="n"/>
      <x:c r="CV27" s="100" t="n"/>
      <x:c r="CW27" s="100" t="n"/>
      <x:c r="CX27" s="100" t="n"/>
      <x:c r="CY27" s="100" t="n"/>
      <x:c r="CZ27" s="100" t="n"/>
      <x:c r="DA27" s="100" t="n"/>
      <x:c r="DB27" s="100" t="n"/>
      <x:c r="DC27" s="100" t="n"/>
      <x:c r="DD27" s="100" t="n"/>
      <x:c r="DE27" s="100" t="n"/>
      <x:c r="DF27" s="100" t="n"/>
      <x:c r="DG27" s="100" t="n"/>
      <x:c r="DH27" s="100" t="n"/>
      <x:c r="DI27" s="100" t="n"/>
      <x:c r="DJ27" s="100" t="n"/>
      <x:c r="DK27" s="100" t="n"/>
      <x:c r="DL27" s="100" t="n"/>
      <x:c r="DM27" s="100" t="n"/>
      <x:c r="DN27" s="100" t="n"/>
      <x:c r="DO27" s="100" t="n"/>
      <x:c r="DP27" s="100" t="n"/>
      <x:c r="DQ27" s="100" t="n"/>
      <x:c r="DR27" s="100" t="n"/>
      <x:c r="DS27" s="100" t="n"/>
      <x:c r="DT27" s="100" t="n"/>
      <x:c r="DU27" s="100" t="n"/>
      <x:c r="DV27" s="100" t="n"/>
      <x:c r="DW27" s="100" t="n"/>
      <x:c r="DX27" s="100" t="n"/>
      <x:c r="DY27" s="100" t="n"/>
      <x:c r="DZ27" s="100" t="n"/>
      <x:c r="EA27" s="100" t="n"/>
      <x:c r="EB27" s="100" t="n"/>
      <x:c r="EC27" s="100" t="n"/>
      <x:c r="ED27" s="100" t="n"/>
      <x:c r="EE27" s="100" t="n"/>
      <x:c r="EF27" s="100" t="n"/>
      <x:c r="EG27" s="100" t="n"/>
      <x:c r="EH27" s="100" t="n"/>
      <x:c r="EI27" s="100" t="n"/>
      <x:c r="EJ27" s="100" t="n"/>
      <x:c r="EK27" s="100" t="n"/>
      <x:c r="EL27" s="100" t="n"/>
      <x:c r="EM27" s="100" t="n"/>
      <x:c r="EN27" s="100" t="n"/>
      <x:c r="EO27" s="100" t="n"/>
      <x:c r="EP27" s="100" t="n"/>
      <x:c r="EQ27" s="100" t="n"/>
      <x:c r="ER27" s="100" t="n"/>
      <x:c r="ES27" s="100" t="n"/>
      <x:c r="ET27" s="100" t="n"/>
      <x:c r="EU27" s="100" t="n"/>
      <x:c r="EV27" s="100" t="n"/>
      <x:c r="EW27" s="100" t="n"/>
      <x:c r="EX27" s="100" t="n"/>
      <x:c r="EY27" s="100" t="n"/>
      <x:c r="EZ27" s="100" t="n"/>
      <x:c r="FA27" s="100" t="n"/>
      <x:c r="FB27" s="100" t="n"/>
      <x:c r="FC27" s="100" t="n"/>
      <x:c r="FD27" s="100" t="n"/>
      <x:c r="FE27" s="100" t="n"/>
      <x:c r="FF27" s="100" t="n"/>
      <x:c r="FG27" s="100" t="n"/>
      <x:c r="FH27" s="100" t="n"/>
      <x:c r="FI27" s="100" t="n"/>
      <x:c r="FJ27" s="100" t="n"/>
      <x:c r="FK27" s="100" t="n"/>
      <x:c r="FL27" s="100" t="n"/>
      <x:c r="FM27" s="100" t="n"/>
      <x:c r="FN27" s="100" t="n"/>
      <x:c r="FO27" s="100" t="n"/>
      <x:c r="FP27" s="100" t="n"/>
      <x:c r="FQ27" s="100" t="n"/>
      <x:c r="FR27" s="100" t="n"/>
      <x:c r="FS27" s="100" t="n"/>
      <x:c r="FT27" s="100" t="n"/>
      <x:c r="FU27" s="100" t="n"/>
      <x:c r="FV27" s="100" t="n"/>
      <x:c r="FW27" s="100" t="n"/>
      <x:c r="FX27" s="100" t="n"/>
      <x:c r="FY27" s="100" t="n"/>
      <x:c r="FZ27" s="100" t="n"/>
      <x:c r="GA27" s="100" t="n"/>
      <x:c r="GB27" s="100" t="n"/>
      <x:c r="GC27" s="100" t="n"/>
      <x:c r="GD27" s="100" t="n"/>
      <x:c r="GE27" s="100" t="n"/>
      <x:c r="GF27" s="100" t="n"/>
    </x:row>
    <x:row r="28" s="27" customFormat="1">
      <x:c r="A28" s="38" t="inlineStr">
        <x:is>
          <x:t xml:space="preserve">open</x:t>
        </x:is>
      </x:c>
      <x:c r="B28" s="37" t="n"/>
      <x:c r="C28" s="36" t="n">
        <x:f>E28*D$5</x:f>
        <x:v>20</x:v>
      </x:c>
      <x:c r="D28" s="523" t="inlineStr">
        <x:is>
          <x:t xml:space="preserve">Panhandle Royalty Company</x:t>
        </x:is>
      </x:c>
      <x:c r="E28" s="36" t="n">
        <x:f>SUM(G28:HT28)</x:f>
        <x:v>0.25</x:v>
      </x:c>
      <x:c r="F28" s="35" t="n"/>
      <x:c r="G28" s="121" t="n"/>
      <x:c r="H28" s="121" t="n"/>
      <x:c r="I28" s="121" t="n"/>
      <x:c r="J28" s="121" t="n"/>
      <x:c r="K28" s="121" t="n"/>
      <x:c r="L28" s="121" t="n"/>
      <x:c r="M28" s="123" t="n"/>
      <x:c r="N28" s="5" t="n"/>
      <x:c r="O28" s="123" t="n"/>
      <x:c r="P28" s="123" t="n"/>
      <x:c r="Q28" s="123" t="n"/>
      <x:c r="R28" s="123" t="n"/>
      <x:c r="S28" s="123" t="n"/>
      <x:c r="T28" s="123" t="n"/>
      <x:c r="U28" s="124" t="n"/>
      <x:c r="V28" s="124" t="n"/>
      <x:c r="W28" s="123" t="n"/>
      <x:c r="X28" s="123" t="n">
        <x:v>0.25</x:v>
      </x:c>
      <x:c r="Y28" s="123" t="n"/>
      <x:c r="Z28" s="123" t="n"/>
      <x:c r="AA28" s="123" t="n"/>
      <x:c r="AB28" s="123" t="n"/>
      <x:c r="AC28" s="124" t="n"/>
      <x:c r="AD28" s="123" t="n"/>
      <x:c r="AE28" s="123" t="n"/>
      <x:c r="AF28" s="123" t="n"/>
      <x:c r="AG28" s="123" t="n"/>
      <x:c r="AH28" s="123" t="n"/>
      <x:c r="AI28" s="123" t="n"/>
      <x:c r="AJ28" s="123" t="n"/>
      <x:c r="AK28" s="123" t="n"/>
      <x:c r="AL28" s="123" t="n"/>
      <x:c r="AM28" s="123" t="n"/>
      <x:c r="AN28" s="123" t="n"/>
      <x:c r="AO28" s="123" t="n"/>
      <x:c r="AP28" s="123" t="n"/>
      <x:c r="AQ28" s="123" t="n"/>
      <x:c r="AR28" s="123" t="n"/>
      <x:c r="AS28" s="123" t="n"/>
      <x:c r="AT28" s="123" t="n"/>
      <x:c r="AU28" s="123" t="n"/>
      <x:c r="AV28" s="123" t="n"/>
      <x:c r="AW28" s="123" t="n"/>
      <x:c r="AX28" s="123" t="n"/>
      <x:c r="AY28" s="5" t="n"/>
      <x:c r="AZ28" s="123" t="n"/>
      <x:c r="BA28" s="123" t="n"/>
      <x:c r="BB28" s="123" t="n"/>
      <x:c r="BC28" s="123" t="n"/>
      <x:c r="BD28" s="123" t="n"/>
      <x:c r="BE28" s="123" t="n"/>
      <x:c r="BF28" s="123" t="n"/>
      <x:c r="BG28" s="123" t="n"/>
      <x:c r="BH28" s="123" t="n"/>
      <x:c r="BI28" s="100" t="n"/>
      <x:c r="BJ28" s="100" t="n"/>
      <x:c r="BK28" s="100" t="n"/>
      <x:c r="BL28" s="100" t="n"/>
      <x:c r="BM28" s="100" t="n"/>
      <x:c r="BN28" s="100" t="n"/>
      <x:c r="BO28" s="100" t="n"/>
      <x:c r="BP28" s="100" t="n"/>
      <x:c r="BQ28" s="100" t="n"/>
      <x:c r="BR28" s="100" t="n"/>
      <x:c r="BS28" s="100" t="n"/>
      <x:c r="BT28" s="100" t="n"/>
      <x:c r="BU28" s="100" t="n"/>
      <x:c r="BV28" s="100" t="n"/>
      <x:c r="BW28" s="100" t="n"/>
      <x:c r="BX28" s="100" t="n"/>
      <x:c r="BY28" s="100" t="n"/>
      <x:c r="BZ28" s="100" t="n"/>
      <x:c r="CA28" s="100" t="n"/>
      <x:c r="CB28" s="100" t="n"/>
      <x:c r="CC28" s="100" t="n"/>
      <x:c r="CD28" s="100" t="n"/>
      <x:c r="CE28" s="100" t="n"/>
      <x:c r="CF28" s="100" t="n"/>
      <x:c r="CG28" s="100" t="n"/>
      <x:c r="CH28" s="100" t="n"/>
      <x:c r="CI28" s="100" t="n"/>
      <x:c r="CJ28" s="100" t="n"/>
      <x:c r="CK28" s="100" t="n"/>
      <x:c r="CL28" s="100" t="n"/>
      <x:c r="CM28" s="100" t="n"/>
      <x:c r="CN28" s="100" t="n"/>
      <x:c r="CO28" s="100" t="n"/>
      <x:c r="CP28" s="100" t="n"/>
      <x:c r="CQ28" s="100" t="n"/>
      <x:c r="CR28" s="100" t="n"/>
      <x:c r="CS28" s="100" t="n"/>
      <x:c r="CT28" s="100" t="n"/>
      <x:c r="CU28" s="100" t="n"/>
      <x:c r="CV28" s="100" t="n"/>
      <x:c r="CW28" s="100" t="n"/>
      <x:c r="CX28" s="100" t="n"/>
      <x:c r="CY28" s="100" t="n"/>
      <x:c r="CZ28" s="100" t="n"/>
      <x:c r="DA28" s="100" t="n"/>
      <x:c r="DB28" s="100" t="n"/>
      <x:c r="DC28" s="100" t="n"/>
      <x:c r="DD28" s="100" t="n"/>
      <x:c r="DE28" s="100" t="n"/>
      <x:c r="DF28" s="100" t="n"/>
      <x:c r="DG28" s="100" t="n"/>
      <x:c r="DH28" s="100" t="n"/>
      <x:c r="DI28" s="100" t="n"/>
      <x:c r="DJ28" s="100" t="n"/>
      <x:c r="DK28" s="100" t="n"/>
      <x:c r="DL28" s="100" t="n"/>
      <x:c r="DM28" s="100" t="n"/>
      <x:c r="DN28" s="100" t="n"/>
      <x:c r="DO28" s="100" t="n"/>
      <x:c r="DP28" s="100" t="n"/>
      <x:c r="DQ28" s="100" t="n"/>
      <x:c r="DR28" s="100" t="n"/>
      <x:c r="DS28" s="100" t="n"/>
      <x:c r="DT28" s="100" t="n"/>
      <x:c r="DU28" s="100" t="n"/>
      <x:c r="DV28" s="100" t="n"/>
      <x:c r="DW28" s="100" t="n"/>
      <x:c r="DX28" s="100" t="n"/>
      <x:c r="DY28" s="100" t="n"/>
      <x:c r="DZ28" s="100" t="n"/>
      <x:c r="EA28" s="100" t="n"/>
      <x:c r="EB28" s="100" t="n"/>
      <x:c r="EC28" s="100" t="n"/>
      <x:c r="ED28" s="100" t="n"/>
      <x:c r="EE28" s="100" t="n"/>
      <x:c r="EF28" s="100" t="n"/>
      <x:c r="EG28" s="100" t="n"/>
      <x:c r="EH28" s="100" t="n"/>
      <x:c r="EI28" s="100" t="n"/>
      <x:c r="EJ28" s="100" t="n"/>
      <x:c r="EK28" s="100" t="n"/>
      <x:c r="EL28" s="100" t="n"/>
      <x:c r="EM28" s="100" t="n"/>
      <x:c r="EN28" s="100" t="n"/>
      <x:c r="EO28" s="100" t="n"/>
      <x:c r="EP28" s="100" t="n"/>
      <x:c r="EQ28" s="100" t="n"/>
      <x:c r="ER28" s="100" t="n"/>
      <x:c r="ES28" s="100" t="n"/>
      <x:c r="ET28" s="100" t="n"/>
      <x:c r="EU28" s="100" t="n"/>
      <x:c r="EV28" s="100" t="n"/>
      <x:c r="EW28" s="100" t="n"/>
      <x:c r="EX28" s="100" t="n"/>
      <x:c r="EY28" s="100" t="n"/>
      <x:c r="EZ28" s="100" t="n"/>
      <x:c r="FA28" s="100" t="n"/>
      <x:c r="FB28" s="100" t="n"/>
      <x:c r="FC28" s="100" t="n"/>
      <x:c r="FD28" s="100" t="n"/>
      <x:c r="FE28" s="100" t="n"/>
      <x:c r="FF28" s="100" t="n"/>
      <x:c r="FG28" s="100" t="n"/>
      <x:c r="FH28" s="100" t="n"/>
      <x:c r="FI28" s="100" t="n"/>
      <x:c r="FJ28" s="100" t="n"/>
      <x:c r="FK28" s="100" t="n"/>
      <x:c r="FL28" s="100" t="n"/>
      <x:c r="FM28" s="100" t="n"/>
      <x:c r="FN28" s="100" t="n"/>
      <x:c r="FO28" s="100" t="n"/>
      <x:c r="FP28" s="100" t="n"/>
      <x:c r="FQ28" s="100" t="n"/>
      <x:c r="FR28" s="100" t="n"/>
      <x:c r="FS28" s="100" t="n"/>
      <x:c r="FT28" s="100" t="n"/>
      <x:c r="FU28" s="100" t="n"/>
      <x:c r="FV28" s="100" t="n"/>
      <x:c r="FW28" s="100" t="n"/>
      <x:c r="FX28" s="100" t="n"/>
      <x:c r="FY28" s="100" t="n"/>
      <x:c r="FZ28" s="100" t="n"/>
      <x:c r="GA28" s="100" t="n"/>
      <x:c r="GB28" s="100" t="n"/>
      <x:c r="GC28" s="100" t="n"/>
      <x:c r="GD28" s="100" t="n"/>
      <x:c r="GE28" s="100" t="n"/>
      <x:c r="GF28" s="100" t="n"/>
    </x:row>
    <x:row r="29" s="27" customFormat="1" ht="24" customHeight="1">
      <x:c r="A29" s="38" t="inlineStr">
        <x:is>
          <x:t xml:space="preserve">open</x:t>
        </x:is>
      </x:c>
      <x:c r="B29" s="37" t="n"/>
      <x:c r="C29" s="86" t="n">
        <x:f>E29*D$5</x:f>
        <x:v>20</x:v>
      </x:c>
      <x:c r="D29" s="523" t="inlineStr">
        <x:is>
          <x:t xml:space="preserve">First City National Bank of Midland, Trustee of the ETA-Flag Royalty Trust</x:t>
        </x:is>
      </x:c>
      <x:c r="E29" s="86" t="n">
        <x:f>SUM(G29:HT29)</x:f>
        <x:v>0.25</x:v>
      </x:c>
      <x:c r="F29" s="35" t="n"/>
      <x:c r="G29" s="121" t="n"/>
      <x:c r="H29" s="121" t="n"/>
      <x:c r="I29" s="121" t="n"/>
      <x:c r="J29" s="121" t="n"/>
      <x:c r="K29" s="121" t="n"/>
      <x:c r="L29" s="121" t="n"/>
      <x:c r="M29" s="123" t="n"/>
      <x:c r="N29" s="5" t="n"/>
      <x:c r="O29" s="123" t="n"/>
      <x:c r="P29" s="123" t="n"/>
      <x:c r="Q29" s="123" t="n"/>
      <x:c r="R29" s="123" t="n"/>
      <x:c r="S29" s="123" t="n"/>
      <x:c r="T29" s="123" t="n"/>
      <x:c r="U29" s="124" t="n"/>
      <x:c r="V29" s="124" t="n"/>
      <x:c r="W29" s="123" t="n"/>
      <x:c r="X29" s="123" t="n"/>
      <x:c r="Y29" s="123" t="n">
        <x:v>0.25</x:v>
      </x:c>
      <x:c r="Z29" s="123" t="n"/>
      <x:c r="AA29" s="123" t="n"/>
      <x:c r="AB29" s="123" t="n"/>
      <x:c r="AC29" s="123" t="n"/>
      <x:c r="AD29" s="123" t="n"/>
      <x:c r="AE29" s="123" t="n"/>
      <x:c r="AF29" s="123" t="n"/>
      <x:c r="AG29" s="123" t="n"/>
      <x:c r="AH29" s="123" t="n"/>
      <x:c r="AI29" s="123" t="n"/>
      <x:c r="AJ29" s="123" t="n"/>
      <x:c r="AK29" s="123" t="n"/>
      <x:c r="AL29" s="123" t="n"/>
      <x:c r="AM29" s="123" t="n"/>
      <x:c r="AN29" s="123" t="n"/>
      <x:c r="AO29" s="123" t="n"/>
      <x:c r="AP29" s="123" t="n"/>
      <x:c r="AQ29" s="123" t="n"/>
      <x:c r="AR29" s="123" t="n"/>
      <x:c r="AS29" s="123" t="n"/>
      <x:c r="AT29" s="123" t="n"/>
      <x:c r="AU29" s="123" t="n"/>
      <x:c r="AV29" s="123" t="n"/>
      <x:c r="AW29" s="123" t="n"/>
      <x:c r="AX29" s="123" t="n"/>
      <x:c r="AY29" s="5" t="n"/>
      <x:c r="AZ29" s="123" t="n"/>
      <x:c r="BA29" s="123" t="n"/>
      <x:c r="BB29" s="123" t="n"/>
      <x:c r="BC29" s="123" t="n"/>
      <x:c r="BD29" s="123" t="n"/>
      <x:c r="BE29" s="123" t="n"/>
      <x:c r="BF29" s="123" t="n"/>
      <x:c r="BG29" s="123" t="n"/>
      <x:c r="BH29" s="123" t="n"/>
      <x:c r="BI29" s="100" t="n"/>
      <x:c r="BJ29" s="100" t="n"/>
      <x:c r="BK29" s="100" t="n"/>
      <x:c r="BL29" s="100" t="n"/>
      <x:c r="BM29" s="100" t="n"/>
      <x:c r="BN29" s="100" t="n"/>
      <x:c r="BO29" s="100" t="n"/>
      <x:c r="BP29" s="100" t="n"/>
      <x:c r="BQ29" s="100" t="n"/>
      <x:c r="BR29" s="100" t="n"/>
      <x:c r="BS29" s="100" t="n"/>
      <x:c r="BT29" s="100" t="n"/>
      <x:c r="BU29" s="100" t="n"/>
      <x:c r="BV29" s="100" t="n"/>
      <x:c r="BW29" s="100" t="n"/>
      <x:c r="BX29" s="100" t="n"/>
      <x:c r="BY29" s="100" t="n"/>
      <x:c r="BZ29" s="100" t="n"/>
      <x:c r="CA29" s="100" t="n"/>
      <x:c r="CB29" s="100" t="n"/>
      <x:c r="CC29" s="100" t="n"/>
      <x:c r="CD29" s="100" t="n"/>
      <x:c r="CE29" s="100" t="n"/>
      <x:c r="CF29" s="100" t="n"/>
      <x:c r="CG29" s="100" t="n"/>
      <x:c r="CH29" s="100" t="n"/>
      <x:c r="CI29" s="100" t="n"/>
      <x:c r="CJ29" s="100" t="n"/>
      <x:c r="CK29" s="100" t="n"/>
      <x:c r="CL29" s="100" t="n"/>
      <x:c r="CM29" s="100" t="n"/>
      <x:c r="CN29" s="100" t="n"/>
      <x:c r="CO29" s="100" t="n"/>
      <x:c r="CP29" s="100" t="n"/>
      <x:c r="CQ29" s="100" t="n"/>
      <x:c r="CR29" s="100" t="n"/>
      <x:c r="CS29" s="100" t="n"/>
      <x:c r="CT29" s="100" t="n"/>
      <x:c r="CU29" s="100" t="n"/>
      <x:c r="CV29" s="100" t="n"/>
      <x:c r="CW29" s="100" t="n"/>
      <x:c r="CX29" s="100" t="n"/>
      <x:c r="CY29" s="100" t="n"/>
      <x:c r="CZ29" s="100" t="n"/>
      <x:c r="DA29" s="100" t="n"/>
      <x:c r="DB29" s="100" t="n"/>
      <x:c r="DC29" s="100" t="n"/>
      <x:c r="DD29" s="100" t="n"/>
      <x:c r="DE29" s="100" t="n"/>
      <x:c r="DF29" s="100" t="n"/>
      <x:c r="DG29" s="100" t="n"/>
      <x:c r="DH29" s="100" t="n"/>
      <x:c r="DI29" s="100" t="n"/>
      <x:c r="DJ29" s="100" t="n"/>
      <x:c r="DK29" s="100" t="n"/>
      <x:c r="DL29" s="100" t="n"/>
      <x:c r="DM29" s="100" t="n"/>
      <x:c r="DN29" s="100" t="n"/>
      <x:c r="DO29" s="100" t="n"/>
      <x:c r="DP29" s="100" t="n"/>
      <x:c r="DQ29" s="100" t="n"/>
      <x:c r="DR29" s="100" t="n"/>
      <x:c r="DS29" s="100" t="n"/>
      <x:c r="DT29" s="100" t="n"/>
      <x:c r="DU29" s="100" t="n"/>
      <x:c r="DV29" s="100" t="n"/>
      <x:c r="DW29" s="100" t="n"/>
      <x:c r="DX29" s="100" t="n"/>
      <x:c r="DY29" s="100" t="n"/>
      <x:c r="DZ29" s="100" t="n"/>
      <x:c r="EA29" s="100" t="n"/>
      <x:c r="EB29" s="100" t="n"/>
      <x:c r="EC29" s="100" t="n"/>
      <x:c r="ED29" s="100" t="n"/>
      <x:c r="EE29" s="100" t="n"/>
      <x:c r="EF29" s="100" t="n"/>
      <x:c r="EG29" s="100" t="n"/>
      <x:c r="EH29" s="100" t="n"/>
      <x:c r="EI29" s="100" t="n"/>
      <x:c r="EJ29" s="100" t="n"/>
      <x:c r="EK29" s="100" t="n"/>
      <x:c r="EL29" s="100" t="n"/>
      <x:c r="EM29" s="100" t="n"/>
      <x:c r="EN29" s="100" t="n"/>
      <x:c r="EO29" s="100" t="n"/>
      <x:c r="EP29" s="100" t="n"/>
      <x:c r="EQ29" s="100" t="n"/>
      <x:c r="ER29" s="100" t="n"/>
      <x:c r="ES29" s="100" t="n"/>
      <x:c r="ET29" s="100" t="n"/>
      <x:c r="EU29" s="100" t="n"/>
      <x:c r="EV29" s="100" t="n"/>
      <x:c r="EW29" s="100" t="n"/>
      <x:c r="EX29" s="100" t="n"/>
      <x:c r="EY29" s="100" t="n"/>
      <x:c r="EZ29" s="100" t="n"/>
      <x:c r="FA29" s="100" t="n"/>
      <x:c r="FB29" s="100" t="n"/>
      <x:c r="FC29" s="100" t="n"/>
      <x:c r="FD29" s="100" t="n"/>
      <x:c r="FE29" s="100" t="n"/>
      <x:c r="FF29" s="100" t="n"/>
      <x:c r="FG29" s="100" t="n"/>
      <x:c r="FH29" s="100" t="n"/>
      <x:c r="FI29" s="100" t="n"/>
      <x:c r="FJ29" s="100" t="n"/>
      <x:c r="FK29" s="100" t="n"/>
      <x:c r="FL29" s="100" t="n"/>
      <x:c r="FM29" s="100" t="n"/>
      <x:c r="FN29" s="100" t="n"/>
      <x:c r="FO29" s="100" t="n"/>
      <x:c r="FP29" s="100" t="n"/>
      <x:c r="FQ29" s="100" t="n"/>
      <x:c r="FR29" s="100" t="n"/>
      <x:c r="FS29" s="100" t="n"/>
      <x:c r="FT29" s="100" t="n"/>
      <x:c r="FU29" s="100" t="n"/>
      <x:c r="FV29" s="100" t="n"/>
      <x:c r="FW29" s="100" t="n"/>
      <x:c r="FX29" s="100" t="n"/>
      <x:c r="FY29" s="100" t="n"/>
      <x:c r="FZ29" s="100" t="n"/>
      <x:c r="GA29" s="100" t="n"/>
      <x:c r="GB29" s="100" t="n"/>
      <x:c r="GC29" s="100" t="n"/>
      <x:c r="GD29" s="100" t="n"/>
      <x:c r="GE29" s="100" t="n"/>
      <x:c r="GF29" s="100" t="n"/>
    </x:row>
    <x:row r="30" s="27" customFormat="1">
      <x:c r="A30" s="38" t="n"/>
      <x:c r="B30" s="37" t="n">
        <x:v>4</x:v>
      </x:c>
      <x:c r="C30" s="36" t="n">
        <x:f>E30*D$5</x:f>
        <x:v>0</x:v>
      </x:c>
      <x:c r="D30" s="104" t="inlineStr">
        <x:is>
          <x:t xml:space="preserve">Nancy Mitchell Williams</x:t>
        </x:is>
      </x:c>
      <x:c r="E30" s="36" t="n">
        <x:f>SUM(G30:HT30)</x:f>
        <x:v>0</x:v>
      </x:c>
      <x:c r="F30" s="35" t="n"/>
      <x:c r="G30" s="121" t="n"/>
      <x:c r="H30" s="121" t="n"/>
      <x:c r="I30" s="121" t="n"/>
      <x:c r="J30" s="121" t="n"/>
      <x:c r="K30" s="121" t="n"/>
      <x:c r="L30" s="121" t="n"/>
      <x:c r="M30" s="123" t="n"/>
      <x:c r="N30" s="5" t="n"/>
      <x:c r="O30" s="123" t="n"/>
      <x:c r="P30" s="123" t="n"/>
      <x:c r="Q30" s="123" t="n"/>
      <x:c r="R30" s="123" t="n"/>
      <x:c r="S30" s="123" t="n"/>
      <x:c r="T30" s="123" t="n"/>
      <x:c r="U30" s="124" t="n"/>
      <x:c r="V30" s="124" t="n"/>
      <x:c r="W30" s="123" t="n"/>
      <x:c r="X30" s="123" t="n"/>
      <x:c r="Y30" s="123" t="n"/>
      <x:c r="Z30" s="123" t="n">
        <x:v>0.125</x:v>
      </x:c>
      <x:c r="AA30" s="123" t="n">
        <x:v>-0.125</x:v>
      </x:c>
      <x:c r="AB30" s="123" t="n"/>
      <x:c r="AC30" s="123" t="n"/>
      <x:c r="AD30" s="123" t="n"/>
      <x:c r="AE30" s="123" t="n"/>
      <x:c r="AF30" s="123" t="n"/>
      <x:c r="AG30" s="123" t="n"/>
      <x:c r="AH30" s="123" t="n"/>
      <x:c r="AI30" s="123" t="n"/>
      <x:c r="AJ30" s="123" t="n"/>
      <x:c r="AK30" s="123" t="n"/>
      <x:c r="AL30" s="123" t="n"/>
      <x:c r="AM30" s="123" t="n"/>
      <x:c r="AN30" s="123" t="n"/>
      <x:c r="AO30" s="123" t="n"/>
      <x:c r="AP30" s="123" t="n"/>
      <x:c r="AQ30" s="123" t="n"/>
      <x:c r="AR30" s="123" t="n"/>
      <x:c r="AS30" s="123" t="n"/>
      <x:c r="AT30" s="123" t="n"/>
      <x:c r="AU30" s="123" t="n"/>
      <x:c r="AV30" s="123" t="n"/>
      <x:c r="AW30" s="123" t="n"/>
      <x:c r="AX30" s="123" t="n"/>
      <x:c r="AY30" s="118" t="n"/>
      <x:c r="AZ30" s="123" t="n"/>
      <x:c r="BA30" s="123" t="n"/>
      <x:c r="BB30" s="123" t="n"/>
      <x:c r="BC30" s="123" t="n"/>
      <x:c r="BD30" s="123" t="n"/>
      <x:c r="BE30" s="123" t="n"/>
      <x:c r="BF30" s="123" t="n"/>
      <x:c r="BG30" s="123" t="n"/>
      <x:c r="BH30" s="123" t="n"/>
      <x:c r="BI30" s="100" t="n"/>
      <x:c r="BJ30" s="100" t="n"/>
      <x:c r="BK30" s="100" t="n"/>
      <x:c r="BL30" s="100" t="n"/>
      <x:c r="BM30" s="100" t="n"/>
      <x:c r="BN30" s="100" t="n"/>
      <x:c r="BO30" s="100" t="n"/>
      <x:c r="BP30" s="100" t="n"/>
      <x:c r="BQ30" s="100" t="n"/>
      <x:c r="BR30" s="100" t="n"/>
      <x:c r="BS30" s="100" t="n"/>
      <x:c r="BT30" s="100" t="n"/>
      <x:c r="BU30" s="100" t="n"/>
      <x:c r="BV30" s="100" t="n"/>
      <x:c r="BW30" s="100" t="n"/>
      <x:c r="BX30" s="100" t="n"/>
      <x:c r="BY30" s="100" t="n"/>
      <x:c r="BZ30" s="100" t="n"/>
      <x:c r="CA30" s="100" t="n"/>
      <x:c r="CB30" s="100" t="n"/>
      <x:c r="CC30" s="100" t="n"/>
      <x:c r="CD30" s="100" t="n"/>
      <x:c r="CE30" s="100" t="n"/>
      <x:c r="CF30" s="100" t="n"/>
      <x:c r="CG30" s="100" t="n"/>
      <x:c r="CH30" s="100" t="n"/>
      <x:c r="CI30" s="100" t="n"/>
      <x:c r="CJ30" s="100" t="n"/>
      <x:c r="CK30" s="100" t="n"/>
      <x:c r="CL30" s="100" t="n"/>
      <x:c r="CM30" s="100" t="n"/>
      <x:c r="CN30" s="100" t="n"/>
      <x:c r="CO30" s="100" t="n"/>
      <x:c r="CP30" s="100" t="n"/>
      <x:c r="CQ30" s="100" t="n"/>
      <x:c r="CR30" s="100" t="n"/>
      <x:c r="CS30" s="100" t="n"/>
      <x:c r="CT30" s="100" t="n"/>
      <x:c r="CU30" s="100" t="n"/>
      <x:c r="CV30" s="100" t="n"/>
      <x:c r="CW30" s="100" t="n"/>
      <x:c r="CX30" s="100" t="n"/>
      <x:c r="CY30" s="100" t="n"/>
      <x:c r="CZ30" s="100" t="n"/>
      <x:c r="DA30" s="100" t="n"/>
      <x:c r="DB30" s="100" t="n"/>
      <x:c r="DC30" s="100" t="n"/>
      <x:c r="DD30" s="100" t="n"/>
      <x:c r="DE30" s="100" t="n"/>
      <x:c r="DF30" s="100" t="n"/>
      <x:c r="DG30" s="100" t="n"/>
      <x:c r="DH30" s="100" t="n"/>
      <x:c r="DI30" s="100" t="n"/>
      <x:c r="DJ30" s="100" t="n"/>
      <x:c r="DK30" s="100" t="n"/>
      <x:c r="DL30" s="100" t="n"/>
      <x:c r="DM30" s="100" t="n"/>
      <x:c r="DN30" s="100" t="n"/>
      <x:c r="DO30" s="100" t="n"/>
      <x:c r="DP30" s="100" t="n"/>
      <x:c r="DQ30" s="100" t="n"/>
      <x:c r="DR30" s="100" t="n"/>
      <x:c r="DS30" s="100" t="n"/>
      <x:c r="DT30" s="100" t="n"/>
      <x:c r="DU30" s="100" t="n"/>
      <x:c r="DV30" s="100" t="n"/>
      <x:c r="DW30" s="100" t="n"/>
      <x:c r="DX30" s="100" t="n"/>
      <x:c r="DY30" s="100" t="n"/>
      <x:c r="DZ30" s="100" t="n"/>
      <x:c r="EA30" s="100" t="n"/>
      <x:c r="EB30" s="100" t="n"/>
      <x:c r="EC30" s="100" t="n"/>
      <x:c r="ED30" s="100" t="n"/>
      <x:c r="EE30" s="100" t="n"/>
      <x:c r="EF30" s="100" t="n"/>
      <x:c r="EG30" s="100" t="n"/>
      <x:c r="EH30" s="100" t="n"/>
      <x:c r="EI30" s="100" t="n"/>
      <x:c r="EJ30" s="100" t="n"/>
      <x:c r="EK30" s="100" t="n"/>
      <x:c r="EL30" s="100" t="n"/>
      <x:c r="EM30" s="100" t="n"/>
      <x:c r="EN30" s="100" t="n"/>
      <x:c r="EO30" s="100" t="n"/>
      <x:c r="EP30" s="100" t="n"/>
      <x:c r="EQ30" s="100" t="n"/>
      <x:c r="ER30" s="100" t="n"/>
      <x:c r="ES30" s="100" t="n"/>
      <x:c r="ET30" s="100" t="n"/>
      <x:c r="EU30" s="100" t="n"/>
      <x:c r="EV30" s="100" t="n"/>
      <x:c r="EW30" s="100" t="n"/>
      <x:c r="EX30" s="100" t="n"/>
      <x:c r="EY30" s="100" t="n"/>
      <x:c r="EZ30" s="100" t="n"/>
      <x:c r="FA30" s="100" t="n"/>
      <x:c r="FB30" s="100" t="n"/>
      <x:c r="FC30" s="100" t="n"/>
      <x:c r="FD30" s="100" t="n"/>
      <x:c r="FE30" s="100" t="n"/>
      <x:c r="FF30" s="100" t="n"/>
      <x:c r="FG30" s="100" t="n"/>
      <x:c r="FH30" s="100" t="n"/>
      <x:c r="FI30" s="100" t="n"/>
      <x:c r="FJ30" s="100" t="n"/>
      <x:c r="FK30" s="100" t="n"/>
      <x:c r="FL30" s="100" t="n"/>
      <x:c r="FM30" s="100" t="n"/>
      <x:c r="FN30" s="100" t="n"/>
      <x:c r="FO30" s="100" t="n"/>
      <x:c r="FP30" s="100" t="n"/>
      <x:c r="FQ30" s="100" t="n"/>
      <x:c r="FR30" s="100" t="n"/>
      <x:c r="FS30" s="100" t="n"/>
      <x:c r="FT30" s="100" t="n"/>
      <x:c r="FU30" s="100" t="n"/>
      <x:c r="FV30" s="100" t="n"/>
      <x:c r="FW30" s="100" t="n"/>
      <x:c r="FX30" s="100" t="n"/>
      <x:c r="FY30" s="100" t="n"/>
      <x:c r="FZ30" s="100" t="n"/>
      <x:c r="GA30" s="100" t="n"/>
      <x:c r="GB30" s="100" t="n"/>
      <x:c r="GC30" s="100" t="n"/>
      <x:c r="GD30" s="100" t="n"/>
      <x:c r="GE30" s="100" t="n"/>
      <x:c r="GF30" s="100" t="n"/>
    </x:row>
    <x:row r="31" s="27" customFormat="1">
      <x:c r="A31" s="125" t="n"/>
      <x:c r="B31" s="39" t="inlineStr">
        <x:is>
          <x:t xml:space="preserve">4, 66</x:t>
        </x:is>
      </x:c>
      <x:c r="C31" s="86" t="n">
        <x:f>E31*D$5</x:f>
        <x:v>10</x:v>
      </x:c>
      <x:c r="D31" s="4" t="inlineStr">
        <x:is>
          <x:t xml:space="preserve">Gene G. Williams</x:t>
        </x:is>
      </x:c>
      <x:c r="E31" s="86" t="n">
        <x:f>SUM(G31:HT31)</x:f>
        <x:v>0.125</x:v>
      </x:c>
      <x:c r="F31" s="35" t="n"/>
      <x:c r="G31" s="121" t="n"/>
      <x:c r="H31" s="121" t="n"/>
      <x:c r="I31" s="121" t="n"/>
      <x:c r="J31" s="121" t="n"/>
      <x:c r="K31" s="121" t="n"/>
      <x:c r="L31" s="121" t="n"/>
      <x:c r="M31" s="123" t="n"/>
      <x:c r="N31" s="118" t="n"/>
      <x:c r="O31" s="123" t="n"/>
      <x:c r="P31" s="123" t="n"/>
      <x:c r="Q31" s="123" t="n"/>
      <x:c r="R31" s="123" t="n"/>
      <x:c r="S31" s="123" t="n"/>
      <x:c r="T31" s="123" t="n"/>
      <x:c r="U31" s="123" t="n"/>
      <x:c r="V31" s="123" t="n"/>
      <x:c r="W31" s="123" t="n"/>
      <x:c r="X31" s="124" t="n"/>
      <x:c r="Y31" s="123" t="n"/>
      <x:c r="Z31" s="123" t="n"/>
      <x:c r="AA31" s="123" t="n">
        <x:v>0.125</x:v>
      </x:c>
      <x:c r="AB31" s="123" t="n"/>
      <x:c r="AC31" s="123" t="n"/>
      <x:c r="AD31" s="123" t="n"/>
      <x:c r="AE31" s="123" t="n"/>
      <x:c r="AF31" s="124" t="n"/>
      <x:c r="AG31" s="123" t="n"/>
      <x:c r="AH31" s="123" t="n"/>
      <x:c r="AI31" s="123" t="n"/>
      <x:c r="AJ31" s="123" t="n"/>
      <x:c r="AK31" s="123" t="n"/>
      <x:c r="AL31" s="123" t="n"/>
      <x:c r="AM31" s="123" t="n"/>
      <x:c r="AN31" s="123" t="n"/>
      <x:c r="AO31" s="123" t="n"/>
      <x:c r="AP31" s="123" t="n"/>
      <x:c r="AQ31" s="123" t="n"/>
      <x:c r="AR31" s="123" t="n"/>
      <x:c r="AS31" s="123" t="n"/>
      <x:c r="AT31" s="123" t="n"/>
      <x:c r="AU31" s="123" t="n"/>
      <x:c r="AV31" s="123" t="n"/>
      <x:c r="AW31" s="123" t="n"/>
      <x:c r="AX31" s="123" t="n"/>
      <x:c r="AY31" s="118" t="n"/>
      <x:c r="AZ31" s="123" t="n"/>
      <x:c r="BA31" s="123" t="n"/>
      <x:c r="BB31" s="123" t="n"/>
      <x:c r="BC31" s="123" t="n"/>
      <x:c r="BD31" s="123" t="n"/>
      <x:c r="BE31" s="123" t="n"/>
      <x:c r="BF31" s="123" t="n"/>
      <x:c r="BG31" s="123" t="n"/>
      <x:c r="BH31" s="123" t="n"/>
      <x:c r="BI31" s="100" t="n"/>
      <x:c r="BJ31" s="100" t="n"/>
      <x:c r="BK31" s="100" t="n"/>
      <x:c r="BL31" s="100" t="n"/>
      <x:c r="BM31" s="100" t="n"/>
      <x:c r="BN31" s="100" t="n"/>
      <x:c r="BO31" s="100" t="n"/>
      <x:c r="BP31" s="100" t="n"/>
      <x:c r="BQ31" s="100" t="n"/>
      <x:c r="BR31" s="100" t="n"/>
      <x:c r="BS31" s="100" t="n"/>
      <x:c r="BT31" s="100" t="n"/>
      <x:c r="BU31" s="100" t="n"/>
      <x:c r="BV31" s="100" t="n"/>
      <x:c r="BW31" s="100" t="n"/>
      <x:c r="BX31" s="100" t="n"/>
      <x:c r="BY31" s="100" t="n"/>
      <x:c r="BZ31" s="100" t="n"/>
      <x:c r="CA31" s="100" t="n"/>
      <x:c r="CB31" s="100" t="n"/>
      <x:c r="CC31" s="100" t="n"/>
      <x:c r="CD31" s="100" t="n"/>
      <x:c r="CE31" s="100" t="n"/>
      <x:c r="CF31" s="100" t="n"/>
      <x:c r="CG31" s="100" t="n"/>
      <x:c r="CH31" s="100" t="n"/>
      <x:c r="CI31" s="100" t="n"/>
      <x:c r="CJ31" s="100" t="n"/>
      <x:c r="CK31" s="100" t="n"/>
      <x:c r="CL31" s="100" t="n"/>
      <x:c r="CM31" s="100" t="n"/>
      <x:c r="CN31" s="100" t="n"/>
      <x:c r="CO31" s="100" t="n"/>
      <x:c r="CP31" s="100" t="n"/>
      <x:c r="CQ31" s="100" t="n"/>
      <x:c r="CR31" s="100" t="n"/>
      <x:c r="CS31" s="100" t="n"/>
      <x:c r="CT31" s="100" t="n"/>
      <x:c r="CU31" s="100" t="n"/>
      <x:c r="CV31" s="100" t="n"/>
      <x:c r="CW31" s="100" t="n"/>
      <x:c r="CX31" s="100" t="n"/>
      <x:c r="CY31" s="100" t="n"/>
      <x:c r="CZ31" s="100" t="n"/>
      <x:c r="DA31" s="100" t="n"/>
      <x:c r="DB31" s="100" t="n"/>
      <x:c r="DC31" s="100" t="n"/>
      <x:c r="DD31" s="100" t="n"/>
      <x:c r="DE31" s="100" t="n"/>
      <x:c r="DF31" s="100" t="n"/>
      <x:c r="DG31" s="100" t="n"/>
      <x:c r="DH31" s="100" t="n"/>
      <x:c r="DI31" s="100" t="n"/>
      <x:c r="DJ31" s="100" t="n"/>
      <x:c r="DK31" s="100" t="n"/>
      <x:c r="DL31" s="100" t="n"/>
      <x:c r="DM31" s="100" t="n"/>
      <x:c r="DN31" s="100" t="n"/>
      <x:c r="DO31" s="100" t="n"/>
      <x:c r="DP31" s="100" t="n"/>
      <x:c r="DQ31" s="100" t="n"/>
      <x:c r="DR31" s="100" t="n"/>
      <x:c r="DS31" s="100" t="n"/>
      <x:c r="DT31" s="100" t="n"/>
      <x:c r="DU31" s="100" t="n"/>
      <x:c r="DV31" s="100" t="n"/>
      <x:c r="DW31" s="100" t="n"/>
      <x:c r="DX31" s="100" t="n"/>
      <x:c r="DY31" s="100" t="n"/>
      <x:c r="DZ31" s="100" t="n"/>
      <x:c r="EA31" s="100" t="n"/>
      <x:c r="EB31" s="100" t="n"/>
      <x:c r="EC31" s="100" t="n"/>
      <x:c r="ED31" s="100" t="n"/>
      <x:c r="EE31" s="100" t="n"/>
      <x:c r="EF31" s="100" t="n"/>
      <x:c r="EG31" s="100" t="n"/>
      <x:c r="EH31" s="100" t="n"/>
      <x:c r="EI31" s="100" t="n"/>
      <x:c r="EJ31" s="100" t="n"/>
      <x:c r="EK31" s="100" t="n"/>
      <x:c r="EL31" s="100" t="n"/>
      <x:c r="EM31" s="100" t="n"/>
      <x:c r="EN31" s="100" t="n"/>
      <x:c r="EO31" s="100" t="n"/>
      <x:c r="EP31" s="100" t="n"/>
      <x:c r="EQ31" s="100" t="n"/>
      <x:c r="ER31" s="100" t="n"/>
      <x:c r="ES31" s="100" t="n"/>
      <x:c r="ET31" s="100" t="n"/>
      <x:c r="EU31" s="100" t="n"/>
      <x:c r="EV31" s="100" t="n"/>
      <x:c r="EW31" s="100" t="n"/>
      <x:c r="EX31" s="100" t="n"/>
      <x:c r="EY31" s="100" t="n"/>
      <x:c r="EZ31" s="100" t="n"/>
      <x:c r="FA31" s="100" t="n"/>
      <x:c r="FB31" s="100" t="n"/>
      <x:c r="FC31" s="100" t="n"/>
      <x:c r="FD31" s="100" t="n"/>
      <x:c r="FE31" s="100" t="n"/>
      <x:c r="FF31" s="100" t="n"/>
      <x:c r="FG31" s="100" t="n"/>
      <x:c r="FH31" s="100" t="n"/>
      <x:c r="FI31" s="100" t="n"/>
      <x:c r="FJ31" s="100" t="n"/>
      <x:c r="FK31" s="100" t="n"/>
      <x:c r="FL31" s="100" t="n"/>
      <x:c r="FM31" s="100" t="n"/>
      <x:c r="FN31" s="100" t="n"/>
      <x:c r="FO31" s="100" t="n"/>
      <x:c r="FP31" s="100" t="n"/>
      <x:c r="FQ31" s="100" t="n"/>
      <x:c r="FR31" s="100" t="n"/>
      <x:c r="FS31" s="100" t="n"/>
      <x:c r="FT31" s="100" t="n"/>
      <x:c r="FU31" s="100" t="n"/>
      <x:c r="FV31" s="100" t="n"/>
      <x:c r="FW31" s="100" t="n"/>
      <x:c r="FX31" s="100" t="n"/>
      <x:c r="FY31" s="100" t="n"/>
      <x:c r="FZ31" s="100" t="n"/>
      <x:c r="GA31" s="100" t="n"/>
      <x:c r="GB31" s="100" t="n"/>
      <x:c r="GC31" s="100" t="n"/>
      <x:c r="GD31" s="100" t="n"/>
      <x:c r="GE31" s="100" t="n"/>
      <x:c r="GF31" s="100" t="n"/>
    </x:row>
    <x:row r="32" s="27" customFormat="1" ht="36" customHeight="1">
      <x:c r="A32" s="125" t="n"/>
      <x:c r="B32" s="39" t="inlineStr">
        <x:is>
          <x:t xml:space="preserve">1, 64</x:t>
        </x:is>
      </x:c>
      <x:c r="C32" s="86" t="n">
        <x:f>E32*D$5</x:f>
        <x:v>10</x:v>
      </x:c>
      <x:c r="D32" s="4" t="inlineStr">
        <x:is>
          <x:t xml:space="preserve">James Gerard Buonaccorsi,
Mitchell-Buonaccorsi Living Trust,
Carrie Leeann Mitchell, Trustee</x:t>
        </x:is>
      </x:c>
      <x:c r="E32" s="86" t="n">
        <x:f>SUM(G32:HT32)</x:f>
        <x:v>0.125</x:v>
      </x:c>
      <x:c r="F32" s="35" t="n"/>
      <x:c r="G32" s="121" t="n"/>
      <x:c r="H32" s="121" t="n"/>
      <x:c r="I32" s="121" t="n"/>
      <x:c r="J32" s="121" t="n"/>
      <x:c r="K32" s="121" t="n"/>
      <x:c r="L32" s="121" t="n"/>
      <x:c r="M32" s="123" t="n"/>
      <x:c r="N32" s="118" t="n"/>
      <x:c r="O32" s="123" t="n"/>
      <x:c r="P32" s="123" t="n"/>
      <x:c r="Q32" s="123" t="n"/>
      <x:c r="R32" s="123" t="n"/>
      <x:c r="S32" s="123" t="n"/>
      <x:c r="T32" s="123" t="n"/>
      <x:c r="U32" s="123" t="n"/>
      <x:c r="V32" s="123" t="n"/>
      <x:c r="W32" s="123" t="n"/>
      <x:c r="X32" s="123" t="n"/>
      <x:c r="Y32" s="124" t="n"/>
      <x:c r="Z32" s="123" t="n"/>
      <x:c r="AA32" s="123" t="n"/>
      <x:c r="AB32" s="123" t="n">
        <x:v>0.125</x:v>
      </x:c>
      <x:c r="AC32" s="123" t="n"/>
      <x:c r="AD32" s="123" t="n"/>
      <x:c r="AE32" s="123" t="n"/>
      <x:c r="AF32" s="123" t="n"/>
      <x:c r="AG32" s="124" t="n"/>
      <x:c r="AH32" s="123" t="n"/>
      <x:c r="AI32" s="123" t="n"/>
      <x:c r="AJ32" s="123" t="n"/>
      <x:c r="AK32" s="123" t="n"/>
      <x:c r="AL32" s="123" t="n"/>
      <x:c r="AM32" s="123" t="n"/>
      <x:c r="AN32" s="123" t="n"/>
      <x:c r="AO32" s="123" t="n"/>
      <x:c r="AP32" s="123" t="n"/>
      <x:c r="AQ32" s="123" t="n"/>
      <x:c r="AR32" s="123" t="n"/>
      <x:c r="AS32" s="123" t="n"/>
      <x:c r="AT32" s="123" t="n"/>
      <x:c r="AU32" s="123" t="n"/>
      <x:c r="AV32" s="123" t="n"/>
      <x:c r="AW32" s="123" t="n"/>
      <x:c r="AX32" s="123" t="n"/>
      <x:c r="AY32" s="118" t="n"/>
      <x:c r="AZ32" s="123" t="n"/>
      <x:c r="BA32" s="123" t="n"/>
      <x:c r="BB32" s="123" t="n"/>
      <x:c r="BC32" s="123" t="n"/>
      <x:c r="BD32" s="123" t="n"/>
      <x:c r="BE32" s="123" t="n"/>
      <x:c r="BF32" s="123" t="n"/>
      <x:c r="BG32" s="123" t="n"/>
      <x:c r="BH32" s="123" t="n"/>
      <x:c r="BI32" s="100" t="n"/>
      <x:c r="BJ32" s="100" t="n"/>
      <x:c r="BK32" s="100" t="n"/>
      <x:c r="BL32" s="100" t="n"/>
      <x:c r="BM32" s="100" t="n"/>
      <x:c r="BN32" s="100" t="n"/>
      <x:c r="BO32" s="100" t="n"/>
      <x:c r="BP32" s="100" t="n"/>
      <x:c r="BQ32" s="100" t="n"/>
      <x:c r="BR32" s="100" t="n"/>
      <x:c r="BS32" s="100" t="n"/>
      <x:c r="BT32" s="100" t="n"/>
      <x:c r="BU32" s="100" t="n"/>
      <x:c r="BV32" s="100" t="n"/>
      <x:c r="BW32" s="100" t="n"/>
      <x:c r="BX32" s="100" t="n"/>
      <x:c r="BY32" s="100" t="n"/>
      <x:c r="BZ32" s="100" t="n"/>
      <x:c r="CA32" s="100" t="n"/>
      <x:c r="CB32" s="100" t="n"/>
      <x:c r="CC32" s="100" t="n"/>
      <x:c r="CD32" s="100" t="n"/>
      <x:c r="CE32" s="100" t="n"/>
      <x:c r="CF32" s="100" t="n"/>
      <x:c r="CG32" s="100" t="n"/>
      <x:c r="CH32" s="100" t="n"/>
      <x:c r="CI32" s="100" t="n"/>
      <x:c r="CJ32" s="100" t="n"/>
      <x:c r="CK32" s="100" t="n"/>
      <x:c r="CL32" s="100" t="n"/>
      <x:c r="CM32" s="100" t="n"/>
      <x:c r="CN32" s="100" t="n"/>
      <x:c r="CO32" s="100" t="n"/>
      <x:c r="CP32" s="100" t="n"/>
      <x:c r="CQ32" s="100" t="n"/>
      <x:c r="CR32" s="100" t="n"/>
      <x:c r="CS32" s="100" t="n"/>
      <x:c r="CT32" s="100" t="n"/>
      <x:c r="CU32" s="100" t="n"/>
      <x:c r="CV32" s="100" t="n"/>
      <x:c r="CW32" s="100" t="n"/>
      <x:c r="CX32" s="100" t="n"/>
      <x:c r="CY32" s="100" t="n"/>
      <x:c r="CZ32" s="100" t="n"/>
      <x:c r="DA32" s="100" t="n"/>
      <x:c r="DB32" s="100" t="n"/>
      <x:c r="DC32" s="100" t="n"/>
      <x:c r="DD32" s="100" t="n"/>
      <x:c r="DE32" s="100" t="n"/>
      <x:c r="DF32" s="100" t="n"/>
      <x:c r="DG32" s="100" t="n"/>
      <x:c r="DH32" s="100" t="n"/>
      <x:c r="DI32" s="100" t="n"/>
      <x:c r="DJ32" s="100" t="n"/>
      <x:c r="DK32" s="100" t="n"/>
      <x:c r="DL32" s="100" t="n"/>
      <x:c r="DM32" s="100" t="n"/>
      <x:c r="DN32" s="100" t="n"/>
      <x:c r="DO32" s="100" t="n"/>
      <x:c r="DP32" s="100" t="n"/>
      <x:c r="DQ32" s="100" t="n"/>
      <x:c r="DR32" s="100" t="n"/>
      <x:c r="DS32" s="100" t="n"/>
      <x:c r="DT32" s="100" t="n"/>
      <x:c r="DU32" s="100" t="n"/>
      <x:c r="DV32" s="100" t="n"/>
      <x:c r="DW32" s="100" t="n"/>
      <x:c r="DX32" s="100" t="n"/>
      <x:c r="DY32" s="100" t="n"/>
      <x:c r="DZ32" s="100" t="n"/>
      <x:c r="EA32" s="100" t="n"/>
      <x:c r="EB32" s="100" t="n"/>
      <x:c r="EC32" s="100" t="n"/>
      <x:c r="ED32" s="100" t="n"/>
      <x:c r="EE32" s="100" t="n"/>
      <x:c r="EF32" s="100" t="n"/>
      <x:c r="EG32" s="100" t="n"/>
      <x:c r="EH32" s="100" t="n"/>
      <x:c r="EI32" s="100" t="n"/>
      <x:c r="EJ32" s="100" t="n"/>
      <x:c r="EK32" s="100" t="n"/>
      <x:c r="EL32" s="100" t="n"/>
      <x:c r="EM32" s="100" t="n"/>
      <x:c r="EN32" s="100" t="n"/>
      <x:c r="EO32" s="100" t="n"/>
      <x:c r="EP32" s="100" t="n"/>
      <x:c r="EQ32" s="100" t="n"/>
      <x:c r="ER32" s="100" t="n"/>
      <x:c r="ES32" s="100" t="n"/>
      <x:c r="ET32" s="100" t="n"/>
      <x:c r="EU32" s="100" t="n"/>
      <x:c r="EV32" s="100" t="n"/>
      <x:c r="EW32" s="100" t="n"/>
      <x:c r="EX32" s="100" t="n"/>
      <x:c r="EY32" s="100" t="n"/>
      <x:c r="EZ32" s="100" t="n"/>
      <x:c r="FA32" s="100" t="n"/>
      <x:c r="FB32" s="100" t="n"/>
      <x:c r="FC32" s="100" t="n"/>
      <x:c r="FD32" s="100" t="n"/>
      <x:c r="FE32" s="100" t="n"/>
      <x:c r="FF32" s="100" t="n"/>
      <x:c r="FG32" s="100" t="n"/>
      <x:c r="FH32" s="100" t="n"/>
      <x:c r="FI32" s="100" t="n"/>
      <x:c r="FJ32" s="100" t="n"/>
      <x:c r="FK32" s="100" t="n"/>
      <x:c r="FL32" s="100" t="n"/>
      <x:c r="FM32" s="100" t="n"/>
      <x:c r="FN32" s="100" t="n"/>
      <x:c r="FO32" s="100" t="n"/>
      <x:c r="FP32" s="100" t="n"/>
      <x:c r="FQ32" s="100" t="n"/>
      <x:c r="FR32" s="100" t="n"/>
      <x:c r="FS32" s="100" t="n"/>
      <x:c r="FT32" s="100" t="n"/>
      <x:c r="FU32" s="100" t="n"/>
      <x:c r="FV32" s="100" t="n"/>
      <x:c r="FW32" s="100" t="n"/>
      <x:c r="FX32" s="100" t="n"/>
      <x:c r="FY32" s="100" t="n"/>
      <x:c r="FZ32" s="100" t="n"/>
      <x:c r="GA32" s="100" t="n"/>
      <x:c r="GB32" s="100" t="n"/>
      <x:c r="GC32" s="100" t="n"/>
      <x:c r="GD32" s="100" t="n"/>
      <x:c r="GE32" s="100" t="n"/>
      <x:c r="GF32" s="100" t="n"/>
    </x:row>
    <x:row r="33" s="27" customFormat="1">
      <x:c r="A33" s="125" t="n"/>
      <x:c r="B33" s="39" t="inlineStr">
        <x:is>
          <x:t xml:space="preserve">2, 65</x:t>
        </x:is>
      </x:c>
      <x:c r="C33" s="36" t="n">
        <x:f>E33*D$5</x:f>
        <x:v>10</x:v>
      </x:c>
      <x:c r="D33" s="4" t="inlineStr">
        <x:is>
          <x:t xml:space="preserve">Ronald Paul Dold</x:t>
        </x:is>
      </x:c>
      <x:c r="E33" s="36" t="n">
        <x:f>SUM(G33:HT33)</x:f>
        <x:v>0.125</x:v>
      </x:c>
      <x:c r="F33" s="35" t="n"/>
      <x:c r="G33" s="121" t="n"/>
      <x:c r="H33" s="121" t="n"/>
      <x:c r="I33" s="121" t="n"/>
      <x:c r="J33" s="121" t="n"/>
      <x:c r="K33" s="121" t="n"/>
      <x:c r="L33" s="121" t="n"/>
      <x:c r="M33" s="123" t="n"/>
      <x:c r="N33" s="118" t="n"/>
      <x:c r="O33" s="123" t="n"/>
      <x:c r="P33" s="123" t="n"/>
      <x:c r="Q33" s="123" t="n"/>
      <x:c r="R33" s="123" t="n"/>
      <x:c r="S33" s="123" t="n"/>
      <x:c r="T33" s="123" t="n"/>
      <x:c r="U33" s="123" t="n"/>
      <x:c r="V33" s="123" t="n"/>
      <x:c r="W33" s="123" t="n"/>
      <x:c r="X33" s="123" t="n"/>
      <x:c r="Y33" s="123" t="n"/>
      <x:c r="Z33" s="124" t="n"/>
      <x:c r="AA33" s="123" t="n"/>
      <x:c r="AB33" s="123" t="n"/>
      <x:c r="AC33" s="123" t="n">
        <x:v>0.125</x:v>
      </x:c>
      <x:c r="AD33" s="123" t="n"/>
      <x:c r="AE33" s="123" t="n"/>
      <x:c r="AF33" s="123" t="n"/>
      <x:c r="AG33" s="123" t="n"/>
      <x:c r="AH33" s="123" t="n"/>
      <x:c r="AI33" s="123" t="n"/>
      <x:c r="AJ33" s="123" t="n"/>
      <x:c r="AK33" s="123" t="n"/>
      <x:c r="AL33" s="123" t="n"/>
      <x:c r="AM33" s="123" t="n"/>
      <x:c r="AN33" s="123" t="n"/>
      <x:c r="AO33" s="123" t="n"/>
      <x:c r="AP33" s="123" t="n"/>
      <x:c r="AQ33" s="123" t="n"/>
      <x:c r="AR33" s="123" t="n"/>
      <x:c r="AS33" s="123" t="n"/>
      <x:c r="AT33" s="123" t="n"/>
      <x:c r="AU33" s="123" t="n"/>
      <x:c r="AV33" s="123" t="n"/>
      <x:c r="AW33" s="123" t="n"/>
      <x:c r="AX33" s="123" t="n"/>
      <x:c r="AY33" s="123" t="n"/>
      <x:c r="AZ33" s="123" t="n"/>
      <x:c r="BA33" s="123" t="n"/>
      <x:c r="BB33" s="123" t="n"/>
      <x:c r="BC33" s="123" t="n"/>
      <x:c r="BD33" s="123" t="n"/>
      <x:c r="BE33" s="123" t="n"/>
      <x:c r="BF33" s="123" t="n"/>
      <x:c r="BG33" s="123" t="n"/>
      <x:c r="BH33" s="123" t="n"/>
      <x:c r="BI33" s="100" t="n"/>
      <x:c r="BJ33" s="100" t="n"/>
      <x:c r="BK33" s="100" t="n"/>
      <x:c r="BL33" s="100" t="n"/>
      <x:c r="BM33" s="100" t="n"/>
      <x:c r="BN33" s="100" t="n"/>
      <x:c r="BO33" s="100" t="n"/>
      <x:c r="BP33" s="100" t="n"/>
      <x:c r="BQ33" s="100" t="n"/>
      <x:c r="BR33" s="100" t="n"/>
      <x:c r="BS33" s="100" t="n"/>
      <x:c r="BT33" s="100" t="n"/>
      <x:c r="BU33" s="100" t="n"/>
      <x:c r="BV33" s="100" t="n"/>
      <x:c r="BW33" s="100" t="n"/>
      <x:c r="BX33" s="100" t="n"/>
      <x:c r="BY33" s="100" t="n"/>
      <x:c r="BZ33" s="100" t="n"/>
      <x:c r="CA33" s="100" t="n"/>
      <x:c r="CB33" s="100" t="n"/>
      <x:c r="CC33" s="100" t="n"/>
      <x:c r="CD33" s="100" t="n"/>
      <x:c r="CE33" s="100" t="n"/>
      <x:c r="CF33" s="100" t="n"/>
      <x:c r="CG33" s="100" t="n"/>
      <x:c r="CH33" s="100" t="n"/>
      <x:c r="CI33" s="100" t="n"/>
      <x:c r="CJ33" s="100" t="n"/>
      <x:c r="CK33" s="100" t="n"/>
      <x:c r="CL33" s="100" t="n"/>
      <x:c r="CM33" s="100" t="n"/>
      <x:c r="CN33" s="100" t="n"/>
      <x:c r="CO33" s="100" t="n"/>
      <x:c r="CP33" s="100" t="n"/>
      <x:c r="CQ33" s="100" t="n"/>
      <x:c r="CR33" s="100" t="n"/>
      <x:c r="CS33" s="100" t="n"/>
      <x:c r="CT33" s="100" t="n"/>
      <x:c r="CU33" s="100" t="n"/>
      <x:c r="CV33" s="100" t="n"/>
      <x:c r="CW33" s="100" t="n"/>
      <x:c r="CX33" s="100" t="n"/>
      <x:c r="CY33" s="100" t="n"/>
      <x:c r="CZ33" s="100" t="n"/>
      <x:c r="DA33" s="100" t="n"/>
      <x:c r="DB33" s="100" t="n"/>
      <x:c r="DC33" s="100" t="n"/>
      <x:c r="DD33" s="100" t="n"/>
      <x:c r="DE33" s="100" t="n"/>
      <x:c r="DF33" s="100" t="n"/>
      <x:c r="DG33" s="100" t="n"/>
      <x:c r="DH33" s="100" t="n"/>
      <x:c r="DI33" s="100" t="n"/>
      <x:c r="DJ33" s="100" t="n"/>
      <x:c r="DK33" s="100" t="n"/>
      <x:c r="DL33" s="100" t="n"/>
      <x:c r="DM33" s="100" t="n"/>
      <x:c r="DN33" s="100" t="n"/>
      <x:c r="DO33" s="100" t="n"/>
      <x:c r="DP33" s="100" t="n"/>
      <x:c r="DQ33" s="100" t="n"/>
      <x:c r="DR33" s="100" t="n"/>
      <x:c r="DS33" s="100" t="n"/>
      <x:c r="DT33" s="100" t="n"/>
      <x:c r="DU33" s="100" t="n"/>
      <x:c r="DV33" s="100" t="n"/>
      <x:c r="DW33" s="100" t="n"/>
      <x:c r="DX33" s="100" t="n"/>
      <x:c r="DY33" s="100" t="n"/>
      <x:c r="DZ33" s="100" t="n"/>
      <x:c r="EA33" s="100" t="n"/>
      <x:c r="EB33" s="100" t="n"/>
      <x:c r="EC33" s="100" t="n"/>
      <x:c r="ED33" s="100" t="n"/>
      <x:c r="EE33" s="100" t="n"/>
      <x:c r="EF33" s="100" t="n"/>
      <x:c r="EG33" s="100" t="n"/>
      <x:c r="EH33" s="100" t="n"/>
      <x:c r="EI33" s="100" t="n"/>
      <x:c r="EJ33" s="100" t="n"/>
      <x:c r="EK33" s="100" t="n"/>
      <x:c r="EL33" s="100" t="n"/>
      <x:c r="EM33" s="100" t="n"/>
      <x:c r="EN33" s="100" t="n"/>
      <x:c r="EO33" s="100" t="n"/>
      <x:c r="EP33" s="100" t="n"/>
      <x:c r="EQ33" s="100" t="n"/>
      <x:c r="ER33" s="100" t="n"/>
      <x:c r="ES33" s="100" t="n"/>
      <x:c r="ET33" s="100" t="n"/>
      <x:c r="EU33" s="100" t="n"/>
      <x:c r="EV33" s="100" t="n"/>
      <x:c r="EW33" s="100" t="n"/>
      <x:c r="EX33" s="100" t="n"/>
      <x:c r="EY33" s="100" t="n"/>
      <x:c r="EZ33" s="100" t="n"/>
      <x:c r="FA33" s="100" t="n"/>
      <x:c r="FB33" s="100" t="n"/>
      <x:c r="FC33" s="100" t="n"/>
      <x:c r="FD33" s="100" t="n"/>
      <x:c r="FE33" s="100" t="n"/>
      <x:c r="FF33" s="100" t="n"/>
      <x:c r="FG33" s="100" t="n"/>
      <x:c r="FH33" s="100" t="n"/>
      <x:c r="FI33" s="100" t="n"/>
      <x:c r="FJ33" s="100" t="n"/>
      <x:c r="FK33" s="100" t="n"/>
      <x:c r="FL33" s="100" t="n"/>
      <x:c r="FM33" s="100" t="n"/>
      <x:c r="FN33" s="100" t="n"/>
      <x:c r="FO33" s="100" t="n"/>
      <x:c r="FP33" s="100" t="n"/>
      <x:c r="FQ33" s="100" t="n"/>
      <x:c r="FR33" s="100" t="n"/>
      <x:c r="FS33" s="100" t="n"/>
      <x:c r="FT33" s="100" t="n"/>
      <x:c r="FU33" s="100" t="n"/>
      <x:c r="FV33" s="100" t="n"/>
      <x:c r="FW33" s="100" t="n"/>
      <x:c r="FX33" s="100" t="n"/>
      <x:c r="FY33" s="100" t="n"/>
      <x:c r="FZ33" s="100" t="n"/>
      <x:c r="GA33" s="100" t="n"/>
      <x:c r="GB33" s="100" t="n"/>
      <x:c r="GC33" s="100" t="n"/>
      <x:c r="GD33" s="100" t="n"/>
      <x:c r="GE33" s="100" t="n"/>
      <x:c r="GF33" s="100" t="n"/>
    </x:row>
    <x:row r="34" s="27" customFormat="1" ht="36" customHeight="1">
      <x:c r="A34" s="125" t="n"/>
      <x:c r="B34" s="37" t="inlineStr">
        <x:is>
          <x:t xml:space="preserve">4, 66</x:t>
        </x:is>
      </x:c>
      <x:c r="C34" s="36" t="n">
        <x:f>E34*D$5</x:f>
        <x:v>10</x:v>
      </x:c>
      <x:c r="D34" s="4" t="inlineStr">
        <x:is>
          <x:t xml:space="preserve">Gena W. Moore, a/k/a Gena Mitchell
William, a/k/a Gena Williams, a/k/a
Gena Willams Moore</x:t>
        </x:is>
      </x:c>
      <x:c r="E34" s="36" t="n">
        <x:f>SUM(G34:HT34)</x:f>
        <x:v>0.125</x:v>
      </x:c>
      <x:c r="F34" s="35" t="n"/>
      <x:c r="G34" s="121" t="n"/>
      <x:c r="H34" s="121" t="n"/>
      <x:c r="I34" s="121" t="n"/>
      <x:c r="J34" s="121" t="n"/>
      <x:c r="K34" s="121" t="n"/>
      <x:c r="L34" s="121" t="n"/>
      <x:c r="M34" s="123" t="n"/>
      <x:c r="N34" s="123" t="n"/>
      <x:c r="O34" s="123" t="n"/>
      <x:c r="P34" s="123" t="n"/>
      <x:c r="Q34" s="123" t="n"/>
      <x:c r="R34" s="123" t="n"/>
      <x:c r="S34" s="123" t="n"/>
      <x:c r="T34" s="123" t="n"/>
      <x:c r="U34" s="123" t="n"/>
      <x:c r="V34" s="123" t="n"/>
      <x:c r="W34" s="123" t="n"/>
      <x:c r="X34" s="123" t="n"/>
      <x:c r="Y34" s="123" t="n"/>
      <x:c r="Z34" s="123" t="n"/>
      <x:c r="AA34" s="123" t="n"/>
      <x:c r="AB34" s="123" t="n"/>
      <x:c r="AC34" s="123" t="n"/>
      <x:c r="AD34" s="123" t="n">
        <x:v>0.125</x:v>
      </x:c>
      <x:c r="AE34" s="123" t="n"/>
      <x:c r="AF34" s="123" t="n"/>
      <x:c r="AG34" s="123" t="n"/>
      <x:c r="AH34" s="123" t="n"/>
      <x:c r="AI34" s="123" t="n"/>
      <x:c r="AJ34" s="123" t="n"/>
      <x:c r="AK34" s="123" t="n"/>
      <x:c r="AL34" s="123" t="n"/>
      <x:c r="AM34" s="123" t="n"/>
      <x:c r="AN34" s="123" t="n"/>
      <x:c r="AO34" s="123" t="n"/>
      <x:c r="AP34" s="123" t="n"/>
      <x:c r="AQ34" s="123" t="n"/>
      <x:c r="AR34" s="123" t="n"/>
      <x:c r="AS34" s="123" t="n"/>
      <x:c r="AT34" s="123" t="n"/>
      <x:c r="AU34" s="123" t="n"/>
      <x:c r="AV34" s="123" t="n"/>
      <x:c r="AW34" s="123" t="n"/>
      <x:c r="AX34" s="123" t="n"/>
      <x:c r="AY34" s="123" t="n"/>
      <x:c r="AZ34" s="123" t="n"/>
      <x:c r="BA34" s="123" t="n"/>
      <x:c r="BB34" s="123" t="n"/>
      <x:c r="BC34" s="123" t="n"/>
      <x:c r="BD34" s="123" t="n"/>
      <x:c r="BE34" s="123" t="n"/>
      <x:c r="BF34" s="123" t="n"/>
      <x:c r="BG34" s="123" t="n"/>
      <x:c r="BH34" s="123" t="n"/>
      <x:c r="BI34" s="100" t="n"/>
      <x:c r="BJ34" s="100" t="n"/>
      <x:c r="BK34" s="100" t="n"/>
      <x:c r="BL34" s="100" t="n"/>
      <x:c r="BM34" s="100" t="n"/>
      <x:c r="BN34" s="100" t="n"/>
      <x:c r="BO34" s="100" t="n"/>
      <x:c r="BP34" s="100" t="n"/>
      <x:c r="BQ34" s="100" t="n"/>
      <x:c r="BR34" s="100" t="n"/>
      <x:c r="BS34" s="100" t="n"/>
      <x:c r="BT34" s="100" t="n"/>
      <x:c r="BU34" s="100" t="n"/>
      <x:c r="BV34" s="100" t="n"/>
      <x:c r="BW34" s="100" t="n"/>
      <x:c r="BX34" s="100" t="n"/>
      <x:c r="BY34" s="100" t="n"/>
      <x:c r="BZ34" s="100" t="n"/>
      <x:c r="CA34" s="100" t="n"/>
      <x:c r="CB34" s="100" t="n"/>
      <x:c r="CC34" s="100" t="n"/>
      <x:c r="CD34" s="100" t="n"/>
      <x:c r="CE34" s="100" t="n"/>
      <x:c r="CF34" s="100" t="n"/>
      <x:c r="CG34" s="100" t="n"/>
      <x:c r="CH34" s="100" t="n"/>
      <x:c r="CI34" s="100" t="n"/>
      <x:c r="CJ34" s="100" t="n"/>
      <x:c r="CK34" s="100" t="n"/>
      <x:c r="CL34" s="100" t="n"/>
      <x:c r="CM34" s="100" t="n"/>
      <x:c r="CN34" s="100" t="n"/>
      <x:c r="CO34" s="100" t="n"/>
      <x:c r="CP34" s="100" t="n"/>
      <x:c r="CQ34" s="100" t="n"/>
      <x:c r="CR34" s="100" t="n"/>
      <x:c r="CS34" s="100" t="n"/>
      <x:c r="CT34" s="100" t="n"/>
      <x:c r="CU34" s="100" t="n"/>
      <x:c r="CV34" s="100" t="n"/>
      <x:c r="CW34" s="100" t="n"/>
      <x:c r="CX34" s="100" t="n"/>
      <x:c r="CY34" s="100" t="n"/>
      <x:c r="CZ34" s="100" t="n"/>
      <x:c r="DA34" s="100" t="n"/>
      <x:c r="DB34" s="100" t="n"/>
      <x:c r="DC34" s="100" t="n"/>
      <x:c r="DD34" s="100" t="n"/>
      <x:c r="DE34" s="100" t="n"/>
      <x:c r="DF34" s="100" t="n"/>
      <x:c r="DG34" s="100" t="n"/>
      <x:c r="DH34" s="100" t="n"/>
      <x:c r="DI34" s="100" t="n"/>
      <x:c r="DJ34" s="100" t="n"/>
      <x:c r="DK34" s="100" t="n"/>
      <x:c r="DL34" s="100" t="n"/>
      <x:c r="DM34" s="100" t="n"/>
      <x:c r="DN34" s="100" t="n"/>
      <x:c r="DO34" s="100" t="n"/>
      <x:c r="DP34" s="100" t="n"/>
      <x:c r="DQ34" s="100" t="n"/>
      <x:c r="DR34" s="100" t="n"/>
      <x:c r="DS34" s="100" t="n"/>
      <x:c r="DT34" s="100" t="n"/>
      <x:c r="DU34" s="100" t="n"/>
      <x:c r="DV34" s="100" t="n"/>
      <x:c r="DW34" s="100" t="n"/>
      <x:c r="DX34" s="100" t="n"/>
      <x:c r="DY34" s="100" t="n"/>
      <x:c r="DZ34" s="100" t="n"/>
      <x:c r="EA34" s="100" t="n"/>
      <x:c r="EB34" s="100" t="n"/>
      <x:c r="EC34" s="100" t="n"/>
      <x:c r="ED34" s="100" t="n"/>
      <x:c r="EE34" s="100" t="n"/>
      <x:c r="EF34" s="100" t="n"/>
      <x:c r="EG34" s="100" t="n"/>
      <x:c r="EH34" s="100" t="n"/>
      <x:c r="EI34" s="100" t="n"/>
      <x:c r="EJ34" s="100" t="n"/>
      <x:c r="EK34" s="100" t="n"/>
      <x:c r="EL34" s="100" t="n"/>
      <x:c r="EM34" s="100" t="n"/>
      <x:c r="EN34" s="100" t="n"/>
      <x:c r="EO34" s="100" t="n"/>
      <x:c r="EP34" s="100" t="n"/>
      <x:c r="EQ34" s="100" t="n"/>
      <x:c r="ER34" s="100" t="n"/>
      <x:c r="ES34" s="100" t="n"/>
      <x:c r="ET34" s="100" t="n"/>
      <x:c r="EU34" s="100" t="n"/>
      <x:c r="EV34" s="100" t="n"/>
      <x:c r="EW34" s="100" t="n"/>
      <x:c r="EX34" s="100" t="n"/>
      <x:c r="EY34" s="100" t="n"/>
      <x:c r="EZ34" s="100" t="n"/>
      <x:c r="FA34" s="100" t="n"/>
      <x:c r="FB34" s="100" t="n"/>
      <x:c r="FC34" s="100" t="n"/>
      <x:c r="FD34" s="100" t="n"/>
      <x:c r="FE34" s="100" t="n"/>
      <x:c r="FF34" s="100" t="n"/>
      <x:c r="FG34" s="100" t="n"/>
      <x:c r="FH34" s="100" t="n"/>
      <x:c r="FI34" s="100" t="n"/>
      <x:c r="FJ34" s="100" t="n"/>
      <x:c r="FK34" s="100" t="n"/>
      <x:c r="FL34" s="100" t="n"/>
      <x:c r="FM34" s="100" t="n"/>
      <x:c r="FN34" s="100" t="n"/>
      <x:c r="FO34" s="100" t="n"/>
      <x:c r="FP34" s="100" t="n"/>
      <x:c r="FQ34" s="100" t="n"/>
      <x:c r="FR34" s="100" t="n"/>
      <x:c r="FS34" s="100" t="n"/>
      <x:c r="FT34" s="100" t="n"/>
      <x:c r="FU34" s="100" t="n"/>
      <x:c r="FV34" s="100" t="n"/>
      <x:c r="FW34" s="100" t="n"/>
      <x:c r="FX34" s="100" t="n"/>
      <x:c r="FY34" s="100" t="n"/>
      <x:c r="FZ34" s="100" t="n"/>
      <x:c r="GA34" s="100" t="n"/>
      <x:c r="GB34" s="100" t="n"/>
      <x:c r="GC34" s="100" t="n"/>
      <x:c r="GD34" s="100" t="n"/>
      <x:c r="GE34" s="100" t="n"/>
      <x:c r="GF34" s="100" t="n"/>
    </x:row>
    <x:row r="35" s="27" customFormat="1">
      <x:c r="A35" s="125" t="n"/>
      <x:c r="B35" s="39" t="n"/>
      <x:c r="C35" s="36" t="n">
        <x:f>E35*D$5</x:f>
        <x:v>0</x:v>
      </x:c>
      <x:c r="D35" s="4" t="n"/>
      <x:c r="E35" s="36" t="n">
        <x:f>SUM(G35:HT35)</x:f>
        <x:v>0</x:v>
      </x:c>
      <x:c r="F35" s="35" t="n"/>
      <x:c r="G35" s="121" t="n"/>
      <x:c r="H35" s="121" t="n"/>
      <x:c r="I35" s="121" t="n"/>
      <x:c r="J35" s="121" t="n"/>
      <x:c r="K35" s="121" t="n"/>
      <x:c r="L35" s="121" t="n"/>
      <x:c r="M35" s="123" t="n"/>
      <x:c r="N35" s="123" t="n"/>
      <x:c r="O35" s="123" t="n"/>
      <x:c r="P35" s="123" t="n"/>
      <x:c r="Q35" s="123" t="n"/>
      <x:c r="R35" s="123" t="n"/>
      <x:c r="S35" s="123" t="n"/>
      <x:c r="T35" s="123" t="n"/>
      <x:c r="U35" s="123" t="n"/>
      <x:c r="V35" s="123" t="n"/>
      <x:c r="W35" s="123" t="n"/>
      <x:c r="X35" s="123" t="n"/>
      <x:c r="Y35" s="123" t="n"/>
      <x:c r="Z35" s="123" t="n"/>
      <x:c r="AA35" s="123" t="n"/>
      <x:c r="AB35" s="124" t="n"/>
      <x:c r="AC35" s="123" t="n"/>
      <x:c r="AD35" s="123" t="n"/>
      <x:c r="AE35" s="123" t="n"/>
      <x:c r="AF35" s="123" t="n"/>
      <x:c r="AG35" s="123" t="n"/>
      <x:c r="AH35" s="123" t="n"/>
      <x:c r="AI35" s="123" t="n"/>
      <x:c r="AJ35" s="123" t="n"/>
      <x:c r="AK35" s="123" t="n"/>
      <x:c r="AL35" s="123" t="n"/>
      <x:c r="AM35" s="123" t="n"/>
      <x:c r="AN35" s="123" t="n"/>
      <x:c r="AO35" s="123" t="n"/>
      <x:c r="AP35" s="123" t="n"/>
      <x:c r="AQ35" s="123" t="n"/>
      <x:c r="AR35" s="123" t="n"/>
      <x:c r="AS35" s="123" t="n"/>
      <x:c r="AT35" s="123" t="n"/>
      <x:c r="AU35" s="123" t="n"/>
      <x:c r="AV35" s="123" t="n"/>
      <x:c r="AW35" s="123" t="n"/>
      <x:c r="AX35" s="123" t="n"/>
      <x:c r="AY35" s="123" t="n"/>
      <x:c r="AZ35" s="123" t="n"/>
      <x:c r="BA35" s="123" t="n"/>
      <x:c r="BB35" s="123" t="n"/>
      <x:c r="BC35" s="123" t="n"/>
      <x:c r="BD35" s="123" t="n"/>
      <x:c r="BE35" s="123" t="n"/>
      <x:c r="BF35" s="123" t="n"/>
      <x:c r="BG35" s="123" t="n"/>
      <x:c r="BH35" s="123" t="n"/>
      <x:c r="BI35" s="100" t="n"/>
      <x:c r="BJ35" s="100" t="n"/>
      <x:c r="BK35" s="100" t="n"/>
      <x:c r="BL35" s="100" t="n"/>
      <x:c r="BM35" s="100" t="n"/>
      <x:c r="BN35" s="100" t="n"/>
      <x:c r="BO35" s="100" t="n"/>
      <x:c r="BP35" s="100" t="n"/>
      <x:c r="BQ35" s="100" t="n"/>
      <x:c r="BR35" s="100" t="n"/>
      <x:c r="BS35" s="100" t="n"/>
      <x:c r="BT35" s="100" t="n"/>
      <x:c r="BU35" s="100" t="n"/>
      <x:c r="BV35" s="100" t="n"/>
      <x:c r="BW35" s="100" t="n"/>
      <x:c r="BX35" s="100" t="n"/>
      <x:c r="BY35" s="100" t="n"/>
      <x:c r="BZ35" s="100" t="n"/>
      <x:c r="CA35" s="100" t="n"/>
      <x:c r="CB35" s="100" t="n"/>
      <x:c r="CC35" s="100" t="n"/>
      <x:c r="CD35" s="100" t="n"/>
      <x:c r="CE35" s="100" t="n"/>
      <x:c r="CF35" s="100" t="n"/>
      <x:c r="CG35" s="100" t="n"/>
      <x:c r="CH35" s="100" t="n"/>
      <x:c r="CI35" s="100" t="n"/>
      <x:c r="CJ35" s="100" t="n"/>
      <x:c r="CK35" s="100" t="n"/>
      <x:c r="CL35" s="100" t="n"/>
      <x:c r="CM35" s="100" t="n"/>
      <x:c r="CN35" s="100" t="n"/>
      <x:c r="CO35" s="100" t="n"/>
      <x:c r="CP35" s="100" t="n"/>
      <x:c r="CQ35" s="100" t="n"/>
      <x:c r="CR35" s="100" t="n"/>
      <x:c r="CS35" s="100" t="n"/>
      <x:c r="CT35" s="100" t="n"/>
      <x:c r="CU35" s="100" t="n"/>
      <x:c r="CV35" s="100" t="n"/>
      <x:c r="CW35" s="100" t="n"/>
      <x:c r="CX35" s="100" t="n"/>
      <x:c r="CY35" s="100" t="n"/>
      <x:c r="CZ35" s="100" t="n"/>
      <x:c r="DA35" s="100" t="n"/>
      <x:c r="DB35" s="100" t="n"/>
      <x:c r="DC35" s="100" t="n"/>
      <x:c r="DD35" s="100" t="n"/>
      <x:c r="DE35" s="100" t="n"/>
      <x:c r="DF35" s="100" t="n"/>
      <x:c r="DG35" s="100" t="n"/>
      <x:c r="DH35" s="100" t="n"/>
      <x:c r="DI35" s="100" t="n"/>
      <x:c r="DJ35" s="100" t="n"/>
      <x:c r="DK35" s="100" t="n"/>
      <x:c r="DL35" s="100" t="n"/>
      <x:c r="DM35" s="100" t="n"/>
      <x:c r="DN35" s="100" t="n"/>
      <x:c r="DO35" s="100" t="n"/>
      <x:c r="DP35" s="100" t="n"/>
      <x:c r="DQ35" s="100" t="n"/>
      <x:c r="DR35" s="100" t="n"/>
      <x:c r="DS35" s="100" t="n"/>
      <x:c r="DT35" s="100" t="n"/>
      <x:c r="DU35" s="100" t="n"/>
      <x:c r="DV35" s="100" t="n"/>
      <x:c r="DW35" s="100" t="n"/>
      <x:c r="DX35" s="100" t="n"/>
      <x:c r="DY35" s="100" t="n"/>
      <x:c r="DZ35" s="100" t="n"/>
      <x:c r="EA35" s="100" t="n"/>
      <x:c r="EB35" s="100" t="n"/>
      <x:c r="EC35" s="100" t="n"/>
      <x:c r="ED35" s="100" t="n"/>
      <x:c r="EE35" s="100" t="n"/>
      <x:c r="EF35" s="100" t="n"/>
      <x:c r="EG35" s="100" t="n"/>
      <x:c r="EH35" s="100" t="n"/>
      <x:c r="EI35" s="100" t="n"/>
      <x:c r="EJ35" s="100" t="n"/>
      <x:c r="EK35" s="100" t="n"/>
      <x:c r="EL35" s="100" t="n"/>
      <x:c r="EM35" s="100" t="n"/>
      <x:c r="EN35" s="100" t="n"/>
      <x:c r="EO35" s="100" t="n"/>
      <x:c r="EP35" s="100" t="n"/>
      <x:c r="EQ35" s="100" t="n"/>
      <x:c r="ER35" s="100" t="n"/>
      <x:c r="ES35" s="100" t="n"/>
      <x:c r="ET35" s="100" t="n"/>
      <x:c r="EU35" s="100" t="n"/>
      <x:c r="EV35" s="100" t="n"/>
      <x:c r="EW35" s="100" t="n"/>
      <x:c r="EX35" s="100" t="n"/>
      <x:c r="EY35" s="100" t="n"/>
      <x:c r="EZ35" s="100" t="n"/>
      <x:c r="FA35" s="100" t="n"/>
      <x:c r="FB35" s="100" t="n"/>
      <x:c r="FC35" s="100" t="n"/>
      <x:c r="FD35" s="100" t="n"/>
      <x:c r="FE35" s="100" t="n"/>
      <x:c r="FF35" s="100" t="n"/>
      <x:c r="FG35" s="100" t="n"/>
      <x:c r="FH35" s="100" t="n"/>
      <x:c r="FI35" s="100" t="n"/>
      <x:c r="FJ35" s="100" t="n"/>
      <x:c r="FK35" s="100" t="n"/>
      <x:c r="FL35" s="100" t="n"/>
      <x:c r="FM35" s="100" t="n"/>
      <x:c r="FN35" s="100" t="n"/>
      <x:c r="FO35" s="100" t="n"/>
      <x:c r="FP35" s="100" t="n"/>
      <x:c r="FQ35" s="100" t="n"/>
      <x:c r="FR35" s="100" t="n"/>
      <x:c r="FS35" s="100" t="n"/>
      <x:c r="FT35" s="100" t="n"/>
      <x:c r="FU35" s="100" t="n"/>
      <x:c r="FV35" s="100" t="n"/>
      <x:c r="FW35" s="100" t="n"/>
      <x:c r="FX35" s="100" t="n"/>
      <x:c r="FY35" s="100" t="n"/>
      <x:c r="FZ35" s="100" t="n"/>
      <x:c r="GA35" s="100" t="n"/>
      <x:c r="GB35" s="100" t="n"/>
      <x:c r="GC35" s="100" t="n"/>
      <x:c r="GD35" s="100" t="n"/>
      <x:c r="GE35" s="100" t="n"/>
      <x:c r="GF35" s="100" t="n"/>
    </x:row>
    <x:row r="36" s="27" customFormat="1">
      <x:c r="A36" s="125" t="n"/>
      <x:c r="B36" s="39" t="n"/>
      <x:c r="C36" s="36" t="n">
        <x:f>E36*D$5</x:f>
        <x:v>0</x:v>
      </x:c>
      <x:c r="D36" s="103" t="n"/>
      <x:c r="E36" s="36" t="n">
        <x:f>SUM(G36:HT36)</x:f>
        <x:v>0</x:v>
      </x:c>
      <x:c r="F36" s="35" t="n"/>
      <x:c r="G36" s="121" t="n"/>
      <x:c r="H36" s="121" t="n"/>
      <x:c r="I36" s="121" t="n"/>
      <x:c r="J36" s="121" t="n"/>
      <x:c r="K36" s="121" t="n"/>
      <x:c r="L36" s="121" t="n"/>
      <x:c r="M36" s="123" t="n"/>
      <x:c r="N36" s="123" t="n"/>
      <x:c r="O36" s="123" t="n"/>
      <x:c r="P36" s="123" t="n"/>
      <x:c r="Q36" s="123" t="n"/>
      <x:c r="R36" s="123" t="n"/>
      <x:c r="S36" s="123" t="n"/>
      <x:c r="T36" s="123" t="n"/>
      <x:c r="U36" s="123" t="n"/>
      <x:c r="V36" s="123" t="n"/>
      <x:c r="W36" s="123" t="n"/>
      <x:c r="X36" s="123" t="n"/>
      <x:c r="Y36" s="123" t="n"/>
      <x:c r="Z36" s="123" t="n"/>
      <x:c r="AA36" s="123" t="n"/>
      <x:c r="AB36" s="124" t="n"/>
      <x:c r="AC36" s="123" t="n"/>
      <x:c r="AD36" s="123" t="n"/>
      <x:c r="AE36" s="123" t="n"/>
      <x:c r="AF36" s="123" t="n"/>
      <x:c r="AG36" s="123" t="n"/>
      <x:c r="AH36" s="123" t="n"/>
      <x:c r="AI36" s="123" t="n"/>
      <x:c r="AJ36" s="123" t="n"/>
      <x:c r="AK36" s="123" t="n"/>
      <x:c r="AL36" s="123" t="n"/>
      <x:c r="AM36" s="123" t="n"/>
      <x:c r="AN36" s="123" t="n"/>
      <x:c r="AO36" s="123" t="n"/>
      <x:c r="AP36" s="123" t="n"/>
      <x:c r="AQ36" s="123" t="n"/>
      <x:c r="AR36" s="123" t="n"/>
      <x:c r="AS36" s="123" t="n"/>
      <x:c r="AT36" s="123" t="n"/>
      <x:c r="AU36" s="123" t="n"/>
      <x:c r="AV36" s="123" t="n"/>
      <x:c r="AW36" s="123" t="n"/>
      <x:c r="AX36" s="123" t="n"/>
      <x:c r="AY36" s="123" t="n"/>
      <x:c r="AZ36" s="123" t="n"/>
      <x:c r="BA36" s="123" t="n"/>
      <x:c r="BB36" s="123" t="n"/>
      <x:c r="BC36" s="123" t="n"/>
      <x:c r="BD36" s="123" t="n"/>
      <x:c r="BE36" s="123" t="n"/>
      <x:c r="BF36" s="123" t="n"/>
      <x:c r="BG36" s="123" t="n"/>
      <x:c r="BH36" s="123" t="n"/>
      <x:c r="BI36" s="100" t="n"/>
      <x:c r="BJ36" s="100" t="n"/>
      <x:c r="BK36" s="100" t="n"/>
      <x:c r="BL36" s="100" t="n"/>
      <x:c r="BM36" s="100" t="n"/>
      <x:c r="BN36" s="100" t="n"/>
      <x:c r="BO36" s="100" t="n"/>
      <x:c r="BP36" s="100" t="n"/>
      <x:c r="BQ36" s="100" t="n"/>
      <x:c r="BR36" s="100" t="n"/>
      <x:c r="BS36" s="100" t="n"/>
      <x:c r="BT36" s="100" t="n"/>
      <x:c r="BU36" s="100" t="n"/>
      <x:c r="BV36" s="100" t="n"/>
      <x:c r="BW36" s="100" t="n"/>
      <x:c r="BX36" s="100" t="n"/>
      <x:c r="BY36" s="100" t="n"/>
      <x:c r="BZ36" s="100" t="n"/>
      <x:c r="CA36" s="100" t="n"/>
      <x:c r="CB36" s="100" t="n"/>
      <x:c r="CC36" s="100" t="n"/>
      <x:c r="CD36" s="100" t="n"/>
      <x:c r="CE36" s="100" t="n"/>
      <x:c r="CF36" s="100" t="n"/>
      <x:c r="CG36" s="100" t="n"/>
      <x:c r="CH36" s="100" t="n"/>
      <x:c r="CI36" s="100" t="n"/>
      <x:c r="CJ36" s="100" t="n"/>
      <x:c r="CK36" s="100" t="n"/>
      <x:c r="CL36" s="100" t="n"/>
      <x:c r="CM36" s="100" t="n"/>
      <x:c r="CN36" s="100" t="n"/>
      <x:c r="CO36" s="100" t="n"/>
      <x:c r="CP36" s="100" t="n"/>
      <x:c r="CQ36" s="100" t="n"/>
      <x:c r="CR36" s="100" t="n"/>
      <x:c r="CS36" s="100" t="n"/>
      <x:c r="CT36" s="100" t="n"/>
      <x:c r="CU36" s="100" t="n"/>
      <x:c r="CV36" s="100" t="n"/>
      <x:c r="CW36" s="100" t="n"/>
      <x:c r="CX36" s="100" t="n"/>
      <x:c r="CY36" s="100" t="n"/>
      <x:c r="CZ36" s="100" t="n"/>
      <x:c r="DA36" s="100" t="n"/>
      <x:c r="DB36" s="100" t="n"/>
      <x:c r="DC36" s="100" t="n"/>
      <x:c r="DD36" s="100" t="n"/>
      <x:c r="DE36" s="100" t="n"/>
      <x:c r="DF36" s="100" t="n"/>
      <x:c r="DG36" s="100" t="n"/>
      <x:c r="DH36" s="100" t="n"/>
      <x:c r="DI36" s="100" t="n"/>
      <x:c r="DJ36" s="100" t="n"/>
      <x:c r="DK36" s="100" t="n"/>
      <x:c r="DL36" s="100" t="n"/>
      <x:c r="DM36" s="100" t="n"/>
      <x:c r="DN36" s="100" t="n"/>
      <x:c r="DO36" s="100" t="n"/>
      <x:c r="DP36" s="100" t="n"/>
      <x:c r="DQ36" s="100" t="n"/>
      <x:c r="DR36" s="100" t="n"/>
      <x:c r="DS36" s="100" t="n"/>
      <x:c r="DT36" s="100" t="n"/>
      <x:c r="DU36" s="100" t="n"/>
      <x:c r="DV36" s="100" t="n"/>
      <x:c r="DW36" s="100" t="n"/>
      <x:c r="DX36" s="100" t="n"/>
      <x:c r="DY36" s="100" t="n"/>
      <x:c r="DZ36" s="100" t="n"/>
      <x:c r="EA36" s="100" t="n"/>
      <x:c r="EB36" s="100" t="n"/>
      <x:c r="EC36" s="100" t="n"/>
      <x:c r="ED36" s="100" t="n"/>
      <x:c r="EE36" s="100" t="n"/>
      <x:c r="EF36" s="100" t="n"/>
      <x:c r="EG36" s="100" t="n"/>
      <x:c r="EH36" s="100" t="n"/>
      <x:c r="EI36" s="100" t="n"/>
      <x:c r="EJ36" s="100" t="n"/>
      <x:c r="EK36" s="100" t="n"/>
      <x:c r="EL36" s="100" t="n"/>
      <x:c r="EM36" s="100" t="n"/>
      <x:c r="EN36" s="100" t="n"/>
      <x:c r="EO36" s="100" t="n"/>
      <x:c r="EP36" s="100" t="n"/>
      <x:c r="EQ36" s="100" t="n"/>
      <x:c r="ER36" s="100" t="n"/>
      <x:c r="ES36" s="100" t="n"/>
      <x:c r="ET36" s="100" t="n"/>
      <x:c r="EU36" s="100" t="n"/>
      <x:c r="EV36" s="100" t="n"/>
      <x:c r="EW36" s="100" t="n"/>
      <x:c r="EX36" s="100" t="n"/>
      <x:c r="EY36" s="100" t="n"/>
      <x:c r="EZ36" s="100" t="n"/>
      <x:c r="FA36" s="100" t="n"/>
      <x:c r="FB36" s="100" t="n"/>
      <x:c r="FC36" s="100" t="n"/>
      <x:c r="FD36" s="100" t="n"/>
      <x:c r="FE36" s="100" t="n"/>
      <x:c r="FF36" s="100" t="n"/>
      <x:c r="FG36" s="100" t="n"/>
      <x:c r="FH36" s="100" t="n"/>
      <x:c r="FI36" s="100" t="n"/>
      <x:c r="FJ36" s="100" t="n"/>
      <x:c r="FK36" s="100" t="n"/>
      <x:c r="FL36" s="100" t="n"/>
      <x:c r="FM36" s="100" t="n"/>
      <x:c r="FN36" s="100" t="n"/>
      <x:c r="FO36" s="100" t="n"/>
      <x:c r="FP36" s="100" t="n"/>
      <x:c r="FQ36" s="100" t="n"/>
      <x:c r="FR36" s="100" t="n"/>
      <x:c r="FS36" s="100" t="n"/>
      <x:c r="FT36" s="100" t="n"/>
      <x:c r="FU36" s="100" t="n"/>
      <x:c r="FV36" s="100" t="n"/>
      <x:c r="FW36" s="100" t="n"/>
      <x:c r="FX36" s="100" t="n"/>
      <x:c r="FY36" s="100" t="n"/>
      <x:c r="FZ36" s="100" t="n"/>
      <x:c r="GA36" s="100" t="n"/>
      <x:c r="GB36" s="100" t="n"/>
      <x:c r="GC36" s="100" t="n"/>
      <x:c r="GD36" s="100" t="n"/>
      <x:c r="GE36" s="100" t="n"/>
      <x:c r="GF36" s="100" t="n"/>
    </x:row>
    <x:row r="37" s="27" customFormat="1">
      <x:c r="A37" s="125" t="n"/>
      <x:c r="B37" s="39" t="n"/>
      <x:c r="C37" s="86" t="n">
        <x:f>E37*D$5</x:f>
        <x:v>0</x:v>
      </x:c>
      <x:c r="D37" s="4" t="n"/>
      <x:c r="E37" s="86" t="n">
        <x:f>SUM(G37:HY37)</x:f>
        <x:v>0</x:v>
      </x:c>
      <x:c r="F37" s="35" t="n"/>
      <x:c r="G37" s="121" t="n"/>
      <x:c r="H37" s="121" t="n"/>
      <x:c r="I37" s="121" t="n"/>
      <x:c r="J37" s="121" t="n"/>
      <x:c r="K37" s="121" t="n"/>
      <x:c r="L37" s="121" t="n"/>
      <x:c r="M37" s="123" t="n"/>
      <x:c r="N37" s="123" t="n"/>
      <x:c r="O37" s="123" t="n"/>
      <x:c r="P37" s="123" t="n"/>
      <x:c r="Q37" s="123" t="n"/>
      <x:c r="R37" s="123" t="n"/>
      <x:c r="S37" s="123" t="n"/>
      <x:c r="T37" s="123" t="n"/>
      <x:c r="U37" s="123" t="n"/>
      <x:c r="V37" s="123" t="n"/>
      <x:c r="W37" s="123" t="n"/>
      <x:c r="X37" s="123" t="n"/>
      <x:c r="Y37" s="123" t="n"/>
      <x:c r="Z37" s="123" t="n"/>
      <x:c r="AA37" s="123" t="n"/>
      <x:c r="AB37" s="123" t="n"/>
      <x:c r="AC37" s="123" t="n"/>
      <x:c r="AD37" s="123" t="n"/>
      <x:c r="AE37" s="123" t="n"/>
      <x:c r="AF37" s="123" t="n"/>
      <x:c r="AG37" s="123" t="n"/>
      <x:c r="AH37" s="123" t="n"/>
      <x:c r="AI37" s="123" t="n"/>
      <x:c r="AJ37" s="123" t="n"/>
      <x:c r="AK37" s="123" t="n"/>
      <x:c r="AL37" s="123" t="n"/>
      <x:c r="AM37" s="123" t="n"/>
      <x:c r="AN37" s="123" t="n"/>
      <x:c r="AO37" s="123" t="n"/>
      <x:c r="AP37" s="123" t="n"/>
      <x:c r="AQ37" s="123" t="n"/>
      <x:c r="AR37" s="123" t="n"/>
      <x:c r="AS37" s="123" t="n"/>
      <x:c r="AT37" s="123" t="n"/>
      <x:c r="AU37" s="123" t="n"/>
      <x:c r="AV37" s="123" t="n"/>
      <x:c r="AW37" s="123" t="n"/>
      <x:c r="AX37" s="123" t="n"/>
      <x:c r="AY37" s="123" t="n"/>
      <x:c r="AZ37" s="123" t="n"/>
      <x:c r="BA37" s="123" t="n"/>
      <x:c r="BB37" s="123" t="n"/>
      <x:c r="BC37" s="123" t="n"/>
      <x:c r="BD37" s="123" t="n"/>
      <x:c r="BE37" s="123" t="n"/>
      <x:c r="BF37" s="123" t="n"/>
      <x:c r="BG37" s="123" t="n"/>
      <x:c r="BH37" s="123" t="n"/>
      <x:c r="BI37" s="100" t="n"/>
      <x:c r="BJ37" s="100" t="n"/>
      <x:c r="BK37" s="100" t="n"/>
      <x:c r="BL37" s="100" t="n"/>
      <x:c r="BM37" s="100" t="n"/>
      <x:c r="BN37" s="100" t="n"/>
      <x:c r="BO37" s="100" t="n"/>
      <x:c r="BP37" s="100" t="n"/>
      <x:c r="BQ37" s="100" t="n"/>
      <x:c r="BR37" s="100" t="n"/>
      <x:c r="BS37" s="100" t="n"/>
      <x:c r="BT37" s="100" t="n"/>
      <x:c r="BU37" s="100" t="n"/>
      <x:c r="BV37" s="100" t="n"/>
      <x:c r="BW37" s="100" t="n"/>
      <x:c r="BX37" s="100" t="n"/>
      <x:c r="BY37" s="100" t="n"/>
      <x:c r="BZ37" s="100" t="n"/>
      <x:c r="CA37" s="100" t="n"/>
      <x:c r="CB37" s="100" t="n"/>
      <x:c r="CC37" s="100" t="n"/>
      <x:c r="CD37" s="100" t="n"/>
      <x:c r="CE37" s="100" t="n"/>
      <x:c r="CF37" s="100" t="n"/>
      <x:c r="CG37" s="100" t="n"/>
      <x:c r="CH37" s="100" t="n"/>
      <x:c r="CI37" s="100" t="n"/>
      <x:c r="CJ37" s="100" t="n"/>
      <x:c r="CK37" s="100" t="n"/>
      <x:c r="CL37" s="100" t="n"/>
      <x:c r="CM37" s="100" t="n"/>
      <x:c r="CN37" s="100" t="n"/>
      <x:c r="CO37" s="100" t="n"/>
      <x:c r="CP37" s="100" t="n"/>
      <x:c r="CQ37" s="100" t="n"/>
      <x:c r="CR37" s="100" t="n"/>
      <x:c r="CS37" s="100" t="n"/>
      <x:c r="CT37" s="100" t="n"/>
      <x:c r="CU37" s="100" t="n"/>
      <x:c r="CV37" s="100" t="n"/>
      <x:c r="CW37" s="100" t="n"/>
      <x:c r="CX37" s="100" t="n"/>
      <x:c r="CY37" s="100" t="n"/>
      <x:c r="CZ37" s="100" t="n"/>
      <x:c r="DA37" s="100" t="n"/>
      <x:c r="DB37" s="100" t="n"/>
      <x:c r="DC37" s="100" t="n"/>
      <x:c r="DD37" s="100" t="n"/>
      <x:c r="DE37" s="100" t="n"/>
      <x:c r="DF37" s="100" t="n"/>
      <x:c r="DG37" s="100" t="n"/>
      <x:c r="DH37" s="100" t="n"/>
      <x:c r="DI37" s="100" t="n"/>
      <x:c r="DJ37" s="100" t="n"/>
      <x:c r="DK37" s="100" t="n"/>
      <x:c r="DL37" s="100" t="n"/>
      <x:c r="DM37" s="100" t="n"/>
      <x:c r="DN37" s="100" t="n"/>
      <x:c r="DO37" s="100" t="n"/>
      <x:c r="DP37" s="100" t="n"/>
      <x:c r="DQ37" s="100" t="n"/>
      <x:c r="DR37" s="100" t="n"/>
      <x:c r="DS37" s="100" t="n"/>
      <x:c r="DT37" s="100" t="n"/>
      <x:c r="DU37" s="100" t="n"/>
      <x:c r="DV37" s="100" t="n"/>
      <x:c r="DW37" s="100" t="n"/>
      <x:c r="DX37" s="100" t="n"/>
      <x:c r="DY37" s="100" t="n"/>
      <x:c r="DZ37" s="100" t="n"/>
      <x:c r="EA37" s="100" t="n"/>
      <x:c r="EB37" s="100" t="n"/>
      <x:c r="EC37" s="100" t="n"/>
      <x:c r="ED37" s="100" t="n"/>
      <x:c r="EE37" s="100" t="n"/>
      <x:c r="EF37" s="100" t="n"/>
      <x:c r="EG37" s="100" t="n"/>
      <x:c r="EH37" s="100" t="n"/>
      <x:c r="EI37" s="100" t="n"/>
      <x:c r="EJ37" s="100" t="n"/>
      <x:c r="EK37" s="100" t="n"/>
      <x:c r="EL37" s="100" t="n"/>
      <x:c r="EM37" s="100" t="n"/>
      <x:c r="EN37" s="100" t="n"/>
      <x:c r="EO37" s="100" t="n"/>
      <x:c r="EP37" s="100" t="n"/>
      <x:c r="EQ37" s="100" t="n"/>
      <x:c r="ER37" s="100" t="n"/>
      <x:c r="ES37" s="100" t="n"/>
      <x:c r="ET37" s="100" t="n"/>
      <x:c r="EU37" s="100" t="n"/>
      <x:c r="EV37" s="100" t="n"/>
      <x:c r="EW37" s="100" t="n"/>
      <x:c r="EX37" s="100" t="n"/>
      <x:c r="EY37" s="100" t="n"/>
      <x:c r="EZ37" s="100" t="n"/>
      <x:c r="FA37" s="100" t="n"/>
      <x:c r="FB37" s="100" t="n"/>
      <x:c r="FC37" s="100" t="n"/>
      <x:c r="FD37" s="100" t="n"/>
      <x:c r="FE37" s="100" t="n"/>
      <x:c r="FF37" s="100" t="n"/>
      <x:c r="FG37" s="100" t="n"/>
      <x:c r="FH37" s="100" t="n"/>
      <x:c r="FI37" s="100" t="n"/>
      <x:c r="FJ37" s="100" t="n"/>
      <x:c r="FK37" s="100" t="n"/>
      <x:c r="FL37" s="100" t="n"/>
      <x:c r="FM37" s="100" t="n"/>
      <x:c r="FN37" s="100" t="n"/>
      <x:c r="FO37" s="100" t="n"/>
      <x:c r="FP37" s="100" t="n"/>
      <x:c r="FQ37" s="100" t="n"/>
      <x:c r="FR37" s="100" t="n"/>
      <x:c r="FS37" s="100" t="n"/>
      <x:c r="FT37" s="100" t="n"/>
      <x:c r="FU37" s="100" t="n"/>
      <x:c r="FV37" s="100" t="n"/>
      <x:c r="FW37" s="100" t="n"/>
      <x:c r="FX37" s="100" t="n"/>
      <x:c r="FY37" s="100" t="n"/>
      <x:c r="FZ37" s="100" t="n"/>
      <x:c r="GA37" s="100" t="n"/>
      <x:c r="GB37" s="100" t="n"/>
      <x:c r="GC37" s="100" t="n"/>
      <x:c r="GD37" s="100" t="n"/>
      <x:c r="GE37" s="100" t="n"/>
      <x:c r="GF37" s="100" t="n"/>
    </x:row>
    <x:row r="38" s="27" customFormat="1">
      <x:c r="A38" s="125" t="n"/>
      <x:c r="B38" s="39" t="n"/>
      <x:c r="C38" s="36" t="n">
        <x:f>E38*D$5</x:f>
        <x:v>0</x:v>
      </x:c>
      <x:c r="D38" s="103" t="n"/>
      <x:c r="E38" s="36" t="n">
        <x:f>SUM(G38:HT38)</x:f>
        <x:v>0</x:v>
      </x:c>
      <x:c r="F38" s="35" t="n"/>
      <x:c r="G38" s="121" t="n"/>
      <x:c r="H38" s="121" t="n"/>
      <x:c r="I38" s="121" t="n"/>
      <x:c r="J38" s="121" t="n"/>
      <x:c r="K38" s="121" t="n"/>
      <x:c r="L38" s="121" t="n"/>
      <x:c r="M38" s="123" t="n"/>
      <x:c r="N38" s="123" t="n"/>
      <x:c r="O38" s="123" t="n"/>
      <x:c r="P38" s="123" t="n"/>
      <x:c r="Q38" s="123" t="n"/>
      <x:c r="R38" s="123" t="n"/>
      <x:c r="S38" s="123" t="n"/>
      <x:c r="T38" s="123" t="n"/>
      <x:c r="U38" s="123" t="n"/>
      <x:c r="V38" s="123" t="n"/>
      <x:c r="W38" s="123" t="n"/>
      <x:c r="X38" s="123" t="n"/>
      <x:c r="Y38" s="123" t="n"/>
      <x:c r="Z38" s="123" t="n"/>
      <x:c r="AA38" s="123" t="n"/>
      <x:c r="AB38" s="123" t="n"/>
      <x:c r="AC38" s="123" t="n"/>
      <x:c r="AD38" s="124" t="n"/>
      <x:c r="AE38" s="123" t="n"/>
      <x:c r="AF38" s="123" t="n"/>
      <x:c r="AG38" s="123" t="n"/>
      <x:c r="AH38" s="123" t="n"/>
      <x:c r="AI38" s="123" t="n"/>
      <x:c r="AJ38" s="123" t="n"/>
      <x:c r="AK38" s="123" t="n"/>
      <x:c r="AL38" s="123" t="n"/>
      <x:c r="AM38" s="123" t="n"/>
      <x:c r="AN38" s="123" t="n"/>
      <x:c r="AO38" s="123" t="n"/>
      <x:c r="AP38" s="123" t="n"/>
      <x:c r="AQ38" s="123" t="n"/>
      <x:c r="AR38" s="123" t="n"/>
      <x:c r="AS38" s="123" t="n"/>
      <x:c r="AT38" s="123" t="n"/>
      <x:c r="AU38" s="123" t="n"/>
      <x:c r="AV38" s="123" t="n"/>
      <x:c r="AW38" s="123" t="n"/>
      <x:c r="AX38" s="123" t="n"/>
      <x:c r="AY38" s="123" t="n"/>
      <x:c r="AZ38" s="123" t="n"/>
      <x:c r="BA38" s="123" t="n"/>
      <x:c r="BB38" s="123" t="n"/>
      <x:c r="BC38" s="123" t="n"/>
      <x:c r="BD38" s="123" t="n"/>
      <x:c r="BE38" s="123" t="n"/>
      <x:c r="BF38" s="123" t="n"/>
      <x:c r="BG38" s="123" t="n"/>
      <x:c r="BH38" s="123" t="n"/>
      <x:c r="BI38" s="100" t="n"/>
      <x:c r="BJ38" s="100" t="n"/>
      <x:c r="BK38" s="100" t="n"/>
      <x:c r="BL38" s="100" t="n"/>
      <x:c r="BM38" s="100" t="n"/>
      <x:c r="BN38" s="100" t="n"/>
      <x:c r="BO38" s="100" t="n"/>
      <x:c r="BP38" s="100" t="n"/>
      <x:c r="BQ38" s="100" t="n"/>
      <x:c r="BR38" s="100" t="n"/>
      <x:c r="BS38" s="100" t="n"/>
      <x:c r="BT38" s="100" t="n"/>
      <x:c r="BU38" s="100" t="n"/>
      <x:c r="BV38" s="100" t="n"/>
      <x:c r="BW38" s="100" t="n"/>
      <x:c r="BX38" s="100" t="n"/>
      <x:c r="BY38" s="100" t="n"/>
      <x:c r="BZ38" s="100" t="n"/>
      <x:c r="CA38" s="100" t="n"/>
      <x:c r="CB38" s="100" t="n"/>
      <x:c r="CC38" s="100" t="n"/>
      <x:c r="CD38" s="100" t="n"/>
      <x:c r="CE38" s="100" t="n"/>
      <x:c r="CF38" s="100" t="n"/>
      <x:c r="CG38" s="100" t="n"/>
      <x:c r="CH38" s="100" t="n"/>
      <x:c r="CI38" s="100" t="n"/>
      <x:c r="CJ38" s="100" t="n"/>
      <x:c r="CK38" s="100" t="n"/>
      <x:c r="CL38" s="100" t="n"/>
      <x:c r="CM38" s="100" t="n"/>
      <x:c r="CN38" s="100" t="n"/>
      <x:c r="CO38" s="100" t="n"/>
      <x:c r="CP38" s="100" t="n"/>
      <x:c r="CQ38" s="100" t="n"/>
      <x:c r="CR38" s="100" t="n"/>
      <x:c r="CS38" s="100" t="n"/>
      <x:c r="CT38" s="100" t="n"/>
      <x:c r="CU38" s="100" t="n"/>
      <x:c r="CV38" s="100" t="n"/>
      <x:c r="CW38" s="100" t="n"/>
      <x:c r="CX38" s="100" t="n"/>
      <x:c r="CY38" s="100" t="n"/>
      <x:c r="CZ38" s="100" t="n"/>
      <x:c r="DA38" s="100" t="n"/>
      <x:c r="DB38" s="100" t="n"/>
      <x:c r="DC38" s="100" t="n"/>
      <x:c r="DD38" s="100" t="n"/>
      <x:c r="DE38" s="100" t="n"/>
      <x:c r="DF38" s="100" t="n"/>
      <x:c r="DG38" s="100" t="n"/>
      <x:c r="DH38" s="100" t="n"/>
      <x:c r="DI38" s="100" t="n"/>
      <x:c r="DJ38" s="100" t="n"/>
      <x:c r="DK38" s="100" t="n"/>
      <x:c r="DL38" s="100" t="n"/>
      <x:c r="DM38" s="100" t="n"/>
      <x:c r="DN38" s="100" t="n"/>
      <x:c r="DO38" s="100" t="n"/>
      <x:c r="DP38" s="100" t="n"/>
      <x:c r="DQ38" s="100" t="n"/>
      <x:c r="DR38" s="100" t="n"/>
      <x:c r="DS38" s="100" t="n"/>
      <x:c r="DT38" s="100" t="n"/>
      <x:c r="DU38" s="100" t="n"/>
      <x:c r="DV38" s="100" t="n"/>
      <x:c r="DW38" s="100" t="n"/>
      <x:c r="DX38" s="100" t="n"/>
      <x:c r="DY38" s="100" t="n"/>
      <x:c r="DZ38" s="100" t="n"/>
      <x:c r="EA38" s="100" t="n"/>
      <x:c r="EB38" s="100" t="n"/>
      <x:c r="EC38" s="100" t="n"/>
      <x:c r="ED38" s="100" t="n"/>
      <x:c r="EE38" s="100" t="n"/>
      <x:c r="EF38" s="100" t="n"/>
      <x:c r="EG38" s="100" t="n"/>
      <x:c r="EH38" s="100" t="n"/>
      <x:c r="EI38" s="100" t="n"/>
      <x:c r="EJ38" s="100" t="n"/>
      <x:c r="EK38" s="100" t="n"/>
      <x:c r="EL38" s="100" t="n"/>
      <x:c r="EM38" s="100" t="n"/>
      <x:c r="EN38" s="100" t="n"/>
      <x:c r="EO38" s="100" t="n"/>
      <x:c r="EP38" s="100" t="n"/>
      <x:c r="EQ38" s="100" t="n"/>
      <x:c r="ER38" s="100" t="n"/>
      <x:c r="ES38" s="100" t="n"/>
      <x:c r="ET38" s="100" t="n"/>
      <x:c r="EU38" s="100" t="n"/>
      <x:c r="EV38" s="100" t="n"/>
      <x:c r="EW38" s="100" t="n"/>
      <x:c r="EX38" s="100" t="n"/>
      <x:c r="EY38" s="100" t="n"/>
      <x:c r="EZ38" s="100" t="n"/>
      <x:c r="FA38" s="100" t="n"/>
      <x:c r="FB38" s="100" t="n"/>
      <x:c r="FC38" s="100" t="n"/>
      <x:c r="FD38" s="100" t="n"/>
      <x:c r="FE38" s="100" t="n"/>
      <x:c r="FF38" s="100" t="n"/>
      <x:c r="FG38" s="100" t="n"/>
      <x:c r="FH38" s="100" t="n"/>
      <x:c r="FI38" s="100" t="n"/>
      <x:c r="FJ38" s="100" t="n"/>
      <x:c r="FK38" s="100" t="n"/>
      <x:c r="FL38" s="100" t="n"/>
      <x:c r="FM38" s="100" t="n"/>
      <x:c r="FN38" s="100" t="n"/>
      <x:c r="FO38" s="100" t="n"/>
      <x:c r="FP38" s="100" t="n"/>
      <x:c r="FQ38" s="100" t="n"/>
      <x:c r="FR38" s="100" t="n"/>
      <x:c r="FS38" s="100" t="n"/>
      <x:c r="FT38" s="100" t="n"/>
      <x:c r="FU38" s="100" t="n"/>
      <x:c r="FV38" s="100" t="n"/>
      <x:c r="FW38" s="100" t="n"/>
      <x:c r="FX38" s="100" t="n"/>
      <x:c r="FY38" s="100" t="n"/>
      <x:c r="FZ38" s="100" t="n"/>
      <x:c r="GA38" s="100" t="n"/>
      <x:c r="GB38" s="100" t="n"/>
      <x:c r="GC38" s="100" t="n"/>
      <x:c r="GD38" s="100" t="n"/>
      <x:c r="GE38" s="100" t="n"/>
      <x:c r="GF38" s="100" t="n"/>
    </x:row>
    <x:row r="39" s="27" customFormat="1">
      <x:c r="A39" s="125" t="n"/>
      <x:c r="B39" s="39" t="n"/>
      <x:c r="C39" s="36" t="n">
        <x:f>E39*D$5</x:f>
        <x:v>0</x:v>
      </x:c>
      <x:c r="D39" s="103" t="n"/>
      <x:c r="E39" s="36" t="n">
        <x:f>SUM(G39:HH39)</x:f>
        <x:v>0</x:v>
      </x:c>
      <x:c r="F39" s="35" t="n"/>
      <x:c r="G39" s="121" t="n"/>
      <x:c r="H39" s="121" t="n"/>
      <x:c r="I39" s="121" t="n"/>
      <x:c r="J39" s="121" t="n"/>
      <x:c r="K39" s="121" t="n"/>
      <x:c r="L39" s="121" t="n"/>
      <x:c r="M39" s="123" t="n"/>
      <x:c r="N39" s="123" t="n"/>
      <x:c r="O39" s="123" t="n"/>
      <x:c r="P39" s="123" t="n"/>
      <x:c r="Q39" s="123" t="n"/>
      <x:c r="R39" s="123" t="n"/>
      <x:c r="S39" s="123" t="n"/>
      <x:c r="T39" s="123" t="n"/>
      <x:c r="U39" s="123" t="n"/>
      <x:c r="V39" s="123" t="n"/>
      <x:c r="W39" s="123" t="n"/>
      <x:c r="X39" s="123" t="n"/>
      <x:c r="Y39" s="123" t="n"/>
      <x:c r="Z39" s="123" t="n"/>
      <x:c r="AA39" s="123" t="n"/>
      <x:c r="AB39" s="123" t="n"/>
      <x:c r="AC39" s="123" t="n"/>
      <x:c r="AD39" s="124" t="n"/>
      <x:c r="AE39" s="123" t="n"/>
      <x:c r="AF39" s="123" t="n"/>
      <x:c r="AG39" s="123" t="n"/>
      <x:c r="AH39" s="123" t="n"/>
      <x:c r="AI39" s="123" t="n"/>
      <x:c r="AJ39" s="123" t="n"/>
      <x:c r="AK39" s="123" t="n"/>
      <x:c r="AL39" s="123" t="n"/>
      <x:c r="AM39" s="123" t="n"/>
      <x:c r="AN39" s="123" t="n"/>
      <x:c r="AO39" s="123" t="n"/>
      <x:c r="AP39" s="123" t="n"/>
      <x:c r="AQ39" s="123" t="n"/>
      <x:c r="AR39" s="123" t="n"/>
      <x:c r="AS39" s="123" t="n"/>
      <x:c r="AT39" s="123" t="n"/>
      <x:c r="AU39" s="123" t="n"/>
      <x:c r="AV39" s="123" t="n"/>
      <x:c r="AW39" s="123" t="n"/>
      <x:c r="AX39" s="123" t="n"/>
      <x:c r="AY39" s="123" t="n"/>
      <x:c r="AZ39" s="123" t="n"/>
      <x:c r="BA39" s="123" t="n"/>
      <x:c r="BB39" s="123" t="n"/>
      <x:c r="BC39" s="123" t="n"/>
      <x:c r="BD39" s="123" t="n"/>
      <x:c r="BE39" s="123" t="n"/>
      <x:c r="BF39" s="123" t="n"/>
      <x:c r="BG39" s="123" t="n"/>
      <x:c r="BH39" s="123" t="n"/>
      <x:c r="BI39" s="100" t="n"/>
      <x:c r="BJ39" s="100" t="n"/>
      <x:c r="BK39" s="100" t="n"/>
      <x:c r="BL39" s="100" t="n"/>
      <x:c r="BM39" s="100" t="n"/>
      <x:c r="BN39" s="100" t="n"/>
      <x:c r="BO39" s="100" t="n"/>
      <x:c r="BP39" s="100" t="n"/>
      <x:c r="BQ39" s="100" t="n"/>
      <x:c r="BR39" s="100" t="n"/>
      <x:c r="BS39" s="100" t="n"/>
      <x:c r="BT39" s="100" t="n"/>
      <x:c r="BU39" s="100" t="n"/>
      <x:c r="BV39" s="100" t="n"/>
      <x:c r="BW39" s="100" t="n"/>
      <x:c r="BX39" s="100" t="n"/>
      <x:c r="BY39" s="100" t="n"/>
      <x:c r="BZ39" s="100" t="n"/>
      <x:c r="CA39" s="100" t="n"/>
      <x:c r="CB39" s="100" t="n"/>
      <x:c r="CC39" s="100" t="n"/>
      <x:c r="CD39" s="100" t="n"/>
      <x:c r="CE39" s="100" t="n"/>
      <x:c r="CF39" s="100" t="n"/>
      <x:c r="CG39" s="100" t="n"/>
      <x:c r="CH39" s="100" t="n"/>
      <x:c r="CI39" s="100" t="n"/>
      <x:c r="CJ39" s="100" t="n"/>
      <x:c r="CK39" s="100" t="n"/>
      <x:c r="CL39" s="100" t="n"/>
      <x:c r="CM39" s="100" t="n"/>
      <x:c r="CN39" s="100" t="n"/>
      <x:c r="CO39" s="100" t="n"/>
      <x:c r="CP39" s="100" t="n"/>
      <x:c r="CQ39" s="100" t="n"/>
      <x:c r="CR39" s="100" t="n"/>
      <x:c r="CS39" s="100" t="n"/>
      <x:c r="CT39" s="100" t="n"/>
      <x:c r="CU39" s="100" t="n"/>
      <x:c r="CV39" s="100" t="n"/>
      <x:c r="CW39" s="100" t="n"/>
      <x:c r="CX39" s="100" t="n"/>
      <x:c r="CY39" s="100" t="n"/>
      <x:c r="CZ39" s="100" t="n"/>
      <x:c r="DA39" s="100" t="n"/>
      <x:c r="DB39" s="100" t="n"/>
      <x:c r="DC39" s="100" t="n"/>
      <x:c r="DD39" s="100" t="n"/>
      <x:c r="DE39" s="100" t="n"/>
      <x:c r="DF39" s="100" t="n"/>
      <x:c r="DG39" s="100" t="n"/>
      <x:c r="DH39" s="100" t="n"/>
      <x:c r="DI39" s="100" t="n"/>
      <x:c r="DJ39" s="100" t="n"/>
      <x:c r="DK39" s="100" t="n"/>
      <x:c r="DL39" s="100" t="n"/>
      <x:c r="DM39" s="100" t="n"/>
      <x:c r="DN39" s="100" t="n"/>
      <x:c r="DO39" s="100" t="n"/>
      <x:c r="DP39" s="100" t="n"/>
      <x:c r="DQ39" s="100" t="n"/>
      <x:c r="DR39" s="100" t="n"/>
      <x:c r="DS39" s="100" t="n"/>
      <x:c r="DT39" s="100" t="n"/>
      <x:c r="DU39" s="100" t="n"/>
      <x:c r="DV39" s="100" t="n"/>
      <x:c r="DW39" s="100" t="n"/>
      <x:c r="DX39" s="100" t="n"/>
      <x:c r="DY39" s="100" t="n"/>
      <x:c r="DZ39" s="100" t="n"/>
      <x:c r="EA39" s="100" t="n"/>
      <x:c r="EB39" s="100" t="n"/>
      <x:c r="EC39" s="100" t="n"/>
      <x:c r="ED39" s="100" t="n"/>
      <x:c r="EE39" s="100" t="n"/>
      <x:c r="EF39" s="100" t="n"/>
      <x:c r="EG39" s="100" t="n"/>
      <x:c r="EH39" s="100" t="n"/>
      <x:c r="EI39" s="100" t="n"/>
      <x:c r="EJ39" s="100" t="n"/>
      <x:c r="EK39" s="100" t="n"/>
      <x:c r="EL39" s="100" t="n"/>
      <x:c r="EM39" s="100" t="n"/>
      <x:c r="EN39" s="100" t="n"/>
      <x:c r="EO39" s="100" t="n"/>
      <x:c r="EP39" s="100" t="n"/>
      <x:c r="EQ39" s="100" t="n"/>
      <x:c r="ER39" s="100" t="n"/>
      <x:c r="ES39" s="100" t="n"/>
      <x:c r="ET39" s="100" t="n"/>
      <x:c r="EU39" s="100" t="n"/>
      <x:c r="EV39" s="100" t="n"/>
      <x:c r="EW39" s="100" t="n"/>
      <x:c r="EX39" s="100" t="n"/>
      <x:c r="EY39" s="100" t="n"/>
      <x:c r="EZ39" s="100" t="n"/>
      <x:c r="FA39" s="100" t="n"/>
      <x:c r="FB39" s="100" t="n"/>
      <x:c r="FC39" s="100" t="n"/>
      <x:c r="FD39" s="100" t="n"/>
      <x:c r="FE39" s="100" t="n"/>
      <x:c r="FF39" s="100" t="n"/>
      <x:c r="FG39" s="100" t="n"/>
      <x:c r="FH39" s="100" t="n"/>
      <x:c r="FI39" s="100" t="n"/>
      <x:c r="FJ39" s="100" t="n"/>
      <x:c r="FK39" s="100" t="n"/>
      <x:c r="FL39" s="100" t="n"/>
      <x:c r="FM39" s="100" t="n"/>
      <x:c r="FN39" s="100" t="n"/>
      <x:c r="FO39" s="100" t="n"/>
      <x:c r="FP39" s="100" t="n"/>
      <x:c r="FQ39" s="100" t="n"/>
      <x:c r="FR39" s="100" t="n"/>
      <x:c r="FS39" s="100" t="n"/>
      <x:c r="FT39" s="100" t="n"/>
      <x:c r="FU39" s="100" t="n"/>
      <x:c r="FV39" s="100" t="n"/>
      <x:c r="FW39" s="100" t="n"/>
      <x:c r="FX39" s="100" t="n"/>
      <x:c r="FY39" s="100" t="n"/>
      <x:c r="FZ39" s="100" t="n"/>
      <x:c r="GA39" s="100" t="n"/>
      <x:c r="GB39" s="100" t="n"/>
      <x:c r="GC39" s="100" t="n"/>
      <x:c r="GD39" s="100" t="n"/>
      <x:c r="GE39" s="100" t="n"/>
      <x:c r="GF39" s="100" t="n"/>
    </x:row>
    <x:row r="40" s="27" customFormat="1">
      <x:c r="A40" s="125" t="n"/>
      <x:c r="B40" s="39" t="n"/>
      <x:c r="C40" s="86" t="n">
        <x:f>E40*D$5</x:f>
        <x:v>0</x:v>
      </x:c>
      <x:c r="D40" s="523" t="n"/>
      <x:c r="E40" s="86" t="n">
        <x:f>SUM(G40:HH40)</x:f>
        <x:v>0</x:v>
      </x:c>
      <x:c r="F40" s="35" t="n"/>
      <x:c r="G40" s="121" t="n"/>
      <x:c r="H40" s="121" t="n"/>
      <x:c r="I40" s="121" t="n"/>
      <x:c r="J40" s="121" t="n"/>
      <x:c r="K40" s="121" t="n"/>
      <x:c r="L40" s="121" t="n"/>
      <x:c r="M40" s="123" t="n"/>
      <x:c r="N40" s="123" t="n"/>
      <x:c r="O40" s="123" t="n"/>
      <x:c r="P40" s="123" t="n"/>
      <x:c r="Q40" s="123" t="n"/>
      <x:c r="R40" s="123" t="n"/>
      <x:c r="S40" s="123" t="n"/>
      <x:c r="T40" s="123" t="n"/>
      <x:c r="U40" s="123" t="n"/>
      <x:c r="V40" s="123" t="n"/>
      <x:c r="W40" s="123" t="n"/>
      <x:c r="X40" s="123" t="n"/>
      <x:c r="Y40" s="123" t="n"/>
      <x:c r="Z40" s="123" t="n"/>
      <x:c r="AA40" s="123" t="n"/>
      <x:c r="AB40" s="123" t="n"/>
      <x:c r="AC40" s="123" t="n"/>
      <x:c r="AD40" s="123" t="n"/>
      <x:c r="AE40" s="124" t="n"/>
      <x:c r="AF40" s="124" t="n"/>
      <x:c r="AG40" s="123" t="n"/>
      <x:c r="AH40" s="123" t="n"/>
      <x:c r="AI40" s="123" t="n"/>
      <x:c r="AJ40" s="123" t="n"/>
      <x:c r="AK40" s="123" t="n"/>
      <x:c r="AL40" s="123" t="n"/>
      <x:c r="AM40" s="123" t="n"/>
      <x:c r="AN40" s="123" t="n"/>
      <x:c r="AO40" s="123" t="n"/>
      <x:c r="AP40" s="123" t="n"/>
      <x:c r="AQ40" s="123" t="n"/>
      <x:c r="AR40" s="123" t="n"/>
      <x:c r="AS40" s="123" t="n"/>
      <x:c r="AT40" s="123" t="n"/>
      <x:c r="AU40" s="123" t="n"/>
      <x:c r="AV40" s="123" t="n"/>
      <x:c r="AW40" s="123" t="n"/>
      <x:c r="AX40" s="123" t="n"/>
      <x:c r="AY40" s="123" t="n"/>
      <x:c r="AZ40" s="123" t="n"/>
      <x:c r="BA40" s="123" t="n"/>
      <x:c r="BB40" s="123" t="n"/>
      <x:c r="BC40" s="123" t="n"/>
      <x:c r="BD40" s="123" t="n"/>
      <x:c r="BE40" s="123" t="n"/>
      <x:c r="BF40" s="123" t="n"/>
      <x:c r="BG40" s="123" t="n"/>
      <x:c r="BH40" s="123" t="n"/>
      <x:c r="BI40" s="100" t="n"/>
      <x:c r="BJ40" s="100" t="n"/>
      <x:c r="BK40" s="100" t="n"/>
      <x:c r="BL40" s="100" t="n"/>
      <x:c r="BM40" s="100" t="n"/>
      <x:c r="BN40" s="100" t="n"/>
      <x:c r="BO40" s="100" t="n"/>
      <x:c r="BP40" s="100" t="n"/>
      <x:c r="BQ40" s="100" t="n"/>
      <x:c r="BR40" s="100" t="n"/>
      <x:c r="BS40" s="100" t="n"/>
      <x:c r="BT40" s="100" t="n"/>
      <x:c r="BU40" s="100" t="n"/>
      <x:c r="BV40" s="100" t="n"/>
      <x:c r="BW40" s="100" t="n"/>
      <x:c r="BX40" s="100" t="n"/>
      <x:c r="BY40" s="100" t="n"/>
      <x:c r="BZ40" s="100" t="n"/>
      <x:c r="CA40" s="100" t="n"/>
      <x:c r="CB40" s="100" t="n"/>
      <x:c r="CC40" s="100" t="n"/>
      <x:c r="CD40" s="100" t="n"/>
      <x:c r="CE40" s="100" t="n"/>
      <x:c r="CF40" s="100" t="n"/>
      <x:c r="CG40" s="100" t="n"/>
      <x:c r="CH40" s="100" t="n"/>
      <x:c r="CI40" s="100" t="n"/>
      <x:c r="CJ40" s="100" t="n"/>
      <x:c r="CK40" s="100" t="n"/>
      <x:c r="CL40" s="100" t="n"/>
      <x:c r="CM40" s="100" t="n"/>
      <x:c r="CN40" s="100" t="n"/>
      <x:c r="CO40" s="100" t="n"/>
      <x:c r="CP40" s="100" t="n"/>
      <x:c r="CQ40" s="100" t="n"/>
      <x:c r="CR40" s="100" t="n"/>
      <x:c r="CS40" s="100" t="n"/>
      <x:c r="CT40" s="100" t="n"/>
      <x:c r="CU40" s="100" t="n"/>
      <x:c r="CV40" s="100" t="n"/>
      <x:c r="CW40" s="100" t="n"/>
      <x:c r="CX40" s="100" t="n"/>
      <x:c r="CY40" s="100" t="n"/>
      <x:c r="CZ40" s="100" t="n"/>
      <x:c r="DA40" s="100" t="n"/>
      <x:c r="DB40" s="100" t="n"/>
      <x:c r="DC40" s="100" t="n"/>
      <x:c r="DD40" s="100" t="n"/>
      <x:c r="DE40" s="100" t="n"/>
      <x:c r="DF40" s="100" t="n"/>
      <x:c r="DG40" s="100" t="n"/>
      <x:c r="DH40" s="100" t="n"/>
      <x:c r="DI40" s="100" t="n"/>
      <x:c r="DJ40" s="100" t="n"/>
      <x:c r="DK40" s="100" t="n"/>
      <x:c r="DL40" s="100" t="n"/>
      <x:c r="DM40" s="100" t="n"/>
      <x:c r="DN40" s="100" t="n"/>
      <x:c r="DO40" s="100" t="n"/>
      <x:c r="DP40" s="100" t="n"/>
      <x:c r="DQ40" s="100" t="n"/>
      <x:c r="DR40" s="100" t="n"/>
      <x:c r="DS40" s="100" t="n"/>
      <x:c r="DT40" s="100" t="n"/>
      <x:c r="DU40" s="100" t="n"/>
      <x:c r="DV40" s="100" t="n"/>
      <x:c r="DW40" s="100" t="n"/>
      <x:c r="DX40" s="100" t="n"/>
      <x:c r="DY40" s="100" t="n"/>
      <x:c r="DZ40" s="100" t="n"/>
      <x:c r="EA40" s="100" t="n"/>
      <x:c r="EB40" s="100" t="n"/>
      <x:c r="EC40" s="100" t="n"/>
      <x:c r="ED40" s="100" t="n"/>
      <x:c r="EE40" s="100" t="n"/>
      <x:c r="EF40" s="100" t="n"/>
      <x:c r="EG40" s="100" t="n"/>
      <x:c r="EH40" s="100" t="n"/>
      <x:c r="EI40" s="100" t="n"/>
      <x:c r="EJ40" s="100" t="n"/>
      <x:c r="EK40" s="100" t="n"/>
      <x:c r="EL40" s="100" t="n"/>
      <x:c r="EM40" s="100" t="n"/>
      <x:c r="EN40" s="100" t="n"/>
      <x:c r="EO40" s="100" t="n"/>
      <x:c r="EP40" s="100" t="n"/>
      <x:c r="EQ40" s="100" t="n"/>
      <x:c r="ER40" s="100" t="n"/>
      <x:c r="ES40" s="100" t="n"/>
      <x:c r="ET40" s="100" t="n"/>
      <x:c r="EU40" s="100" t="n"/>
      <x:c r="EV40" s="100" t="n"/>
      <x:c r="EW40" s="100" t="n"/>
      <x:c r="EX40" s="100" t="n"/>
      <x:c r="EY40" s="100" t="n"/>
      <x:c r="EZ40" s="100" t="n"/>
      <x:c r="FA40" s="100" t="n"/>
      <x:c r="FB40" s="100" t="n"/>
      <x:c r="FC40" s="100" t="n"/>
      <x:c r="FD40" s="100" t="n"/>
      <x:c r="FE40" s="100" t="n"/>
      <x:c r="FF40" s="100" t="n"/>
      <x:c r="FG40" s="100" t="n"/>
      <x:c r="FH40" s="100" t="n"/>
      <x:c r="FI40" s="100" t="n"/>
      <x:c r="FJ40" s="100" t="n"/>
      <x:c r="FK40" s="100" t="n"/>
      <x:c r="FL40" s="100" t="n"/>
      <x:c r="FM40" s="100" t="n"/>
      <x:c r="FN40" s="100" t="n"/>
      <x:c r="FO40" s="100" t="n"/>
      <x:c r="FP40" s="100" t="n"/>
      <x:c r="FQ40" s="100" t="n"/>
      <x:c r="FR40" s="100" t="n"/>
      <x:c r="FS40" s="100" t="n"/>
      <x:c r="FT40" s="100" t="n"/>
      <x:c r="FU40" s="100" t="n"/>
      <x:c r="FV40" s="100" t="n"/>
      <x:c r="FW40" s="100" t="n"/>
      <x:c r="FX40" s="100" t="n"/>
      <x:c r="FY40" s="100" t="n"/>
      <x:c r="FZ40" s="100" t="n"/>
      <x:c r="GA40" s="100" t="n"/>
      <x:c r="GB40" s="100" t="n"/>
      <x:c r="GC40" s="100" t="n"/>
      <x:c r="GD40" s="100" t="n"/>
      <x:c r="GE40" s="100" t="n"/>
      <x:c r="GF40" s="100" t="n"/>
    </x:row>
    <x:row r="41" s="27" customFormat="1">
      <x:c r="A41" s="125" t="n"/>
      <x:c r="B41" s="39" t="n"/>
      <x:c r="C41" s="36" t="n">
        <x:f>E41*D$5</x:f>
        <x:v>0</x:v>
      </x:c>
      <x:c r="D41" s="4" t="n"/>
      <x:c r="E41" s="36" t="n">
        <x:f>SUM(G41:HH41)</x:f>
        <x:v>0</x:v>
      </x:c>
      <x:c r="F41" s="35" t="n"/>
      <x:c r="G41" s="121" t="n"/>
      <x:c r="H41" s="121" t="n"/>
      <x:c r="I41" s="121" t="n"/>
      <x:c r="J41" s="121" t="n"/>
      <x:c r="K41" s="121" t="n"/>
      <x:c r="L41" s="121" t="n"/>
      <x:c r="M41" s="123" t="n"/>
      <x:c r="N41" s="123" t="n"/>
      <x:c r="O41" s="123" t="n"/>
      <x:c r="P41" s="123" t="n"/>
      <x:c r="Q41" s="123" t="n"/>
      <x:c r="R41" s="123" t="n"/>
      <x:c r="S41" s="123" t="n"/>
      <x:c r="T41" s="123" t="n"/>
      <x:c r="U41" s="123" t="n"/>
      <x:c r="V41" s="123" t="n"/>
      <x:c r="W41" s="123" t="n"/>
      <x:c r="X41" s="123" t="n"/>
      <x:c r="Y41" s="123" t="n"/>
      <x:c r="Z41" s="123" t="n"/>
      <x:c r="AA41" s="123" t="n"/>
      <x:c r="AB41" s="123" t="n"/>
      <x:c r="AC41" s="123" t="n"/>
      <x:c r="AD41" s="123" t="n"/>
      <x:c r="AE41" s="124" t="n"/>
      <x:c r="AF41" s="124" t="n"/>
      <x:c r="AG41" s="123" t="n"/>
      <x:c r="AH41" s="123" t="n"/>
      <x:c r="AI41" s="123" t="n"/>
      <x:c r="AJ41" s="123" t="n"/>
      <x:c r="AK41" s="123" t="n"/>
      <x:c r="AL41" s="123" t="n"/>
      <x:c r="AM41" s="123" t="n"/>
      <x:c r="AN41" s="123" t="n"/>
      <x:c r="AO41" s="123" t="n"/>
      <x:c r="AP41" s="123" t="n"/>
      <x:c r="AQ41" s="123" t="n"/>
      <x:c r="AR41" s="123" t="n"/>
      <x:c r="AS41" s="123" t="n"/>
      <x:c r="AT41" s="123" t="n"/>
      <x:c r="AU41" s="123" t="n"/>
      <x:c r="AV41" s="123" t="n"/>
      <x:c r="AW41" s="123" t="n"/>
      <x:c r="AX41" s="123" t="n"/>
      <x:c r="AY41" s="123" t="n"/>
      <x:c r="AZ41" s="123" t="n"/>
      <x:c r="BA41" s="123" t="n"/>
      <x:c r="BB41" s="123" t="n"/>
      <x:c r="BC41" s="123" t="n"/>
      <x:c r="BD41" s="123" t="n"/>
      <x:c r="BE41" s="123" t="n"/>
      <x:c r="BF41" s="123" t="n"/>
      <x:c r="BG41" s="123" t="n"/>
      <x:c r="BH41" s="123" t="n"/>
      <x:c r="BI41" s="100" t="n"/>
      <x:c r="BJ41" s="100" t="n"/>
      <x:c r="BK41" s="100" t="n"/>
      <x:c r="BL41" s="100" t="n"/>
      <x:c r="BM41" s="100" t="n"/>
      <x:c r="BN41" s="100" t="n"/>
      <x:c r="BO41" s="100" t="n"/>
      <x:c r="BP41" s="100" t="n"/>
      <x:c r="BQ41" s="100" t="n"/>
      <x:c r="BR41" s="100" t="n"/>
      <x:c r="BS41" s="100" t="n"/>
      <x:c r="BT41" s="100" t="n"/>
      <x:c r="BU41" s="100" t="n"/>
      <x:c r="BV41" s="100" t="n"/>
      <x:c r="BW41" s="100" t="n"/>
      <x:c r="BX41" s="100" t="n"/>
      <x:c r="BY41" s="100" t="n"/>
      <x:c r="BZ41" s="100" t="n"/>
      <x:c r="CA41" s="100" t="n"/>
      <x:c r="CB41" s="100" t="n"/>
      <x:c r="CC41" s="100" t="n"/>
      <x:c r="CD41" s="100" t="n"/>
      <x:c r="CE41" s="100" t="n"/>
      <x:c r="CF41" s="100" t="n"/>
      <x:c r="CG41" s="100" t="n"/>
      <x:c r="CH41" s="100" t="n"/>
      <x:c r="CI41" s="100" t="n"/>
      <x:c r="CJ41" s="100" t="n"/>
      <x:c r="CK41" s="100" t="n"/>
      <x:c r="CL41" s="100" t="n"/>
      <x:c r="CM41" s="100" t="n"/>
      <x:c r="CN41" s="100" t="n"/>
      <x:c r="CO41" s="100" t="n"/>
      <x:c r="CP41" s="100" t="n"/>
      <x:c r="CQ41" s="100" t="n"/>
      <x:c r="CR41" s="100" t="n"/>
      <x:c r="CS41" s="100" t="n"/>
      <x:c r="CT41" s="100" t="n"/>
      <x:c r="CU41" s="100" t="n"/>
      <x:c r="CV41" s="100" t="n"/>
      <x:c r="CW41" s="100" t="n"/>
      <x:c r="CX41" s="100" t="n"/>
      <x:c r="CY41" s="100" t="n"/>
      <x:c r="CZ41" s="100" t="n"/>
      <x:c r="DA41" s="100" t="n"/>
      <x:c r="DB41" s="100" t="n"/>
      <x:c r="DC41" s="100" t="n"/>
      <x:c r="DD41" s="100" t="n"/>
      <x:c r="DE41" s="100" t="n"/>
      <x:c r="DF41" s="100" t="n"/>
      <x:c r="DG41" s="100" t="n"/>
      <x:c r="DH41" s="100" t="n"/>
      <x:c r="DI41" s="100" t="n"/>
      <x:c r="DJ41" s="100" t="n"/>
      <x:c r="DK41" s="100" t="n"/>
      <x:c r="DL41" s="100" t="n"/>
      <x:c r="DM41" s="100" t="n"/>
      <x:c r="DN41" s="100" t="n"/>
      <x:c r="DO41" s="100" t="n"/>
      <x:c r="DP41" s="100" t="n"/>
      <x:c r="DQ41" s="100" t="n"/>
      <x:c r="DR41" s="100" t="n"/>
      <x:c r="DS41" s="100" t="n"/>
      <x:c r="DT41" s="100" t="n"/>
      <x:c r="DU41" s="100" t="n"/>
      <x:c r="DV41" s="100" t="n"/>
      <x:c r="DW41" s="100" t="n"/>
      <x:c r="DX41" s="100" t="n"/>
      <x:c r="DY41" s="100" t="n"/>
      <x:c r="DZ41" s="100" t="n"/>
      <x:c r="EA41" s="100" t="n"/>
      <x:c r="EB41" s="100" t="n"/>
      <x:c r="EC41" s="100" t="n"/>
      <x:c r="ED41" s="100" t="n"/>
      <x:c r="EE41" s="100" t="n"/>
      <x:c r="EF41" s="100" t="n"/>
      <x:c r="EG41" s="100" t="n"/>
      <x:c r="EH41" s="100" t="n"/>
      <x:c r="EI41" s="100" t="n"/>
      <x:c r="EJ41" s="100" t="n"/>
      <x:c r="EK41" s="100" t="n"/>
      <x:c r="EL41" s="100" t="n"/>
      <x:c r="EM41" s="100" t="n"/>
      <x:c r="EN41" s="100" t="n"/>
      <x:c r="EO41" s="100" t="n"/>
      <x:c r="EP41" s="100" t="n"/>
      <x:c r="EQ41" s="100" t="n"/>
      <x:c r="ER41" s="100" t="n"/>
      <x:c r="ES41" s="100" t="n"/>
      <x:c r="ET41" s="100" t="n"/>
      <x:c r="EU41" s="100" t="n"/>
      <x:c r="EV41" s="100" t="n"/>
      <x:c r="EW41" s="100" t="n"/>
      <x:c r="EX41" s="100" t="n"/>
      <x:c r="EY41" s="100" t="n"/>
      <x:c r="EZ41" s="100" t="n"/>
      <x:c r="FA41" s="100" t="n"/>
      <x:c r="FB41" s="100" t="n"/>
      <x:c r="FC41" s="100" t="n"/>
      <x:c r="FD41" s="100" t="n"/>
      <x:c r="FE41" s="100" t="n"/>
      <x:c r="FF41" s="100" t="n"/>
      <x:c r="FG41" s="100" t="n"/>
      <x:c r="FH41" s="100" t="n"/>
      <x:c r="FI41" s="100" t="n"/>
      <x:c r="FJ41" s="100" t="n"/>
      <x:c r="FK41" s="100" t="n"/>
      <x:c r="FL41" s="100" t="n"/>
      <x:c r="FM41" s="100" t="n"/>
      <x:c r="FN41" s="100" t="n"/>
      <x:c r="FO41" s="100" t="n"/>
      <x:c r="FP41" s="100" t="n"/>
      <x:c r="FQ41" s="100" t="n"/>
      <x:c r="FR41" s="100" t="n"/>
      <x:c r="FS41" s="100" t="n"/>
      <x:c r="FT41" s="100" t="n"/>
      <x:c r="FU41" s="100" t="n"/>
      <x:c r="FV41" s="100" t="n"/>
      <x:c r="FW41" s="100" t="n"/>
      <x:c r="FX41" s="100" t="n"/>
      <x:c r="FY41" s="100" t="n"/>
      <x:c r="FZ41" s="100" t="n"/>
      <x:c r="GA41" s="100" t="n"/>
      <x:c r="GB41" s="100" t="n"/>
      <x:c r="GC41" s="100" t="n"/>
      <x:c r="GD41" s="100" t="n"/>
      <x:c r="GE41" s="100" t="n"/>
      <x:c r="GF41" s="100" t="n"/>
    </x:row>
    <x:row r="42" s="27" customFormat="1">
      <x:c r="A42" s="125" t="n"/>
      <x:c r="B42" s="39" t="n"/>
      <x:c r="C42" s="86" t="n">
        <x:f>E42*D$5</x:f>
        <x:v>0</x:v>
      </x:c>
      <x:c r="D42" s="4" t="n"/>
      <x:c r="E42" s="86" t="n">
        <x:f>SUM(G42:HH42)</x:f>
        <x:v>0</x:v>
      </x:c>
      <x:c r="F42" s="35" t="n"/>
      <x:c r="G42" s="121" t="n"/>
      <x:c r="H42" s="121" t="n"/>
      <x:c r="I42" s="121" t="n"/>
      <x:c r="J42" s="121" t="n"/>
      <x:c r="K42" s="121" t="n"/>
      <x:c r="L42" s="121" t="n"/>
      <x:c r="M42" s="123" t="n"/>
      <x:c r="N42" s="123" t="n"/>
      <x:c r="O42" s="123" t="n"/>
      <x:c r="P42" s="123" t="n"/>
      <x:c r="Q42" s="123" t="n"/>
      <x:c r="R42" s="123" t="n"/>
      <x:c r="S42" s="123" t="n"/>
      <x:c r="T42" s="123" t="n"/>
      <x:c r="U42" s="123" t="n"/>
      <x:c r="V42" s="123" t="n"/>
      <x:c r="W42" s="123" t="n"/>
      <x:c r="X42" s="123" t="n"/>
      <x:c r="Y42" s="123" t="n"/>
      <x:c r="Z42" s="123" t="n"/>
      <x:c r="AA42" s="123" t="n"/>
      <x:c r="AB42" s="123" t="n"/>
      <x:c r="AC42" s="123" t="n"/>
      <x:c r="AD42" s="123" t="n"/>
      <x:c r="AE42" s="124" t="n"/>
      <x:c r="AF42" s="124" t="n"/>
      <x:c r="AG42" s="123" t="n"/>
      <x:c r="AH42" s="123" t="n"/>
      <x:c r="AI42" s="123" t="n"/>
      <x:c r="AJ42" s="123" t="n"/>
      <x:c r="AK42" s="123" t="n"/>
      <x:c r="AL42" s="123" t="n"/>
      <x:c r="AM42" s="123" t="n"/>
      <x:c r="AN42" s="123" t="n"/>
      <x:c r="AO42" s="123" t="n"/>
      <x:c r="AP42" s="123" t="n"/>
      <x:c r="AQ42" s="123" t="n"/>
      <x:c r="AR42" s="123" t="n"/>
      <x:c r="AS42" s="123" t="n"/>
      <x:c r="AT42" s="123" t="n"/>
      <x:c r="AU42" s="123" t="n"/>
      <x:c r="AV42" s="123" t="n"/>
      <x:c r="AW42" s="123" t="n"/>
      <x:c r="AX42" s="123" t="n"/>
      <x:c r="AY42" s="123" t="n"/>
      <x:c r="AZ42" s="123" t="n"/>
      <x:c r="BA42" s="123" t="n"/>
      <x:c r="BB42" s="123" t="n"/>
      <x:c r="BC42" s="123" t="n"/>
      <x:c r="BD42" s="123" t="n"/>
      <x:c r="BE42" s="123" t="n"/>
      <x:c r="BF42" s="123" t="n"/>
      <x:c r="BG42" s="123" t="n"/>
      <x:c r="BH42" s="123" t="n"/>
      <x:c r="BI42" s="100" t="n"/>
      <x:c r="BJ42" s="100" t="n"/>
      <x:c r="BK42" s="100" t="n"/>
      <x:c r="BL42" s="100" t="n"/>
      <x:c r="BM42" s="100" t="n"/>
      <x:c r="BN42" s="100" t="n"/>
      <x:c r="BO42" s="100" t="n"/>
      <x:c r="BP42" s="100" t="n"/>
      <x:c r="BQ42" s="100" t="n"/>
      <x:c r="BR42" s="100" t="n"/>
      <x:c r="BS42" s="100" t="n"/>
      <x:c r="BT42" s="100" t="n"/>
      <x:c r="BU42" s="100" t="n"/>
      <x:c r="BV42" s="100" t="n"/>
      <x:c r="BW42" s="100" t="n"/>
      <x:c r="BX42" s="100" t="n"/>
      <x:c r="BY42" s="100" t="n"/>
      <x:c r="BZ42" s="100" t="n"/>
      <x:c r="CA42" s="100" t="n"/>
      <x:c r="CB42" s="100" t="n"/>
      <x:c r="CC42" s="100" t="n"/>
      <x:c r="CD42" s="100" t="n"/>
      <x:c r="CE42" s="100" t="n"/>
      <x:c r="CF42" s="100" t="n"/>
      <x:c r="CG42" s="100" t="n"/>
      <x:c r="CH42" s="100" t="n"/>
      <x:c r="CI42" s="100" t="n"/>
      <x:c r="CJ42" s="100" t="n"/>
      <x:c r="CK42" s="100" t="n"/>
      <x:c r="CL42" s="100" t="n"/>
      <x:c r="CM42" s="100" t="n"/>
      <x:c r="CN42" s="100" t="n"/>
      <x:c r="CO42" s="100" t="n"/>
      <x:c r="CP42" s="100" t="n"/>
      <x:c r="CQ42" s="100" t="n"/>
      <x:c r="CR42" s="100" t="n"/>
      <x:c r="CS42" s="100" t="n"/>
      <x:c r="CT42" s="100" t="n"/>
      <x:c r="CU42" s="100" t="n"/>
      <x:c r="CV42" s="100" t="n"/>
      <x:c r="CW42" s="100" t="n"/>
      <x:c r="CX42" s="100" t="n"/>
      <x:c r="CY42" s="100" t="n"/>
      <x:c r="CZ42" s="100" t="n"/>
      <x:c r="DA42" s="100" t="n"/>
      <x:c r="DB42" s="100" t="n"/>
      <x:c r="DC42" s="100" t="n"/>
      <x:c r="DD42" s="100" t="n"/>
      <x:c r="DE42" s="100" t="n"/>
      <x:c r="DF42" s="100" t="n"/>
      <x:c r="DG42" s="100" t="n"/>
      <x:c r="DH42" s="100" t="n"/>
      <x:c r="DI42" s="100" t="n"/>
      <x:c r="DJ42" s="100" t="n"/>
      <x:c r="DK42" s="100" t="n"/>
      <x:c r="DL42" s="100" t="n"/>
      <x:c r="DM42" s="100" t="n"/>
      <x:c r="DN42" s="100" t="n"/>
      <x:c r="DO42" s="100" t="n"/>
      <x:c r="DP42" s="100" t="n"/>
      <x:c r="DQ42" s="100" t="n"/>
      <x:c r="DR42" s="100" t="n"/>
      <x:c r="DS42" s="100" t="n"/>
      <x:c r="DT42" s="100" t="n"/>
      <x:c r="DU42" s="100" t="n"/>
      <x:c r="DV42" s="100" t="n"/>
      <x:c r="DW42" s="100" t="n"/>
      <x:c r="DX42" s="100" t="n"/>
      <x:c r="DY42" s="100" t="n"/>
      <x:c r="DZ42" s="100" t="n"/>
      <x:c r="EA42" s="100" t="n"/>
      <x:c r="EB42" s="100" t="n"/>
      <x:c r="EC42" s="100" t="n"/>
      <x:c r="ED42" s="100" t="n"/>
      <x:c r="EE42" s="100" t="n"/>
      <x:c r="EF42" s="100" t="n"/>
      <x:c r="EG42" s="100" t="n"/>
      <x:c r="EH42" s="100" t="n"/>
      <x:c r="EI42" s="100" t="n"/>
      <x:c r="EJ42" s="100" t="n"/>
      <x:c r="EK42" s="100" t="n"/>
      <x:c r="EL42" s="100" t="n"/>
      <x:c r="EM42" s="100" t="n"/>
      <x:c r="EN42" s="100" t="n"/>
      <x:c r="EO42" s="100" t="n"/>
      <x:c r="EP42" s="100" t="n"/>
      <x:c r="EQ42" s="100" t="n"/>
      <x:c r="ER42" s="100" t="n"/>
      <x:c r="ES42" s="100" t="n"/>
      <x:c r="ET42" s="100" t="n"/>
      <x:c r="EU42" s="100" t="n"/>
      <x:c r="EV42" s="100" t="n"/>
      <x:c r="EW42" s="100" t="n"/>
      <x:c r="EX42" s="100" t="n"/>
      <x:c r="EY42" s="100" t="n"/>
      <x:c r="EZ42" s="100" t="n"/>
      <x:c r="FA42" s="100" t="n"/>
      <x:c r="FB42" s="100" t="n"/>
      <x:c r="FC42" s="100" t="n"/>
      <x:c r="FD42" s="100" t="n"/>
      <x:c r="FE42" s="100" t="n"/>
      <x:c r="FF42" s="100" t="n"/>
      <x:c r="FG42" s="100" t="n"/>
      <x:c r="FH42" s="100" t="n"/>
      <x:c r="FI42" s="100" t="n"/>
      <x:c r="FJ42" s="100" t="n"/>
      <x:c r="FK42" s="100" t="n"/>
      <x:c r="FL42" s="100" t="n"/>
      <x:c r="FM42" s="100" t="n"/>
      <x:c r="FN42" s="100" t="n"/>
      <x:c r="FO42" s="100" t="n"/>
      <x:c r="FP42" s="100" t="n"/>
      <x:c r="FQ42" s="100" t="n"/>
      <x:c r="FR42" s="100" t="n"/>
      <x:c r="FS42" s="100" t="n"/>
      <x:c r="FT42" s="100" t="n"/>
      <x:c r="FU42" s="100" t="n"/>
      <x:c r="FV42" s="100" t="n"/>
      <x:c r="FW42" s="100" t="n"/>
      <x:c r="FX42" s="100" t="n"/>
      <x:c r="FY42" s="100" t="n"/>
      <x:c r="FZ42" s="100" t="n"/>
      <x:c r="GA42" s="100" t="n"/>
      <x:c r="GB42" s="100" t="n"/>
      <x:c r="GC42" s="100" t="n"/>
      <x:c r="GD42" s="100" t="n"/>
      <x:c r="GE42" s="100" t="n"/>
      <x:c r="GF42" s="100" t="n"/>
    </x:row>
    <x:row r="43" s="27" customFormat="1">
      <x:c r="A43" s="125" t="n"/>
      <x:c r="B43" s="39" t="n"/>
      <x:c r="C43" s="86" t="n">
        <x:f>E43*D$5</x:f>
        <x:v>0</x:v>
      </x:c>
      <x:c r="D43" s="103" t="n"/>
      <x:c r="E43" s="86" t="n">
        <x:f>SUM(G43:HH43)</x:f>
        <x:v>0</x:v>
      </x:c>
      <x:c r="F43" s="35" t="n"/>
      <x:c r="G43" s="121" t="n"/>
      <x:c r="H43" s="121" t="n"/>
      <x:c r="I43" s="121" t="n"/>
      <x:c r="J43" s="121" t="n"/>
      <x:c r="K43" s="121" t="n"/>
      <x:c r="L43" s="121" t="n"/>
      <x:c r="M43" s="123" t="n"/>
      <x:c r="N43" s="123" t="n"/>
      <x:c r="O43" s="123" t="n"/>
      <x:c r="P43" s="123" t="n"/>
      <x:c r="Q43" s="123" t="n"/>
      <x:c r="R43" s="123" t="n"/>
      <x:c r="S43" s="123" t="n"/>
      <x:c r="T43" s="123" t="n"/>
      <x:c r="U43" s="123" t="n"/>
      <x:c r="V43" s="123" t="n"/>
      <x:c r="W43" s="123" t="n"/>
      <x:c r="X43" s="123" t="n"/>
      <x:c r="Y43" s="123" t="n"/>
      <x:c r="Z43" s="123" t="n"/>
      <x:c r="AA43" s="123" t="n"/>
      <x:c r="AB43" s="123" t="n"/>
      <x:c r="AC43" s="123" t="n"/>
      <x:c r="AD43" s="123" t="n"/>
      <x:c r="AE43" s="123" t="n"/>
      <x:c r="AF43" s="123" t="n"/>
      <x:c r="AG43" s="124" t="n"/>
      <x:c r="AH43" s="124" t="n"/>
      <x:c r="AI43" s="123" t="n"/>
      <x:c r="AJ43" s="123" t="n"/>
      <x:c r="AK43" s="123" t="n"/>
      <x:c r="AL43" s="123" t="n"/>
      <x:c r="AM43" s="123" t="n"/>
      <x:c r="AN43" s="123" t="n"/>
      <x:c r="AO43" s="123" t="n"/>
      <x:c r="AP43" s="123" t="n"/>
      <x:c r="AQ43" s="123" t="n"/>
      <x:c r="AR43" s="123" t="n"/>
      <x:c r="AS43" s="123" t="n"/>
      <x:c r="AT43" s="123" t="n"/>
      <x:c r="AU43" s="123" t="n"/>
      <x:c r="AV43" s="123" t="n"/>
      <x:c r="AW43" s="123" t="n"/>
      <x:c r="AX43" s="123" t="n"/>
      <x:c r="AY43" s="123" t="n"/>
      <x:c r="AZ43" s="123" t="n"/>
      <x:c r="BA43" s="123" t="n"/>
      <x:c r="BB43" s="123" t="n"/>
      <x:c r="BC43" s="123" t="n"/>
      <x:c r="BD43" s="123" t="n"/>
      <x:c r="BE43" s="123" t="n"/>
      <x:c r="BF43" s="123" t="n"/>
      <x:c r="BG43" s="123" t="n"/>
      <x:c r="BH43" s="123" t="n"/>
      <x:c r="BI43" s="100" t="n"/>
      <x:c r="BJ43" s="100" t="n"/>
      <x:c r="BK43" s="100" t="n"/>
      <x:c r="BL43" s="100" t="n"/>
      <x:c r="BM43" s="100" t="n"/>
      <x:c r="BN43" s="100" t="n"/>
      <x:c r="BO43" s="100" t="n"/>
      <x:c r="BP43" s="100" t="n"/>
      <x:c r="BQ43" s="100" t="n"/>
      <x:c r="BR43" s="100" t="n"/>
      <x:c r="BS43" s="100" t="n"/>
      <x:c r="BT43" s="100" t="n"/>
      <x:c r="BU43" s="100" t="n"/>
      <x:c r="BV43" s="100" t="n"/>
      <x:c r="BW43" s="100" t="n"/>
      <x:c r="BX43" s="100" t="n"/>
      <x:c r="BY43" s="100" t="n"/>
      <x:c r="BZ43" s="100" t="n"/>
      <x:c r="CA43" s="100" t="n"/>
      <x:c r="CB43" s="100" t="n"/>
      <x:c r="CC43" s="100" t="n"/>
      <x:c r="CD43" s="100" t="n"/>
      <x:c r="CE43" s="100" t="n"/>
      <x:c r="CF43" s="100" t="n"/>
      <x:c r="CG43" s="100" t="n"/>
      <x:c r="CH43" s="100" t="n"/>
      <x:c r="CI43" s="100" t="n"/>
      <x:c r="CJ43" s="100" t="n"/>
      <x:c r="CK43" s="100" t="n"/>
      <x:c r="CL43" s="100" t="n"/>
      <x:c r="CM43" s="100" t="n"/>
      <x:c r="CN43" s="100" t="n"/>
      <x:c r="CO43" s="100" t="n"/>
      <x:c r="CP43" s="100" t="n"/>
      <x:c r="CQ43" s="100" t="n"/>
      <x:c r="CR43" s="100" t="n"/>
      <x:c r="CS43" s="100" t="n"/>
      <x:c r="CT43" s="100" t="n"/>
      <x:c r="CU43" s="100" t="n"/>
      <x:c r="CV43" s="100" t="n"/>
      <x:c r="CW43" s="100" t="n"/>
      <x:c r="CX43" s="100" t="n"/>
      <x:c r="CY43" s="100" t="n"/>
      <x:c r="CZ43" s="100" t="n"/>
      <x:c r="DA43" s="100" t="n"/>
      <x:c r="DB43" s="100" t="n"/>
      <x:c r="DC43" s="100" t="n"/>
      <x:c r="DD43" s="100" t="n"/>
      <x:c r="DE43" s="100" t="n"/>
      <x:c r="DF43" s="100" t="n"/>
      <x:c r="DG43" s="100" t="n"/>
      <x:c r="DH43" s="100" t="n"/>
      <x:c r="DI43" s="100" t="n"/>
      <x:c r="DJ43" s="100" t="n"/>
      <x:c r="DK43" s="100" t="n"/>
      <x:c r="DL43" s="100" t="n"/>
      <x:c r="DM43" s="100" t="n"/>
      <x:c r="DN43" s="100" t="n"/>
      <x:c r="DO43" s="100" t="n"/>
      <x:c r="DP43" s="100" t="n"/>
      <x:c r="DQ43" s="100" t="n"/>
      <x:c r="DR43" s="100" t="n"/>
      <x:c r="DS43" s="100" t="n"/>
      <x:c r="DT43" s="100" t="n"/>
      <x:c r="DU43" s="100" t="n"/>
      <x:c r="DV43" s="100" t="n"/>
      <x:c r="DW43" s="100" t="n"/>
      <x:c r="DX43" s="100" t="n"/>
      <x:c r="DY43" s="100" t="n"/>
      <x:c r="DZ43" s="100" t="n"/>
      <x:c r="EA43" s="100" t="n"/>
      <x:c r="EB43" s="100" t="n"/>
      <x:c r="EC43" s="100" t="n"/>
      <x:c r="ED43" s="100" t="n"/>
      <x:c r="EE43" s="100" t="n"/>
      <x:c r="EF43" s="100" t="n"/>
      <x:c r="EG43" s="100" t="n"/>
      <x:c r="EH43" s="100" t="n"/>
      <x:c r="EI43" s="100" t="n"/>
      <x:c r="EJ43" s="100" t="n"/>
      <x:c r="EK43" s="100" t="n"/>
      <x:c r="EL43" s="100" t="n"/>
      <x:c r="EM43" s="100" t="n"/>
      <x:c r="EN43" s="100" t="n"/>
      <x:c r="EO43" s="100" t="n"/>
      <x:c r="EP43" s="100" t="n"/>
      <x:c r="EQ43" s="100" t="n"/>
      <x:c r="ER43" s="100" t="n"/>
      <x:c r="ES43" s="100" t="n"/>
      <x:c r="ET43" s="100" t="n"/>
      <x:c r="EU43" s="100" t="n"/>
      <x:c r="EV43" s="100" t="n"/>
      <x:c r="EW43" s="100" t="n"/>
      <x:c r="EX43" s="100" t="n"/>
      <x:c r="EY43" s="100" t="n"/>
      <x:c r="EZ43" s="100" t="n"/>
      <x:c r="FA43" s="100" t="n"/>
      <x:c r="FB43" s="100" t="n"/>
      <x:c r="FC43" s="100" t="n"/>
      <x:c r="FD43" s="100" t="n"/>
      <x:c r="FE43" s="100" t="n"/>
      <x:c r="FF43" s="100" t="n"/>
      <x:c r="FG43" s="100" t="n"/>
      <x:c r="FH43" s="100" t="n"/>
      <x:c r="FI43" s="100" t="n"/>
      <x:c r="FJ43" s="100" t="n"/>
      <x:c r="FK43" s="100" t="n"/>
      <x:c r="FL43" s="100" t="n"/>
      <x:c r="FM43" s="100" t="n"/>
      <x:c r="FN43" s="100" t="n"/>
      <x:c r="FO43" s="100" t="n"/>
      <x:c r="FP43" s="100" t="n"/>
      <x:c r="FQ43" s="100" t="n"/>
      <x:c r="FR43" s="100" t="n"/>
      <x:c r="FS43" s="100" t="n"/>
      <x:c r="FT43" s="100" t="n"/>
      <x:c r="FU43" s="100" t="n"/>
      <x:c r="FV43" s="100" t="n"/>
      <x:c r="FW43" s="100" t="n"/>
      <x:c r="FX43" s="100" t="n"/>
      <x:c r="FY43" s="100" t="n"/>
      <x:c r="FZ43" s="100" t="n"/>
      <x:c r="GA43" s="100" t="n"/>
      <x:c r="GB43" s="100" t="n"/>
      <x:c r="GC43" s="100" t="n"/>
      <x:c r="GD43" s="100" t="n"/>
      <x:c r="GE43" s="100" t="n"/>
      <x:c r="GF43" s="100" t="n"/>
    </x:row>
    <x:row r="44" s="27" customFormat="1">
      <x:c r="A44" s="125" t="n"/>
      <x:c r="B44" s="39" t="n"/>
      <x:c r="C44" s="86" t="n">
        <x:f>E44*D$5</x:f>
        <x:v>0</x:v>
      </x:c>
      <x:c r="D44" s="4" t="n"/>
      <x:c r="E44" s="86" t="n">
        <x:f>SUM(G44:HT44)</x:f>
        <x:v>0</x:v>
      </x:c>
      <x:c r="F44" s="35" t="n"/>
      <x:c r="G44" s="121" t="n"/>
      <x:c r="H44" s="121" t="n"/>
      <x:c r="I44" s="121" t="n"/>
      <x:c r="J44" s="121" t="n"/>
      <x:c r="K44" s="121" t="n"/>
      <x:c r="L44" s="121" t="n"/>
      <x:c r="M44" s="123" t="n"/>
      <x:c r="N44" s="123" t="n"/>
      <x:c r="O44" s="123" t="n"/>
      <x:c r="P44" s="123" t="n"/>
      <x:c r="Q44" s="123" t="n"/>
      <x:c r="R44" s="123" t="n"/>
      <x:c r="S44" s="123" t="n"/>
      <x:c r="T44" s="123" t="n"/>
      <x:c r="U44" s="123" t="n"/>
      <x:c r="V44" s="123" t="n"/>
      <x:c r="W44" s="123" t="n"/>
      <x:c r="X44" s="123" t="n"/>
      <x:c r="Y44" s="123" t="n"/>
      <x:c r="Z44" s="123" t="n"/>
      <x:c r="AA44" s="123" t="n"/>
      <x:c r="AB44" s="123" t="n"/>
      <x:c r="AC44" s="123" t="n"/>
      <x:c r="AD44" s="123" t="n"/>
      <x:c r="AE44" s="123" t="n"/>
      <x:c r="AF44" s="124" t="n"/>
      <x:c r="AG44" s="123" t="n"/>
      <x:c r="AH44" s="124" t="n"/>
      <x:c r="AI44" s="123" t="n"/>
      <x:c r="AJ44" s="123" t="n"/>
      <x:c r="AK44" s="123" t="n"/>
      <x:c r="AL44" s="123" t="n"/>
      <x:c r="AM44" s="123" t="n"/>
      <x:c r="AN44" s="123" t="n"/>
      <x:c r="AO44" s="123" t="n"/>
      <x:c r="AP44" s="123" t="n"/>
      <x:c r="AQ44" s="123" t="n"/>
      <x:c r="AR44" s="123" t="n"/>
      <x:c r="AS44" s="123" t="n"/>
      <x:c r="AT44" s="123" t="n"/>
      <x:c r="AU44" s="123" t="n"/>
      <x:c r="AV44" s="123" t="n"/>
      <x:c r="AW44" s="123" t="n"/>
      <x:c r="AX44" s="123" t="n"/>
      <x:c r="AY44" s="123" t="n"/>
      <x:c r="AZ44" s="123" t="n"/>
      <x:c r="BA44" s="123" t="n"/>
      <x:c r="BB44" s="123" t="n"/>
      <x:c r="BC44" s="123" t="n"/>
      <x:c r="BD44" s="123" t="n"/>
      <x:c r="BE44" s="123" t="n"/>
      <x:c r="BF44" s="123" t="n"/>
      <x:c r="BG44" s="123" t="n"/>
      <x:c r="BH44" s="123" t="n"/>
      <x:c r="BI44" s="100" t="n"/>
      <x:c r="BJ44" s="100" t="n"/>
      <x:c r="BK44" s="100" t="n"/>
      <x:c r="BL44" s="100" t="n"/>
      <x:c r="BM44" s="100" t="n"/>
      <x:c r="BN44" s="100" t="n"/>
      <x:c r="BO44" s="100" t="n"/>
      <x:c r="BP44" s="100" t="n"/>
      <x:c r="BQ44" s="100" t="n"/>
      <x:c r="BR44" s="100" t="n"/>
      <x:c r="BS44" s="100" t="n"/>
      <x:c r="BT44" s="100" t="n"/>
      <x:c r="BU44" s="100" t="n"/>
      <x:c r="BV44" s="100" t="n"/>
      <x:c r="BW44" s="100" t="n"/>
      <x:c r="BX44" s="100" t="n"/>
      <x:c r="BY44" s="100" t="n"/>
      <x:c r="BZ44" s="100" t="n"/>
      <x:c r="CA44" s="100" t="n"/>
      <x:c r="CB44" s="100" t="n"/>
      <x:c r="CC44" s="100" t="n"/>
      <x:c r="CD44" s="100" t="n"/>
      <x:c r="CE44" s="100" t="n"/>
      <x:c r="CF44" s="100" t="n"/>
      <x:c r="CG44" s="100" t="n"/>
      <x:c r="CH44" s="100" t="n"/>
      <x:c r="CI44" s="100" t="n"/>
      <x:c r="CJ44" s="100" t="n"/>
      <x:c r="CK44" s="100" t="n"/>
      <x:c r="CL44" s="100" t="n"/>
      <x:c r="CM44" s="100" t="n"/>
      <x:c r="CN44" s="100" t="n"/>
      <x:c r="CO44" s="100" t="n"/>
      <x:c r="CP44" s="100" t="n"/>
      <x:c r="CQ44" s="100" t="n"/>
      <x:c r="CR44" s="100" t="n"/>
      <x:c r="CS44" s="100" t="n"/>
      <x:c r="CT44" s="100" t="n"/>
      <x:c r="CU44" s="100" t="n"/>
      <x:c r="CV44" s="100" t="n"/>
      <x:c r="CW44" s="100" t="n"/>
      <x:c r="CX44" s="100" t="n"/>
      <x:c r="CY44" s="100" t="n"/>
      <x:c r="CZ44" s="100" t="n"/>
      <x:c r="DA44" s="100" t="n"/>
      <x:c r="DB44" s="100" t="n"/>
      <x:c r="DC44" s="100" t="n"/>
      <x:c r="DD44" s="100" t="n"/>
      <x:c r="DE44" s="100" t="n"/>
      <x:c r="DF44" s="100" t="n"/>
      <x:c r="DG44" s="100" t="n"/>
      <x:c r="DH44" s="100" t="n"/>
      <x:c r="DI44" s="100" t="n"/>
      <x:c r="DJ44" s="100" t="n"/>
      <x:c r="DK44" s="100" t="n"/>
      <x:c r="DL44" s="100" t="n"/>
      <x:c r="DM44" s="100" t="n"/>
      <x:c r="DN44" s="100" t="n"/>
      <x:c r="DO44" s="100" t="n"/>
      <x:c r="DP44" s="100" t="n"/>
      <x:c r="DQ44" s="100" t="n"/>
      <x:c r="DR44" s="100" t="n"/>
      <x:c r="DS44" s="100" t="n"/>
      <x:c r="DT44" s="100" t="n"/>
      <x:c r="DU44" s="100" t="n"/>
      <x:c r="DV44" s="100" t="n"/>
      <x:c r="DW44" s="100" t="n"/>
      <x:c r="DX44" s="100" t="n"/>
      <x:c r="DY44" s="100" t="n"/>
      <x:c r="DZ44" s="100" t="n"/>
      <x:c r="EA44" s="100" t="n"/>
      <x:c r="EB44" s="100" t="n"/>
      <x:c r="EC44" s="100" t="n"/>
      <x:c r="ED44" s="100" t="n"/>
      <x:c r="EE44" s="100" t="n"/>
      <x:c r="EF44" s="100" t="n"/>
      <x:c r="EG44" s="100" t="n"/>
      <x:c r="EH44" s="100" t="n"/>
      <x:c r="EI44" s="100" t="n"/>
      <x:c r="EJ44" s="100" t="n"/>
      <x:c r="EK44" s="100" t="n"/>
      <x:c r="EL44" s="100" t="n"/>
      <x:c r="EM44" s="100" t="n"/>
      <x:c r="EN44" s="100" t="n"/>
      <x:c r="EO44" s="100" t="n"/>
      <x:c r="EP44" s="100" t="n"/>
      <x:c r="EQ44" s="100" t="n"/>
      <x:c r="ER44" s="100" t="n"/>
      <x:c r="ES44" s="100" t="n"/>
      <x:c r="ET44" s="100" t="n"/>
      <x:c r="EU44" s="100" t="n"/>
      <x:c r="EV44" s="100" t="n"/>
      <x:c r="EW44" s="100" t="n"/>
      <x:c r="EX44" s="100" t="n"/>
      <x:c r="EY44" s="100" t="n"/>
      <x:c r="EZ44" s="100" t="n"/>
      <x:c r="FA44" s="100" t="n"/>
      <x:c r="FB44" s="100" t="n"/>
      <x:c r="FC44" s="100" t="n"/>
      <x:c r="FD44" s="100" t="n"/>
      <x:c r="FE44" s="100" t="n"/>
      <x:c r="FF44" s="100" t="n"/>
      <x:c r="FG44" s="100" t="n"/>
      <x:c r="FH44" s="100" t="n"/>
      <x:c r="FI44" s="100" t="n"/>
      <x:c r="FJ44" s="100" t="n"/>
      <x:c r="FK44" s="100" t="n"/>
      <x:c r="FL44" s="100" t="n"/>
      <x:c r="FM44" s="100" t="n"/>
      <x:c r="FN44" s="100" t="n"/>
      <x:c r="FO44" s="100" t="n"/>
      <x:c r="FP44" s="100" t="n"/>
      <x:c r="FQ44" s="100" t="n"/>
      <x:c r="FR44" s="100" t="n"/>
      <x:c r="FS44" s="100" t="n"/>
      <x:c r="FT44" s="100" t="n"/>
      <x:c r="FU44" s="100" t="n"/>
      <x:c r="FV44" s="100" t="n"/>
      <x:c r="FW44" s="100" t="n"/>
      <x:c r="FX44" s="100" t="n"/>
      <x:c r="FY44" s="100" t="n"/>
      <x:c r="FZ44" s="100" t="n"/>
      <x:c r="GA44" s="100" t="n"/>
      <x:c r="GB44" s="100" t="n"/>
      <x:c r="GC44" s="100" t="n"/>
      <x:c r="GD44" s="100" t="n"/>
      <x:c r="GE44" s="100" t="n"/>
      <x:c r="GF44" s="100" t="n"/>
    </x:row>
    <x:row r="45" s="27" customFormat="1">
      <x:c r="A45" s="125" t="n"/>
      <x:c r="B45" s="39" t="n"/>
      <x:c r="C45" s="86" t="n">
        <x:f>E45*D$5</x:f>
        <x:v>0</x:v>
      </x:c>
      <x:c r="D45" s="103" t="n"/>
      <x:c r="E45" s="86" t="n">
        <x:f>SUM(G45:HP45)</x:f>
        <x:v>0</x:v>
      </x:c>
      <x:c r="F45" s="35" t="n"/>
      <x:c r="G45" s="121" t="n"/>
      <x:c r="H45" s="121" t="n"/>
      <x:c r="I45" s="121" t="n"/>
      <x:c r="J45" s="121" t="n"/>
      <x:c r="K45" s="121" t="n"/>
      <x:c r="L45" s="121" t="n"/>
      <x:c r="M45" s="123" t="n"/>
      <x:c r="N45" s="123" t="n"/>
      <x:c r="O45" s="123" t="n"/>
      <x:c r="P45" s="123" t="n"/>
      <x:c r="Q45" s="123" t="n"/>
      <x:c r="R45" s="123" t="n"/>
      <x:c r="S45" s="123" t="n"/>
      <x:c r="T45" s="123" t="n"/>
      <x:c r="U45" s="123" t="n"/>
      <x:c r="V45" s="123" t="n"/>
      <x:c r="W45" s="123" t="n"/>
      <x:c r="X45" s="123" t="n"/>
      <x:c r="Y45" s="123" t="n"/>
      <x:c r="Z45" s="123" t="n"/>
      <x:c r="AA45" s="123" t="n"/>
      <x:c r="AB45" s="123" t="n"/>
      <x:c r="AC45" s="123" t="n"/>
      <x:c r="AD45" s="123" t="n"/>
      <x:c r="AE45" s="123" t="n"/>
      <x:c r="AF45" s="123" t="n"/>
      <x:c r="AG45" s="123" t="n"/>
      <x:c r="AH45" s="123" t="n"/>
      <x:c r="AI45" s="124" t="n"/>
      <x:c r="AJ45" s="124" t="n"/>
      <x:c r="AK45" s="124" t="n"/>
      <x:c r="AL45" s="124" t="n"/>
      <x:c r="AM45" s="124" t="n"/>
      <x:c r="AN45" s="123" t="n"/>
      <x:c r="AO45" s="123" t="n"/>
      <x:c r="AP45" s="123" t="n"/>
      <x:c r="AQ45" s="123" t="n"/>
      <x:c r="AR45" s="123" t="n"/>
      <x:c r="AS45" s="123" t="n"/>
      <x:c r="AT45" s="123" t="n"/>
      <x:c r="AU45" s="123" t="n"/>
      <x:c r="AV45" s="123" t="n"/>
      <x:c r="AW45" s="123" t="n"/>
      <x:c r="AX45" s="123" t="n"/>
      <x:c r="AY45" s="123" t="n"/>
      <x:c r="AZ45" s="123" t="n"/>
      <x:c r="BA45" s="123" t="n"/>
      <x:c r="BB45" s="123" t="n"/>
      <x:c r="BC45" s="123" t="n"/>
      <x:c r="BD45" s="123" t="n"/>
      <x:c r="BE45" s="123" t="n"/>
      <x:c r="BF45" s="123" t="n"/>
      <x:c r="BG45" s="123" t="n"/>
      <x:c r="BH45" s="123" t="n"/>
      <x:c r="BI45" s="100" t="n"/>
      <x:c r="BJ45" s="100" t="n"/>
      <x:c r="BK45" s="100" t="n"/>
      <x:c r="BL45" s="100" t="n"/>
      <x:c r="BM45" s="100" t="n"/>
      <x:c r="BN45" s="100" t="n"/>
      <x:c r="BO45" s="100" t="n"/>
      <x:c r="BP45" s="100" t="n"/>
      <x:c r="BQ45" s="100" t="n"/>
      <x:c r="BR45" s="100" t="n"/>
      <x:c r="BS45" s="100" t="n"/>
      <x:c r="BT45" s="100" t="n"/>
      <x:c r="BU45" s="100" t="n"/>
      <x:c r="BV45" s="100" t="n"/>
      <x:c r="BW45" s="100" t="n"/>
      <x:c r="BX45" s="100" t="n"/>
      <x:c r="BY45" s="100" t="n"/>
      <x:c r="BZ45" s="100" t="n"/>
      <x:c r="CA45" s="100" t="n"/>
      <x:c r="CB45" s="100" t="n"/>
      <x:c r="CC45" s="100" t="n"/>
      <x:c r="CD45" s="100" t="n"/>
      <x:c r="CE45" s="100" t="n"/>
      <x:c r="CF45" s="100" t="n"/>
      <x:c r="CG45" s="100" t="n"/>
      <x:c r="CH45" s="100" t="n"/>
      <x:c r="CI45" s="100" t="n"/>
      <x:c r="CJ45" s="100" t="n"/>
      <x:c r="CK45" s="100" t="n"/>
      <x:c r="CL45" s="100" t="n"/>
      <x:c r="CM45" s="100" t="n"/>
      <x:c r="CN45" s="100" t="n"/>
      <x:c r="CO45" s="100" t="n"/>
      <x:c r="CP45" s="100" t="n"/>
      <x:c r="CQ45" s="100" t="n"/>
      <x:c r="CR45" s="100" t="n"/>
      <x:c r="CS45" s="100" t="n"/>
      <x:c r="CT45" s="100" t="n"/>
      <x:c r="CU45" s="100" t="n"/>
      <x:c r="CV45" s="100" t="n"/>
      <x:c r="CW45" s="100" t="n"/>
      <x:c r="CX45" s="100" t="n"/>
      <x:c r="CY45" s="100" t="n"/>
      <x:c r="CZ45" s="100" t="n"/>
      <x:c r="DA45" s="100" t="n"/>
      <x:c r="DB45" s="100" t="n"/>
      <x:c r="DC45" s="100" t="n"/>
      <x:c r="DD45" s="100" t="n"/>
      <x:c r="DE45" s="100" t="n"/>
      <x:c r="DF45" s="100" t="n"/>
      <x:c r="DG45" s="100" t="n"/>
      <x:c r="DH45" s="100" t="n"/>
      <x:c r="DI45" s="100" t="n"/>
      <x:c r="DJ45" s="100" t="n"/>
      <x:c r="DK45" s="100" t="n"/>
      <x:c r="DL45" s="100" t="n"/>
      <x:c r="DM45" s="100" t="n"/>
      <x:c r="DN45" s="100" t="n"/>
      <x:c r="DO45" s="100" t="n"/>
      <x:c r="DP45" s="100" t="n"/>
      <x:c r="DQ45" s="100" t="n"/>
      <x:c r="DR45" s="100" t="n"/>
      <x:c r="DS45" s="100" t="n"/>
      <x:c r="DT45" s="100" t="n"/>
      <x:c r="DU45" s="100" t="n"/>
      <x:c r="DV45" s="100" t="n"/>
      <x:c r="DW45" s="100" t="n"/>
      <x:c r="DX45" s="100" t="n"/>
      <x:c r="DY45" s="100" t="n"/>
      <x:c r="DZ45" s="100" t="n"/>
      <x:c r="EA45" s="100" t="n"/>
      <x:c r="EB45" s="100" t="n"/>
      <x:c r="EC45" s="100" t="n"/>
      <x:c r="ED45" s="100" t="n"/>
      <x:c r="EE45" s="100" t="n"/>
      <x:c r="EF45" s="100" t="n"/>
      <x:c r="EG45" s="100" t="n"/>
      <x:c r="EH45" s="100" t="n"/>
      <x:c r="EI45" s="100" t="n"/>
      <x:c r="EJ45" s="100" t="n"/>
      <x:c r="EK45" s="100" t="n"/>
      <x:c r="EL45" s="100" t="n"/>
      <x:c r="EM45" s="100" t="n"/>
      <x:c r="EN45" s="100" t="n"/>
      <x:c r="EO45" s="100" t="n"/>
      <x:c r="EP45" s="100" t="n"/>
      <x:c r="EQ45" s="100" t="n"/>
      <x:c r="ER45" s="100" t="n"/>
      <x:c r="ES45" s="100" t="n"/>
      <x:c r="ET45" s="100" t="n"/>
      <x:c r="EU45" s="100" t="n"/>
      <x:c r="EV45" s="100" t="n"/>
      <x:c r="EW45" s="100" t="n"/>
      <x:c r="EX45" s="100" t="n"/>
      <x:c r="EY45" s="100" t="n"/>
      <x:c r="EZ45" s="100" t="n"/>
      <x:c r="FA45" s="100" t="n"/>
      <x:c r="FB45" s="100" t="n"/>
      <x:c r="FC45" s="100" t="n"/>
      <x:c r="FD45" s="100" t="n"/>
      <x:c r="FE45" s="100" t="n"/>
      <x:c r="FF45" s="100" t="n"/>
      <x:c r="FG45" s="100" t="n"/>
      <x:c r="FH45" s="100" t="n"/>
      <x:c r="FI45" s="100" t="n"/>
      <x:c r="FJ45" s="100" t="n"/>
      <x:c r="FK45" s="100" t="n"/>
      <x:c r="FL45" s="100" t="n"/>
      <x:c r="FM45" s="100" t="n"/>
      <x:c r="FN45" s="100" t="n"/>
      <x:c r="FO45" s="100" t="n"/>
      <x:c r="FP45" s="100" t="n"/>
      <x:c r="FQ45" s="100" t="n"/>
      <x:c r="FR45" s="100" t="n"/>
      <x:c r="FS45" s="100" t="n"/>
      <x:c r="FT45" s="100" t="n"/>
      <x:c r="FU45" s="100" t="n"/>
      <x:c r="FV45" s="100" t="n"/>
      <x:c r="FW45" s="100" t="n"/>
      <x:c r="FX45" s="100" t="n"/>
      <x:c r="FY45" s="100" t="n"/>
      <x:c r="FZ45" s="100" t="n"/>
      <x:c r="GA45" s="100" t="n"/>
      <x:c r="GB45" s="100" t="n"/>
      <x:c r="GC45" s="100" t="n"/>
      <x:c r="GD45" s="100" t="n"/>
      <x:c r="GE45" s="100" t="n"/>
      <x:c r="GF45" s="100" t="n"/>
    </x:row>
    <x:row r="46" s="27" customFormat="1">
      <x:c r="A46" s="125" t="n"/>
      <x:c r="B46" s="39" t="n"/>
      <x:c r="C46" s="86" t="n">
        <x:f>E46*D$5</x:f>
        <x:v>0</x:v>
      </x:c>
      <x:c r="D46" s="103" t="n"/>
      <x:c r="E46" s="86" t="n">
        <x:f>SUM(G46:HT46)</x:f>
        <x:v>0</x:v>
      </x:c>
      <x:c r="F46" s="35" t="n"/>
      <x:c r="G46" s="121" t="n"/>
      <x:c r="H46" s="121" t="n"/>
      <x:c r="I46" s="121" t="n"/>
      <x:c r="J46" s="121" t="n"/>
      <x:c r="K46" s="121" t="n"/>
      <x:c r="L46" s="121" t="n"/>
      <x:c r="M46" s="123" t="n"/>
      <x:c r="N46" s="123" t="n"/>
      <x:c r="O46" s="123" t="n"/>
      <x:c r="P46" s="123" t="n"/>
      <x:c r="Q46" s="123" t="n"/>
      <x:c r="R46" s="123" t="n"/>
      <x:c r="S46" s="123" t="n"/>
      <x:c r="T46" s="123" t="n"/>
      <x:c r="U46" s="123" t="n"/>
      <x:c r="V46" s="123" t="n"/>
      <x:c r="W46" s="123" t="n"/>
      <x:c r="X46" s="123" t="n"/>
      <x:c r="Y46" s="123" t="n"/>
      <x:c r="Z46" s="123" t="n"/>
      <x:c r="AA46" s="123" t="n"/>
      <x:c r="AB46" s="123" t="n"/>
      <x:c r="AC46" s="123" t="n"/>
      <x:c r="AD46" s="123" t="n"/>
      <x:c r="AE46" s="123" t="n"/>
      <x:c r="AF46" s="123" t="n"/>
      <x:c r="AG46" s="123" t="n"/>
      <x:c r="AH46" s="123" t="n"/>
      <x:c r="AI46" s="124" t="n"/>
      <x:c r="AJ46" s="124" t="n"/>
      <x:c r="AK46" s="124" t="n"/>
      <x:c r="AL46" s="123" t="n"/>
      <x:c r="AM46" s="123" t="n"/>
      <x:c r="AN46" s="123" t="n"/>
      <x:c r="AO46" s="123" t="n"/>
      <x:c r="AP46" s="123" t="n"/>
      <x:c r="AQ46" s="123" t="n"/>
      <x:c r="AR46" s="123" t="n"/>
      <x:c r="AS46" s="123" t="n"/>
      <x:c r="AT46" s="123" t="n"/>
      <x:c r="AU46" s="123" t="n"/>
      <x:c r="AV46" s="123" t="n"/>
      <x:c r="AW46" s="123" t="n"/>
      <x:c r="AX46" s="123" t="n"/>
      <x:c r="AY46" s="123" t="n"/>
      <x:c r="AZ46" s="123" t="n"/>
      <x:c r="BA46" s="123" t="n"/>
      <x:c r="BB46" s="123" t="n"/>
      <x:c r="BC46" s="123" t="n"/>
      <x:c r="BD46" s="123" t="n"/>
      <x:c r="BE46" s="123" t="n"/>
      <x:c r="BF46" s="123" t="n"/>
      <x:c r="BG46" s="123" t="n"/>
      <x:c r="BH46" s="123" t="n"/>
      <x:c r="BI46" s="100" t="n"/>
      <x:c r="BJ46" s="100" t="n"/>
      <x:c r="BK46" s="100" t="n"/>
      <x:c r="BL46" s="100" t="n"/>
      <x:c r="BM46" s="100" t="n"/>
      <x:c r="BN46" s="100" t="n"/>
      <x:c r="BO46" s="100" t="n"/>
      <x:c r="BP46" s="100" t="n"/>
      <x:c r="BQ46" s="100" t="n"/>
      <x:c r="BR46" s="100" t="n"/>
      <x:c r="BS46" s="100" t="n"/>
      <x:c r="BT46" s="100" t="n"/>
      <x:c r="BU46" s="100" t="n"/>
      <x:c r="BV46" s="100" t="n"/>
      <x:c r="BW46" s="100" t="n"/>
      <x:c r="BX46" s="100" t="n"/>
      <x:c r="BY46" s="100" t="n"/>
      <x:c r="BZ46" s="100" t="n"/>
      <x:c r="CA46" s="100" t="n"/>
      <x:c r="CB46" s="100" t="n"/>
      <x:c r="CC46" s="100" t="n"/>
      <x:c r="CD46" s="100" t="n"/>
      <x:c r="CE46" s="100" t="n"/>
      <x:c r="CF46" s="100" t="n"/>
      <x:c r="CG46" s="100" t="n"/>
      <x:c r="CH46" s="100" t="n"/>
      <x:c r="CI46" s="100" t="n"/>
      <x:c r="CJ46" s="100" t="n"/>
      <x:c r="CK46" s="100" t="n"/>
      <x:c r="CL46" s="100" t="n"/>
      <x:c r="CM46" s="100" t="n"/>
      <x:c r="CN46" s="100" t="n"/>
      <x:c r="CO46" s="100" t="n"/>
      <x:c r="CP46" s="100" t="n"/>
      <x:c r="CQ46" s="100" t="n"/>
      <x:c r="CR46" s="100" t="n"/>
      <x:c r="CS46" s="100" t="n"/>
      <x:c r="CT46" s="100" t="n"/>
      <x:c r="CU46" s="100" t="n"/>
      <x:c r="CV46" s="100" t="n"/>
      <x:c r="CW46" s="100" t="n"/>
      <x:c r="CX46" s="100" t="n"/>
      <x:c r="CY46" s="100" t="n"/>
      <x:c r="CZ46" s="100" t="n"/>
      <x:c r="DA46" s="100" t="n"/>
      <x:c r="DB46" s="100" t="n"/>
      <x:c r="DC46" s="100" t="n"/>
      <x:c r="DD46" s="100" t="n"/>
      <x:c r="DE46" s="100" t="n"/>
      <x:c r="DF46" s="100" t="n"/>
      <x:c r="DG46" s="100" t="n"/>
      <x:c r="DH46" s="100" t="n"/>
      <x:c r="DI46" s="100" t="n"/>
      <x:c r="DJ46" s="100" t="n"/>
      <x:c r="DK46" s="100" t="n"/>
      <x:c r="DL46" s="100" t="n"/>
      <x:c r="DM46" s="100" t="n"/>
      <x:c r="DN46" s="100" t="n"/>
      <x:c r="DO46" s="100" t="n"/>
      <x:c r="DP46" s="100" t="n"/>
      <x:c r="DQ46" s="100" t="n"/>
      <x:c r="DR46" s="100" t="n"/>
      <x:c r="DS46" s="100" t="n"/>
      <x:c r="DT46" s="100" t="n"/>
      <x:c r="DU46" s="100" t="n"/>
      <x:c r="DV46" s="100" t="n"/>
      <x:c r="DW46" s="100" t="n"/>
      <x:c r="DX46" s="100" t="n"/>
      <x:c r="DY46" s="100" t="n"/>
      <x:c r="DZ46" s="100" t="n"/>
      <x:c r="EA46" s="100" t="n"/>
      <x:c r="EB46" s="100" t="n"/>
      <x:c r="EC46" s="100" t="n"/>
      <x:c r="ED46" s="100" t="n"/>
      <x:c r="EE46" s="100" t="n"/>
      <x:c r="EF46" s="100" t="n"/>
      <x:c r="EG46" s="100" t="n"/>
      <x:c r="EH46" s="100" t="n"/>
      <x:c r="EI46" s="100" t="n"/>
      <x:c r="EJ46" s="100" t="n"/>
      <x:c r="EK46" s="100" t="n"/>
      <x:c r="EL46" s="100" t="n"/>
      <x:c r="EM46" s="100" t="n"/>
      <x:c r="EN46" s="100" t="n"/>
      <x:c r="EO46" s="100" t="n"/>
      <x:c r="EP46" s="100" t="n"/>
      <x:c r="EQ46" s="100" t="n"/>
      <x:c r="ER46" s="100" t="n"/>
      <x:c r="ES46" s="100" t="n"/>
      <x:c r="ET46" s="100" t="n"/>
      <x:c r="EU46" s="100" t="n"/>
      <x:c r="EV46" s="100" t="n"/>
      <x:c r="EW46" s="100" t="n"/>
      <x:c r="EX46" s="100" t="n"/>
      <x:c r="EY46" s="100" t="n"/>
      <x:c r="EZ46" s="100" t="n"/>
      <x:c r="FA46" s="100" t="n"/>
      <x:c r="FB46" s="100" t="n"/>
      <x:c r="FC46" s="100" t="n"/>
      <x:c r="FD46" s="100" t="n"/>
      <x:c r="FE46" s="100" t="n"/>
      <x:c r="FF46" s="100" t="n"/>
      <x:c r="FG46" s="100" t="n"/>
      <x:c r="FH46" s="100" t="n"/>
      <x:c r="FI46" s="100" t="n"/>
      <x:c r="FJ46" s="100" t="n"/>
      <x:c r="FK46" s="100" t="n"/>
      <x:c r="FL46" s="100" t="n"/>
      <x:c r="FM46" s="100" t="n"/>
      <x:c r="FN46" s="100" t="n"/>
      <x:c r="FO46" s="100" t="n"/>
      <x:c r="FP46" s="100" t="n"/>
      <x:c r="FQ46" s="100" t="n"/>
      <x:c r="FR46" s="100" t="n"/>
      <x:c r="FS46" s="100" t="n"/>
      <x:c r="FT46" s="100" t="n"/>
      <x:c r="FU46" s="100" t="n"/>
      <x:c r="FV46" s="100" t="n"/>
      <x:c r="FW46" s="100" t="n"/>
      <x:c r="FX46" s="100" t="n"/>
      <x:c r="FY46" s="100" t="n"/>
      <x:c r="FZ46" s="100" t="n"/>
      <x:c r="GA46" s="100" t="n"/>
      <x:c r="GB46" s="100" t="n"/>
      <x:c r="GC46" s="100" t="n"/>
      <x:c r="GD46" s="100" t="n"/>
      <x:c r="GE46" s="100" t="n"/>
      <x:c r="GF46" s="100" t="n"/>
    </x:row>
    <x:row r="47" s="27" customFormat="1" ht="12.949999809265137" customHeight="1">
      <x:c r="A47" s="125" t="n"/>
      <x:c r="B47" s="39" t="n"/>
      <x:c r="C47" s="86" t="n">
        <x:f>E47*D$5</x:f>
        <x:v>0</x:v>
      </x:c>
      <x:c r="D47" s="103" t="n"/>
      <x:c r="E47" s="86" t="n">
        <x:f>SUM(G47:HT47)</x:f>
        <x:v>0</x:v>
      </x:c>
      <x:c r="F47" s="35" t="n"/>
      <x:c r="G47" s="121" t="n"/>
      <x:c r="H47" s="121" t="n"/>
      <x:c r="I47" s="121" t="n"/>
      <x:c r="J47" s="121" t="n"/>
      <x:c r="K47" s="121" t="n"/>
      <x:c r="L47" s="121" t="n"/>
      <x:c r="M47" s="123" t="n"/>
      <x:c r="N47" s="123" t="n"/>
      <x:c r="O47" s="123" t="n"/>
      <x:c r="P47" s="123" t="n"/>
      <x:c r="Q47" s="123" t="n"/>
      <x:c r="R47" s="123" t="n"/>
      <x:c r="S47" s="123" t="n"/>
      <x:c r="T47" s="123" t="n"/>
      <x:c r="U47" s="123" t="n"/>
      <x:c r="V47" s="123" t="n"/>
      <x:c r="W47" s="123" t="n"/>
      <x:c r="X47" s="123" t="n"/>
      <x:c r="Y47" s="123" t="n"/>
      <x:c r="Z47" s="123" t="n"/>
      <x:c r="AA47" s="123" t="n"/>
      <x:c r="AB47" s="123" t="n"/>
      <x:c r="AC47" s="123" t="n"/>
      <x:c r="AD47" s="123" t="n"/>
      <x:c r="AE47" s="123" t="n"/>
      <x:c r="AF47" s="123" t="n"/>
      <x:c r="AG47" s="123" t="n"/>
      <x:c r="AH47" s="123" t="n"/>
      <x:c r="AI47" s="124" t="n"/>
      <x:c r="AJ47" s="123" t="n"/>
      <x:c r="AK47" s="124" t="n"/>
      <x:c r="AL47" s="123" t="n"/>
      <x:c r="AM47" s="123" t="n"/>
      <x:c r="AN47" s="123" t="n"/>
      <x:c r="AO47" s="123" t="n"/>
      <x:c r="AP47" s="123" t="n"/>
      <x:c r="AQ47" s="123" t="n"/>
      <x:c r="AR47" s="123" t="n"/>
      <x:c r="AS47" s="123" t="n"/>
      <x:c r="AT47" s="123" t="n"/>
      <x:c r="AU47" s="123" t="n"/>
      <x:c r="AV47" s="123" t="n"/>
      <x:c r="AW47" s="123" t="n"/>
      <x:c r="AX47" s="123" t="n"/>
      <x:c r="AY47" s="123" t="n"/>
      <x:c r="AZ47" s="123" t="n"/>
      <x:c r="BA47" s="123" t="n"/>
      <x:c r="BB47" s="123" t="n"/>
      <x:c r="BC47" s="123" t="n"/>
      <x:c r="BD47" s="123" t="n"/>
      <x:c r="BE47" s="123" t="n"/>
      <x:c r="BF47" s="123" t="n"/>
      <x:c r="BG47" s="123" t="n"/>
      <x:c r="BH47" s="123" t="n"/>
      <x:c r="BI47" s="100" t="n"/>
      <x:c r="BJ47" s="100" t="n"/>
      <x:c r="BK47" s="100" t="n"/>
      <x:c r="BL47" s="100" t="n"/>
      <x:c r="BM47" s="100" t="n"/>
      <x:c r="BN47" s="100" t="n"/>
      <x:c r="BO47" s="100" t="n"/>
      <x:c r="BP47" s="100" t="n"/>
      <x:c r="BQ47" s="100" t="n"/>
      <x:c r="BR47" s="100" t="n"/>
      <x:c r="BS47" s="100" t="n"/>
      <x:c r="BT47" s="100" t="n"/>
      <x:c r="BU47" s="100" t="n"/>
      <x:c r="BV47" s="100" t="n"/>
      <x:c r="BW47" s="100" t="n"/>
      <x:c r="BX47" s="100" t="n"/>
      <x:c r="BY47" s="100" t="n"/>
      <x:c r="BZ47" s="100" t="n"/>
      <x:c r="CA47" s="100" t="n"/>
      <x:c r="CB47" s="100" t="n"/>
      <x:c r="CC47" s="100" t="n"/>
      <x:c r="CD47" s="100" t="n"/>
      <x:c r="CE47" s="100" t="n"/>
      <x:c r="CF47" s="100" t="n"/>
      <x:c r="CG47" s="100" t="n"/>
      <x:c r="CH47" s="100" t="n"/>
      <x:c r="CI47" s="100" t="n"/>
      <x:c r="CJ47" s="100" t="n"/>
      <x:c r="CK47" s="100" t="n"/>
      <x:c r="CL47" s="100" t="n"/>
      <x:c r="CM47" s="100" t="n"/>
      <x:c r="CN47" s="100" t="n"/>
      <x:c r="CO47" s="100" t="n"/>
      <x:c r="CP47" s="100" t="n"/>
      <x:c r="CQ47" s="100" t="n"/>
      <x:c r="CR47" s="100" t="n"/>
      <x:c r="CS47" s="100" t="n"/>
      <x:c r="CT47" s="100" t="n"/>
      <x:c r="CU47" s="100" t="n"/>
      <x:c r="CV47" s="100" t="n"/>
      <x:c r="CW47" s="100" t="n"/>
      <x:c r="CX47" s="100" t="n"/>
      <x:c r="CY47" s="100" t="n"/>
      <x:c r="CZ47" s="100" t="n"/>
      <x:c r="DA47" s="100" t="n"/>
      <x:c r="DB47" s="100" t="n"/>
      <x:c r="DC47" s="100" t="n"/>
      <x:c r="DD47" s="100" t="n"/>
      <x:c r="DE47" s="100" t="n"/>
      <x:c r="DF47" s="100" t="n"/>
      <x:c r="DG47" s="100" t="n"/>
      <x:c r="DH47" s="100" t="n"/>
      <x:c r="DI47" s="100" t="n"/>
      <x:c r="DJ47" s="100" t="n"/>
      <x:c r="DK47" s="100" t="n"/>
      <x:c r="DL47" s="100" t="n"/>
      <x:c r="DM47" s="100" t="n"/>
      <x:c r="DN47" s="100" t="n"/>
      <x:c r="DO47" s="100" t="n"/>
      <x:c r="DP47" s="100" t="n"/>
      <x:c r="DQ47" s="100" t="n"/>
      <x:c r="DR47" s="100" t="n"/>
      <x:c r="DS47" s="100" t="n"/>
      <x:c r="DT47" s="100" t="n"/>
      <x:c r="DU47" s="100" t="n"/>
      <x:c r="DV47" s="100" t="n"/>
      <x:c r="DW47" s="100" t="n"/>
      <x:c r="DX47" s="100" t="n"/>
      <x:c r="DY47" s="100" t="n"/>
      <x:c r="DZ47" s="100" t="n"/>
      <x:c r="EA47" s="100" t="n"/>
      <x:c r="EB47" s="100" t="n"/>
      <x:c r="EC47" s="100" t="n"/>
      <x:c r="ED47" s="100" t="n"/>
      <x:c r="EE47" s="100" t="n"/>
      <x:c r="EF47" s="100" t="n"/>
      <x:c r="EG47" s="100" t="n"/>
      <x:c r="EH47" s="100" t="n"/>
      <x:c r="EI47" s="100" t="n"/>
      <x:c r="EJ47" s="100" t="n"/>
      <x:c r="EK47" s="100" t="n"/>
      <x:c r="EL47" s="100" t="n"/>
      <x:c r="EM47" s="100" t="n"/>
      <x:c r="EN47" s="100" t="n"/>
      <x:c r="EO47" s="100" t="n"/>
      <x:c r="EP47" s="100" t="n"/>
      <x:c r="EQ47" s="100" t="n"/>
      <x:c r="ER47" s="100" t="n"/>
      <x:c r="ES47" s="100" t="n"/>
      <x:c r="ET47" s="100" t="n"/>
      <x:c r="EU47" s="100" t="n"/>
      <x:c r="EV47" s="100" t="n"/>
      <x:c r="EW47" s="100" t="n"/>
      <x:c r="EX47" s="100" t="n"/>
      <x:c r="EY47" s="100" t="n"/>
      <x:c r="EZ47" s="100" t="n"/>
      <x:c r="FA47" s="100" t="n"/>
      <x:c r="FB47" s="100" t="n"/>
      <x:c r="FC47" s="100" t="n"/>
      <x:c r="FD47" s="100" t="n"/>
      <x:c r="FE47" s="100" t="n"/>
      <x:c r="FF47" s="100" t="n"/>
      <x:c r="FG47" s="100" t="n"/>
      <x:c r="FH47" s="100" t="n"/>
      <x:c r="FI47" s="100" t="n"/>
      <x:c r="FJ47" s="100" t="n"/>
      <x:c r="FK47" s="100" t="n"/>
      <x:c r="FL47" s="100" t="n"/>
      <x:c r="FM47" s="100" t="n"/>
      <x:c r="FN47" s="100" t="n"/>
      <x:c r="FO47" s="100" t="n"/>
      <x:c r="FP47" s="100" t="n"/>
      <x:c r="FQ47" s="100" t="n"/>
      <x:c r="FR47" s="100" t="n"/>
      <x:c r="FS47" s="100" t="n"/>
      <x:c r="FT47" s="100" t="n"/>
      <x:c r="FU47" s="100" t="n"/>
      <x:c r="FV47" s="100" t="n"/>
      <x:c r="FW47" s="100" t="n"/>
      <x:c r="FX47" s="100" t="n"/>
      <x:c r="FY47" s="100" t="n"/>
      <x:c r="FZ47" s="100" t="n"/>
      <x:c r="GA47" s="100" t="n"/>
      <x:c r="GB47" s="100" t="n"/>
      <x:c r="GC47" s="100" t="n"/>
      <x:c r="GD47" s="100" t="n"/>
      <x:c r="GE47" s="100" t="n"/>
      <x:c r="GF47" s="100" t="n"/>
    </x:row>
    <x:row r="48" s="27" customFormat="1" ht="14.100000381469727" customHeight="1">
      <x:c r="A48" s="125" t="n"/>
      <x:c r="B48" s="39" t="n"/>
      <x:c r="C48" s="36" t="n">
        <x:f>E48*D$5</x:f>
        <x:v>0</x:v>
      </x:c>
      <x:c r="D48" s="103" t="n"/>
      <x:c r="E48" s="36" t="n">
        <x:f>SUM(G48:HT48)</x:f>
        <x:v>0</x:v>
      </x:c>
      <x:c r="F48" s="35" t="n"/>
      <x:c r="G48" s="121" t="n"/>
      <x:c r="H48" s="121" t="n"/>
      <x:c r="I48" s="121" t="n"/>
      <x:c r="J48" s="121" t="n"/>
      <x:c r="K48" s="121" t="n"/>
      <x:c r="L48" s="121" t="n"/>
      <x:c r="M48" s="123" t="n"/>
      <x:c r="N48" s="123" t="n"/>
      <x:c r="O48" s="123" t="n"/>
      <x:c r="P48" s="123" t="n"/>
      <x:c r="Q48" s="123" t="n"/>
      <x:c r="R48" s="123" t="n"/>
      <x:c r="S48" s="123" t="n"/>
      <x:c r="T48" s="123" t="n"/>
      <x:c r="U48" s="123" t="n"/>
      <x:c r="V48" s="123" t="n"/>
      <x:c r="W48" s="123" t="n"/>
      <x:c r="X48" s="123" t="n"/>
      <x:c r="Y48" s="123" t="n"/>
      <x:c r="Z48" s="123" t="n"/>
      <x:c r="AA48" s="123" t="n"/>
      <x:c r="AB48" s="123" t="n"/>
      <x:c r="AC48" s="123" t="n"/>
      <x:c r="AD48" s="123" t="n"/>
      <x:c r="AE48" s="123" t="n"/>
      <x:c r="AF48" s="123" t="n"/>
      <x:c r="AG48" s="123" t="n"/>
      <x:c r="AH48" s="123" t="n"/>
      <x:c r="AI48" s="124" t="n"/>
      <x:c r="AJ48" s="124" t="n"/>
      <x:c r="AK48" s="124" t="n"/>
      <x:c r="AL48" s="124" t="n"/>
      <x:c r="AM48" s="123" t="n"/>
      <x:c r="AN48" s="123" t="n"/>
      <x:c r="AO48" s="123" t="n"/>
      <x:c r="AP48" s="123" t="n"/>
      <x:c r="AQ48" s="123" t="n"/>
      <x:c r="AR48" s="123" t="n"/>
      <x:c r="AS48" s="123" t="n"/>
      <x:c r="AT48" s="123" t="n"/>
      <x:c r="AU48" s="123" t="n"/>
      <x:c r="AV48" s="123" t="n"/>
      <x:c r="AW48" s="123" t="n"/>
      <x:c r="AX48" s="123" t="n"/>
      <x:c r="AY48" s="123" t="n"/>
      <x:c r="AZ48" s="123" t="n"/>
      <x:c r="BA48" s="123" t="n"/>
      <x:c r="BB48" s="123" t="n"/>
      <x:c r="BC48" s="123" t="n"/>
      <x:c r="BD48" s="123" t="n"/>
      <x:c r="BE48" s="123" t="n"/>
      <x:c r="BF48" s="123" t="n"/>
      <x:c r="BG48" s="123" t="n"/>
      <x:c r="BH48" s="123" t="n"/>
      <x:c r="BI48" s="100" t="n"/>
      <x:c r="BJ48" s="100" t="n"/>
      <x:c r="BK48" s="100" t="n"/>
      <x:c r="BL48" s="100" t="n"/>
      <x:c r="BM48" s="100" t="n"/>
      <x:c r="BN48" s="100" t="n"/>
      <x:c r="BO48" s="100" t="n"/>
      <x:c r="BP48" s="100" t="n"/>
      <x:c r="BQ48" s="100" t="n"/>
      <x:c r="BR48" s="100" t="n"/>
      <x:c r="BS48" s="100" t="n"/>
      <x:c r="BT48" s="100" t="n"/>
      <x:c r="BU48" s="100" t="n"/>
      <x:c r="BV48" s="100" t="n"/>
      <x:c r="BW48" s="100" t="n"/>
      <x:c r="BX48" s="100" t="n"/>
      <x:c r="BY48" s="100" t="n"/>
      <x:c r="BZ48" s="100" t="n"/>
      <x:c r="CA48" s="100" t="n"/>
      <x:c r="CB48" s="100" t="n"/>
      <x:c r="CC48" s="100" t="n"/>
      <x:c r="CD48" s="100" t="n"/>
      <x:c r="CE48" s="100" t="n"/>
      <x:c r="CF48" s="100" t="n"/>
      <x:c r="CG48" s="100" t="n"/>
      <x:c r="CH48" s="100" t="n"/>
      <x:c r="CI48" s="100" t="n"/>
      <x:c r="CJ48" s="100" t="n"/>
      <x:c r="CK48" s="100" t="n"/>
      <x:c r="CL48" s="100" t="n"/>
      <x:c r="CM48" s="100" t="n"/>
      <x:c r="CN48" s="100" t="n"/>
      <x:c r="CO48" s="100" t="n"/>
      <x:c r="CP48" s="100" t="n"/>
      <x:c r="CQ48" s="100" t="n"/>
      <x:c r="CR48" s="100" t="n"/>
      <x:c r="CS48" s="100" t="n"/>
      <x:c r="CT48" s="100" t="n"/>
      <x:c r="CU48" s="100" t="n"/>
      <x:c r="CV48" s="100" t="n"/>
      <x:c r="CW48" s="100" t="n"/>
      <x:c r="CX48" s="100" t="n"/>
      <x:c r="CY48" s="100" t="n"/>
      <x:c r="CZ48" s="100" t="n"/>
      <x:c r="DA48" s="100" t="n"/>
      <x:c r="DB48" s="100" t="n"/>
      <x:c r="DC48" s="100" t="n"/>
      <x:c r="DD48" s="100" t="n"/>
      <x:c r="DE48" s="100" t="n"/>
      <x:c r="DF48" s="100" t="n"/>
      <x:c r="DG48" s="100" t="n"/>
      <x:c r="DH48" s="100" t="n"/>
      <x:c r="DI48" s="100" t="n"/>
      <x:c r="DJ48" s="100" t="n"/>
      <x:c r="DK48" s="100" t="n"/>
      <x:c r="DL48" s="100" t="n"/>
      <x:c r="DM48" s="100" t="n"/>
      <x:c r="DN48" s="100" t="n"/>
      <x:c r="DO48" s="100" t="n"/>
      <x:c r="DP48" s="100" t="n"/>
      <x:c r="DQ48" s="100" t="n"/>
      <x:c r="DR48" s="100" t="n"/>
      <x:c r="DS48" s="100" t="n"/>
      <x:c r="DT48" s="100" t="n"/>
      <x:c r="DU48" s="100" t="n"/>
      <x:c r="DV48" s="100" t="n"/>
      <x:c r="DW48" s="100" t="n"/>
      <x:c r="DX48" s="100" t="n"/>
      <x:c r="DY48" s="100" t="n"/>
      <x:c r="DZ48" s="100" t="n"/>
      <x:c r="EA48" s="100" t="n"/>
      <x:c r="EB48" s="100" t="n"/>
      <x:c r="EC48" s="100" t="n"/>
      <x:c r="ED48" s="100" t="n"/>
      <x:c r="EE48" s="100" t="n"/>
      <x:c r="EF48" s="100" t="n"/>
      <x:c r="EG48" s="100" t="n"/>
      <x:c r="EH48" s="100" t="n"/>
      <x:c r="EI48" s="100" t="n"/>
      <x:c r="EJ48" s="100" t="n"/>
      <x:c r="EK48" s="100" t="n"/>
      <x:c r="EL48" s="100" t="n"/>
      <x:c r="EM48" s="100" t="n"/>
      <x:c r="EN48" s="100" t="n"/>
      <x:c r="EO48" s="100" t="n"/>
      <x:c r="EP48" s="100" t="n"/>
      <x:c r="EQ48" s="100" t="n"/>
      <x:c r="ER48" s="100" t="n"/>
      <x:c r="ES48" s="100" t="n"/>
      <x:c r="ET48" s="100" t="n"/>
      <x:c r="EU48" s="100" t="n"/>
      <x:c r="EV48" s="100" t="n"/>
      <x:c r="EW48" s="100" t="n"/>
      <x:c r="EX48" s="100" t="n"/>
      <x:c r="EY48" s="100" t="n"/>
      <x:c r="EZ48" s="100" t="n"/>
      <x:c r="FA48" s="100" t="n"/>
      <x:c r="FB48" s="100" t="n"/>
      <x:c r="FC48" s="100" t="n"/>
      <x:c r="FD48" s="100" t="n"/>
      <x:c r="FE48" s="100" t="n"/>
      <x:c r="FF48" s="100" t="n"/>
      <x:c r="FG48" s="100" t="n"/>
      <x:c r="FH48" s="100" t="n"/>
      <x:c r="FI48" s="100" t="n"/>
      <x:c r="FJ48" s="100" t="n"/>
      <x:c r="FK48" s="100" t="n"/>
      <x:c r="FL48" s="100" t="n"/>
      <x:c r="FM48" s="100" t="n"/>
      <x:c r="FN48" s="100" t="n"/>
      <x:c r="FO48" s="100" t="n"/>
      <x:c r="FP48" s="100" t="n"/>
      <x:c r="FQ48" s="100" t="n"/>
      <x:c r="FR48" s="100" t="n"/>
      <x:c r="FS48" s="100" t="n"/>
      <x:c r="FT48" s="100" t="n"/>
      <x:c r="FU48" s="100" t="n"/>
      <x:c r="FV48" s="100" t="n"/>
      <x:c r="FW48" s="100" t="n"/>
      <x:c r="FX48" s="100" t="n"/>
      <x:c r="FY48" s="100" t="n"/>
      <x:c r="FZ48" s="100" t="n"/>
      <x:c r="GA48" s="100" t="n"/>
      <x:c r="GB48" s="100" t="n"/>
      <x:c r="GC48" s="100" t="n"/>
      <x:c r="GD48" s="100" t="n"/>
      <x:c r="GE48" s="100" t="n"/>
      <x:c r="GF48" s="100" t="n"/>
    </x:row>
    <x:row r="49" s="27" customFormat="1" ht="17.450000762939453" customHeight="1">
      <x:c r="A49" s="125" t="n"/>
      <x:c r="B49" s="39" t="n"/>
      <x:c r="C49" s="86" t="n">
        <x:f>E49*D$5</x:f>
        <x:v>0</x:v>
      </x:c>
      <x:c r="D49" s="109" t="n"/>
      <x:c r="E49" s="36" t="n">
        <x:f>SUM(G49:HT49)</x:f>
        <x:v>0</x:v>
      </x:c>
      <x:c r="F49" s="35" t="n"/>
      <x:c r="G49" s="121" t="n"/>
      <x:c r="H49" s="121" t="n"/>
      <x:c r="I49" s="121" t="n"/>
      <x:c r="J49" s="121" t="n"/>
      <x:c r="K49" s="121" t="n"/>
      <x:c r="L49" s="121" t="n"/>
      <x:c r="M49" s="123" t="n"/>
      <x:c r="N49" s="123" t="n"/>
      <x:c r="O49" s="123" t="n"/>
      <x:c r="P49" s="123" t="n"/>
      <x:c r="Q49" s="123" t="n"/>
      <x:c r="R49" s="123" t="n"/>
      <x:c r="S49" s="123" t="n"/>
      <x:c r="T49" s="123" t="n"/>
      <x:c r="U49" s="123" t="n"/>
      <x:c r="V49" s="123" t="n"/>
      <x:c r="W49" s="123" t="n"/>
      <x:c r="X49" s="123" t="n"/>
      <x:c r="Y49" s="123" t="n"/>
      <x:c r="Z49" s="123" t="n"/>
      <x:c r="AA49" s="123" t="n"/>
      <x:c r="AB49" s="123" t="n"/>
      <x:c r="AC49" s="123" t="n"/>
      <x:c r="AD49" s="123" t="n"/>
      <x:c r="AE49" s="123" t="n"/>
      <x:c r="AF49" s="123" t="n"/>
      <x:c r="AG49" s="123" t="n"/>
      <x:c r="AH49" s="123" t="n"/>
      <x:c r="AI49" s="124" t="n"/>
      <x:c r="AJ49" s="123" t="n"/>
      <x:c r="AK49" s="123" t="n"/>
      <x:c r="AL49" s="123" t="n"/>
      <x:c r="AM49" s="124" t="n"/>
      <x:c r="AN49" s="123" t="n"/>
      <x:c r="AO49" s="123" t="n"/>
      <x:c r="AP49" s="123" t="n"/>
      <x:c r="AQ49" s="123" t="n"/>
      <x:c r="AR49" s="123" t="n"/>
      <x:c r="AS49" s="123" t="n"/>
      <x:c r="AT49" s="123" t="n"/>
      <x:c r="AU49" s="123" t="n"/>
      <x:c r="AV49" s="123" t="n"/>
      <x:c r="AW49" s="123" t="n"/>
      <x:c r="AX49" s="123" t="n"/>
      <x:c r="AY49" s="123" t="n"/>
      <x:c r="AZ49" s="123" t="n"/>
      <x:c r="BA49" s="123" t="n"/>
      <x:c r="BB49" s="123" t="n"/>
      <x:c r="BC49" s="123" t="n"/>
      <x:c r="BD49" s="123" t="n"/>
      <x:c r="BE49" s="123" t="n"/>
      <x:c r="BF49" s="123" t="n"/>
      <x:c r="BG49" s="123" t="n"/>
      <x:c r="BH49" s="123" t="n"/>
      <x:c r="BI49" s="100" t="n"/>
      <x:c r="BJ49" s="100" t="n"/>
      <x:c r="BK49" s="100" t="n"/>
      <x:c r="BL49" s="100" t="n"/>
      <x:c r="BM49" s="100" t="n"/>
      <x:c r="BN49" s="100" t="n"/>
      <x:c r="BO49" s="100" t="n"/>
      <x:c r="BP49" s="100" t="n"/>
      <x:c r="BQ49" s="100" t="n"/>
      <x:c r="BR49" s="100" t="n"/>
      <x:c r="BS49" s="100" t="n"/>
      <x:c r="BT49" s="100" t="n"/>
      <x:c r="BU49" s="100" t="n"/>
      <x:c r="BV49" s="100" t="n"/>
      <x:c r="BW49" s="100" t="n"/>
      <x:c r="BX49" s="100" t="n"/>
      <x:c r="BY49" s="100" t="n"/>
      <x:c r="BZ49" s="100" t="n"/>
      <x:c r="CA49" s="100" t="n"/>
      <x:c r="CB49" s="100" t="n"/>
      <x:c r="CC49" s="100" t="n"/>
      <x:c r="CD49" s="100" t="n"/>
      <x:c r="CE49" s="100" t="n"/>
      <x:c r="CF49" s="100" t="n"/>
      <x:c r="CG49" s="100" t="n"/>
      <x:c r="CH49" s="100" t="n"/>
      <x:c r="CI49" s="100" t="n"/>
      <x:c r="CJ49" s="100" t="n"/>
      <x:c r="CK49" s="100" t="n"/>
      <x:c r="CL49" s="100" t="n"/>
      <x:c r="CM49" s="100" t="n"/>
      <x:c r="CN49" s="100" t="n"/>
      <x:c r="CO49" s="100" t="n"/>
      <x:c r="CP49" s="100" t="n"/>
      <x:c r="CQ49" s="100" t="n"/>
      <x:c r="CR49" s="100" t="n"/>
      <x:c r="CS49" s="100" t="n"/>
      <x:c r="CT49" s="100" t="n"/>
      <x:c r="CU49" s="100" t="n"/>
      <x:c r="CV49" s="100" t="n"/>
      <x:c r="CW49" s="100" t="n"/>
      <x:c r="CX49" s="100" t="n"/>
      <x:c r="CY49" s="100" t="n"/>
      <x:c r="CZ49" s="100" t="n"/>
      <x:c r="DA49" s="100" t="n"/>
      <x:c r="DB49" s="100" t="n"/>
      <x:c r="DC49" s="100" t="n"/>
      <x:c r="DD49" s="100" t="n"/>
      <x:c r="DE49" s="100" t="n"/>
      <x:c r="DF49" s="100" t="n"/>
      <x:c r="DG49" s="100" t="n"/>
      <x:c r="DH49" s="100" t="n"/>
      <x:c r="DI49" s="100" t="n"/>
      <x:c r="DJ49" s="100" t="n"/>
      <x:c r="DK49" s="100" t="n"/>
      <x:c r="DL49" s="100" t="n"/>
      <x:c r="DM49" s="100" t="n"/>
      <x:c r="DN49" s="100" t="n"/>
      <x:c r="DO49" s="100" t="n"/>
      <x:c r="DP49" s="100" t="n"/>
      <x:c r="DQ49" s="100" t="n"/>
      <x:c r="DR49" s="100" t="n"/>
      <x:c r="DS49" s="100" t="n"/>
      <x:c r="DT49" s="100" t="n"/>
      <x:c r="DU49" s="100" t="n"/>
      <x:c r="DV49" s="100" t="n"/>
      <x:c r="DW49" s="100" t="n"/>
      <x:c r="DX49" s="100" t="n"/>
      <x:c r="DY49" s="100" t="n"/>
      <x:c r="DZ49" s="100" t="n"/>
      <x:c r="EA49" s="100" t="n"/>
      <x:c r="EB49" s="100" t="n"/>
      <x:c r="EC49" s="100" t="n"/>
      <x:c r="ED49" s="100" t="n"/>
      <x:c r="EE49" s="100" t="n"/>
      <x:c r="EF49" s="100" t="n"/>
      <x:c r="EG49" s="100" t="n"/>
      <x:c r="EH49" s="100" t="n"/>
      <x:c r="EI49" s="100" t="n"/>
      <x:c r="EJ49" s="100" t="n"/>
      <x:c r="EK49" s="100" t="n"/>
      <x:c r="EL49" s="100" t="n"/>
      <x:c r="EM49" s="100" t="n"/>
      <x:c r="EN49" s="100" t="n"/>
      <x:c r="EO49" s="100" t="n"/>
      <x:c r="EP49" s="100" t="n"/>
      <x:c r="EQ49" s="100" t="n"/>
      <x:c r="ER49" s="100" t="n"/>
      <x:c r="ES49" s="100" t="n"/>
      <x:c r="ET49" s="100" t="n"/>
      <x:c r="EU49" s="100" t="n"/>
      <x:c r="EV49" s="100" t="n"/>
      <x:c r="EW49" s="100" t="n"/>
      <x:c r="EX49" s="100" t="n"/>
      <x:c r="EY49" s="100" t="n"/>
      <x:c r="EZ49" s="100" t="n"/>
      <x:c r="FA49" s="100" t="n"/>
      <x:c r="FB49" s="100" t="n"/>
      <x:c r="FC49" s="100" t="n"/>
      <x:c r="FD49" s="100" t="n"/>
      <x:c r="FE49" s="100" t="n"/>
      <x:c r="FF49" s="100" t="n"/>
      <x:c r="FG49" s="100" t="n"/>
      <x:c r="FH49" s="100" t="n"/>
      <x:c r="FI49" s="100" t="n"/>
      <x:c r="FJ49" s="100" t="n"/>
      <x:c r="FK49" s="100" t="n"/>
      <x:c r="FL49" s="100" t="n"/>
      <x:c r="FM49" s="100" t="n"/>
      <x:c r="FN49" s="100" t="n"/>
      <x:c r="FO49" s="100" t="n"/>
      <x:c r="FP49" s="100" t="n"/>
      <x:c r="FQ49" s="100" t="n"/>
      <x:c r="FR49" s="100" t="n"/>
      <x:c r="FS49" s="100" t="n"/>
      <x:c r="FT49" s="100" t="n"/>
      <x:c r="FU49" s="100" t="n"/>
      <x:c r="FV49" s="100" t="n"/>
      <x:c r="FW49" s="100" t="n"/>
      <x:c r="FX49" s="100" t="n"/>
      <x:c r="FY49" s="100" t="n"/>
      <x:c r="FZ49" s="100" t="n"/>
      <x:c r="GA49" s="100" t="n"/>
      <x:c r="GB49" s="100" t="n"/>
      <x:c r="GC49" s="100" t="n"/>
      <x:c r="GD49" s="100" t="n"/>
      <x:c r="GE49" s="100" t="n"/>
      <x:c r="GF49" s="100" t="n"/>
    </x:row>
    <x:row r="50" s="27" customFormat="1">
      <x:c r="A50" s="125" t="n"/>
      <x:c r="B50" s="39" t="n"/>
      <x:c r="C50" s="36" t="n">
        <x:f>E50*D$5</x:f>
        <x:v>0</x:v>
      </x:c>
      <x:c r="D50" s="104" t="n"/>
      <x:c r="E50" s="36" t="n">
        <x:f>SUM(G50:HT50)</x:f>
        <x:v>0</x:v>
      </x:c>
      <x:c r="F50" s="35" t="n"/>
      <x:c r="G50" s="121" t="n"/>
      <x:c r="H50" s="121" t="n"/>
      <x:c r="I50" s="122" t="n"/>
      <x:c r="J50" s="121" t="n"/>
      <x:c r="K50" s="122" t="n"/>
      <x:c r="L50" s="122" t="n"/>
      <x:c r="M50" s="123" t="n"/>
      <x:c r="N50" s="123" t="n"/>
      <x:c r="O50" s="123" t="n"/>
      <x:c r="P50" s="123" t="n"/>
      <x:c r="Q50" s="123" t="n"/>
      <x:c r="R50" s="123" t="n"/>
      <x:c r="S50" s="123" t="n"/>
      <x:c r="T50" s="123" t="n"/>
      <x:c r="U50" s="123" t="n"/>
      <x:c r="V50" s="123" t="n"/>
      <x:c r="W50" s="123" t="n"/>
      <x:c r="X50" s="123" t="n"/>
      <x:c r="Y50" s="123" t="n"/>
      <x:c r="Z50" s="123" t="n"/>
      <x:c r="AA50" s="123" t="n"/>
      <x:c r="AB50" s="123" t="n"/>
      <x:c r="AC50" s="123" t="n"/>
      <x:c r="AD50" s="123" t="n"/>
      <x:c r="AE50" s="123" t="n"/>
      <x:c r="AF50" s="123" t="n"/>
      <x:c r="AG50" s="123" t="n"/>
      <x:c r="AH50" s="123" t="n"/>
      <x:c r="AI50" s="123" t="n"/>
      <x:c r="AJ50" s="123" t="n"/>
      <x:c r="AK50" s="123" t="n"/>
      <x:c r="AL50" s="123" t="n"/>
      <x:c r="AM50" s="123" t="n"/>
      <x:c r="AN50" s="123" t="n"/>
      <x:c r="AO50" s="123" t="n"/>
      <x:c r="AP50" s="123" t="n"/>
      <x:c r="AQ50" s="123" t="n"/>
      <x:c r="AR50" s="123" t="n"/>
      <x:c r="AS50" s="123" t="n"/>
      <x:c r="AT50" s="123" t="n"/>
      <x:c r="AU50" s="123" t="n"/>
      <x:c r="AV50" s="123" t="n"/>
      <x:c r="AW50" s="123" t="n"/>
      <x:c r="AX50" s="123" t="n"/>
      <x:c r="AY50" s="123" t="n"/>
      <x:c r="AZ50" s="123" t="n"/>
      <x:c r="BA50" s="123" t="n"/>
      <x:c r="BB50" s="123" t="n"/>
      <x:c r="BC50" s="123" t="n"/>
      <x:c r="BD50" s="123" t="n"/>
      <x:c r="BE50" s="123" t="n"/>
      <x:c r="BF50" s="123" t="n"/>
      <x:c r="BG50" s="123" t="n"/>
      <x:c r="BH50" s="123" t="n"/>
      <x:c r="BI50" s="100" t="n"/>
      <x:c r="BJ50" s="100" t="n"/>
      <x:c r="BK50" s="100" t="n"/>
      <x:c r="BL50" s="100" t="n"/>
      <x:c r="BM50" s="100" t="n"/>
      <x:c r="BN50" s="100" t="n"/>
      <x:c r="BO50" s="100" t="n"/>
      <x:c r="BP50" s="100" t="n"/>
      <x:c r="BQ50" s="100" t="n"/>
      <x:c r="BR50" s="100" t="n"/>
      <x:c r="BS50" s="100" t="n"/>
      <x:c r="BT50" s="100" t="n"/>
      <x:c r="BU50" s="100" t="n"/>
      <x:c r="BV50" s="100" t="n"/>
      <x:c r="BW50" s="100" t="n"/>
      <x:c r="BX50" s="100" t="n"/>
      <x:c r="BY50" s="100" t="n"/>
      <x:c r="BZ50" s="100" t="n"/>
      <x:c r="CA50" s="100" t="n"/>
      <x:c r="CB50" s="100" t="n"/>
      <x:c r="CC50" s="100" t="n"/>
      <x:c r="CD50" s="100" t="n"/>
      <x:c r="CE50" s="100" t="n"/>
      <x:c r="CF50" s="100" t="n"/>
      <x:c r="CG50" s="100" t="n"/>
      <x:c r="CH50" s="100" t="n"/>
      <x:c r="CI50" s="100" t="n"/>
      <x:c r="CJ50" s="100" t="n"/>
      <x:c r="CK50" s="100" t="n"/>
      <x:c r="CL50" s="100" t="n"/>
      <x:c r="CM50" s="100" t="n"/>
      <x:c r="CN50" s="100" t="n"/>
      <x:c r="CO50" s="100" t="n"/>
      <x:c r="CP50" s="100" t="n"/>
      <x:c r="CQ50" s="100" t="n"/>
      <x:c r="CR50" s="100" t="n"/>
      <x:c r="CS50" s="100" t="n"/>
      <x:c r="CT50" s="100" t="n"/>
      <x:c r="CU50" s="100" t="n"/>
      <x:c r="CV50" s="100" t="n"/>
      <x:c r="CW50" s="100" t="n"/>
      <x:c r="CX50" s="100" t="n"/>
      <x:c r="CY50" s="100" t="n"/>
      <x:c r="CZ50" s="100" t="n"/>
      <x:c r="DA50" s="100" t="n"/>
      <x:c r="DB50" s="100" t="n"/>
      <x:c r="DC50" s="100" t="n"/>
      <x:c r="DD50" s="100" t="n"/>
      <x:c r="DE50" s="100" t="n"/>
      <x:c r="DF50" s="100" t="n"/>
      <x:c r="DG50" s="100" t="n"/>
      <x:c r="DH50" s="100" t="n"/>
      <x:c r="DI50" s="100" t="n"/>
      <x:c r="DJ50" s="100" t="n"/>
      <x:c r="DK50" s="100" t="n"/>
      <x:c r="DL50" s="100" t="n"/>
      <x:c r="DM50" s="100" t="n"/>
      <x:c r="DN50" s="100" t="n"/>
      <x:c r="DO50" s="100" t="n"/>
      <x:c r="DP50" s="100" t="n"/>
      <x:c r="DQ50" s="100" t="n"/>
      <x:c r="DR50" s="100" t="n"/>
      <x:c r="DS50" s="100" t="n"/>
      <x:c r="DT50" s="100" t="n"/>
      <x:c r="DU50" s="100" t="n"/>
      <x:c r="DV50" s="100" t="n"/>
      <x:c r="DW50" s="100" t="n"/>
      <x:c r="DX50" s="100" t="n"/>
      <x:c r="DY50" s="100" t="n"/>
      <x:c r="DZ50" s="100" t="n"/>
      <x:c r="EA50" s="100" t="n"/>
      <x:c r="EB50" s="100" t="n"/>
      <x:c r="EC50" s="100" t="n"/>
      <x:c r="ED50" s="100" t="n"/>
      <x:c r="EE50" s="100" t="n"/>
      <x:c r="EF50" s="100" t="n"/>
      <x:c r="EG50" s="100" t="n"/>
      <x:c r="EH50" s="100" t="n"/>
      <x:c r="EI50" s="100" t="n"/>
      <x:c r="EJ50" s="100" t="n"/>
      <x:c r="EK50" s="100" t="n"/>
      <x:c r="EL50" s="100" t="n"/>
      <x:c r="EM50" s="100" t="n"/>
      <x:c r="EN50" s="100" t="n"/>
      <x:c r="EO50" s="100" t="n"/>
      <x:c r="EP50" s="100" t="n"/>
      <x:c r="EQ50" s="100" t="n"/>
      <x:c r="ER50" s="100" t="n"/>
      <x:c r="ES50" s="100" t="n"/>
      <x:c r="ET50" s="100" t="n"/>
      <x:c r="EU50" s="100" t="n"/>
      <x:c r="EV50" s="100" t="n"/>
      <x:c r="EW50" s="100" t="n"/>
      <x:c r="EX50" s="100" t="n"/>
      <x:c r="EY50" s="100" t="n"/>
      <x:c r="EZ50" s="100" t="n"/>
      <x:c r="FA50" s="100" t="n"/>
      <x:c r="FB50" s="100" t="n"/>
      <x:c r="FC50" s="100" t="n"/>
      <x:c r="FD50" s="100" t="n"/>
      <x:c r="FE50" s="100" t="n"/>
      <x:c r="FF50" s="100" t="n"/>
      <x:c r="FG50" s="100" t="n"/>
      <x:c r="FH50" s="100" t="n"/>
      <x:c r="FI50" s="100" t="n"/>
      <x:c r="FJ50" s="100" t="n"/>
      <x:c r="FK50" s="100" t="n"/>
      <x:c r="FL50" s="100" t="n"/>
      <x:c r="FM50" s="100" t="n"/>
      <x:c r="FN50" s="100" t="n"/>
      <x:c r="FO50" s="100" t="n"/>
      <x:c r="FP50" s="100" t="n"/>
      <x:c r="FQ50" s="100" t="n"/>
      <x:c r="FR50" s="100" t="n"/>
      <x:c r="FS50" s="100" t="n"/>
      <x:c r="FT50" s="100" t="n"/>
      <x:c r="FU50" s="100" t="n"/>
      <x:c r="FV50" s="100" t="n"/>
      <x:c r="FW50" s="100" t="n"/>
      <x:c r="FX50" s="100" t="n"/>
      <x:c r="FY50" s="100" t="n"/>
      <x:c r="FZ50" s="100" t="n"/>
      <x:c r="GA50" s="100" t="n"/>
      <x:c r="GB50" s="100" t="n"/>
      <x:c r="GC50" s="100" t="n"/>
      <x:c r="GD50" s="100" t="n"/>
      <x:c r="GE50" s="100" t="n"/>
      <x:c r="GF50" s="100" t="n"/>
    </x:row>
    <x:row r="51" s="27" customFormat="1">
      <x:c r="A51" s="125" t="n"/>
      <x:c r="B51" s="39" t="n"/>
      <x:c r="C51" s="36" t="n">
        <x:f>E51*D$5</x:f>
        <x:v>0</x:v>
      </x:c>
      <x:c r="D51" s="103" t="n"/>
      <x:c r="E51" s="36" t="n">
        <x:f>SUM(G51:HT51)</x:f>
        <x:v>0</x:v>
      </x:c>
      <x:c r="F51" s="35" t="n"/>
      <x:c r="G51" s="121" t="n"/>
      <x:c r="H51" s="121" t="n"/>
      <x:c r="I51" s="122" t="n"/>
      <x:c r="J51" s="121" t="n"/>
      <x:c r="K51" s="122" t="n"/>
      <x:c r="L51" s="122" t="n"/>
      <x:c r="M51" s="123" t="n"/>
      <x:c r="N51" s="123" t="n"/>
      <x:c r="O51" s="123" t="n"/>
      <x:c r="P51" s="123" t="n"/>
      <x:c r="Q51" s="123" t="n"/>
      <x:c r="R51" s="123" t="n"/>
      <x:c r="S51" s="123" t="n"/>
      <x:c r="T51" s="123" t="n"/>
      <x:c r="U51" s="123" t="n"/>
      <x:c r="V51" s="123" t="n"/>
      <x:c r="W51" s="123" t="n"/>
      <x:c r="X51" s="123" t="n"/>
      <x:c r="Y51" s="123" t="n"/>
      <x:c r="Z51" s="123" t="n"/>
      <x:c r="AA51" s="123" t="n"/>
      <x:c r="AB51" s="123" t="n"/>
      <x:c r="AC51" s="123" t="n"/>
      <x:c r="AD51" s="123" t="n"/>
      <x:c r="AE51" s="123" t="n"/>
      <x:c r="AF51" s="123" t="n"/>
      <x:c r="AG51" s="123" t="n"/>
      <x:c r="AH51" s="123" t="n"/>
      <x:c r="AI51" s="123" t="n"/>
      <x:c r="AJ51" s="123" t="n"/>
      <x:c r="AK51" s="123" t="n"/>
      <x:c r="AL51" s="123" t="n"/>
      <x:c r="AM51" s="123" t="n"/>
      <x:c r="AN51" s="123" t="n"/>
      <x:c r="AO51" s="123" t="n"/>
      <x:c r="AP51" s="123" t="n"/>
      <x:c r="AQ51" s="123" t="n"/>
      <x:c r="AR51" s="123" t="n"/>
      <x:c r="AS51" s="123" t="n"/>
      <x:c r="AT51" s="123" t="n"/>
      <x:c r="AU51" s="123" t="n"/>
      <x:c r="AV51" s="123" t="n"/>
      <x:c r="AW51" s="123" t="n"/>
      <x:c r="AX51" s="123" t="n"/>
      <x:c r="AY51" s="123" t="n"/>
      <x:c r="AZ51" s="123" t="n"/>
      <x:c r="BA51" s="123" t="n"/>
      <x:c r="BB51" s="123" t="n"/>
      <x:c r="BC51" s="123" t="n"/>
      <x:c r="BD51" s="123" t="n"/>
      <x:c r="BE51" s="123" t="n"/>
      <x:c r="BF51" s="123" t="n"/>
      <x:c r="BG51" s="123" t="n"/>
      <x:c r="BH51" s="123" t="n"/>
      <x:c r="BI51" s="100" t="n"/>
      <x:c r="BJ51" s="100" t="n"/>
      <x:c r="BK51" s="100" t="n"/>
      <x:c r="BL51" s="100" t="n"/>
      <x:c r="BM51" s="100" t="n"/>
      <x:c r="BN51" s="100" t="n"/>
      <x:c r="BO51" s="100" t="n"/>
      <x:c r="BP51" s="100" t="n"/>
      <x:c r="BQ51" s="100" t="n"/>
      <x:c r="BR51" s="100" t="n"/>
      <x:c r="BS51" s="100" t="n"/>
      <x:c r="BT51" s="100" t="n"/>
      <x:c r="BU51" s="100" t="n"/>
      <x:c r="BV51" s="100" t="n"/>
      <x:c r="BW51" s="100" t="n"/>
      <x:c r="BX51" s="100" t="n"/>
      <x:c r="BY51" s="100" t="n"/>
      <x:c r="BZ51" s="100" t="n"/>
      <x:c r="CA51" s="100" t="n"/>
      <x:c r="CB51" s="100" t="n"/>
      <x:c r="CC51" s="100" t="n"/>
      <x:c r="CD51" s="100" t="n"/>
      <x:c r="CE51" s="100" t="n"/>
      <x:c r="CF51" s="100" t="n"/>
      <x:c r="CG51" s="100" t="n"/>
      <x:c r="CH51" s="100" t="n"/>
      <x:c r="CI51" s="100" t="n"/>
      <x:c r="CJ51" s="100" t="n"/>
      <x:c r="CK51" s="100" t="n"/>
      <x:c r="CL51" s="100" t="n"/>
      <x:c r="CM51" s="100" t="n"/>
      <x:c r="CN51" s="100" t="n"/>
      <x:c r="CO51" s="100" t="n"/>
      <x:c r="CP51" s="100" t="n"/>
      <x:c r="CQ51" s="100" t="n"/>
      <x:c r="CR51" s="100" t="n"/>
      <x:c r="CS51" s="100" t="n"/>
      <x:c r="CT51" s="100" t="n"/>
      <x:c r="CU51" s="100" t="n"/>
      <x:c r="CV51" s="100" t="n"/>
      <x:c r="CW51" s="100" t="n"/>
      <x:c r="CX51" s="100" t="n"/>
      <x:c r="CY51" s="100" t="n"/>
      <x:c r="CZ51" s="100" t="n"/>
      <x:c r="DA51" s="100" t="n"/>
      <x:c r="DB51" s="100" t="n"/>
      <x:c r="DC51" s="100" t="n"/>
      <x:c r="DD51" s="100" t="n"/>
      <x:c r="DE51" s="100" t="n"/>
      <x:c r="DF51" s="100" t="n"/>
      <x:c r="DG51" s="100" t="n"/>
      <x:c r="DH51" s="100" t="n"/>
      <x:c r="DI51" s="100" t="n"/>
      <x:c r="DJ51" s="100" t="n"/>
      <x:c r="DK51" s="100" t="n"/>
      <x:c r="DL51" s="100" t="n"/>
      <x:c r="DM51" s="100" t="n"/>
      <x:c r="DN51" s="100" t="n"/>
      <x:c r="DO51" s="100" t="n"/>
      <x:c r="DP51" s="100" t="n"/>
      <x:c r="DQ51" s="100" t="n"/>
      <x:c r="DR51" s="100" t="n"/>
      <x:c r="DS51" s="100" t="n"/>
      <x:c r="DT51" s="100" t="n"/>
      <x:c r="DU51" s="100" t="n"/>
      <x:c r="DV51" s="100" t="n"/>
      <x:c r="DW51" s="100" t="n"/>
      <x:c r="DX51" s="100" t="n"/>
      <x:c r="DY51" s="100" t="n"/>
      <x:c r="DZ51" s="100" t="n"/>
      <x:c r="EA51" s="100" t="n"/>
      <x:c r="EB51" s="100" t="n"/>
      <x:c r="EC51" s="100" t="n"/>
      <x:c r="ED51" s="100" t="n"/>
      <x:c r="EE51" s="100" t="n"/>
      <x:c r="EF51" s="100" t="n"/>
      <x:c r="EG51" s="100" t="n"/>
      <x:c r="EH51" s="100" t="n"/>
      <x:c r="EI51" s="100" t="n"/>
      <x:c r="EJ51" s="100" t="n"/>
      <x:c r="EK51" s="100" t="n"/>
      <x:c r="EL51" s="100" t="n"/>
      <x:c r="EM51" s="100" t="n"/>
      <x:c r="EN51" s="100" t="n"/>
      <x:c r="EO51" s="100" t="n"/>
      <x:c r="EP51" s="100" t="n"/>
      <x:c r="EQ51" s="100" t="n"/>
      <x:c r="ER51" s="100" t="n"/>
      <x:c r="ES51" s="100" t="n"/>
      <x:c r="ET51" s="100" t="n"/>
      <x:c r="EU51" s="100" t="n"/>
      <x:c r="EV51" s="100" t="n"/>
      <x:c r="EW51" s="100" t="n"/>
      <x:c r="EX51" s="100" t="n"/>
      <x:c r="EY51" s="100" t="n"/>
      <x:c r="EZ51" s="100" t="n"/>
      <x:c r="FA51" s="100" t="n"/>
      <x:c r="FB51" s="100" t="n"/>
      <x:c r="FC51" s="100" t="n"/>
      <x:c r="FD51" s="100" t="n"/>
      <x:c r="FE51" s="100" t="n"/>
      <x:c r="FF51" s="100" t="n"/>
      <x:c r="FG51" s="100" t="n"/>
      <x:c r="FH51" s="100" t="n"/>
      <x:c r="FI51" s="100" t="n"/>
      <x:c r="FJ51" s="100" t="n"/>
      <x:c r="FK51" s="100" t="n"/>
      <x:c r="FL51" s="100" t="n"/>
      <x:c r="FM51" s="100" t="n"/>
      <x:c r="FN51" s="100" t="n"/>
      <x:c r="FO51" s="100" t="n"/>
      <x:c r="FP51" s="100" t="n"/>
      <x:c r="FQ51" s="100" t="n"/>
      <x:c r="FR51" s="100" t="n"/>
      <x:c r="FS51" s="100" t="n"/>
      <x:c r="FT51" s="100" t="n"/>
      <x:c r="FU51" s="100" t="n"/>
      <x:c r="FV51" s="100" t="n"/>
      <x:c r="FW51" s="100" t="n"/>
      <x:c r="FX51" s="100" t="n"/>
      <x:c r="FY51" s="100" t="n"/>
      <x:c r="FZ51" s="100" t="n"/>
      <x:c r="GA51" s="100" t="n"/>
      <x:c r="GB51" s="100" t="n"/>
      <x:c r="GC51" s="100" t="n"/>
      <x:c r="GD51" s="100" t="n"/>
      <x:c r="GE51" s="100" t="n"/>
      <x:c r="GF51" s="100" t="n"/>
    </x:row>
    <x:row r="52" s="27" customFormat="1">
      <x:c r="A52" s="125" t="n"/>
      <x:c r="B52" s="39" t="n"/>
      <x:c r="C52" s="86" t="n">
        <x:f>E52*D$5</x:f>
        <x:v>0</x:v>
      </x:c>
      <x:c r="D52" s="103" t="n"/>
      <x:c r="E52" s="86" t="n">
        <x:f>SUM(G52:HT52)</x:f>
        <x:v>0</x:v>
      </x:c>
      <x:c r="F52" s="35" t="n"/>
      <x:c r="G52" s="121" t="n"/>
      <x:c r="H52" s="121" t="n"/>
      <x:c r="I52" s="122" t="n"/>
      <x:c r="J52" s="121" t="n"/>
      <x:c r="K52" s="122" t="n"/>
      <x:c r="L52" s="122" t="n"/>
      <x:c r="M52" s="123" t="n"/>
      <x:c r="N52" s="123" t="n"/>
      <x:c r="O52" s="123" t="n"/>
      <x:c r="P52" s="123" t="n"/>
      <x:c r="Q52" s="123" t="n"/>
      <x:c r="R52" s="123" t="n"/>
      <x:c r="S52" s="123" t="n"/>
      <x:c r="T52" s="123" t="n"/>
      <x:c r="U52" s="123" t="n"/>
      <x:c r="V52" s="123" t="n"/>
      <x:c r="W52" s="123" t="n"/>
      <x:c r="X52" s="123" t="n"/>
      <x:c r="Y52" s="123" t="n"/>
      <x:c r="Z52" s="123" t="n"/>
      <x:c r="AA52" s="123" t="n"/>
      <x:c r="AB52" s="123" t="n"/>
      <x:c r="AC52" s="123" t="n"/>
      <x:c r="AD52" s="123" t="n"/>
      <x:c r="AE52" s="123" t="n"/>
      <x:c r="AF52" s="123" t="n"/>
      <x:c r="AG52" s="123" t="n"/>
      <x:c r="AH52" s="123" t="n"/>
      <x:c r="AI52" s="123" t="n"/>
      <x:c r="AJ52" s="123" t="n"/>
      <x:c r="AK52" s="123" t="n"/>
      <x:c r="AL52" s="123" t="n"/>
      <x:c r="AM52" s="123" t="n"/>
      <x:c r="AN52" s="123" t="n"/>
      <x:c r="AO52" s="123" t="n"/>
      <x:c r="AP52" s="123" t="n"/>
      <x:c r="AQ52" s="123" t="n"/>
      <x:c r="AR52" s="123" t="n"/>
      <x:c r="AS52" s="123" t="n"/>
      <x:c r="AT52" s="123" t="n"/>
      <x:c r="AU52" s="123" t="n"/>
      <x:c r="AV52" s="123" t="n"/>
      <x:c r="AW52" s="123" t="n"/>
      <x:c r="AX52" s="123" t="n"/>
      <x:c r="AY52" s="123" t="n"/>
      <x:c r="AZ52" s="123" t="n"/>
      <x:c r="BA52" s="123" t="n"/>
      <x:c r="BB52" s="123" t="n"/>
      <x:c r="BC52" s="123" t="n"/>
      <x:c r="BD52" s="123" t="n"/>
      <x:c r="BE52" s="123" t="n"/>
      <x:c r="BF52" s="123" t="n"/>
      <x:c r="BG52" s="123" t="n"/>
      <x:c r="BH52" s="123" t="n"/>
      <x:c r="BI52" s="100" t="n"/>
      <x:c r="BJ52" s="100" t="n"/>
      <x:c r="BK52" s="100" t="n"/>
      <x:c r="BL52" s="100" t="n"/>
      <x:c r="BM52" s="100" t="n"/>
      <x:c r="BN52" s="100" t="n"/>
      <x:c r="BO52" s="100" t="n"/>
      <x:c r="BP52" s="100" t="n"/>
      <x:c r="BQ52" s="100" t="n"/>
      <x:c r="BR52" s="100" t="n"/>
      <x:c r="BS52" s="100" t="n"/>
      <x:c r="BT52" s="100" t="n"/>
      <x:c r="BU52" s="100" t="n"/>
      <x:c r="BV52" s="100" t="n"/>
      <x:c r="BW52" s="100" t="n"/>
      <x:c r="BX52" s="100" t="n"/>
      <x:c r="BY52" s="100" t="n"/>
      <x:c r="BZ52" s="100" t="n"/>
      <x:c r="CA52" s="100" t="n"/>
      <x:c r="CB52" s="100" t="n"/>
      <x:c r="CC52" s="100" t="n"/>
      <x:c r="CD52" s="100" t="n"/>
      <x:c r="CE52" s="100" t="n"/>
      <x:c r="CF52" s="100" t="n"/>
      <x:c r="CG52" s="100" t="n"/>
      <x:c r="CH52" s="100" t="n"/>
      <x:c r="CI52" s="100" t="n"/>
      <x:c r="CJ52" s="100" t="n"/>
      <x:c r="CK52" s="100" t="n"/>
      <x:c r="CL52" s="100" t="n"/>
      <x:c r="CM52" s="100" t="n"/>
      <x:c r="CN52" s="100" t="n"/>
      <x:c r="CO52" s="100" t="n"/>
      <x:c r="CP52" s="100" t="n"/>
      <x:c r="CQ52" s="100" t="n"/>
      <x:c r="CR52" s="100" t="n"/>
      <x:c r="CS52" s="100" t="n"/>
      <x:c r="CT52" s="100" t="n"/>
      <x:c r="CU52" s="100" t="n"/>
      <x:c r="CV52" s="100" t="n"/>
      <x:c r="CW52" s="100" t="n"/>
      <x:c r="CX52" s="100" t="n"/>
      <x:c r="CY52" s="100" t="n"/>
      <x:c r="CZ52" s="100" t="n"/>
      <x:c r="DA52" s="100" t="n"/>
      <x:c r="DB52" s="100" t="n"/>
      <x:c r="DC52" s="100" t="n"/>
      <x:c r="DD52" s="100" t="n"/>
      <x:c r="DE52" s="100" t="n"/>
      <x:c r="DF52" s="100" t="n"/>
      <x:c r="DG52" s="100" t="n"/>
      <x:c r="DH52" s="100" t="n"/>
      <x:c r="DI52" s="100" t="n"/>
      <x:c r="DJ52" s="100" t="n"/>
      <x:c r="DK52" s="100" t="n"/>
      <x:c r="DL52" s="100" t="n"/>
      <x:c r="DM52" s="100" t="n"/>
      <x:c r="DN52" s="100" t="n"/>
      <x:c r="DO52" s="100" t="n"/>
      <x:c r="DP52" s="100" t="n"/>
      <x:c r="DQ52" s="100" t="n"/>
      <x:c r="DR52" s="100" t="n"/>
      <x:c r="DS52" s="100" t="n"/>
      <x:c r="DT52" s="100" t="n"/>
      <x:c r="DU52" s="100" t="n"/>
      <x:c r="DV52" s="100" t="n"/>
      <x:c r="DW52" s="100" t="n"/>
      <x:c r="DX52" s="100" t="n"/>
      <x:c r="DY52" s="100" t="n"/>
      <x:c r="DZ52" s="100" t="n"/>
      <x:c r="EA52" s="100" t="n"/>
      <x:c r="EB52" s="100" t="n"/>
      <x:c r="EC52" s="100" t="n"/>
      <x:c r="ED52" s="100" t="n"/>
      <x:c r="EE52" s="100" t="n"/>
      <x:c r="EF52" s="100" t="n"/>
      <x:c r="EG52" s="100" t="n"/>
      <x:c r="EH52" s="100" t="n"/>
      <x:c r="EI52" s="100" t="n"/>
      <x:c r="EJ52" s="100" t="n"/>
      <x:c r="EK52" s="100" t="n"/>
      <x:c r="EL52" s="100" t="n"/>
      <x:c r="EM52" s="100" t="n"/>
      <x:c r="EN52" s="100" t="n"/>
      <x:c r="EO52" s="100" t="n"/>
      <x:c r="EP52" s="100" t="n"/>
      <x:c r="EQ52" s="100" t="n"/>
      <x:c r="ER52" s="100" t="n"/>
      <x:c r="ES52" s="100" t="n"/>
      <x:c r="ET52" s="100" t="n"/>
      <x:c r="EU52" s="100" t="n"/>
      <x:c r="EV52" s="100" t="n"/>
      <x:c r="EW52" s="100" t="n"/>
      <x:c r="EX52" s="100" t="n"/>
      <x:c r="EY52" s="100" t="n"/>
      <x:c r="EZ52" s="100" t="n"/>
      <x:c r="FA52" s="100" t="n"/>
      <x:c r="FB52" s="100" t="n"/>
      <x:c r="FC52" s="100" t="n"/>
      <x:c r="FD52" s="100" t="n"/>
      <x:c r="FE52" s="100" t="n"/>
      <x:c r="FF52" s="100" t="n"/>
      <x:c r="FG52" s="100" t="n"/>
      <x:c r="FH52" s="100" t="n"/>
      <x:c r="FI52" s="100" t="n"/>
      <x:c r="FJ52" s="100" t="n"/>
      <x:c r="FK52" s="100" t="n"/>
      <x:c r="FL52" s="100" t="n"/>
      <x:c r="FM52" s="100" t="n"/>
      <x:c r="FN52" s="100" t="n"/>
      <x:c r="FO52" s="100" t="n"/>
      <x:c r="FP52" s="100" t="n"/>
      <x:c r="FQ52" s="100" t="n"/>
      <x:c r="FR52" s="100" t="n"/>
      <x:c r="FS52" s="100" t="n"/>
      <x:c r="FT52" s="100" t="n"/>
      <x:c r="FU52" s="100" t="n"/>
      <x:c r="FV52" s="100" t="n"/>
      <x:c r="FW52" s="100" t="n"/>
      <x:c r="FX52" s="100" t="n"/>
      <x:c r="FY52" s="100" t="n"/>
      <x:c r="FZ52" s="100" t="n"/>
      <x:c r="GA52" s="100" t="n"/>
      <x:c r="GB52" s="100" t="n"/>
      <x:c r="GC52" s="100" t="n"/>
      <x:c r="GD52" s="100" t="n"/>
      <x:c r="GE52" s="100" t="n"/>
      <x:c r="GF52" s="100" t="n"/>
    </x:row>
    <x:row r="53" s="27" customFormat="1">
      <x:c r="A53" s="125" t="n"/>
      <x:c r="B53" s="39" t="n"/>
      <x:c r="C53" s="86" t="n">
        <x:f>E53*D$5</x:f>
        <x:v>0</x:v>
      </x:c>
      <x:c r="D53" s="104" t="n"/>
      <x:c r="E53" s="86" t="n">
        <x:f>SUM(G53:HT53)</x:f>
        <x:v>0</x:v>
      </x:c>
      <x:c r="F53" s="35" t="n"/>
      <x:c r="G53" s="121" t="n"/>
      <x:c r="H53" s="121" t="n"/>
      <x:c r="I53" s="122" t="n"/>
      <x:c r="J53" s="121" t="n"/>
      <x:c r="K53" s="122" t="n"/>
      <x:c r="L53" s="122" t="n"/>
      <x:c r="M53" s="123" t="n"/>
      <x:c r="N53" s="123" t="n"/>
      <x:c r="O53" s="123" t="n"/>
      <x:c r="P53" s="123" t="n"/>
      <x:c r="Q53" s="123" t="n"/>
      <x:c r="R53" s="123" t="n"/>
      <x:c r="S53" s="123" t="n"/>
      <x:c r="T53" s="123" t="n"/>
      <x:c r="U53" s="123" t="n"/>
      <x:c r="V53" s="123" t="n"/>
      <x:c r="W53" s="123" t="n"/>
      <x:c r="X53" s="123" t="n"/>
      <x:c r="Y53" s="123" t="n"/>
      <x:c r="Z53" s="123" t="n"/>
      <x:c r="AA53" s="123" t="n"/>
      <x:c r="AB53" s="123" t="n"/>
      <x:c r="AC53" s="123" t="n"/>
      <x:c r="AD53" s="123" t="n"/>
      <x:c r="AE53" s="123" t="n"/>
      <x:c r="AF53" s="123" t="n"/>
      <x:c r="AG53" s="123" t="n"/>
      <x:c r="AH53" s="123" t="n"/>
      <x:c r="AI53" s="123" t="n"/>
      <x:c r="AJ53" s="123" t="n"/>
      <x:c r="AK53" s="123" t="n"/>
      <x:c r="AL53" s="123" t="n"/>
      <x:c r="AM53" s="123" t="n"/>
      <x:c r="AN53" s="123" t="n"/>
      <x:c r="AO53" s="123" t="n"/>
      <x:c r="AP53" s="123" t="n"/>
      <x:c r="AQ53" s="123" t="n"/>
      <x:c r="AR53" s="123" t="n"/>
      <x:c r="AS53" s="123" t="n"/>
      <x:c r="AT53" s="123" t="n"/>
      <x:c r="AU53" s="123" t="n"/>
      <x:c r="AV53" s="123" t="n"/>
      <x:c r="AW53" s="123" t="n"/>
      <x:c r="AX53" s="123" t="n"/>
      <x:c r="AY53" s="123" t="n"/>
      <x:c r="AZ53" s="123" t="n"/>
      <x:c r="BA53" s="123" t="n"/>
      <x:c r="BB53" s="123" t="n"/>
      <x:c r="BC53" s="123" t="n"/>
      <x:c r="BD53" s="123" t="n"/>
      <x:c r="BE53" s="123" t="n"/>
      <x:c r="BF53" s="123" t="n"/>
      <x:c r="BG53" s="123" t="n"/>
      <x:c r="BH53" s="123" t="n"/>
      <x:c r="BI53" s="100" t="n"/>
      <x:c r="BJ53" s="100" t="n"/>
      <x:c r="BK53" s="100" t="n"/>
      <x:c r="BL53" s="100" t="n"/>
      <x:c r="BM53" s="100" t="n"/>
      <x:c r="BN53" s="100" t="n"/>
      <x:c r="BO53" s="100" t="n"/>
      <x:c r="BP53" s="100" t="n"/>
      <x:c r="BQ53" s="100" t="n"/>
      <x:c r="BR53" s="100" t="n"/>
      <x:c r="BS53" s="100" t="n"/>
      <x:c r="BT53" s="100" t="n"/>
      <x:c r="BU53" s="100" t="n"/>
      <x:c r="BV53" s="100" t="n"/>
      <x:c r="BW53" s="100" t="n"/>
      <x:c r="BX53" s="100" t="n"/>
      <x:c r="BY53" s="100" t="n"/>
      <x:c r="BZ53" s="100" t="n"/>
      <x:c r="CA53" s="100" t="n"/>
      <x:c r="CB53" s="100" t="n"/>
      <x:c r="CC53" s="100" t="n"/>
      <x:c r="CD53" s="100" t="n"/>
      <x:c r="CE53" s="100" t="n"/>
      <x:c r="CF53" s="100" t="n"/>
      <x:c r="CG53" s="100" t="n"/>
      <x:c r="CH53" s="100" t="n"/>
      <x:c r="CI53" s="100" t="n"/>
      <x:c r="CJ53" s="100" t="n"/>
      <x:c r="CK53" s="100" t="n"/>
      <x:c r="CL53" s="100" t="n"/>
      <x:c r="CM53" s="100" t="n"/>
      <x:c r="CN53" s="100" t="n"/>
      <x:c r="CO53" s="100" t="n"/>
      <x:c r="CP53" s="100" t="n"/>
      <x:c r="CQ53" s="100" t="n"/>
      <x:c r="CR53" s="100" t="n"/>
      <x:c r="CS53" s="100" t="n"/>
      <x:c r="CT53" s="100" t="n"/>
      <x:c r="CU53" s="100" t="n"/>
      <x:c r="CV53" s="100" t="n"/>
      <x:c r="CW53" s="100" t="n"/>
      <x:c r="CX53" s="100" t="n"/>
      <x:c r="CY53" s="100" t="n"/>
      <x:c r="CZ53" s="100" t="n"/>
      <x:c r="DA53" s="100" t="n"/>
      <x:c r="DB53" s="100" t="n"/>
      <x:c r="DC53" s="100" t="n"/>
      <x:c r="DD53" s="100" t="n"/>
      <x:c r="DE53" s="100" t="n"/>
      <x:c r="DF53" s="100" t="n"/>
      <x:c r="DG53" s="100" t="n"/>
      <x:c r="DH53" s="100" t="n"/>
      <x:c r="DI53" s="100" t="n"/>
      <x:c r="DJ53" s="100" t="n"/>
      <x:c r="DK53" s="100" t="n"/>
      <x:c r="DL53" s="100" t="n"/>
      <x:c r="DM53" s="100" t="n"/>
      <x:c r="DN53" s="100" t="n"/>
      <x:c r="DO53" s="100" t="n"/>
      <x:c r="DP53" s="100" t="n"/>
      <x:c r="DQ53" s="100" t="n"/>
      <x:c r="DR53" s="100" t="n"/>
      <x:c r="DS53" s="100" t="n"/>
      <x:c r="DT53" s="100" t="n"/>
      <x:c r="DU53" s="100" t="n"/>
      <x:c r="DV53" s="100" t="n"/>
      <x:c r="DW53" s="100" t="n"/>
      <x:c r="DX53" s="100" t="n"/>
      <x:c r="DY53" s="100" t="n"/>
      <x:c r="DZ53" s="100" t="n"/>
      <x:c r="EA53" s="100" t="n"/>
      <x:c r="EB53" s="100" t="n"/>
      <x:c r="EC53" s="100" t="n"/>
      <x:c r="ED53" s="100" t="n"/>
      <x:c r="EE53" s="100" t="n"/>
      <x:c r="EF53" s="100" t="n"/>
      <x:c r="EG53" s="100" t="n"/>
      <x:c r="EH53" s="100" t="n"/>
      <x:c r="EI53" s="100" t="n"/>
      <x:c r="EJ53" s="100" t="n"/>
      <x:c r="EK53" s="100" t="n"/>
      <x:c r="EL53" s="100" t="n"/>
      <x:c r="EM53" s="100" t="n"/>
      <x:c r="EN53" s="100" t="n"/>
      <x:c r="EO53" s="100" t="n"/>
      <x:c r="EP53" s="100" t="n"/>
      <x:c r="EQ53" s="100" t="n"/>
      <x:c r="ER53" s="100" t="n"/>
      <x:c r="ES53" s="100" t="n"/>
      <x:c r="ET53" s="100" t="n"/>
      <x:c r="EU53" s="100" t="n"/>
      <x:c r="EV53" s="100" t="n"/>
      <x:c r="EW53" s="100" t="n"/>
      <x:c r="EX53" s="100" t="n"/>
      <x:c r="EY53" s="100" t="n"/>
      <x:c r="EZ53" s="100" t="n"/>
      <x:c r="FA53" s="100" t="n"/>
      <x:c r="FB53" s="100" t="n"/>
      <x:c r="FC53" s="100" t="n"/>
      <x:c r="FD53" s="100" t="n"/>
      <x:c r="FE53" s="100" t="n"/>
      <x:c r="FF53" s="100" t="n"/>
      <x:c r="FG53" s="100" t="n"/>
      <x:c r="FH53" s="100" t="n"/>
      <x:c r="FI53" s="100" t="n"/>
      <x:c r="FJ53" s="100" t="n"/>
      <x:c r="FK53" s="100" t="n"/>
      <x:c r="FL53" s="100" t="n"/>
      <x:c r="FM53" s="100" t="n"/>
      <x:c r="FN53" s="100" t="n"/>
      <x:c r="FO53" s="100" t="n"/>
      <x:c r="FP53" s="100" t="n"/>
      <x:c r="FQ53" s="100" t="n"/>
      <x:c r="FR53" s="100" t="n"/>
      <x:c r="FS53" s="100" t="n"/>
      <x:c r="FT53" s="100" t="n"/>
      <x:c r="FU53" s="100" t="n"/>
      <x:c r="FV53" s="100" t="n"/>
      <x:c r="FW53" s="100" t="n"/>
      <x:c r="FX53" s="100" t="n"/>
      <x:c r="FY53" s="100" t="n"/>
      <x:c r="FZ53" s="100" t="n"/>
      <x:c r="GA53" s="100" t="n"/>
      <x:c r="GB53" s="100" t="n"/>
      <x:c r="GC53" s="100" t="n"/>
      <x:c r="GD53" s="100" t="n"/>
      <x:c r="GE53" s="100" t="n"/>
      <x:c r="GF53" s="100" t="n"/>
    </x:row>
    <x:row r="54" s="27" customFormat="1">
      <x:c r="A54" s="125" t="n"/>
      <x:c r="B54" s="39" t="n"/>
      <x:c r="C54" s="36" t="n">
        <x:f>E54*D$5</x:f>
        <x:v>0</x:v>
      </x:c>
      <x:c r="D54" s="523" t="n"/>
      <x:c r="E54" s="36" t="n">
        <x:f>SUM(G54:HT54)</x:f>
        <x:v>0</x:v>
      </x:c>
      <x:c r="F54" s="35" t="n"/>
      <x:c r="G54" s="121" t="n"/>
      <x:c r="H54" s="121" t="n"/>
      <x:c r="I54" s="122" t="n"/>
      <x:c r="J54" s="121" t="n"/>
      <x:c r="K54" s="122" t="n"/>
      <x:c r="L54" s="122" t="n"/>
      <x:c r="M54" s="123" t="n"/>
      <x:c r="N54" s="123" t="n"/>
      <x:c r="O54" s="123" t="n"/>
      <x:c r="P54" s="123" t="n"/>
      <x:c r="Q54" s="123" t="n"/>
      <x:c r="R54" s="123" t="n"/>
      <x:c r="S54" s="123" t="n"/>
      <x:c r="T54" s="123" t="n"/>
      <x:c r="U54" s="123" t="n"/>
      <x:c r="V54" s="123" t="n"/>
      <x:c r="W54" s="123" t="n"/>
      <x:c r="X54" s="123" t="n"/>
      <x:c r="Y54" s="123" t="n"/>
      <x:c r="Z54" s="123" t="n"/>
      <x:c r="AA54" s="123" t="n"/>
      <x:c r="AB54" s="123" t="n"/>
      <x:c r="AC54" s="123" t="n"/>
      <x:c r="AD54" s="123" t="n"/>
      <x:c r="AE54" s="123" t="n"/>
      <x:c r="AF54" s="123" t="n"/>
      <x:c r="AG54" s="123" t="n"/>
      <x:c r="AH54" s="123" t="n"/>
      <x:c r="AI54" s="123" t="n"/>
      <x:c r="AJ54" s="123" t="n"/>
      <x:c r="AK54" s="123" t="n"/>
      <x:c r="AL54" s="123" t="n"/>
      <x:c r="AM54" s="123" t="n"/>
      <x:c r="AN54" s="123" t="n"/>
      <x:c r="AO54" s="123" t="n"/>
      <x:c r="AP54" s="123" t="n"/>
      <x:c r="AQ54" s="123" t="n"/>
      <x:c r="AR54" s="123" t="n"/>
      <x:c r="AS54" s="123" t="n"/>
      <x:c r="AT54" s="123" t="n"/>
      <x:c r="AU54" s="123" t="n"/>
      <x:c r="AV54" s="123" t="n"/>
      <x:c r="AW54" s="123" t="n"/>
      <x:c r="AX54" s="123" t="n"/>
      <x:c r="AY54" s="123" t="n"/>
      <x:c r="AZ54" s="123" t="n"/>
      <x:c r="BA54" s="123" t="n"/>
      <x:c r="BB54" s="123" t="n"/>
      <x:c r="BC54" s="123" t="n"/>
      <x:c r="BD54" s="123" t="n"/>
      <x:c r="BE54" s="123" t="n"/>
      <x:c r="BF54" s="123" t="n"/>
      <x:c r="BG54" s="123" t="n"/>
      <x:c r="BH54" s="123" t="n"/>
      <x:c r="BI54" s="100" t="n"/>
      <x:c r="BJ54" s="100" t="n"/>
      <x:c r="BK54" s="100" t="n"/>
      <x:c r="BL54" s="100" t="n"/>
      <x:c r="BM54" s="100" t="n"/>
      <x:c r="BN54" s="100" t="n"/>
      <x:c r="BO54" s="100" t="n"/>
      <x:c r="BP54" s="100" t="n"/>
      <x:c r="BQ54" s="100" t="n"/>
      <x:c r="BR54" s="100" t="n"/>
      <x:c r="BS54" s="100" t="n"/>
      <x:c r="BT54" s="100" t="n"/>
      <x:c r="BU54" s="100" t="n"/>
      <x:c r="BV54" s="100" t="n"/>
      <x:c r="BW54" s="100" t="n"/>
      <x:c r="BX54" s="100" t="n"/>
      <x:c r="BY54" s="100" t="n"/>
      <x:c r="BZ54" s="100" t="n"/>
      <x:c r="CA54" s="100" t="n"/>
      <x:c r="CB54" s="100" t="n"/>
      <x:c r="CC54" s="100" t="n"/>
      <x:c r="CD54" s="100" t="n"/>
      <x:c r="CE54" s="100" t="n"/>
      <x:c r="CF54" s="100" t="n"/>
      <x:c r="CG54" s="100" t="n"/>
      <x:c r="CH54" s="100" t="n"/>
      <x:c r="CI54" s="100" t="n"/>
      <x:c r="CJ54" s="100" t="n"/>
      <x:c r="CK54" s="100" t="n"/>
      <x:c r="CL54" s="100" t="n"/>
      <x:c r="CM54" s="100" t="n"/>
      <x:c r="CN54" s="100" t="n"/>
      <x:c r="CO54" s="100" t="n"/>
      <x:c r="CP54" s="100" t="n"/>
      <x:c r="CQ54" s="100" t="n"/>
      <x:c r="CR54" s="100" t="n"/>
      <x:c r="CS54" s="100" t="n"/>
      <x:c r="CT54" s="100" t="n"/>
      <x:c r="CU54" s="100" t="n"/>
      <x:c r="CV54" s="100" t="n"/>
      <x:c r="CW54" s="100" t="n"/>
      <x:c r="CX54" s="100" t="n"/>
      <x:c r="CY54" s="100" t="n"/>
      <x:c r="CZ54" s="100" t="n"/>
      <x:c r="DA54" s="100" t="n"/>
      <x:c r="DB54" s="100" t="n"/>
      <x:c r="DC54" s="100" t="n"/>
      <x:c r="DD54" s="100" t="n"/>
      <x:c r="DE54" s="100" t="n"/>
      <x:c r="DF54" s="100" t="n"/>
      <x:c r="DG54" s="100" t="n"/>
      <x:c r="DH54" s="100" t="n"/>
      <x:c r="DI54" s="100" t="n"/>
      <x:c r="DJ54" s="100" t="n"/>
      <x:c r="DK54" s="100" t="n"/>
      <x:c r="DL54" s="100" t="n"/>
      <x:c r="DM54" s="100" t="n"/>
      <x:c r="DN54" s="100" t="n"/>
      <x:c r="DO54" s="100" t="n"/>
      <x:c r="DP54" s="100" t="n"/>
      <x:c r="DQ54" s="100" t="n"/>
      <x:c r="DR54" s="100" t="n"/>
      <x:c r="DS54" s="100" t="n"/>
      <x:c r="DT54" s="100" t="n"/>
      <x:c r="DU54" s="100" t="n"/>
      <x:c r="DV54" s="100" t="n"/>
      <x:c r="DW54" s="100" t="n"/>
      <x:c r="DX54" s="100" t="n"/>
      <x:c r="DY54" s="100" t="n"/>
      <x:c r="DZ54" s="100" t="n"/>
      <x:c r="EA54" s="100" t="n"/>
      <x:c r="EB54" s="100" t="n"/>
      <x:c r="EC54" s="100" t="n"/>
      <x:c r="ED54" s="100" t="n"/>
      <x:c r="EE54" s="100" t="n"/>
      <x:c r="EF54" s="100" t="n"/>
      <x:c r="EG54" s="100" t="n"/>
      <x:c r="EH54" s="100" t="n"/>
      <x:c r="EI54" s="100" t="n"/>
      <x:c r="EJ54" s="100" t="n"/>
      <x:c r="EK54" s="100" t="n"/>
      <x:c r="EL54" s="100" t="n"/>
      <x:c r="EM54" s="100" t="n"/>
      <x:c r="EN54" s="100" t="n"/>
      <x:c r="EO54" s="100" t="n"/>
      <x:c r="EP54" s="100" t="n"/>
      <x:c r="EQ54" s="100" t="n"/>
      <x:c r="ER54" s="100" t="n"/>
      <x:c r="ES54" s="100" t="n"/>
      <x:c r="ET54" s="100" t="n"/>
      <x:c r="EU54" s="100" t="n"/>
      <x:c r="EV54" s="100" t="n"/>
      <x:c r="EW54" s="100" t="n"/>
      <x:c r="EX54" s="100" t="n"/>
      <x:c r="EY54" s="100" t="n"/>
      <x:c r="EZ54" s="100" t="n"/>
      <x:c r="FA54" s="100" t="n"/>
      <x:c r="FB54" s="100" t="n"/>
      <x:c r="FC54" s="100" t="n"/>
      <x:c r="FD54" s="100" t="n"/>
      <x:c r="FE54" s="100" t="n"/>
      <x:c r="FF54" s="100" t="n"/>
      <x:c r="FG54" s="100" t="n"/>
      <x:c r="FH54" s="100" t="n"/>
      <x:c r="FI54" s="100" t="n"/>
      <x:c r="FJ54" s="100" t="n"/>
      <x:c r="FK54" s="100" t="n"/>
      <x:c r="FL54" s="100" t="n"/>
      <x:c r="FM54" s="100" t="n"/>
      <x:c r="FN54" s="100" t="n"/>
      <x:c r="FO54" s="100" t="n"/>
      <x:c r="FP54" s="100" t="n"/>
      <x:c r="FQ54" s="100" t="n"/>
      <x:c r="FR54" s="100" t="n"/>
      <x:c r="FS54" s="100" t="n"/>
      <x:c r="FT54" s="100" t="n"/>
      <x:c r="FU54" s="100" t="n"/>
      <x:c r="FV54" s="100" t="n"/>
      <x:c r="FW54" s="100" t="n"/>
      <x:c r="FX54" s="100" t="n"/>
      <x:c r="FY54" s="100" t="n"/>
      <x:c r="FZ54" s="100" t="n"/>
      <x:c r="GA54" s="100" t="n"/>
      <x:c r="GB54" s="100" t="n"/>
      <x:c r="GC54" s="100" t="n"/>
      <x:c r="GD54" s="100" t="n"/>
      <x:c r="GE54" s="100" t="n"/>
      <x:c r="GF54" s="100" t="n"/>
    </x:row>
    <x:row r="55" s="27" customFormat="1" ht="17.450000762939453" customHeight="1">
      <x:c r="A55" s="125" t="n"/>
      <x:c r="B55" s="39" t="n"/>
      <x:c r="C55" s="36" t="n">
        <x:f>E55*D$5</x:f>
        <x:v>0</x:v>
      </x:c>
      <x:c r="D55" s="87" t="n"/>
      <x:c r="E55" s="36" t="n">
        <x:f>SUM(G55:HT55)</x:f>
        <x:v>0</x:v>
      </x:c>
      <x:c r="F55" s="35" t="n"/>
      <x:c r="G55" s="121" t="n"/>
      <x:c r="H55" s="121" t="n"/>
      <x:c r="I55" s="121" t="n"/>
      <x:c r="J55" s="121" t="n"/>
      <x:c r="K55" s="121" t="n"/>
      <x:c r="L55" s="121" t="n"/>
      <x:c r="M55" s="123" t="n"/>
      <x:c r="N55" s="123" t="n"/>
      <x:c r="O55" s="123" t="n"/>
      <x:c r="P55" s="123" t="n"/>
      <x:c r="Q55" s="123" t="n"/>
      <x:c r="R55" s="123" t="n"/>
      <x:c r="S55" s="123" t="n"/>
      <x:c r="T55" s="123" t="n"/>
      <x:c r="U55" s="123" t="n"/>
      <x:c r="V55" s="123" t="n"/>
      <x:c r="W55" s="123" t="n"/>
      <x:c r="X55" s="123" t="n"/>
      <x:c r="Y55" s="123" t="n"/>
      <x:c r="Z55" s="123" t="n"/>
      <x:c r="AA55" s="123" t="n"/>
      <x:c r="AB55" s="123" t="n"/>
      <x:c r="AC55" s="123" t="n"/>
      <x:c r="AD55" s="123" t="n"/>
      <x:c r="AE55" s="123" t="n"/>
      <x:c r="AF55" s="123" t="n"/>
      <x:c r="AG55" s="123" t="n"/>
      <x:c r="AH55" s="123" t="n"/>
      <x:c r="AI55" s="123" t="n"/>
      <x:c r="AJ55" s="123" t="n"/>
      <x:c r="AK55" s="123" t="n"/>
      <x:c r="AL55" s="123" t="n"/>
      <x:c r="AM55" s="123" t="n"/>
      <x:c r="AN55" s="123" t="n"/>
      <x:c r="AO55" s="123" t="n"/>
      <x:c r="AP55" s="123" t="n"/>
      <x:c r="AQ55" s="123" t="n"/>
      <x:c r="AR55" s="123" t="n"/>
      <x:c r="AS55" s="123" t="n"/>
      <x:c r="AT55" s="123" t="n"/>
      <x:c r="AU55" s="123" t="n"/>
      <x:c r="AV55" s="124" t="n"/>
      <x:c r="AW55" s="123" t="n"/>
      <x:c r="AX55" s="123" t="n"/>
      <x:c r="AY55" s="123" t="n"/>
      <x:c r="AZ55" s="123" t="n"/>
      <x:c r="BA55" s="123" t="n"/>
      <x:c r="BB55" s="123" t="n"/>
      <x:c r="BC55" s="123" t="n"/>
      <x:c r="BD55" s="123" t="n"/>
      <x:c r="BE55" s="123" t="n"/>
      <x:c r="BF55" s="124" t="n"/>
      <x:c r="BG55" s="123" t="n"/>
      <x:c r="BH55" s="123" t="n"/>
      <x:c r="BI55" s="100" t="n"/>
      <x:c r="BJ55" s="100" t="n"/>
      <x:c r="BK55" s="100" t="n"/>
      <x:c r="BL55" s="100" t="n"/>
      <x:c r="BM55" s="100" t="n"/>
      <x:c r="BN55" s="100" t="n"/>
      <x:c r="BO55" s="100" t="n"/>
      <x:c r="BP55" s="100" t="n"/>
      <x:c r="BQ55" s="100" t="n"/>
      <x:c r="BR55" s="100" t="n"/>
      <x:c r="BS55" s="100" t="n"/>
      <x:c r="BT55" s="100" t="n"/>
      <x:c r="BU55" s="100" t="n"/>
      <x:c r="BV55" s="100" t="n"/>
      <x:c r="BW55" s="100" t="n"/>
      <x:c r="BX55" s="100" t="n"/>
      <x:c r="BY55" s="100" t="n"/>
      <x:c r="BZ55" s="100" t="n"/>
      <x:c r="CA55" s="100" t="n"/>
      <x:c r="CB55" s="100" t="n"/>
      <x:c r="CC55" s="100" t="n"/>
      <x:c r="CD55" s="100" t="n"/>
      <x:c r="CE55" s="100" t="n"/>
      <x:c r="CF55" s="100" t="n"/>
      <x:c r="CG55" s="100" t="n"/>
      <x:c r="CH55" s="100" t="n"/>
      <x:c r="CI55" s="100" t="n"/>
      <x:c r="CJ55" s="100" t="n"/>
      <x:c r="CK55" s="100" t="n"/>
      <x:c r="CL55" s="100" t="n"/>
      <x:c r="CM55" s="100" t="n"/>
      <x:c r="CN55" s="100" t="n"/>
      <x:c r="CO55" s="100" t="n"/>
      <x:c r="CP55" s="100" t="n"/>
      <x:c r="CQ55" s="100" t="n"/>
      <x:c r="CR55" s="100" t="n"/>
      <x:c r="CS55" s="100" t="n"/>
      <x:c r="CT55" s="100" t="n"/>
      <x:c r="CU55" s="100" t="n"/>
      <x:c r="CV55" s="100" t="n"/>
      <x:c r="CW55" s="100" t="n"/>
      <x:c r="CX55" s="100" t="n"/>
      <x:c r="CY55" s="100" t="n"/>
      <x:c r="CZ55" s="100" t="n"/>
      <x:c r="DA55" s="100" t="n"/>
      <x:c r="DB55" s="100" t="n"/>
      <x:c r="DC55" s="100" t="n"/>
      <x:c r="DD55" s="100" t="n"/>
      <x:c r="DE55" s="100" t="n"/>
      <x:c r="DF55" s="100" t="n"/>
      <x:c r="DG55" s="100" t="n"/>
      <x:c r="DH55" s="100" t="n"/>
      <x:c r="DI55" s="100" t="n"/>
      <x:c r="DJ55" s="100" t="n"/>
      <x:c r="DK55" s="100" t="n"/>
      <x:c r="DL55" s="100" t="n"/>
      <x:c r="DM55" s="100" t="n"/>
      <x:c r="DN55" s="100" t="n"/>
      <x:c r="DO55" s="100" t="n"/>
      <x:c r="DP55" s="100" t="n"/>
      <x:c r="DQ55" s="100" t="n"/>
      <x:c r="DR55" s="100" t="n"/>
      <x:c r="DS55" s="100" t="n"/>
      <x:c r="DT55" s="100" t="n"/>
      <x:c r="DU55" s="100" t="n"/>
      <x:c r="DV55" s="100" t="n"/>
      <x:c r="DW55" s="100" t="n"/>
      <x:c r="DX55" s="100" t="n"/>
      <x:c r="DY55" s="100" t="n"/>
      <x:c r="DZ55" s="100" t="n"/>
      <x:c r="EA55" s="100" t="n"/>
      <x:c r="EB55" s="100" t="n"/>
      <x:c r="EC55" s="100" t="n"/>
      <x:c r="ED55" s="100" t="n"/>
      <x:c r="EE55" s="100" t="n"/>
      <x:c r="EF55" s="100" t="n"/>
      <x:c r="EG55" s="100" t="n"/>
      <x:c r="EH55" s="100" t="n"/>
      <x:c r="EI55" s="100" t="n"/>
      <x:c r="EJ55" s="100" t="n"/>
      <x:c r="EK55" s="100" t="n"/>
      <x:c r="EL55" s="100" t="n"/>
      <x:c r="EM55" s="100" t="n"/>
      <x:c r="EN55" s="100" t="n"/>
      <x:c r="EO55" s="100" t="n"/>
      <x:c r="EP55" s="100" t="n"/>
      <x:c r="EQ55" s="100" t="n"/>
      <x:c r="ER55" s="100" t="n"/>
      <x:c r="ES55" s="100" t="n"/>
      <x:c r="ET55" s="100" t="n"/>
      <x:c r="EU55" s="100" t="n"/>
      <x:c r="EV55" s="100" t="n"/>
      <x:c r="EW55" s="100" t="n"/>
      <x:c r="EX55" s="100" t="n"/>
      <x:c r="EY55" s="100" t="n"/>
      <x:c r="EZ55" s="100" t="n"/>
      <x:c r="FA55" s="100" t="n"/>
      <x:c r="FB55" s="100" t="n"/>
      <x:c r="FC55" s="100" t="n"/>
      <x:c r="FD55" s="100" t="n"/>
      <x:c r="FE55" s="100" t="n"/>
      <x:c r="FF55" s="100" t="n"/>
      <x:c r="FG55" s="100" t="n"/>
      <x:c r="FH55" s="100" t="n"/>
      <x:c r="FI55" s="100" t="n"/>
      <x:c r="FJ55" s="100" t="n"/>
      <x:c r="FK55" s="100" t="n"/>
      <x:c r="FL55" s="100" t="n"/>
      <x:c r="FM55" s="100" t="n"/>
      <x:c r="FN55" s="100" t="n"/>
      <x:c r="FO55" s="100" t="n"/>
      <x:c r="FP55" s="100" t="n"/>
      <x:c r="FQ55" s="100" t="n"/>
      <x:c r="FR55" s="100" t="n"/>
      <x:c r="FS55" s="100" t="n"/>
      <x:c r="FT55" s="100" t="n"/>
      <x:c r="FU55" s="100" t="n"/>
      <x:c r="FV55" s="100" t="n"/>
      <x:c r="FW55" s="100" t="n"/>
      <x:c r="FX55" s="100" t="n"/>
      <x:c r="FY55" s="100" t="n"/>
      <x:c r="FZ55" s="100" t="n"/>
      <x:c r="GA55" s="100" t="n"/>
      <x:c r="GB55" s="100" t="n"/>
      <x:c r="GC55" s="100" t="n"/>
      <x:c r="GD55" s="100" t="n"/>
      <x:c r="GE55" s="100" t="n"/>
      <x:c r="GF55" s="100" t="n"/>
    </x:row>
    <x:row r="56" s="27" customFormat="1">
      <x:c r="A56" s="125" t="n"/>
      <x:c r="B56" s="39" t="n"/>
      <x:c r="C56" s="36" t="n">
        <x:f>E56*D$5</x:f>
        <x:v>0</x:v>
      </x:c>
      <x:c r="D56" s="103" t="n"/>
      <x:c r="E56" s="36" t="n">
        <x:f>SUM(G56:HT56)</x:f>
        <x:v>0</x:v>
      </x:c>
      <x:c r="F56" s="35" t="n"/>
      <x:c r="G56" s="121" t="n"/>
      <x:c r="H56" s="124" t="n"/>
      <x:c r="I56" s="124" t="n"/>
      <x:c r="J56" s="124" t="n"/>
      <x:c r="K56" s="123" t="n"/>
      <x:c r="L56" s="123" t="n"/>
      <x:c r="M56" s="123" t="n"/>
      <x:c r="N56" s="123" t="n"/>
      <x:c r="O56" s="123" t="n"/>
      <x:c r="P56" s="123" t="n"/>
      <x:c r="Q56" s="123" t="n"/>
      <x:c r="R56" s="123" t="n"/>
      <x:c r="S56" s="123" t="n"/>
      <x:c r="T56" s="123" t="n"/>
      <x:c r="U56" s="123" t="n"/>
      <x:c r="V56" s="123" t="n"/>
      <x:c r="W56" s="123" t="n"/>
      <x:c r="X56" s="123" t="n"/>
      <x:c r="Y56" s="123" t="n"/>
      <x:c r="Z56" s="123" t="n"/>
      <x:c r="AA56" s="123" t="n"/>
      <x:c r="AB56" s="123" t="n"/>
      <x:c r="AC56" s="123" t="n"/>
      <x:c r="AD56" s="123" t="n"/>
      <x:c r="AE56" s="123" t="n"/>
      <x:c r="AF56" s="123" t="n"/>
      <x:c r="AG56" s="123" t="n"/>
      <x:c r="AH56" s="123" t="n"/>
      <x:c r="AI56" s="123" t="n"/>
      <x:c r="AJ56" s="123" t="n"/>
      <x:c r="AK56" s="123" t="n"/>
      <x:c r="AL56" s="123" t="n"/>
      <x:c r="AM56" s="123" t="n"/>
      <x:c r="AN56" s="123" t="n"/>
      <x:c r="AO56" s="123" t="n"/>
      <x:c r="AP56" s="123" t="n"/>
      <x:c r="AQ56" s="123" t="n"/>
      <x:c r="AR56" s="123" t="n"/>
      <x:c r="AS56" s="123" t="n"/>
      <x:c r="AT56" s="123" t="n"/>
      <x:c r="AU56" s="123" t="n"/>
      <x:c r="AV56" s="124" t="n"/>
      <x:c r="AW56" s="124" t="n"/>
      <x:c r="AX56" s="124" t="n"/>
      <x:c r="AY56" s="123" t="n"/>
      <x:c r="AZ56" s="123" t="n"/>
      <x:c r="BA56" s="123" t="n"/>
      <x:c r="BB56" s="123" t="n"/>
      <x:c r="BC56" s="123" t="n"/>
      <x:c r="BD56" s="123" t="n"/>
      <x:c r="BE56" s="123" t="n"/>
      <x:c r="BF56" s="123" t="n"/>
      <x:c r="BG56" s="123" t="n"/>
      <x:c r="BH56" s="123" t="n"/>
      <x:c r="BI56" s="100" t="n"/>
      <x:c r="BJ56" s="100" t="n"/>
      <x:c r="BK56" s="100" t="n"/>
      <x:c r="BL56" s="100" t="n"/>
      <x:c r="BM56" s="100" t="n"/>
      <x:c r="BN56" s="100" t="n"/>
      <x:c r="BO56" s="100" t="n"/>
      <x:c r="BP56" s="100" t="n"/>
      <x:c r="BQ56" s="100" t="n"/>
      <x:c r="BR56" s="100" t="n"/>
      <x:c r="BS56" s="100" t="n"/>
      <x:c r="BT56" s="100" t="n"/>
      <x:c r="BU56" s="100" t="n"/>
      <x:c r="BV56" s="100" t="n"/>
      <x:c r="BW56" s="100" t="n"/>
      <x:c r="BX56" s="100" t="n"/>
      <x:c r="BY56" s="100" t="n"/>
      <x:c r="BZ56" s="100" t="n"/>
      <x:c r="CA56" s="100" t="n"/>
      <x:c r="CB56" s="100" t="n"/>
      <x:c r="CC56" s="100" t="n"/>
      <x:c r="CD56" s="100" t="n"/>
      <x:c r="CE56" s="100" t="n"/>
      <x:c r="CF56" s="100" t="n"/>
      <x:c r="CG56" s="100" t="n"/>
      <x:c r="CH56" s="100" t="n"/>
      <x:c r="CI56" s="100" t="n"/>
      <x:c r="CJ56" s="100" t="n"/>
      <x:c r="CK56" s="100" t="n"/>
      <x:c r="CL56" s="100" t="n"/>
      <x:c r="CM56" s="100" t="n"/>
      <x:c r="CN56" s="100" t="n"/>
      <x:c r="CO56" s="100" t="n"/>
      <x:c r="CP56" s="100" t="n"/>
      <x:c r="CQ56" s="100" t="n"/>
      <x:c r="CR56" s="100" t="n"/>
      <x:c r="CS56" s="100" t="n"/>
      <x:c r="CT56" s="100" t="n"/>
      <x:c r="CU56" s="100" t="n"/>
      <x:c r="CV56" s="100" t="n"/>
      <x:c r="CW56" s="100" t="n"/>
      <x:c r="CX56" s="100" t="n"/>
      <x:c r="CY56" s="100" t="n"/>
      <x:c r="CZ56" s="100" t="n"/>
      <x:c r="DA56" s="100" t="n"/>
      <x:c r="DB56" s="100" t="n"/>
      <x:c r="DC56" s="100" t="n"/>
      <x:c r="DD56" s="100" t="n"/>
      <x:c r="DE56" s="100" t="n"/>
      <x:c r="DF56" s="100" t="n"/>
      <x:c r="DG56" s="100" t="n"/>
      <x:c r="DH56" s="100" t="n"/>
      <x:c r="DI56" s="100" t="n"/>
      <x:c r="DJ56" s="100" t="n"/>
      <x:c r="DK56" s="100" t="n"/>
      <x:c r="DL56" s="100" t="n"/>
      <x:c r="DM56" s="100" t="n"/>
      <x:c r="DN56" s="100" t="n"/>
      <x:c r="DO56" s="100" t="n"/>
      <x:c r="DP56" s="100" t="n"/>
      <x:c r="DQ56" s="100" t="n"/>
      <x:c r="DR56" s="100" t="n"/>
      <x:c r="DS56" s="100" t="n"/>
      <x:c r="DT56" s="100" t="n"/>
      <x:c r="DU56" s="100" t="n"/>
      <x:c r="DV56" s="100" t="n"/>
      <x:c r="DW56" s="100" t="n"/>
      <x:c r="DX56" s="100" t="n"/>
      <x:c r="DY56" s="100" t="n"/>
      <x:c r="DZ56" s="100" t="n"/>
      <x:c r="EA56" s="100" t="n"/>
      <x:c r="EB56" s="100" t="n"/>
      <x:c r="EC56" s="100" t="n"/>
      <x:c r="ED56" s="100" t="n"/>
      <x:c r="EE56" s="100" t="n"/>
      <x:c r="EF56" s="100" t="n"/>
      <x:c r="EG56" s="100" t="n"/>
      <x:c r="EH56" s="100" t="n"/>
      <x:c r="EI56" s="100" t="n"/>
      <x:c r="EJ56" s="100" t="n"/>
      <x:c r="EK56" s="100" t="n"/>
      <x:c r="EL56" s="100" t="n"/>
      <x:c r="EM56" s="100" t="n"/>
      <x:c r="EN56" s="100" t="n"/>
      <x:c r="EO56" s="100" t="n"/>
      <x:c r="EP56" s="100" t="n"/>
      <x:c r="EQ56" s="100" t="n"/>
      <x:c r="ER56" s="100" t="n"/>
      <x:c r="ES56" s="100" t="n"/>
      <x:c r="ET56" s="100" t="n"/>
      <x:c r="EU56" s="100" t="n"/>
      <x:c r="EV56" s="100" t="n"/>
      <x:c r="EW56" s="100" t="n"/>
      <x:c r="EX56" s="100" t="n"/>
      <x:c r="EY56" s="100" t="n"/>
      <x:c r="EZ56" s="100" t="n"/>
      <x:c r="FA56" s="100" t="n"/>
      <x:c r="FB56" s="100" t="n"/>
      <x:c r="FC56" s="100" t="n"/>
      <x:c r="FD56" s="100" t="n"/>
      <x:c r="FE56" s="100" t="n"/>
      <x:c r="FF56" s="100" t="n"/>
      <x:c r="FG56" s="100" t="n"/>
      <x:c r="FH56" s="100" t="n"/>
      <x:c r="FI56" s="100" t="n"/>
      <x:c r="FJ56" s="100" t="n"/>
      <x:c r="FK56" s="100" t="n"/>
      <x:c r="FL56" s="100" t="n"/>
      <x:c r="FM56" s="100" t="n"/>
      <x:c r="FN56" s="100" t="n"/>
      <x:c r="FO56" s="100" t="n"/>
      <x:c r="FP56" s="100" t="n"/>
      <x:c r="FQ56" s="100" t="n"/>
      <x:c r="FR56" s="100" t="n"/>
      <x:c r="FS56" s="100" t="n"/>
    </x:row>
    <x:row r="57" s="27" customFormat="1">
      <x:c r="A57" s="125" t="n"/>
      <x:c r="B57" s="39" t="n"/>
      <x:c r="C57" s="36" t="n">
        <x:f>E57*D$5</x:f>
        <x:v>0</x:v>
      </x:c>
      <x:c r="D57" s="103" t="n"/>
      <x:c r="E57" s="36" t="n">
        <x:f>SUM(G57:HT57)</x:f>
        <x:v>0</x:v>
      </x:c>
      <x:c r="F57" s="35" t="n"/>
      <x:c r="G57" s="121" t="n"/>
      <x:c r="H57" s="123" t="n"/>
      <x:c r="I57" s="124" t="n"/>
      <x:c r="J57" s="123" t="n"/>
      <x:c r="K57" s="123" t="n"/>
      <x:c r="L57" s="124" t="n"/>
      <x:c r="M57" s="123" t="n"/>
      <x:c r="N57" s="123" t="n"/>
      <x:c r="O57" s="123" t="n"/>
      <x:c r="P57" s="123" t="n"/>
      <x:c r="Q57" s="123" t="n"/>
      <x:c r="R57" s="123" t="n"/>
      <x:c r="S57" s="123" t="n"/>
      <x:c r="T57" s="123" t="n"/>
      <x:c r="U57" s="123" t="n"/>
      <x:c r="V57" s="123" t="n"/>
      <x:c r="W57" s="123" t="n"/>
      <x:c r="X57" s="123" t="n"/>
      <x:c r="Y57" s="123" t="n"/>
      <x:c r="Z57" s="123" t="n"/>
      <x:c r="AA57" s="123" t="n"/>
      <x:c r="AB57" s="123" t="n"/>
      <x:c r="AC57" s="123" t="n"/>
      <x:c r="AD57" s="123" t="n"/>
      <x:c r="AE57" s="123" t="n"/>
      <x:c r="AF57" s="123" t="n"/>
      <x:c r="AG57" s="123" t="n"/>
      <x:c r="AH57" s="123" t="n"/>
      <x:c r="AI57" s="123" t="n"/>
      <x:c r="AJ57" s="123" t="n"/>
      <x:c r="AK57" s="123" t="n"/>
      <x:c r="AL57" s="123" t="n"/>
      <x:c r="AM57" s="123" t="n"/>
      <x:c r="AN57" s="123" t="n"/>
      <x:c r="AO57" s="123" t="n"/>
      <x:c r="AP57" s="123" t="n"/>
      <x:c r="AQ57" s="123" t="n"/>
      <x:c r="AR57" s="123" t="n"/>
      <x:c r="AS57" s="123" t="n"/>
      <x:c r="AT57" s="123" t="n"/>
      <x:c r="AU57" s="123" t="n"/>
      <x:c r="AV57" s="123" t="n"/>
      <x:c r="AW57" s="124" t="n"/>
      <x:c r="AX57" s="123" t="n"/>
      <x:c r="AY57" s="123" t="n"/>
      <x:c r="AZ57" s="124" t="n"/>
      <x:c r="BA57" s="123" t="n"/>
      <x:c r="BB57" s="123" t="n"/>
      <x:c r="BC57" s="123" t="n"/>
      <x:c r="BD57" s="123" t="n"/>
      <x:c r="BE57" s="123" t="n"/>
      <x:c r="BF57" s="123" t="n"/>
      <x:c r="BG57" s="123" t="n"/>
      <x:c r="BH57" s="123" t="n"/>
      <x:c r="BI57" s="100" t="n"/>
      <x:c r="BJ57" s="100" t="n"/>
      <x:c r="BK57" s="100" t="n"/>
      <x:c r="BL57" s="100" t="n"/>
      <x:c r="BM57" s="100" t="n"/>
      <x:c r="BN57" s="100" t="n"/>
      <x:c r="BO57" s="100" t="n"/>
      <x:c r="BP57" s="100" t="n"/>
      <x:c r="BQ57" s="100" t="n"/>
      <x:c r="BR57" s="100" t="n"/>
      <x:c r="BS57" s="100" t="n"/>
      <x:c r="BT57" s="100" t="n"/>
      <x:c r="BU57" s="100" t="n"/>
      <x:c r="BV57" s="100" t="n"/>
      <x:c r="BW57" s="100" t="n"/>
      <x:c r="BX57" s="100" t="n"/>
      <x:c r="BY57" s="100" t="n"/>
      <x:c r="BZ57" s="100" t="n"/>
      <x:c r="CA57" s="100" t="n"/>
      <x:c r="CB57" s="100" t="n"/>
      <x:c r="CC57" s="100" t="n"/>
      <x:c r="CD57" s="100" t="n"/>
      <x:c r="CE57" s="100" t="n"/>
      <x:c r="CF57" s="100" t="n"/>
      <x:c r="CG57" s="100" t="n"/>
      <x:c r="CH57" s="100" t="n"/>
      <x:c r="CI57" s="100" t="n"/>
      <x:c r="CJ57" s="100" t="n"/>
      <x:c r="CK57" s="100" t="n"/>
      <x:c r="CL57" s="100" t="n"/>
      <x:c r="CM57" s="100" t="n"/>
      <x:c r="CN57" s="100" t="n"/>
      <x:c r="CO57" s="100" t="n"/>
      <x:c r="CP57" s="100" t="n"/>
      <x:c r="CQ57" s="100" t="n"/>
      <x:c r="CR57" s="100" t="n"/>
      <x:c r="CS57" s="100" t="n"/>
      <x:c r="CT57" s="100" t="n"/>
      <x:c r="CU57" s="100" t="n"/>
      <x:c r="CV57" s="100" t="n"/>
      <x:c r="CW57" s="100" t="n"/>
      <x:c r="CX57" s="100" t="n"/>
      <x:c r="CY57" s="100" t="n"/>
      <x:c r="CZ57" s="100" t="n"/>
      <x:c r="DA57" s="100" t="n"/>
      <x:c r="DB57" s="100" t="n"/>
      <x:c r="DC57" s="100" t="n"/>
      <x:c r="DD57" s="100" t="n"/>
      <x:c r="DE57" s="100" t="n"/>
      <x:c r="DF57" s="100" t="n"/>
      <x:c r="DG57" s="100" t="n"/>
      <x:c r="DH57" s="100" t="n"/>
      <x:c r="DI57" s="100" t="n"/>
      <x:c r="DJ57" s="100" t="n"/>
      <x:c r="DK57" s="100" t="n"/>
      <x:c r="DL57" s="100" t="n"/>
      <x:c r="DM57" s="100" t="n"/>
      <x:c r="DN57" s="100" t="n"/>
      <x:c r="DO57" s="100" t="n"/>
      <x:c r="DP57" s="100" t="n"/>
      <x:c r="DQ57" s="100" t="n"/>
      <x:c r="DR57" s="100" t="n"/>
      <x:c r="DS57" s="100" t="n"/>
      <x:c r="DT57" s="100" t="n"/>
      <x:c r="DU57" s="100" t="n"/>
      <x:c r="DV57" s="100" t="n"/>
      <x:c r="DW57" s="100" t="n"/>
      <x:c r="DX57" s="100" t="n"/>
      <x:c r="DY57" s="100" t="n"/>
      <x:c r="DZ57" s="100" t="n"/>
      <x:c r="EA57" s="100" t="n"/>
      <x:c r="EB57" s="100" t="n"/>
      <x:c r="EC57" s="100" t="n"/>
      <x:c r="ED57" s="100" t="n"/>
      <x:c r="EE57" s="100" t="n"/>
      <x:c r="EF57" s="100" t="n"/>
      <x:c r="EG57" s="100" t="n"/>
      <x:c r="EH57" s="100" t="n"/>
      <x:c r="EI57" s="100" t="n"/>
      <x:c r="EJ57" s="100" t="n"/>
      <x:c r="EK57" s="100" t="n"/>
      <x:c r="EL57" s="100" t="n"/>
      <x:c r="EM57" s="100" t="n"/>
      <x:c r="EN57" s="100" t="n"/>
      <x:c r="EO57" s="100" t="n"/>
      <x:c r="EP57" s="100" t="n"/>
      <x:c r="EQ57" s="100" t="n"/>
      <x:c r="ER57" s="100" t="n"/>
      <x:c r="ES57" s="100" t="n"/>
      <x:c r="ET57" s="100" t="n"/>
      <x:c r="EU57" s="100" t="n"/>
      <x:c r="EV57" s="100" t="n"/>
      <x:c r="EW57" s="100" t="n"/>
      <x:c r="EX57" s="100" t="n"/>
      <x:c r="EY57" s="100" t="n"/>
      <x:c r="EZ57" s="100" t="n"/>
      <x:c r="FA57" s="100" t="n"/>
      <x:c r="FB57" s="100" t="n"/>
      <x:c r="FC57" s="100" t="n"/>
      <x:c r="FD57" s="100" t="n"/>
      <x:c r="FE57" s="100" t="n"/>
      <x:c r="FF57" s="100" t="n"/>
      <x:c r="FG57" s="100" t="n"/>
      <x:c r="FH57" s="100" t="n"/>
      <x:c r="FI57" s="100" t="n"/>
      <x:c r="FJ57" s="100" t="n"/>
      <x:c r="FK57" s="100" t="n"/>
      <x:c r="FL57" s="100" t="n"/>
      <x:c r="FM57" s="100" t="n"/>
      <x:c r="FN57" s="100" t="n"/>
      <x:c r="FO57" s="100" t="n"/>
      <x:c r="FP57" s="100" t="n"/>
      <x:c r="FQ57" s="100" t="n"/>
      <x:c r="FR57" s="100" t="n"/>
      <x:c r="FS57" s="100" t="n"/>
    </x:row>
    <x:row r="58" s="27" customFormat="1">
      <x:c r="A58" s="125" t="n"/>
      <x:c r="B58" s="39" t="n"/>
      <x:c r="C58" s="36" t="n">
        <x:f>E58*D$5</x:f>
        <x:v>0</x:v>
      </x:c>
      <x:c r="D58" s="4" t="n"/>
      <x:c r="E58" s="36" t="n">
        <x:f>SUM(G58:HT58)</x:f>
        <x:v>0</x:v>
      </x:c>
      <x:c r="F58" s="35" t="n"/>
      <x:c r="G58" s="121" t="n"/>
      <x:c r="H58" s="123" t="n"/>
      <x:c r="I58" s="123" t="n"/>
      <x:c r="J58" s="124" t="n"/>
      <x:c r="K58" s="124" t="n"/>
      <x:c r="L58" s="123" t="n"/>
      <x:c r="M58" s="123" t="n"/>
      <x:c r="N58" s="123" t="n"/>
      <x:c r="O58" s="123" t="n"/>
      <x:c r="P58" s="123" t="n"/>
      <x:c r="Q58" s="123" t="n"/>
      <x:c r="R58" s="123" t="n"/>
      <x:c r="S58" s="123" t="n"/>
      <x:c r="T58" s="123" t="n"/>
      <x:c r="U58" s="123" t="n"/>
      <x:c r="V58" s="123" t="n"/>
      <x:c r="W58" s="123" t="n"/>
      <x:c r="X58" s="123" t="n"/>
      <x:c r="Y58" s="123" t="n"/>
      <x:c r="Z58" s="123" t="n"/>
      <x:c r="AA58" s="123" t="n"/>
      <x:c r="AB58" s="123" t="n"/>
      <x:c r="AC58" s="123" t="n"/>
      <x:c r="AD58" s="123" t="n"/>
      <x:c r="AE58" s="123" t="n"/>
      <x:c r="AF58" s="123" t="n"/>
      <x:c r="AG58" s="123" t="n"/>
      <x:c r="AH58" s="123" t="n"/>
      <x:c r="AI58" s="123" t="n"/>
      <x:c r="AJ58" s="123" t="n"/>
      <x:c r="AK58" s="123" t="n"/>
      <x:c r="AL58" s="123" t="n"/>
      <x:c r="AM58" s="123" t="n"/>
      <x:c r="AN58" s="123" t="n"/>
      <x:c r="AO58" s="123" t="n"/>
      <x:c r="AP58" s="123" t="n"/>
      <x:c r="AQ58" s="123" t="n"/>
      <x:c r="AR58" s="123" t="n"/>
      <x:c r="AS58" s="123" t="n"/>
      <x:c r="AT58" s="123" t="n"/>
      <x:c r="AU58" s="123" t="n"/>
      <x:c r="AV58" s="123" t="n"/>
      <x:c r="AW58" s="123" t="n"/>
      <x:c r="AX58" s="124" t="n"/>
      <x:c r="AY58" s="124" t="n"/>
      <x:c r="AZ58" s="123" t="n"/>
      <x:c r="BA58" s="123" t="n"/>
      <x:c r="BB58" s="123" t="n"/>
      <x:c r="BC58" s="123" t="n"/>
      <x:c r="BD58" s="123" t="n"/>
      <x:c r="BE58" s="123" t="n"/>
      <x:c r="BF58" s="123" t="n"/>
      <x:c r="BG58" s="123" t="n"/>
      <x:c r="BH58" s="123" t="n"/>
      <x:c r="BI58" s="100" t="n"/>
      <x:c r="BJ58" s="100" t="n"/>
      <x:c r="BK58" s="100" t="n"/>
      <x:c r="BL58" s="100" t="n"/>
      <x:c r="BM58" s="100" t="n"/>
      <x:c r="BN58" s="100" t="n"/>
      <x:c r="BO58" s="100" t="n"/>
      <x:c r="BP58" s="100" t="n"/>
      <x:c r="BQ58" s="100" t="n"/>
      <x:c r="BR58" s="100" t="n"/>
      <x:c r="BS58" s="100" t="n"/>
      <x:c r="BT58" s="100" t="n"/>
      <x:c r="BU58" s="100" t="n"/>
      <x:c r="BV58" s="100" t="n"/>
      <x:c r="BW58" s="100" t="n"/>
      <x:c r="BX58" s="100" t="n"/>
      <x:c r="BY58" s="100" t="n"/>
      <x:c r="BZ58" s="100" t="n"/>
      <x:c r="CA58" s="100" t="n"/>
      <x:c r="CB58" s="100" t="n"/>
      <x:c r="CC58" s="100" t="n"/>
      <x:c r="CD58" s="100" t="n"/>
      <x:c r="CE58" s="100" t="n"/>
      <x:c r="CF58" s="100" t="n"/>
      <x:c r="CG58" s="100" t="n"/>
      <x:c r="CH58" s="100" t="n"/>
      <x:c r="CI58" s="100" t="n"/>
      <x:c r="CJ58" s="100" t="n"/>
      <x:c r="CK58" s="100" t="n"/>
      <x:c r="CL58" s="100" t="n"/>
      <x:c r="CM58" s="100" t="n"/>
      <x:c r="CN58" s="100" t="n"/>
      <x:c r="CO58" s="100" t="n"/>
      <x:c r="CP58" s="100" t="n"/>
      <x:c r="CQ58" s="100" t="n"/>
      <x:c r="CR58" s="100" t="n"/>
      <x:c r="CS58" s="100" t="n"/>
      <x:c r="CT58" s="100" t="n"/>
      <x:c r="CU58" s="100" t="n"/>
      <x:c r="CV58" s="100" t="n"/>
      <x:c r="CW58" s="100" t="n"/>
      <x:c r="CX58" s="100" t="n"/>
      <x:c r="CY58" s="100" t="n"/>
      <x:c r="CZ58" s="100" t="n"/>
      <x:c r="DA58" s="100" t="n"/>
      <x:c r="DB58" s="100" t="n"/>
      <x:c r="DC58" s="100" t="n"/>
      <x:c r="DD58" s="100" t="n"/>
      <x:c r="DE58" s="100" t="n"/>
      <x:c r="DF58" s="100" t="n"/>
      <x:c r="DG58" s="100" t="n"/>
      <x:c r="DH58" s="100" t="n"/>
      <x:c r="DI58" s="100" t="n"/>
      <x:c r="DJ58" s="100" t="n"/>
      <x:c r="DK58" s="100" t="n"/>
      <x:c r="DL58" s="100" t="n"/>
      <x:c r="DM58" s="100" t="n"/>
      <x:c r="DN58" s="100" t="n"/>
      <x:c r="DO58" s="100" t="n"/>
      <x:c r="DP58" s="100" t="n"/>
      <x:c r="DQ58" s="100" t="n"/>
      <x:c r="DR58" s="100" t="n"/>
      <x:c r="DS58" s="100" t="n"/>
      <x:c r="DT58" s="100" t="n"/>
      <x:c r="DU58" s="100" t="n"/>
      <x:c r="DV58" s="100" t="n"/>
      <x:c r="DW58" s="100" t="n"/>
      <x:c r="DX58" s="100" t="n"/>
      <x:c r="DY58" s="100" t="n"/>
      <x:c r="DZ58" s="100" t="n"/>
      <x:c r="EA58" s="100" t="n"/>
      <x:c r="EB58" s="100" t="n"/>
      <x:c r="EC58" s="100" t="n"/>
      <x:c r="ED58" s="100" t="n"/>
      <x:c r="EE58" s="100" t="n"/>
      <x:c r="EF58" s="100" t="n"/>
      <x:c r="EG58" s="100" t="n"/>
      <x:c r="EH58" s="100" t="n"/>
      <x:c r="EI58" s="100" t="n"/>
      <x:c r="EJ58" s="100" t="n"/>
      <x:c r="EK58" s="100" t="n"/>
      <x:c r="EL58" s="100" t="n"/>
      <x:c r="EM58" s="100" t="n"/>
      <x:c r="EN58" s="100" t="n"/>
      <x:c r="EO58" s="100" t="n"/>
      <x:c r="EP58" s="100" t="n"/>
      <x:c r="EQ58" s="100" t="n"/>
      <x:c r="ER58" s="100" t="n"/>
      <x:c r="ES58" s="100" t="n"/>
      <x:c r="ET58" s="100" t="n"/>
      <x:c r="EU58" s="100" t="n"/>
      <x:c r="EV58" s="100" t="n"/>
      <x:c r="EW58" s="100" t="n"/>
      <x:c r="EX58" s="100" t="n"/>
      <x:c r="EY58" s="100" t="n"/>
      <x:c r="EZ58" s="100" t="n"/>
      <x:c r="FA58" s="100" t="n"/>
      <x:c r="FB58" s="100" t="n"/>
      <x:c r="FC58" s="100" t="n"/>
      <x:c r="FD58" s="100" t="n"/>
      <x:c r="FE58" s="100" t="n"/>
      <x:c r="FF58" s="100" t="n"/>
      <x:c r="FG58" s="100" t="n"/>
      <x:c r="FH58" s="100" t="n"/>
      <x:c r="FI58" s="100" t="n"/>
      <x:c r="FJ58" s="100" t="n"/>
      <x:c r="FK58" s="100" t="n"/>
      <x:c r="FL58" s="100" t="n"/>
      <x:c r="FM58" s="100" t="n"/>
      <x:c r="FN58" s="100" t="n"/>
      <x:c r="FO58" s="100" t="n"/>
      <x:c r="FP58" s="100" t="n"/>
      <x:c r="FQ58" s="100" t="n"/>
      <x:c r="FR58" s="100" t="n"/>
      <x:c r="FS58" s="100" t="n"/>
    </x:row>
    <x:row r="59" s="27" customFormat="1">
      <x:c r="A59" s="125" t="n"/>
      <x:c r="B59" s="39" t="n"/>
      <x:c r="C59" s="36" t="n">
        <x:f>E59*D$5</x:f>
        <x:v>0</x:v>
      </x:c>
      <x:c r="D59" s="523" t="n"/>
      <x:c r="E59" s="36" t="n">
        <x:f>SUM(G59:HT59)</x:f>
        <x:v>0</x:v>
      </x:c>
      <x:c r="F59" s="35" t="n"/>
      <x:c r="G59" s="121" t="n"/>
      <x:c r="H59" s="123" t="n"/>
      <x:c r="I59" s="123" t="n"/>
      <x:c r="J59" s="123" t="n"/>
      <x:c r="K59" s="123" t="n"/>
      <x:c r="L59" s="124" t="n"/>
      <x:c r="M59" s="123" t="n"/>
      <x:c r="N59" s="123" t="n"/>
      <x:c r="O59" s="123" t="n"/>
      <x:c r="P59" s="123" t="n"/>
      <x:c r="Q59" s="123" t="n"/>
      <x:c r="R59" s="123" t="n"/>
      <x:c r="S59" s="123" t="n"/>
      <x:c r="T59" s="124" t="n"/>
      <x:c r="U59" s="124" t="n"/>
      <x:c r="V59" s="123" t="n"/>
      <x:c r="W59" s="123" t="n"/>
      <x:c r="X59" s="123" t="n"/>
      <x:c r="Y59" s="123" t="n"/>
      <x:c r="Z59" s="123" t="n"/>
      <x:c r="AA59" s="123" t="n"/>
      <x:c r="AB59" s="123" t="n"/>
      <x:c r="AC59" s="123" t="n"/>
      <x:c r="AD59" s="123" t="n"/>
      <x:c r="AE59" s="123" t="n"/>
      <x:c r="AF59" s="123" t="n"/>
      <x:c r="AG59" s="123" t="n"/>
      <x:c r="AH59" s="123" t="n"/>
      <x:c r="AI59" s="123" t="n"/>
      <x:c r="AJ59" s="123" t="n"/>
      <x:c r="AK59" s="123" t="n"/>
      <x:c r="AL59" s="123" t="n"/>
      <x:c r="AM59" s="123" t="n"/>
      <x:c r="AN59" s="123" t="n"/>
      <x:c r="AO59" s="123" t="n"/>
      <x:c r="AP59" s="123" t="n"/>
      <x:c r="AQ59" s="123" t="n"/>
      <x:c r="AR59" s="123" t="n"/>
      <x:c r="AS59" s="123" t="n"/>
      <x:c r="AT59" s="123" t="n"/>
      <x:c r="AU59" s="123" t="n"/>
      <x:c r="AV59" s="123" t="n"/>
      <x:c r="AW59" s="123" t="n"/>
      <x:c r="AX59" s="123" t="n"/>
      <x:c r="AY59" s="123" t="n"/>
      <x:c r="AZ59" s="124" t="n"/>
      <x:c r="BA59" s="123" t="n"/>
      <x:c r="BB59" s="123" t="n"/>
      <x:c r="BC59" s="123" t="n"/>
      <x:c r="BD59" s="123" t="n"/>
      <x:c r="BE59" s="123" t="n"/>
      <x:c r="BF59" s="123" t="n"/>
      <x:c r="BG59" s="123" t="n"/>
      <x:c r="BH59" s="123" t="n"/>
      <x:c r="BI59" s="100" t="n"/>
      <x:c r="BJ59" s="100" t="n"/>
      <x:c r="BK59" s="100" t="n"/>
      <x:c r="BL59" s="100" t="n"/>
      <x:c r="BM59" s="100" t="n"/>
      <x:c r="BN59" s="100" t="n"/>
      <x:c r="BO59" s="100" t="n"/>
      <x:c r="BP59" s="100" t="n"/>
      <x:c r="BQ59" s="100" t="n"/>
      <x:c r="BR59" s="100" t="n"/>
      <x:c r="BS59" s="100" t="n"/>
      <x:c r="BT59" s="100" t="n"/>
      <x:c r="BU59" s="100" t="n"/>
      <x:c r="BV59" s="100" t="n"/>
      <x:c r="BW59" s="100" t="n"/>
      <x:c r="BX59" s="100" t="n"/>
      <x:c r="BY59" s="100" t="n"/>
      <x:c r="BZ59" s="100" t="n"/>
      <x:c r="CA59" s="100" t="n"/>
      <x:c r="CB59" s="100" t="n"/>
      <x:c r="CC59" s="100" t="n"/>
      <x:c r="CD59" s="100" t="n"/>
      <x:c r="CE59" s="100" t="n"/>
      <x:c r="CF59" s="100" t="n"/>
      <x:c r="CG59" s="100" t="n"/>
      <x:c r="CH59" s="100" t="n"/>
      <x:c r="CI59" s="100" t="n"/>
      <x:c r="CJ59" s="100" t="n"/>
      <x:c r="CK59" s="100" t="n"/>
      <x:c r="CL59" s="100" t="n"/>
      <x:c r="CM59" s="100" t="n"/>
      <x:c r="CN59" s="100" t="n"/>
      <x:c r="CO59" s="100" t="n"/>
      <x:c r="CP59" s="100" t="n"/>
      <x:c r="CQ59" s="100" t="n"/>
      <x:c r="CR59" s="100" t="n"/>
      <x:c r="CS59" s="100" t="n"/>
      <x:c r="CT59" s="100" t="n"/>
      <x:c r="CU59" s="100" t="n"/>
      <x:c r="CV59" s="100" t="n"/>
      <x:c r="CW59" s="100" t="n"/>
      <x:c r="CX59" s="100" t="n"/>
      <x:c r="CY59" s="100" t="n"/>
      <x:c r="CZ59" s="100" t="n"/>
      <x:c r="DA59" s="100" t="n"/>
      <x:c r="DB59" s="100" t="n"/>
      <x:c r="DC59" s="100" t="n"/>
      <x:c r="DD59" s="100" t="n"/>
      <x:c r="DE59" s="100" t="n"/>
      <x:c r="DF59" s="100" t="n"/>
      <x:c r="DG59" s="100" t="n"/>
      <x:c r="DH59" s="100" t="n"/>
      <x:c r="DI59" s="100" t="n"/>
      <x:c r="DJ59" s="100" t="n"/>
      <x:c r="DK59" s="100" t="n"/>
      <x:c r="DL59" s="100" t="n"/>
      <x:c r="DM59" s="100" t="n"/>
      <x:c r="DN59" s="100" t="n"/>
      <x:c r="DO59" s="100" t="n"/>
      <x:c r="DP59" s="100" t="n"/>
      <x:c r="DQ59" s="100" t="n"/>
      <x:c r="DR59" s="100" t="n"/>
      <x:c r="DS59" s="100" t="n"/>
      <x:c r="DT59" s="100" t="n"/>
      <x:c r="DU59" s="100" t="n"/>
      <x:c r="DV59" s="100" t="n"/>
      <x:c r="DW59" s="100" t="n"/>
      <x:c r="DX59" s="100" t="n"/>
      <x:c r="DY59" s="100" t="n"/>
      <x:c r="DZ59" s="100" t="n"/>
      <x:c r="EA59" s="100" t="n"/>
      <x:c r="EB59" s="100" t="n"/>
      <x:c r="EC59" s="100" t="n"/>
      <x:c r="ED59" s="100" t="n"/>
      <x:c r="EE59" s="100" t="n"/>
      <x:c r="EF59" s="100" t="n"/>
      <x:c r="EG59" s="100" t="n"/>
      <x:c r="EH59" s="100" t="n"/>
      <x:c r="EI59" s="100" t="n"/>
      <x:c r="EJ59" s="100" t="n"/>
      <x:c r="EK59" s="100" t="n"/>
      <x:c r="EL59" s="100" t="n"/>
      <x:c r="EM59" s="100" t="n"/>
      <x:c r="EN59" s="100" t="n"/>
      <x:c r="EO59" s="100" t="n"/>
      <x:c r="EP59" s="100" t="n"/>
      <x:c r="EQ59" s="100" t="n"/>
      <x:c r="ER59" s="100" t="n"/>
      <x:c r="ES59" s="100" t="n"/>
      <x:c r="ET59" s="100" t="n"/>
      <x:c r="EU59" s="100" t="n"/>
      <x:c r="EV59" s="100" t="n"/>
      <x:c r="EW59" s="100" t="n"/>
      <x:c r="EX59" s="100" t="n"/>
      <x:c r="EY59" s="100" t="n"/>
      <x:c r="EZ59" s="100" t="n"/>
      <x:c r="FA59" s="100" t="n"/>
      <x:c r="FB59" s="100" t="n"/>
      <x:c r="FC59" s="100" t="n"/>
      <x:c r="FD59" s="100" t="n"/>
      <x:c r="FE59" s="100" t="n"/>
      <x:c r="FF59" s="100" t="n"/>
      <x:c r="FG59" s="100" t="n"/>
      <x:c r="FH59" s="100" t="n"/>
      <x:c r="FI59" s="100" t="n"/>
      <x:c r="FJ59" s="100" t="n"/>
      <x:c r="FK59" s="100" t="n"/>
      <x:c r="FL59" s="100" t="n"/>
      <x:c r="FM59" s="100" t="n"/>
      <x:c r="FN59" s="100" t="n"/>
      <x:c r="FO59" s="100" t="n"/>
      <x:c r="FP59" s="100" t="n"/>
      <x:c r="FQ59" s="100" t="n"/>
      <x:c r="FR59" s="100" t="n"/>
      <x:c r="FS59" s="100" t="n"/>
    </x:row>
    <x:row r="60" s="27" customFormat="1">
      <x:c r="A60" s="125" t="n"/>
      <x:c r="B60" s="39" t="n"/>
      <x:c r="C60" s="36" t="n">
        <x:f>E60*D$5</x:f>
        <x:v>0</x:v>
      </x:c>
      <x:c r="D60" s="523" t="n"/>
      <x:c r="E60" s="36" t="n">
        <x:f>SUM(G60:HT60)</x:f>
        <x:v>0</x:v>
      </x:c>
      <x:c r="F60" s="35" t="n"/>
      <x:c r="G60" s="121" t="n"/>
      <x:c r="H60" s="123" t="n"/>
      <x:c r="I60" s="123" t="n"/>
      <x:c r="J60" s="123" t="n"/>
      <x:c r="K60" s="123" t="n"/>
      <x:c r="L60" s="124" t="n"/>
      <x:c r="M60" s="123" t="n"/>
      <x:c r="N60" s="123" t="n"/>
      <x:c r="O60" s="123" t="n"/>
      <x:c r="P60" s="123" t="n"/>
      <x:c r="Q60" s="123" t="n"/>
      <x:c r="R60" s="123" t="n"/>
      <x:c r="S60" s="123" t="n"/>
      <x:c r="T60" s="123" t="n"/>
      <x:c r="U60" s="123" t="n"/>
      <x:c r="V60" s="123" t="n"/>
      <x:c r="W60" s="123" t="n"/>
      <x:c r="X60" s="123" t="n"/>
      <x:c r="Y60" s="123" t="n"/>
      <x:c r="Z60" s="123" t="n"/>
      <x:c r="AA60" s="123" t="n"/>
      <x:c r="AB60" s="123" t="n"/>
      <x:c r="AC60" s="123" t="n"/>
      <x:c r="AD60" s="123" t="n"/>
      <x:c r="AE60" s="123" t="n"/>
      <x:c r="AF60" s="123" t="n"/>
      <x:c r="AG60" s="123" t="n"/>
      <x:c r="AH60" s="123" t="n"/>
      <x:c r="AI60" s="123" t="n"/>
      <x:c r="AJ60" s="123" t="n"/>
      <x:c r="AK60" s="123" t="n"/>
      <x:c r="AL60" s="123" t="n"/>
      <x:c r="AM60" s="123" t="n"/>
      <x:c r="AN60" s="123" t="n"/>
      <x:c r="AO60" s="123" t="n"/>
      <x:c r="AP60" s="123" t="n"/>
      <x:c r="AQ60" s="123" t="n"/>
      <x:c r="AR60" s="123" t="n"/>
      <x:c r="AS60" s="123" t="n"/>
      <x:c r="AT60" s="123" t="n"/>
      <x:c r="AU60" s="123" t="n"/>
      <x:c r="AV60" s="123" t="n"/>
      <x:c r="AW60" s="123" t="n"/>
      <x:c r="AX60" s="123" t="n"/>
      <x:c r="AY60" s="123" t="n"/>
      <x:c r="AZ60" s="124" t="n"/>
      <x:c r="BA60" s="123" t="n"/>
      <x:c r="BB60" s="123" t="n"/>
      <x:c r="BC60" s="123" t="n"/>
      <x:c r="BD60" s="123" t="n"/>
      <x:c r="BE60" s="123" t="n"/>
      <x:c r="BF60" s="123" t="n"/>
      <x:c r="BG60" s="123" t="n"/>
      <x:c r="BH60" s="123" t="n"/>
      <x:c r="BI60" s="100" t="n"/>
      <x:c r="BJ60" s="100" t="n"/>
      <x:c r="BK60" s="100" t="n"/>
      <x:c r="BL60" s="100" t="n"/>
      <x:c r="BM60" s="100" t="n"/>
      <x:c r="BN60" s="100" t="n"/>
      <x:c r="BO60" s="100" t="n"/>
      <x:c r="BP60" s="100" t="n"/>
      <x:c r="BQ60" s="100" t="n"/>
      <x:c r="BR60" s="100" t="n"/>
      <x:c r="BS60" s="100" t="n"/>
      <x:c r="BT60" s="100" t="n"/>
      <x:c r="BU60" s="100" t="n"/>
      <x:c r="BV60" s="100" t="n"/>
      <x:c r="BW60" s="100" t="n"/>
      <x:c r="BX60" s="100" t="n"/>
      <x:c r="BY60" s="100" t="n"/>
      <x:c r="BZ60" s="100" t="n"/>
      <x:c r="CA60" s="100" t="n"/>
      <x:c r="CB60" s="100" t="n"/>
      <x:c r="CC60" s="100" t="n"/>
      <x:c r="CD60" s="100" t="n"/>
      <x:c r="CE60" s="100" t="n"/>
      <x:c r="CF60" s="100" t="n"/>
      <x:c r="CG60" s="100" t="n"/>
      <x:c r="CH60" s="100" t="n"/>
      <x:c r="CI60" s="100" t="n"/>
      <x:c r="CJ60" s="100" t="n"/>
      <x:c r="CK60" s="100" t="n"/>
      <x:c r="CL60" s="100" t="n"/>
      <x:c r="CM60" s="100" t="n"/>
      <x:c r="CN60" s="100" t="n"/>
      <x:c r="CO60" s="100" t="n"/>
      <x:c r="CP60" s="100" t="n"/>
      <x:c r="CQ60" s="100" t="n"/>
      <x:c r="CR60" s="100" t="n"/>
      <x:c r="CS60" s="100" t="n"/>
      <x:c r="CT60" s="100" t="n"/>
      <x:c r="CU60" s="100" t="n"/>
      <x:c r="CV60" s="100" t="n"/>
      <x:c r="CW60" s="100" t="n"/>
      <x:c r="CX60" s="100" t="n"/>
      <x:c r="CY60" s="100" t="n"/>
      <x:c r="CZ60" s="100" t="n"/>
      <x:c r="DA60" s="100" t="n"/>
      <x:c r="DB60" s="100" t="n"/>
      <x:c r="DC60" s="100" t="n"/>
      <x:c r="DD60" s="100" t="n"/>
      <x:c r="DE60" s="100" t="n"/>
      <x:c r="DF60" s="100" t="n"/>
      <x:c r="DG60" s="100" t="n"/>
      <x:c r="DH60" s="100" t="n"/>
      <x:c r="DI60" s="100" t="n"/>
      <x:c r="DJ60" s="100" t="n"/>
      <x:c r="DK60" s="100" t="n"/>
      <x:c r="DL60" s="100" t="n"/>
      <x:c r="DM60" s="100" t="n"/>
      <x:c r="DN60" s="100" t="n"/>
      <x:c r="DO60" s="100" t="n"/>
      <x:c r="DP60" s="100" t="n"/>
      <x:c r="DQ60" s="100" t="n"/>
      <x:c r="DR60" s="100" t="n"/>
      <x:c r="DS60" s="100" t="n"/>
      <x:c r="DT60" s="100" t="n"/>
      <x:c r="DU60" s="100" t="n"/>
      <x:c r="DV60" s="100" t="n"/>
      <x:c r="DW60" s="100" t="n"/>
      <x:c r="DX60" s="100" t="n"/>
      <x:c r="DY60" s="100" t="n"/>
      <x:c r="DZ60" s="100" t="n"/>
      <x:c r="EA60" s="100" t="n"/>
      <x:c r="EB60" s="100" t="n"/>
      <x:c r="EC60" s="100" t="n"/>
      <x:c r="ED60" s="100" t="n"/>
      <x:c r="EE60" s="100" t="n"/>
      <x:c r="EF60" s="100" t="n"/>
      <x:c r="EG60" s="100" t="n"/>
      <x:c r="EH60" s="100" t="n"/>
      <x:c r="EI60" s="100" t="n"/>
      <x:c r="EJ60" s="100" t="n"/>
      <x:c r="EK60" s="100" t="n"/>
      <x:c r="EL60" s="100" t="n"/>
      <x:c r="EM60" s="100" t="n"/>
      <x:c r="EN60" s="100" t="n"/>
      <x:c r="EO60" s="100" t="n"/>
      <x:c r="EP60" s="100" t="n"/>
      <x:c r="EQ60" s="100" t="n"/>
      <x:c r="ER60" s="100" t="n"/>
      <x:c r="ES60" s="100" t="n"/>
      <x:c r="ET60" s="100" t="n"/>
      <x:c r="EU60" s="100" t="n"/>
      <x:c r="EV60" s="100" t="n"/>
      <x:c r="EW60" s="100" t="n"/>
      <x:c r="EX60" s="100" t="n"/>
      <x:c r="EY60" s="100" t="n"/>
      <x:c r="EZ60" s="100" t="n"/>
      <x:c r="FA60" s="100" t="n"/>
      <x:c r="FB60" s="100" t="n"/>
      <x:c r="FC60" s="100" t="n"/>
      <x:c r="FD60" s="100" t="n"/>
      <x:c r="FE60" s="100" t="n"/>
      <x:c r="FF60" s="100" t="n"/>
      <x:c r="FG60" s="100" t="n"/>
      <x:c r="FH60" s="100" t="n"/>
      <x:c r="FI60" s="100" t="n"/>
      <x:c r="FJ60" s="100" t="n"/>
      <x:c r="FK60" s="100" t="n"/>
      <x:c r="FL60" s="100" t="n"/>
      <x:c r="FM60" s="100" t="n"/>
      <x:c r="FN60" s="100" t="n"/>
      <x:c r="FO60" s="100" t="n"/>
      <x:c r="FP60" s="100" t="n"/>
      <x:c r="FQ60" s="100" t="n"/>
      <x:c r="FR60" s="100" t="n"/>
      <x:c r="FS60" s="100" t="n"/>
    </x:row>
    <x:row r="61" s="27" customFormat="1" ht="17.450000762939453" customHeight="1">
      <x:c r="A61" s="125" t="n"/>
      <x:c r="B61" s="39" t="n"/>
      <x:c r="C61" s="36" t="n">
        <x:f>E61*D$5</x:f>
        <x:v>0</x:v>
      </x:c>
      <x:c r="D61" s="87" t="n"/>
      <x:c r="E61" s="36" t="n">
        <x:f>SUM(G61:HT61)</x:f>
        <x:v>0</x:v>
      </x:c>
      <x:c r="F61" s="35" t="n"/>
      <x:c r="G61" s="121" t="n"/>
      <x:c r="H61" s="121" t="n"/>
      <x:c r="I61" s="121" t="n"/>
      <x:c r="J61" s="121" t="n"/>
      <x:c r="K61" s="121" t="n"/>
      <x:c r="L61" s="121" t="n"/>
      <x:c r="M61" s="123" t="n"/>
      <x:c r="N61" s="123" t="n"/>
      <x:c r="O61" s="123" t="n"/>
      <x:c r="P61" s="123" t="n"/>
      <x:c r="Q61" s="123" t="n"/>
      <x:c r="R61" s="123" t="n"/>
      <x:c r="S61" s="123" t="n"/>
      <x:c r="T61" s="123" t="n"/>
      <x:c r="U61" s="123" t="n"/>
      <x:c r="V61" s="123" t="n"/>
      <x:c r="W61" s="123" t="n"/>
      <x:c r="X61" s="123" t="n"/>
      <x:c r="Y61" s="123" t="n"/>
      <x:c r="Z61" s="123" t="n"/>
      <x:c r="AA61" s="123" t="n"/>
      <x:c r="AB61" s="123" t="n"/>
      <x:c r="AC61" s="123" t="n"/>
      <x:c r="AD61" s="123" t="n"/>
      <x:c r="AE61" s="123" t="n"/>
      <x:c r="AF61" s="123" t="n"/>
      <x:c r="AG61" s="123" t="n"/>
      <x:c r="AH61" s="123" t="n"/>
      <x:c r="AI61" s="123" t="n"/>
      <x:c r="AJ61" s="123" t="n"/>
      <x:c r="AK61" s="123" t="n"/>
      <x:c r="AL61" s="123" t="n"/>
      <x:c r="AM61" s="123" t="n"/>
      <x:c r="AN61" s="123" t="n"/>
      <x:c r="AO61" s="123" t="n"/>
      <x:c r="AP61" s="123" t="n"/>
      <x:c r="AQ61" s="123" t="n"/>
      <x:c r="AR61" s="123" t="n"/>
      <x:c r="AS61" s="123" t="n"/>
      <x:c r="AT61" s="123" t="n"/>
      <x:c r="AU61" s="123" t="n"/>
      <x:c r="AV61" s="123" t="n"/>
      <x:c r="AW61" s="123" t="n"/>
      <x:c r="AX61" s="123" t="n"/>
      <x:c r="AY61" s="123" t="n"/>
      <x:c r="AZ61" s="124" t="n"/>
      <x:c r="BA61" s="123" t="n"/>
      <x:c r="BB61" s="123" t="n"/>
      <x:c r="BC61" s="123" t="n"/>
      <x:c r="BD61" s="123" t="n"/>
      <x:c r="BE61" s="123" t="n"/>
      <x:c r="BF61" s="123" t="n"/>
      <x:c r="BG61" s="123" t="n"/>
      <x:c r="BH61" s="123" t="n"/>
      <x:c r="BI61" s="100" t="n"/>
      <x:c r="BJ61" s="100" t="n"/>
      <x:c r="BK61" s="100" t="n"/>
      <x:c r="BL61" s="100" t="n"/>
      <x:c r="BM61" s="100" t="n"/>
      <x:c r="BN61" s="100" t="n"/>
      <x:c r="BO61" s="100" t="n"/>
      <x:c r="BP61" s="100" t="n"/>
      <x:c r="BQ61" s="100" t="n"/>
      <x:c r="BR61" s="100" t="n"/>
      <x:c r="BS61" s="100" t="n"/>
      <x:c r="BT61" s="100" t="n"/>
      <x:c r="BU61" s="100" t="n"/>
      <x:c r="BV61" s="100" t="n"/>
      <x:c r="BW61" s="100" t="n"/>
      <x:c r="BX61" s="100" t="n"/>
      <x:c r="BY61" s="100" t="n"/>
      <x:c r="BZ61" s="100" t="n"/>
      <x:c r="CA61" s="100" t="n"/>
      <x:c r="CB61" s="100" t="n"/>
      <x:c r="CC61" s="100" t="n"/>
      <x:c r="CD61" s="100" t="n"/>
      <x:c r="CE61" s="100" t="n"/>
      <x:c r="CF61" s="100" t="n"/>
      <x:c r="CG61" s="100" t="n"/>
      <x:c r="CH61" s="100" t="n"/>
      <x:c r="CI61" s="100" t="n"/>
      <x:c r="CJ61" s="100" t="n"/>
      <x:c r="CK61" s="100" t="n"/>
      <x:c r="CL61" s="100" t="n"/>
      <x:c r="CM61" s="100" t="n"/>
      <x:c r="CN61" s="100" t="n"/>
      <x:c r="CO61" s="100" t="n"/>
      <x:c r="CP61" s="100" t="n"/>
      <x:c r="CQ61" s="100" t="n"/>
      <x:c r="CR61" s="100" t="n"/>
      <x:c r="CS61" s="100" t="n"/>
      <x:c r="CT61" s="100" t="n"/>
      <x:c r="CU61" s="100" t="n"/>
      <x:c r="CV61" s="100" t="n"/>
      <x:c r="CW61" s="100" t="n"/>
      <x:c r="CX61" s="100" t="n"/>
      <x:c r="CY61" s="100" t="n"/>
      <x:c r="CZ61" s="100" t="n"/>
      <x:c r="DA61" s="100" t="n"/>
      <x:c r="DB61" s="100" t="n"/>
      <x:c r="DC61" s="100" t="n"/>
      <x:c r="DD61" s="100" t="n"/>
      <x:c r="DE61" s="100" t="n"/>
      <x:c r="DF61" s="100" t="n"/>
      <x:c r="DG61" s="100" t="n"/>
      <x:c r="DH61" s="100" t="n"/>
      <x:c r="DI61" s="100" t="n"/>
      <x:c r="DJ61" s="100" t="n"/>
      <x:c r="DK61" s="100" t="n"/>
      <x:c r="DL61" s="100" t="n"/>
      <x:c r="DM61" s="100" t="n"/>
      <x:c r="DN61" s="100" t="n"/>
      <x:c r="DO61" s="100" t="n"/>
      <x:c r="DP61" s="100" t="n"/>
      <x:c r="DQ61" s="100" t="n"/>
      <x:c r="DR61" s="100" t="n"/>
      <x:c r="DS61" s="100" t="n"/>
      <x:c r="DT61" s="100" t="n"/>
      <x:c r="DU61" s="100" t="n"/>
      <x:c r="DV61" s="100" t="n"/>
      <x:c r="DW61" s="100" t="n"/>
      <x:c r="DX61" s="100" t="n"/>
      <x:c r="DY61" s="100" t="n"/>
      <x:c r="DZ61" s="100" t="n"/>
      <x:c r="EA61" s="100" t="n"/>
      <x:c r="EB61" s="100" t="n"/>
      <x:c r="EC61" s="100" t="n"/>
      <x:c r="ED61" s="100" t="n"/>
      <x:c r="EE61" s="100" t="n"/>
      <x:c r="EF61" s="100" t="n"/>
      <x:c r="EG61" s="100" t="n"/>
      <x:c r="EH61" s="100" t="n"/>
      <x:c r="EI61" s="100" t="n"/>
      <x:c r="EJ61" s="100" t="n"/>
      <x:c r="EK61" s="100" t="n"/>
      <x:c r="EL61" s="100" t="n"/>
      <x:c r="EM61" s="100" t="n"/>
      <x:c r="EN61" s="100" t="n"/>
      <x:c r="EO61" s="100" t="n"/>
      <x:c r="EP61" s="100" t="n"/>
      <x:c r="EQ61" s="100" t="n"/>
      <x:c r="ER61" s="100" t="n"/>
      <x:c r="ES61" s="100" t="n"/>
      <x:c r="ET61" s="100" t="n"/>
      <x:c r="EU61" s="100" t="n"/>
      <x:c r="EV61" s="100" t="n"/>
      <x:c r="EW61" s="100" t="n"/>
      <x:c r="EX61" s="100" t="n"/>
      <x:c r="EY61" s="100" t="n"/>
      <x:c r="EZ61" s="100" t="n"/>
      <x:c r="FA61" s="100" t="n"/>
      <x:c r="FB61" s="100" t="n"/>
      <x:c r="FC61" s="100" t="n"/>
      <x:c r="FD61" s="100" t="n"/>
      <x:c r="FE61" s="100" t="n"/>
      <x:c r="FF61" s="100" t="n"/>
      <x:c r="FG61" s="100" t="n"/>
      <x:c r="FH61" s="100" t="n"/>
      <x:c r="FI61" s="100" t="n"/>
      <x:c r="FJ61" s="100" t="n"/>
      <x:c r="FK61" s="100" t="n"/>
      <x:c r="FL61" s="100" t="n"/>
      <x:c r="FM61" s="100" t="n"/>
      <x:c r="FN61" s="100" t="n"/>
      <x:c r="FO61" s="100" t="n"/>
      <x:c r="FP61" s="100" t="n"/>
      <x:c r="FQ61" s="100" t="n"/>
      <x:c r="FR61" s="100" t="n"/>
      <x:c r="FS61" s="100" t="n"/>
      <x:c r="FT61" s="100" t="n"/>
      <x:c r="FU61" s="100" t="n"/>
      <x:c r="FV61" s="100" t="n"/>
      <x:c r="FW61" s="100" t="n"/>
      <x:c r="FX61" s="100" t="n"/>
      <x:c r="FY61" s="100" t="n"/>
      <x:c r="FZ61" s="100" t="n"/>
      <x:c r="GA61" s="100" t="n"/>
      <x:c r="GB61" s="100" t="n"/>
      <x:c r="GC61" s="100" t="n"/>
      <x:c r="GD61" s="100" t="n"/>
      <x:c r="GE61" s="100" t="n"/>
      <x:c r="GF61" s="100" t="n"/>
    </x:row>
    <x:row r="62" s="27" customFormat="1" ht="16.5" customHeight="1">
      <x:c r="A62" s="125" t="n"/>
      <x:c r="B62" s="39" t="n"/>
      <x:c r="C62" s="86" t="n">
        <x:f>E62*D$5</x:f>
        <x:v>0</x:v>
      </x:c>
      <x:c r="D62" s="87" t="n"/>
      <x:c r="E62" s="86" t="n">
        <x:f>SUM(G62:HT62)</x:f>
        <x:v>0</x:v>
      </x:c>
      <x:c r="F62" s="35" t="n"/>
      <x:c r="G62" s="121" t="n"/>
      <x:c r="H62" s="121" t="n"/>
      <x:c r="I62" s="121" t="n"/>
      <x:c r="J62" s="121" t="n"/>
      <x:c r="K62" s="121" t="n"/>
      <x:c r="L62" s="121" t="n"/>
      <x:c r="M62" s="123" t="n"/>
      <x:c r="N62" s="123" t="n"/>
      <x:c r="O62" s="123" t="n"/>
      <x:c r="P62" s="123" t="n"/>
      <x:c r="Q62" s="123" t="n"/>
      <x:c r="R62" s="123" t="n"/>
      <x:c r="S62" s="123" t="n"/>
      <x:c r="T62" s="123" t="n"/>
      <x:c r="U62" s="123" t="n"/>
      <x:c r="V62" s="123" t="n"/>
      <x:c r="W62" s="123" t="n"/>
      <x:c r="X62" s="123" t="n"/>
      <x:c r="Y62" s="123" t="n"/>
      <x:c r="Z62" s="123" t="n"/>
      <x:c r="AA62" s="123" t="n"/>
      <x:c r="AB62" s="123" t="n"/>
      <x:c r="AC62" s="123" t="n"/>
      <x:c r="AD62" s="123" t="n"/>
      <x:c r="AE62" s="123" t="n"/>
      <x:c r="AF62" s="123" t="n"/>
      <x:c r="AG62" s="123" t="n"/>
      <x:c r="AH62" s="123" t="n"/>
      <x:c r="AI62" s="123" t="n"/>
      <x:c r="AJ62" s="123" t="n"/>
      <x:c r="AK62" s="123" t="n"/>
      <x:c r="AL62" s="123" t="n"/>
      <x:c r="AM62" s="123" t="n"/>
      <x:c r="AN62" s="123" t="n"/>
      <x:c r="AO62" s="123" t="n"/>
      <x:c r="AP62" s="123" t="n"/>
      <x:c r="AQ62" s="123" t="n"/>
      <x:c r="AR62" s="123" t="n"/>
      <x:c r="AS62" s="123" t="n"/>
      <x:c r="AT62" s="123" t="n"/>
      <x:c r="AU62" s="123" t="n"/>
      <x:c r="AV62" s="123" t="n"/>
      <x:c r="AW62" s="123" t="n"/>
      <x:c r="AX62" s="123" t="n"/>
      <x:c r="AY62" s="123" t="n"/>
      <x:c r="AZ62" s="123" t="n"/>
      <x:c r="BA62" s="123" t="n"/>
      <x:c r="BB62" s="123" t="n"/>
      <x:c r="BC62" s="123" t="n"/>
      <x:c r="BD62" s="123" t="n"/>
      <x:c r="BE62" s="123" t="n"/>
      <x:c r="BF62" s="123" t="n"/>
      <x:c r="BG62" s="123" t="n"/>
      <x:c r="BH62" s="123" t="n"/>
      <x:c r="BI62" s="100" t="n"/>
      <x:c r="BJ62" s="100" t="n"/>
      <x:c r="BK62" s="100" t="n"/>
      <x:c r="BL62" s="100" t="n"/>
      <x:c r="BM62" s="100" t="n"/>
      <x:c r="BN62" s="100" t="n"/>
      <x:c r="BO62" s="100" t="n"/>
      <x:c r="BP62" s="100" t="n"/>
      <x:c r="BQ62" s="100" t="n"/>
      <x:c r="BR62" s="100" t="n"/>
      <x:c r="BS62" s="100" t="n"/>
      <x:c r="BT62" s="100" t="n"/>
      <x:c r="BU62" s="100" t="n"/>
      <x:c r="BV62" s="100" t="n"/>
      <x:c r="BW62" s="100" t="n"/>
      <x:c r="BX62" s="100" t="n"/>
      <x:c r="BY62" s="100" t="n"/>
      <x:c r="BZ62" s="100" t="n"/>
      <x:c r="CA62" s="100" t="n"/>
      <x:c r="CB62" s="100" t="n"/>
      <x:c r="CC62" s="100" t="n"/>
      <x:c r="CD62" s="100" t="n"/>
      <x:c r="CE62" s="100" t="n"/>
      <x:c r="CF62" s="100" t="n"/>
      <x:c r="CG62" s="100" t="n"/>
      <x:c r="CH62" s="100" t="n"/>
      <x:c r="CI62" s="100" t="n"/>
      <x:c r="CJ62" s="100" t="n"/>
      <x:c r="CK62" s="100" t="n"/>
      <x:c r="CL62" s="100" t="n"/>
      <x:c r="CM62" s="100" t="n"/>
      <x:c r="CN62" s="100" t="n"/>
      <x:c r="CO62" s="100" t="n"/>
      <x:c r="CP62" s="100" t="n"/>
      <x:c r="CQ62" s="100" t="n"/>
      <x:c r="CR62" s="100" t="n"/>
      <x:c r="CS62" s="100" t="n"/>
      <x:c r="CT62" s="100" t="n"/>
      <x:c r="CU62" s="100" t="n"/>
      <x:c r="CV62" s="100" t="n"/>
      <x:c r="CW62" s="100" t="n"/>
      <x:c r="CX62" s="100" t="n"/>
      <x:c r="CY62" s="100" t="n"/>
      <x:c r="CZ62" s="100" t="n"/>
      <x:c r="DA62" s="100" t="n"/>
      <x:c r="DB62" s="100" t="n"/>
      <x:c r="DC62" s="100" t="n"/>
      <x:c r="DD62" s="100" t="n"/>
      <x:c r="DE62" s="100" t="n"/>
      <x:c r="DF62" s="100" t="n"/>
      <x:c r="DG62" s="100" t="n"/>
      <x:c r="DH62" s="100" t="n"/>
      <x:c r="DI62" s="100" t="n"/>
      <x:c r="DJ62" s="100" t="n"/>
      <x:c r="DK62" s="100" t="n"/>
      <x:c r="DL62" s="100" t="n"/>
      <x:c r="DM62" s="100" t="n"/>
      <x:c r="DN62" s="100" t="n"/>
      <x:c r="DO62" s="100" t="n"/>
      <x:c r="DP62" s="100" t="n"/>
      <x:c r="DQ62" s="100" t="n"/>
      <x:c r="DR62" s="100" t="n"/>
      <x:c r="DS62" s="100" t="n"/>
      <x:c r="DT62" s="100" t="n"/>
      <x:c r="DU62" s="100" t="n"/>
      <x:c r="DV62" s="100" t="n"/>
      <x:c r="DW62" s="100" t="n"/>
      <x:c r="DX62" s="100" t="n"/>
      <x:c r="DY62" s="100" t="n"/>
      <x:c r="DZ62" s="100" t="n"/>
      <x:c r="EA62" s="100" t="n"/>
      <x:c r="EB62" s="100" t="n"/>
      <x:c r="EC62" s="100" t="n"/>
      <x:c r="ED62" s="100" t="n"/>
      <x:c r="EE62" s="100" t="n"/>
      <x:c r="EF62" s="100" t="n"/>
      <x:c r="EG62" s="100" t="n"/>
      <x:c r="EH62" s="100" t="n"/>
      <x:c r="EI62" s="100" t="n"/>
      <x:c r="EJ62" s="100" t="n"/>
      <x:c r="EK62" s="100" t="n"/>
      <x:c r="EL62" s="100" t="n"/>
      <x:c r="EM62" s="100" t="n"/>
      <x:c r="EN62" s="100" t="n"/>
      <x:c r="EO62" s="100" t="n"/>
      <x:c r="EP62" s="100" t="n"/>
      <x:c r="EQ62" s="100" t="n"/>
      <x:c r="ER62" s="100" t="n"/>
      <x:c r="ES62" s="100" t="n"/>
      <x:c r="ET62" s="100" t="n"/>
      <x:c r="EU62" s="100" t="n"/>
      <x:c r="EV62" s="100" t="n"/>
      <x:c r="EW62" s="100" t="n"/>
      <x:c r="EX62" s="100" t="n"/>
      <x:c r="EY62" s="100" t="n"/>
      <x:c r="EZ62" s="100" t="n"/>
      <x:c r="FA62" s="100" t="n"/>
      <x:c r="FB62" s="100" t="n"/>
      <x:c r="FC62" s="100" t="n"/>
      <x:c r="FD62" s="100" t="n"/>
      <x:c r="FE62" s="100" t="n"/>
      <x:c r="FF62" s="100" t="n"/>
      <x:c r="FG62" s="100" t="n"/>
      <x:c r="FH62" s="100" t="n"/>
      <x:c r="FI62" s="100" t="n"/>
      <x:c r="FJ62" s="100" t="n"/>
      <x:c r="FK62" s="100" t="n"/>
      <x:c r="FL62" s="100" t="n"/>
      <x:c r="FM62" s="100" t="n"/>
      <x:c r="FN62" s="100" t="n"/>
      <x:c r="FO62" s="100" t="n"/>
      <x:c r="FP62" s="100" t="n"/>
      <x:c r="FQ62" s="100" t="n"/>
      <x:c r="FR62" s="100" t="n"/>
      <x:c r="FS62" s="100" t="n"/>
      <x:c r="FT62" s="100" t="n"/>
      <x:c r="FU62" s="100" t="n"/>
      <x:c r="FV62" s="100" t="n"/>
      <x:c r="FW62" s="100" t="n"/>
      <x:c r="FX62" s="100" t="n"/>
      <x:c r="FY62" s="100" t="n"/>
      <x:c r="FZ62" s="100" t="n"/>
      <x:c r="GA62" s="100" t="n"/>
      <x:c r="GB62" s="100" t="n"/>
      <x:c r="GC62" s="100" t="n"/>
      <x:c r="GD62" s="100" t="n"/>
      <x:c r="GE62" s="100" t="n"/>
      <x:c r="GF62" s="100" t="n"/>
    </x:row>
    <x:row r="63" s="27" customFormat="1">
      <x:c r="A63" s="125" t="n"/>
      <x:c r="B63" s="39" t="n"/>
      <x:c r="C63" s="86" t="n">
        <x:f>E63*D$5</x:f>
        <x:v>0</x:v>
      </x:c>
      <x:c r="D63" s="4" t="n"/>
      <x:c r="E63" s="86" t="n">
        <x:f>SUM(G63:HT63)</x:f>
        <x:v>0</x:v>
      </x:c>
      <x:c r="F63" s="35" t="n"/>
      <x:c r="G63" s="121" t="n"/>
      <x:c r="H63" s="121" t="n"/>
      <x:c r="I63" s="121" t="n"/>
      <x:c r="J63" s="121" t="n"/>
      <x:c r="K63" s="121" t="n"/>
      <x:c r="L63" s="121" t="n"/>
      <x:c r="M63" s="123" t="n"/>
      <x:c r="N63" s="123" t="n"/>
      <x:c r="O63" s="123" t="n"/>
      <x:c r="P63" s="123" t="n"/>
      <x:c r="Q63" s="123" t="n"/>
      <x:c r="R63" s="123" t="n"/>
      <x:c r="S63" s="123" t="n"/>
      <x:c r="T63" s="123" t="n"/>
      <x:c r="U63" s="123" t="n"/>
      <x:c r="V63" s="123" t="n"/>
      <x:c r="W63" s="123" t="n"/>
      <x:c r="X63" s="123" t="n"/>
      <x:c r="Y63" s="123" t="n"/>
      <x:c r="Z63" s="123" t="n"/>
      <x:c r="AA63" s="123" t="n"/>
      <x:c r="AB63" s="123" t="n"/>
      <x:c r="AC63" s="123" t="n"/>
      <x:c r="AD63" s="123" t="n"/>
      <x:c r="AE63" s="123" t="n"/>
      <x:c r="AF63" s="123" t="n"/>
      <x:c r="AG63" s="123" t="n"/>
      <x:c r="AH63" s="123" t="n"/>
      <x:c r="AI63" s="123" t="n"/>
      <x:c r="AJ63" s="123" t="n"/>
      <x:c r="AK63" s="123" t="n"/>
      <x:c r="AL63" s="123" t="n"/>
      <x:c r="AM63" s="123" t="n"/>
      <x:c r="AN63" s="123" t="n"/>
      <x:c r="AO63" s="123" t="n"/>
      <x:c r="AP63" s="123" t="n"/>
      <x:c r="AQ63" s="123" t="n"/>
      <x:c r="AR63" s="123" t="n"/>
      <x:c r="AS63" s="123" t="n"/>
      <x:c r="AT63" s="123" t="n"/>
      <x:c r="AU63" s="123" t="n"/>
      <x:c r="AV63" s="123" t="n"/>
      <x:c r="AW63" s="123" t="n"/>
      <x:c r="AX63" s="123" t="n"/>
      <x:c r="AY63" s="123" t="n"/>
      <x:c r="AZ63" s="123" t="n"/>
      <x:c r="BA63" s="123" t="n"/>
      <x:c r="BB63" s="123" t="n"/>
      <x:c r="BC63" s="123" t="n"/>
      <x:c r="BD63" s="123" t="n"/>
      <x:c r="BE63" s="123" t="n"/>
      <x:c r="BF63" s="123" t="n"/>
      <x:c r="BG63" s="123" t="n"/>
      <x:c r="BH63" s="123" t="n"/>
      <x:c r="BI63" s="100" t="n"/>
      <x:c r="BJ63" s="100" t="n"/>
      <x:c r="BK63" s="100" t="n"/>
      <x:c r="BL63" s="100" t="n"/>
      <x:c r="BM63" s="100" t="n"/>
      <x:c r="BN63" s="100" t="n"/>
      <x:c r="BO63" s="100" t="n"/>
      <x:c r="BP63" s="100" t="n"/>
      <x:c r="BQ63" s="100" t="n"/>
      <x:c r="BR63" s="100" t="n"/>
      <x:c r="BS63" s="100" t="n"/>
      <x:c r="BT63" s="100" t="n"/>
      <x:c r="BU63" s="100" t="n"/>
      <x:c r="BV63" s="100" t="n"/>
      <x:c r="BW63" s="100" t="n"/>
      <x:c r="BX63" s="100" t="n"/>
      <x:c r="BY63" s="100" t="n"/>
      <x:c r="BZ63" s="100" t="n"/>
      <x:c r="CA63" s="100" t="n"/>
      <x:c r="CB63" s="100" t="n"/>
      <x:c r="CC63" s="100" t="n"/>
      <x:c r="CD63" s="100" t="n"/>
      <x:c r="CE63" s="100" t="n"/>
      <x:c r="CF63" s="100" t="n"/>
      <x:c r="CG63" s="100" t="n"/>
      <x:c r="CH63" s="100" t="n"/>
      <x:c r="CI63" s="100" t="n"/>
      <x:c r="CJ63" s="100" t="n"/>
      <x:c r="CK63" s="100" t="n"/>
      <x:c r="CL63" s="100" t="n"/>
      <x:c r="CM63" s="100" t="n"/>
      <x:c r="CN63" s="100" t="n"/>
      <x:c r="CO63" s="100" t="n"/>
      <x:c r="CP63" s="100" t="n"/>
      <x:c r="CQ63" s="100" t="n"/>
      <x:c r="CR63" s="100" t="n"/>
      <x:c r="CS63" s="100" t="n"/>
      <x:c r="CT63" s="100" t="n"/>
      <x:c r="CU63" s="100" t="n"/>
      <x:c r="CV63" s="100" t="n"/>
      <x:c r="CW63" s="100" t="n"/>
      <x:c r="CX63" s="100" t="n"/>
      <x:c r="CY63" s="100" t="n"/>
      <x:c r="CZ63" s="100" t="n"/>
      <x:c r="DA63" s="100" t="n"/>
      <x:c r="DB63" s="100" t="n"/>
      <x:c r="DC63" s="100" t="n"/>
      <x:c r="DD63" s="100" t="n"/>
      <x:c r="DE63" s="100" t="n"/>
      <x:c r="DF63" s="100" t="n"/>
      <x:c r="DG63" s="100" t="n"/>
      <x:c r="DH63" s="100" t="n"/>
      <x:c r="DI63" s="100" t="n"/>
      <x:c r="DJ63" s="100" t="n"/>
      <x:c r="DK63" s="100" t="n"/>
      <x:c r="DL63" s="100" t="n"/>
      <x:c r="DM63" s="100" t="n"/>
      <x:c r="DN63" s="100" t="n"/>
      <x:c r="DO63" s="100" t="n"/>
      <x:c r="DP63" s="100" t="n"/>
      <x:c r="DQ63" s="100" t="n"/>
      <x:c r="DR63" s="100" t="n"/>
      <x:c r="DS63" s="100" t="n"/>
      <x:c r="DT63" s="100" t="n"/>
      <x:c r="DU63" s="100" t="n"/>
      <x:c r="DV63" s="100" t="n"/>
      <x:c r="DW63" s="100" t="n"/>
      <x:c r="DX63" s="100" t="n"/>
      <x:c r="DY63" s="100" t="n"/>
      <x:c r="DZ63" s="100" t="n"/>
      <x:c r="EA63" s="100" t="n"/>
      <x:c r="EB63" s="100" t="n"/>
      <x:c r="EC63" s="100" t="n"/>
      <x:c r="ED63" s="100" t="n"/>
      <x:c r="EE63" s="100" t="n"/>
      <x:c r="EF63" s="100" t="n"/>
      <x:c r="EG63" s="100" t="n"/>
      <x:c r="EH63" s="100" t="n"/>
      <x:c r="EI63" s="100" t="n"/>
      <x:c r="EJ63" s="100" t="n"/>
      <x:c r="EK63" s="100" t="n"/>
      <x:c r="EL63" s="100" t="n"/>
      <x:c r="EM63" s="100" t="n"/>
      <x:c r="EN63" s="100" t="n"/>
      <x:c r="EO63" s="100" t="n"/>
      <x:c r="EP63" s="100" t="n"/>
      <x:c r="EQ63" s="100" t="n"/>
      <x:c r="ER63" s="100" t="n"/>
      <x:c r="ES63" s="100" t="n"/>
      <x:c r="ET63" s="100" t="n"/>
      <x:c r="EU63" s="100" t="n"/>
      <x:c r="EV63" s="100" t="n"/>
      <x:c r="EW63" s="100" t="n"/>
      <x:c r="EX63" s="100" t="n"/>
      <x:c r="EY63" s="100" t="n"/>
      <x:c r="EZ63" s="100" t="n"/>
      <x:c r="FA63" s="100" t="n"/>
      <x:c r="FB63" s="100" t="n"/>
      <x:c r="FC63" s="100" t="n"/>
      <x:c r="FD63" s="100" t="n"/>
      <x:c r="FE63" s="100" t="n"/>
      <x:c r="FF63" s="100" t="n"/>
      <x:c r="FG63" s="100" t="n"/>
      <x:c r="FH63" s="100" t="n"/>
      <x:c r="FI63" s="100" t="n"/>
      <x:c r="FJ63" s="100" t="n"/>
      <x:c r="FK63" s="100" t="n"/>
      <x:c r="FL63" s="100" t="n"/>
      <x:c r="FM63" s="100" t="n"/>
      <x:c r="FN63" s="100" t="n"/>
      <x:c r="FO63" s="100" t="n"/>
      <x:c r="FP63" s="100" t="n"/>
      <x:c r="FQ63" s="100" t="n"/>
      <x:c r="FR63" s="100" t="n"/>
      <x:c r="FS63" s="100" t="n"/>
      <x:c r="FT63" s="100" t="n"/>
      <x:c r="FU63" s="100" t="n"/>
      <x:c r="FV63" s="100" t="n"/>
      <x:c r="FW63" s="100" t="n"/>
      <x:c r="FX63" s="100" t="n"/>
      <x:c r="FY63" s="100" t="n"/>
      <x:c r="FZ63" s="100" t="n"/>
      <x:c r="GA63" s="100" t="n"/>
      <x:c r="GB63" s="100" t="n"/>
      <x:c r="GC63" s="100" t="n"/>
      <x:c r="GD63" s="100" t="n"/>
      <x:c r="GE63" s="100" t="n"/>
      <x:c r="GF63" s="100" t="n"/>
    </x:row>
    <x:row r="64" s="27" customFormat="1">
      <x:c r="A64" s="125" t="n"/>
      <x:c r="B64" s="39" t="n"/>
      <x:c r="C64" s="36" t="n">
        <x:f>E64*D$5</x:f>
        <x:v>0</x:v>
      </x:c>
      <x:c r="D64" s="523" t="n"/>
      <x:c r="E64" s="36" t="n">
        <x:f>SUM(G64:HT64)</x:f>
        <x:v>0</x:v>
      </x:c>
      <x:c r="F64" s="35" t="n"/>
      <x:c r="G64" s="121" t="n"/>
      <x:c r="H64" s="123" t="n"/>
      <x:c r="I64" s="123" t="n"/>
      <x:c r="J64" s="123" t="n"/>
      <x:c r="K64" s="123" t="n"/>
      <x:c r="L64" s="123" t="n"/>
      <x:c r="M64" s="123" t="n"/>
      <x:c r="N64" s="124" t="n"/>
      <x:c r="O64" s="124" t="n"/>
      <x:c r="P64" s="123" t="n"/>
      <x:c r="Q64" s="123" t="n"/>
      <x:c r="R64" s="123" t="n"/>
      <x:c r="S64" s="123" t="n"/>
      <x:c r="T64" s="123" t="n"/>
      <x:c r="U64" s="123" t="n"/>
      <x:c r="V64" s="123" t="n"/>
      <x:c r="W64" s="123" t="n"/>
      <x:c r="X64" s="123" t="n"/>
      <x:c r="Y64" s="123" t="n"/>
      <x:c r="Z64" s="123" t="n"/>
      <x:c r="AA64" s="123" t="n"/>
      <x:c r="AB64" s="123" t="n"/>
      <x:c r="AC64" s="123" t="n"/>
      <x:c r="AD64" s="123" t="n"/>
      <x:c r="AE64" s="123" t="n"/>
      <x:c r="AF64" s="123" t="n"/>
      <x:c r="AG64" s="123" t="n"/>
      <x:c r="AH64" s="123" t="n"/>
      <x:c r="AI64" s="123" t="n"/>
      <x:c r="AJ64" s="123" t="n"/>
      <x:c r="AK64" s="123" t="n"/>
      <x:c r="AL64" s="123" t="n"/>
      <x:c r="AM64" s="123" t="n"/>
      <x:c r="AN64" s="123" t="n"/>
      <x:c r="AO64" s="123" t="n"/>
      <x:c r="AP64" s="123" t="n"/>
      <x:c r="AQ64" s="123" t="n"/>
      <x:c r="AR64" s="123" t="n"/>
      <x:c r="AS64" s="123" t="n"/>
      <x:c r="AT64" s="123" t="n"/>
      <x:c r="AU64" s="123" t="n"/>
      <x:c r="AV64" s="123" t="n"/>
      <x:c r="AW64" s="123" t="n"/>
      <x:c r="AX64" s="123" t="n"/>
      <x:c r="AY64" s="123" t="n"/>
      <x:c r="AZ64" s="123" t="n"/>
      <x:c r="BA64" s="123" t="n"/>
      <x:c r="BB64" s="123" t="n"/>
      <x:c r="BC64" s="123" t="n"/>
      <x:c r="BD64" s="123" t="n"/>
      <x:c r="BE64" s="123" t="n"/>
      <x:c r="BF64" s="123" t="n"/>
      <x:c r="BG64" s="123" t="n"/>
      <x:c r="BH64" s="123" t="n"/>
      <x:c r="BI64" s="100" t="n"/>
      <x:c r="BJ64" s="100" t="n"/>
      <x:c r="BK64" s="100" t="n"/>
      <x:c r="BL64" s="100" t="n"/>
      <x:c r="BM64" s="100" t="n"/>
      <x:c r="BN64" s="100" t="n"/>
      <x:c r="BO64" s="100" t="n"/>
      <x:c r="BP64" s="100" t="n"/>
      <x:c r="BQ64" s="100" t="n"/>
      <x:c r="BR64" s="100" t="n"/>
      <x:c r="BS64" s="100" t="n"/>
      <x:c r="BT64" s="100" t="n"/>
      <x:c r="BU64" s="100" t="n"/>
      <x:c r="BV64" s="100" t="n"/>
      <x:c r="BW64" s="100" t="n"/>
      <x:c r="BX64" s="100" t="n"/>
      <x:c r="BY64" s="100" t="n"/>
      <x:c r="BZ64" s="100" t="n"/>
      <x:c r="CA64" s="100" t="n"/>
      <x:c r="CB64" s="100" t="n"/>
      <x:c r="CC64" s="100" t="n"/>
      <x:c r="CD64" s="100" t="n"/>
      <x:c r="CE64" s="100" t="n"/>
      <x:c r="CF64" s="100" t="n"/>
      <x:c r="CG64" s="100" t="n"/>
      <x:c r="CH64" s="100" t="n"/>
      <x:c r="CI64" s="100" t="n"/>
      <x:c r="CJ64" s="100" t="n"/>
      <x:c r="CK64" s="100" t="n"/>
      <x:c r="CL64" s="100" t="n"/>
      <x:c r="CM64" s="100" t="n"/>
      <x:c r="CN64" s="100" t="n"/>
      <x:c r="CO64" s="100" t="n"/>
      <x:c r="CP64" s="100" t="n"/>
      <x:c r="CQ64" s="100" t="n"/>
      <x:c r="CR64" s="100" t="n"/>
      <x:c r="CS64" s="100" t="n"/>
      <x:c r="CT64" s="100" t="n"/>
      <x:c r="CU64" s="100" t="n"/>
      <x:c r="CV64" s="100" t="n"/>
      <x:c r="CW64" s="100" t="n"/>
      <x:c r="CX64" s="100" t="n"/>
      <x:c r="CY64" s="100" t="n"/>
      <x:c r="CZ64" s="100" t="n"/>
      <x:c r="DA64" s="100" t="n"/>
      <x:c r="DB64" s="100" t="n"/>
      <x:c r="DC64" s="100" t="n"/>
      <x:c r="DD64" s="100" t="n"/>
      <x:c r="DE64" s="100" t="n"/>
      <x:c r="DF64" s="100" t="n"/>
      <x:c r="DG64" s="100" t="n"/>
      <x:c r="DH64" s="100" t="n"/>
      <x:c r="DI64" s="100" t="n"/>
      <x:c r="DJ64" s="100" t="n"/>
      <x:c r="DK64" s="100" t="n"/>
      <x:c r="DL64" s="100" t="n"/>
      <x:c r="DM64" s="100" t="n"/>
      <x:c r="DN64" s="100" t="n"/>
      <x:c r="DO64" s="100" t="n"/>
      <x:c r="DP64" s="100" t="n"/>
      <x:c r="DQ64" s="100" t="n"/>
      <x:c r="DR64" s="100" t="n"/>
      <x:c r="DS64" s="100" t="n"/>
      <x:c r="DT64" s="100" t="n"/>
      <x:c r="DU64" s="100" t="n"/>
      <x:c r="DV64" s="100" t="n"/>
      <x:c r="DW64" s="100" t="n"/>
      <x:c r="DX64" s="100" t="n"/>
      <x:c r="DY64" s="100" t="n"/>
      <x:c r="DZ64" s="100" t="n"/>
      <x:c r="EA64" s="100" t="n"/>
      <x:c r="EB64" s="100" t="n"/>
      <x:c r="EC64" s="100" t="n"/>
      <x:c r="ED64" s="100" t="n"/>
      <x:c r="EE64" s="100" t="n"/>
      <x:c r="EF64" s="100" t="n"/>
      <x:c r="EG64" s="100" t="n"/>
      <x:c r="EH64" s="100" t="n"/>
      <x:c r="EI64" s="100" t="n"/>
      <x:c r="EJ64" s="100" t="n"/>
      <x:c r="EK64" s="100" t="n"/>
      <x:c r="EL64" s="100" t="n"/>
      <x:c r="EM64" s="100" t="n"/>
      <x:c r="EN64" s="100" t="n"/>
      <x:c r="EO64" s="100" t="n"/>
      <x:c r="EP64" s="100" t="n"/>
      <x:c r="EQ64" s="100" t="n"/>
      <x:c r="ER64" s="100" t="n"/>
      <x:c r="ES64" s="100" t="n"/>
      <x:c r="ET64" s="100" t="n"/>
      <x:c r="EU64" s="100" t="n"/>
      <x:c r="EV64" s="100" t="n"/>
      <x:c r="EW64" s="100" t="n"/>
      <x:c r="EX64" s="100" t="n"/>
      <x:c r="EY64" s="100" t="n"/>
      <x:c r="EZ64" s="100" t="n"/>
      <x:c r="FA64" s="100" t="n"/>
      <x:c r="FB64" s="100" t="n"/>
      <x:c r="FC64" s="100" t="n"/>
      <x:c r="FD64" s="100" t="n"/>
      <x:c r="FE64" s="100" t="n"/>
      <x:c r="FF64" s="100" t="n"/>
      <x:c r="FG64" s="100" t="n"/>
      <x:c r="FH64" s="100" t="n"/>
      <x:c r="FI64" s="100" t="n"/>
      <x:c r="FJ64" s="100" t="n"/>
      <x:c r="FK64" s="100" t="n"/>
      <x:c r="FL64" s="100" t="n"/>
      <x:c r="FM64" s="100" t="n"/>
      <x:c r="FN64" s="100" t="n"/>
      <x:c r="FO64" s="100" t="n"/>
      <x:c r="FP64" s="100" t="n"/>
      <x:c r="FQ64" s="100" t="n"/>
      <x:c r="FR64" s="100" t="n"/>
      <x:c r="FS64" s="100" t="n"/>
      <x:c r="FT64" s="100" t="n"/>
      <x:c r="FU64" s="100" t="n"/>
      <x:c r="FV64" s="100" t="n"/>
      <x:c r="FW64" s="100" t="n"/>
    </x:row>
    <x:row r="65" s="27" customFormat="1">
      <x:c r="A65" s="125" t="n"/>
      <x:c r="B65" s="39" t="n"/>
      <x:c r="C65" s="86" t="n">
        <x:f>E65*D$5</x:f>
        <x:v>0</x:v>
      </x:c>
      <x:c r="D65" s="523" t="n"/>
      <x:c r="E65" s="86" t="n">
        <x:f>SUM(G65:HT65)</x:f>
        <x:v>0</x:v>
      </x:c>
      <x:c r="F65" s="35" t="n"/>
      <x:c r="G65" s="121" t="n"/>
      <x:c r="H65" s="121" t="n"/>
      <x:c r="I65" s="121" t="n"/>
      <x:c r="J65" s="121" t="n"/>
      <x:c r="K65" s="121" t="n"/>
      <x:c r="L65" s="121" t="n"/>
      <x:c r="M65" s="123" t="n"/>
      <x:c r="N65" s="123" t="n"/>
      <x:c r="O65" s="123" t="n"/>
      <x:c r="P65" s="123" t="n"/>
      <x:c r="Q65" s="123" t="n"/>
      <x:c r="R65" s="123" t="n"/>
      <x:c r="S65" s="123" t="n"/>
      <x:c r="T65" s="123" t="n"/>
      <x:c r="U65" s="123" t="n"/>
      <x:c r="V65" s="123" t="n"/>
      <x:c r="W65" s="123" t="n"/>
      <x:c r="X65" s="123" t="n"/>
      <x:c r="Y65" s="123" t="n"/>
      <x:c r="Z65" s="123" t="n"/>
      <x:c r="AA65" s="123" t="n"/>
      <x:c r="AB65" s="123" t="n"/>
      <x:c r="AC65" s="123" t="n"/>
      <x:c r="AD65" s="123" t="n"/>
      <x:c r="AE65" s="123" t="n"/>
      <x:c r="AF65" s="123" t="n"/>
      <x:c r="AG65" s="123" t="n"/>
      <x:c r="AH65" s="123" t="n"/>
      <x:c r="AI65" s="123" t="n"/>
      <x:c r="AJ65" s="123" t="n"/>
      <x:c r="AK65" s="123" t="n"/>
      <x:c r="AL65" s="123" t="n"/>
      <x:c r="AM65" s="123" t="n"/>
      <x:c r="AN65" s="123" t="n"/>
      <x:c r="AO65" s="123" t="n"/>
      <x:c r="AP65" s="123" t="n"/>
      <x:c r="AQ65" s="123" t="n"/>
      <x:c r="AR65" s="123" t="n"/>
      <x:c r="AS65" s="123" t="n"/>
      <x:c r="AT65" s="123" t="n"/>
      <x:c r="AU65" s="123" t="n"/>
      <x:c r="AV65" s="123" t="n"/>
      <x:c r="AW65" s="123" t="n"/>
      <x:c r="AX65" s="123" t="n"/>
      <x:c r="AY65" s="123" t="n"/>
      <x:c r="AZ65" s="123" t="n"/>
      <x:c r="BA65" s="123" t="n"/>
      <x:c r="BB65" s="123" t="n"/>
      <x:c r="BC65" s="123" t="n"/>
      <x:c r="BD65" s="123" t="n"/>
      <x:c r="BE65" s="124" t="n"/>
      <x:c r="BF65" s="123" t="n"/>
      <x:c r="BG65" s="123" t="n"/>
      <x:c r="BH65" s="123" t="n"/>
      <x:c r="BI65" s="100" t="n"/>
      <x:c r="BJ65" s="100" t="n"/>
      <x:c r="BK65" s="100" t="n"/>
      <x:c r="BL65" s="100" t="n"/>
      <x:c r="BM65" s="100" t="n"/>
      <x:c r="BN65" s="100" t="n"/>
      <x:c r="BO65" s="100" t="n"/>
      <x:c r="BP65" s="100" t="n"/>
      <x:c r="BQ65" s="100" t="n"/>
      <x:c r="BR65" s="100" t="n"/>
      <x:c r="BS65" s="100" t="n"/>
      <x:c r="BT65" s="100" t="n"/>
      <x:c r="BU65" s="100" t="n"/>
      <x:c r="BV65" s="100" t="n"/>
      <x:c r="BW65" s="100" t="n"/>
      <x:c r="BX65" s="100" t="n"/>
      <x:c r="BY65" s="100" t="n"/>
      <x:c r="BZ65" s="100" t="n"/>
      <x:c r="CA65" s="100" t="n"/>
      <x:c r="CB65" s="100" t="n"/>
      <x:c r="CC65" s="100" t="n"/>
      <x:c r="CD65" s="100" t="n"/>
      <x:c r="CE65" s="100" t="n"/>
      <x:c r="CF65" s="100" t="n"/>
      <x:c r="CG65" s="100" t="n"/>
      <x:c r="CH65" s="100" t="n"/>
      <x:c r="CI65" s="100" t="n"/>
      <x:c r="CJ65" s="100" t="n"/>
      <x:c r="CK65" s="100" t="n"/>
      <x:c r="CL65" s="100" t="n"/>
      <x:c r="CM65" s="100" t="n"/>
      <x:c r="CN65" s="100" t="n"/>
      <x:c r="CO65" s="100" t="n"/>
      <x:c r="CP65" s="100" t="n"/>
      <x:c r="CQ65" s="100" t="n"/>
      <x:c r="CR65" s="100" t="n"/>
      <x:c r="CS65" s="100" t="n"/>
      <x:c r="CT65" s="100" t="n"/>
      <x:c r="CU65" s="100" t="n"/>
      <x:c r="CV65" s="100" t="n"/>
      <x:c r="CW65" s="100" t="n"/>
      <x:c r="CX65" s="100" t="n"/>
      <x:c r="CY65" s="100" t="n"/>
      <x:c r="CZ65" s="100" t="n"/>
      <x:c r="DA65" s="100" t="n"/>
      <x:c r="DB65" s="100" t="n"/>
      <x:c r="DC65" s="100" t="n"/>
      <x:c r="DD65" s="100" t="n"/>
      <x:c r="DE65" s="100" t="n"/>
      <x:c r="DF65" s="100" t="n"/>
      <x:c r="DG65" s="100" t="n"/>
      <x:c r="DH65" s="100" t="n"/>
      <x:c r="DI65" s="100" t="n"/>
      <x:c r="DJ65" s="100" t="n"/>
      <x:c r="DK65" s="100" t="n"/>
      <x:c r="DL65" s="100" t="n"/>
      <x:c r="DM65" s="100" t="n"/>
      <x:c r="DN65" s="100" t="n"/>
      <x:c r="DO65" s="100" t="n"/>
      <x:c r="DP65" s="100" t="n"/>
      <x:c r="DQ65" s="100" t="n"/>
      <x:c r="DR65" s="100" t="n"/>
      <x:c r="DS65" s="100" t="n"/>
      <x:c r="DT65" s="100" t="n"/>
      <x:c r="DU65" s="100" t="n"/>
      <x:c r="DV65" s="100" t="n"/>
      <x:c r="DW65" s="100" t="n"/>
      <x:c r="DX65" s="100" t="n"/>
      <x:c r="DY65" s="100" t="n"/>
      <x:c r="DZ65" s="100" t="n"/>
      <x:c r="EA65" s="100" t="n"/>
      <x:c r="EB65" s="100" t="n"/>
      <x:c r="EC65" s="100" t="n"/>
      <x:c r="ED65" s="100" t="n"/>
      <x:c r="EE65" s="100" t="n"/>
      <x:c r="EF65" s="100" t="n"/>
      <x:c r="EG65" s="100" t="n"/>
      <x:c r="EH65" s="100" t="n"/>
      <x:c r="EI65" s="100" t="n"/>
      <x:c r="EJ65" s="100" t="n"/>
      <x:c r="EK65" s="100" t="n"/>
      <x:c r="EL65" s="100" t="n"/>
      <x:c r="EM65" s="100" t="n"/>
      <x:c r="EN65" s="100" t="n"/>
      <x:c r="EO65" s="100" t="n"/>
      <x:c r="EP65" s="100" t="n"/>
      <x:c r="EQ65" s="100" t="n"/>
      <x:c r="ER65" s="100" t="n"/>
      <x:c r="ES65" s="100" t="n"/>
      <x:c r="ET65" s="100" t="n"/>
      <x:c r="EU65" s="100" t="n"/>
      <x:c r="EV65" s="100" t="n"/>
      <x:c r="EW65" s="100" t="n"/>
      <x:c r="EX65" s="100" t="n"/>
      <x:c r="EY65" s="100" t="n"/>
      <x:c r="EZ65" s="100" t="n"/>
      <x:c r="FA65" s="100" t="n"/>
      <x:c r="FB65" s="100" t="n"/>
      <x:c r="FC65" s="100" t="n"/>
      <x:c r="FD65" s="100" t="n"/>
      <x:c r="FE65" s="100" t="n"/>
      <x:c r="FF65" s="100" t="n"/>
      <x:c r="FG65" s="100" t="n"/>
      <x:c r="FH65" s="100" t="n"/>
      <x:c r="FI65" s="100" t="n"/>
      <x:c r="FJ65" s="100" t="n"/>
      <x:c r="FK65" s="100" t="n"/>
      <x:c r="FL65" s="100" t="n"/>
      <x:c r="FM65" s="100" t="n"/>
      <x:c r="FN65" s="100" t="n"/>
      <x:c r="FO65" s="100" t="n"/>
      <x:c r="FP65" s="100" t="n"/>
      <x:c r="FQ65" s="100" t="n"/>
      <x:c r="FR65" s="100" t="n"/>
      <x:c r="FS65" s="100" t="n"/>
      <x:c r="FT65" s="100" t="n"/>
      <x:c r="FU65" s="100" t="n"/>
      <x:c r="FV65" s="100" t="n"/>
      <x:c r="FW65" s="100" t="n"/>
      <x:c r="FX65" s="100" t="n"/>
      <x:c r="FY65" s="100" t="n"/>
      <x:c r="FZ65" s="100" t="n"/>
      <x:c r="GA65" s="100" t="n"/>
      <x:c r="GB65" s="100" t="n"/>
      <x:c r="GC65" s="100" t="n"/>
      <x:c r="GD65" s="100" t="n"/>
      <x:c r="GE65" s="100" t="n"/>
      <x:c r="GF65" s="100" t="n"/>
    </x:row>
    <x:row r="66" s="27" customFormat="1">
      <x:c r="A66" s="125" t="n"/>
      <x:c r="B66" s="39" t="n"/>
      <x:c r="C66" s="86" t="n">
        <x:f>E66*D$5</x:f>
        <x:v>0</x:v>
      </x:c>
      <x:c r="D66" s="523" t="n"/>
      <x:c r="E66" s="86" t="n">
        <x:f>SUM(G66:HT66)</x:f>
        <x:v>0</x:v>
      </x:c>
      <x:c r="F66" s="35" t="n"/>
      <x:c r="G66" s="121" t="n"/>
      <x:c r="H66" s="121" t="n"/>
      <x:c r="I66" s="121" t="n"/>
      <x:c r="J66" s="121" t="n"/>
      <x:c r="K66" s="121" t="n"/>
      <x:c r="L66" s="121" t="n"/>
      <x:c r="M66" s="123" t="n"/>
      <x:c r="N66" s="123" t="n"/>
      <x:c r="O66" s="123" t="n"/>
      <x:c r="P66" s="123" t="n"/>
      <x:c r="Q66" s="123" t="n"/>
      <x:c r="R66" s="123" t="n"/>
      <x:c r="S66" s="123" t="n"/>
      <x:c r="T66" s="123" t="n"/>
      <x:c r="U66" s="123" t="n"/>
      <x:c r="V66" s="123" t="n"/>
      <x:c r="W66" s="123" t="n"/>
      <x:c r="X66" s="123" t="n"/>
      <x:c r="Y66" s="123" t="n"/>
      <x:c r="Z66" s="123" t="n"/>
      <x:c r="AA66" s="123" t="n"/>
      <x:c r="AB66" s="123" t="n"/>
      <x:c r="AC66" s="123" t="n"/>
      <x:c r="AD66" s="123" t="n"/>
      <x:c r="AE66" s="123" t="n"/>
      <x:c r="AF66" s="123" t="n"/>
      <x:c r="AG66" s="123" t="n"/>
      <x:c r="AH66" s="123" t="n"/>
      <x:c r="AI66" s="123" t="n"/>
      <x:c r="AJ66" s="123" t="n"/>
      <x:c r="AK66" s="123" t="n"/>
      <x:c r="AL66" s="123" t="n"/>
      <x:c r="AM66" s="123" t="n"/>
      <x:c r="AN66" s="123" t="n"/>
      <x:c r="AO66" s="123" t="n"/>
      <x:c r="AP66" s="123" t="n"/>
      <x:c r="AQ66" s="123" t="n"/>
      <x:c r="AR66" s="123" t="n"/>
      <x:c r="AS66" s="123" t="n"/>
      <x:c r="AT66" s="123" t="n"/>
      <x:c r="AU66" s="123" t="n"/>
      <x:c r="AV66" s="123" t="n"/>
      <x:c r="AW66" s="123" t="n"/>
      <x:c r="AX66" s="123" t="n"/>
      <x:c r="AY66" s="123" t="n"/>
      <x:c r="AZ66" s="123" t="n"/>
      <x:c r="BA66" s="123" t="n"/>
      <x:c r="BB66" s="123" t="n"/>
      <x:c r="BC66" s="123" t="n"/>
      <x:c r="BD66" s="123" t="n"/>
      <x:c r="BE66" s="124" t="n"/>
      <x:c r="BF66" s="123" t="n"/>
      <x:c r="BG66" s="123" t="n"/>
      <x:c r="BH66" s="123" t="n"/>
      <x:c r="BI66" s="100" t="n"/>
      <x:c r="BJ66" s="100" t="n"/>
      <x:c r="BK66" s="100" t="n"/>
      <x:c r="BL66" s="100" t="n"/>
      <x:c r="BM66" s="100" t="n"/>
      <x:c r="BN66" s="100" t="n"/>
      <x:c r="BO66" s="100" t="n"/>
      <x:c r="BP66" s="100" t="n"/>
      <x:c r="BQ66" s="100" t="n"/>
      <x:c r="BR66" s="100" t="n"/>
      <x:c r="BS66" s="100" t="n"/>
      <x:c r="BT66" s="100" t="n"/>
      <x:c r="BU66" s="100" t="n"/>
      <x:c r="BV66" s="100" t="n"/>
      <x:c r="BW66" s="100" t="n"/>
      <x:c r="BX66" s="100" t="n"/>
      <x:c r="BY66" s="100" t="n"/>
      <x:c r="BZ66" s="100" t="n"/>
      <x:c r="CA66" s="100" t="n"/>
      <x:c r="CB66" s="100" t="n"/>
      <x:c r="CC66" s="100" t="n"/>
      <x:c r="CD66" s="100" t="n"/>
      <x:c r="CE66" s="100" t="n"/>
      <x:c r="CF66" s="100" t="n"/>
      <x:c r="CG66" s="100" t="n"/>
      <x:c r="CH66" s="100" t="n"/>
      <x:c r="CI66" s="100" t="n"/>
      <x:c r="CJ66" s="100" t="n"/>
      <x:c r="CK66" s="100" t="n"/>
      <x:c r="CL66" s="100" t="n"/>
      <x:c r="CM66" s="100" t="n"/>
      <x:c r="CN66" s="100" t="n"/>
      <x:c r="CO66" s="100" t="n"/>
      <x:c r="CP66" s="100" t="n"/>
      <x:c r="CQ66" s="100" t="n"/>
      <x:c r="CR66" s="100" t="n"/>
      <x:c r="CS66" s="100" t="n"/>
      <x:c r="CT66" s="100" t="n"/>
      <x:c r="CU66" s="100" t="n"/>
      <x:c r="CV66" s="100" t="n"/>
      <x:c r="CW66" s="100" t="n"/>
      <x:c r="CX66" s="100" t="n"/>
      <x:c r="CY66" s="100" t="n"/>
      <x:c r="CZ66" s="100" t="n"/>
      <x:c r="DA66" s="100" t="n"/>
      <x:c r="DB66" s="100" t="n"/>
      <x:c r="DC66" s="100" t="n"/>
      <x:c r="DD66" s="100" t="n"/>
      <x:c r="DE66" s="100" t="n"/>
      <x:c r="DF66" s="100" t="n"/>
      <x:c r="DG66" s="100" t="n"/>
      <x:c r="DH66" s="100" t="n"/>
      <x:c r="DI66" s="100" t="n"/>
      <x:c r="DJ66" s="100" t="n"/>
      <x:c r="DK66" s="100" t="n"/>
      <x:c r="DL66" s="100" t="n"/>
      <x:c r="DM66" s="100" t="n"/>
      <x:c r="DN66" s="100" t="n"/>
      <x:c r="DO66" s="100" t="n"/>
      <x:c r="DP66" s="100" t="n"/>
      <x:c r="DQ66" s="100" t="n"/>
      <x:c r="DR66" s="100" t="n"/>
      <x:c r="DS66" s="100" t="n"/>
      <x:c r="DT66" s="100" t="n"/>
      <x:c r="DU66" s="100" t="n"/>
      <x:c r="DV66" s="100" t="n"/>
      <x:c r="DW66" s="100" t="n"/>
      <x:c r="DX66" s="100" t="n"/>
      <x:c r="DY66" s="100" t="n"/>
      <x:c r="DZ66" s="100" t="n"/>
      <x:c r="EA66" s="100" t="n"/>
      <x:c r="EB66" s="100" t="n"/>
      <x:c r="EC66" s="100" t="n"/>
      <x:c r="ED66" s="100" t="n"/>
      <x:c r="EE66" s="100" t="n"/>
      <x:c r="EF66" s="100" t="n"/>
      <x:c r="EG66" s="100" t="n"/>
      <x:c r="EH66" s="100" t="n"/>
      <x:c r="EI66" s="100" t="n"/>
      <x:c r="EJ66" s="100" t="n"/>
      <x:c r="EK66" s="100" t="n"/>
      <x:c r="EL66" s="100" t="n"/>
      <x:c r="EM66" s="100" t="n"/>
      <x:c r="EN66" s="100" t="n"/>
      <x:c r="EO66" s="100" t="n"/>
      <x:c r="EP66" s="100" t="n"/>
      <x:c r="EQ66" s="100" t="n"/>
      <x:c r="ER66" s="100" t="n"/>
      <x:c r="ES66" s="100" t="n"/>
      <x:c r="ET66" s="100" t="n"/>
      <x:c r="EU66" s="100" t="n"/>
      <x:c r="EV66" s="100" t="n"/>
      <x:c r="EW66" s="100" t="n"/>
      <x:c r="EX66" s="100" t="n"/>
      <x:c r="EY66" s="100" t="n"/>
      <x:c r="EZ66" s="100" t="n"/>
      <x:c r="FA66" s="100" t="n"/>
      <x:c r="FB66" s="100" t="n"/>
      <x:c r="FC66" s="100" t="n"/>
      <x:c r="FD66" s="100" t="n"/>
      <x:c r="FE66" s="100" t="n"/>
      <x:c r="FF66" s="100" t="n"/>
      <x:c r="FG66" s="100" t="n"/>
      <x:c r="FH66" s="100" t="n"/>
      <x:c r="FI66" s="100" t="n"/>
      <x:c r="FJ66" s="100" t="n"/>
      <x:c r="FK66" s="100" t="n"/>
      <x:c r="FL66" s="100" t="n"/>
      <x:c r="FM66" s="100" t="n"/>
      <x:c r="FN66" s="100" t="n"/>
      <x:c r="FO66" s="100" t="n"/>
      <x:c r="FP66" s="100" t="n"/>
      <x:c r="FQ66" s="100" t="n"/>
      <x:c r="FR66" s="100" t="n"/>
      <x:c r="FS66" s="100" t="n"/>
      <x:c r="FT66" s="100" t="n"/>
      <x:c r="FU66" s="100" t="n"/>
      <x:c r="FV66" s="100" t="n"/>
      <x:c r="FW66" s="100" t="n"/>
      <x:c r="FX66" s="100" t="n"/>
      <x:c r="FY66" s="100" t="n"/>
      <x:c r="FZ66" s="100" t="n"/>
      <x:c r="GA66" s="100" t="n"/>
      <x:c r="GB66" s="100" t="n"/>
      <x:c r="GC66" s="100" t="n"/>
      <x:c r="GD66" s="100" t="n"/>
      <x:c r="GE66" s="100" t="n"/>
      <x:c r="GF66" s="100" t="n"/>
    </x:row>
    <x:row r="67" s="27" customFormat="1">
      <x:c r="A67" s="125" t="n"/>
      <x:c r="B67" s="39" t="n"/>
      <x:c r="C67" s="36" t="n">
        <x:f>E67*D$5</x:f>
        <x:v>0</x:v>
      </x:c>
      <x:c r="D67" s="4" t="n"/>
      <x:c r="E67" s="36" t="n">
        <x:f>SUM(G67:HT67)</x:f>
        <x:v>0</x:v>
      </x:c>
      <x:c r="F67" s="35" t="n"/>
      <x:c r="G67" s="121" t="n"/>
      <x:c r="H67" s="121" t="n"/>
      <x:c r="I67" s="122" t="n"/>
      <x:c r="J67" s="121" t="n"/>
      <x:c r="K67" s="121" t="n"/>
      <x:c r="L67" s="121" t="n"/>
      <x:c r="M67" s="123" t="n"/>
      <x:c r="N67" s="123" t="n"/>
      <x:c r="O67" s="123" t="n"/>
      <x:c r="P67" s="123" t="n"/>
      <x:c r="Q67" s="123" t="n"/>
      <x:c r="R67" s="123" t="n"/>
      <x:c r="S67" s="123" t="n"/>
      <x:c r="T67" s="123" t="n"/>
      <x:c r="U67" s="123" t="n"/>
      <x:c r="V67" s="123" t="n"/>
      <x:c r="W67" s="123" t="n"/>
      <x:c r="X67" s="123" t="n"/>
      <x:c r="Y67" s="123" t="n"/>
      <x:c r="Z67" s="123" t="n"/>
      <x:c r="AA67" s="123" t="n"/>
      <x:c r="AB67" s="123" t="n"/>
      <x:c r="AC67" s="123" t="n"/>
      <x:c r="AD67" s="123" t="n"/>
      <x:c r="AE67" s="123" t="n"/>
      <x:c r="AF67" s="123" t="n"/>
      <x:c r="AG67" s="123" t="n"/>
      <x:c r="AH67" s="123" t="n"/>
      <x:c r="AI67" s="123" t="n"/>
      <x:c r="AJ67" s="123" t="n"/>
      <x:c r="AK67" s="123" t="n"/>
      <x:c r="AL67" s="123" t="n"/>
      <x:c r="AM67" s="123" t="n"/>
      <x:c r="AN67" s="123" t="n"/>
      <x:c r="AO67" s="123" t="n"/>
      <x:c r="AP67" s="123" t="n"/>
      <x:c r="AQ67" s="123" t="n"/>
      <x:c r="AR67" s="123" t="n"/>
      <x:c r="AS67" s="123" t="n"/>
      <x:c r="AT67" s="123" t="n"/>
      <x:c r="AU67" s="123" t="n"/>
      <x:c r="AV67" s="123" t="n"/>
      <x:c r="AW67" s="123" t="n"/>
      <x:c r="AX67" s="123" t="n"/>
      <x:c r="AY67" s="123" t="n"/>
      <x:c r="AZ67" s="123" t="n"/>
      <x:c r="BA67" s="123" t="n"/>
      <x:c r="BB67" s="123" t="n"/>
      <x:c r="BC67" s="123" t="n"/>
      <x:c r="BD67" s="123" t="n"/>
      <x:c r="BE67" s="124" t="n"/>
      <x:c r="BF67" s="123" t="n"/>
      <x:c r="BG67" s="123" t="n"/>
      <x:c r="BH67" s="123" t="n"/>
      <x:c r="BI67" s="100" t="n"/>
      <x:c r="BJ67" s="100" t="n"/>
      <x:c r="BK67" s="100" t="n"/>
      <x:c r="BL67" s="100" t="n"/>
      <x:c r="BM67" s="100" t="n"/>
      <x:c r="BN67" s="100" t="n"/>
      <x:c r="BO67" s="100" t="n"/>
      <x:c r="BP67" s="100" t="n"/>
      <x:c r="BQ67" s="100" t="n"/>
      <x:c r="BR67" s="100" t="n"/>
      <x:c r="BS67" s="100" t="n"/>
      <x:c r="BT67" s="100" t="n"/>
      <x:c r="BU67" s="100" t="n"/>
      <x:c r="BV67" s="100" t="n"/>
      <x:c r="BW67" s="100" t="n"/>
      <x:c r="BX67" s="100" t="n"/>
      <x:c r="BY67" s="100" t="n"/>
      <x:c r="BZ67" s="100" t="n"/>
      <x:c r="CA67" s="100" t="n"/>
      <x:c r="CB67" s="100" t="n"/>
      <x:c r="CC67" s="100" t="n"/>
      <x:c r="CD67" s="100" t="n"/>
      <x:c r="CE67" s="100" t="n"/>
      <x:c r="CF67" s="100" t="n"/>
      <x:c r="CG67" s="100" t="n"/>
      <x:c r="CH67" s="100" t="n"/>
      <x:c r="CI67" s="100" t="n"/>
      <x:c r="CJ67" s="100" t="n"/>
      <x:c r="CK67" s="100" t="n"/>
      <x:c r="CL67" s="100" t="n"/>
      <x:c r="CM67" s="100" t="n"/>
      <x:c r="CN67" s="100" t="n"/>
      <x:c r="CO67" s="100" t="n"/>
      <x:c r="CP67" s="100" t="n"/>
      <x:c r="CQ67" s="100" t="n"/>
      <x:c r="CR67" s="100" t="n"/>
      <x:c r="CS67" s="100" t="n"/>
      <x:c r="CT67" s="100" t="n"/>
      <x:c r="CU67" s="100" t="n"/>
      <x:c r="CV67" s="100" t="n"/>
      <x:c r="CW67" s="100" t="n"/>
      <x:c r="CX67" s="100" t="n"/>
      <x:c r="CY67" s="100" t="n"/>
      <x:c r="CZ67" s="100" t="n"/>
      <x:c r="DA67" s="100" t="n"/>
      <x:c r="DB67" s="100" t="n"/>
      <x:c r="DC67" s="100" t="n"/>
      <x:c r="DD67" s="100" t="n"/>
      <x:c r="DE67" s="100" t="n"/>
      <x:c r="DF67" s="100" t="n"/>
      <x:c r="DG67" s="100" t="n"/>
      <x:c r="DH67" s="100" t="n"/>
      <x:c r="DI67" s="100" t="n"/>
      <x:c r="DJ67" s="100" t="n"/>
      <x:c r="DK67" s="100" t="n"/>
      <x:c r="DL67" s="100" t="n"/>
      <x:c r="DM67" s="100" t="n"/>
      <x:c r="DN67" s="100" t="n"/>
      <x:c r="DO67" s="100" t="n"/>
      <x:c r="DP67" s="100" t="n"/>
      <x:c r="DQ67" s="100" t="n"/>
      <x:c r="DR67" s="100" t="n"/>
      <x:c r="DS67" s="100" t="n"/>
      <x:c r="DT67" s="100" t="n"/>
      <x:c r="DU67" s="100" t="n"/>
      <x:c r="DV67" s="100" t="n"/>
      <x:c r="DW67" s="100" t="n"/>
      <x:c r="DX67" s="100" t="n"/>
      <x:c r="DY67" s="100" t="n"/>
      <x:c r="DZ67" s="100" t="n"/>
      <x:c r="EA67" s="100" t="n"/>
      <x:c r="EB67" s="100" t="n"/>
      <x:c r="EC67" s="100" t="n"/>
      <x:c r="ED67" s="100" t="n"/>
      <x:c r="EE67" s="100" t="n"/>
      <x:c r="EF67" s="100" t="n"/>
      <x:c r="EG67" s="100" t="n"/>
      <x:c r="EH67" s="100" t="n"/>
      <x:c r="EI67" s="100" t="n"/>
      <x:c r="EJ67" s="100" t="n"/>
      <x:c r="EK67" s="100" t="n"/>
      <x:c r="EL67" s="100" t="n"/>
      <x:c r="EM67" s="100" t="n"/>
      <x:c r="EN67" s="100" t="n"/>
      <x:c r="EO67" s="100" t="n"/>
      <x:c r="EP67" s="100" t="n"/>
      <x:c r="EQ67" s="100" t="n"/>
      <x:c r="ER67" s="100" t="n"/>
      <x:c r="ES67" s="100" t="n"/>
      <x:c r="ET67" s="100" t="n"/>
      <x:c r="EU67" s="100" t="n"/>
      <x:c r="EV67" s="100" t="n"/>
      <x:c r="EW67" s="100" t="n"/>
      <x:c r="EX67" s="100" t="n"/>
      <x:c r="EY67" s="100" t="n"/>
      <x:c r="EZ67" s="100" t="n"/>
      <x:c r="FA67" s="100" t="n"/>
      <x:c r="FB67" s="100" t="n"/>
      <x:c r="FC67" s="100" t="n"/>
      <x:c r="FD67" s="100" t="n"/>
      <x:c r="FE67" s="100" t="n"/>
      <x:c r="FF67" s="100" t="n"/>
      <x:c r="FG67" s="100" t="n"/>
      <x:c r="FH67" s="100" t="n"/>
      <x:c r="FI67" s="100" t="n"/>
      <x:c r="FJ67" s="100" t="n"/>
      <x:c r="FK67" s="100" t="n"/>
      <x:c r="FL67" s="100" t="n"/>
      <x:c r="FM67" s="100" t="n"/>
      <x:c r="FN67" s="100" t="n"/>
      <x:c r="FO67" s="100" t="n"/>
      <x:c r="FP67" s="100" t="n"/>
      <x:c r="FQ67" s="100" t="n"/>
      <x:c r="FR67" s="100" t="n"/>
      <x:c r="FS67" s="100" t="n"/>
      <x:c r="FT67" s="100" t="n"/>
      <x:c r="FU67" s="100" t="n"/>
      <x:c r="FV67" s="100" t="n"/>
      <x:c r="FW67" s="100" t="n"/>
      <x:c r="FX67" s="100" t="n"/>
      <x:c r="FY67" s="100" t="n"/>
      <x:c r="FZ67" s="100" t="n"/>
      <x:c r="GA67" s="100" t="n"/>
      <x:c r="GB67" s="100" t="n"/>
      <x:c r="GC67" s="100" t="n"/>
      <x:c r="GD67" s="100" t="n"/>
      <x:c r="GE67" s="100" t="n"/>
      <x:c r="GF67" s="100" t="n"/>
    </x:row>
    <x:row r="68" s="27" customFormat="1">
      <x:c r="A68" s="38" t="n"/>
      <x:c r="B68" s="39" t="n"/>
      <x:c r="C68" s="36" t="n">
        <x:f>E68*D$5</x:f>
        <x:v>0</x:v>
      </x:c>
      <x:c r="D68" s="523" t="n"/>
      <x:c r="E68" s="36" t="n">
        <x:f>SUM(G68:HT68)</x:f>
        <x:v>0</x:v>
      </x:c>
      <x:c r="F68" s="35" t="n"/>
      <x:c r="G68" s="121" t="n"/>
      <x:c r="H68" s="121" t="n"/>
      <x:c r="I68" s="122" t="n"/>
      <x:c r="J68" s="121" t="n"/>
      <x:c r="K68" s="121" t="n"/>
      <x:c r="L68" s="121" t="n"/>
      <x:c r="M68" s="123" t="n"/>
      <x:c r="N68" s="123" t="n"/>
      <x:c r="O68" s="123" t="n"/>
      <x:c r="P68" s="123" t="n"/>
      <x:c r="Q68" s="123" t="n"/>
      <x:c r="R68" s="123" t="n"/>
      <x:c r="S68" s="123" t="n"/>
      <x:c r="T68" s="123" t="n"/>
      <x:c r="U68" s="123" t="n"/>
      <x:c r="V68" s="123" t="n"/>
      <x:c r="W68" s="123" t="n"/>
      <x:c r="X68" s="123" t="n"/>
      <x:c r="Y68" s="123" t="n"/>
      <x:c r="Z68" s="123" t="n"/>
      <x:c r="AA68" s="123" t="n"/>
      <x:c r="AB68" s="123" t="n"/>
      <x:c r="AC68" s="123" t="n"/>
      <x:c r="AD68" s="123" t="n"/>
      <x:c r="AE68" s="123" t="n"/>
      <x:c r="AF68" s="123" t="n"/>
      <x:c r="AG68" s="123" t="n"/>
      <x:c r="AH68" s="123" t="n"/>
      <x:c r="AI68" s="123" t="n"/>
      <x:c r="AJ68" s="123" t="n"/>
      <x:c r="AK68" s="123" t="n"/>
      <x:c r="AL68" s="123" t="n"/>
      <x:c r="AM68" s="123" t="n"/>
      <x:c r="AN68" s="123" t="n"/>
      <x:c r="AO68" s="123" t="n"/>
      <x:c r="AP68" s="123" t="n"/>
      <x:c r="AQ68" s="123" t="n"/>
      <x:c r="AR68" s="123" t="n"/>
      <x:c r="AS68" s="123" t="n"/>
      <x:c r="AT68" s="123" t="n"/>
      <x:c r="AU68" s="123" t="n"/>
      <x:c r="AV68" s="123" t="n"/>
      <x:c r="AW68" s="123" t="n"/>
      <x:c r="AX68" s="123" t="n"/>
      <x:c r="AY68" s="123" t="n"/>
      <x:c r="AZ68" s="123" t="n"/>
      <x:c r="BA68" s="123" t="n"/>
      <x:c r="BB68" s="123" t="n"/>
      <x:c r="BC68" s="123" t="n"/>
      <x:c r="BD68" s="123" t="n"/>
      <x:c r="BE68" s="123" t="n"/>
      <x:c r="BF68" s="124" t="n"/>
      <x:c r="BG68" s="123" t="n"/>
      <x:c r="BH68" s="123" t="n"/>
      <x:c r="BI68" s="100" t="n"/>
      <x:c r="BJ68" s="100" t="n"/>
      <x:c r="BK68" s="100" t="n"/>
      <x:c r="BL68" s="100" t="n"/>
      <x:c r="BM68" s="100" t="n"/>
      <x:c r="BN68" s="100" t="n"/>
      <x:c r="BO68" s="100" t="n"/>
      <x:c r="BP68" s="100" t="n"/>
      <x:c r="BQ68" s="100" t="n"/>
      <x:c r="BR68" s="100" t="n"/>
      <x:c r="BS68" s="100" t="n"/>
      <x:c r="BT68" s="100" t="n"/>
      <x:c r="BU68" s="100" t="n"/>
      <x:c r="BV68" s="100" t="n"/>
      <x:c r="BW68" s="100" t="n"/>
      <x:c r="BX68" s="100" t="n"/>
      <x:c r="BY68" s="100" t="n"/>
      <x:c r="BZ68" s="100" t="n"/>
      <x:c r="CA68" s="100" t="n"/>
      <x:c r="CB68" s="100" t="n"/>
      <x:c r="CC68" s="100" t="n"/>
      <x:c r="CD68" s="100" t="n"/>
      <x:c r="CE68" s="100" t="n"/>
      <x:c r="CF68" s="100" t="n"/>
      <x:c r="CG68" s="100" t="n"/>
      <x:c r="CH68" s="100" t="n"/>
      <x:c r="CI68" s="100" t="n"/>
      <x:c r="CJ68" s="100" t="n"/>
      <x:c r="CK68" s="100" t="n"/>
      <x:c r="CL68" s="100" t="n"/>
      <x:c r="CM68" s="100" t="n"/>
      <x:c r="CN68" s="100" t="n"/>
      <x:c r="CO68" s="100" t="n"/>
      <x:c r="CP68" s="100" t="n"/>
      <x:c r="CQ68" s="100" t="n"/>
      <x:c r="CR68" s="100" t="n"/>
      <x:c r="CS68" s="100" t="n"/>
      <x:c r="CT68" s="100" t="n"/>
      <x:c r="CU68" s="100" t="n"/>
      <x:c r="CV68" s="100" t="n"/>
      <x:c r="CW68" s="100" t="n"/>
      <x:c r="CX68" s="100" t="n"/>
      <x:c r="CY68" s="100" t="n"/>
      <x:c r="CZ68" s="100" t="n"/>
      <x:c r="DA68" s="100" t="n"/>
      <x:c r="DB68" s="100" t="n"/>
      <x:c r="DC68" s="100" t="n"/>
      <x:c r="DD68" s="100" t="n"/>
      <x:c r="DE68" s="100" t="n"/>
      <x:c r="DF68" s="100" t="n"/>
      <x:c r="DG68" s="100" t="n"/>
      <x:c r="DH68" s="100" t="n"/>
      <x:c r="DI68" s="100" t="n"/>
      <x:c r="DJ68" s="100" t="n"/>
      <x:c r="DK68" s="100" t="n"/>
      <x:c r="DL68" s="100" t="n"/>
      <x:c r="DM68" s="100" t="n"/>
      <x:c r="DN68" s="100" t="n"/>
      <x:c r="DO68" s="100" t="n"/>
      <x:c r="DP68" s="100" t="n"/>
      <x:c r="DQ68" s="100" t="n"/>
      <x:c r="DR68" s="100" t="n"/>
      <x:c r="DS68" s="100" t="n"/>
      <x:c r="DT68" s="100" t="n"/>
      <x:c r="DU68" s="100" t="n"/>
      <x:c r="DV68" s="100" t="n"/>
      <x:c r="DW68" s="100" t="n"/>
      <x:c r="DX68" s="100" t="n"/>
      <x:c r="DY68" s="100" t="n"/>
      <x:c r="DZ68" s="100" t="n"/>
      <x:c r="EA68" s="100" t="n"/>
      <x:c r="EB68" s="100" t="n"/>
      <x:c r="EC68" s="100" t="n"/>
      <x:c r="ED68" s="100" t="n"/>
      <x:c r="EE68" s="100" t="n"/>
      <x:c r="EF68" s="100" t="n"/>
      <x:c r="EG68" s="100" t="n"/>
      <x:c r="EH68" s="100" t="n"/>
      <x:c r="EI68" s="100" t="n"/>
      <x:c r="EJ68" s="100" t="n"/>
      <x:c r="EK68" s="100" t="n"/>
      <x:c r="EL68" s="100" t="n"/>
      <x:c r="EM68" s="100" t="n"/>
      <x:c r="EN68" s="100" t="n"/>
      <x:c r="EO68" s="100" t="n"/>
      <x:c r="EP68" s="100" t="n"/>
      <x:c r="EQ68" s="100" t="n"/>
      <x:c r="ER68" s="100" t="n"/>
      <x:c r="ES68" s="100" t="n"/>
      <x:c r="ET68" s="100" t="n"/>
      <x:c r="EU68" s="100" t="n"/>
      <x:c r="EV68" s="100" t="n"/>
      <x:c r="EW68" s="100" t="n"/>
      <x:c r="EX68" s="100" t="n"/>
      <x:c r="EY68" s="100" t="n"/>
      <x:c r="EZ68" s="100" t="n"/>
      <x:c r="FA68" s="100" t="n"/>
      <x:c r="FB68" s="100" t="n"/>
      <x:c r="FC68" s="100" t="n"/>
      <x:c r="FD68" s="100" t="n"/>
      <x:c r="FE68" s="100" t="n"/>
      <x:c r="FF68" s="100" t="n"/>
      <x:c r="FG68" s="100" t="n"/>
      <x:c r="FH68" s="100" t="n"/>
      <x:c r="FI68" s="100" t="n"/>
      <x:c r="FJ68" s="100" t="n"/>
      <x:c r="FK68" s="100" t="n"/>
      <x:c r="FL68" s="100" t="n"/>
      <x:c r="FM68" s="100" t="n"/>
      <x:c r="FN68" s="100" t="n"/>
      <x:c r="FO68" s="100" t="n"/>
      <x:c r="FP68" s="100" t="n"/>
      <x:c r="FQ68" s="100" t="n"/>
      <x:c r="FR68" s="100" t="n"/>
      <x:c r="FS68" s="100" t="n"/>
      <x:c r="FT68" s="100" t="n"/>
      <x:c r="FU68" s="100" t="n"/>
      <x:c r="FV68" s="100" t="n"/>
      <x:c r="FW68" s="100" t="n"/>
      <x:c r="FX68" s="100" t="n"/>
      <x:c r="FY68" s="100" t="n"/>
      <x:c r="FZ68" s="100" t="n"/>
      <x:c r="GA68" s="100" t="n"/>
      <x:c r="GB68" s="100" t="n"/>
      <x:c r="GC68" s="100" t="n"/>
      <x:c r="GD68" s="100" t="n"/>
      <x:c r="GE68" s="100" t="n"/>
      <x:c r="GF68" s="100" t="n"/>
    </x:row>
    <x:row r="69" s="27" customFormat="1">
      <x:c r="A69" s="38" t="n"/>
      <x:c r="B69" s="37" t="n"/>
      <x:c r="C69" s="36" t="n">
        <x:f>E69*D$5</x:f>
        <x:v>0</x:v>
      </x:c>
      <x:c r="D69" s="4" t="n"/>
      <x:c r="E69" s="36" t="n">
        <x:f>SUM(G69:HT69)</x:f>
        <x:v>0</x:v>
      </x:c>
      <x:c r="H69" s="121" t="n"/>
      <x:c r="I69" s="121" t="n"/>
      <x:c r="J69" s="121" t="n"/>
      <x:c r="K69" s="121" t="n"/>
      <x:c r="L69" s="121" t="n"/>
      <x:c r="M69" s="123" t="n"/>
      <x:c r="N69" s="123" t="n"/>
      <x:c r="O69" s="123" t="n"/>
      <x:c r="P69" s="123" t="n"/>
      <x:c r="Q69" s="123" t="n"/>
      <x:c r="R69" s="123" t="n"/>
      <x:c r="S69" s="123" t="n"/>
      <x:c r="T69" s="123" t="n"/>
      <x:c r="U69" s="123" t="n"/>
      <x:c r="V69" s="123" t="n"/>
      <x:c r="W69" s="123" t="n"/>
      <x:c r="X69" s="123" t="n"/>
      <x:c r="Y69" s="123" t="n"/>
      <x:c r="Z69" s="123" t="n"/>
      <x:c r="AA69" s="123" t="n"/>
      <x:c r="AB69" s="123" t="n"/>
      <x:c r="AC69" s="123" t="n"/>
      <x:c r="AD69" s="123" t="n"/>
      <x:c r="AE69" s="123" t="n"/>
      <x:c r="AF69" s="123" t="n"/>
      <x:c r="AG69" s="123" t="n"/>
      <x:c r="AH69" s="123" t="n"/>
      <x:c r="AI69" s="123" t="n"/>
      <x:c r="AJ69" s="123" t="n"/>
      <x:c r="AK69" s="123" t="n"/>
      <x:c r="AL69" s="123" t="n"/>
      <x:c r="AM69" s="123" t="n"/>
      <x:c r="AN69" s="123" t="n"/>
      <x:c r="AO69" s="123" t="n"/>
      <x:c r="AP69" s="123" t="n"/>
      <x:c r="AQ69" s="123" t="n"/>
      <x:c r="AR69" s="123" t="n"/>
      <x:c r="AS69" s="123" t="n"/>
      <x:c r="AT69" s="123" t="n"/>
      <x:c r="AU69" s="123" t="n"/>
      <x:c r="AV69" s="123" t="n"/>
      <x:c r="AW69" s="123" t="n"/>
      <x:c r="AX69" s="123" t="n"/>
      <x:c r="AY69" s="123" t="n"/>
      <x:c r="AZ69" s="123" t="n"/>
      <x:c r="BA69" s="123" t="n"/>
      <x:c r="BB69" s="123" t="n"/>
      <x:c r="BC69" s="123" t="n"/>
      <x:c r="BD69" s="123" t="n"/>
      <x:c r="BE69" s="123" t="n"/>
      <x:c r="BF69" s="123" t="n"/>
      <x:c r="BG69" s="123" t="n"/>
      <x:c r="BH69" s="123" t="n"/>
      <x:c r="BI69" s="100" t="n"/>
      <x:c r="BJ69" s="100" t="n"/>
      <x:c r="BK69" s="100" t="n"/>
      <x:c r="BL69" s="100" t="n"/>
      <x:c r="BM69" s="100" t="n"/>
      <x:c r="BN69" s="100" t="n"/>
      <x:c r="BO69" s="100" t="n"/>
      <x:c r="BP69" s="100" t="n"/>
      <x:c r="BQ69" s="100" t="n"/>
      <x:c r="BR69" s="100" t="n"/>
      <x:c r="BS69" s="100" t="n"/>
      <x:c r="BT69" s="100" t="n"/>
      <x:c r="BU69" s="100" t="n"/>
      <x:c r="BV69" s="100" t="n"/>
      <x:c r="BW69" s="100" t="n"/>
      <x:c r="BX69" s="100" t="n"/>
      <x:c r="BY69" s="100" t="n"/>
      <x:c r="BZ69" s="100" t="n"/>
      <x:c r="CA69" s="100" t="n"/>
      <x:c r="CB69" s="100" t="n"/>
      <x:c r="CC69" s="100" t="n"/>
      <x:c r="CD69" s="100" t="n"/>
      <x:c r="CE69" s="100" t="n"/>
      <x:c r="CF69" s="100" t="n"/>
      <x:c r="CG69" s="100" t="n"/>
      <x:c r="CH69" s="100" t="n"/>
      <x:c r="CI69" s="100" t="n"/>
      <x:c r="CJ69" s="100" t="n"/>
      <x:c r="CK69" s="100" t="n"/>
      <x:c r="CL69" s="100" t="n"/>
      <x:c r="CM69" s="100" t="n"/>
      <x:c r="CN69" s="100" t="n"/>
      <x:c r="CO69" s="100" t="n"/>
      <x:c r="CP69" s="100" t="n"/>
      <x:c r="CQ69" s="100" t="n"/>
      <x:c r="CR69" s="100" t="n"/>
      <x:c r="CS69" s="100" t="n"/>
      <x:c r="CT69" s="100" t="n"/>
      <x:c r="CU69" s="100" t="n"/>
      <x:c r="CV69" s="100" t="n"/>
      <x:c r="CW69" s="100" t="n"/>
      <x:c r="CX69" s="100" t="n"/>
      <x:c r="CY69" s="100" t="n"/>
      <x:c r="CZ69" s="100" t="n"/>
      <x:c r="DA69" s="100" t="n"/>
      <x:c r="DB69" s="100" t="n"/>
      <x:c r="DC69" s="100" t="n"/>
      <x:c r="DD69" s="100" t="n"/>
      <x:c r="DE69" s="100" t="n"/>
      <x:c r="DF69" s="100" t="n"/>
      <x:c r="DG69" s="100" t="n"/>
      <x:c r="DH69" s="100" t="n"/>
      <x:c r="DI69" s="100" t="n"/>
      <x:c r="DJ69" s="100" t="n"/>
      <x:c r="DK69" s="100" t="n"/>
      <x:c r="DL69" s="100" t="n"/>
      <x:c r="DM69" s="100" t="n"/>
      <x:c r="DN69" s="100" t="n"/>
      <x:c r="DO69" s="100" t="n"/>
      <x:c r="DP69" s="100" t="n"/>
      <x:c r="DQ69" s="100" t="n"/>
      <x:c r="DR69" s="100" t="n"/>
      <x:c r="DS69" s="100" t="n"/>
      <x:c r="DT69" s="100" t="n"/>
      <x:c r="DU69" s="100" t="n"/>
      <x:c r="DV69" s="100" t="n"/>
      <x:c r="DW69" s="100" t="n"/>
      <x:c r="DX69" s="100" t="n"/>
      <x:c r="DY69" s="100" t="n"/>
      <x:c r="DZ69" s="100" t="n"/>
      <x:c r="EA69" s="100" t="n"/>
      <x:c r="EB69" s="100" t="n"/>
      <x:c r="EC69" s="100" t="n"/>
      <x:c r="ED69" s="100" t="n"/>
      <x:c r="EE69" s="100" t="n"/>
      <x:c r="EF69" s="100" t="n"/>
      <x:c r="EG69" s="100" t="n"/>
      <x:c r="EH69" s="100" t="n"/>
      <x:c r="EI69" s="100" t="n"/>
      <x:c r="EJ69" s="100" t="n"/>
      <x:c r="EK69" s="100" t="n"/>
      <x:c r="EL69" s="100" t="n"/>
      <x:c r="EM69" s="100" t="n"/>
      <x:c r="EN69" s="100" t="n"/>
      <x:c r="EO69" s="100" t="n"/>
      <x:c r="EP69" s="100" t="n"/>
      <x:c r="EQ69" s="100" t="n"/>
      <x:c r="ER69" s="100" t="n"/>
      <x:c r="ES69" s="100" t="n"/>
      <x:c r="ET69" s="100" t="n"/>
      <x:c r="EU69" s="100" t="n"/>
      <x:c r="EV69" s="100" t="n"/>
      <x:c r="EW69" s="100" t="n"/>
      <x:c r="EX69" s="100" t="n"/>
      <x:c r="EY69" s="100" t="n"/>
      <x:c r="EZ69" s="100" t="n"/>
      <x:c r="FA69" s="100" t="n"/>
      <x:c r="FB69" s="100" t="n"/>
      <x:c r="FC69" s="100" t="n"/>
      <x:c r="FD69" s="100" t="n"/>
      <x:c r="FE69" s="100" t="n"/>
      <x:c r="FF69" s="100" t="n"/>
      <x:c r="FG69" s="100" t="n"/>
      <x:c r="FH69" s="100" t="n"/>
      <x:c r="FI69" s="100" t="n"/>
      <x:c r="FJ69" s="100" t="n"/>
      <x:c r="FK69" s="100" t="n"/>
      <x:c r="FL69" s="100" t="n"/>
      <x:c r="FM69" s="100" t="n"/>
      <x:c r="FN69" s="100" t="n"/>
      <x:c r="FO69" s="100" t="n"/>
      <x:c r="FP69" s="100" t="n"/>
      <x:c r="FQ69" s="100" t="n"/>
      <x:c r="FR69" s="100" t="n"/>
      <x:c r="FS69" s="100" t="n"/>
      <x:c r="FT69" s="100" t="n"/>
      <x:c r="FU69" s="100" t="n"/>
      <x:c r="FV69" s="100" t="n"/>
      <x:c r="FW69" s="100" t="n"/>
      <x:c r="FX69" s="100" t="n"/>
      <x:c r="FY69" s="100" t="n"/>
      <x:c r="FZ69" s="100" t="n"/>
      <x:c r="GA69" s="100" t="n"/>
      <x:c r="GB69" s="100" t="n"/>
      <x:c r="GC69" s="100" t="n"/>
      <x:c r="GD69" s="100" t="n"/>
      <x:c r="GE69" s="100" t="n"/>
      <x:c r="GF69" s="100" t="n"/>
    </x:row>
    <x:row r="70" s="27" customFormat="1">
      <x:c r="A70" s="38" t="n"/>
      <x:c r="B70" s="37" t="n"/>
      <x:c r="C70" s="36" t="n">
        <x:f>E70*D$5</x:f>
        <x:v>0</x:v>
      </x:c>
      <x:c r="D70" s="4" t="n"/>
      <x:c r="E70" s="36" t="n">
        <x:f>SUM(G70:HT70)</x:f>
        <x:v>0</x:v>
      </x:c>
      <x:c r="H70" s="121" t="n"/>
      <x:c r="I70" s="121" t="n"/>
      <x:c r="J70" s="121" t="n"/>
      <x:c r="K70" s="121" t="n"/>
      <x:c r="L70" s="121" t="n"/>
      <x:c r="M70" s="123" t="n"/>
      <x:c r="N70" s="123" t="n"/>
      <x:c r="O70" s="123" t="n"/>
      <x:c r="P70" s="123" t="n"/>
      <x:c r="Q70" s="123" t="n"/>
      <x:c r="R70" s="123" t="n"/>
      <x:c r="S70" s="123" t="n"/>
      <x:c r="T70" s="123" t="n"/>
      <x:c r="U70" s="123" t="n"/>
      <x:c r="V70" s="123" t="n"/>
      <x:c r="W70" s="123" t="n"/>
      <x:c r="X70" s="123" t="n"/>
      <x:c r="Y70" s="123" t="n"/>
      <x:c r="Z70" s="123" t="n"/>
      <x:c r="AA70" s="123" t="n"/>
      <x:c r="AB70" s="123" t="n"/>
      <x:c r="AC70" s="123" t="n"/>
      <x:c r="AD70" s="123" t="n"/>
      <x:c r="AE70" s="123" t="n"/>
      <x:c r="AF70" s="123" t="n"/>
      <x:c r="AG70" s="123" t="n"/>
      <x:c r="AH70" s="123" t="n"/>
      <x:c r="AI70" s="123" t="n"/>
      <x:c r="AJ70" s="123" t="n"/>
      <x:c r="AK70" s="123" t="n"/>
      <x:c r="AL70" s="123" t="n"/>
      <x:c r="AM70" s="123" t="n"/>
      <x:c r="AN70" s="123" t="n"/>
      <x:c r="AO70" s="123" t="n"/>
      <x:c r="AP70" s="123" t="n"/>
      <x:c r="AQ70" s="123" t="n"/>
      <x:c r="AR70" s="123" t="n"/>
      <x:c r="AS70" s="123" t="n"/>
      <x:c r="AT70" s="123" t="n"/>
      <x:c r="AU70" s="123" t="n"/>
      <x:c r="AV70" s="123" t="n"/>
      <x:c r="AW70" s="123" t="n"/>
      <x:c r="AX70" s="123" t="n"/>
      <x:c r="AY70" s="123" t="n"/>
      <x:c r="AZ70" s="123" t="n"/>
      <x:c r="BA70" s="123" t="n"/>
      <x:c r="BB70" s="123" t="n"/>
      <x:c r="BC70" s="123" t="n"/>
      <x:c r="BD70" s="123" t="n"/>
      <x:c r="BE70" s="123" t="n"/>
      <x:c r="BF70" s="123" t="n"/>
      <x:c r="BG70" s="123" t="n"/>
      <x:c r="BH70" s="123" t="n"/>
      <x:c r="BI70" s="100" t="n"/>
      <x:c r="BJ70" s="100" t="n"/>
      <x:c r="BK70" s="100" t="n"/>
      <x:c r="BL70" s="100" t="n"/>
      <x:c r="BM70" s="100" t="n"/>
      <x:c r="BN70" s="100" t="n"/>
      <x:c r="BO70" s="100" t="n"/>
      <x:c r="BP70" s="100" t="n"/>
      <x:c r="BQ70" s="100" t="n"/>
      <x:c r="BR70" s="100" t="n"/>
      <x:c r="BS70" s="100" t="n"/>
      <x:c r="BT70" s="100" t="n"/>
      <x:c r="BU70" s="100" t="n"/>
      <x:c r="BV70" s="100" t="n"/>
      <x:c r="BW70" s="100" t="n"/>
      <x:c r="BX70" s="100" t="n"/>
      <x:c r="BY70" s="100" t="n"/>
      <x:c r="BZ70" s="100" t="n"/>
      <x:c r="CA70" s="100" t="n"/>
      <x:c r="CB70" s="100" t="n"/>
      <x:c r="CC70" s="100" t="n"/>
      <x:c r="CD70" s="100" t="n"/>
      <x:c r="CE70" s="100" t="n"/>
      <x:c r="CF70" s="100" t="n"/>
      <x:c r="CG70" s="100" t="n"/>
      <x:c r="CH70" s="100" t="n"/>
      <x:c r="CI70" s="100" t="n"/>
      <x:c r="CJ70" s="100" t="n"/>
      <x:c r="CK70" s="100" t="n"/>
      <x:c r="CL70" s="100" t="n"/>
      <x:c r="CM70" s="100" t="n"/>
      <x:c r="CN70" s="100" t="n"/>
      <x:c r="CO70" s="100" t="n"/>
      <x:c r="CP70" s="100" t="n"/>
      <x:c r="CQ70" s="100" t="n"/>
      <x:c r="CR70" s="100" t="n"/>
      <x:c r="CS70" s="100" t="n"/>
      <x:c r="CT70" s="100" t="n"/>
      <x:c r="CU70" s="100" t="n"/>
      <x:c r="CV70" s="100" t="n"/>
      <x:c r="CW70" s="100" t="n"/>
      <x:c r="CX70" s="100" t="n"/>
      <x:c r="CY70" s="100" t="n"/>
      <x:c r="CZ70" s="100" t="n"/>
      <x:c r="DA70" s="100" t="n"/>
      <x:c r="DB70" s="100" t="n"/>
      <x:c r="DC70" s="100" t="n"/>
      <x:c r="DD70" s="100" t="n"/>
      <x:c r="DE70" s="100" t="n"/>
      <x:c r="DF70" s="100" t="n"/>
      <x:c r="DG70" s="100" t="n"/>
      <x:c r="DH70" s="100" t="n"/>
      <x:c r="DI70" s="100" t="n"/>
      <x:c r="DJ70" s="100" t="n"/>
      <x:c r="DK70" s="100" t="n"/>
      <x:c r="DL70" s="100" t="n"/>
      <x:c r="DM70" s="100" t="n"/>
      <x:c r="DN70" s="100" t="n"/>
      <x:c r="DO70" s="100" t="n"/>
      <x:c r="DP70" s="100" t="n"/>
      <x:c r="DQ70" s="100" t="n"/>
      <x:c r="DR70" s="100" t="n"/>
      <x:c r="DS70" s="100" t="n"/>
      <x:c r="DT70" s="100" t="n"/>
      <x:c r="DU70" s="100" t="n"/>
      <x:c r="DV70" s="100" t="n"/>
      <x:c r="DW70" s="100" t="n"/>
      <x:c r="DX70" s="100" t="n"/>
      <x:c r="DY70" s="100" t="n"/>
      <x:c r="DZ70" s="100" t="n"/>
      <x:c r="EA70" s="100" t="n"/>
      <x:c r="EB70" s="100" t="n"/>
      <x:c r="EC70" s="100" t="n"/>
      <x:c r="ED70" s="100" t="n"/>
      <x:c r="EE70" s="100" t="n"/>
      <x:c r="EF70" s="100" t="n"/>
      <x:c r="EG70" s="100" t="n"/>
      <x:c r="EH70" s="100" t="n"/>
      <x:c r="EI70" s="100" t="n"/>
      <x:c r="EJ70" s="100" t="n"/>
      <x:c r="EK70" s="100" t="n"/>
      <x:c r="EL70" s="100" t="n"/>
      <x:c r="EM70" s="100" t="n"/>
      <x:c r="EN70" s="100" t="n"/>
      <x:c r="EO70" s="100" t="n"/>
      <x:c r="EP70" s="100" t="n"/>
      <x:c r="EQ70" s="100" t="n"/>
      <x:c r="ER70" s="100" t="n"/>
      <x:c r="ES70" s="100" t="n"/>
      <x:c r="ET70" s="100" t="n"/>
      <x:c r="EU70" s="100" t="n"/>
      <x:c r="EV70" s="100" t="n"/>
      <x:c r="EW70" s="100" t="n"/>
      <x:c r="EX70" s="100" t="n"/>
      <x:c r="EY70" s="100" t="n"/>
      <x:c r="EZ70" s="100" t="n"/>
      <x:c r="FA70" s="100" t="n"/>
      <x:c r="FB70" s="100" t="n"/>
      <x:c r="FC70" s="100" t="n"/>
      <x:c r="FD70" s="100" t="n"/>
      <x:c r="FE70" s="100" t="n"/>
      <x:c r="FF70" s="100" t="n"/>
      <x:c r="FG70" s="100" t="n"/>
      <x:c r="FH70" s="100" t="n"/>
      <x:c r="FI70" s="100" t="n"/>
      <x:c r="FJ70" s="100" t="n"/>
      <x:c r="FK70" s="100" t="n"/>
      <x:c r="FL70" s="100" t="n"/>
      <x:c r="FM70" s="100" t="n"/>
      <x:c r="FN70" s="100" t="n"/>
      <x:c r="FO70" s="100" t="n"/>
      <x:c r="FP70" s="100" t="n"/>
      <x:c r="FQ70" s="100" t="n"/>
      <x:c r="FR70" s="100" t="n"/>
      <x:c r="FS70" s="100" t="n"/>
      <x:c r="FT70" s="100" t="n"/>
      <x:c r="FU70" s="100" t="n"/>
      <x:c r="FV70" s="100" t="n"/>
      <x:c r="FW70" s="100" t="n"/>
      <x:c r="FX70" s="100" t="n"/>
      <x:c r="FY70" s="100" t="n"/>
      <x:c r="FZ70" s="100" t="n"/>
      <x:c r="GA70" s="100" t="n"/>
      <x:c r="GB70" s="100" t="n"/>
      <x:c r="GC70" s="100" t="n"/>
      <x:c r="GD70" s="100" t="n"/>
      <x:c r="GE70" s="100" t="n"/>
      <x:c r="GF70" s="100" t="n"/>
    </x:row>
    <x:row r="71" s="27" customFormat="1">
      <x:c r="A71" s="38" t="n"/>
      <x:c r="B71" s="37" t="n"/>
      <x:c r="C71" s="36" t="n">
        <x:f>E71*D$5</x:f>
        <x:v>0</x:v>
      </x:c>
      <x:c r="D71" s="4" t="n"/>
      <x:c r="E71" s="36" t="n">
        <x:f>SUM(G71:HT71)</x:f>
        <x:v>0</x:v>
      </x:c>
      <x:c r="H71" s="121" t="n"/>
      <x:c r="I71" s="121" t="n"/>
      <x:c r="J71" s="121" t="n"/>
      <x:c r="K71" s="121" t="n"/>
      <x:c r="L71" s="121" t="n"/>
      <x:c r="M71" s="123" t="n"/>
      <x:c r="N71" s="123" t="n"/>
      <x:c r="O71" s="123" t="n"/>
      <x:c r="P71" s="123" t="n"/>
      <x:c r="Q71" s="123" t="n"/>
      <x:c r="R71" s="123" t="n"/>
      <x:c r="S71" s="123" t="n"/>
      <x:c r="T71" s="123" t="n"/>
      <x:c r="U71" s="123" t="n"/>
      <x:c r="V71" s="123" t="n"/>
      <x:c r="W71" s="123" t="n"/>
      <x:c r="X71" s="123" t="n"/>
      <x:c r="Y71" s="123" t="n"/>
      <x:c r="Z71" s="123" t="n"/>
      <x:c r="AA71" s="123" t="n"/>
      <x:c r="AB71" s="123" t="n"/>
      <x:c r="AC71" s="123" t="n"/>
      <x:c r="AD71" s="123" t="n"/>
      <x:c r="AE71" s="123" t="n"/>
      <x:c r="AF71" s="123" t="n"/>
      <x:c r="AG71" s="123" t="n"/>
      <x:c r="AH71" s="123" t="n"/>
      <x:c r="AI71" s="123" t="n"/>
      <x:c r="AJ71" s="123" t="n"/>
      <x:c r="AK71" s="123" t="n"/>
      <x:c r="AL71" s="123" t="n"/>
      <x:c r="AM71" s="123" t="n"/>
      <x:c r="AN71" s="123" t="n"/>
      <x:c r="AO71" s="123" t="n"/>
      <x:c r="AP71" s="123" t="n"/>
      <x:c r="AQ71" s="123" t="n"/>
      <x:c r="AR71" s="123" t="n"/>
      <x:c r="AS71" s="123" t="n"/>
      <x:c r="AT71" s="123" t="n"/>
      <x:c r="AU71" s="123" t="n"/>
      <x:c r="AV71" s="123" t="n"/>
      <x:c r="AW71" s="123" t="n"/>
      <x:c r="AX71" s="123" t="n"/>
      <x:c r="AY71" s="123" t="n"/>
      <x:c r="AZ71" s="123" t="n"/>
      <x:c r="BA71" s="123" t="n"/>
      <x:c r="BB71" s="123" t="n"/>
      <x:c r="BC71" s="123" t="n"/>
      <x:c r="BD71" s="123" t="n"/>
      <x:c r="BE71" s="123" t="n"/>
      <x:c r="BF71" s="123" t="n"/>
      <x:c r="BG71" s="123" t="n"/>
      <x:c r="BH71" s="123" t="n"/>
      <x:c r="BI71" s="100" t="n"/>
      <x:c r="BJ71" s="100" t="n"/>
      <x:c r="BK71" s="100" t="n"/>
      <x:c r="BL71" s="100" t="n"/>
      <x:c r="BM71" s="100" t="n"/>
      <x:c r="BN71" s="100" t="n"/>
      <x:c r="BO71" s="100" t="n"/>
      <x:c r="BP71" s="100" t="n"/>
      <x:c r="BQ71" s="100" t="n"/>
      <x:c r="BR71" s="100" t="n"/>
      <x:c r="BS71" s="100" t="n"/>
      <x:c r="BT71" s="100" t="n"/>
      <x:c r="BU71" s="100" t="n"/>
      <x:c r="BV71" s="100" t="n"/>
      <x:c r="BW71" s="100" t="n"/>
      <x:c r="BX71" s="100" t="n"/>
      <x:c r="BY71" s="100" t="n"/>
      <x:c r="BZ71" s="100" t="n"/>
      <x:c r="CA71" s="100" t="n"/>
      <x:c r="CB71" s="100" t="n"/>
      <x:c r="CC71" s="100" t="n"/>
      <x:c r="CD71" s="100" t="n"/>
      <x:c r="CE71" s="100" t="n"/>
      <x:c r="CF71" s="100" t="n"/>
      <x:c r="CG71" s="100" t="n"/>
      <x:c r="CH71" s="100" t="n"/>
      <x:c r="CI71" s="100" t="n"/>
      <x:c r="CJ71" s="100" t="n"/>
      <x:c r="CK71" s="100" t="n"/>
      <x:c r="CL71" s="100" t="n"/>
      <x:c r="CM71" s="100" t="n"/>
      <x:c r="CN71" s="100" t="n"/>
      <x:c r="CO71" s="100" t="n"/>
      <x:c r="CP71" s="100" t="n"/>
      <x:c r="CQ71" s="100" t="n"/>
      <x:c r="CR71" s="100" t="n"/>
      <x:c r="CS71" s="100" t="n"/>
      <x:c r="CT71" s="100" t="n"/>
      <x:c r="CU71" s="100" t="n"/>
      <x:c r="CV71" s="100" t="n"/>
      <x:c r="CW71" s="100" t="n"/>
      <x:c r="CX71" s="100" t="n"/>
      <x:c r="CY71" s="100" t="n"/>
      <x:c r="CZ71" s="100" t="n"/>
      <x:c r="DA71" s="100" t="n"/>
      <x:c r="DB71" s="100" t="n"/>
      <x:c r="DC71" s="100" t="n"/>
      <x:c r="DD71" s="100" t="n"/>
      <x:c r="DE71" s="100" t="n"/>
      <x:c r="DF71" s="100" t="n"/>
      <x:c r="DG71" s="100" t="n"/>
      <x:c r="DH71" s="100" t="n"/>
      <x:c r="DI71" s="100" t="n"/>
      <x:c r="DJ71" s="100" t="n"/>
      <x:c r="DK71" s="100" t="n"/>
      <x:c r="DL71" s="100" t="n"/>
      <x:c r="DM71" s="100" t="n"/>
      <x:c r="DN71" s="100" t="n"/>
      <x:c r="DO71" s="100" t="n"/>
      <x:c r="DP71" s="100" t="n"/>
      <x:c r="DQ71" s="100" t="n"/>
      <x:c r="DR71" s="100" t="n"/>
      <x:c r="DS71" s="100" t="n"/>
      <x:c r="DT71" s="100" t="n"/>
      <x:c r="DU71" s="100" t="n"/>
      <x:c r="DV71" s="100" t="n"/>
      <x:c r="DW71" s="100" t="n"/>
      <x:c r="DX71" s="100" t="n"/>
      <x:c r="DY71" s="100" t="n"/>
      <x:c r="DZ71" s="100" t="n"/>
      <x:c r="EA71" s="100" t="n"/>
      <x:c r="EB71" s="100" t="n"/>
      <x:c r="EC71" s="100" t="n"/>
      <x:c r="ED71" s="100" t="n"/>
      <x:c r="EE71" s="100" t="n"/>
      <x:c r="EF71" s="100" t="n"/>
      <x:c r="EG71" s="100" t="n"/>
      <x:c r="EH71" s="100" t="n"/>
      <x:c r="EI71" s="100" t="n"/>
      <x:c r="EJ71" s="100" t="n"/>
      <x:c r="EK71" s="100" t="n"/>
      <x:c r="EL71" s="100" t="n"/>
      <x:c r="EM71" s="100" t="n"/>
      <x:c r="EN71" s="100" t="n"/>
      <x:c r="EO71" s="100" t="n"/>
      <x:c r="EP71" s="100" t="n"/>
      <x:c r="EQ71" s="100" t="n"/>
      <x:c r="ER71" s="100" t="n"/>
      <x:c r="ES71" s="100" t="n"/>
      <x:c r="ET71" s="100" t="n"/>
      <x:c r="EU71" s="100" t="n"/>
      <x:c r="EV71" s="100" t="n"/>
      <x:c r="EW71" s="100" t="n"/>
      <x:c r="EX71" s="100" t="n"/>
      <x:c r="EY71" s="100" t="n"/>
      <x:c r="EZ71" s="100" t="n"/>
      <x:c r="FA71" s="100" t="n"/>
      <x:c r="FB71" s="100" t="n"/>
      <x:c r="FC71" s="100" t="n"/>
      <x:c r="FD71" s="100" t="n"/>
      <x:c r="FE71" s="100" t="n"/>
      <x:c r="FF71" s="100" t="n"/>
      <x:c r="FG71" s="100" t="n"/>
      <x:c r="FH71" s="100" t="n"/>
      <x:c r="FI71" s="100" t="n"/>
      <x:c r="FJ71" s="100" t="n"/>
      <x:c r="FK71" s="100" t="n"/>
      <x:c r="FL71" s="100" t="n"/>
      <x:c r="FM71" s="100" t="n"/>
      <x:c r="FN71" s="100" t="n"/>
      <x:c r="FO71" s="100" t="n"/>
      <x:c r="FP71" s="100" t="n"/>
      <x:c r="FQ71" s="100" t="n"/>
      <x:c r="FR71" s="100" t="n"/>
      <x:c r="FS71" s="100" t="n"/>
      <x:c r="FT71" s="100" t="n"/>
      <x:c r="FU71" s="100" t="n"/>
      <x:c r="FV71" s="100" t="n"/>
      <x:c r="FW71" s="100" t="n"/>
      <x:c r="FX71" s="100" t="n"/>
      <x:c r="FY71" s="100" t="n"/>
      <x:c r="FZ71" s="100" t="n"/>
      <x:c r="GA71" s="100" t="n"/>
      <x:c r="GB71" s="100" t="n"/>
      <x:c r="GC71" s="100" t="n"/>
      <x:c r="GD71" s="100" t="n"/>
      <x:c r="GE71" s="100" t="n"/>
      <x:c r="GF71" s="100" t="n"/>
    </x:row>
    <x:row r="72" s="27" customFormat="1">
      <x:c r="A72" s="38" t="n"/>
      <x:c r="B72" s="37" t="n"/>
      <x:c r="C72" s="36" t="n">
        <x:f>E72*D$5</x:f>
        <x:v>0</x:v>
      </x:c>
      <x:c r="D72" s="89" t="n"/>
      <x:c r="E72" s="36" t="n">
        <x:f>SUM(G72:HT72)</x:f>
        <x:v>0</x:v>
      </x:c>
      <x:c r="H72" s="121" t="n"/>
      <x:c r="I72" s="121" t="n"/>
      <x:c r="J72" s="121" t="n"/>
      <x:c r="K72" s="121" t="n"/>
      <x:c r="L72" s="121" t="n"/>
      <x:c r="M72" s="123" t="n"/>
      <x:c r="N72" s="123" t="n"/>
      <x:c r="O72" s="123" t="n"/>
      <x:c r="P72" s="123" t="n"/>
      <x:c r="Q72" s="123" t="n"/>
      <x:c r="R72" s="123" t="n"/>
      <x:c r="S72" s="123" t="n"/>
      <x:c r="T72" s="123" t="n"/>
      <x:c r="U72" s="123" t="n"/>
      <x:c r="V72" s="123" t="n"/>
      <x:c r="W72" s="123" t="n"/>
      <x:c r="X72" s="123" t="n"/>
      <x:c r="Y72" s="123" t="n"/>
      <x:c r="Z72" s="123" t="n"/>
      <x:c r="AA72" s="123" t="n"/>
      <x:c r="AB72" s="123" t="n"/>
      <x:c r="AC72" s="123" t="n"/>
      <x:c r="AD72" s="123" t="n"/>
      <x:c r="AE72" s="123" t="n"/>
      <x:c r="AF72" s="123" t="n"/>
      <x:c r="AG72" s="123" t="n"/>
      <x:c r="AH72" s="123" t="n"/>
      <x:c r="AI72" s="123" t="n"/>
      <x:c r="AJ72" s="123" t="n"/>
      <x:c r="AK72" s="123" t="n"/>
      <x:c r="AL72" s="123" t="n"/>
      <x:c r="AM72" s="123" t="n"/>
      <x:c r="AN72" s="123" t="n"/>
      <x:c r="AO72" s="123" t="n"/>
      <x:c r="AP72" s="123" t="n"/>
      <x:c r="AQ72" s="123" t="n"/>
      <x:c r="AR72" s="123" t="n"/>
      <x:c r="AS72" s="123" t="n"/>
      <x:c r="AT72" s="123" t="n"/>
      <x:c r="AU72" s="123" t="n"/>
      <x:c r="AV72" s="123" t="n"/>
      <x:c r="AW72" s="123" t="n"/>
      <x:c r="AX72" s="123" t="n"/>
      <x:c r="AY72" s="123" t="n"/>
      <x:c r="AZ72" s="123" t="n"/>
      <x:c r="BA72" s="123" t="n"/>
      <x:c r="BB72" s="123" t="n"/>
      <x:c r="BC72" s="123" t="n"/>
      <x:c r="BD72" s="123" t="n"/>
      <x:c r="BE72" s="123" t="n"/>
      <x:c r="BF72" s="123" t="n"/>
      <x:c r="BG72" s="123" t="n"/>
      <x:c r="BH72" s="123" t="n"/>
      <x:c r="BI72" s="100" t="n"/>
      <x:c r="BJ72" s="100" t="n"/>
      <x:c r="BK72" s="100" t="n"/>
      <x:c r="BL72" s="100" t="n"/>
      <x:c r="BM72" s="100" t="n"/>
      <x:c r="BN72" s="100" t="n"/>
      <x:c r="BO72" s="100" t="n"/>
      <x:c r="BP72" s="100" t="n"/>
      <x:c r="BQ72" s="100" t="n"/>
      <x:c r="BR72" s="100" t="n"/>
      <x:c r="BS72" s="100" t="n"/>
      <x:c r="BT72" s="100" t="n"/>
      <x:c r="BU72" s="100" t="n"/>
      <x:c r="BV72" s="100" t="n"/>
      <x:c r="BW72" s="100" t="n"/>
      <x:c r="BX72" s="100" t="n"/>
      <x:c r="BY72" s="100" t="n"/>
      <x:c r="BZ72" s="100" t="n"/>
      <x:c r="CA72" s="100" t="n"/>
      <x:c r="CB72" s="100" t="n"/>
      <x:c r="CC72" s="100" t="n"/>
      <x:c r="CD72" s="100" t="n"/>
      <x:c r="CE72" s="100" t="n"/>
      <x:c r="CF72" s="100" t="n"/>
      <x:c r="CG72" s="100" t="n"/>
      <x:c r="CH72" s="100" t="n"/>
      <x:c r="CI72" s="100" t="n"/>
      <x:c r="CJ72" s="100" t="n"/>
      <x:c r="CK72" s="100" t="n"/>
      <x:c r="CL72" s="100" t="n"/>
      <x:c r="CM72" s="100" t="n"/>
      <x:c r="CN72" s="100" t="n"/>
      <x:c r="CO72" s="100" t="n"/>
      <x:c r="CP72" s="100" t="n"/>
      <x:c r="CQ72" s="100" t="n"/>
      <x:c r="CR72" s="100" t="n"/>
      <x:c r="CS72" s="100" t="n"/>
      <x:c r="CT72" s="100" t="n"/>
      <x:c r="CU72" s="100" t="n"/>
      <x:c r="CV72" s="100" t="n"/>
      <x:c r="CW72" s="100" t="n"/>
      <x:c r="CX72" s="100" t="n"/>
      <x:c r="CY72" s="100" t="n"/>
      <x:c r="CZ72" s="100" t="n"/>
      <x:c r="DA72" s="100" t="n"/>
      <x:c r="DB72" s="100" t="n"/>
      <x:c r="DC72" s="100" t="n"/>
      <x:c r="DD72" s="100" t="n"/>
      <x:c r="DE72" s="100" t="n"/>
      <x:c r="DF72" s="100" t="n"/>
      <x:c r="DG72" s="100" t="n"/>
      <x:c r="DH72" s="100" t="n"/>
      <x:c r="DI72" s="100" t="n"/>
      <x:c r="DJ72" s="100" t="n"/>
      <x:c r="DK72" s="100" t="n"/>
      <x:c r="DL72" s="100" t="n"/>
      <x:c r="DM72" s="100" t="n"/>
      <x:c r="DN72" s="100" t="n"/>
      <x:c r="DO72" s="100" t="n"/>
      <x:c r="DP72" s="100" t="n"/>
      <x:c r="DQ72" s="100" t="n"/>
      <x:c r="DR72" s="100" t="n"/>
      <x:c r="DS72" s="100" t="n"/>
      <x:c r="DT72" s="100" t="n"/>
      <x:c r="DU72" s="100" t="n"/>
      <x:c r="DV72" s="100" t="n"/>
      <x:c r="DW72" s="100" t="n"/>
      <x:c r="DX72" s="100" t="n"/>
      <x:c r="DY72" s="100" t="n"/>
      <x:c r="DZ72" s="100" t="n"/>
      <x:c r="EA72" s="100" t="n"/>
      <x:c r="EB72" s="100" t="n"/>
      <x:c r="EC72" s="100" t="n"/>
      <x:c r="ED72" s="100" t="n"/>
      <x:c r="EE72" s="100" t="n"/>
      <x:c r="EF72" s="100" t="n"/>
      <x:c r="EG72" s="100" t="n"/>
      <x:c r="EH72" s="100" t="n"/>
      <x:c r="EI72" s="100" t="n"/>
      <x:c r="EJ72" s="100" t="n"/>
      <x:c r="EK72" s="100" t="n"/>
      <x:c r="EL72" s="100" t="n"/>
      <x:c r="EM72" s="100" t="n"/>
      <x:c r="EN72" s="100" t="n"/>
      <x:c r="EO72" s="100" t="n"/>
      <x:c r="EP72" s="100" t="n"/>
      <x:c r="EQ72" s="100" t="n"/>
      <x:c r="ER72" s="100" t="n"/>
      <x:c r="ES72" s="100" t="n"/>
      <x:c r="ET72" s="100" t="n"/>
      <x:c r="EU72" s="100" t="n"/>
      <x:c r="EV72" s="100" t="n"/>
      <x:c r="EW72" s="100" t="n"/>
      <x:c r="EX72" s="100" t="n"/>
      <x:c r="EY72" s="100" t="n"/>
      <x:c r="EZ72" s="100" t="n"/>
      <x:c r="FA72" s="100" t="n"/>
      <x:c r="FB72" s="100" t="n"/>
      <x:c r="FC72" s="100" t="n"/>
      <x:c r="FD72" s="100" t="n"/>
      <x:c r="FE72" s="100" t="n"/>
      <x:c r="FF72" s="100" t="n"/>
      <x:c r="FG72" s="100" t="n"/>
      <x:c r="FH72" s="100" t="n"/>
      <x:c r="FI72" s="100" t="n"/>
      <x:c r="FJ72" s="100" t="n"/>
      <x:c r="FK72" s="100" t="n"/>
      <x:c r="FL72" s="100" t="n"/>
      <x:c r="FM72" s="100" t="n"/>
      <x:c r="FN72" s="100" t="n"/>
      <x:c r="FO72" s="100" t="n"/>
      <x:c r="FP72" s="100" t="n"/>
      <x:c r="FQ72" s="100" t="n"/>
      <x:c r="FR72" s="100" t="n"/>
      <x:c r="FS72" s="100" t="n"/>
      <x:c r="FT72" s="100" t="n"/>
      <x:c r="FU72" s="100" t="n"/>
      <x:c r="FV72" s="100" t="n"/>
      <x:c r="FW72" s="100" t="n"/>
      <x:c r="FX72" s="100" t="n"/>
      <x:c r="FY72" s="100" t="n"/>
      <x:c r="FZ72" s="100" t="n"/>
      <x:c r="GA72" s="100" t="n"/>
      <x:c r="GB72" s="100" t="n"/>
      <x:c r="GC72" s="100" t="n"/>
      <x:c r="GD72" s="100" t="n"/>
      <x:c r="GE72" s="100" t="n"/>
      <x:c r="GF72" s="100" t="n"/>
    </x:row>
    <x:row r="73" s="27" customFormat="1">
      <x:c r="A73" s="38" t="n"/>
      <x:c r="B73" s="37" t="n"/>
      <x:c r="C73" s="86" t="n">
        <x:f>E73*D$5</x:f>
        <x:v>0</x:v>
      </x:c>
      <x:c r="D73" s="66" t="n"/>
      <x:c r="E73" s="86" t="n">
        <x:f>SUM(G73:HT73)</x:f>
        <x:v>0</x:v>
      </x:c>
      <x:c r="H73" s="121" t="n"/>
      <x:c r="I73" s="121" t="n"/>
      <x:c r="J73" s="121" t="n"/>
      <x:c r="K73" s="121" t="n"/>
      <x:c r="L73" s="121" t="n"/>
      <x:c r="M73" s="123" t="n"/>
      <x:c r="N73" s="123" t="n"/>
      <x:c r="O73" s="123" t="n"/>
      <x:c r="P73" s="123" t="n"/>
      <x:c r="Q73" s="123" t="n"/>
      <x:c r="R73" s="123" t="n"/>
      <x:c r="S73" s="123" t="n"/>
      <x:c r="T73" s="123" t="n"/>
      <x:c r="U73" s="123" t="n"/>
      <x:c r="V73" s="123" t="n"/>
      <x:c r="W73" s="123" t="n"/>
      <x:c r="X73" s="123" t="n"/>
      <x:c r="Y73" s="123" t="n"/>
      <x:c r="Z73" s="123" t="n"/>
      <x:c r="AA73" s="123" t="n"/>
      <x:c r="AB73" s="123" t="n"/>
      <x:c r="AC73" s="123" t="n"/>
      <x:c r="AD73" s="123" t="n"/>
      <x:c r="AE73" s="123" t="n"/>
      <x:c r="AF73" s="123" t="n"/>
      <x:c r="AG73" s="123" t="n"/>
      <x:c r="AH73" s="123" t="n"/>
      <x:c r="AI73" s="123" t="n"/>
      <x:c r="AJ73" s="123" t="n"/>
      <x:c r="AK73" s="123" t="n"/>
      <x:c r="AL73" s="123" t="n"/>
      <x:c r="AM73" s="123" t="n"/>
      <x:c r="AN73" s="123" t="n"/>
      <x:c r="AO73" s="123" t="n"/>
      <x:c r="AP73" s="123" t="n"/>
      <x:c r="AQ73" s="123" t="n"/>
      <x:c r="AR73" s="123" t="n"/>
      <x:c r="AS73" s="123" t="n"/>
      <x:c r="AT73" s="123" t="n"/>
      <x:c r="AU73" s="123" t="n"/>
      <x:c r="AV73" s="123" t="n"/>
      <x:c r="AW73" s="123" t="n"/>
      <x:c r="AX73" s="123" t="n"/>
      <x:c r="AY73" s="123" t="n"/>
      <x:c r="AZ73" s="123" t="n"/>
      <x:c r="BA73" s="123" t="n"/>
      <x:c r="BB73" s="123" t="n"/>
      <x:c r="BC73" s="123" t="n"/>
      <x:c r="BD73" s="123" t="n"/>
      <x:c r="BE73" s="123" t="n"/>
      <x:c r="BF73" s="123" t="n"/>
      <x:c r="BG73" s="123" t="n"/>
      <x:c r="BH73" s="123" t="n"/>
      <x:c r="BI73" s="100" t="n"/>
      <x:c r="BJ73" s="100" t="n"/>
      <x:c r="BK73" s="100" t="n"/>
      <x:c r="BL73" s="100" t="n"/>
      <x:c r="BM73" s="100" t="n"/>
      <x:c r="BN73" s="100" t="n"/>
      <x:c r="BO73" s="100" t="n"/>
      <x:c r="BP73" s="100" t="n"/>
      <x:c r="BQ73" s="100" t="n"/>
      <x:c r="BR73" s="100" t="n"/>
      <x:c r="BS73" s="100" t="n"/>
      <x:c r="BT73" s="100" t="n"/>
      <x:c r="BU73" s="100" t="n"/>
      <x:c r="BV73" s="100" t="n"/>
      <x:c r="BW73" s="100" t="n"/>
      <x:c r="BX73" s="100" t="n"/>
      <x:c r="BY73" s="100" t="n"/>
      <x:c r="BZ73" s="100" t="n"/>
      <x:c r="CA73" s="100" t="n"/>
      <x:c r="CB73" s="100" t="n"/>
      <x:c r="CC73" s="100" t="n"/>
      <x:c r="CD73" s="100" t="n"/>
      <x:c r="CE73" s="100" t="n"/>
      <x:c r="CF73" s="100" t="n"/>
      <x:c r="CG73" s="100" t="n"/>
      <x:c r="CH73" s="100" t="n"/>
      <x:c r="CI73" s="100" t="n"/>
      <x:c r="CJ73" s="100" t="n"/>
      <x:c r="CK73" s="100" t="n"/>
      <x:c r="CL73" s="100" t="n"/>
      <x:c r="CM73" s="100" t="n"/>
      <x:c r="CN73" s="100" t="n"/>
      <x:c r="CO73" s="100" t="n"/>
      <x:c r="CP73" s="100" t="n"/>
      <x:c r="CQ73" s="100" t="n"/>
      <x:c r="CR73" s="100" t="n"/>
      <x:c r="CS73" s="100" t="n"/>
      <x:c r="CT73" s="100" t="n"/>
      <x:c r="CU73" s="100" t="n"/>
      <x:c r="CV73" s="100" t="n"/>
      <x:c r="CW73" s="100" t="n"/>
      <x:c r="CX73" s="100" t="n"/>
      <x:c r="CY73" s="100" t="n"/>
      <x:c r="CZ73" s="100" t="n"/>
      <x:c r="DA73" s="100" t="n"/>
      <x:c r="DB73" s="100" t="n"/>
      <x:c r="DC73" s="100" t="n"/>
      <x:c r="DD73" s="100" t="n"/>
      <x:c r="DE73" s="100" t="n"/>
      <x:c r="DF73" s="100" t="n"/>
      <x:c r="DG73" s="100" t="n"/>
      <x:c r="DH73" s="100" t="n"/>
      <x:c r="DI73" s="100" t="n"/>
      <x:c r="DJ73" s="100" t="n"/>
      <x:c r="DK73" s="100" t="n"/>
      <x:c r="DL73" s="100" t="n"/>
      <x:c r="DM73" s="100" t="n"/>
      <x:c r="DN73" s="100" t="n"/>
      <x:c r="DO73" s="100" t="n"/>
      <x:c r="DP73" s="100" t="n"/>
      <x:c r="DQ73" s="100" t="n"/>
      <x:c r="DR73" s="100" t="n"/>
      <x:c r="DS73" s="100" t="n"/>
      <x:c r="DT73" s="100" t="n"/>
      <x:c r="DU73" s="100" t="n"/>
      <x:c r="DV73" s="100" t="n"/>
      <x:c r="DW73" s="100" t="n"/>
      <x:c r="DX73" s="100" t="n"/>
      <x:c r="DY73" s="100" t="n"/>
      <x:c r="DZ73" s="100" t="n"/>
      <x:c r="EA73" s="100" t="n"/>
      <x:c r="EB73" s="100" t="n"/>
      <x:c r="EC73" s="100" t="n"/>
      <x:c r="ED73" s="100" t="n"/>
      <x:c r="EE73" s="100" t="n"/>
      <x:c r="EF73" s="100" t="n"/>
      <x:c r="EG73" s="100" t="n"/>
      <x:c r="EH73" s="100" t="n"/>
      <x:c r="EI73" s="100" t="n"/>
      <x:c r="EJ73" s="100" t="n"/>
      <x:c r="EK73" s="100" t="n"/>
      <x:c r="EL73" s="100" t="n"/>
      <x:c r="EM73" s="100" t="n"/>
      <x:c r="EN73" s="100" t="n"/>
      <x:c r="EO73" s="100" t="n"/>
      <x:c r="EP73" s="100" t="n"/>
      <x:c r="EQ73" s="100" t="n"/>
      <x:c r="ER73" s="100" t="n"/>
      <x:c r="ES73" s="100" t="n"/>
      <x:c r="ET73" s="100" t="n"/>
      <x:c r="EU73" s="100" t="n"/>
      <x:c r="EV73" s="100" t="n"/>
      <x:c r="EW73" s="100" t="n"/>
      <x:c r="EX73" s="100" t="n"/>
      <x:c r="EY73" s="100" t="n"/>
      <x:c r="EZ73" s="100" t="n"/>
      <x:c r="FA73" s="100" t="n"/>
      <x:c r="FB73" s="100" t="n"/>
      <x:c r="FC73" s="100" t="n"/>
      <x:c r="FD73" s="100" t="n"/>
      <x:c r="FE73" s="100" t="n"/>
      <x:c r="FF73" s="100" t="n"/>
      <x:c r="FG73" s="100" t="n"/>
      <x:c r="FH73" s="100" t="n"/>
      <x:c r="FI73" s="100" t="n"/>
      <x:c r="FJ73" s="100" t="n"/>
      <x:c r="FK73" s="100" t="n"/>
      <x:c r="FL73" s="100" t="n"/>
      <x:c r="FM73" s="100" t="n"/>
      <x:c r="FN73" s="100" t="n"/>
      <x:c r="FO73" s="100" t="n"/>
      <x:c r="FP73" s="100" t="n"/>
      <x:c r="FQ73" s="100" t="n"/>
      <x:c r="FR73" s="100" t="n"/>
      <x:c r="FS73" s="100" t="n"/>
      <x:c r="FT73" s="100" t="n"/>
      <x:c r="FU73" s="100" t="n"/>
      <x:c r="FV73" s="100" t="n"/>
      <x:c r="FW73" s="100" t="n"/>
      <x:c r="FX73" s="100" t="n"/>
      <x:c r="FY73" s="100" t="n"/>
      <x:c r="FZ73" s="100" t="n"/>
      <x:c r="GA73" s="100" t="n"/>
      <x:c r="GB73" s="100" t="n"/>
      <x:c r="GC73" s="100" t="n"/>
      <x:c r="GD73" s="100" t="n"/>
      <x:c r="GE73" s="100" t="n"/>
      <x:c r="GF73" s="100" t="n"/>
    </x:row>
    <x:row r="74" s="27" customFormat="1">
      <x:c r="A74" s="38" t="n"/>
      <x:c r="B74" s="37" t="n"/>
      <x:c r="C74" s="86" t="n">
        <x:f>E74*D$5</x:f>
        <x:v>0</x:v>
      </x:c>
      <x:c r="D74" s="66" t="n"/>
      <x:c r="E74" s="86" t="n">
        <x:f>SUM(G74:HT74)</x:f>
        <x:v>0</x:v>
      </x:c>
      <x:c r="H74" s="121" t="n"/>
      <x:c r="I74" s="121" t="n"/>
      <x:c r="J74" s="121" t="n"/>
      <x:c r="K74" s="121" t="n"/>
      <x:c r="L74" s="121" t="n"/>
      <x:c r="M74" s="123" t="n"/>
      <x:c r="N74" s="123" t="n"/>
      <x:c r="O74" s="123" t="n"/>
      <x:c r="P74" s="123" t="n"/>
      <x:c r="Q74" s="123" t="n"/>
      <x:c r="R74" s="123" t="n"/>
      <x:c r="S74" s="123" t="n"/>
      <x:c r="T74" s="123" t="n"/>
      <x:c r="U74" s="123" t="n"/>
      <x:c r="V74" s="123" t="n"/>
      <x:c r="W74" s="123" t="n"/>
      <x:c r="X74" s="123" t="n"/>
      <x:c r="Y74" s="123" t="n"/>
      <x:c r="Z74" s="123" t="n"/>
      <x:c r="AA74" s="123" t="n"/>
      <x:c r="AB74" s="123" t="n"/>
      <x:c r="AC74" s="123" t="n"/>
      <x:c r="AD74" s="123" t="n"/>
      <x:c r="AE74" s="123" t="n"/>
      <x:c r="AF74" s="123" t="n"/>
      <x:c r="AG74" s="123" t="n"/>
      <x:c r="AH74" s="123" t="n"/>
      <x:c r="AI74" s="123" t="n"/>
      <x:c r="AJ74" s="123" t="n"/>
      <x:c r="AK74" s="123" t="n"/>
      <x:c r="AL74" s="123" t="n"/>
      <x:c r="AM74" s="123" t="n"/>
      <x:c r="AN74" s="123" t="n"/>
      <x:c r="AO74" s="123" t="n"/>
      <x:c r="AP74" s="123" t="n"/>
      <x:c r="AQ74" s="123" t="n"/>
      <x:c r="AR74" s="123" t="n"/>
      <x:c r="AS74" s="123" t="n"/>
      <x:c r="AT74" s="123" t="n"/>
      <x:c r="AU74" s="123" t="n"/>
      <x:c r="AV74" s="123" t="n"/>
      <x:c r="AW74" s="123" t="n"/>
      <x:c r="AX74" s="123" t="n"/>
      <x:c r="AY74" s="123" t="n"/>
      <x:c r="AZ74" s="123" t="n"/>
      <x:c r="BA74" s="123" t="n"/>
      <x:c r="BB74" s="123" t="n"/>
      <x:c r="BC74" s="123" t="n"/>
      <x:c r="BD74" s="123" t="n"/>
      <x:c r="BE74" s="123" t="n"/>
      <x:c r="BF74" s="123" t="n"/>
      <x:c r="BG74" s="123" t="n"/>
      <x:c r="BH74" s="123" t="n"/>
      <x:c r="BI74" s="100" t="n"/>
      <x:c r="BJ74" s="100" t="n"/>
      <x:c r="BK74" s="100" t="n"/>
      <x:c r="BL74" s="100" t="n"/>
      <x:c r="BM74" s="100" t="n"/>
      <x:c r="BN74" s="100" t="n"/>
      <x:c r="BO74" s="100" t="n"/>
      <x:c r="BP74" s="100" t="n"/>
      <x:c r="BQ74" s="100" t="n"/>
      <x:c r="BR74" s="100" t="n"/>
      <x:c r="BS74" s="100" t="n"/>
      <x:c r="BT74" s="100" t="n"/>
      <x:c r="BU74" s="100" t="n"/>
      <x:c r="BV74" s="100" t="n"/>
      <x:c r="BW74" s="100" t="n"/>
      <x:c r="BX74" s="100" t="n"/>
      <x:c r="BY74" s="100" t="n"/>
      <x:c r="BZ74" s="100" t="n"/>
      <x:c r="CA74" s="100" t="n"/>
      <x:c r="CB74" s="100" t="n"/>
      <x:c r="CC74" s="100" t="n"/>
      <x:c r="CD74" s="100" t="n"/>
      <x:c r="CE74" s="100" t="n"/>
      <x:c r="CF74" s="100" t="n"/>
      <x:c r="CG74" s="100" t="n"/>
      <x:c r="CH74" s="100" t="n"/>
      <x:c r="CI74" s="100" t="n"/>
      <x:c r="CJ74" s="100" t="n"/>
      <x:c r="CK74" s="100" t="n"/>
      <x:c r="CL74" s="100" t="n"/>
      <x:c r="CM74" s="100" t="n"/>
      <x:c r="CN74" s="100" t="n"/>
      <x:c r="CO74" s="100" t="n"/>
      <x:c r="CP74" s="100" t="n"/>
      <x:c r="CQ74" s="100" t="n"/>
      <x:c r="CR74" s="100" t="n"/>
      <x:c r="CS74" s="100" t="n"/>
      <x:c r="CT74" s="100" t="n"/>
      <x:c r="CU74" s="100" t="n"/>
      <x:c r="CV74" s="100" t="n"/>
      <x:c r="CW74" s="100" t="n"/>
      <x:c r="CX74" s="100" t="n"/>
      <x:c r="CY74" s="100" t="n"/>
      <x:c r="CZ74" s="100" t="n"/>
      <x:c r="DA74" s="100" t="n"/>
      <x:c r="DB74" s="100" t="n"/>
      <x:c r="DC74" s="100" t="n"/>
      <x:c r="DD74" s="100" t="n"/>
      <x:c r="DE74" s="100" t="n"/>
      <x:c r="DF74" s="100" t="n"/>
      <x:c r="DG74" s="100" t="n"/>
      <x:c r="DH74" s="100" t="n"/>
      <x:c r="DI74" s="100" t="n"/>
      <x:c r="DJ74" s="100" t="n"/>
      <x:c r="DK74" s="100" t="n"/>
      <x:c r="DL74" s="100" t="n"/>
      <x:c r="DM74" s="100" t="n"/>
      <x:c r="DN74" s="100" t="n"/>
      <x:c r="DO74" s="100" t="n"/>
      <x:c r="DP74" s="100" t="n"/>
      <x:c r="DQ74" s="100" t="n"/>
      <x:c r="DR74" s="100" t="n"/>
      <x:c r="DS74" s="100" t="n"/>
      <x:c r="DT74" s="100" t="n"/>
      <x:c r="DU74" s="100" t="n"/>
      <x:c r="DV74" s="100" t="n"/>
      <x:c r="DW74" s="100" t="n"/>
      <x:c r="DX74" s="100" t="n"/>
      <x:c r="DY74" s="100" t="n"/>
      <x:c r="DZ74" s="100" t="n"/>
      <x:c r="EA74" s="100" t="n"/>
      <x:c r="EB74" s="100" t="n"/>
      <x:c r="EC74" s="100" t="n"/>
      <x:c r="ED74" s="100" t="n"/>
      <x:c r="EE74" s="100" t="n"/>
      <x:c r="EF74" s="100" t="n"/>
      <x:c r="EG74" s="100" t="n"/>
      <x:c r="EH74" s="100" t="n"/>
      <x:c r="EI74" s="100" t="n"/>
      <x:c r="EJ74" s="100" t="n"/>
      <x:c r="EK74" s="100" t="n"/>
      <x:c r="EL74" s="100" t="n"/>
      <x:c r="EM74" s="100" t="n"/>
      <x:c r="EN74" s="100" t="n"/>
      <x:c r="EO74" s="100" t="n"/>
      <x:c r="EP74" s="100" t="n"/>
      <x:c r="EQ74" s="100" t="n"/>
      <x:c r="ER74" s="100" t="n"/>
      <x:c r="ES74" s="100" t="n"/>
      <x:c r="ET74" s="100" t="n"/>
      <x:c r="EU74" s="100" t="n"/>
      <x:c r="EV74" s="100" t="n"/>
      <x:c r="EW74" s="100" t="n"/>
      <x:c r="EX74" s="100" t="n"/>
      <x:c r="EY74" s="100" t="n"/>
      <x:c r="EZ74" s="100" t="n"/>
      <x:c r="FA74" s="100" t="n"/>
      <x:c r="FB74" s="100" t="n"/>
      <x:c r="FC74" s="100" t="n"/>
      <x:c r="FD74" s="100" t="n"/>
      <x:c r="FE74" s="100" t="n"/>
      <x:c r="FF74" s="100" t="n"/>
      <x:c r="FG74" s="100" t="n"/>
      <x:c r="FH74" s="100" t="n"/>
      <x:c r="FI74" s="100" t="n"/>
      <x:c r="FJ74" s="100" t="n"/>
      <x:c r="FK74" s="100" t="n"/>
      <x:c r="FL74" s="100" t="n"/>
      <x:c r="FM74" s="100" t="n"/>
      <x:c r="FN74" s="100" t="n"/>
      <x:c r="FO74" s="100" t="n"/>
      <x:c r="FP74" s="100" t="n"/>
      <x:c r="FQ74" s="100" t="n"/>
      <x:c r="FR74" s="100" t="n"/>
      <x:c r="FS74" s="100" t="n"/>
      <x:c r="FT74" s="100" t="n"/>
      <x:c r="FU74" s="100" t="n"/>
      <x:c r="FV74" s="100" t="n"/>
      <x:c r="FW74" s="100" t="n"/>
      <x:c r="FX74" s="100" t="n"/>
      <x:c r="FY74" s="100" t="n"/>
      <x:c r="FZ74" s="100" t="n"/>
      <x:c r="GA74" s="100" t="n"/>
      <x:c r="GB74" s="100" t="n"/>
      <x:c r="GC74" s="100" t="n"/>
      <x:c r="GD74" s="100" t="n"/>
      <x:c r="GE74" s="100" t="n"/>
      <x:c r="GF74" s="100" t="n"/>
    </x:row>
    <x:row r="75" s="27" customFormat="1">
      <x:c r="A75" s="38" t="n"/>
      <x:c r="B75" s="37" t="n"/>
      <x:c r="C75" s="36" t="n">
        <x:f>E75*D$5</x:f>
        <x:v>0</x:v>
      </x:c>
      <x:c r="D75" s="66" t="n"/>
      <x:c r="E75" s="36" t="n">
        <x:f>SUM(G75:HT75)</x:f>
        <x:v>0</x:v>
      </x:c>
      <x:c r="H75" s="28" t="n"/>
      <x:c r="I75" s="28" t="n"/>
      <x:c r="J75" s="28" t="n"/>
      <x:c r="K75" s="28" t="n"/>
      <x:c r="L75" s="28" t="n"/>
      <x:c r="M75" s="100" t="n"/>
      <x:c r="N75" s="100" t="n"/>
      <x:c r="O75" s="100" t="n"/>
      <x:c r="P75" s="100" t="n"/>
      <x:c r="Q75" s="100" t="n"/>
      <x:c r="R75" s="100" t="n"/>
      <x:c r="S75" s="100" t="n"/>
      <x:c r="T75" s="100" t="n"/>
      <x:c r="U75" s="100" t="n"/>
      <x:c r="V75" s="100" t="n"/>
      <x:c r="W75" s="100" t="n"/>
      <x:c r="X75" s="100" t="n"/>
      <x:c r="Y75" s="100" t="n"/>
      <x:c r="Z75" s="100" t="n"/>
      <x:c r="AA75" s="100" t="n"/>
      <x:c r="AB75" s="100" t="n"/>
      <x:c r="AC75" s="100" t="n"/>
      <x:c r="AD75" s="100" t="n"/>
      <x:c r="AE75" s="100" t="n"/>
      <x:c r="AF75" s="100" t="n"/>
      <x:c r="AG75" s="100" t="n"/>
      <x:c r="AH75" s="100" t="n"/>
      <x:c r="AI75" s="100" t="n"/>
      <x:c r="AJ75" s="100" t="n"/>
      <x:c r="AK75" s="100" t="n"/>
      <x:c r="AL75" s="100" t="n"/>
      <x:c r="AM75" s="100" t="n"/>
      <x:c r="AN75" s="100" t="n"/>
      <x:c r="AO75" s="100" t="n"/>
      <x:c r="AP75" s="100" t="n"/>
      <x:c r="AQ75" s="100" t="n"/>
      <x:c r="AR75" s="100" t="n"/>
      <x:c r="AS75" s="100" t="n"/>
      <x:c r="AT75" s="100" t="n"/>
      <x:c r="AU75" s="100" t="n"/>
      <x:c r="AV75" s="100" t="n"/>
      <x:c r="AW75" s="100" t="n"/>
      <x:c r="AX75" s="100" t="n"/>
      <x:c r="AY75" s="100" t="n"/>
      <x:c r="AZ75" s="100" t="n"/>
      <x:c r="BA75" s="100" t="n"/>
      <x:c r="BB75" s="100" t="n"/>
      <x:c r="BC75" s="100" t="n"/>
      <x:c r="BD75" s="100" t="n"/>
      <x:c r="BE75" s="100" t="n"/>
      <x:c r="BF75" s="100" t="n"/>
      <x:c r="BG75" s="100" t="n"/>
      <x:c r="BH75" s="100" t="n"/>
      <x:c r="BI75" s="100" t="n"/>
      <x:c r="BJ75" s="100" t="n"/>
      <x:c r="BK75" s="100" t="n"/>
      <x:c r="BL75" s="100" t="n"/>
      <x:c r="BM75" s="100" t="n"/>
      <x:c r="BN75" s="100" t="n"/>
      <x:c r="BO75" s="100" t="n"/>
      <x:c r="BP75" s="100" t="n"/>
      <x:c r="BQ75" s="100" t="n"/>
      <x:c r="BR75" s="100" t="n"/>
      <x:c r="BS75" s="100" t="n"/>
      <x:c r="BT75" s="100" t="n"/>
      <x:c r="BU75" s="100" t="n"/>
      <x:c r="BV75" s="100" t="n"/>
      <x:c r="BW75" s="100" t="n"/>
      <x:c r="BX75" s="100" t="n"/>
      <x:c r="BY75" s="100" t="n"/>
      <x:c r="BZ75" s="100" t="n"/>
      <x:c r="CA75" s="100" t="n"/>
      <x:c r="CB75" s="100" t="n"/>
      <x:c r="CC75" s="100" t="n"/>
      <x:c r="CD75" s="100" t="n"/>
      <x:c r="CE75" s="100" t="n"/>
      <x:c r="CF75" s="100" t="n"/>
      <x:c r="CG75" s="100" t="n"/>
      <x:c r="CH75" s="100" t="n"/>
      <x:c r="CI75" s="100" t="n"/>
      <x:c r="CJ75" s="100" t="n"/>
      <x:c r="CK75" s="100" t="n"/>
      <x:c r="CL75" s="100" t="n"/>
      <x:c r="CM75" s="100" t="n"/>
      <x:c r="CN75" s="100" t="n"/>
      <x:c r="CO75" s="100" t="n"/>
      <x:c r="CP75" s="100" t="n"/>
      <x:c r="CQ75" s="100" t="n"/>
      <x:c r="CR75" s="100" t="n"/>
      <x:c r="CS75" s="100" t="n"/>
      <x:c r="CT75" s="100" t="n"/>
      <x:c r="CU75" s="100" t="n"/>
      <x:c r="CV75" s="100" t="n"/>
      <x:c r="CW75" s="100" t="n"/>
      <x:c r="CX75" s="100" t="n"/>
      <x:c r="CY75" s="100" t="n"/>
      <x:c r="CZ75" s="100" t="n"/>
      <x:c r="DA75" s="100" t="n"/>
      <x:c r="DB75" s="100" t="n"/>
      <x:c r="DC75" s="100" t="n"/>
      <x:c r="DD75" s="100" t="n"/>
      <x:c r="DE75" s="100" t="n"/>
      <x:c r="DF75" s="100" t="n"/>
      <x:c r="DG75" s="100" t="n"/>
      <x:c r="DH75" s="100" t="n"/>
      <x:c r="DI75" s="100" t="n"/>
      <x:c r="DJ75" s="100" t="n"/>
      <x:c r="DK75" s="100" t="n"/>
      <x:c r="DL75" s="100" t="n"/>
      <x:c r="DM75" s="100" t="n"/>
      <x:c r="DN75" s="100" t="n"/>
      <x:c r="DO75" s="100" t="n"/>
      <x:c r="DP75" s="100" t="n"/>
      <x:c r="DQ75" s="100" t="n"/>
      <x:c r="DR75" s="100" t="n"/>
      <x:c r="DS75" s="100" t="n"/>
      <x:c r="DT75" s="100" t="n"/>
      <x:c r="DU75" s="100" t="n"/>
      <x:c r="DV75" s="100" t="n"/>
      <x:c r="DW75" s="100" t="n"/>
      <x:c r="DX75" s="100" t="n"/>
      <x:c r="DY75" s="100" t="n"/>
      <x:c r="DZ75" s="100" t="n"/>
      <x:c r="EA75" s="100" t="n"/>
      <x:c r="EB75" s="100" t="n"/>
      <x:c r="EC75" s="100" t="n"/>
      <x:c r="ED75" s="100" t="n"/>
      <x:c r="EE75" s="100" t="n"/>
      <x:c r="EF75" s="100" t="n"/>
      <x:c r="EG75" s="100" t="n"/>
      <x:c r="EH75" s="100" t="n"/>
      <x:c r="EI75" s="100" t="n"/>
      <x:c r="EJ75" s="100" t="n"/>
      <x:c r="EK75" s="100" t="n"/>
      <x:c r="EL75" s="100" t="n"/>
      <x:c r="EM75" s="100" t="n"/>
      <x:c r="EN75" s="100" t="n"/>
      <x:c r="EO75" s="100" t="n"/>
      <x:c r="EP75" s="100" t="n"/>
      <x:c r="EQ75" s="100" t="n"/>
      <x:c r="ER75" s="100" t="n"/>
      <x:c r="ES75" s="100" t="n"/>
      <x:c r="ET75" s="100" t="n"/>
      <x:c r="EU75" s="100" t="n"/>
      <x:c r="EV75" s="100" t="n"/>
      <x:c r="EW75" s="100" t="n"/>
      <x:c r="EX75" s="100" t="n"/>
      <x:c r="EY75" s="100" t="n"/>
      <x:c r="EZ75" s="100" t="n"/>
      <x:c r="FA75" s="100" t="n"/>
      <x:c r="FB75" s="100" t="n"/>
      <x:c r="FC75" s="100" t="n"/>
      <x:c r="FD75" s="100" t="n"/>
      <x:c r="FE75" s="100" t="n"/>
      <x:c r="FF75" s="100" t="n"/>
      <x:c r="FG75" s="100" t="n"/>
      <x:c r="FH75" s="100" t="n"/>
      <x:c r="FI75" s="100" t="n"/>
      <x:c r="FJ75" s="100" t="n"/>
      <x:c r="FK75" s="100" t="n"/>
      <x:c r="FL75" s="100" t="n"/>
      <x:c r="FM75" s="100" t="n"/>
      <x:c r="FN75" s="100" t="n"/>
      <x:c r="FO75" s="100" t="n"/>
      <x:c r="FP75" s="100" t="n"/>
      <x:c r="FQ75" s="100" t="n"/>
      <x:c r="FR75" s="100" t="n"/>
      <x:c r="FS75" s="100" t="n"/>
      <x:c r="FT75" s="100" t="n"/>
      <x:c r="FU75" s="100" t="n"/>
      <x:c r="FV75" s="100" t="n"/>
      <x:c r="FW75" s="100" t="n"/>
      <x:c r="FX75" s="100" t="n"/>
      <x:c r="FY75" s="100" t="n"/>
      <x:c r="FZ75" s="100" t="n"/>
      <x:c r="GA75" s="100" t="n"/>
      <x:c r="GB75" s="100" t="n"/>
      <x:c r="GC75" s="100" t="n"/>
      <x:c r="GD75" s="100" t="n"/>
      <x:c r="GE75" s="100" t="n"/>
      <x:c r="GF75" s="100" t="n"/>
    </x:row>
    <x:row r="76" s="27" customFormat="1">
      <x:c r="A76" s="38" t="n"/>
      <x:c r="B76" s="37" t="n"/>
      <x:c r="C76" s="36" t="n">
        <x:f>E76*D$5</x:f>
        <x:v>0</x:v>
      </x:c>
      <x:c r="D76" s="66" t="n"/>
      <x:c r="E76" s="36" t="n">
        <x:f>SUM(G76:HT76)</x:f>
        <x:v>0</x:v>
      </x:c>
      <x:c r="H76" s="28" t="n"/>
      <x:c r="I76" s="28" t="n"/>
      <x:c r="J76" s="28" t="n"/>
      <x:c r="K76" s="28" t="n"/>
      <x:c r="L76" s="28" t="n"/>
      <x:c r="M76" s="100" t="n"/>
      <x:c r="N76" s="100" t="n"/>
      <x:c r="O76" s="100" t="n"/>
      <x:c r="P76" s="100" t="n"/>
      <x:c r="Q76" s="100" t="n"/>
      <x:c r="R76" s="100" t="n"/>
      <x:c r="S76" s="100" t="n"/>
      <x:c r="T76" s="100" t="n"/>
      <x:c r="U76" s="100" t="n"/>
      <x:c r="V76" s="100" t="n"/>
      <x:c r="W76" s="100" t="n"/>
      <x:c r="X76" s="100" t="n"/>
      <x:c r="Y76" s="100" t="n"/>
      <x:c r="Z76" s="100" t="n"/>
      <x:c r="AA76" s="100" t="n"/>
      <x:c r="AB76" s="100" t="n"/>
      <x:c r="AC76" s="100" t="n"/>
      <x:c r="AD76" s="100" t="n"/>
      <x:c r="AE76" s="100" t="n"/>
      <x:c r="AF76" s="100" t="n"/>
      <x:c r="AG76" s="100" t="n"/>
      <x:c r="AH76" s="100" t="n"/>
      <x:c r="AI76" s="100" t="n"/>
      <x:c r="AJ76" s="100" t="n"/>
      <x:c r="AK76" s="100" t="n"/>
      <x:c r="AL76" s="100" t="n"/>
      <x:c r="AM76" s="100" t="n"/>
      <x:c r="AN76" s="100" t="n"/>
      <x:c r="AO76" s="100" t="n"/>
      <x:c r="AP76" s="100" t="n"/>
      <x:c r="AQ76" s="100" t="n"/>
      <x:c r="AR76" s="100" t="n"/>
      <x:c r="AS76" s="100" t="n"/>
      <x:c r="AT76" s="100" t="n"/>
      <x:c r="AU76" s="100" t="n"/>
      <x:c r="AV76" s="100" t="n"/>
      <x:c r="AW76" s="100" t="n"/>
      <x:c r="AX76" s="100" t="n"/>
      <x:c r="AY76" s="100" t="n"/>
      <x:c r="AZ76" s="100" t="n"/>
      <x:c r="BA76" s="100" t="n"/>
      <x:c r="BB76" s="100" t="n"/>
      <x:c r="BC76" s="100" t="n"/>
      <x:c r="BD76" s="100" t="n"/>
      <x:c r="BE76" s="100" t="n"/>
      <x:c r="BF76" s="100" t="n"/>
      <x:c r="BG76" s="100" t="n"/>
      <x:c r="BH76" s="100" t="n"/>
      <x:c r="BI76" s="100" t="n"/>
      <x:c r="BJ76" s="100" t="n"/>
      <x:c r="BK76" s="100" t="n"/>
      <x:c r="BL76" s="100" t="n"/>
      <x:c r="BM76" s="100" t="n"/>
      <x:c r="BN76" s="100" t="n"/>
      <x:c r="BO76" s="100" t="n"/>
      <x:c r="BP76" s="100" t="n"/>
      <x:c r="BQ76" s="100" t="n"/>
      <x:c r="BR76" s="100" t="n"/>
      <x:c r="BS76" s="100" t="n"/>
      <x:c r="BT76" s="100" t="n"/>
      <x:c r="BU76" s="100" t="n"/>
      <x:c r="BV76" s="100" t="n"/>
      <x:c r="BW76" s="100" t="n"/>
      <x:c r="BX76" s="100" t="n"/>
      <x:c r="BY76" s="100" t="n"/>
      <x:c r="BZ76" s="100" t="n"/>
      <x:c r="CA76" s="100" t="n"/>
      <x:c r="CB76" s="100" t="n"/>
      <x:c r="CC76" s="100" t="n"/>
      <x:c r="CD76" s="100" t="n"/>
      <x:c r="CE76" s="100" t="n"/>
      <x:c r="CF76" s="100" t="n"/>
      <x:c r="CG76" s="100" t="n"/>
      <x:c r="CH76" s="100" t="n"/>
      <x:c r="CI76" s="100" t="n"/>
      <x:c r="CJ76" s="100" t="n"/>
      <x:c r="CK76" s="100" t="n"/>
      <x:c r="CL76" s="100" t="n"/>
      <x:c r="CM76" s="100" t="n"/>
      <x:c r="CN76" s="100" t="n"/>
      <x:c r="CO76" s="100" t="n"/>
      <x:c r="CP76" s="100" t="n"/>
      <x:c r="CQ76" s="100" t="n"/>
      <x:c r="CR76" s="100" t="n"/>
      <x:c r="CS76" s="100" t="n"/>
      <x:c r="CT76" s="100" t="n"/>
      <x:c r="CU76" s="100" t="n"/>
      <x:c r="CV76" s="100" t="n"/>
      <x:c r="CW76" s="100" t="n"/>
      <x:c r="CX76" s="100" t="n"/>
      <x:c r="CY76" s="100" t="n"/>
      <x:c r="CZ76" s="100" t="n"/>
      <x:c r="DA76" s="100" t="n"/>
      <x:c r="DB76" s="100" t="n"/>
      <x:c r="DC76" s="100" t="n"/>
      <x:c r="DD76" s="100" t="n"/>
      <x:c r="DE76" s="100" t="n"/>
      <x:c r="DF76" s="100" t="n"/>
      <x:c r="DG76" s="100" t="n"/>
      <x:c r="DH76" s="100" t="n"/>
      <x:c r="DI76" s="100" t="n"/>
      <x:c r="DJ76" s="100" t="n"/>
      <x:c r="DK76" s="100" t="n"/>
      <x:c r="DL76" s="100" t="n"/>
      <x:c r="DM76" s="100" t="n"/>
      <x:c r="DN76" s="100" t="n"/>
      <x:c r="DO76" s="100" t="n"/>
      <x:c r="DP76" s="100" t="n"/>
      <x:c r="DQ76" s="100" t="n"/>
      <x:c r="DR76" s="100" t="n"/>
      <x:c r="DS76" s="100" t="n"/>
      <x:c r="DT76" s="100" t="n"/>
      <x:c r="DU76" s="100" t="n"/>
      <x:c r="DV76" s="100" t="n"/>
      <x:c r="DW76" s="100" t="n"/>
      <x:c r="DX76" s="100" t="n"/>
      <x:c r="DY76" s="100" t="n"/>
      <x:c r="DZ76" s="100" t="n"/>
      <x:c r="EA76" s="100" t="n"/>
      <x:c r="EB76" s="100" t="n"/>
      <x:c r="EC76" s="100" t="n"/>
      <x:c r="ED76" s="100" t="n"/>
      <x:c r="EE76" s="100" t="n"/>
      <x:c r="EF76" s="100" t="n"/>
      <x:c r="EG76" s="100" t="n"/>
      <x:c r="EH76" s="100" t="n"/>
      <x:c r="EI76" s="100" t="n"/>
      <x:c r="EJ76" s="100" t="n"/>
      <x:c r="EK76" s="100" t="n"/>
      <x:c r="EL76" s="100" t="n"/>
      <x:c r="EM76" s="100" t="n"/>
      <x:c r="EN76" s="100" t="n"/>
      <x:c r="EO76" s="100" t="n"/>
      <x:c r="EP76" s="100" t="n"/>
      <x:c r="EQ76" s="100" t="n"/>
      <x:c r="ER76" s="100" t="n"/>
      <x:c r="ES76" s="100" t="n"/>
      <x:c r="ET76" s="100" t="n"/>
      <x:c r="EU76" s="100" t="n"/>
      <x:c r="EV76" s="100" t="n"/>
      <x:c r="EW76" s="100" t="n"/>
      <x:c r="EX76" s="100" t="n"/>
      <x:c r="EY76" s="100" t="n"/>
      <x:c r="EZ76" s="100" t="n"/>
      <x:c r="FA76" s="100" t="n"/>
      <x:c r="FB76" s="100" t="n"/>
      <x:c r="FC76" s="100" t="n"/>
      <x:c r="FD76" s="100" t="n"/>
      <x:c r="FE76" s="100" t="n"/>
      <x:c r="FF76" s="100" t="n"/>
      <x:c r="FG76" s="100" t="n"/>
      <x:c r="FH76" s="100" t="n"/>
      <x:c r="FI76" s="100" t="n"/>
      <x:c r="FJ76" s="100" t="n"/>
      <x:c r="FK76" s="100" t="n"/>
      <x:c r="FL76" s="100" t="n"/>
      <x:c r="FM76" s="100" t="n"/>
      <x:c r="FN76" s="100" t="n"/>
      <x:c r="FO76" s="100" t="n"/>
      <x:c r="FP76" s="100" t="n"/>
      <x:c r="FQ76" s="100" t="n"/>
      <x:c r="FR76" s="100" t="n"/>
      <x:c r="FS76" s="100" t="n"/>
      <x:c r="FT76" s="100" t="n"/>
      <x:c r="FU76" s="100" t="n"/>
      <x:c r="FV76" s="100" t="n"/>
      <x:c r="FW76" s="100" t="n"/>
      <x:c r="FX76" s="100" t="n"/>
      <x:c r="FY76" s="100" t="n"/>
      <x:c r="FZ76" s="100" t="n"/>
      <x:c r="GA76" s="100" t="n"/>
      <x:c r="GB76" s="100" t="n"/>
      <x:c r="GC76" s="100" t="n"/>
      <x:c r="GD76" s="100" t="n"/>
      <x:c r="GE76" s="100" t="n"/>
      <x:c r="GF76" s="100" t="n"/>
    </x:row>
    <x:row r="77" s="27" customFormat="1">
      <x:c r="A77" s="38" t="n"/>
      <x:c r="B77" s="37" t="n"/>
      <x:c r="C77" s="36" t="n">
        <x:f>E77*D$5</x:f>
        <x:v>0</x:v>
      </x:c>
      <x:c r="D77" s="66" t="n"/>
      <x:c r="E77" s="36" t="n">
        <x:f>SUM(G77:HT77)</x:f>
        <x:v>0</x:v>
      </x:c>
      <x:c r="H77" s="28" t="n"/>
      <x:c r="I77" s="28" t="n"/>
      <x:c r="J77" s="28" t="n"/>
      <x:c r="K77" s="28" t="n"/>
      <x:c r="L77" s="28" t="n"/>
      <x:c r="M77" s="100" t="n"/>
      <x:c r="N77" s="100" t="n"/>
      <x:c r="O77" s="100" t="n"/>
      <x:c r="P77" s="100" t="n"/>
      <x:c r="Q77" s="100" t="n"/>
      <x:c r="R77" s="100" t="n"/>
      <x:c r="S77" s="100" t="n"/>
      <x:c r="T77" s="100" t="n"/>
      <x:c r="U77" s="100" t="n"/>
      <x:c r="V77" s="100" t="n"/>
      <x:c r="W77" s="100" t="n"/>
      <x:c r="X77" s="100" t="n"/>
      <x:c r="Y77" s="100" t="n"/>
      <x:c r="Z77" s="100" t="n"/>
      <x:c r="AA77" s="100" t="n"/>
      <x:c r="AB77" s="100" t="n"/>
      <x:c r="AC77" s="100" t="n"/>
      <x:c r="AD77" s="100" t="n"/>
      <x:c r="AE77" s="100" t="n"/>
      <x:c r="AF77" s="100" t="n"/>
      <x:c r="AG77" s="100" t="n"/>
      <x:c r="AH77" s="100" t="n"/>
      <x:c r="AI77" s="100" t="n"/>
      <x:c r="AJ77" s="100" t="n"/>
      <x:c r="AK77" s="100" t="n"/>
      <x:c r="AL77" s="100" t="n"/>
      <x:c r="AM77" s="100" t="n"/>
      <x:c r="AN77" s="100" t="n"/>
      <x:c r="AO77" s="100" t="n"/>
      <x:c r="AP77" s="100" t="n"/>
      <x:c r="AQ77" s="100" t="n"/>
      <x:c r="AR77" s="100" t="n"/>
      <x:c r="AS77" s="100" t="n"/>
      <x:c r="AT77" s="100" t="n"/>
      <x:c r="AU77" s="100" t="n"/>
      <x:c r="AV77" s="100" t="n"/>
      <x:c r="AW77" s="100" t="n"/>
      <x:c r="AX77" s="100" t="n"/>
      <x:c r="AY77" s="100" t="n"/>
      <x:c r="AZ77" s="100" t="n"/>
      <x:c r="BA77" s="100" t="n"/>
      <x:c r="BB77" s="100" t="n"/>
      <x:c r="BC77" s="100" t="n"/>
      <x:c r="BD77" s="100" t="n"/>
      <x:c r="BE77" s="100" t="n"/>
      <x:c r="BF77" s="100" t="n"/>
      <x:c r="BG77" s="100" t="n"/>
      <x:c r="BH77" s="100" t="n"/>
      <x:c r="BI77" s="100" t="n"/>
      <x:c r="BJ77" s="100" t="n"/>
      <x:c r="BK77" s="100" t="n"/>
      <x:c r="BL77" s="100" t="n"/>
      <x:c r="BM77" s="100" t="n"/>
      <x:c r="BN77" s="100" t="n"/>
      <x:c r="BO77" s="100" t="n"/>
      <x:c r="BP77" s="100" t="n"/>
      <x:c r="BQ77" s="100" t="n"/>
      <x:c r="BR77" s="100" t="n"/>
      <x:c r="BS77" s="100" t="n"/>
      <x:c r="BT77" s="100" t="n"/>
      <x:c r="BU77" s="100" t="n"/>
      <x:c r="BV77" s="100" t="n"/>
      <x:c r="BW77" s="100" t="n"/>
      <x:c r="BX77" s="100" t="n"/>
      <x:c r="BY77" s="100" t="n"/>
      <x:c r="BZ77" s="100" t="n"/>
      <x:c r="CA77" s="100" t="n"/>
      <x:c r="CB77" s="100" t="n"/>
      <x:c r="CC77" s="100" t="n"/>
      <x:c r="CD77" s="100" t="n"/>
      <x:c r="CE77" s="100" t="n"/>
      <x:c r="CF77" s="100" t="n"/>
      <x:c r="CG77" s="100" t="n"/>
      <x:c r="CH77" s="100" t="n"/>
      <x:c r="CI77" s="100" t="n"/>
      <x:c r="CJ77" s="100" t="n"/>
      <x:c r="CK77" s="100" t="n"/>
      <x:c r="CL77" s="100" t="n"/>
      <x:c r="CM77" s="100" t="n"/>
      <x:c r="CN77" s="100" t="n"/>
      <x:c r="CO77" s="100" t="n"/>
      <x:c r="CP77" s="100" t="n"/>
      <x:c r="CQ77" s="100" t="n"/>
      <x:c r="CR77" s="100" t="n"/>
      <x:c r="CS77" s="100" t="n"/>
      <x:c r="CT77" s="100" t="n"/>
      <x:c r="CU77" s="100" t="n"/>
      <x:c r="CV77" s="100" t="n"/>
      <x:c r="CW77" s="100" t="n"/>
      <x:c r="CX77" s="100" t="n"/>
      <x:c r="CY77" s="100" t="n"/>
      <x:c r="CZ77" s="100" t="n"/>
      <x:c r="DA77" s="100" t="n"/>
      <x:c r="DB77" s="100" t="n"/>
      <x:c r="DC77" s="100" t="n"/>
      <x:c r="DD77" s="100" t="n"/>
      <x:c r="DE77" s="100" t="n"/>
      <x:c r="DF77" s="100" t="n"/>
      <x:c r="DG77" s="100" t="n"/>
      <x:c r="DH77" s="100" t="n"/>
      <x:c r="DI77" s="100" t="n"/>
      <x:c r="DJ77" s="100" t="n"/>
      <x:c r="DK77" s="100" t="n"/>
      <x:c r="DL77" s="100" t="n"/>
      <x:c r="DM77" s="100" t="n"/>
      <x:c r="DN77" s="100" t="n"/>
      <x:c r="DO77" s="100" t="n"/>
      <x:c r="DP77" s="100" t="n"/>
      <x:c r="DQ77" s="100" t="n"/>
      <x:c r="DR77" s="100" t="n"/>
      <x:c r="DS77" s="100" t="n"/>
      <x:c r="DT77" s="100" t="n"/>
      <x:c r="DU77" s="100" t="n"/>
      <x:c r="DV77" s="100" t="n"/>
      <x:c r="DW77" s="100" t="n"/>
      <x:c r="DX77" s="100" t="n"/>
      <x:c r="DY77" s="100" t="n"/>
      <x:c r="DZ77" s="100" t="n"/>
      <x:c r="EA77" s="100" t="n"/>
      <x:c r="EB77" s="100" t="n"/>
      <x:c r="EC77" s="100" t="n"/>
      <x:c r="ED77" s="100" t="n"/>
      <x:c r="EE77" s="100" t="n"/>
      <x:c r="EF77" s="100" t="n"/>
      <x:c r="EG77" s="100" t="n"/>
      <x:c r="EH77" s="100" t="n"/>
      <x:c r="EI77" s="100" t="n"/>
      <x:c r="EJ77" s="100" t="n"/>
      <x:c r="EK77" s="100" t="n"/>
      <x:c r="EL77" s="100" t="n"/>
      <x:c r="EM77" s="100" t="n"/>
      <x:c r="EN77" s="100" t="n"/>
      <x:c r="EO77" s="100" t="n"/>
      <x:c r="EP77" s="100" t="n"/>
      <x:c r="EQ77" s="100" t="n"/>
      <x:c r="ER77" s="100" t="n"/>
      <x:c r="ES77" s="100" t="n"/>
      <x:c r="ET77" s="100" t="n"/>
      <x:c r="EU77" s="100" t="n"/>
      <x:c r="EV77" s="100" t="n"/>
      <x:c r="EW77" s="100" t="n"/>
      <x:c r="EX77" s="100" t="n"/>
      <x:c r="EY77" s="100" t="n"/>
      <x:c r="EZ77" s="100" t="n"/>
      <x:c r="FA77" s="100" t="n"/>
      <x:c r="FB77" s="100" t="n"/>
      <x:c r="FC77" s="100" t="n"/>
      <x:c r="FD77" s="100" t="n"/>
      <x:c r="FE77" s="100" t="n"/>
      <x:c r="FF77" s="100" t="n"/>
      <x:c r="FG77" s="100" t="n"/>
      <x:c r="FH77" s="100" t="n"/>
      <x:c r="FI77" s="100" t="n"/>
      <x:c r="FJ77" s="100" t="n"/>
      <x:c r="FK77" s="100" t="n"/>
      <x:c r="FL77" s="100" t="n"/>
      <x:c r="FM77" s="100" t="n"/>
      <x:c r="FN77" s="100" t="n"/>
      <x:c r="FO77" s="100" t="n"/>
      <x:c r="FP77" s="100" t="n"/>
      <x:c r="FQ77" s="100" t="n"/>
      <x:c r="FR77" s="100" t="n"/>
      <x:c r="FS77" s="100" t="n"/>
      <x:c r="FT77" s="100" t="n"/>
      <x:c r="FU77" s="100" t="n"/>
      <x:c r="FV77" s="100" t="n"/>
      <x:c r="FW77" s="100" t="n"/>
      <x:c r="FX77" s="100" t="n"/>
      <x:c r="FY77" s="100" t="n"/>
      <x:c r="FZ77" s="100" t="n"/>
      <x:c r="GA77" s="100" t="n"/>
      <x:c r="GB77" s="100" t="n"/>
      <x:c r="GC77" s="100" t="n"/>
      <x:c r="GD77" s="100" t="n"/>
      <x:c r="GE77" s="100" t="n"/>
      <x:c r="GF77" s="100" t="n"/>
    </x:row>
    <x:row r="78" s="27" customFormat="1">
      <x:c r="A78" s="38" t="n"/>
      <x:c r="B78" s="37" t="n"/>
      <x:c r="C78" s="36" t="n">
        <x:f>E78*D$5</x:f>
        <x:v>0</x:v>
      </x:c>
      <x:c r="D78" s="66" t="n"/>
      <x:c r="E78" s="36" t="n">
        <x:f>SUM(G78:HT78)</x:f>
        <x:v>0</x:v>
      </x:c>
      <x:c r="H78" s="28" t="n"/>
      <x:c r="I78" s="28" t="n"/>
      <x:c r="J78" s="28" t="n"/>
      <x:c r="K78" s="28" t="n"/>
      <x:c r="L78" s="28" t="n"/>
      <x:c r="M78" s="100" t="n"/>
      <x:c r="N78" s="100" t="n"/>
      <x:c r="O78" s="100" t="n"/>
      <x:c r="P78" s="100" t="n"/>
      <x:c r="Q78" s="100" t="n"/>
      <x:c r="R78" s="100" t="n"/>
      <x:c r="S78" s="100" t="n"/>
      <x:c r="T78" s="100" t="n"/>
      <x:c r="U78" s="100" t="n"/>
      <x:c r="V78" s="100" t="n"/>
      <x:c r="W78" s="100" t="n"/>
      <x:c r="X78" s="100" t="n"/>
      <x:c r="Y78" s="100" t="n"/>
      <x:c r="Z78" s="100" t="n"/>
      <x:c r="AA78" s="100" t="n"/>
      <x:c r="AB78" s="100" t="n"/>
      <x:c r="AC78" s="100" t="n"/>
      <x:c r="AD78" s="100" t="n"/>
      <x:c r="AE78" s="100" t="n"/>
      <x:c r="AF78" s="100" t="n"/>
      <x:c r="AG78" s="100" t="n"/>
      <x:c r="AH78" s="100" t="n"/>
      <x:c r="AI78" s="100" t="n"/>
      <x:c r="AJ78" s="100" t="n"/>
      <x:c r="AK78" s="100" t="n"/>
      <x:c r="AL78" s="100" t="n"/>
      <x:c r="AM78" s="100" t="n"/>
      <x:c r="AN78" s="100" t="n"/>
      <x:c r="AO78" s="100" t="n"/>
      <x:c r="AP78" s="100" t="n"/>
      <x:c r="AQ78" s="100" t="n"/>
      <x:c r="AR78" s="100" t="n"/>
      <x:c r="AS78" s="100" t="n"/>
      <x:c r="AT78" s="100" t="n"/>
      <x:c r="AU78" s="100" t="n"/>
      <x:c r="AV78" s="100" t="n"/>
      <x:c r="AW78" s="100" t="n"/>
      <x:c r="AX78" s="100" t="n"/>
      <x:c r="AY78" s="100" t="n"/>
      <x:c r="AZ78" s="100" t="n"/>
      <x:c r="BA78" s="100" t="n"/>
      <x:c r="BB78" s="100" t="n"/>
      <x:c r="BC78" s="100" t="n"/>
      <x:c r="BD78" s="100" t="n"/>
      <x:c r="BE78" s="100" t="n"/>
      <x:c r="BF78" s="100" t="n"/>
      <x:c r="BG78" s="100" t="n"/>
      <x:c r="BH78" s="100" t="n"/>
      <x:c r="BI78" s="100" t="n"/>
      <x:c r="BJ78" s="100" t="n"/>
      <x:c r="BK78" s="100" t="n"/>
      <x:c r="BL78" s="100" t="n"/>
      <x:c r="BM78" s="100" t="n"/>
      <x:c r="BN78" s="100" t="n"/>
      <x:c r="BO78" s="100" t="n"/>
      <x:c r="BP78" s="100" t="n"/>
      <x:c r="BQ78" s="100" t="n"/>
      <x:c r="BR78" s="100" t="n"/>
      <x:c r="BS78" s="100" t="n"/>
      <x:c r="BT78" s="100" t="n"/>
      <x:c r="BU78" s="100" t="n"/>
      <x:c r="BV78" s="100" t="n"/>
      <x:c r="BW78" s="100" t="n"/>
      <x:c r="BX78" s="100" t="n"/>
      <x:c r="BY78" s="100" t="n"/>
      <x:c r="BZ78" s="100" t="n"/>
      <x:c r="CA78" s="100" t="n"/>
      <x:c r="CB78" s="100" t="n"/>
      <x:c r="CC78" s="100" t="n"/>
      <x:c r="CD78" s="100" t="n"/>
      <x:c r="CE78" s="100" t="n"/>
      <x:c r="CF78" s="100" t="n"/>
      <x:c r="CG78" s="100" t="n"/>
      <x:c r="CH78" s="100" t="n"/>
      <x:c r="CI78" s="100" t="n"/>
      <x:c r="CJ78" s="100" t="n"/>
      <x:c r="CK78" s="100" t="n"/>
      <x:c r="CL78" s="100" t="n"/>
      <x:c r="CM78" s="100" t="n"/>
      <x:c r="CN78" s="100" t="n"/>
      <x:c r="CO78" s="100" t="n"/>
      <x:c r="CP78" s="100" t="n"/>
      <x:c r="CQ78" s="100" t="n"/>
      <x:c r="CR78" s="100" t="n"/>
      <x:c r="CS78" s="100" t="n"/>
      <x:c r="CT78" s="100" t="n"/>
      <x:c r="CU78" s="100" t="n"/>
      <x:c r="CV78" s="100" t="n"/>
      <x:c r="CW78" s="100" t="n"/>
      <x:c r="CX78" s="100" t="n"/>
      <x:c r="CY78" s="100" t="n"/>
      <x:c r="CZ78" s="100" t="n"/>
      <x:c r="DA78" s="100" t="n"/>
      <x:c r="DB78" s="100" t="n"/>
      <x:c r="DC78" s="100" t="n"/>
      <x:c r="DD78" s="100" t="n"/>
      <x:c r="DE78" s="100" t="n"/>
      <x:c r="DF78" s="100" t="n"/>
      <x:c r="DG78" s="100" t="n"/>
      <x:c r="DH78" s="100" t="n"/>
      <x:c r="DI78" s="100" t="n"/>
      <x:c r="DJ78" s="100" t="n"/>
      <x:c r="DK78" s="100" t="n"/>
      <x:c r="DL78" s="100" t="n"/>
      <x:c r="DM78" s="100" t="n"/>
      <x:c r="DN78" s="100" t="n"/>
      <x:c r="DO78" s="100" t="n"/>
      <x:c r="DP78" s="100" t="n"/>
      <x:c r="DQ78" s="100" t="n"/>
      <x:c r="DR78" s="100" t="n"/>
      <x:c r="DS78" s="100" t="n"/>
      <x:c r="DT78" s="100" t="n"/>
      <x:c r="DU78" s="100" t="n"/>
      <x:c r="DV78" s="100" t="n"/>
      <x:c r="DW78" s="100" t="n"/>
      <x:c r="DX78" s="100" t="n"/>
      <x:c r="DY78" s="100" t="n"/>
      <x:c r="DZ78" s="100" t="n"/>
      <x:c r="EA78" s="100" t="n"/>
      <x:c r="EB78" s="100" t="n"/>
      <x:c r="EC78" s="100" t="n"/>
      <x:c r="ED78" s="100" t="n"/>
      <x:c r="EE78" s="100" t="n"/>
      <x:c r="EF78" s="100" t="n"/>
      <x:c r="EG78" s="100" t="n"/>
      <x:c r="EH78" s="100" t="n"/>
      <x:c r="EI78" s="100" t="n"/>
      <x:c r="EJ78" s="100" t="n"/>
      <x:c r="EK78" s="100" t="n"/>
      <x:c r="EL78" s="100" t="n"/>
      <x:c r="EM78" s="100" t="n"/>
      <x:c r="EN78" s="100" t="n"/>
      <x:c r="EO78" s="100" t="n"/>
      <x:c r="EP78" s="100" t="n"/>
      <x:c r="EQ78" s="100" t="n"/>
      <x:c r="ER78" s="100" t="n"/>
      <x:c r="ES78" s="100" t="n"/>
      <x:c r="ET78" s="100" t="n"/>
      <x:c r="EU78" s="100" t="n"/>
      <x:c r="EV78" s="100" t="n"/>
      <x:c r="EW78" s="100" t="n"/>
      <x:c r="EX78" s="100" t="n"/>
      <x:c r="EY78" s="100" t="n"/>
      <x:c r="EZ78" s="100" t="n"/>
      <x:c r="FA78" s="100" t="n"/>
      <x:c r="FB78" s="100" t="n"/>
      <x:c r="FC78" s="100" t="n"/>
      <x:c r="FD78" s="100" t="n"/>
      <x:c r="FE78" s="100" t="n"/>
      <x:c r="FF78" s="100" t="n"/>
      <x:c r="FG78" s="100" t="n"/>
      <x:c r="FH78" s="100" t="n"/>
      <x:c r="FI78" s="100" t="n"/>
      <x:c r="FJ78" s="100" t="n"/>
      <x:c r="FK78" s="100" t="n"/>
      <x:c r="FL78" s="100" t="n"/>
      <x:c r="FM78" s="100" t="n"/>
      <x:c r="FN78" s="100" t="n"/>
      <x:c r="FO78" s="100" t="n"/>
      <x:c r="FP78" s="100" t="n"/>
      <x:c r="FQ78" s="100" t="n"/>
      <x:c r="FR78" s="100" t="n"/>
      <x:c r="FS78" s="100" t="n"/>
      <x:c r="FT78" s="100" t="n"/>
      <x:c r="FU78" s="100" t="n"/>
      <x:c r="FV78" s="100" t="n"/>
      <x:c r="FW78" s="100" t="n"/>
      <x:c r="FX78" s="100" t="n"/>
      <x:c r="FY78" s="100" t="n"/>
      <x:c r="FZ78" s="100" t="n"/>
      <x:c r="GA78" s="100" t="n"/>
      <x:c r="GB78" s="100" t="n"/>
      <x:c r="GC78" s="100" t="n"/>
      <x:c r="GD78" s="100" t="n"/>
      <x:c r="GE78" s="100" t="n"/>
      <x:c r="GF78" s="100" t="n"/>
    </x:row>
    <x:row r="79" s="27" customFormat="1">
      <x:c r="A79" s="38" t="n"/>
      <x:c r="B79" s="37" t="n"/>
      <x:c r="C79" s="86" t="n">
        <x:f>E79*D$5</x:f>
        <x:v>0</x:v>
      </x:c>
      <x:c r="D79" s="88" t="n"/>
      <x:c r="E79" s="86" t="n">
        <x:f>SUM(G79:HT79)</x:f>
        <x:v>0</x:v>
      </x:c>
      <x:c r="H79" s="28" t="n"/>
      <x:c r="I79" s="28" t="n"/>
      <x:c r="J79" s="28" t="n"/>
      <x:c r="K79" s="28" t="n"/>
      <x:c r="L79" s="28" t="n"/>
      <x:c r="M79" s="100" t="n"/>
      <x:c r="N79" s="100" t="n"/>
      <x:c r="O79" s="100" t="n"/>
      <x:c r="P79" s="100" t="n"/>
      <x:c r="Q79" s="100" t="n"/>
      <x:c r="R79" s="100" t="n"/>
      <x:c r="S79" s="100" t="n"/>
      <x:c r="T79" s="100" t="n"/>
      <x:c r="U79" s="100" t="n"/>
      <x:c r="V79" s="100" t="n"/>
      <x:c r="W79" s="100" t="n"/>
      <x:c r="X79" s="100" t="n"/>
      <x:c r="Y79" s="100" t="n"/>
      <x:c r="Z79" s="100" t="n"/>
      <x:c r="AA79" s="100" t="n"/>
      <x:c r="AB79" s="100" t="n"/>
      <x:c r="AC79" s="100" t="n"/>
      <x:c r="AD79" s="100" t="n"/>
      <x:c r="AE79" s="100" t="n"/>
      <x:c r="AF79" s="100" t="n"/>
      <x:c r="AG79" s="100" t="n"/>
      <x:c r="AH79" s="100" t="n"/>
      <x:c r="AI79" s="100" t="n"/>
      <x:c r="AJ79" s="100" t="n"/>
      <x:c r="AK79" s="100" t="n"/>
      <x:c r="AL79" s="100" t="n"/>
      <x:c r="AM79" s="100" t="n"/>
      <x:c r="AN79" s="100" t="n"/>
      <x:c r="AO79" s="100" t="n"/>
      <x:c r="AP79" s="100" t="n"/>
      <x:c r="AQ79" s="100" t="n"/>
      <x:c r="AR79" s="100" t="n"/>
      <x:c r="AS79" s="100" t="n"/>
      <x:c r="AT79" s="100" t="n"/>
      <x:c r="AU79" s="100" t="n"/>
      <x:c r="AV79" s="100" t="n"/>
      <x:c r="AW79" s="100" t="n"/>
      <x:c r="AX79" s="100" t="n"/>
      <x:c r="AY79" s="100" t="n"/>
      <x:c r="AZ79" s="100" t="n"/>
      <x:c r="BA79" s="100" t="n"/>
      <x:c r="BB79" s="100" t="n"/>
      <x:c r="BC79" s="100" t="n"/>
      <x:c r="BD79" s="100" t="n"/>
      <x:c r="BE79" s="100" t="n"/>
      <x:c r="BF79" s="100" t="n"/>
      <x:c r="BG79" s="100" t="n"/>
      <x:c r="BH79" s="100" t="n"/>
      <x:c r="BI79" s="100" t="n"/>
      <x:c r="BJ79" s="100" t="n"/>
      <x:c r="BK79" s="100" t="n"/>
      <x:c r="BL79" s="100" t="n"/>
      <x:c r="BM79" s="100" t="n"/>
      <x:c r="BN79" s="100" t="n"/>
      <x:c r="BO79" s="100" t="n"/>
      <x:c r="BP79" s="100" t="n"/>
      <x:c r="BQ79" s="100" t="n"/>
      <x:c r="BR79" s="100" t="n"/>
      <x:c r="BS79" s="100" t="n"/>
      <x:c r="BT79" s="100" t="n"/>
      <x:c r="BU79" s="100" t="n"/>
      <x:c r="BV79" s="100" t="n"/>
      <x:c r="BW79" s="100" t="n"/>
      <x:c r="BX79" s="100" t="n"/>
      <x:c r="BY79" s="100" t="n"/>
      <x:c r="BZ79" s="100" t="n"/>
      <x:c r="CA79" s="100" t="n"/>
      <x:c r="CB79" s="100" t="n"/>
      <x:c r="CC79" s="100" t="n"/>
      <x:c r="CD79" s="100" t="n"/>
      <x:c r="CE79" s="100" t="n"/>
      <x:c r="CF79" s="100" t="n"/>
      <x:c r="CG79" s="100" t="n"/>
      <x:c r="CH79" s="100" t="n"/>
      <x:c r="CI79" s="100" t="n"/>
      <x:c r="CJ79" s="100" t="n"/>
      <x:c r="CK79" s="100" t="n"/>
      <x:c r="CL79" s="100" t="n"/>
      <x:c r="CM79" s="100" t="n"/>
      <x:c r="CN79" s="100" t="n"/>
      <x:c r="CO79" s="100" t="n"/>
      <x:c r="CP79" s="100" t="n"/>
      <x:c r="CQ79" s="100" t="n"/>
      <x:c r="CR79" s="100" t="n"/>
      <x:c r="CS79" s="100" t="n"/>
      <x:c r="CT79" s="100" t="n"/>
      <x:c r="CU79" s="100" t="n"/>
      <x:c r="CV79" s="100" t="n"/>
      <x:c r="CW79" s="100" t="n"/>
      <x:c r="CX79" s="100" t="n"/>
      <x:c r="CY79" s="100" t="n"/>
      <x:c r="CZ79" s="100" t="n"/>
      <x:c r="DA79" s="100" t="n"/>
      <x:c r="DB79" s="100" t="n"/>
      <x:c r="DC79" s="100" t="n"/>
      <x:c r="DD79" s="100" t="n"/>
      <x:c r="DE79" s="100" t="n"/>
      <x:c r="DF79" s="100" t="n"/>
      <x:c r="DG79" s="100" t="n"/>
      <x:c r="DH79" s="100" t="n"/>
      <x:c r="DI79" s="100" t="n"/>
      <x:c r="DJ79" s="100" t="n"/>
      <x:c r="DK79" s="100" t="n"/>
      <x:c r="DL79" s="100" t="n"/>
      <x:c r="DM79" s="100" t="n"/>
      <x:c r="DN79" s="100" t="n"/>
      <x:c r="DO79" s="100" t="n"/>
      <x:c r="DP79" s="100" t="n"/>
      <x:c r="DQ79" s="100" t="n"/>
      <x:c r="DR79" s="100" t="n"/>
      <x:c r="DS79" s="100" t="n"/>
      <x:c r="DT79" s="100" t="n"/>
      <x:c r="DU79" s="100" t="n"/>
      <x:c r="DV79" s="100" t="n"/>
      <x:c r="DW79" s="100" t="n"/>
      <x:c r="DX79" s="100" t="n"/>
      <x:c r="DY79" s="100" t="n"/>
      <x:c r="DZ79" s="100" t="n"/>
      <x:c r="EA79" s="100" t="n"/>
      <x:c r="EB79" s="100" t="n"/>
      <x:c r="EC79" s="100" t="n"/>
      <x:c r="ED79" s="100" t="n"/>
      <x:c r="EE79" s="100" t="n"/>
      <x:c r="EF79" s="100" t="n"/>
      <x:c r="EG79" s="100" t="n"/>
      <x:c r="EH79" s="100" t="n"/>
      <x:c r="EI79" s="100" t="n"/>
      <x:c r="EJ79" s="100" t="n"/>
      <x:c r="EK79" s="100" t="n"/>
      <x:c r="EL79" s="100" t="n"/>
      <x:c r="EM79" s="100" t="n"/>
      <x:c r="EN79" s="100" t="n"/>
      <x:c r="EO79" s="100" t="n"/>
      <x:c r="EP79" s="100" t="n"/>
      <x:c r="EQ79" s="100" t="n"/>
      <x:c r="ER79" s="100" t="n"/>
      <x:c r="ES79" s="100" t="n"/>
      <x:c r="ET79" s="100" t="n"/>
      <x:c r="EU79" s="100" t="n"/>
      <x:c r="EV79" s="100" t="n"/>
      <x:c r="EW79" s="100" t="n"/>
      <x:c r="EX79" s="100" t="n"/>
      <x:c r="EY79" s="100" t="n"/>
      <x:c r="EZ79" s="100" t="n"/>
      <x:c r="FA79" s="100" t="n"/>
      <x:c r="FB79" s="100" t="n"/>
      <x:c r="FC79" s="100" t="n"/>
      <x:c r="FD79" s="100" t="n"/>
      <x:c r="FE79" s="100" t="n"/>
      <x:c r="FF79" s="100" t="n"/>
      <x:c r="FG79" s="100" t="n"/>
      <x:c r="FH79" s="100" t="n"/>
      <x:c r="FI79" s="100" t="n"/>
      <x:c r="FJ79" s="100" t="n"/>
      <x:c r="FK79" s="100" t="n"/>
      <x:c r="FL79" s="100" t="n"/>
      <x:c r="FM79" s="100" t="n"/>
      <x:c r="FN79" s="100" t="n"/>
      <x:c r="FO79" s="100" t="n"/>
      <x:c r="FP79" s="100" t="n"/>
      <x:c r="FQ79" s="100" t="n"/>
      <x:c r="FR79" s="100" t="n"/>
      <x:c r="FS79" s="100" t="n"/>
      <x:c r="FT79" s="100" t="n"/>
      <x:c r="FU79" s="100" t="n"/>
      <x:c r="FV79" s="100" t="n"/>
      <x:c r="FW79" s="100" t="n"/>
      <x:c r="FX79" s="100" t="n"/>
      <x:c r="FY79" s="100" t="n"/>
      <x:c r="FZ79" s="100" t="n"/>
      <x:c r="GA79" s="100" t="n"/>
      <x:c r="GB79" s="100" t="n"/>
      <x:c r="GC79" s="100" t="n"/>
      <x:c r="GD79" s="100" t="n"/>
      <x:c r="GE79" s="100" t="n"/>
      <x:c r="GF79" s="100" t="n"/>
    </x:row>
    <x:row r="80" s="27" customFormat="1">
      <x:c r="A80" s="38" t="n"/>
      <x:c r="B80" s="37" t="n"/>
      <x:c r="C80" s="36" t="n">
        <x:f>E80*D$5</x:f>
        <x:v>0</x:v>
      </x:c>
      <x:c r="D80" s="66" t="n"/>
      <x:c r="E80" s="36" t="n">
        <x:f>SUM(G80:HT80)</x:f>
        <x:v>0</x:v>
      </x:c>
      <x:c r="H80" s="28" t="n"/>
      <x:c r="I80" s="28" t="n"/>
      <x:c r="J80" s="28" t="n"/>
      <x:c r="K80" s="28" t="n"/>
      <x:c r="L80" s="28" t="n"/>
      <x:c r="M80" s="100" t="n"/>
      <x:c r="N80" s="100" t="n"/>
      <x:c r="O80" s="100" t="n"/>
      <x:c r="P80" s="100" t="n"/>
      <x:c r="Q80" s="100" t="n"/>
      <x:c r="R80" s="100" t="n"/>
      <x:c r="S80" s="100" t="n"/>
      <x:c r="T80" s="100" t="n"/>
      <x:c r="U80" s="100" t="n"/>
      <x:c r="V80" s="100" t="n"/>
      <x:c r="W80" s="100" t="n"/>
      <x:c r="X80" s="100" t="n"/>
      <x:c r="Y80" s="100" t="n"/>
      <x:c r="Z80" s="100" t="n"/>
      <x:c r="AA80" s="100" t="n"/>
      <x:c r="AB80" s="100" t="n"/>
      <x:c r="AC80" s="100" t="n"/>
      <x:c r="AD80" s="100" t="n"/>
      <x:c r="AE80" s="100" t="n"/>
      <x:c r="AF80" s="100" t="n"/>
      <x:c r="AG80" s="100" t="n"/>
      <x:c r="AH80" s="100" t="n"/>
      <x:c r="AI80" s="100" t="n"/>
      <x:c r="AJ80" s="100" t="n"/>
      <x:c r="AK80" s="100" t="n"/>
      <x:c r="AL80" s="100" t="n"/>
      <x:c r="AM80" s="100" t="n"/>
      <x:c r="AN80" s="100" t="n"/>
      <x:c r="AO80" s="100" t="n"/>
      <x:c r="AP80" s="100" t="n"/>
      <x:c r="AQ80" s="100" t="n"/>
      <x:c r="AR80" s="100" t="n"/>
      <x:c r="AS80" s="100" t="n"/>
      <x:c r="AT80" s="100" t="n"/>
      <x:c r="AU80" s="100" t="n"/>
      <x:c r="AV80" s="100" t="n"/>
      <x:c r="AW80" s="100" t="n"/>
      <x:c r="AX80" s="100" t="n"/>
      <x:c r="AY80" s="100" t="n"/>
      <x:c r="AZ80" s="100" t="n"/>
      <x:c r="BA80" s="100" t="n"/>
      <x:c r="BB80" s="100" t="n"/>
      <x:c r="BC80" s="100" t="n"/>
      <x:c r="BD80" s="100" t="n"/>
      <x:c r="BE80" s="100" t="n"/>
      <x:c r="BF80" s="100" t="n"/>
      <x:c r="BG80" s="100" t="n"/>
      <x:c r="BH80" s="100" t="n"/>
      <x:c r="BI80" s="100" t="n"/>
      <x:c r="BJ80" s="100" t="n"/>
      <x:c r="BK80" s="100" t="n"/>
      <x:c r="BL80" s="100" t="n"/>
      <x:c r="BM80" s="100" t="n"/>
      <x:c r="BN80" s="100" t="n"/>
      <x:c r="BO80" s="100" t="n"/>
      <x:c r="BP80" s="100" t="n"/>
      <x:c r="BQ80" s="100" t="n"/>
      <x:c r="BR80" s="100" t="n"/>
      <x:c r="BS80" s="100" t="n"/>
      <x:c r="BT80" s="100" t="n"/>
      <x:c r="BU80" s="100" t="n"/>
      <x:c r="BV80" s="100" t="n"/>
      <x:c r="BW80" s="100" t="n"/>
      <x:c r="BX80" s="100" t="n"/>
      <x:c r="BY80" s="100" t="n"/>
      <x:c r="BZ80" s="100" t="n"/>
      <x:c r="CA80" s="100" t="n"/>
      <x:c r="CB80" s="100" t="n"/>
      <x:c r="CC80" s="100" t="n"/>
      <x:c r="CD80" s="100" t="n"/>
      <x:c r="CE80" s="100" t="n"/>
      <x:c r="CF80" s="100" t="n"/>
      <x:c r="CG80" s="100" t="n"/>
      <x:c r="CH80" s="100" t="n"/>
      <x:c r="CI80" s="100" t="n"/>
      <x:c r="CJ80" s="100" t="n"/>
      <x:c r="CK80" s="100" t="n"/>
      <x:c r="CL80" s="100" t="n"/>
      <x:c r="CM80" s="100" t="n"/>
      <x:c r="CN80" s="100" t="n"/>
      <x:c r="CO80" s="100" t="n"/>
      <x:c r="CP80" s="100" t="n"/>
      <x:c r="CQ80" s="100" t="n"/>
      <x:c r="CR80" s="100" t="n"/>
      <x:c r="CS80" s="100" t="n"/>
      <x:c r="CT80" s="100" t="n"/>
      <x:c r="CU80" s="100" t="n"/>
      <x:c r="CV80" s="100" t="n"/>
      <x:c r="CW80" s="100" t="n"/>
      <x:c r="CX80" s="100" t="n"/>
      <x:c r="CY80" s="100" t="n"/>
      <x:c r="CZ80" s="100" t="n"/>
      <x:c r="DA80" s="100" t="n"/>
      <x:c r="DB80" s="100" t="n"/>
      <x:c r="DC80" s="100" t="n"/>
      <x:c r="DD80" s="100" t="n"/>
      <x:c r="DE80" s="100" t="n"/>
      <x:c r="DF80" s="100" t="n"/>
      <x:c r="DG80" s="100" t="n"/>
      <x:c r="DH80" s="100" t="n"/>
      <x:c r="DI80" s="100" t="n"/>
      <x:c r="DJ80" s="100" t="n"/>
      <x:c r="DK80" s="100" t="n"/>
      <x:c r="DL80" s="100" t="n"/>
      <x:c r="DM80" s="100" t="n"/>
      <x:c r="DN80" s="100" t="n"/>
      <x:c r="DO80" s="100" t="n"/>
      <x:c r="DP80" s="100" t="n"/>
      <x:c r="DQ80" s="100" t="n"/>
      <x:c r="DR80" s="100" t="n"/>
      <x:c r="DS80" s="100" t="n"/>
      <x:c r="DT80" s="100" t="n"/>
      <x:c r="DU80" s="100" t="n"/>
      <x:c r="DV80" s="100" t="n"/>
      <x:c r="DW80" s="100" t="n"/>
      <x:c r="DX80" s="100" t="n"/>
      <x:c r="DY80" s="100" t="n"/>
      <x:c r="DZ80" s="100" t="n"/>
      <x:c r="EA80" s="100" t="n"/>
      <x:c r="EB80" s="100" t="n"/>
      <x:c r="EC80" s="100" t="n"/>
      <x:c r="ED80" s="100" t="n"/>
      <x:c r="EE80" s="100" t="n"/>
      <x:c r="EF80" s="100" t="n"/>
      <x:c r="EG80" s="100" t="n"/>
      <x:c r="EH80" s="100" t="n"/>
      <x:c r="EI80" s="100" t="n"/>
      <x:c r="EJ80" s="100" t="n"/>
      <x:c r="EK80" s="100" t="n"/>
      <x:c r="EL80" s="100" t="n"/>
      <x:c r="EM80" s="100" t="n"/>
      <x:c r="EN80" s="100" t="n"/>
      <x:c r="EO80" s="100" t="n"/>
      <x:c r="EP80" s="100" t="n"/>
      <x:c r="EQ80" s="100" t="n"/>
      <x:c r="ER80" s="100" t="n"/>
      <x:c r="ES80" s="100" t="n"/>
      <x:c r="ET80" s="100" t="n"/>
      <x:c r="EU80" s="100" t="n"/>
      <x:c r="EV80" s="100" t="n"/>
      <x:c r="EW80" s="100" t="n"/>
      <x:c r="EX80" s="100" t="n"/>
      <x:c r="EY80" s="100" t="n"/>
      <x:c r="EZ80" s="100" t="n"/>
      <x:c r="FA80" s="100" t="n"/>
      <x:c r="FB80" s="100" t="n"/>
      <x:c r="FC80" s="100" t="n"/>
      <x:c r="FD80" s="100" t="n"/>
      <x:c r="FE80" s="100" t="n"/>
      <x:c r="FF80" s="100" t="n"/>
      <x:c r="FG80" s="100" t="n"/>
      <x:c r="FH80" s="100" t="n"/>
      <x:c r="FI80" s="100" t="n"/>
      <x:c r="FJ80" s="100" t="n"/>
      <x:c r="FK80" s="100" t="n"/>
      <x:c r="FL80" s="100" t="n"/>
      <x:c r="FM80" s="100" t="n"/>
      <x:c r="FN80" s="100" t="n"/>
      <x:c r="FO80" s="100" t="n"/>
      <x:c r="FP80" s="100" t="n"/>
      <x:c r="FQ80" s="100" t="n"/>
      <x:c r="FR80" s="100" t="n"/>
      <x:c r="FS80" s="100" t="n"/>
      <x:c r="FT80" s="100" t="n"/>
      <x:c r="FU80" s="100" t="n"/>
      <x:c r="FV80" s="100" t="n"/>
      <x:c r="FW80" s="100" t="n"/>
      <x:c r="FX80" s="100" t="n"/>
      <x:c r="FY80" s="100" t="n"/>
      <x:c r="FZ80" s="100" t="n"/>
      <x:c r="GA80" s="100" t="n"/>
      <x:c r="GB80" s="100" t="n"/>
      <x:c r="GC80" s="100" t="n"/>
      <x:c r="GD80" s="100" t="n"/>
      <x:c r="GE80" s="100" t="n"/>
      <x:c r="GF80" s="100" t="n"/>
    </x:row>
    <x:row r="81" s="27" customFormat="1">
      <x:c r="A81" s="38" t="n"/>
      <x:c r="B81" s="37" t="n"/>
      <x:c r="C81" s="86" t="n">
        <x:f>E81*D$5</x:f>
        <x:v>0</x:v>
      </x:c>
      <x:c r="D81" s="523" t="n"/>
      <x:c r="E81" s="86" t="n">
        <x:f>SUM(G81:HT81)</x:f>
        <x:v>0</x:v>
      </x:c>
      <x:c r="H81" s="28" t="n"/>
      <x:c r="I81" s="28" t="n"/>
      <x:c r="J81" s="28" t="n"/>
      <x:c r="K81" s="28" t="n"/>
      <x:c r="L81" s="28" t="n"/>
      <x:c r="M81" s="100" t="n"/>
      <x:c r="N81" s="100" t="n"/>
      <x:c r="O81" s="100" t="n"/>
      <x:c r="P81" s="100" t="n"/>
      <x:c r="Q81" s="100" t="n"/>
      <x:c r="R81" s="100" t="n"/>
      <x:c r="S81" s="100" t="n"/>
      <x:c r="T81" s="100" t="n"/>
      <x:c r="U81" s="100" t="n"/>
      <x:c r="V81" s="100" t="n"/>
      <x:c r="W81" s="100" t="n"/>
      <x:c r="X81" s="100" t="n"/>
      <x:c r="Y81" s="100" t="n"/>
      <x:c r="Z81" s="100" t="n"/>
      <x:c r="AA81" s="100" t="n"/>
      <x:c r="AB81" s="100" t="n"/>
      <x:c r="AC81" s="100" t="n"/>
      <x:c r="AD81" s="100" t="n"/>
      <x:c r="AE81" s="100" t="n"/>
      <x:c r="AF81" s="100" t="n"/>
      <x:c r="AG81" s="100" t="n"/>
      <x:c r="AH81" s="100" t="n"/>
      <x:c r="AI81" s="100" t="n"/>
      <x:c r="AJ81" s="100" t="n"/>
      <x:c r="AK81" s="100" t="n"/>
      <x:c r="AL81" s="100" t="n"/>
      <x:c r="AM81" s="100" t="n"/>
      <x:c r="AN81" s="100" t="n"/>
      <x:c r="AO81" s="100" t="n"/>
      <x:c r="AP81" s="100" t="n"/>
      <x:c r="AQ81" s="100" t="n"/>
      <x:c r="AR81" s="100" t="n"/>
      <x:c r="AS81" s="100" t="n"/>
      <x:c r="AT81" s="100" t="n"/>
      <x:c r="AU81" s="100" t="n"/>
      <x:c r="AV81" s="100" t="n"/>
      <x:c r="AW81" s="100" t="n"/>
      <x:c r="AX81" s="100" t="n"/>
      <x:c r="AY81" s="100" t="n"/>
      <x:c r="AZ81" s="100" t="n"/>
      <x:c r="BA81" s="100" t="n"/>
      <x:c r="BB81" s="100" t="n"/>
      <x:c r="BC81" s="100" t="n"/>
      <x:c r="BD81" s="100" t="n"/>
      <x:c r="BE81" s="100" t="n"/>
      <x:c r="BF81" s="100" t="n"/>
      <x:c r="BG81" s="100" t="n"/>
      <x:c r="BH81" s="100" t="n"/>
      <x:c r="BI81" s="100" t="n"/>
      <x:c r="BJ81" s="100" t="n"/>
      <x:c r="BK81" s="100" t="n"/>
      <x:c r="BL81" s="100" t="n"/>
      <x:c r="BM81" s="100" t="n"/>
      <x:c r="BN81" s="100" t="n"/>
      <x:c r="BO81" s="100" t="n"/>
      <x:c r="BP81" s="100" t="n"/>
      <x:c r="BQ81" s="100" t="n"/>
      <x:c r="BR81" s="100" t="n"/>
      <x:c r="BS81" s="100" t="n"/>
      <x:c r="BT81" s="100" t="n"/>
      <x:c r="BU81" s="100" t="n"/>
      <x:c r="BV81" s="100" t="n"/>
      <x:c r="BW81" s="100" t="n"/>
      <x:c r="BX81" s="100" t="n"/>
      <x:c r="BY81" s="100" t="n"/>
      <x:c r="BZ81" s="100" t="n"/>
      <x:c r="CA81" s="100" t="n"/>
      <x:c r="CB81" s="100" t="n"/>
      <x:c r="CC81" s="100" t="n"/>
      <x:c r="CD81" s="100" t="n"/>
      <x:c r="CE81" s="100" t="n"/>
      <x:c r="CF81" s="100" t="n"/>
      <x:c r="CG81" s="100" t="n"/>
      <x:c r="CH81" s="100" t="n"/>
      <x:c r="CI81" s="100" t="n"/>
      <x:c r="CJ81" s="100" t="n"/>
      <x:c r="CK81" s="100" t="n"/>
      <x:c r="CL81" s="100" t="n"/>
      <x:c r="CM81" s="100" t="n"/>
      <x:c r="CN81" s="100" t="n"/>
      <x:c r="CO81" s="100" t="n"/>
      <x:c r="CP81" s="100" t="n"/>
      <x:c r="CQ81" s="100" t="n"/>
      <x:c r="CR81" s="100" t="n"/>
      <x:c r="CS81" s="100" t="n"/>
      <x:c r="CT81" s="100" t="n"/>
      <x:c r="CU81" s="100" t="n"/>
      <x:c r="CV81" s="100" t="n"/>
      <x:c r="CW81" s="100" t="n"/>
      <x:c r="CX81" s="100" t="n"/>
      <x:c r="CY81" s="100" t="n"/>
      <x:c r="CZ81" s="100" t="n"/>
      <x:c r="DA81" s="100" t="n"/>
      <x:c r="DB81" s="100" t="n"/>
      <x:c r="DC81" s="100" t="n"/>
      <x:c r="DD81" s="100" t="n"/>
      <x:c r="DE81" s="100" t="n"/>
      <x:c r="DF81" s="100" t="n"/>
      <x:c r="DG81" s="100" t="n"/>
      <x:c r="DH81" s="100" t="n"/>
      <x:c r="DI81" s="100" t="n"/>
      <x:c r="DJ81" s="100" t="n"/>
      <x:c r="DK81" s="100" t="n"/>
      <x:c r="DL81" s="100" t="n"/>
      <x:c r="DM81" s="100" t="n"/>
      <x:c r="DN81" s="100" t="n"/>
      <x:c r="DO81" s="100" t="n"/>
      <x:c r="DP81" s="100" t="n"/>
      <x:c r="DQ81" s="100" t="n"/>
      <x:c r="DR81" s="100" t="n"/>
      <x:c r="DS81" s="100" t="n"/>
      <x:c r="DT81" s="100" t="n"/>
      <x:c r="DU81" s="100" t="n"/>
      <x:c r="DV81" s="100" t="n"/>
      <x:c r="DW81" s="100" t="n"/>
      <x:c r="DX81" s="100" t="n"/>
      <x:c r="DY81" s="100" t="n"/>
      <x:c r="DZ81" s="100" t="n"/>
      <x:c r="EA81" s="100" t="n"/>
      <x:c r="EB81" s="100" t="n"/>
      <x:c r="EC81" s="100" t="n"/>
      <x:c r="ED81" s="100" t="n"/>
      <x:c r="EE81" s="100" t="n"/>
      <x:c r="EF81" s="100" t="n"/>
      <x:c r="EG81" s="100" t="n"/>
      <x:c r="EH81" s="100" t="n"/>
      <x:c r="EI81" s="100" t="n"/>
      <x:c r="EJ81" s="100" t="n"/>
      <x:c r="EK81" s="100" t="n"/>
      <x:c r="EL81" s="100" t="n"/>
      <x:c r="EM81" s="100" t="n"/>
      <x:c r="EN81" s="100" t="n"/>
      <x:c r="EO81" s="100" t="n"/>
      <x:c r="EP81" s="100" t="n"/>
      <x:c r="EQ81" s="100" t="n"/>
      <x:c r="ER81" s="100" t="n"/>
      <x:c r="ES81" s="100" t="n"/>
      <x:c r="ET81" s="100" t="n"/>
      <x:c r="EU81" s="100" t="n"/>
      <x:c r="EV81" s="100" t="n"/>
      <x:c r="EW81" s="100" t="n"/>
      <x:c r="EX81" s="100" t="n"/>
      <x:c r="EY81" s="100" t="n"/>
      <x:c r="EZ81" s="100" t="n"/>
      <x:c r="FA81" s="100" t="n"/>
      <x:c r="FB81" s="100" t="n"/>
      <x:c r="FC81" s="100" t="n"/>
      <x:c r="FD81" s="100" t="n"/>
      <x:c r="FE81" s="100" t="n"/>
      <x:c r="FF81" s="100" t="n"/>
      <x:c r="FG81" s="100" t="n"/>
      <x:c r="FH81" s="100" t="n"/>
      <x:c r="FI81" s="100" t="n"/>
      <x:c r="FJ81" s="100" t="n"/>
      <x:c r="FK81" s="100" t="n"/>
      <x:c r="FL81" s="100" t="n"/>
      <x:c r="FM81" s="100" t="n"/>
      <x:c r="FN81" s="100" t="n"/>
      <x:c r="FO81" s="100" t="n"/>
      <x:c r="FP81" s="100" t="n"/>
      <x:c r="FQ81" s="100" t="n"/>
      <x:c r="FR81" s="100" t="n"/>
      <x:c r="FS81" s="100" t="n"/>
      <x:c r="FT81" s="100" t="n"/>
      <x:c r="FU81" s="100" t="n"/>
      <x:c r="FV81" s="100" t="n"/>
      <x:c r="FW81" s="100" t="n"/>
      <x:c r="FX81" s="100" t="n"/>
      <x:c r="FY81" s="100" t="n"/>
      <x:c r="FZ81" s="100" t="n"/>
      <x:c r="GA81" s="100" t="n"/>
      <x:c r="GB81" s="100" t="n"/>
      <x:c r="GC81" s="100" t="n"/>
      <x:c r="GD81" s="100" t="n"/>
      <x:c r="GE81" s="100" t="n"/>
      <x:c r="GF81" s="100" t="n"/>
    </x:row>
    <x:row r="82" s="27" customFormat="1">
      <x:c r="A82" s="38" t="n"/>
      <x:c r="B82" s="37" t="n"/>
      <x:c r="C82" s="36" t="n">
        <x:f>E82*D$5</x:f>
        <x:v>0</x:v>
      </x:c>
      <x:c r="D82" s="66" t="n"/>
      <x:c r="E82" s="36" t="n">
        <x:f>SUM(G82:HT82)</x:f>
        <x:v>0</x:v>
      </x:c>
      <x:c r="H82" s="28" t="n"/>
      <x:c r="I82" s="28" t="n"/>
      <x:c r="J82" s="28" t="n"/>
      <x:c r="K82" s="28" t="n"/>
      <x:c r="L82" s="28" t="n"/>
      <x:c r="M82" s="100" t="n"/>
      <x:c r="N82" s="100" t="n"/>
      <x:c r="O82" s="100" t="n"/>
      <x:c r="P82" s="100" t="n"/>
      <x:c r="Q82" s="100" t="n"/>
      <x:c r="R82" s="100" t="n"/>
      <x:c r="S82" s="100" t="n"/>
      <x:c r="T82" s="100" t="n"/>
      <x:c r="U82" s="100" t="n"/>
      <x:c r="V82" s="100" t="n"/>
      <x:c r="W82" s="100" t="n"/>
      <x:c r="X82" s="100" t="n"/>
      <x:c r="Y82" s="100" t="n"/>
      <x:c r="Z82" s="100" t="n"/>
      <x:c r="AA82" s="100" t="n"/>
      <x:c r="AB82" s="100" t="n"/>
      <x:c r="AC82" s="100" t="n"/>
      <x:c r="AD82" s="100" t="n"/>
      <x:c r="AE82" s="100" t="n"/>
      <x:c r="AF82" s="100" t="n"/>
      <x:c r="AG82" s="100" t="n"/>
      <x:c r="AH82" s="100" t="n"/>
      <x:c r="AI82" s="100" t="n"/>
      <x:c r="AJ82" s="100" t="n"/>
      <x:c r="AK82" s="100" t="n"/>
      <x:c r="AL82" s="100" t="n"/>
      <x:c r="AM82" s="100" t="n"/>
      <x:c r="AN82" s="100" t="n"/>
      <x:c r="AO82" s="100" t="n"/>
      <x:c r="AP82" s="100" t="n"/>
      <x:c r="AQ82" s="100" t="n"/>
      <x:c r="AR82" s="100" t="n"/>
      <x:c r="AS82" s="100" t="n"/>
      <x:c r="AT82" s="100" t="n"/>
      <x:c r="AU82" s="100" t="n"/>
      <x:c r="AV82" s="100" t="n"/>
      <x:c r="AW82" s="100" t="n"/>
      <x:c r="AX82" s="100" t="n"/>
      <x:c r="AY82" s="100" t="n"/>
      <x:c r="AZ82" s="100" t="n"/>
      <x:c r="BA82" s="100" t="n"/>
      <x:c r="BB82" s="100" t="n"/>
      <x:c r="BC82" s="100" t="n"/>
      <x:c r="BD82" s="100" t="n"/>
      <x:c r="BE82" s="100" t="n"/>
      <x:c r="BF82" s="100" t="n"/>
      <x:c r="BG82" s="100" t="n"/>
      <x:c r="BH82" s="100" t="n"/>
      <x:c r="BI82" s="100" t="n"/>
      <x:c r="BJ82" s="100" t="n"/>
      <x:c r="BK82" s="100" t="n"/>
      <x:c r="BL82" s="100" t="n"/>
      <x:c r="BM82" s="100" t="n"/>
      <x:c r="BN82" s="100" t="n"/>
      <x:c r="BO82" s="100" t="n"/>
      <x:c r="BP82" s="100" t="n"/>
      <x:c r="BQ82" s="100" t="n"/>
      <x:c r="BR82" s="100" t="n"/>
      <x:c r="BS82" s="100" t="n"/>
      <x:c r="BT82" s="100" t="n"/>
      <x:c r="BU82" s="100" t="n"/>
      <x:c r="BV82" s="100" t="n"/>
      <x:c r="BW82" s="100" t="n"/>
      <x:c r="BX82" s="100" t="n"/>
      <x:c r="BY82" s="100" t="n"/>
      <x:c r="BZ82" s="100" t="n"/>
      <x:c r="CA82" s="100" t="n"/>
      <x:c r="CB82" s="100" t="n"/>
      <x:c r="CC82" s="100" t="n"/>
      <x:c r="CD82" s="100" t="n"/>
      <x:c r="CE82" s="100" t="n"/>
      <x:c r="CF82" s="100" t="n"/>
      <x:c r="CG82" s="100" t="n"/>
      <x:c r="CH82" s="100" t="n"/>
      <x:c r="CI82" s="100" t="n"/>
      <x:c r="CJ82" s="100" t="n"/>
      <x:c r="CK82" s="100" t="n"/>
      <x:c r="CL82" s="100" t="n"/>
      <x:c r="CM82" s="100" t="n"/>
      <x:c r="CN82" s="100" t="n"/>
      <x:c r="CO82" s="100" t="n"/>
      <x:c r="CP82" s="100" t="n"/>
      <x:c r="CQ82" s="100" t="n"/>
      <x:c r="CR82" s="100" t="n"/>
      <x:c r="CS82" s="100" t="n"/>
      <x:c r="CT82" s="100" t="n"/>
      <x:c r="CU82" s="100" t="n"/>
      <x:c r="CV82" s="100" t="n"/>
      <x:c r="CW82" s="100" t="n"/>
      <x:c r="CX82" s="100" t="n"/>
      <x:c r="CY82" s="100" t="n"/>
      <x:c r="CZ82" s="100" t="n"/>
      <x:c r="DA82" s="100" t="n"/>
      <x:c r="DB82" s="100" t="n"/>
      <x:c r="DC82" s="100" t="n"/>
      <x:c r="DD82" s="100" t="n"/>
      <x:c r="DE82" s="100" t="n"/>
      <x:c r="DF82" s="100" t="n"/>
      <x:c r="DG82" s="100" t="n"/>
      <x:c r="DH82" s="100" t="n"/>
      <x:c r="DI82" s="100" t="n"/>
      <x:c r="DJ82" s="100" t="n"/>
      <x:c r="DK82" s="100" t="n"/>
      <x:c r="DL82" s="100" t="n"/>
      <x:c r="DM82" s="100" t="n"/>
      <x:c r="DN82" s="100" t="n"/>
      <x:c r="DO82" s="100" t="n"/>
      <x:c r="DP82" s="100" t="n"/>
      <x:c r="DQ82" s="100" t="n"/>
      <x:c r="DR82" s="100" t="n"/>
      <x:c r="DS82" s="100" t="n"/>
      <x:c r="DT82" s="100" t="n"/>
      <x:c r="DU82" s="100" t="n"/>
      <x:c r="DV82" s="100" t="n"/>
      <x:c r="DW82" s="100" t="n"/>
      <x:c r="DX82" s="100" t="n"/>
      <x:c r="DY82" s="100" t="n"/>
      <x:c r="DZ82" s="100" t="n"/>
      <x:c r="EA82" s="100" t="n"/>
      <x:c r="EB82" s="100" t="n"/>
      <x:c r="EC82" s="100" t="n"/>
      <x:c r="ED82" s="100" t="n"/>
      <x:c r="EE82" s="100" t="n"/>
      <x:c r="EF82" s="100" t="n"/>
      <x:c r="EG82" s="100" t="n"/>
      <x:c r="EH82" s="100" t="n"/>
      <x:c r="EI82" s="100" t="n"/>
      <x:c r="EJ82" s="100" t="n"/>
      <x:c r="EK82" s="100" t="n"/>
      <x:c r="EL82" s="100" t="n"/>
      <x:c r="EM82" s="100" t="n"/>
      <x:c r="EN82" s="100" t="n"/>
      <x:c r="EO82" s="100" t="n"/>
      <x:c r="EP82" s="100" t="n"/>
      <x:c r="EQ82" s="100" t="n"/>
      <x:c r="ER82" s="100" t="n"/>
      <x:c r="ES82" s="100" t="n"/>
      <x:c r="ET82" s="100" t="n"/>
      <x:c r="EU82" s="100" t="n"/>
      <x:c r="EV82" s="100" t="n"/>
      <x:c r="EW82" s="100" t="n"/>
      <x:c r="EX82" s="100" t="n"/>
      <x:c r="EY82" s="100" t="n"/>
      <x:c r="EZ82" s="100" t="n"/>
      <x:c r="FA82" s="100" t="n"/>
      <x:c r="FB82" s="100" t="n"/>
      <x:c r="FC82" s="100" t="n"/>
      <x:c r="FD82" s="100" t="n"/>
      <x:c r="FE82" s="100" t="n"/>
      <x:c r="FF82" s="100" t="n"/>
      <x:c r="FG82" s="100" t="n"/>
      <x:c r="FH82" s="100" t="n"/>
      <x:c r="FI82" s="100" t="n"/>
      <x:c r="FJ82" s="100" t="n"/>
      <x:c r="FK82" s="100" t="n"/>
      <x:c r="FL82" s="100" t="n"/>
      <x:c r="FM82" s="100" t="n"/>
      <x:c r="FN82" s="100" t="n"/>
      <x:c r="FO82" s="100" t="n"/>
      <x:c r="FP82" s="100" t="n"/>
      <x:c r="FQ82" s="100" t="n"/>
      <x:c r="FR82" s="100" t="n"/>
      <x:c r="FS82" s="100" t="n"/>
      <x:c r="FT82" s="100" t="n"/>
      <x:c r="FU82" s="100" t="n"/>
      <x:c r="FV82" s="100" t="n"/>
      <x:c r="FW82" s="100" t="n"/>
      <x:c r="FX82" s="100" t="n"/>
      <x:c r="FY82" s="100" t="n"/>
      <x:c r="FZ82" s="100" t="n"/>
      <x:c r="GA82" s="100" t="n"/>
      <x:c r="GB82" s="100" t="n"/>
      <x:c r="GC82" s="100" t="n"/>
      <x:c r="GD82" s="100" t="n"/>
      <x:c r="GE82" s="100" t="n"/>
      <x:c r="GF82" s="100" t="n"/>
    </x:row>
    <x:row r="83" s="27" customFormat="1">
      <x:c r="A83" s="38" t="n"/>
      <x:c r="B83" s="37" t="n"/>
      <x:c r="C83" s="86" t="n">
        <x:f>E83*D$5</x:f>
        <x:v>0</x:v>
      </x:c>
      <x:c r="D83" s="523" t="n"/>
      <x:c r="E83" s="86" t="n">
        <x:f>SUM(G83:HT83)</x:f>
        <x:v>0</x:v>
      </x:c>
      <x:c r="H83" s="28" t="n"/>
      <x:c r="I83" s="28" t="n"/>
      <x:c r="J83" s="28" t="n"/>
      <x:c r="K83" s="28" t="n"/>
      <x:c r="L83" s="28" t="n"/>
      <x:c r="M83" s="100" t="n"/>
      <x:c r="N83" s="100" t="n"/>
      <x:c r="O83" s="100" t="n"/>
      <x:c r="P83" s="100" t="n"/>
      <x:c r="Q83" s="100" t="n"/>
      <x:c r="R83" s="100" t="n"/>
      <x:c r="S83" s="100" t="n"/>
      <x:c r="T83" s="100" t="n"/>
      <x:c r="U83" s="100" t="n"/>
      <x:c r="V83" s="100" t="n"/>
      <x:c r="W83" s="100" t="n"/>
      <x:c r="X83" s="100" t="n"/>
      <x:c r="Y83" s="100" t="n"/>
      <x:c r="Z83" s="100" t="n"/>
      <x:c r="AA83" s="100" t="n"/>
      <x:c r="AB83" s="100" t="n"/>
      <x:c r="AC83" s="100" t="n"/>
      <x:c r="AD83" s="100" t="n"/>
      <x:c r="AE83" s="100" t="n"/>
      <x:c r="AF83" s="100" t="n"/>
      <x:c r="AG83" s="100" t="n"/>
      <x:c r="AH83" s="100" t="n"/>
      <x:c r="AI83" s="100" t="n"/>
      <x:c r="AJ83" s="100" t="n"/>
      <x:c r="AK83" s="100" t="n"/>
      <x:c r="AL83" s="100" t="n"/>
      <x:c r="AM83" s="100" t="n"/>
      <x:c r="AN83" s="100" t="n"/>
      <x:c r="AO83" s="100" t="n"/>
      <x:c r="AP83" s="100" t="n"/>
      <x:c r="AQ83" s="100" t="n"/>
      <x:c r="AR83" s="100" t="n"/>
      <x:c r="AS83" s="100" t="n"/>
      <x:c r="AT83" s="100" t="n"/>
      <x:c r="AU83" s="100" t="n"/>
      <x:c r="AV83" s="100" t="n"/>
      <x:c r="AW83" s="100" t="n"/>
      <x:c r="AX83" s="100" t="n"/>
      <x:c r="AY83" s="100" t="n"/>
      <x:c r="AZ83" s="100" t="n"/>
      <x:c r="BA83" s="100" t="n"/>
      <x:c r="BB83" s="100" t="n"/>
      <x:c r="BC83" s="100" t="n"/>
      <x:c r="BD83" s="100" t="n"/>
      <x:c r="BE83" s="100" t="n"/>
      <x:c r="BF83" s="100" t="n"/>
      <x:c r="BG83" s="100" t="n"/>
      <x:c r="BH83" s="100" t="n"/>
      <x:c r="BI83" s="100" t="n"/>
      <x:c r="BJ83" s="100" t="n"/>
      <x:c r="BK83" s="100" t="n"/>
      <x:c r="BL83" s="100" t="n"/>
      <x:c r="BM83" s="100" t="n"/>
      <x:c r="BN83" s="100" t="n"/>
      <x:c r="BO83" s="100" t="n"/>
      <x:c r="BP83" s="100" t="n"/>
      <x:c r="BQ83" s="100" t="n"/>
      <x:c r="BR83" s="100" t="n"/>
      <x:c r="BS83" s="100" t="n"/>
      <x:c r="BT83" s="100" t="n"/>
      <x:c r="BU83" s="100" t="n"/>
      <x:c r="BV83" s="100" t="n"/>
      <x:c r="BW83" s="100" t="n"/>
      <x:c r="BX83" s="100" t="n"/>
      <x:c r="BY83" s="100" t="n"/>
      <x:c r="BZ83" s="100" t="n"/>
      <x:c r="CA83" s="100" t="n"/>
      <x:c r="CB83" s="100" t="n"/>
      <x:c r="CC83" s="100" t="n"/>
      <x:c r="CD83" s="100" t="n"/>
      <x:c r="CE83" s="100" t="n"/>
      <x:c r="CF83" s="100" t="n"/>
      <x:c r="CG83" s="100" t="n"/>
      <x:c r="CH83" s="100" t="n"/>
      <x:c r="CI83" s="100" t="n"/>
      <x:c r="CJ83" s="100" t="n"/>
      <x:c r="CK83" s="100" t="n"/>
      <x:c r="CL83" s="100" t="n"/>
      <x:c r="CM83" s="100" t="n"/>
      <x:c r="CN83" s="100" t="n"/>
      <x:c r="CO83" s="100" t="n"/>
      <x:c r="CP83" s="100" t="n"/>
      <x:c r="CQ83" s="100" t="n"/>
      <x:c r="CR83" s="100" t="n"/>
      <x:c r="CS83" s="100" t="n"/>
      <x:c r="CT83" s="100" t="n"/>
      <x:c r="CU83" s="100" t="n"/>
      <x:c r="CV83" s="100" t="n"/>
      <x:c r="CW83" s="100" t="n"/>
      <x:c r="CX83" s="100" t="n"/>
      <x:c r="CY83" s="100" t="n"/>
      <x:c r="CZ83" s="100" t="n"/>
      <x:c r="DA83" s="100" t="n"/>
      <x:c r="DB83" s="100" t="n"/>
      <x:c r="DC83" s="100" t="n"/>
      <x:c r="DD83" s="100" t="n"/>
      <x:c r="DE83" s="100" t="n"/>
      <x:c r="DF83" s="100" t="n"/>
      <x:c r="DG83" s="100" t="n"/>
      <x:c r="DH83" s="100" t="n"/>
      <x:c r="DI83" s="100" t="n"/>
      <x:c r="DJ83" s="100" t="n"/>
      <x:c r="DK83" s="100" t="n"/>
      <x:c r="DL83" s="100" t="n"/>
      <x:c r="DM83" s="100" t="n"/>
      <x:c r="DN83" s="100" t="n"/>
      <x:c r="DO83" s="100" t="n"/>
      <x:c r="DP83" s="100" t="n"/>
      <x:c r="DQ83" s="100" t="n"/>
      <x:c r="DR83" s="100" t="n"/>
      <x:c r="DS83" s="100" t="n"/>
      <x:c r="DT83" s="100" t="n"/>
      <x:c r="DU83" s="100" t="n"/>
      <x:c r="DV83" s="100" t="n"/>
      <x:c r="DW83" s="100" t="n"/>
      <x:c r="DX83" s="100" t="n"/>
      <x:c r="DY83" s="100" t="n"/>
      <x:c r="DZ83" s="100" t="n"/>
      <x:c r="EA83" s="100" t="n"/>
      <x:c r="EB83" s="100" t="n"/>
      <x:c r="EC83" s="100" t="n"/>
      <x:c r="ED83" s="100" t="n"/>
      <x:c r="EE83" s="100" t="n"/>
      <x:c r="EF83" s="100" t="n"/>
      <x:c r="EG83" s="100" t="n"/>
      <x:c r="EH83" s="100" t="n"/>
      <x:c r="EI83" s="100" t="n"/>
      <x:c r="EJ83" s="100" t="n"/>
      <x:c r="EK83" s="100" t="n"/>
      <x:c r="EL83" s="100" t="n"/>
      <x:c r="EM83" s="100" t="n"/>
      <x:c r="EN83" s="100" t="n"/>
      <x:c r="EO83" s="100" t="n"/>
      <x:c r="EP83" s="100" t="n"/>
      <x:c r="EQ83" s="100" t="n"/>
      <x:c r="ER83" s="100" t="n"/>
      <x:c r="ES83" s="100" t="n"/>
      <x:c r="ET83" s="100" t="n"/>
      <x:c r="EU83" s="100" t="n"/>
      <x:c r="EV83" s="100" t="n"/>
      <x:c r="EW83" s="100" t="n"/>
      <x:c r="EX83" s="100" t="n"/>
      <x:c r="EY83" s="100" t="n"/>
      <x:c r="EZ83" s="100" t="n"/>
      <x:c r="FA83" s="100" t="n"/>
      <x:c r="FB83" s="100" t="n"/>
      <x:c r="FC83" s="100" t="n"/>
      <x:c r="FD83" s="100" t="n"/>
      <x:c r="FE83" s="100" t="n"/>
      <x:c r="FF83" s="100" t="n"/>
      <x:c r="FG83" s="100" t="n"/>
      <x:c r="FH83" s="100" t="n"/>
      <x:c r="FI83" s="100" t="n"/>
      <x:c r="FJ83" s="100" t="n"/>
      <x:c r="FK83" s="100" t="n"/>
      <x:c r="FL83" s="100" t="n"/>
      <x:c r="FM83" s="100" t="n"/>
      <x:c r="FN83" s="100" t="n"/>
      <x:c r="FO83" s="100" t="n"/>
      <x:c r="FP83" s="100" t="n"/>
      <x:c r="FQ83" s="100" t="n"/>
      <x:c r="FR83" s="100" t="n"/>
      <x:c r="FS83" s="100" t="n"/>
      <x:c r="FT83" s="100" t="n"/>
      <x:c r="FU83" s="100" t="n"/>
      <x:c r="FV83" s="100" t="n"/>
      <x:c r="FW83" s="100" t="n"/>
      <x:c r="FX83" s="100" t="n"/>
      <x:c r="FY83" s="100" t="n"/>
      <x:c r="FZ83" s="100" t="n"/>
      <x:c r="GA83" s="100" t="n"/>
      <x:c r="GB83" s="100" t="n"/>
      <x:c r="GC83" s="100" t="n"/>
      <x:c r="GD83" s="100" t="n"/>
      <x:c r="GE83" s="100" t="n"/>
      <x:c r="GF83" s="100" t="n"/>
    </x:row>
    <x:row r="84" s="27" customFormat="1">
      <x:c r="A84" s="38" t="n"/>
      <x:c r="B84" s="37" t="n"/>
      <x:c r="C84" s="36" t="n">
        <x:f>E84*D$5</x:f>
        <x:v>0</x:v>
      </x:c>
      <x:c r="D84" s="66" t="n"/>
      <x:c r="E84" s="36" t="n">
        <x:f>SUM(G84:HT84)</x:f>
        <x:v>0</x:v>
      </x:c>
      <x:c r="H84" s="28" t="n"/>
      <x:c r="I84" s="28" t="n"/>
      <x:c r="J84" s="28" t="n"/>
      <x:c r="K84" s="28" t="n"/>
      <x:c r="L84" s="28" t="n"/>
      <x:c r="M84" s="100" t="n"/>
      <x:c r="N84" s="100" t="n"/>
      <x:c r="O84" s="100" t="n"/>
      <x:c r="P84" s="100" t="n"/>
      <x:c r="Q84" s="100" t="n"/>
      <x:c r="R84" s="100" t="n"/>
      <x:c r="S84" s="100" t="n"/>
      <x:c r="T84" s="100" t="n"/>
      <x:c r="U84" s="100" t="n"/>
      <x:c r="V84" s="100" t="n"/>
      <x:c r="W84" s="100" t="n"/>
      <x:c r="X84" s="100" t="n"/>
      <x:c r="Y84" s="100" t="n"/>
      <x:c r="Z84" s="100" t="n"/>
      <x:c r="AA84" s="100" t="n"/>
      <x:c r="AB84" s="100" t="n"/>
      <x:c r="AC84" s="100" t="n"/>
      <x:c r="AD84" s="100" t="n"/>
      <x:c r="AE84" s="100" t="n"/>
      <x:c r="AF84" s="100" t="n"/>
      <x:c r="AG84" s="100" t="n"/>
      <x:c r="AH84" s="100" t="n"/>
      <x:c r="AI84" s="100" t="n"/>
      <x:c r="AJ84" s="100" t="n"/>
      <x:c r="AK84" s="100" t="n"/>
      <x:c r="AL84" s="100" t="n"/>
      <x:c r="AM84" s="100" t="n"/>
      <x:c r="AN84" s="100" t="n"/>
      <x:c r="AO84" s="100" t="n"/>
      <x:c r="AP84" s="100" t="n"/>
      <x:c r="AQ84" s="100" t="n"/>
      <x:c r="AR84" s="100" t="n"/>
      <x:c r="AS84" s="100" t="n"/>
      <x:c r="AT84" s="100" t="n"/>
      <x:c r="AU84" s="100" t="n"/>
      <x:c r="AV84" s="100" t="n"/>
      <x:c r="AW84" s="100" t="n"/>
      <x:c r="AX84" s="100" t="n"/>
      <x:c r="AY84" s="100" t="n"/>
      <x:c r="AZ84" s="100" t="n"/>
      <x:c r="BA84" s="100" t="n"/>
      <x:c r="BB84" s="100" t="n"/>
      <x:c r="BC84" s="100" t="n"/>
      <x:c r="BD84" s="100" t="n"/>
      <x:c r="BE84" s="100" t="n"/>
      <x:c r="BF84" s="100" t="n"/>
      <x:c r="BG84" s="100" t="n"/>
      <x:c r="BH84" s="100" t="n"/>
      <x:c r="BI84" s="100" t="n"/>
      <x:c r="BJ84" s="100" t="n"/>
      <x:c r="BK84" s="100" t="n"/>
      <x:c r="BL84" s="100" t="n"/>
      <x:c r="BM84" s="100" t="n"/>
      <x:c r="BN84" s="100" t="n"/>
      <x:c r="BO84" s="100" t="n"/>
      <x:c r="BP84" s="100" t="n"/>
      <x:c r="BQ84" s="100" t="n"/>
      <x:c r="BR84" s="100" t="n"/>
      <x:c r="BS84" s="100" t="n"/>
      <x:c r="BT84" s="100" t="n"/>
      <x:c r="BU84" s="100" t="n"/>
      <x:c r="BV84" s="100" t="n"/>
      <x:c r="BW84" s="100" t="n"/>
      <x:c r="BX84" s="100" t="n"/>
      <x:c r="BY84" s="100" t="n"/>
      <x:c r="BZ84" s="100" t="n"/>
      <x:c r="CA84" s="100" t="n"/>
      <x:c r="CB84" s="100" t="n"/>
      <x:c r="CC84" s="100" t="n"/>
      <x:c r="CD84" s="100" t="n"/>
      <x:c r="CE84" s="100" t="n"/>
      <x:c r="CF84" s="100" t="n"/>
      <x:c r="CG84" s="100" t="n"/>
      <x:c r="CH84" s="100" t="n"/>
      <x:c r="CI84" s="100" t="n"/>
      <x:c r="CJ84" s="100" t="n"/>
      <x:c r="CK84" s="100" t="n"/>
      <x:c r="CL84" s="100" t="n"/>
      <x:c r="CM84" s="100" t="n"/>
      <x:c r="CN84" s="100" t="n"/>
      <x:c r="CO84" s="100" t="n"/>
      <x:c r="CP84" s="100" t="n"/>
      <x:c r="CQ84" s="100" t="n"/>
      <x:c r="CR84" s="100" t="n"/>
      <x:c r="CS84" s="100" t="n"/>
      <x:c r="CT84" s="100" t="n"/>
      <x:c r="CU84" s="100" t="n"/>
      <x:c r="CV84" s="100" t="n"/>
      <x:c r="CW84" s="100" t="n"/>
      <x:c r="CX84" s="100" t="n"/>
      <x:c r="CY84" s="100" t="n"/>
      <x:c r="CZ84" s="100" t="n"/>
      <x:c r="DA84" s="100" t="n"/>
      <x:c r="DB84" s="100" t="n"/>
      <x:c r="DC84" s="100" t="n"/>
      <x:c r="DD84" s="100" t="n"/>
      <x:c r="DE84" s="100" t="n"/>
      <x:c r="DF84" s="100" t="n"/>
      <x:c r="DG84" s="100" t="n"/>
      <x:c r="DH84" s="100" t="n"/>
      <x:c r="DI84" s="100" t="n"/>
      <x:c r="DJ84" s="100" t="n"/>
      <x:c r="DK84" s="100" t="n"/>
      <x:c r="DL84" s="100" t="n"/>
      <x:c r="DM84" s="100" t="n"/>
      <x:c r="DN84" s="100" t="n"/>
      <x:c r="DO84" s="100" t="n"/>
      <x:c r="DP84" s="100" t="n"/>
      <x:c r="DQ84" s="100" t="n"/>
      <x:c r="DR84" s="100" t="n"/>
      <x:c r="DS84" s="100" t="n"/>
      <x:c r="DT84" s="100" t="n"/>
      <x:c r="DU84" s="100" t="n"/>
      <x:c r="DV84" s="100" t="n"/>
      <x:c r="DW84" s="100" t="n"/>
      <x:c r="DX84" s="100" t="n"/>
      <x:c r="DY84" s="100" t="n"/>
      <x:c r="DZ84" s="100" t="n"/>
      <x:c r="EA84" s="100" t="n"/>
      <x:c r="EB84" s="100" t="n"/>
      <x:c r="EC84" s="100" t="n"/>
      <x:c r="ED84" s="100" t="n"/>
      <x:c r="EE84" s="100" t="n"/>
      <x:c r="EF84" s="100" t="n"/>
      <x:c r="EG84" s="100" t="n"/>
      <x:c r="EH84" s="100" t="n"/>
      <x:c r="EI84" s="100" t="n"/>
      <x:c r="EJ84" s="100" t="n"/>
      <x:c r="EK84" s="100" t="n"/>
      <x:c r="EL84" s="100" t="n"/>
      <x:c r="EM84" s="100" t="n"/>
      <x:c r="EN84" s="100" t="n"/>
      <x:c r="EO84" s="100" t="n"/>
      <x:c r="EP84" s="100" t="n"/>
      <x:c r="EQ84" s="100" t="n"/>
      <x:c r="ER84" s="100" t="n"/>
      <x:c r="ES84" s="100" t="n"/>
      <x:c r="ET84" s="100" t="n"/>
      <x:c r="EU84" s="100" t="n"/>
      <x:c r="EV84" s="100" t="n"/>
      <x:c r="EW84" s="100" t="n"/>
      <x:c r="EX84" s="100" t="n"/>
      <x:c r="EY84" s="100" t="n"/>
      <x:c r="EZ84" s="100" t="n"/>
      <x:c r="FA84" s="100" t="n"/>
      <x:c r="FB84" s="100" t="n"/>
      <x:c r="FC84" s="100" t="n"/>
      <x:c r="FD84" s="100" t="n"/>
      <x:c r="FE84" s="100" t="n"/>
      <x:c r="FF84" s="100" t="n"/>
      <x:c r="FG84" s="100" t="n"/>
      <x:c r="FH84" s="100" t="n"/>
      <x:c r="FI84" s="100" t="n"/>
      <x:c r="FJ84" s="100" t="n"/>
      <x:c r="FK84" s="100" t="n"/>
      <x:c r="FL84" s="100" t="n"/>
      <x:c r="FM84" s="100" t="n"/>
      <x:c r="FN84" s="100" t="n"/>
      <x:c r="FO84" s="100" t="n"/>
      <x:c r="FP84" s="100" t="n"/>
      <x:c r="FQ84" s="100" t="n"/>
      <x:c r="FR84" s="100" t="n"/>
      <x:c r="FS84" s="100" t="n"/>
      <x:c r="FT84" s="100" t="n"/>
      <x:c r="FU84" s="100" t="n"/>
      <x:c r="FV84" s="100" t="n"/>
      <x:c r="FW84" s="100" t="n"/>
      <x:c r="FX84" s="100" t="n"/>
      <x:c r="FY84" s="100" t="n"/>
      <x:c r="FZ84" s="100" t="n"/>
      <x:c r="GA84" s="100" t="n"/>
      <x:c r="GB84" s="100" t="n"/>
      <x:c r="GC84" s="100" t="n"/>
      <x:c r="GD84" s="100" t="n"/>
      <x:c r="GE84" s="100" t="n"/>
      <x:c r="GF84" s="100" t="n"/>
    </x:row>
    <x:row r="85" s="27" customFormat="1">
      <x:c r="A85" s="38" t="n"/>
      <x:c r="B85" s="37" t="n"/>
      <x:c r="C85" s="36" t="n">
        <x:f>E85*D$5</x:f>
        <x:v>0</x:v>
      </x:c>
      <x:c r="D85" s="523" t="n"/>
      <x:c r="E85" s="36" t="n">
        <x:f>SUM(G85:HT85)</x:f>
        <x:v>0</x:v>
      </x:c>
      <x:c r="H85" s="28" t="n"/>
      <x:c r="I85" s="28" t="n"/>
      <x:c r="J85" s="28" t="n"/>
      <x:c r="K85" s="28" t="n"/>
      <x:c r="L85" s="28" t="n"/>
      <x:c r="M85" s="100" t="n"/>
      <x:c r="N85" s="100" t="n"/>
      <x:c r="O85" s="100" t="n"/>
      <x:c r="P85" s="100" t="n"/>
      <x:c r="Q85" s="100" t="n"/>
      <x:c r="R85" s="100" t="n"/>
      <x:c r="S85" s="100" t="n"/>
      <x:c r="T85" s="100" t="n"/>
      <x:c r="U85" s="100" t="n"/>
      <x:c r="V85" s="100" t="n"/>
      <x:c r="W85" s="100" t="n"/>
      <x:c r="X85" s="100" t="n"/>
      <x:c r="Y85" s="100" t="n"/>
      <x:c r="Z85" s="100" t="n"/>
      <x:c r="AA85" s="100" t="n"/>
      <x:c r="AB85" s="100" t="n"/>
      <x:c r="AC85" s="100" t="n"/>
      <x:c r="AD85" s="100" t="n"/>
      <x:c r="AE85" s="100" t="n"/>
      <x:c r="AF85" s="100" t="n"/>
      <x:c r="AG85" s="100" t="n"/>
      <x:c r="AH85" s="100" t="n"/>
      <x:c r="AI85" s="100" t="n"/>
      <x:c r="AJ85" s="100" t="n"/>
      <x:c r="AK85" s="100" t="n"/>
      <x:c r="AL85" s="100" t="n"/>
      <x:c r="AM85" s="100" t="n"/>
      <x:c r="AN85" s="100" t="n"/>
      <x:c r="AO85" s="100" t="n"/>
      <x:c r="AP85" s="100" t="n"/>
      <x:c r="AQ85" s="100" t="n"/>
      <x:c r="AR85" s="100" t="n"/>
      <x:c r="AS85" s="100" t="n"/>
      <x:c r="AT85" s="100" t="n"/>
      <x:c r="AU85" s="100" t="n"/>
      <x:c r="AV85" s="100" t="n"/>
      <x:c r="AW85" s="100" t="n"/>
      <x:c r="AX85" s="100" t="n"/>
      <x:c r="AY85" s="100" t="n"/>
      <x:c r="AZ85" s="100" t="n"/>
      <x:c r="BA85" s="100" t="n"/>
      <x:c r="BB85" s="100" t="n"/>
      <x:c r="BC85" s="100" t="n"/>
      <x:c r="BD85" s="100" t="n"/>
      <x:c r="BE85" s="100" t="n"/>
      <x:c r="BF85" s="100" t="n"/>
      <x:c r="BG85" s="100" t="n"/>
      <x:c r="BH85" s="100" t="n"/>
      <x:c r="BI85" s="100" t="n"/>
      <x:c r="BJ85" s="100" t="n"/>
      <x:c r="BK85" s="100" t="n"/>
      <x:c r="BL85" s="100" t="n"/>
      <x:c r="BM85" s="100" t="n"/>
      <x:c r="BN85" s="100" t="n"/>
      <x:c r="BO85" s="100" t="n"/>
      <x:c r="BP85" s="100" t="n"/>
      <x:c r="BQ85" s="100" t="n"/>
      <x:c r="BR85" s="100" t="n"/>
      <x:c r="BS85" s="100" t="n"/>
      <x:c r="BT85" s="100" t="n"/>
      <x:c r="BU85" s="100" t="n"/>
      <x:c r="BV85" s="100" t="n"/>
      <x:c r="BW85" s="100" t="n"/>
      <x:c r="BX85" s="100" t="n"/>
      <x:c r="BY85" s="100" t="n"/>
      <x:c r="BZ85" s="100" t="n"/>
      <x:c r="CA85" s="100" t="n"/>
      <x:c r="CB85" s="100" t="n"/>
      <x:c r="CC85" s="100" t="n"/>
      <x:c r="CD85" s="100" t="n"/>
      <x:c r="CE85" s="100" t="n"/>
      <x:c r="CF85" s="100" t="n"/>
      <x:c r="CG85" s="100" t="n"/>
      <x:c r="CH85" s="100" t="n"/>
      <x:c r="CI85" s="100" t="n"/>
      <x:c r="CJ85" s="100" t="n"/>
      <x:c r="CK85" s="100" t="n"/>
      <x:c r="CL85" s="100" t="n"/>
      <x:c r="CM85" s="100" t="n"/>
      <x:c r="CN85" s="100" t="n"/>
      <x:c r="CO85" s="100" t="n"/>
      <x:c r="CP85" s="100" t="n"/>
      <x:c r="CQ85" s="100" t="n"/>
      <x:c r="CR85" s="100" t="n"/>
      <x:c r="CS85" s="100" t="n"/>
      <x:c r="CT85" s="100" t="n"/>
      <x:c r="CU85" s="100" t="n"/>
      <x:c r="CV85" s="100" t="n"/>
      <x:c r="CW85" s="100" t="n"/>
      <x:c r="CX85" s="100" t="n"/>
      <x:c r="CY85" s="100" t="n"/>
      <x:c r="CZ85" s="100" t="n"/>
      <x:c r="DA85" s="100" t="n"/>
      <x:c r="DB85" s="100" t="n"/>
      <x:c r="DC85" s="100" t="n"/>
      <x:c r="DD85" s="100" t="n"/>
      <x:c r="DE85" s="100" t="n"/>
      <x:c r="DF85" s="100" t="n"/>
      <x:c r="DG85" s="100" t="n"/>
      <x:c r="DH85" s="100" t="n"/>
      <x:c r="DI85" s="100" t="n"/>
      <x:c r="DJ85" s="100" t="n"/>
      <x:c r="DK85" s="100" t="n"/>
      <x:c r="DL85" s="100" t="n"/>
      <x:c r="DM85" s="100" t="n"/>
      <x:c r="DN85" s="100" t="n"/>
      <x:c r="DO85" s="100" t="n"/>
      <x:c r="DP85" s="100" t="n"/>
      <x:c r="DQ85" s="100" t="n"/>
      <x:c r="DR85" s="100" t="n"/>
      <x:c r="DS85" s="100" t="n"/>
      <x:c r="DT85" s="100" t="n"/>
      <x:c r="DU85" s="100" t="n"/>
      <x:c r="DV85" s="100" t="n"/>
      <x:c r="DW85" s="100" t="n"/>
      <x:c r="DX85" s="100" t="n"/>
      <x:c r="DY85" s="100" t="n"/>
      <x:c r="DZ85" s="100" t="n"/>
      <x:c r="EA85" s="100" t="n"/>
      <x:c r="EB85" s="100" t="n"/>
      <x:c r="EC85" s="100" t="n"/>
      <x:c r="ED85" s="100" t="n"/>
      <x:c r="EE85" s="100" t="n"/>
      <x:c r="EF85" s="100" t="n"/>
      <x:c r="EG85" s="100" t="n"/>
      <x:c r="EH85" s="100" t="n"/>
      <x:c r="EI85" s="100" t="n"/>
      <x:c r="EJ85" s="100" t="n"/>
      <x:c r="EK85" s="100" t="n"/>
      <x:c r="EL85" s="100" t="n"/>
      <x:c r="EM85" s="100" t="n"/>
      <x:c r="EN85" s="100" t="n"/>
      <x:c r="EO85" s="100" t="n"/>
      <x:c r="EP85" s="100" t="n"/>
      <x:c r="EQ85" s="100" t="n"/>
      <x:c r="ER85" s="100" t="n"/>
      <x:c r="ES85" s="100" t="n"/>
      <x:c r="ET85" s="100" t="n"/>
      <x:c r="EU85" s="100" t="n"/>
      <x:c r="EV85" s="100" t="n"/>
      <x:c r="EW85" s="100" t="n"/>
      <x:c r="EX85" s="100" t="n"/>
      <x:c r="EY85" s="100" t="n"/>
      <x:c r="EZ85" s="100" t="n"/>
      <x:c r="FA85" s="100" t="n"/>
      <x:c r="FB85" s="100" t="n"/>
      <x:c r="FC85" s="100" t="n"/>
      <x:c r="FD85" s="100" t="n"/>
      <x:c r="FE85" s="100" t="n"/>
      <x:c r="FF85" s="100" t="n"/>
      <x:c r="FG85" s="100" t="n"/>
      <x:c r="FH85" s="100" t="n"/>
      <x:c r="FI85" s="100" t="n"/>
      <x:c r="FJ85" s="100" t="n"/>
      <x:c r="FK85" s="100" t="n"/>
      <x:c r="FL85" s="100" t="n"/>
      <x:c r="FM85" s="100" t="n"/>
      <x:c r="FN85" s="100" t="n"/>
      <x:c r="FO85" s="100" t="n"/>
      <x:c r="FP85" s="100" t="n"/>
      <x:c r="FQ85" s="100" t="n"/>
      <x:c r="FR85" s="100" t="n"/>
      <x:c r="FS85" s="100" t="n"/>
      <x:c r="FT85" s="100" t="n"/>
      <x:c r="FU85" s="100" t="n"/>
      <x:c r="FV85" s="100" t="n"/>
      <x:c r="FW85" s="100" t="n"/>
      <x:c r="FX85" s="100" t="n"/>
      <x:c r="FY85" s="100" t="n"/>
      <x:c r="FZ85" s="100" t="n"/>
      <x:c r="GA85" s="100" t="n"/>
      <x:c r="GB85" s="100" t="n"/>
      <x:c r="GC85" s="100" t="n"/>
      <x:c r="GD85" s="100" t="n"/>
      <x:c r="GE85" s="100" t="n"/>
      <x:c r="GF85" s="100" t="n"/>
    </x:row>
    <x:row r="86" s="27" customFormat="1">
      <x:c r="A86" s="38" t="n"/>
      <x:c r="B86" s="37" t="n"/>
      <x:c r="C86" s="36" t="n">
        <x:f>E86*D$5</x:f>
        <x:v>0</x:v>
      </x:c>
      <x:c r="D86" s="66" t="n"/>
      <x:c r="E86" s="36" t="n">
        <x:f>SUM(G86:HT86)</x:f>
        <x:v>0</x:v>
      </x:c>
      <x:c r="H86" s="28" t="n"/>
      <x:c r="I86" s="28" t="n"/>
      <x:c r="J86" s="28" t="n"/>
      <x:c r="K86" s="28" t="n"/>
      <x:c r="L86" s="28" t="n"/>
      <x:c r="M86" s="100" t="n"/>
      <x:c r="N86" s="100" t="n"/>
      <x:c r="O86" s="100" t="n"/>
      <x:c r="P86" s="100" t="n"/>
      <x:c r="Q86" s="100" t="n"/>
      <x:c r="R86" s="100" t="n"/>
      <x:c r="S86" s="100" t="n"/>
      <x:c r="T86" s="100" t="n"/>
      <x:c r="U86" s="100" t="n"/>
      <x:c r="V86" s="100" t="n"/>
      <x:c r="W86" s="100" t="n"/>
      <x:c r="X86" s="100" t="n"/>
      <x:c r="Y86" s="100" t="n"/>
      <x:c r="Z86" s="100" t="n"/>
      <x:c r="AA86" s="100" t="n"/>
      <x:c r="AB86" s="100" t="n"/>
      <x:c r="AC86" s="100" t="n"/>
      <x:c r="AD86" s="100" t="n"/>
      <x:c r="AE86" s="100" t="n"/>
      <x:c r="AF86" s="100" t="n"/>
      <x:c r="AG86" s="100" t="n"/>
      <x:c r="AH86" s="100" t="n"/>
      <x:c r="AI86" s="100" t="n"/>
      <x:c r="AJ86" s="100" t="n"/>
      <x:c r="AK86" s="100" t="n"/>
      <x:c r="AL86" s="100" t="n"/>
      <x:c r="AM86" s="100" t="n"/>
      <x:c r="AN86" s="100" t="n"/>
      <x:c r="AO86" s="100" t="n"/>
      <x:c r="AP86" s="100" t="n"/>
      <x:c r="AQ86" s="100" t="n"/>
      <x:c r="AR86" s="100" t="n"/>
      <x:c r="AS86" s="100" t="n"/>
      <x:c r="AT86" s="100" t="n"/>
      <x:c r="AU86" s="100" t="n"/>
      <x:c r="AV86" s="100" t="n"/>
      <x:c r="AW86" s="100" t="n"/>
      <x:c r="AX86" s="100" t="n"/>
      <x:c r="AY86" s="100" t="n"/>
      <x:c r="AZ86" s="100" t="n"/>
      <x:c r="BA86" s="100" t="n"/>
      <x:c r="BB86" s="100" t="n"/>
      <x:c r="BC86" s="100" t="n"/>
      <x:c r="BD86" s="100" t="n"/>
      <x:c r="BE86" s="100" t="n"/>
      <x:c r="BF86" s="100" t="n"/>
      <x:c r="BG86" s="100" t="n"/>
      <x:c r="BH86" s="100" t="n"/>
      <x:c r="BI86" s="100" t="n"/>
      <x:c r="BJ86" s="100" t="n"/>
      <x:c r="BK86" s="100" t="n"/>
      <x:c r="BL86" s="100" t="n"/>
      <x:c r="BM86" s="100" t="n"/>
      <x:c r="BN86" s="100" t="n"/>
      <x:c r="BO86" s="100" t="n"/>
      <x:c r="BP86" s="100" t="n"/>
      <x:c r="BQ86" s="100" t="n"/>
      <x:c r="BR86" s="100" t="n"/>
      <x:c r="BS86" s="100" t="n"/>
      <x:c r="BT86" s="100" t="n"/>
      <x:c r="BU86" s="100" t="n"/>
      <x:c r="BV86" s="100" t="n"/>
      <x:c r="BW86" s="100" t="n"/>
      <x:c r="BX86" s="100" t="n"/>
      <x:c r="BY86" s="100" t="n"/>
      <x:c r="BZ86" s="100" t="n"/>
      <x:c r="CA86" s="100" t="n"/>
      <x:c r="CB86" s="100" t="n"/>
      <x:c r="CC86" s="100" t="n"/>
      <x:c r="CD86" s="100" t="n"/>
      <x:c r="CE86" s="100" t="n"/>
      <x:c r="CF86" s="100" t="n"/>
      <x:c r="CG86" s="100" t="n"/>
      <x:c r="CH86" s="100" t="n"/>
      <x:c r="CI86" s="100" t="n"/>
      <x:c r="CJ86" s="100" t="n"/>
      <x:c r="CK86" s="100" t="n"/>
      <x:c r="CL86" s="100" t="n"/>
      <x:c r="CM86" s="100" t="n"/>
      <x:c r="CN86" s="100" t="n"/>
      <x:c r="CO86" s="100" t="n"/>
      <x:c r="CP86" s="100" t="n"/>
      <x:c r="CQ86" s="100" t="n"/>
      <x:c r="CR86" s="100" t="n"/>
      <x:c r="CS86" s="100" t="n"/>
      <x:c r="CT86" s="100" t="n"/>
      <x:c r="CU86" s="100" t="n"/>
      <x:c r="CV86" s="100" t="n"/>
      <x:c r="CW86" s="100" t="n"/>
      <x:c r="CX86" s="100" t="n"/>
      <x:c r="CY86" s="100" t="n"/>
      <x:c r="CZ86" s="100" t="n"/>
      <x:c r="DA86" s="100" t="n"/>
      <x:c r="DB86" s="100" t="n"/>
      <x:c r="DC86" s="100" t="n"/>
      <x:c r="DD86" s="100" t="n"/>
      <x:c r="DE86" s="100" t="n"/>
      <x:c r="DF86" s="100" t="n"/>
      <x:c r="DG86" s="100" t="n"/>
      <x:c r="DH86" s="100" t="n"/>
      <x:c r="DI86" s="100" t="n"/>
      <x:c r="DJ86" s="100" t="n"/>
      <x:c r="DK86" s="100" t="n"/>
      <x:c r="DL86" s="100" t="n"/>
      <x:c r="DM86" s="100" t="n"/>
      <x:c r="DN86" s="100" t="n"/>
      <x:c r="DO86" s="100" t="n"/>
      <x:c r="DP86" s="100" t="n"/>
      <x:c r="DQ86" s="100" t="n"/>
      <x:c r="DR86" s="100" t="n"/>
      <x:c r="DS86" s="100" t="n"/>
      <x:c r="DT86" s="100" t="n"/>
      <x:c r="DU86" s="100" t="n"/>
      <x:c r="DV86" s="100" t="n"/>
      <x:c r="DW86" s="100" t="n"/>
      <x:c r="DX86" s="100" t="n"/>
      <x:c r="DY86" s="100" t="n"/>
      <x:c r="DZ86" s="100" t="n"/>
      <x:c r="EA86" s="100" t="n"/>
      <x:c r="EB86" s="100" t="n"/>
      <x:c r="EC86" s="100" t="n"/>
      <x:c r="ED86" s="100" t="n"/>
      <x:c r="EE86" s="100" t="n"/>
      <x:c r="EF86" s="100" t="n"/>
      <x:c r="EG86" s="100" t="n"/>
      <x:c r="EH86" s="100" t="n"/>
      <x:c r="EI86" s="100" t="n"/>
      <x:c r="EJ86" s="100" t="n"/>
      <x:c r="EK86" s="100" t="n"/>
      <x:c r="EL86" s="100" t="n"/>
      <x:c r="EM86" s="100" t="n"/>
      <x:c r="EN86" s="100" t="n"/>
      <x:c r="EO86" s="100" t="n"/>
      <x:c r="EP86" s="100" t="n"/>
      <x:c r="EQ86" s="100" t="n"/>
      <x:c r="ER86" s="100" t="n"/>
      <x:c r="ES86" s="100" t="n"/>
      <x:c r="ET86" s="100" t="n"/>
      <x:c r="EU86" s="100" t="n"/>
      <x:c r="EV86" s="100" t="n"/>
      <x:c r="EW86" s="100" t="n"/>
      <x:c r="EX86" s="100" t="n"/>
      <x:c r="EY86" s="100" t="n"/>
      <x:c r="EZ86" s="100" t="n"/>
      <x:c r="FA86" s="100" t="n"/>
      <x:c r="FB86" s="100" t="n"/>
      <x:c r="FC86" s="100" t="n"/>
      <x:c r="FD86" s="100" t="n"/>
      <x:c r="FE86" s="100" t="n"/>
      <x:c r="FF86" s="100" t="n"/>
      <x:c r="FG86" s="100" t="n"/>
      <x:c r="FH86" s="100" t="n"/>
      <x:c r="FI86" s="100" t="n"/>
      <x:c r="FJ86" s="100" t="n"/>
      <x:c r="FK86" s="100" t="n"/>
      <x:c r="FL86" s="100" t="n"/>
      <x:c r="FM86" s="100" t="n"/>
      <x:c r="FN86" s="100" t="n"/>
      <x:c r="FO86" s="100" t="n"/>
      <x:c r="FP86" s="100" t="n"/>
      <x:c r="FQ86" s="100" t="n"/>
      <x:c r="FR86" s="100" t="n"/>
      <x:c r="FS86" s="100" t="n"/>
      <x:c r="FT86" s="100" t="n"/>
      <x:c r="FU86" s="100" t="n"/>
      <x:c r="FV86" s="100" t="n"/>
      <x:c r="FW86" s="100" t="n"/>
      <x:c r="FX86" s="100" t="n"/>
      <x:c r="FY86" s="100" t="n"/>
      <x:c r="FZ86" s="100" t="n"/>
      <x:c r="GA86" s="100" t="n"/>
      <x:c r="GB86" s="100" t="n"/>
      <x:c r="GC86" s="100" t="n"/>
      <x:c r="GD86" s="100" t="n"/>
      <x:c r="GE86" s="100" t="n"/>
      <x:c r="GF86" s="100" t="n"/>
    </x:row>
    <x:row r="87" s="27" customFormat="1">
      <x:c r="A87" s="38" t="n"/>
      <x:c r="B87" s="37" t="n"/>
      <x:c r="C87" s="36" t="n">
        <x:f>E87*D$5</x:f>
        <x:v>0</x:v>
      </x:c>
      <x:c r="D87" s="66" t="n"/>
      <x:c r="E87" s="36" t="n">
        <x:f>SUM(G87:HT87)</x:f>
        <x:v>0</x:v>
      </x:c>
      <x:c r="H87" s="28" t="n"/>
      <x:c r="I87" s="28" t="n"/>
      <x:c r="J87" s="28" t="n"/>
      <x:c r="K87" s="28" t="n"/>
      <x:c r="L87" s="28" t="n"/>
      <x:c r="M87" s="100" t="n"/>
      <x:c r="N87" s="100" t="n"/>
      <x:c r="O87" s="100" t="n"/>
      <x:c r="P87" s="100" t="n"/>
      <x:c r="Q87" s="100" t="n"/>
      <x:c r="R87" s="100" t="n"/>
      <x:c r="S87" s="100" t="n"/>
      <x:c r="T87" s="100" t="n"/>
      <x:c r="U87" s="100" t="n"/>
      <x:c r="V87" s="100" t="n"/>
      <x:c r="W87" s="100" t="n"/>
      <x:c r="X87" s="100" t="n"/>
      <x:c r="Y87" s="100" t="n"/>
      <x:c r="Z87" s="100" t="n"/>
      <x:c r="AA87" s="100" t="n"/>
      <x:c r="AB87" s="100" t="n"/>
      <x:c r="AC87" s="100" t="n"/>
      <x:c r="AD87" s="100" t="n"/>
      <x:c r="AE87" s="100" t="n"/>
      <x:c r="AF87" s="100" t="n"/>
      <x:c r="AG87" s="100" t="n"/>
      <x:c r="AH87" s="100" t="n"/>
      <x:c r="AI87" s="100" t="n"/>
      <x:c r="AJ87" s="100" t="n"/>
      <x:c r="AK87" s="100" t="n"/>
      <x:c r="AL87" s="100" t="n"/>
      <x:c r="AM87" s="100" t="n"/>
      <x:c r="AN87" s="100" t="n"/>
      <x:c r="AO87" s="100" t="n"/>
      <x:c r="AP87" s="100" t="n"/>
      <x:c r="AQ87" s="100" t="n"/>
      <x:c r="AR87" s="100" t="n"/>
      <x:c r="AS87" s="100" t="n"/>
      <x:c r="AT87" s="100" t="n"/>
      <x:c r="AU87" s="100" t="n"/>
      <x:c r="AV87" s="100" t="n"/>
      <x:c r="AW87" s="100" t="n"/>
      <x:c r="AX87" s="100" t="n"/>
      <x:c r="AY87" s="100" t="n"/>
      <x:c r="AZ87" s="100" t="n"/>
      <x:c r="BA87" s="100" t="n"/>
      <x:c r="BB87" s="100" t="n"/>
      <x:c r="BC87" s="100" t="n"/>
      <x:c r="BD87" s="100" t="n"/>
      <x:c r="BE87" s="100" t="n"/>
      <x:c r="BF87" s="100" t="n"/>
      <x:c r="BG87" s="100" t="n"/>
      <x:c r="BH87" s="100" t="n"/>
      <x:c r="BI87" s="100" t="n"/>
      <x:c r="BJ87" s="100" t="n"/>
      <x:c r="BK87" s="100" t="n"/>
      <x:c r="BL87" s="100" t="n"/>
      <x:c r="BM87" s="100" t="n"/>
      <x:c r="BN87" s="100" t="n"/>
      <x:c r="BO87" s="100" t="n"/>
      <x:c r="BP87" s="100" t="n"/>
      <x:c r="BQ87" s="100" t="n"/>
      <x:c r="BR87" s="100" t="n"/>
      <x:c r="BS87" s="100" t="n"/>
      <x:c r="BT87" s="100" t="n"/>
      <x:c r="BU87" s="100" t="n"/>
      <x:c r="BV87" s="100" t="n"/>
      <x:c r="BW87" s="100" t="n"/>
      <x:c r="BX87" s="100" t="n"/>
      <x:c r="BY87" s="100" t="n"/>
      <x:c r="BZ87" s="100" t="n"/>
      <x:c r="CA87" s="100" t="n"/>
      <x:c r="CB87" s="100" t="n"/>
      <x:c r="CC87" s="100" t="n"/>
      <x:c r="CD87" s="100" t="n"/>
      <x:c r="CE87" s="100" t="n"/>
      <x:c r="CF87" s="100" t="n"/>
      <x:c r="CG87" s="100" t="n"/>
      <x:c r="CH87" s="100" t="n"/>
      <x:c r="CI87" s="100" t="n"/>
      <x:c r="CJ87" s="100" t="n"/>
      <x:c r="CK87" s="100" t="n"/>
      <x:c r="CL87" s="100" t="n"/>
      <x:c r="CM87" s="100" t="n"/>
      <x:c r="CN87" s="100" t="n"/>
      <x:c r="CO87" s="100" t="n"/>
      <x:c r="CP87" s="100" t="n"/>
      <x:c r="CQ87" s="100" t="n"/>
      <x:c r="CR87" s="100" t="n"/>
      <x:c r="CS87" s="100" t="n"/>
      <x:c r="CT87" s="100" t="n"/>
      <x:c r="CU87" s="100" t="n"/>
      <x:c r="CV87" s="100" t="n"/>
      <x:c r="CW87" s="100" t="n"/>
      <x:c r="CX87" s="100" t="n"/>
      <x:c r="CY87" s="100" t="n"/>
      <x:c r="CZ87" s="100" t="n"/>
      <x:c r="DA87" s="100" t="n"/>
      <x:c r="DB87" s="100" t="n"/>
      <x:c r="DC87" s="100" t="n"/>
      <x:c r="DD87" s="100" t="n"/>
      <x:c r="DE87" s="100" t="n"/>
      <x:c r="DF87" s="100" t="n"/>
      <x:c r="DG87" s="100" t="n"/>
      <x:c r="DH87" s="100" t="n"/>
      <x:c r="DI87" s="100" t="n"/>
      <x:c r="DJ87" s="100" t="n"/>
      <x:c r="DK87" s="100" t="n"/>
      <x:c r="DL87" s="100" t="n"/>
      <x:c r="DM87" s="100" t="n"/>
      <x:c r="DN87" s="100" t="n"/>
      <x:c r="DO87" s="100" t="n"/>
      <x:c r="DP87" s="100" t="n"/>
      <x:c r="DQ87" s="100" t="n"/>
      <x:c r="DR87" s="100" t="n"/>
      <x:c r="DS87" s="100" t="n"/>
      <x:c r="DT87" s="100" t="n"/>
      <x:c r="DU87" s="100" t="n"/>
      <x:c r="DV87" s="100" t="n"/>
      <x:c r="DW87" s="100" t="n"/>
      <x:c r="DX87" s="100" t="n"/>
      <x:c r="DY87" s="100" t="n"/>
      <x:c r="DZ87" s="100" t="n"/>
      <x:c r="EA87" s="100" t="n"/>
      <x:c r="EB87" s="100" t="n"/>
      <x:c r="EC87" s="100" t="n"/>
      <x:c r="ED87" s="100" t="n"/>
      <x:c r="EE87" s="100" t="n"/>
      <x:c r="EF87" s="100" t="n"/>
      <x:c r="EG87" s="100" t="n"/>
      <x:c r="EH87" s="100" t="n"/>
      <x:c r="EI87" s="100" t="n"/>
      <x:c r="EJ87" s="100" t="n"/>
      <x:c r="EK87" s="100" t="n"/>
      <x:c r="EL87" s="100" t="n"/>
      <x:c r="EM87" s="100" t="n"/>
      <x:c r="EN87" s="100" t="n"/>
      <x:c r="EO87" s="100" t="n"/>
      <x:c r="EP87" s="100" t="n"/>
      <x:c r="EQ87" s="100" t="n"/>
      <x:c r="ER87" s="100" t="n"/>
      <x:c r="ES87" s="100" t="n"/>
      <x:c r="ET87" s="100" t="n"/>
      <x:c r="EU87" s="100" t="n"/>
      <x:c r="EV87" s="100" t="n"/>
      <x:c r="EW87" s="100" t="n"/>
      <x:c r="EX87" s="100" t="n"/>
      <x:c r="EY87" s="100" t="n"/>
      <x:c r="EZ87" s="100" t="n"/>
      <x:c r="FA87" s="100" t="n"/>
      <x:c r="FB87" s="100" t="n"/>
      <x:c r="FC87" s="100" t="n"/>
      <x:c r="FD87" s="100" t="n"/>
      <x:c r="FE87" s="100" t="n"/>
      <x:c r="FF87" s="100" t="n"/>
      <x:c r="FG87" s="100" t="n"/>
      <x:c r="FH87" s="100" t="n"/>
      <x:c r="FI87" s="100" t="n"/>
      <x:c r="FJ87" s="100" t="n"/>
      <x:c r="FK87" s="100" t="n"/>
      <x:c r="FL87" s="100" t="n"/>
      <x:c r="FM87" s="100" t="n"/>
      <x:c r="FN87" s="100" t="n"/>
      <x:c r="FO87" s="100" t="n"/>
      <x:c r="FP87" s="100" t="n"/>
      <x:c r="FQ87" s="100" t="n"/>
      <x:c r="FR87" s="100" t="n"/>
      <x:c r="FS87" s="100" t="n"/>
      <x:c r="FT87" s="100" t="n"/>
      <x:c r="FU87" s="100" t="n"/>
      <x:c r="FV87" s="100" t="n"/>
      <x:c r="FW87" s="100" t="n"/>
      <x:c r="FX87" s="100" t="n"/>
      <x:c r="FY87" s="100" t="n"/>
      <x:c r="FZ87" s="100" t="n"/>
      <x:c r="GA87" s="100" t="n"/>
      <x:c r="GB87" s="100" t="n"/>
      <x:c r="GC87" s="100" t="n"/>
      <x:c r="GD87" s="100" t="n"/>
      <x:c r="GE87" s="100" t="n"/>
      <x:c r="GF87" s="100" t="n"/>
    </x:row>
    <x:row r="88" s="27" customFormat="1">
      <x:c r="A88" s="38" t="n"/>
      <x:c r="B88" s="37" t="n"/>
      <x:c r="C88" s="86" t="n">
        <x:f>E88*D$5</x:f>
        <x:v>0</x:v>
      </x:c>
      <x:c r="D88" s="66" t="n"/>
      <x:c r="E88" s="86" t="n">
        <x:f>SUM(G88:HT88)</x:f>
        <x:v>0</x:v>
      </x:c>
      <x:c r="H88" s="28" t="n"/>
      <x:c r="I88" s="28" t="n"/>
      <x:c r="J88" s="28" t="n"/>
      <x:c r="K88" s="28" t="n"/>
      <x:c r="L88" s="28" t="n"/>
      <x:c r="M88" s="100" t="n"/>
      <x:c r="N88" s="100" t="n"/>
      <x:c r="O88" s="100" t="n"/>
      <x:c r="P88" s="100" t="n"/>
      <x:c r="Q88" s="100" t="n"/>
      <x:c r="R88" s="100" t="n"/>
      <x:c r="S88" s="100" t="n"/>
      <x:c r="T88" s="100" t="n"/>
      <x:c r="U88" s="100" t="n"/>
      <x:c r="V88" s="100" t="n"/>
      <x:c r="W88" s="100" t="n"/>
      <x:c r="X88" s="100" t="n"/>
      <x:c r="Y88" s="100" t="n"/>
      <x:c r="Z88" s="100" t="n"/>
      <x:c r="AA88" s="100" t="n"/>
      <x:c r="AB88" s="100" t="n"/>
      <x:c r="AC88" s="100" t="n"/>
      <x:c r="AD88" s="100" t="n"/>
      <x:c r="AE88" s="100" t="n"/>
      <x:c r="AF88" s="100" t="n"/>
      <x:c r="AG88" s="100" t="n"/>
      <x:c r="AH88" s="100" t="n"/>
      <x:c r="AI88" s="100" t="n"/>
      <x:c r="AJ88" s="100" t="n"/>
      <x:c r="AK88" s="100" t="n"/>
      <x:c r="AL88" s="100" t="n"/>
      <x:c r="AM88" s="100" t="n"/>
      <x:c r="AN88" s="100" t="n"/>
      <x:c r="AO88" s="100" t="n"/>
      <x:c r="AP88" s="100" t="n"/>
      <x:c r="AQ88" s="100" t="n"/>
      <x:c r="AR88" s="100" t="n"/>
      <x:c r="AS88" s="100" t="n"/>
      <x:c r="AT88" s="100" t="n"/>
      <x:c r="AU88" s="100" t="n"/>
      <x:c r="AV88" s="100" t="n"/>
      <x:c r="AW88" s="100" t="n"/>
      <x:c r="AX88" s="100" t="n"/>
      <x:c r="AY88" s="100" t="n"/>
      <x:c r="AZ88" s="100" t="n"/>
      <x:c r="BA88" s="100" t="n"/>
      <x:c r="BB88" s="100" t="n"/>
      <x:c r="BC88" s="100" t="n"/>
      <x:c r="BD88" s="100" t="n"/>
      <x:c r="BE88" s="100" t="n"/>
      <x:c r="BF88" s="100" t="n"/>
      <x:c r="BG88" s="100" t="n"/>
      <x:c r="BH88" s="100" t="n"/>
      <x:c r="BI88" s="100" t="n"/>
      <x:c r="BJ88" s="100" t="n"/>
      <x:c r="BK88" s="100" t="n"/>
      <x:c r="BL88" s="100" t="n"/>
      <x:c r="BM88" s="100" t="n"/>
      <x:c r="BN88" s="100" t="n"/>
      <x:c r="BO88" s="100" t="n"/>
      <x:c r="BP88" s="100" t="n"/>
      <x:c r="BQ88" s="100" t="n"/>
      <x:c r="BR88" s="100" t="n"/>
      <x:c r="BS88" s="100" t="n"/>
      <x:c r="BT88" s="100" t="n"/>
      <x:c r="BU88" s="100" t="n"/>
      <x:c r="BV88" s="100" t="n"/>
      <x:c r="BW88" s="100" t="n"/>
      <x:c r="BX88" s="100" t="n"/>
      <x:c r="BY88" s="100" t="n"/>
      <x:c r="BZ88" s="100" t="n"/>
      <x:c r="CA88" s="100" t="n"/>
      <x:c r="CB88" s="100" t="n"/>
      <x:c r="CC88" s="100" t="n"/>
      <x:c r="CD88" s="100" t="n"/>
      <x:c r="CE88" s="100" t="n"/>
      <x:c r="CF88" s="100" t="n"/>
      <x:c r="CG88" s="100" t="n"/>
      <x:c r="CH88" s="100" t="n"/>
      <x:c r="CI88" s="100" t="n"/>
      <x:c r="CJ88" s="100" t="n"/>
      <x:c r="CK88" s="100" t="n"/>
      <x:c r="CL88" s="100" t="n"/>
      <x:c r="CM88" s="100" t="n"/>
      <x:c r="CN88" s="100" t="n"/>
      <x:c r="CO88" s="100" t="n"/>
      <x:c r="CP88" s="100" t="n"/>
      <x:c r="CQ88" s="100" t="n"/>
      <x:c r="CR88" s="100" t="n"/>
      <x:c r="CS88" s="100" t="n"/>
      <x:c r="CT88" s="100" t="n"/>
      <x:c r="CU88" s="100" t="n"/>
      <x:c r="CV88" s="100" t="n"/>
      <x:c r="CW88" s="100" t="n"/>
      <x:c r="CX88" s="100" t="n"/>
      <x:c r="CY88" s="100" t="n"/>
      <x:c r="CZ88" s="100" t="n"/>
      <x:c r="DA88" s="100" t="n"/>
      <x:c r="DB88" s="100" t="n"/>
      <x:c r="DC88" s="100" t="n"/>
      <x:c r="DD88" s="100" t="n"/>
      <x:c r="DE88" s="100" t="n"/>
      <x:c r="DF88" s="100" t="n"/>
      <x:c r="DG88" s="100" t="n"/>
      <x:c r="DH88" s="100" t="n"/>
      <x:c r="DI88" s="100" t="n"/>
      <x:c r="DJ88" s="100" t="n"/>
      <x:c r="DK88" s="100" t="n"/>
      <x:c r="DL88" s="100" t="n"/>
      <x:c r="DM88" s="100" t="n"/>
      <x:c r="DN88" s="100" t="n"/>
      <x:c r="DO88" s="100" t="n"/>
      <x:c r="DP88" s="100" t="n"/>
      <x:c r="DQ88" s="100" t="n"/>
      <x:c r="DR88" s="100" t="n"/>
      <x:c r="DS88" s="100" t="n"/>
      <x:c r="DT88" s="100" t="n"/>
      <x:c r="DU88" s="100" t="n"/>
      <x:c r="DV88" s="100" t="n"/>
      <x:c r="DW88" s="100" t="n"/>
      <x:c r="DX88" s="100" t="n"/>
      <x:c r="DY88" s="100" t="n"/>
      <x:c r="DZ88" s="100" t="n"/>
      <x:c r="EA88" s="100" t="n"/>
      <x:c r="EB88" s="100" t="n"/>
      <x:c r="EC88" s="100" t="n"/>
      <x:c r="ED88" s="100" t="n"/>
      <x:c r="EE88" s="100" t="n"/>
      <x:c r="EF88" s="100" t="n"/>
      <x:c r="EG88" s="100" t="n"/>
      <x:c r="EH88" s="100" t="n"/>
      <x:c r="EI88" s="100" t="n"/>
      <x:c r="EJ88" s="100" t="n"/>
      <x:c r="EK88" s="100" t="n"/>
      <x:c r="EL88" s="100" t="n"/>
      <x:c r="EM88" s="100" t="n"/>
      <x:c r="EN88" s="100" t="n"/>
      <x:c r="EO88" s="100" t="n"/>
      <x:c r="EP88" s="100" t="n"/>
      <x:c r="EQ88" s="100" t="n"/>
      <x:c r="ER88" s="100" t="n"/>
      <x:c r="ES88" s="100" t="n"/>
      <x:c r="ET88" s="100" t="n"/>
      <x:c r="EU88" s="100" t="n"/>
      <x:c r="EV88" s="100" t="n"/>
      <x:c r="EW88" s="100" t="n"/>
      <x:c r="EX88" s="100" t="n"/>
      <x:c r="EY88" s="100" t="n"/>
      <x:c r="EZ88" s="100" t="n"/>
      <x:c r="FA88" s="100" t="n"/>
      <x:c r="FB88" s="100" t="n"/>
      <x:c r="FC88" s="100" t="n"/>
      <x:c r="FD88" s="100" t="n"/>
      <x:c r="FE88" s="100" t="n"/>
      <x:c r="FF88" s="100" t="n"/>
      <x:c r="FG88" s="100" t="n"/>
      <x:c r="FH88" s="100" t="n"/>
      <x:c r="FI88" s="100" t="n"/>
      <x:c r="FJ88" s="100" t="n"/>
      <x:c r="FK88" s="100" t="n"/>
      <x:c r="FL88" s="100" t="n"/>
      <x:c r="FM88" s="100" t="n"/>
      <x:c r="FN88" s="100" t="n"/>
      <x:c r="FO88" s="100" t="n"/>
      <x:c r="FP88" s="100" t="n"/>
      <x:c r="FQ88" s="100" t="n"/>
      <x:c r="FR88" s="100" t="n"/>
      <x:c r="FS88" s="100" t="n"/>
      <x:c r="FT88" s="100" t="n"/>
      <x:c r="FU88" s="100" t="n"/>
      <x:c r="FV88" s="100" t="n"/>
      <x:c r="FW88" s="100" t="n"/>
      <x:c r="FX88" s="100" t="n"/>
      <x:c r="FY88" s="100" t="n"/>
      <x:c r="FZ88" s="100" t="n"/>
      <x:c r="GA88" s="100" t="n"/>
      <x:c r="GB88" s="100" t="n"/>
      <x:c r="GC88" s="100" t="n"/>
      <x:c r="GD88" s="100" t="n"/>
      <x:c r="GE88" s="100" t="n"/>
      <x:c r="GF88" s="100" t="n"/>
    </x:row>
    <x:row r="89" s="27" customFormat="1">
      <x:c r="A89" s="38" t="n"/>
      <x:c r="B89" s="37" t="n"/>
      <x:c r="C89" s="36" t="n">
        <x:f>E89*D$5</x:f>
        <x:v>0</x:v>
      </x:c>
      <x:c r="D89" s="66" t="n"/>
      <x:c r="E89" s="36" t="n">
        <x:f>SUM(G89:HT89)</x:f>
        <x:v>0</x:v>
      </x:c>
      <x:c r="M89" s="100" t="n"/>
      <x:c r="N89" s="100" t="n"/>
      <x:c r="O89" s="100" t="n"/>
      <x:c r="P89" s="100" t="n"/>
      <x:c r="Q89" s="100" t="n"/>
      <x:c r="R89" s="100" t="n"/>
      <x:c r="S89" s="100" t="n"/>
      <x:c r="T89" s="100" t="n"/>
      <x:c r="U89" s="100" t="n"/>
      <x:c r="V89" s="100" t="n"/>
      <x:c r="W89" s="100" t="n"/>
      <x:c r="X89" s="100" t="n"/>
      <x:c r="Y89" s="100" t="n"/>
      <x:c r="Z89" s="100" t="n"/>
      <x:c r="AA89" s="100" t="n"/>
      <x:c r="AB89" s="100" t="n"/>
      <x:c r="AC89" s="100" t="n"/>
      <x:c r="AD89" s="100" t="n"/>
      <x:c r="AE89" s="100" t="n"/>
      <x:c r="AF89" s="100" t="n"/>
      <x:c r="AG89" s="100" t="n"/>
      <x:c r="AH89" s="100" t="n"/>
      <x:c r="AI89" s="100" t="n"/>
      <x:c r="AJ89" s="100" t="n"/>
      <x:c r="AK89" s="100" t="n"/>
      <x:c r="AL89" s="100" t="n"/>
      <x:c r="AM89" s="100" t="n"/>
      <x:c r="AN89" s="100" t="n"/>
      <x:c r="AO89" s="100" t="n"/>
      <x:c r="AP89" s="100" t="n"/>
      <x:c r="AQ89" s="100" t="n"/>
      <x:c r="AR89" s="100" t="n"/>
      <x:c r="AS89" s="100" t="n"/>
      <x:c r="AT89" s="100" t="n"/>
      <x:c r="AU89" s="100" t="n"/>
      <x:c r="AV89" s="100" t="n"/>
      <x:c r="AW89" s="100" t="n"/>
      <x:c r="AX89" s="100" t="n"/>
      <x:c r="AY89" s="100" t="n"/>
      <x:c r="AZ89" s="100" t="n"/>
      <x:c r="BA89" s="100" t="n"/>
      <x:c r="BB89" s="100" t="n"/>
      <x:c r="BC89" s="100" t="n"/>
      <x:c r="BD89" s="100" t="n"/>
      <x:c r="BE89" s="100" t="n"/>
      <x:c r="BF89" s="100" t="n"/>
      <x:c r="BG89" s="100" t="n"/>
      <x:c r="BH89" s="100" t="n"/>
      <x:c r="BI89" s="100" t="n"/>
      <x:c r="BJ89" s="100" t="n"/>
      <x:c r="BK89" s="100" t="n"/>
      <x:c r="BL89" s="100" t="n"/>
      <x:c r="BM89" s="100" t="n"/>
      <x:c r="BN89" s="100" t="n"/>
      <x:c r="BO89" s="100" t="n"/>
      <x:c r="BP89" s="100" t="n"/>
      <x:c r="BQ89" s="100" t="n"/>
      <x:c r="BR89" s="100" t="n"/>
      <x:c r="BS89" s="100" t="n"/>
      <x:c r="BT89" s="100" t="n"/>
      <x:c r="BU89" s="100" t="n"/>
      <x:c r="BV89" s="100" t="n"/>
      <x:c r="BW89" s="100" t="n"/>
      <x:c r="BX89" s="100" t="n"/>
      <x:c r="BY89" s="100" t="n"/>
      <x:c r="BZ89" s="100" t="n"/>
      <x:c r="CA89" s="100" t="n"/>
      <x:c r="CB89" s="100" t="n"/>
      <x:c r="CC89" s="100" t="n"/>
      <x:c r="CD89" s="100" t="n"/>
      <x:c r="CE89" s="100" t="n"/>
      <x:c r="CF89" s="100" t="n"/>
      <x:c r="CG89" s="100" t="n"/>
      <x:c r="CH89" s="100" t="n"/>
      <x:c r="CI89" s="100" t="n"/>
      <x:c r="CJ89" s="100" t="n"/>
      <x:c r="CK89" s="100" t="n"/>
      <x:c r="CL89" s="100" t="n"/>
      <x:c r="CM89" s="100" t="n"/>
      <x:c r="CN89" s="100" t="n"/>
      <x:c r="CO89" s="100" t="n"/>
      <x:c r="CP89" s="100" t="n"/>
      <x:c r="CQ89" s="100" t="n"/>
      <x:c r="CR89" s="100" t="n"/>
      <x:c r="CS89" s="100" t="n"/>
      <x:c r="CT89" s="100" t="n"/>
      <x:c r="CU89" s="100" t="n"/>
      <x:c r="CV89" s="100" t="n"/>
      <x:c r="CW89" s="100" t="n"/>
      <x:c r="CX89" s="100" t="n"/>
      <x:c r="CY89" s="100" t="n"/>
      <x:c r="CZ89" s="100" t="n"/>
      <x:c r="DA89" s="100" t="n"/>
      <x:c r="DB89" s="100" t="n"/>
      <x:c r="DC89" s="100" t="n"/>
      <x:c r="DD89" s="100" t="n"/>
      <x:c r="DE89" s="100" t="n"/>
      <x:c r="DF89" s="100" t="n"/>
      <x:c r="DG89" s="100" t="n"/>
      <x:c r="DH89" s="100" t="n"/>
      <x:c r="DI89" s="100" t="n"/>
      <x:c r="DJ89" s="100" t="n"/>
      <x:c r="DK89" s="100" t="n"/>
      <x:c r="DL89" s="100" t="n"/>
      <x:c r="DM89" s="100" t="n"/>
      <x:c r="DN89" s="100" t="n"/>
      <x:c r="DO89" s="100" t="n"/>
      <x:c r="DP89" s="100" t="n"/>
      <x:c r="DQ89" s="100" t="n"/>
      <x:c r="DR89" s="100" t="n"/>
      <x:c r="DS89" s="100" t="n"/>
      <x:c r="DT89" s="100" t="n"/>
      <x:c r="DU89" s="100" t="n"/>
      <x:c r="DV89" s="100" t="n"/>
      <x:c r="DW89" s="100" t="n"/>
      <x:c r="DX89" s="100" t="n"/>
      <x:c r="DY89" s="100" t="n"/>
      <x:c r="DZ89" s="100" t="n"/>
      <x:c r="EA89" s="100" t="n"/>
      <x:c r="EB89" s="100" t="n"/>
      <x:c r="EC89" s="100" t="n"/>
      <x:c r="ED89" s="100" t="n"/>
      <x:c r="EE89" s="100" t="n"/>
      <x:c r="EF89" s="100" t="n"/>
      <x:c r="EG89" s="100" t="n"/>
      <x:c r="EH89" s="100" t="n"/>
      <x:c r="EI89" s="100" t="n"/>
      <x:c r="EJ89" s="100" t="n"/>
      <x:c r="EK89" s="100" t="n"/>
      <x:c r="EL89" s="100" t="n"/>
      <x:c r="EM89" s="100" t="n"/>
      <x:c r="EN89" s="100" t="n"/>
      <x:c r="EO89" s="100" t="n"/>
      <x:c r="EP89" s="100" t="n"/>
      <x:c r="EQ89" s="100" t="n"/>
      <x:c r="ER89" s="100" t="n"/>
      <x:c r="ES89" s="100" t="n"/>
      <x:c r="ET89" s="100" t="n"/>
      <x:c r="EU89" s="100" t="n"/>
      <x:c r="EV89" s="100" t="n"/>
      <x:c r="EW89" s="100" t="n"/>
      <x:c r="EX89" s="100" t="n"/>
      <x:c r="EY89" s="100" t="n"/>
      <x:c r="EZ89" s="100" t="n"/>
      <x:c r="FA89" s="100" t="n"/>
      <x:c r="FB89" s="100" t="n"/>
      <x:c r="FC89" s="100" t="n"/>
      <x:c r="FD89" s="100" t="n"/>
      <x:c r="FE89" s="100" t="n"/>
      <x:c r="FF89" s="100" t="n"/>
      <x:c r="FG89" s="100" t="n"/>
      <x:c r="FH89" s="100" t="n"/>
      <x:c r="FI89" s="100" t="n"/>
      <x:c r="FJ89" s="100" t="n"/>
      <x:c r="FK89" s="100" t="n"/>
      <x:c r="FL89" s="100" t="n"/>
      <x:c r="FM89" s="100" t="n"/>
      <x:c r="FN89" s="100" t="n"/>
      <x:c r="FO89" s="100" t="n"/>
      <x:c r="FP89" s="100" t="n"/>
      <x:c r="FQ89" s="100" t="n"/>
      <x:c r="FR89" s="100" t="n"/>
      <x:c r="FS89" s="100" t="n"/>
      <x:c r="FT89" s="100" t="n"/>
      <x:c r="FU89" s="100" t="n"/>
      <x:c r="FV89" s="100" t="n"/>
      <x:c r="FW89" s="100" t="n"/>
      <x:c r="FX89" s="100" t="n"/>
      <x:c r="FY89" s="100" t="n"/>
      <x:c r="FZ89" s="100" t="n"/>
      <x:c r="GA89" s="100" t="n"/>
      <x:c r="GB89" s="100" t="n"/>
      <x:c r="GC89" s="100" t="n"/>
      <x:c r="GD89" s="100" t="n"/>
      <x:c r="GE89" s="100" t="n"/>
      <x:c r="GF89" s="100" t="n"/>
    </x:row>
    <x:row r="90" s="27" customFormat="1">
      <x:c r="A90" s="38" t="n"/>
      <x:c r="B90" s="37" t="n"/>
      <x:c r="C90" s="36" t="n">
        <x:f>E90*D$5</x:f>
        <x:v>0</x:v>
      </x:c>
      <x:c r="D90" s="523" t="n"/>
      <x:c r="E90" s="86" t="n">
        <x:f>SUM(G90:HT90)</x:f>
        <x:v>0</x:v>
      </x:c>
      <x:c r="M90" s="100" t="n"/>
      <x:c r="N90" s="100" t="n"/>
      <x:c r="O90" s="100" t="n"/>
      <x:c r="P90" s="100" t="n"/>
      <x:c r="Q90" s="100" t="n"/>
      <x:c r="R90" s="100" t="n"/>
      <x:c r="S90" s="100" t="n"/>
      <x:c r="T90" s="100" t="n"/>
      <x:c r="U90" s="100" t="n"/>
      <x:c r="V90" s="100" t="n"/>
      <x:c r="W90" s="100" t="n"/>
      <x:c r="X90" s="100" t="n"/>
      <x:c r="Y90" s="100" t="n"/>
      <x:c r="Z90" s="100" t="n"/>
      <x:c r="AA90" s="100" t="n"/>
      <x:c r="AB90" s="100" t="n"/>
      <x:c r="AC90" s="100" t="n"/>
      <x:c r="AD90" s="100" t="n"/>
      <x:c r="AE90" s="100" t="n"/>
      <x:c r="AF90" s="100" t="n"/>
      <x:c r="AG90" s="100" t="n"/>
      <x:c r="AH90" s="100" t="n"/>
      <x:c r="AI90" s="100" t="n"/>
      <x:c r="AJ90" s="100" t="n"/>
      <x:c r="AK90" s="100" t="n"/>
      <x:c r="AL90" s="100" t="n"/>
      <x:c r="AM90" s="100" t="n"/>
      <x:c r="AN90" s="100" t="n"/>
      <x:c r="AO90" s="100" t="n"/>
      <x:c r="AP90" s="100" t="n"/>
      <x:c r="AQ90" s="100" t="n"/>
      <x:c r="AR90" s="100" t="n"/>
      <x:c r="AS90" s="100" t="n"/>
      <x:c r="AT90" s="100" t="n"/>
      <x:c r="AU90" s="100" t="n"/>
      <x:c r="AV90" s="100" t="n"/>
      <x:c r="AW90" s="100" t="n"/>
      <x:c r="AX90" s="100" t="n"/>
      <x:c r="AY90" s="100" t="n"/>
      <x:c r="AZ90" s="100" t="n"/>
      <x:c r="BA90" s="100" t="n"/>
      <x:c r="BB90" s="100" t="n"/>
      <x:c r="BC90" s="100" t="n"/>
      <x:c r="BD90" s="100" t="n"/>
      <x:c r="BE90" s="100" t="n"/>
      <x:c r="BF90" s="100" t="n"/>
      <x:c r="BG90" s="100" t="n"/>
      <x:c r="BH90" s="100" t="n"/>
      <x:c r="BI90" s="100" t="n"/>
      <x:c r="BJ90" s="100" t="n"/>
      <x:c r="BK90" s="100" t="n"/>
      <x:c r="BL90" s="100" t="n"/>
      <x:c r="BM90" s="100" t="n"/>
      <x:c r="BN90" s="100" t="n"/>
      <x:c r="BO90" s="100" t="n"/>
      <x:c r="BP90" s="100" t="n"/>
      <x:c r="BQ90" s="100" t="n"/>
      <x:c r="BR90" s="100" t="n"/>
      <x:c r="BS90" s="100" t="n"/>
      <x:c r="BT90" s="100" t="n"/>
      <x:c r="BU90" s="100" t="n"/>
      <x:c r="BV90" s="100" t="n"/>
      <x:c r="BW90" s="100" t="n"/>
      <x:c r="BX90" s="100" t="n"/>
      <x:c r="BY90" s="100" t="n"/>
      <x:c r="BZ90" s="100" t="n"/>
      <x:c r="CA90" s="100" t="n"/>
      <x:c r="CB90" s="100" t="n"/>
      <x:c r="CC90" s="100" t="n"/>
      <x:c r="CD90" s="100" t="n"/>
      <x:c r="CE90" s="100" t="n"/>
      <x:c r="CF90" s="100" t="n"/>
      <x:c r="CG90" s="100" t="n"/>
      <x:c r="CH90" s="100" t="n"/>
      <x:c r="CI90" s="100" t="n"/>
      <x:c r="CJ90" s="100" t="n"/>
      <x:c r="CK90" s="100" t="n"/>
      <x:c r="CL90" s="100" t="n"/>
      <x:c r="CM90" s="100" t="n"/>
      <x:c r="CN90" s="100" t="n"/>
      <x:c r="CO90" s="100" t="n"/>
      <x:c r="CP90" s="100" t="n"/>
      <x:c r="CQ90" s="100" t="n"/>
      <x:c r="CR90" s="100" t="n"/>
      <x:c r="CS90" s="100" t="n"/>
      <x:c r="CT90" s="100" t="n"/>
      <x:c r="CU90" s="100" t="n"/>
      <x:c r="CV90" s="100" t="n"/>
      <x:c r="CW90" s="100" t="n"/>
      <x:c r="CX90" s="100" t="n"/>
      <x:c r="CY90" s="100" t="n"/>
      <x:c r="CZ90" s="100" t="n"/>
      <x:c r="DA90" s="100" t="n"/>
      <x:c r="DB90" s="100" t="n"/>
      <x:c r="DC90" s="100" t="n"/>
      <x:c r="DD90" s="100" t="n"/>
      <x:c r="DE90" s="100" t="n"/>
      <x:c r="DF90" s="100" t="n"/>
      <x:c r="DG90" s="100" t="n"/>
      <x:c r="DH90" s="100" t="n"/>
      <x:c r="DI90" s="100" t="n"/>
      <x:c r="DJ90" s="100" t="n"/>
      <x:c r="DK90" s="100" t="n"/>
      <x:c r="DL90" s="100" t="n"/>
      <x:c r="DM90" s="100" t="n"/>
      <x:c r="DN90" s="100" t="n"/>
      <x:c r="DO90" s="100" t="n"/>
      <x:c r="DP90" s="100" t="n"/>
      <x:c r="DQ90" s="100" t="n"/>
      <x:c r="DR90" s="100" t="n"/>
      <x:c r="DS90" s="100" t="n"/>
      <x:c r="DT90" s="100" t="n"/>
      <x:c r="DU90" s="100" t="n"/>
      <x:c r="DV90" s="100" t="n"/>
      <x:c r="DW90" s="100" t="n"/>
      <x:c r="DX90" s="100" t="n"/>
      <x:c r="DY90" s="100" t="n"/>
      <x:c r="DZ90" s="100" t="n"/>
      <x:c r="EA90" s="100" t="n"/>
      <x:c r="EB90" s="100" t="n"/>
      <x:c r="EC90" s="100" t="n"/>
      <x:c r="ED90" s="100" t="n"/>
      <x:c r="EE90" s="100" t="n"/>
      <x:c r="EF90" s="100" t="n"/>
      <x:c r="EG90" s="100" t="n"/>
      <x:c r="EH90" s="100" t="n"/>
      <x:c r="EI90" s="100" t="n"/>
      <x:c r="EJ90" s="100" t="n"/>
      <x:c r="EK90" s="100" t="n"/>
      <x:c r="EL90" s="100" t="n"/>
      <x:c r="EM90" s="100" t="n"/>
      <x:c r="EN90" s="100" t="n"/>
      <x:c r="EO90" s="100" t="n"/>
      <x:c r="EP90" s="100" t="n"/>
      <x:c r="EQ90" s="100" t="n"/>
      <x:c r="ER90" s="100" t="n"/>
      <x:c r="ES90" s="100" t="n"/>
      <x:c r="ET90" s="100" t="n"/>
      <x:c r="EU90" s="100" t="n"/>
      <x:c r="EV90" s="100" t="n"/>
      <x:c r="EW90" s="100" t="n"/>
      <x:c r="EX90" s="100" t="n"/>
      <x:c r="EY90" s="100" t="n"/>
      <x:c r="EZ90" s="100" t="n"/>
      <x:c r="FA90" s="100" t="n"/>
      <x:c r="FB90" s="100" t="n"/>
      <x:c r="FC90" s="100" t="n"/>
      <x:c r="FD90" s="100" t="n"/>
      <x:c r="FE90" s="100" t="n"/>
      <x:c r="FF90" s="100" t="n"/>
      <x:c r="FG90" s="100" t="n"/>
      <x:c r="FH90" s="100" t="n"/>
      <x:c r="FI90" s="100" t="n"/>
      <x:c r="FJ90" s="100" t="n"/>
      <x:c r="FK90" s="100" t="n"/>
      <x:c r="FL90" s="100" t="n"/>
      <x:c r="FM90" s="100" t="n"/>
      <x:c r="FN90" s="100" t="n"/>
      <x:c r="FO90" s="100" t="n"/>
      <x:c r="FP90" s="100" t="n"/>
      <x:c r="FQ90" s="100" t="n"/>
      <x:c r="FR90" s="100" t="n"/>
      <x:c r="FS90" s="100" t="n"/>
      <x:c r="FT90" s="100" t="n"/>
      <x:c r="FU90" s="100" t="n"/>
      <x:c r="FV90" s="100" t="n"/>
      <x:c r="FW90" s="100" t="n"/>
      <x:c r="FX90" s="100" t="n"/>
      <x:c r="FY90" s="100" t="n"/>
      <x:c r="FZ90" s="100" t="n"/>
      <x:c r="GA90" s="100" t="n"/>
      <x:c r="GB90" s="100" t="n"/>
      <x:c r="GC90" s="100" t="n"/>
      <x:c r="GD90" s="100" t="n"/>
      <x:c r="GE90" s="100" t="n"/>
      <x:c r="GF90" s="100" t="n"/>
    </x:row>
    <x:row r="91" s="27" customFormat="1">
      <x:c r="A91" s="38" t="n"/>
      <x:c r="B91" s="37" t="n"/>
      <x:c r="C91" s="86" t="n">
        <x:f>E91*D$5</x:f>
        <x:v>0</x:v>
      </x:c>
      <x:c r="D91" s="66" t="n"/>
      <x:c r="E91" s="86" t="n">
        <x:f>SUM(G91:HT91)</x:f>
        <x:v>0</x:v>
      </x:c>
      <x:c r="M91" s="100" t="n"/>
      <x:c r="N91" s="100" t="n"/>
      <x:c r="O91" s="100" t="n"/>
      <x:c r="P91" s="100" t="n"/>
      <x:c r="Q91" s="100" t="n"/>
      <x:c r="R91" s="100" t="n"/>
      <x:c r="S91" s="100" t="n"/>
      <x:c r="T91" s="100" t="n"/>
      <x:c r="U91" s="100" t="n"/>
      <x:c r="V91" s="100" t="n"/>
      <x:c r="W91" s="100" t="n"/>
      <x:c r="X91" s="100" t="n"/>
      <x:c r="Y91" s="100" t="n"/>
      <x:c r="Z91" s="100" t="n"/>
      <x:c r="AA91" s="100" t="n"/>
      <x:c r="AB91" s="100" t="n"/>
      <x:c r="AC91" s="100" t="n"/>
      <x:c r="AD91" s="100" t="n"/>
      <x:c r="AE91" s="100" t="n"/>
      <x:c r="AF91" s="100" t="n"/>
      <x:c r="AG91" s="100" t="n"/>
      <x:c r="AH91" s="100" t="n"/>
      <x:c r="AI91" s="100" t="n"/>
      <x:c r="AJ91" s="100" t="n"/>
      <x:c r="AK91" s="100" t="n"/>
      <x:c r="AL91" s="100" t="n"/>
      <x:c r="AM91" s="100" t="n"/>
      <x:c r="AN91" s="100" t="n"/>
      <x:c r="AO91" s="100" t="n"/>
      <x:c r="AP91" s="100" t="n"/>
      <x:c r="AQ91" s="100" t="n"/>
      <x:c r="AR91" s="100" t="n"/>
      <x:c r="AS91" s="100" t="n"/>
      <x:c r="AT91" s="100" t="n"/>
      <x:c r="AU91" s="100" t="n"/>
      <x:c r="AV91" s="100" t="n"/>
      <x:c r="AW91" s="100" t="n"/>
      <x:c r="AX91" s="100" t="n"/>
      <x:c r="AY91" s="100" t="n"/>
      <x:c r="AZ91" s="100" t="n"/>
      <x:c r="BA91" s="100" t="n"/>
      <x:c r="BB91" s="100" t="n"/>
      <x:c r="BC91" s="100" t="n"/>
      <x:c r="BD91" s="100" t="n"/>
      <x:c r="BE91" s="100" t="n"/>
      <x:c r="BF91" s="100" t="n"/>
      <x:c r="BG91" s="100" t="n"/>
      <x:c r="BH91" s="100" t="n"/>
      <x:c r="BI91" s="100" t="n"/>
      <x:c r="BJ91" s="100" t="n"/>
      <x:c r="BK91" s="100" t="n"/>
      <x:c r="BL91" s="100" t="n"/>
      <x:c r="BM91" s="100" t="n"/>
      <x:c r="BN91" s="100" t="n"/>
      <x:c r="BO91" s="100" t="n"/>
      <x:c r="BP91" s="100" t="n"/>
      <x:c r="BQ91" s="100" t="n"/>
      <x:c r="BR91" s="100" t="n"/>
      <x:c r="BS91" s="100" t="n"/>
      <x:c r="BT91" s="100" t="n"/>
      <x:c r="BU91" s="100" t="n"/>
      <x:c r="BV91" s="100" t="n"/>
      <x:c r="BW91" s="100" t="n"/>
      <x:c r="BX91" s="100" t="n"/>
      <x:c r="BY91" s="100" t="n"/>
      <x:c r="BZ91" s="100" t="n"/>
      <x:c r="CA91" s="100" t="n"/>
      <x:c r="CB91" s="100" t="n"/>
      <x:c r="CC91" s="100" t="n"/>
      <x:c r="CD91" s="100" t="n"/>
      <x:c r="CE91" s="100" t="n"/>
      <x:c r="CF91" s="100" t="n"/>
      <x:c r="CG91" s="100" t="n"/>
      <x:c r="CH91" s="100" t="n"/>
      <x:c r="CI91" s="100" t="n"/>
      <x:c r="CJ91" s="100" t="n"/>
      <x:c r="CK91" s="100" t="n"/>
      <x:c r="CL91" s="100" t="n"/>
      <x:c r="CM91" s="100" t="n"/>
      <x:c r="CN91" s="100" t="n"/>
      <x:c r="CO91" s="100" t="n"/>
      <x:c r="CP91" s="100" t="n"/>
      <x:c r="CQ91" s="100" t="n"/>
      <x:c r="CR91" s="100" t="n"/>
      <x:c r="CS91" s="100" t="n"/>
      <x:c r="CT91" s="100" t="n"/>
      <x:c r="CU91" s="100" t="n"/>
      <x:c r="CV91" s="100" t="n"/>
      <x:c r="CW91" s="100" t="n"/>
      <x:c r="CX91" s="100" t="n"/>
      <x:c r="CY91" s="100" t="n"/>
      <x:c r="CZ91" s="100" t="n"/>
      <x:c r="DA91" s="100" t="n"/>
      <x:c r="DB91" s="100" t="n"/>
      <x:c r="DC91" s="100" t="n"/>
      <x:c r="DD91" s="100" t="n"/>
      <x:c r="DE91" s="100" t="n"/>
      <x:c r="DF91" s="100" t="n"/>
      <x:c r="DG91" s="100" t="n"/>
      <x:c r="DH91" s="100" t="n"/>
      <x:c r="DI91" s="100" t="n"/>
      <x:c r="DJ91" s="100" t="n"/>
      <x:c r="DK91" s="100" t="n"/>
      <x:c r="DL91" s="100" t="n"/>
      <x:c r="DM91" s="100" t="n"/>
      <x:c r="DN91" s="100" t="n"/>
      <x:c r="DO91" s="100" t="n"/>
      <x:c r="DP91" s="100" t="n"/>
      <x:c r="DQ91" s="100" t="n"/>
      <x:c r="DR91" s="100" t="n"/>
      <x:c r="DS91" s="100" t="n"/>
      <x:c r="DT91" s="100" t="n"/>
      <x:c r="DU91" s="100" t="n"/>
      <x:c r="DV91" s="100" t="n"/>
      <x:c r="DW91" s="100" t="n"/>
      <x:c r="DX91" s="100" t="n"/>
      <x:c r="DY91" s="100" t="n"/>
      <x:c r="DZ91" s="100" t="n"/>
      <x:c r="EA91" s="100" t="n"/>
      <x:c r="EB91" s="100" t="n"/>
      <x:c r="EC91" s="100" t="n"/>
      <x:c r="ED91" s="100" t="n"/>
      <x:c r="EE91" s="100" t="n"/>
      <x:c r="EF91" s="100" t="n"/>
      <x:c r="EG91" s="100" t="n"/>
      <x:c r="EH91" s="100" t="n"/>
      <x:c r="EI91" s="100" t="n"/>
      <x:c r="EJ91" s="100" t="n"/>
      <x:c r="EK91" s="100" t="n"/>
      <x:c r="EL91" s="100" t="n"/>
      <x:c r="EM91" s="100" t="n"/>
      <x:c r="EN91" s="100" t="n"/>
      <x:c r="EO91" s="100" t="n"/>
      <x:c r="EP91" s="100" t="n"/>
      <x:c r="EQ91" s="100" t="n"/>
      <x:c r="ER91" s="100" t="n"/>
      <x:c r="ES91" s="100" t="n"/>
      <x:c r="ET91" s="100" t="n"/>
      <x:c r="EU91" s="100" t="n"/>
      <x:c r="EV91" s="100" t="n"/>
      <x:c r="EW91" s="100" t="n"/>
      <x:c r="EX91" s="100" t="n"/>
      <x:c r="EY91" s="100" t="n"/>
      <x:c r="EZ91" s="100" t="n"/>
      <x:c r="FA91" s="100" t="n"/>
      <x:c r="FB91" s="100" t="n"/>
      <x:c r="FC91" s="100" t="n"/>
      <x:c r="FD91" s="100" t="n"/>
      <x:c r="FE91" s="100" t="n"/>
      <x:c r="FF91" s="100" t="n"/>
      <x:c r="FG91" s="100" t="n"/>
      <x:c r="FH91" s="100" t="n"/>
      <x:c r="FI91" s="100" t="n"/>
      <x:c r="FJ91" s="100" t="n"/>
      <x:c r="FK91" s="100" t="n"/>
      <x:c r="FL91" s="100" t="n"/>
      <x:c r="FM91" s="100" t="n"/>
      <x:c r="FN91" s="100" t="n"/>
      <x:c r="FO91" s="100" t="n"/>
      <x:c r="FP91" s="100" t="n"/>
      <x:c r="FQ91" s="100" t="n"/>
      <x:c r="FR91" s="100" t="n"/>
      <x:c r="FS91" s="100" t="n"/>
      <x:c r="FT91" s="100" t="n"/>
      <x:c r="FU91" s="100" t="n"/>
      <x:c r="FV91" s="100" t="n"/>
      <x:c r="FW91" s="100" t="n"/>
      <x:c r="FX91" s="100" t="n"/>
      <x:c r="FY91" s="100" t="n"/>
      <x:c r="FZ91" s="100" t="n"/>
      <x:c r="GA91" s="100" t="n"/>
      <x:c r="GB91" s="100" t="n"/>
      <x:c r="GC91" s="100" t="n"/>
      <x:c r="GD91" s="100" t="n"/>
      <x:c r="GE91" s="100" t="n"/>
      <x:c r="GF91" s="100" t="n"/>
    </x:row>
    <x:row r="92" s="27" customFormat="1">
      <x:c r="A92" s="38" t="n"/>
      <x:c r="B92" s="37" t="n"/>
      <x:c r="C92" s="36" t="n">
        <x:f>E92*D$5</x:f>
        <x:v>0</x:v>
      </x:c>
      <x:c r="D92" s="66" t="n"/>
      <x:c r="E92" s="86" t="n">
        <x:f>SUM(G92:HT92)</x:f>
        <x:v>0</x:v>
      </x:c>
      <x:c r="M92" s="100" t="n"/>
      <x:c r="N92" s="100" t="n"/>
      <x:c r="O92" s="100" t="n"/>
      <x:c r="P92" s="100" t="n"/>
      <x:c r="Q92" s="100" t="n"/>
      <x:c r="R92" s="100" t="n"/>
      <x:c r="S92" s="100" t="n"/>
      <x:c r="T92" s="100" t="n"/>
      <x:c r="U92" s="100" t="n"/>
      <x:c r="V92" s="100" t="n"/>
      <x:c r="W92" s="100" t="n"/>
      <x:c r="X92" s="100" t="n"/>
      <x:c r="Y92" s="100" t="n"/>
      <x:c r="Z92" s="100" t="n"/>
      <x:c r="AA92" s="100" t="n"/>
      <x:c r="AB92" s="100" t="n"/>
      <x:c r="AC92" s="100" t="n"/>
      <x:c r="AD92" s="100" t="n"/>
      <x:c r="AE92" s="100" t="n"/>
      <x:c r="AF92" s="100" t="n"/>
      <x:c r="AG92" s="100" t="n"/>
      <x:c r="AH92" s="100" t="n"/>
      <x:c r="AI92" s="100" t="n"/>
      <x:c r="AJ92" s="100" t="n"/>
      <x:c r="AK92" s="100" t="n"/>
      <x:c r="AL92" s="100" t="n"/>
      <x:c r="AM92" s="100" t="n"/>
      <x:c r="AN92" s="100" t="n"/>
      <x:c r="AO92" s="100" t="n"/>
      <x:c r="AP92" s="100" t="n"/>
      <x:c r="AQ92" s="100" t="n"/>
      <x:c r="AR92" s="100" t="n"/>
      <x:c r="AS92" s="100" t="n"/>
      <x:c r="AT92" s="100" t="n"/>
      <x:c r="AU92" s="100" t="n"/>
      <x:c r="AV92" s="100" t="n"/>
      <x:c r="AW92" s="100" t="n"/>
      <x:c r="AX92" s="100" t="n"/>
      <x:c r="AY92" s="100" t="n"/>
      <x:c r="AZ92" s="100" t="n"/>
      <x:c r="BA92" s="100" t="n"/>
      <x:c r="BB92" s="100" t="n"/>
      <x:c r="BC92" s="100" t="n"/>
      <x:c r="BD92" s="100" t="n"/>
      <x:c r="BE92" s="100" t="n"/>
      <x:c r="BF92" s="100" t="n"/>
      <x:c r="BG92" s="100" t="n"/>
      <x:c r="BH92" s="100" t="n"/>
      <x:c r="BI92" s="100" t="n"/>
      <x:c r="BJ92" s="100" t="n"/>
      <x:c r="BK92" s="100" t="n"/>
      <x:c r="BL92" s="100" t="n"/>
      <x:c r="BM92" s="100" t="n"/>
      <x:c r="BN92" s="100" t="n"/>
      <x:c r="BO92" s="100" t="n"/>
      <x:c r="BP92" s="100" t="n"/>
      <x:c r="BQ92" s="100" t="n"/>
      <x:c r="BR92" s="100" t="n"/>
      <x:c r="BS92" s="100" t="n"/>
      <x:c r="BT92" s="100" t="n"/>
      <x:c r="BU92" s="100" t="n"/>
      <x:c r="BV92" s="100" t="n"/>
      <x:c r="BW92" s="100" t="n"/>
      <x:c r="BX92" s="100" t="n"/>
      <x:c r="BY92" s="100" t="n"/>
      <x:c r="BZ92" s="100" t="n"/>
      <x:c r="CA92" s="100" t="n"/>
      <x:c r="CB92" s="100" t="n"/>
      <x:c r="CC92" s="100" t="n"/>
      <x:c r="CD92" s="100" t="n"/>
      <x:c r="CE92" s="100" t="n"/>
      <x:c r="CF92" s="100" t="n"/>
      <x:c r="CG92" s="100" t="n"/>
      <x:c r="CH92" s="100" t="n"/>
      <x:c r="CI92" s="100" t="n"/>
      <x:c r="CJ92" s="100" t="n"/>
      <x:c r="CK92" s="100" t="n"/>
      <x:c r="CL92" s="100" t="n"/>
      <x:c r="CM92" s="100" t="n"/>
      <x:c r="CN92" s="100" t="n"/>
      <x:c r="CO92" s="100" t="n"/>
      <x:c r="CP92" s="100" t="n"/>
      <x:c r="CQ92" s="100" t="n"/>
      <x:c r="CR92" s="100" t="n"/>
      <x:c r="CS92" s="100" t="n"/>
      <x:c r="CT92" s="100" t="n"/>
      <x:c r="CU92" s="100" t="n"/>
      <x:c r="CV92" s="100" t="n"/>
      <x:c r="CW92" s="100" t="n"/>
      <x:c r="CX92" s="100" t="n"/>
      <x:c r="CY92" s="100" t="n"/>
      <x:c r="CZ92" s="100" t="n"/>
      <x:c r="DA92" s="100" t="n"/>
      <x:c r="DB92" s="100" t="n"/>
      <x:c r="DC92" s="100" t="n"/>
      <x:c r="DD92" s="100" t="n"/>
      <x:c r="DE92" s="100" t="n"/>
      <x:c r="DF92" s="100" t="n"/>
      <x:c r="DG92" s="100" t="n"/>
      <x:c r="DH92" s="100" t="n"/>
      <x:c r="DI92" s="100" t="n"/>
      <x:c r="DJ92" s="100" t="n"/>
      <x:c r="DK92" s="100" t="n"/>
      <x:c r="DL92" s="100" t="n"/>
      <x:c r="DM92" s="100" t="n"/>
      <x:c r="DN92" s="100" t="n"/>
      <x:c r="DO92" s="100" t="n"/>
      <x:c r="DP92" s="100" t="n"/>
      <x:c r="DQ92" s="100" t="n"/>
      <x:c r="DR92" s="100" t="n"/>
      <x:c r="DS92" s="100" t="n"/>
      <x:c r="DT92" s="100" t="n"/>
      <x:c r="DU92" s="100" t="n"/>
      <x:c r="DV92" s="100" t="n"/>
      <x:c r="DW92" s="100" t="n"/>
      <x:c r="DX92" s="100" t="n"/>
      <x:c r="DY92" s="100" t="n"/>
      <x:c r="DZ92" s="100" t="n"/>
      <x:c r="EA92" s="100" t="n"/>
      <x:c r="EB92" s="100" t="n"/>
      <x:c r="EC92" s="100" t="n"/>
      <x:c r="ED92" s="100" t="n"/>
      <x:c r="EE92" s="100" t="n"/>
      <x:c r="EF92" s="100" t="n"/>
      <x:c r="EG92" s="100" t="n"/>
      <x:c r="EH92" s="100" t="n"/>
      <x:c r="EI92" s="100" t="n"/>
      <x:c r="EJ92" s="100" t="n"/>
      <x:c r="EK92" s="100" t="n"/>
      <x:c r="EL92" s="100" t="n"/>
      <x:c r="EM92" s="100" t="n"/>
      <x:c r="EN92" s="100" t="n"/>
      <x:c r="EO92" s="100" t="n"/>
      <x:c r="EP92" s="100" t="n"/>
      <x:c r="EQ92" s="100" t="n"/>
      <x:c r="ER92" s="100" t="n"/>
      <x:c r="ES92" s="100" t="n"/>
      <x:c r="ET92" s="100" t="n"/>
      <x:c r="EU92" s="100" t="n"/>
      <x:c r="EV92" s="100" t="n"/>
      <x:c r="EW92" s="100" t="n"/>
      <x:c r="EX92" s="100" t="n"/>
      <x:c r="EY92" s="100" t="n"/>
      <x:c r="EZ92" s="100" t="n"/>
      <x:c r="FA92" s="100" t="n"/>
      <x:c r="FB92" s="100" t="n"/>
      <x:c r="FC92" s="100" t="n"/>
      <x:c r="FD92" s="100" t="n"/>
      <x:c r="FE92" s="100" t="n"/>
      <x:c r="FF92" s="100" t="n"/>
      <x:c r="FG92" s="100" t="n"/>
      <x:c r="FH92" s="100" t="n"/>
      <x:c r="FI92" s="100" t="n"/>
      <x:c r="FJ92" s="100" t="n"/>
      <x:c r="FK92" s="100" t="n"/>
      <x:c r="FL92" s="100" t="n"/>
      <x:c r="FM92" s="100" t="n"/>
      <x:c r="FN92" s="100" t="n"/>
      <x:c r="FO92" s="100" t="n"/>
      <x:c r="FP92" s="100" t="n"/>
      <x:c r="FQ92" s="100" t="n"/>
      <x:c r="FR92" s="100" t="n"/>
      <x:c r="FS92" s="100" t="n"/>
      <x:c r="FT92" s="100" t="n"/>
      <x:c r="FU92" s="100" t="n"/>
      <x:c r="FV92" s="100" t="n"/>
      <x:c r="FW92" s="100" t="n"/>
      <x:c r="FX92" s="100" t="n"/>
      <x:c r="FY92" s="100" t="n"/>
      <x:c r="FZ92" s="100" t="n"/>
      <x:c r="GA92" s="100" t="n"/>
      <x:c r="GB92" s="100" t="n"/>
      <x:c r="GC92" s="100" t="n"/>
      <x:c r="GD92" s="100" t="n"/>
      <x:c r="GE92" s="100" t="n"/>
      <x:c r="GF92" s="100" t="n"/>
    </x:row>
    <x:row r="93" s="27" customFormat="1">
      <x:c r="A93" s="38" t="n"/>
      <x:c r="B93" s="37" t="n"/>
      <x:c r="C93" s="86" t="n">
        <x:f>E93*D$5</x:f>
        <x:v>0</x:v>
      </x:c>
      <x:c r="D93" s="66" t="n"/>
      <x:c r="E93" s="86" t="n">
        <x:f>SUM(G93:HT93)</x:f>
        <x:v>0</x:v>
      </x:c>
      <x:c r="M93" s="100" t="n"/>
      <x:c r="N93" s="100" t="n"/>
      <x:c r="O93" s="100" t="n"/>
      <x:c r="P93" s="100" t="n"/>
      <x:c r="Q93" s="100" t="n"/>
      <x:c r="R93" s="100" t="n"/>
      <x:c r="S93" s="100" t="n"/>
      <x:c r="T93" s="100" t="n"/>
      <x:c r="U93" s="100" t="n"/>
      <x:c r="V93" s="100" t="n"/>
      <x:c r="W93" s="100" t="n"/>
      <x:c r="X93" s="100" t="n"/>
      <x:c r="Y93" s="100" t="n"/>
      <x:c r="Z93" s="100" t="n"/>
      <x:c r="AA93" s="100" t="n"/>
      <x:c r="AB93" s="100" t="n"/>
      <x:c r="AC93" s="100" t="n"/>
      <x:c r="AD93" s="100" t="n"/>
      <x:c r="AE93" s="100" t="n"/>
      <x:c r="AF93" s="100" t="n"/>
      <x:c r="AG93" s="100" t="n"/>
      <x:c r="AH93" s="100" t="n"/>
      <x:c r="AI93" s="100" t="n"/>
      <x:c r="AJ93" s="100" t="n"/>
      <x:c r="AK93" s="100" t="n"/>
      <x:c r="AL93" s="100" t="n"/>
      <x:c r="AM93" s="100" t="n"/>
      <x:c r="AN93" s="100" t="n"/>
      <x:c r="AO93" s="100" t="n"/>
      <x:c r="AP93" s="100" t="n"/>
      <x:c r="AQ93" s="100" t="n"/>
      <x:c r="AR93" s="100" t="n"/>
      <x:c r="AS93" s="100" t="n"/>
      <x:c r="AT93" s="100" t="n"/>
      <x:c r="AU93" s="100" t="n"/>
      <x:c r="AV93" s="100" t="n"/>
      <x:c r="AW93" s="100" t="n"/>
      <x:c r="AX93" s="100" t="n"/>
      <x:c r="AY93" s="100" t="n"/>
      <x:c r="AZ93" s="100" t="n"/>
      <x:c r="BA93" s="100" t="n"/>
      <x:c r="BB93" s="100" t="n"/>
      <x:c r="BC93" s="100" t="n"/>
      <x:c r="BD93" s="100" t="n"/>
      <x:c r="BE93" s="100" t="n"/>
      <x:c r="BF93" s="100" t="n"/>
      <x:c r="BG93" s="100" t="n"/>
      <x:c r="BH93" s="100" t="n"/>
      <x:c r="BI93" s="100" t="n"/>
      <x:c r="BJ93" s="100" t="n"/>
      <x:c r="BK93" s="100" t="n"/>
      <x:c r="BL93" s="100" t="n"/>
      <x:c r="BM93" s="100" t="n"/>
      <x:c r="BN93" s="100" t="n"/>
      <x:c r="BO93" s="100" t="n"/>
      <x:c r="BP93" s="100" t="n"/>
      <x:c r="BQ93" s="100" t="n"/>
      <x:c r="BR93" s="100" t="n"/>
      <x:c r="BS93" s="100" t="n"/>
      <x:c r="BT93" s="100" t="n"/>
      <x:c r="BU93" s="100" t="n"/>
      <x:c r="BV93" s="100" t="n"/>
      <x:c r="BW93" s="100" t="n"/>
      <x:c r="BX93" s="100" t="n"/>
      <x:c r="BY93" s="100" t="n"/>
      <x:c r="BZ93" s="100" t="n"/>
      <x:c r="CA93" s="100" t="n"/>
      <x:c r="CB93" s="100" t="n"/>
      <x:c r="CC93" s="100" t="n"/>
      <x:c r="CD93" s="100" t="n"/>
      <x:c r="CE93" s="100" t="n"/>
      <x:c r="CF93" s="100" t="n"/>
      <x:c r="CG93" s="100" t="n"/>
      <x:c r="CH93" s="100" t="n"/>
      <x:c r="CI93" s="100" t="n"/>
      <x:c r="CJ93" s="100" t="n"/>
      <x:c r="CK93" s="100" t="n"/>
      <x:c r="CL93" s="100" t="n"/>
      <x:c r="CM93" s="100" t="n"/>
      <x:c r="CN93" s="100" t="n"/>
      <x:c r="CO93" s="100" t="n"/>
      <x:c r="CP93" s="100" t="n"/>
      <x:c r="CQ93" s="100" t="n"/>
      <x:c r="CR93" s="100" t="n"/>
      <x:c r="CS93" s="100" t="n"/>
      <x:c r="CT93" s="100" t="n"/>
      <x:c r="CU93" s="100" t="n"/>
      <x:c r="CV93" s="100" t="n"/>
      <x:c r="CW93" s="100" t="n"/>
      <x:c r="CX93" s="100" t="n"/>
      <x:c r="CY93" s="100" t="n"/>
      <x:c r="CZ93" s="100" t="n"/>
      <x:c r="DA93" s="100" t="n"/>
      <x:c r="DB93" s="100" t="n"/>
      <x:c r="DC93" s="100" t="n"/>
      <x:c r="DD93" s="100" t="n"/>
      <x:c r="DE93" s="100" t="n"/>
      <x:c r="DF93" s="100" t="n"/>
      <x:c r="DG93" s="100" t="n"/>
      <x:c r="DH93" s="100" t="n"/>
      <x:c r="DI93" s="100" t="n"/>
      <x:c r="DJ93" s="100" t="n"/>
      <x:c r="DK93" s="100" t="n"/>
      <x:c r="DL93" s="100" t="n"/>
      <x:c r="DM93" s="100" t="n"/>
      <x:c r="DN93" s="100" t="n"/>
      <x:c r="DO93" s="100" t="n"/>
      <x:c r="DP93" s="100" t="n"/>
      <x:c r="DQ93" s="100" t="n"/>
      <x:c r="DR93" s="100" t="n"/>
      <x:c r="DS93" s="100" t="n"/>
      <x:c r="DT93" s="100" t="n"/>
      <x:c r="DU93" s="100" t="n"/>
      <x:c r="DV93" s="100" t="n"/>
      <x:c r="DW93" s="100" t="n"/>
      <x:c r="DX93" s="100" t="n"/>
      <x:c r="DY93" s="100" t="n"/>
      <x:c r="DZ93" s="100" t="n"/>
      <x:c r="EA93" s="100" t="n"/>
      <x:c r="EB93" s="100" t="n"/>
      <x:c r="EC93" s="100" t="n"/>
      <x:c r="ED93" s="100" t="n"/>
      <x:c r="EE93" s="100" t="n"/>
      <x:c r="EF93" s="100" t="n"/>
      <x:c r="EG93" s="100" t="n"/>
      <x:c r="EH93" s="100" t="n"/>
      <x:c r="EI93" s="100" t="n"/>
      <x:c r="EJ93" s="100" t="n"/>
      <x:c r="EK93" s="100" t="n"/>
      <x:c r="EL93" s="100" t="n"/>
      <x:c r="EM93" s="100" t="n"/>
      <x:c r="EN93" s="100" t="n"/>
      <x:c r="EO93" s="100" t="n"/>
      <x:c r="EP93" s="100" t="n"/>
      <x:c r="EQ93" s="100" t="n"/>
      <x:c r="ER93" s="100" t="n"/>
      <x:c r="ES93" s="100" t="n"/>
      <x:c r="ET93" s="100" t="n"/>
      <x:c r="EU93" s="100" t="n"/>
      <x:c r="EV93" s="100" t="n"/>
      <x:c r="EW93" s="100" t="n"/>
      <x:c r="EX93" s="100" t="n"/>
      <x:c r="EY93" s="100" t="n"/>
      <x:c r="EZ93" s="100" t="n"/>
      <x:c r="FA93" s="100" t="n"/>
      <x:c r="FB93" s="100" t="n"/>
      <x:c r="FC93" s="100" t="n"/>
      <x:c r="FD93" s="100" t="n"/>
      <x:c r="FE93" s="100" t="n"/>
      <x:c r="FF93" s="100" t="n"/>
      <x:c r="FG93" s="100" t="n"/>
      <x:c r="FH93" s="100" t="n"/>
      <x:c r="FI93" s="100" t="n"/>
      <x:c r="FJ93" s="100" t="n"/>
      <x:c r="FK93" s="100" t="n"/>
      <x:c r="FL93" s="100" t="n"/>
      <x:c r="FM93" s="100" t="n"/>
      <x:c r="FN93" s="100" t="n"/>
      <x:c r="FO93" s="100" t="n"/>
      <x:c r="FP93" s="100" t="n"/>
      <x:c r="FQ93" s="100" t="n"/>
      <x:c r="FR93" s="100" t="n"/>
      <x:c r="FS93" s="100" t="n"/>
      <x:c r="FT93" s="100" t="n"/>
      <x:c r="FU93" s="100" t="n"/>
      <x:c r="FV93" s="100" t="n"/>
      <x:c r="FW93" s="100" t="n"/>
      <x:c r="FX93" s="100" t="n"/>
      <x:c r="FY93" s="100" t="n"/>
      <x:c r="FZ93" s="100" t="n"/>
      <x:c r="GA93" s="100" t="n"/>
      <x:c r="GB93" s="100" t="n"/>
      <x:c r="GC93" s="100" t="n"/>
      <x:c r="GD93" s="100" t="n"/>
      <x:c r="GE93" s="100" t="n"/>
      <x:c r="GF93" s="100" t="n"/>
    </x:row>
    <x:row r="94" s="27" customFormat="1">
      <x:c r="A94" s="38" t="n"/>
      <x:c r="B94" s="37" t="n"/>
      <x:c r="C94" s="36" t="n">
        <x:f>E94*D$5</x:f>
        <x:v>0</x:v>
      </x:c>
      <x:c r="D94" s="66" t="n"/>
      <x:c r="E94" s="86" t="n">
        <x:f>SUM(G94:HT94)</x:f>
        <x:v>0</x:v>
      </x:c>
      <x:c r="M94" s="100" t="n"/>
      <x:c r="N94" s="100" t="n"/>
      <x:c r="O94" s="100" t="n"/>
      <x:c r="P94" s="100" t="n"/>
      <x:c r="Q94" s="100" t="n"/>
      <x:c r="R94" s="100" t="n"/>
      <x:c r="S94" s="100" t="n"/>
      <x:c r="T94" s="100" t="n"/>
      <x:c r="U94" s="100" t="n"/>
      <x:c r="V94" s="100" t="n"/>
      <x:c r="W94" s="100" t="n"/>
      <x:c r="X94" s="100" t="n"/>
      <x:c r="Y94" s="100" t="n"/>
      <x:c r="Z94" s="100" t="n"/>
      <x:c r="AA94" s="100" t="n"/>
      <x:c r="AB94" s="100" t="n"/>
      <x:c r="AC94" s="100" t="n"/>
      <x:c r="AD94" s="100" t="n"/>
      <x:c r="AE94" s="100" t="n"/>
      <x:c r="AF94" s="100" t="n"/>
      <x:c r="AG94" s="100" t="n"/>
      <x:c r="AH94" s="100" t="n"/>
      <x:c r="AI94" s="100" t="n"/>
      <x:c r="AJ94" s="100" t="n"/>
      <x:c r="AK94" s="100" t="n"/>
      <x:c r="AL94" s="100" t="n"/>
      <x:c r="AM94" s="100" t="n"/>
      <x:c r="AN94" s="100" t="n"/>
      <x:c r="AO94" s="100" t="n"/>
      <x:c r="AP94" s="100" t="n"/>
      <x:c r="AQ94" s="100" t="n"/>
      <x:c r="AR94" s="100" t="n"/>
      <x:c r="AS94" s="100" t="n"/>
      <x:c r="AT94" s="100" t="n"/>
      <x:c r="AU94" s="100" t="n"/>
      <x:c r="AV94" s="100" t="n"/>
      <x:c r="AW94" s="100" t="n"/>
      <x:c r="AX94" s="100" t="n"/>
      <x:c r="AY94" s="100" t="n"/>
      <x:c r="AZ94" s="100" t="n"/>
      <x:c r="BA94" s="100" t="n"/>
      <x:c r="BB94" s="100" t="n"/>
      <x:c r="BC94" s="100" t="n"/>
      <x:c r="BD94" s="100" t="n"/>
      <x:c r="BE94" s="100" t="n"/>
      <x:c r="BF94" s="100" t="n"/>
      <x:c r="BG94" s="100" t="n"/>
      <x:c r="BH94" s="100" t="n"/>
      <x:c r="BI94" s="100" t="n"/>
      <x:c r="BJ94" s="100" t="n"/>
      <x:c r="BK94" s="100" t="n"/>
      <x:c r="BL94" s="100" t="n"/>
      <x:c r="BM94" s="100" t="n"/>
      <x:c r="BN94" s="100" t="n"/>
      <x:c r="BO94" s="100" t="n"/>
      <x:c r="BP94" s="100" t="n"/>
      <x:c r="BQ94" s="100" t="n"/>
      <x:c r="BR94" s="100" t="n"/>
      <x:c r="BS94" s="100" t="n"/>
      <x:c r="BT94" s="100" t="n"/>
      <x:c r="BU94" s="100" t="n"/>
      <x:c r="BV94" s="100" t="n"/>
      <x:c r="BW94" s="100" t="n"/>
      <x:c r="BX94" s="100" t="n"/>
      <x:c r="BY94" s="100" t="n"/>
      <x:c r="BZ94" s="100" t="n"/>
      <x:c r="CA94" s="100" t="n"/>
      <x:c r="CB94" s="100" t="n"/>
      <x:c r="CC94" s="100" t="n"/>
      <x:c r="CD94" s="100" t="n"/>
      <x:c r="CE94" s="100" t="n"/>
      <x:c r="CF94" s="100" t="n"/>
      <x:c r="CG94" s="100" t="n"/>
      <x:c r="CH94" s="100" t="n"/>
      <x:c r="CI94" s="100" t="n"/>
      <x:c r="CJ94" s="100" t="n"/>
      <x:c r="CK94" s="100" t="n"/>
      <x:c r="CL94" s="100" t="n"/>
      <x:c r="CM94" s="100" t="n"/>
      <x:c r="CN94" s="100" t="n"/>
      <x:c r="CO94" s="100" t="n"/>
      <x:c r="CP94" s="100" t="n"/>
      <x:c r="CQ94" s="100" t="n"/>
      <x:c r="CR94" s="100" t="n"/>
      <x:c r="CS94" s="100" t="n"/>
      <x:c r="CT94" s="100" t="n"/>
      <x:c r="CU94" s="100" t="n"/>
      <x:c r="CV94" s="100" t="n"/>
      <x:c r="CW94" s="100" t="n"/>
      <x:c r="CX94" s="100" t="n"/>
      <x:c r="CY94" s="100" t="n"/>
      <x:c r="CZ94" s="100" t="n"/>
      <x:c r="DA94" s="100" t="n"/>
      <x:c r="DB94" s="100" t="n"/>
      <x:c r="DC94" s="100" t="n"/>
      <x:c r="DD94" s="100" t="n"/>
      <x:c r="DE94" s="100" t="n"/>
      <x:c r="DF94" s="100" t="n"/>
      <x:c r="DG94" s="100" t="n"/>
      <x:c r="DH94" s="100" t="n"/>
      <x:c r="DI94" s="100" t="n"/>
      <x:c r="DJ94" s="100" t="n"/>
      <x:c r="DK94" s="100" t="n"/>
      <x:c r="DL94" s="100" t="n"/>
      <x:c r="DM94" s="100" t="n"/>
      <x:c r="DN94" s="100" t="n"/>
      <x:c r="DO94" s="100" t="n"/>
      <x:c r="DP94" s="100" t="n"/>
      <x:c r="DQ94" s="100" t="n"/>
      <x:c r="DR94" s="100" t="n"/>
      <x:c r="DS94" s="100" t="n"/>
      <x:c r="DT94" s="100" t="n"/>
      <x:c r="DU94" s="100" t="n"/>
      <x:c r="DV94" s="100" t="n"/>
      <x:c r="DW94" s="100" t="n"/>
      <x:c r="DX94" s="100" t="n"/>
      <x:c r="DY94" s="100" t="n"/>
      <x:c r="DZ94" s="100" t="n"/>
      <x:c r="EA94" s="100" t="n"/>
      <x:c r="EB94" s="100" t="n"/>
      <x:c r="EC94" s="100" t="n"/>
      <x:c r="ED94" s="100" t="n"/>
      <x:c r="EE94" s="100" t="n"/>
      <x:c r="EF94" s="100" t="n"/>
      <x:c r="EG94" s="100" t="n"/>
      <x:c r="EH94" s="100" t="n"/>
      <x:c r="EI94" s="100" t="n"/>
      <x:c r="EJ94" s="100" t="n"/>
      <x:c r="EK94" s="100" t="n"/>
      <x:c r="EL94" s="100" t="n"/>
      <x:c r="EM94" s="100" t="n"/>
      <x:c r="EN94" s="100" t="n"/>
      <x:c r="EO94" s="100" t="n"/>
      <x:c r="EP94" s="100" t="n"/>
      <x:c r="EQ94" s="100" t="n"/>
      <x:c r="ER94" s="100" t="n"/>
      <x:c r="ES94" s="100" t="n"/>
      <x:c r="ET94" s="100" t="n"/>
      <x:c r="EU94" s="100" t="n"/>
      <x:c r="EV94" s="100" t="n"/>
      <x:c r="EW94" s="100" t="n"/>
      <x:c r="EX94" s="100" t="n"/>
      <x:c r="EY94" s="100" t="n"/>
      <x:c r="EZ94" s="100" t="n"/>
      <x:c r="FA94" s="100" t="n"/>
      <x:c r="FB94" s="100" t="n"/>
      <x:c r="FC94" s="100" t="n"/>
      <x:c r="FD94" s="100" t="n"/>
      <x:c r="FE94" s="100" t="n"/>
      <x:c r="FF94" s="100" t="n"/>
      <x:c r="FG94" s="100" t="n"/>
      <x:c r="FH94" s="100" t="n"/>
      <x:c r="FI94" s="100" t="n"/>
      <x:c r="FJ94" s="100" t="n"/>
      <x:c r="FK94" s="100" t="n"/>
      <x:c r="FL94" s="100" t="n"/>
      <x:c r="FM94" s="100" t="n"/>
      <x:c r="FN94" s="100" t="n"/>
      <x:c r="FO94" s="100" t="n"/>
      <x:c r="FP94" s="100" t="n"/>
      <x:c r="FQ94" s="100" t="n"/>
      <x:c r="FR94" s="100" t="n"/>
      <x:c r="FS94" s="100" t="n"/>
      <x:c r="FT94" s="100" t="n"/>
      <x:c r="FU94" s="100" t="n"/>
      <x:c r="FV94" s="100" t="n"/>
      <x:c r="FW94" s="100" t="n"/>
      <x:c r="FX94" s="100" t="n"/>
      <x:c r="FY94" s="100" t="n"/>
      <x:c r="FZ94" s="100" t="n"/>
      <x:c r="GA94" s="100" t="n"/>
      <x:c r="GB94" s="100" t="n"/>
      <x:c r="GC94" s="100" t="n"/>
      <x:c r="GD94" s="100" t="n"/>
      <x:c r="GE94" s="100" t="n"/>
      <x:c r="GF94" s="100" t="n"/>
    </x:row>
    <x:row r="95" s="27" customFormat="1">
      <x:c r="A95" s="38" t="n"/>
      <x:c r="B95" s="37" t="n"/>
      <x:c r="C95" s="86" t="n">
        <x:f>E95*D$5</x:f>
        <x:v>0</x:v>
      </x:c>
      <x:c r="D95" s="66" t="n"/>
      <x:c r="E95" s="86" t="n">
        <x:f>SUM(G95:HT95)</x:f>
        <x:v>0</x:v>
      </x:c>
      <x:c r="M95" s="100" t="n"/>
      <x:c r="N95" s="100" t="n"/>
      <x:c r="O95" s="100" t="n"/>
      <x:c r="P95" s="100" t="n"/>
      <x:c r="Q95" s="100" t="n"/>
      <x:c r="R95" s="100" t="n"/>
      <x:c r="S95" s="100" t="n"/>
      <x:c r="T95" s="100" t="n"/>
      <x:c r="U95" s="100" t="n"/>
      <x:c r="V95" s="100" t="n"/>
      <x:c r="W95" s="100" t="n"/>
      <x:c r="X95" s="100" t="n"/>
      <x:c r="Y95" s="100" t="n"/>
      <x:c r="Z95" s="100" t="n"/>
      <x:c r="AA95" s="100" t="n"/>
      <x:c r="AB95" s="100" t="n"/>
      <x:c r="AC95" s="100" t="n"/>
      <x:c r="AD95" s="100" t="n"/>
      <x:c r="AE95" s="100" t="n"/>
      <x:c r="AF95" s="100" t="n"/>
      <x:c r="AG95" s="100" t="n"/>
      <x:c r="AH95" s="100" t="n"/>
      <x:c r="AI95" s="100" t="n"/>
      <x:c r="AJ95" s="100" t="n"/>
      <x:c r="AK95" s="100" t="n"/>
      <x:c r="AL95" s="100" t="n"/>
      <x:c r="AM95" s="100" t="n"/>
      <x:c r="AN95" s="100" t="n"/>
      <x:c r="AO95" s="100" t="n"/>
      <x:c r="AP95" s="100" t="n"/>
      <x:c r="AQ95" s="100" t="n"/>
      <x:c r="AR95" s="100" t="n"/>
      <x:c r="AS95" s="100" t="n"/>
      <x:c r="AT95" s="100" t="n"/>
      <x:c r="AU95" s="100" t="n"/>
      <x:c r="AV95" s="100" t="n"/>
      <x:c r="AW95" s="100" t="n"/>
      <x:c r="AX95" s="100" t="n"/>
      <x:c r="AY95" s="100" t="n"/>
      <x:c r="AZ95" s="100" t="n"/>
      <x:c r="BA95" s="100" t="n"/>
      <x:c r="BB95" s="100" t="n"/>
      <x:c r="BC95" s="100" t="n"/>
      <x:c r="BD95" s="100" t="n"/>
      <x:c r="BE95" s="100" t="n"/>
      <x:c r="BF95" s="100" t="n"/>
      <x:c r="BG95" s="100" t="n"/>
      <x:c r="BH95" s="100" t="n"/>
      <x:c r="BI95" s="100" t="n"/>
      <x:c r="BJ95" s="100" t="n"/>
      <x:c r="BK95" s="100" t="n"/>
      <x:c r="BL95" s="100" t="n"/>
      <x:c r="BM95" s="100" t="n"/>
      <x:c r="BN95" s="100" t="n"/>
      <x:c r="BO95" s="100" t="n"/>
      <x:c r="BP95" s="100" t="n"/>
      <x:c r="BQ95" s="100" t="n"/>
      <x:c r="BR95" s="100" t="n"/>
      <x:c r="BS95" s="100" t="n"/>
      <x:c r="BT95" s="100" t="n"/>
      <x:c r="BU95" s="100" t="n"/>
      <x:c r="BV95" s="100" t="n"/>
      <x:c r="BW95" s="100" t="n"/>
      <x:c r="BX95" s="100" t="n"/>
      <x:c r="BY95" s="100" t="n"/>
      <x:c r="BZ95" s="100" t="n"/>
      <x:c r="CA95" s="100" t="n"/>
      <x:c r="CB95" s="100" t="n"/>
      <x:c r="CC95" s="100" t="n"/>
      <x:c r="CD95" s="100" t="n"/>
      <x:c r="CE95" s="100" t="n"/>
      <x:c r="CF95" s="100" t="n"/>
      <x:c r="CG95" s="100" t="n"/>
      <x:c r="CH95" s="100" t="n"/>
      <x:c r="CI95" s="100" t="n"/>
      <x:c r="CJ95" s="100" t="n"/>
      <x:c r="CK95" s="100" t="n"/>
      <x:c r="CL95" s="100" t="n"/>
      <x:c r="CM95" s="100" t="n"/>
      <x:c r="CN95" s="100" t="n"/>
      <x:c r="CO95" s="100" t="n"/>
      <x:c r="CP95" s="100" t="n"/>
      <x:c r="CQ95" s="100" t="n"/>
      <x:c r="CR95" s="100" t="n"/>
      <x:c r="CS95" s="100" t="n"/>
      <x:c r="CT95" s="100" t="n"/>
      <x:c r="CU95" s="100" t="n"/>
      <x:c r="CV95" s="100" t="n"/>
      <x:c r="CW95" s="100" t="n"/>
      <x:c r="CX95" s="100" t="n"/>
      <x:c r="CY95" s="100" t="n"/>
      <x:c r="CZ95" s="100" t="n"/>
      <x:c r="DA95" s="100" t="n"/>
      <x:c r="DB95" s="100" t="n"/>
      <x:c r="DC95" s="100" t="n"/>
      <x:c r="DD95" s="100" t="n"/>
      <x:c r="DE95" s="100" t="n"/>
      <x:c r="DF95" s="100" t="n"/>
      <x:c r="DG95" s="100" t="n"/>
      <x:c r="DH95" s="100" t="n"/>
      <x:c r="DI95" s="100" t="n"/>
      <x:c r="DJ95" s="100" t="n"/>
      <x:c r="DK95" s="100" t="n"/>
      <x:c r="DL95" s="100" t="n"/>
      <x:c r="DM95" s="100" t="n"/>
      <x:c r="DN95" s="100" t="n"/>
      <x:c r="DO95" s="100" t="n"/>
      <x:c r="DP95" s="100" t="n"/>
      <x:c r="DQ95" s="100" t="n"/>
      <x:c r="DR95" s="100" t="n"/>
      <x:c r="DS95" s="100" t="n"/>
      <x:c r="DT95" s="100" t="n"/>
      <x:c r="DU95" s="100" t="n"/>
      <x:c r="DV95" s="100" t="n"/>
      <x:c r="DW95" s="100" t="n"/>
      <x:c r="DX95" s="100" t="n"/>
      <x:c r="DY95" s="100" t="n"/>
      <x:c r="DZ95" s="100" t="n"/>
      <x:c r="EA95" s="100" t="n"/>
      <x:c r="EB95" s="100" t="n"/>
      <x:c r="EC95" s="100" t="n"/>
      <x:c r="ED95" s="100" t="n"/>
      <x:c r="EE95" s="100" t="n"/>
      <x:c r="EF95" s="100" t="n"/>
      <x:c r="EG95" s="100" t="n"/>
      <x:c r="EH95" s="100" t="n"/>
      <x:c r="EI95" s="100" t="n"/>
      <x:c r="EJ95" s="100" t="n"/>
      <x:c r="EK95" s="100" t="n"/>
      <x:c r="EL95" s="100" t="n"/>
      <x:c r="EM95" s="100" t="n"/>
      <x:c r="EN95" s="100" t="n"/>
      <x:c r="EO95" s="100" t="n"/>
      <x:c r="EP95" s="100" t="n"/>
      <x:c r="EQ95" s="100" t="n"/>
      <x:c r="ER95" s="100" t="n"/>
      <x:c r="ES95" s="100" t="n"/>
      <x:c r="ET95" s="100" t="n"/>
      <x:c r="EU95" s="100" t="n"/>
      <x:c r="EV95" s="100" t="n"/>
      <x:c r="EW95" s="100" t="n"/>
      <x:c r="EX95" s="100" t="n"/>
      <x:c r="EY95" s="100" t="n"/>
      <x:c r="EZ95" s="100" t="n"/>
      <x:c r="FA95" s="100" t="n"/>
      <x:c r="FB95" s="100" t="n"/>
      <x:c r="FC95" s="100" t="n"/>
      <x:c r="FD95" s="100" t="n"/>
      <x:c r="FE95" s="100" t="n"/>
      <x:c r="FF95" s="100" t="n"/>
      <x:c r="FG95" s="100" t="n"/>
      <x:c r="FH95" s="100" t="n"/>
      <x:c r="FI95" s="100" t="n"/>
      <x:c r="FJ95" s="100" t="n"/>
      <x:c r="FK95" s="100" t="n"/>
      <x:c r="FL95" s="100" t="n"/>
      <x:c r="FM95" s="100" t="n"/>
      <x:c r="FN95" s="100" t="n"/>
      <x:c r="FO95" s="100" t="n"/>
      <x:c r="FP95" s="100" t="n"/>
      <x:c r="FQ95" s="100" t="n"/>
      <x:c r="FR95" s="100" t="n"/>
      <x:c r="FS95" s="100" t="n"/>
      <x:c r="FT95" s="100" t="n"/>
      <x:c r="FU95" s="100" t="n"/>
      <x:c r="FV95" s="100" t="n"/>
      <x:c r="FW95" s="100" t="n"/>
      <x:c r="FX95" s="100" t="n"/>
      <x:c r="FY95" s="100" t="n"/>
      <x:c r="FZ95" s="100" t="n"/>
      <x:c r="GA95" s="100" t="n"/>
      <x:c r="GB95" s="100" t="n"/>
      <x:c r="GC95" s="100" t="n"/>
      <x:c r="GD95" s="100" t="n"/>
      <x:c r="GE95" s="100" t="n"/>
      <x:c r="GF95" s="100" t="n"/>
    </x:row>
    <x:row r="96" s="27" customFormat="1">
      <x:c r="A96" s="38" t="n"/>
      <x:c r="B96" s="37" t="n"/>
      <x:c r="C96" s="36" t="n">
        <x:f>E96*D$5</x:f>
        <x:v>0</x:v>
      </x:c>
      <x:c r="D96" s="66" t="n"/>
      <x:c r="E96" s="36" t="n">
        <x:f>SUM(G96:HT96)</x:f>
        <x:v>0</x:v>
      </x:c>
      <x:c r="M96" s="100" t="n"/>
      <x:c r="N96" s="100" t="n"/>
      <x:c r="O96" s="100" t="n"/>
      <x:c r="P96" s="100" t="n"/>
      <x:c r="Q96" s="100" t="n"/>
      <x:c r="R96" s="100" t="n"/>
      <x:c r="S96" s="100" t="n"/>
      <x:c r="T96" s="100" t="n"/>
      <x:c r="U96" s="100" t="n"/>
      <x:c r="V96" s="100" t="n"/>
      <x:c r="W96" s="100" t="n"/>
      <x:c r="X96" s="100" t="n"/>
      <x:c r="Y96" s="100" t="n"/>
      <x:c r="Z96" s="100" t="n"/>
      <x:c r="AA96" s="100" t="n"/>
      <x:c r="AB96" s="100" t="n"/>
      <x:c r="AC96" s="100" t="n"/>
      <x:c r="AD96" s="100" t="n"/>
      <x:c r="AE96" s="100" t="n"/>
      <x:c r="AF96" s="100" t="n"/>
      <x:c r="AG96" s="100" t="n"/>
      <x:c r="AH96" s="100" t="n"/>
      <x:c r="AI96" s="100" t="n"/>
      <x:c r="AJ96" s="100" t="n"/>
      <x:c r="AK96" s="100" t="n"/>
      <x:c r="AL96" s="100" t="n"/>
      <x:c r="AM96" s="100" t="n"/>
      <x:c r="AN96" s="100" t="n"/>
      <x:c r="AO96" s="100" t="n"/>
      <x:c r="AP96" s="100" t="n"/>
      <x:c r="AQ96" s="100" t="n"/>
      <x:c r="AR96" s="100" t="n"/>
      <x:c r="AS96" s="100" t="n"/>
      <x:c r="AT96" s="100" t="n"/>
      <x:c r="AU96" s="100" t="n"/>
      <x:c r="AV96" s="100" t="n"/>
      <x:c r="AW96" s="100" t="n"/>
      <x:c r="AX96" s="100" t="n"/>
      <x:c r="AY96" s="100" t="n"/>
      <x:c r="AZ96" s="100" t="n"/>
      <x:c r="BA96" s="100" t="n"/>
      <x:c r="BB96" s="100" t="n"/>
      <x:c r="BC96" s="100" t="n"/>
      <x:c r="BD96" s="100" t="n"/>
      <x:c r="BE96" s="100" t="n"/>
      <x:c r="BF96" s="100" t="n"/>
      <x:c r="BG96" s="100" t="n"/>
      <x:c r="BH96" s="100" t="n"/>
      <x:c r="BI96" s="100" t="n"/>
      <x:c r="BJ96" s="100" t="n"/>
      <x:c r="BK96" s="100" t="n"/>
      <x:c r="BL96" s="100" t="n"/>
      <x:c r="BM96" s="100" t="n"/>
      <x:c r="BN96" s="100" t="n"/>
      <x:c r="BO96" s="100" t="n"/>
      <x:c r="BP96" s="100" t="n"/>
      <x:c r="BQ96" s="100" t="n"/>
      <x:c r="BR96" s="100" t="n"/>
      <x:c r="BS96" s="100" t="n"/>
      <x:c r="BT96" s="100" t="n"/>
      <x:c r="BU96" s="100" t="n"/>
      <x:c r="BV96" s="100" t="n"/>
      <x:c r="BW96" s="100" t="n"/>
      <x:c r="BX96" s="100" t="n"/>
      <x:c r="BY96" s="100" t="n"/>
      <x:c r="BZ96" s="100" t="n"/>
      <x:c r="CA96" s="100" t="n"/>
      <x:c r="CB96" s="100" t="n"/>
      <x:c r="CC96" s="100" t="n"/>
      <x:c r="CD96" s="100" t="n"/>
      <x:c r="CE96" s="100" t="n"/>
      <x:c r="CF96" s="100" t="n"/>
      <x:c r="CG96" s="100" t="n"/>
      <x:c r="CH96" s="100" t="n"/>
      <x:c r="CI96" s="100" t="n"/>
      <x:c r="CJ96" s="100" t="n"/>
      <x:c r="CK96" s="100" t="n"/>
      <x:c r="CL96" s="100" t="n"/>
      <x:c r="CM96" s="100" t="n"/>
      <x:c r="CN96" s="100" t="n"/>
      <x:c r="CO96" s="100" t="n"/>
      <x:c r="CP96" s="100" t="n"/>
      <x:c r="CQ96" s="100" t="n"/>
      <x:c r="CR96" s="100" t="n"/>
      <x:c r="CS96" s="100" t="n"/>
      <x:c r="CT96" s="100" t="n"/>
      <x:c r="CU96" s="100" t="n"/>
      <x:c r="CV96" s="100" t="n"/>
      <x:c r="CW96" s="100" t="n"/>
      <x:c r="CX96" s="100" t="n"/>
      <x:c r="CY96" s="100" t="n"/>
      <x:c r="CZ96" s="100" t="n"/>
      <x:c r="DA96" s="100" t="n"/>
      <x:c r="DB96" s="100" t="n"/>
      <x:c r="DC96" s="100" t="n"/>
      <x:c r="DD96" s="100" t="n"/>
      <x:c r="DE96" s="100" t="n"/>
      <x:c r="DF96" s="100" t="n"/>
      <x:c r="DG96" s="100" t="n"/>
      <x:c r="DH96" s="100" t="n"/>
      <x:c r="DI96" s="100" t="n"/>
      <x:c r="DJ96" s="100" t="n"/>
      <x:c r="DK96" s="100" t="n"/>
      <x:c r="DL96" s="100" t="n"/>
      <x:c r="DM96" s="100" t="n"/>
      <x:c r="DN96" s="100" t="n"/>
      <x:c r="DO96" s="100" t="n"/>
      <x:c r="DP96" s="100" t="n"/>
      <x:c r="DQ96" s="100" t="n"/>
      <x:c r="DR96" s="100" t="n"/>
      <x:c r="DS96" s="100" t="n"/>
      <x:c r="DT96" s="100" t="n"/>
      <x:c r="DU96" s="100" t="n"/>
      <x:c r="DV96" s="100" t="n"/>
      <x:c r="DW96" s="100" t="n"/>
      <x:c r="DX96" s="100" t="n"/>
      <x:c r="DY96" s="100" t="n"/>
      <x:c r="DZ96" s="100" t="n"/>
      <x:c r="EA96" s="100" t="n"/>
      <x:c r="EB96" s="100" t="n"/>
      <x:c r="EC96" s="100" t="n"/>
      <x:c r="ED96" s="100" t="n"/>
      <x:c r="EE96" s="100" t="n"/>
      <x:c r="EF96" s="100" t="n"/>
      <x:c r="EG96" s="100" t="n"/>
      <x:c r="EH96" s="100" t="n"/>
      <x:c r="EI96" s="100" t="n"/>
      <x:c r="EJ96" s="100" t="n"/>
      <x:c r="EK96" s="100" t="n"/>
      <x:c r="EL96" s="100" t="n"/>
      <x:c r="EM96" s="100" t="n"/>
      <x:c r="EN96" s="100" t="n"/>
      <x:c r="EO96" s="100" t="n"/>
      <x:c r="EP96" s="100" t="n"/>
      <x:c r="EQ96" s="100" t="n"/>
      <x:c r="ER96" s="100" t="n"/>
      <x:c r="ES96" s="100" t="n"/>
      <x:c r="ET96" s="100" t="n"/>
      <x:c r="EU96" s="100" t="n"/>
      <x:c r="EV96" s="100" t="n"/>
      <x:c r="EW96" s="100" t="n"/>
      <x:c r="EX96" s="100" t="n"/>
      <x:c r="EY96" s="100" t="n"/>
      <x:c r="EZ96" s="100" t="n"/>
      <x:c r="FA96" s="100" t="n"/>
      <x:c r="FB96" s="100" t="n"/>
      <x:c r="FC96" s="100" t="n"/>
      <x:c r="FD96" s="100" t="n"/>
      <x:c r="FE96" s="100" t="n"/>
      <x:c r="FF96" s="100" t="n"/>
      <x:c r="FG96" s="100" t="n"/>
      <x:c r="FH96" s="100" t="n"/>
      <x:c r="FI96" s="100" t="n"/>
      <x:c r="FJ96" s="100" t="n"/>
      <x:c r="FK96" s="100" t="n"/>
      <x:c r="FL96" s="100" t="n"/>
      <x:c r="FM96" s="100" t="n"/>
      <x:c r="FN96" s="100" t="n"/>
      <x:c r="FO96" s="100" t="n"/>
      <x:c r="FP96" s="100" t="n"/>
      <x:c r="FQ96" s="100" t="n"/>
      <x:c r="FR96" s="100" t="n"/>
      <x:c r="FS96" s="100" t="n"/>
      <x:c r="FT96" s="100" t="n"/>
      <x:c r="FU96" s="100" t="n"/>
      <x:c r="FV96" s="100" t="n"/>
      <x:c r="FW96" s="100" t="n"/>
      <x:c r="FX96" s="100" t="n"/>
      <x:c r="FY96" s="100" t="n"/>
      <x:c r="FZ96" s="100" t="n"/>
      <x:c r="GA96" s="100" t="n"/>
      <x:c r="GB96" s="100" t="n"/>
      <x:c r="GC96" s="100" t="n"/>
      <x:c r="GD96" s="100" t="n"/>
      <x:c r="GE96" s="100" t="n"/>
      <x:c r="GF96" s="100" t="n"/>
    </x:row>
    <x:row r="97" s="27" customFormat="1">
      <x:c r="A97" s="38" t="n"/>
      <x:c r="B97" s="37" t="n"/>
      <x:c r="C97" s="36" t="n">
        <x:f>E97*D$5</x:f>
        <x:v>0</x:v>
      </x:c>
      <x:c r="D97" s="66" t="n"/>
      <x:c r="E97" s="36" t="n">
        <x:f>SUM(G97:HT97)</x:f>
        <x:v>0</x:v>
      </x:c>
      <x:c r="M97" s="100" t="n"/>
      <x:c r="N97" s="100" t="n"/>
      <x:c r="O97" s="100" t="n"/>
      <x:c r="P97" s="100" t="n"/>
      <x:c r="Q97" s="100" t="n"/>
      <x:c r="R97" s="100" t="n"/>
      <x:c r="S97" s="100" t="n"/>
      <x:c r="T97" s="100" t="n"/>
      <x:c r="U97" s="100" t="n"/>
      <x:c r="V97" s="100" t="n"/>
      <x:c r="W97" s="100" t="n"/>
      <x:c r="X97" s="100" t="n"/>
      <x:c r="Y97" s="100" t="n"/>
      <x:c r="Z97" s="100" t="n"/>
      <x:c r="AA97" s="100" t="n"/>
      <x:c r="AB97" s="100" t="n"/>
      <x:c r="AC97" s="100" t="n"/>
      <x:c r="AD97" s="100" t="n"/>
      <x:c r="AE97" s="100" t="n"/>
      <x:c r="AF97" s="100" t="n"/>
      <x:c r="AG97" s="100" t="n"/>
      <x:c r="AH97" s="100" t="n"/>
      <x:c r="AI97" s="100" t="n"/>
      <x:c r="AJ97" s="100" t="n"/>
      <x:c r="AK97" s="100" t="n"/>
      <x:c r="AL97" s="100" t="n"/>
      <x:c r="AM97" s="100" t="n"/>
      <x:c r="AN97" s="100" t="n"/>
      <x:c r="AO97" s="100" t="n"/>
      <x:c r="AP97" s="100" t="n"/>
      <x:c r="AQ97" s="100" t="n"/>
      <x:c r="AR97" s="100" t="n"/>
      <x:c r="AS97" s="100" t="n"/>
      <x:c r="AT97" s="100" t="n"/>
      <x:c r="AU97" s="100" t="n"/>
      <x:c r="AV97" s="100" t="n"/>
      <x:c r="AW97" s="100" t="n"/>
      <x:c r="AX97" s="100" t="n"/>
      <x:c r="AY97" s="100" t="n"/>
      <x:c r="AZ97" s="100" t="n"/>
      <x:c r="BA97" s="100" t="n"/>
      <x:c r="BB97" s="100" t="n"/>
      <x:c r="BC97" s="100" t="n"/>
      <x:c r="BD97" s="100" t="n"/>
      <x:c r="BE97" s="100" t="n"/>
      <x:c r="BF97" s="100" t="n"/>
      <x:c r="BG97" s="100" t="n"/>
      <x:c r="BH97" s="100" t="n"/>
      <x:c r="BI97" s="100" t="n"/>
      <x:c r="BJ97" s="100" t="n"/>
      <x:c r="BK97" s="100" t="n"/>
      <x:c r="BL97" s="100" t="n"/>
      <x:c r="BM97" s="100" t="n"/>
      <x:c r="BN97" s="100" t="n"/>
      <x:c r="BO97" s="100" t="n"/>
      <x:c r="BP97" s="100" t="n"/>
      <x:c r="BQ97" s="100" t="n"/>
      <x:c r="BR97" s="100" t="n"/>
      <x:c r="BS97" s="100" t="n"/>
      <x:c r="BT97" s="100" t="n"/>
      <x:c r="BU97" s="100" t="n"/>
      <x:c r="BV97" s="100" t="n"/>
      <x:c r="BW97" s="100" t="n"/>
      <x:c r="BX97" s="100" t="n"/>
      <x:c r="BY97" s="100" t="n"/>
      <x:c r="BZ97" s="100" t="n"/>
      <x:c r="CA97" s="100" t="n"/>
      <x:c r="CB97" s="100" t="n"/>
      <x:c r="CC97" s="100" t="n"/>
      <x:c r="CD97" s="100" t="n"/>
      <x:c r="CE97" s="100" t="n"/>
      <x:c r="CF97" s="100" t="n"/>
      <x:c r="CG97" s="100" t="n"/>
      <x:c r="CH97" s="100" t="n"/>
      <x:c r="CI97" s="100" t="n"/>
      <x:c r="CJ97" s="100" t="n"/>
      <x:c r="CK97" s="100" t="n"/>
      <x:c r="CL97" s="100" t="n"/>
      <x:c r="CM97" s="100" t="n"/>
      <x:c r="CN97" s="100" t="n"/>
      <x:c r="CO97" s="100" t="n"/>
      <x:c r="CP97" s="100" t="n"/>
      <x:c r="CQ97" s="100" t="n"/>
      <x:c r="CR97" s="100" t="n"/>
      <x:c r="CS97" s="100" t="n"/>
      <x:c r="CT97" s="100" t="n"/>
      <x:c r="CU97" s="100" t="n"/>
      <x:c r="CV97" s="100" t="n"/>
      <x:c r="CW97" s="100" t="n"/>
      <x:c r="CX97" s="100" t="n"/>
      <x:c r="CY97" s="100" t="n"/>
      <x:c r="CZ97" s="100" t="n"/>
      <x:c r="DA97" s="100" t="n"/>
      <x:c r="DB97" s="100" t="n"/>
      <x:c r="DC97" s="100" t="n"/>
      <x:c r="DD97" s="100" t="n"/>
      <x:c r="DE97" s="100" t="n"/>
      <x:c r="DF97" s="100" t="n"/>
      <x:c r="DG97" s="100" t="n"/>
      <x:c r="DH97" s="100" t="n"/>
      <x:c r="DI97" s="100" t="n"/>
      <x:c r="DJ97" s="100" t="n"/>
      <x:c r="DK97" s="100" t="n"/>
      <x:c r="DL97" s="100" t="n"/>
      <x:c r="DM97" s="100" t="n"/>
      <x:c r="DN97" s="100" t="n"/>
      <x:c r="DO97" s="100" t="n"/>
      <x:c r="DP97" s="100" t="n"/>
      <x:c r="DQ97" s="100" t="n"/>
      <x:c r="DR97" s="100" t="n"/>
      <x:c r="DS97" s="100" t="n"/>
      <x:c r="DT97" s="100" t="n"/>
      <x:c r="DU97" s="100" t="n"/>
      <x:c r="DV97" s="100" t="n"/>
      <x:c r="DW97" s="100" t="n"/>
      <x:c r="DX97" s="100" t="n"/>
      <x:c r="DY97" s="100" t="n"/>
      <x:c r="DZ97" s="100" t="n"/>
      <x:c r="EA97" s="100" t="n"/>
      <x:c r="EB97" s="100" t="n"/>
      <x:c r="EC97" s="100" t="n"/>
      <x:c r="ED97" s="100" t="n"/>
      <x:c r="EE97" s="100" t="n"/>
      <x:c r="EF97" s="100" t="n"/>
      <x:c r="EG97" s="100" t="n"/>
      <x:c r="EH97" s="100" t="n"/>
      <x:c r="EI97" s="100" t="n"/>
      <x:c r="EJ97" s="100" t="n"/>
      <x:c r="EK97" s="100" t="n"/>
      <x:c r="EL97" s="100" t="n"/>
      <x:c r="EM97" s="100" t="n"/>
      <x:c r="EN97" s="100" t="n"/>
      <x:c r="EO97" s="100" t="n"/>
      <x:c r="EP97" s="100" t="n"/>
      <x:c r="EQ97" s="100" t="n"/>
      <x:c r="ER97" s="100" t="n"/>
      <x:c r="ES97" s="100" t="n"/>
      <x:c r="ET97" s="100" t="n"/>
      <x:c r="EU97" s="100" t="n"/>
      <x:c r="EV97" s="100" t="n"/>
      <x:c r="EW97" s="100" t="n"/>
      <x:c r="EX97" s="100" t="n"/>
      <x:c r="EY97" s="100" t="n"/>
      <x:c r="EZ97" s="100" t="n"/>
      <x:c r="FA97" s="100" t="n"/>
      <x:c r="FB97" s="100" t="n"/>
      <x:c r="FC97" s="100" t="n"/>
      <x:c r="FD97" s="100" t="n"/>
      <x:c r="FE97" s="100" t="n"/>
      <x:c r="FF97" s="100" t="n"/>
      <x:c r="FG97" s="100" t="n"/>
      <x:c r="FH97" s="100" t="n"/>
      <x:c r="FI97" s="100" t="n"/>
      <x:c r="FJ97" s="100" t="n"/>
      <x:c r="FK97" s="100" t="n"/>
      <x:c r="FL97" s="100" t="n"/>
      <x:c r="FM97" s="100" t="n"/>
      <x:c r="FN97" s="100" t="n"/>
      <x:c r="FO97" s="100" t="n"/>
      <x:c r="FP97" s="100" t="n"/>
      <x:c r="FQ97" s="100" t="n"/>
      <x:c r="FR97" s="100" t="n"/>
      <x:c r="FS97" s="100" t="n"/>
      <x:c r="FT97" s="100" t="n"/>
      <x:c r="FU97" s="100" t="n"/>
      <x:c r="FV97" s="100" t="n"/>
      <x:c r="FW97" s="100" t="n"/>
      <x:c r="FX97" s="100" t="n"/>
      <x:c r="FY97" s="100" t="n"/>
      <x:c r="FZ97" s="100" t="n"/>
      <x:c r="GA97" s="100" t="n"/>
      <x:c r="GB97" s="100" t="n"/>
      <x:c r="GC97" s="100" t="n"/>
      <x:c r="GD97" s="100" t="n"/>
      <x:c r="GE97" s="100" t="n"/>
      <x:c r="GF97" s="100" t="n"/>
    </x:row>
    <x:row r="98" s="27" customFormat="1">
      <x:c r="A98" s="38" t="n"/>
      <x:c r="B98" s="37" t="n"/>
      <x:c r="C98" s="36" t="n">
        <x:f>E98*D$5</x:f>
        <x:v>0</x:v>
      </x:c>
      <x:c r="D98" s="66" t="n"/>
      <x:c r="E98" s="36" t="n">
        <x:f>SUM(G98:HT98)</x:f>
        <x:v>0</x:v>
      </x:c>
      <x:c r="M98" s="100" t="n"/>
      <x:c r="N98" s="100" t="n"/>
      <x:c r="O98" s="100" t="n"/>
      <x:c r="P98" s="100" t="n"/>
      <x:c r="Q98" s="100" t="n"/>
      <x:c r="R98" s="100" t="n"/>
      <x:c r="S98" s="100" t="n"/>
      <x:c r="T98" s="100" t="n"/>
      <x:c r="U98" s="100" t="n"/>
      <x:c r="V98" s="100" t="n"/>
      <x:c r="W98" s="100" t="n"/>
      <x:c r="X98" s="100" t="n"/>
      <x:c r="Y98" s="100" t="n"/>
      <x:c r="Z98" s="100" t="n"/>
      <x:c r="AA98" s="100" t="n"/>
      <x:c r="AB98" s="100" t="n"/>
      <x:c r="AC98" s="100" t="n"/>
      <x:c r="AD98" s="100" t="n"/>
      <x:c r="AE98" s="100" t="n"/>
      <x:c r="AF98" s="100" t="n"/>
      <x:c r="AG98" s="100" t="n"/>
      <x:c r="AH98" s="100" t="n"/>
      <x:c r="AI98" s="100" t="n"/>
      <x:c r="AJ98" s="100" t="n"/>
      <x:c r="AK98" s="100" t="n"/>
      <x:c r="AL98" s="100" t="n"/>
      <x:c r="AM98" s="100" t="n"/>
      <x:c r="AN98" s="100" t="n"/>
      <x:c r="AO98" s="100" t="n"/>
      <x:c r="AP98" s="100" t="n"/>
      <x:c r="AQ98" s="100" t="n"/>
      <x:c r="AR98" s="100" t="n"/>
      <x:c r="AS98" s="100" t="n"/>
      <x:c r="AT98" s="100" t="n"/>
      <x:c r="AU98" s="100" t="n"/>
      <x:c r="AV98" s="100" t="n"/>
      <x:c r="AW98" s="100" t="n"/>
      <x:c r="AX98" s="100" t="n"/>
      <x:c r="AY98" s="100" t="n"/>
      <x:c r="AZ98" s="100" t="n"/>
      <x:c r="BA98" s="100" t="n"/>
      <x:c r="BB98" s="100" t="n"/>
      <x:c r="BC98" s="100" t="n"/>
      <x:c r="BD98" s="100" t="n"/>
      <x:c r="BE98" s="100" t="n"/>
      <x:c r="BF98" s="100" t="n"/>
      <x:c r="BG98" s="100" t="n"/>
      <x:c r="BH98" s="100" t="n"/>
      <x:c r="BI98" s="100" t="n"/>
      <x:c r="BJ98" s="100" t="n"/>
      <x:c r="BK98" s="100" t="n"/>
      <x:c r="BL98" s="100" t="n"/>
      <x:c r="BM98" s="100" t="n"/>
      <x:c r="BN98" s="100" t="n"/>
      <x:c r="BO98" s="100" t="n"/>
      <x:c r="BP98" s="100" t="n"/>
      <x:c r="BQ98" s="100" t="n"/>
      <x:c r="BR98" s="100" t="n"/>
      <x:c r="BS98" s="100" t="n"/>
      <x:c r="BT98" s="100" t="n"/>
      <x:c r="BU98" s="100" t="n"/>
      <x:c r="BV98" s="100" t="n"/>
      <x:c r="BW98" s="100" t="n"/>
      <x:c r="BX98" s="100" t="n"/>
      <x:c r="BY98" s="100" t="n"/>
      <x:c r="BZ98" s="100" t="n"/>
      <x:c r="CA98" s="100" t="n"/>
      <x:c r="CB98" s="100" t="n"/>
      <x:c r="CC98" s="100" t="n"/>
      <x:c r="CD98" s="100" t="n"/>
      <x:c r="CE98" s="100" t="n"/>
      <x:c r="CF98" s="100" t="n"/>
      <x:c r="CG98" s="100" t="n"/>
      <x:c r="CH98" s="100" t="n"/>
      <x:c r="CI98" s="100" t="n"/>
      <x:c r="CJ98" s="100" t="n"/>
      <x:c r="CK98" s="100" t="n"/>
      <x:c r="CL98" s="100" t="n"/>
      <x:c r="CM98" s="100" t="n"/>
      <x:c r="CN98" s="100" t="n"/>
      <x:c r="CO98" s="100" t="n"/>
      <x:c r="CP98" s="100" t="n"/>
      <x:c r="CQ98" s="100" t="n"/>
      <x:c r="CR98" s="100" t="n"/>
      <x:c r="CS98" s="100" t="n"/>
      <x:c r="CT98" s="100" t="n"/>
      <x:c r="CU98" s="100" t="n"/>
      <x:c r="CV98" s="100" t="n"/>
      <x:c r="CW98" s="100" t="n"/>
      <x:c r="CX98" s="100" t="n"/>
      <x:c r="CY98" s="100" t="n"/>
      <x:c r="CZ98" s="100" t="n"/>
      <x:c r="DA98" s="100" t="n"/>
      <x:c r="DB98" s="100" t="n"/>
      <x:c r="DC98" s="100" t="n"/>
      <x:c r="DD98" s="100" t="n"/>
      <x:c r="DE98" s="100" t="n"/>
      <x:c r="DF98" s="100" t="n"/>
      <x:c r="DG98" s="100" t="n"/>
      <x:c r="DH98" s="100" t="n"/>
      <x:c r="DI98" s="100" t="n"/>
      <x:c r="DJ98" s="100" t="n"/>
      <x:c r="DK98" s="100" t="n"/>
      <x:c r="DL98" s="100" t="n"/>
      <x:c r="DM98" s="100" t="n"/>
      <x:c r="DN98" s="100" t="n"/>
      <x:c r="DO98" s="100" t="n"/>
      <x:c r="DP98" s="100" t="n"/>
      <x:c r="DQ98" s="100" t="n"/>
      <x:c r="DR98" s="100" t="n"/>
      <x:c r="DS98" s="100" t="n"/>
      <x:c r="DT98" s="100" t="n"/>
      <x:c r="DU98" s="100" t="n"/>
      <x:c r="DV98" s="100" t="n"/>
      <x:c r="DW98" s="100" t="n"/>
      <x:c r="DX98" s="100" t="n"/>
      <x:c r="DY98" s="100" t="n"/>
      <x:c r="DZ98" s="100" t="n"/>
      <x:c r="EA98" s="100" t="n"/>
      <x:c r="EB98" s="100" t="n"/>
      <x:c r="EC98" s="100" t="n"/>
      <x:c r="ED98" s="100" t="n"/>
      <x:c r="EE98" s="100" t="n"/>
      <x:c r="EF98" s="100" t="n"/>
      <x:c r="EG98" s="100" t="n"/>
      <x:c r="EH98" s="100" t="n"/>
      <x:c r="EI98" s="100" t="n"/>
      <x:c r="EJ98" s="100" t="n"/>
      <x:c r="EK98" s="100" t="n"/>
      <x:c r="EL98" s="100" t="n"/>
      <x:c r="EM98" s="100" t="n"/>
      <x:c r="EN98" s="100" t="n"/>
      <x:c r="EO98" s="100" t="n"/>
      <x:c r="EP98" s="100" t="n"/>
      <x:c r="EQ98" s="100" t="n"/>
      <x:c r="ER98" s="100" t="n"/>
      <x:c r="ES98" s="100" t="n"/>
      <x:c r="ET98" s="100" t="n"/>
      <x:c r="EU98" s="100" t="n"/>
      <x:c r="EV98" s="100" t="n"/>
      <x:c r="EW98" s="100" t="n"/>
      <x:c r="EX98" s="100" t="n"/>
      <x:c r="EY98" s="100" t="n"/>
      <x:c r="EZ98" s="100" t="n"/>
      <x:c r="FA98" s="100" t="n"/>
      <x:c r="FB98" s="100" t="n"/>
      <x:c r="FC98" s="100" t="n"/>
      <x:c r="FD98" s="100" t="n"/>
      <x:c r="FE98" s="100" t="n"/>
      <x:c r="FF98" s="100" t="n"/>
      <x:c r="FG98" s="100" t="n"/>
      <x:c r="FH98" s="100" t="n"/>
      <x:c r="FI98" s="100" t="n"/>
      <x:c r="FJ98" s="100" t="n"/>
      <x:c r="FK98" s="100" t="n"/>
      <x:c r="FL98" s="100" t="n"/>
      <x:c r="FM98" s="100" t="n"/>
      <x:c r="FN98" s="100" t="n"/>
      <x:c r="FO98" s="100" t="n"/>
      <x:c r="FP98" s="100" t="n"/>
      <x:c r="FQ98" s="100" t="n"/>
      <x:c r="FR98" s="100" t="n"/>
      <x:c r="FS98" s="100" t="n"/>
      <x:c r="FT98" s="100" t="n"/>
      <x:c r="FU98" s="100" t="n"/>
      <x:c r="FV98" s="100" t="n"/>
      <x:c r="FW98" s="100" t="n"/>
      <x:c r="FX98" s="100" t="n"/>
      <x:c r="FY98" s="100" t="n"/>
      <x:c r="FZ98" s="100" t="n"/>
      <x:c r="GA98" s="100" t="n"/>
      <x:c r="GB98" s="100" t="n"/>
      <x:c r="GC98" s="100" t="n"/>
      <x:c r="GD98" s="100" t="n"/>
      <x:c r="GE98" s="100" t="n"/>
      <x:c r="GF98" s="100" t="n"/>
    </x:row>
    <x:row r="99" s="27" customFormat="1">
      <x:c r="A99" s="38" t="n"/>
      <x:c r="B99" s="37" t="n"/>
      <x:c r="C99" s="36" t="n">
        <x:f>E99*D$5</x:f>
        <x:v>0</x:v>
      </x:c>
      <x:c r="D99" s="66" t="n"/>
      <x:c r="E99" s="36" t="n">
        <x:f>SUM(G99:HT99)</x:f>
        <x:v>0</x:v>
      </x:c>
      <x:c r="M99" s="100" t="n"/>
      <x:c r="N99" s="100" t="n"/>
      <x:c r="O99" s="100" t="n"/>
      <x:c r="P99" s="100" t="n"/>
      <x:c r="Q99" s="100" t="n"/>
      <x:c r="R99" s="100" t="n"/>
      <x:c r="S99" s="100" t="n"/>
      <x:c r="T99" s="100" t="n"/>
      <x:c r="U99" s="100" t="n"/>
      <x:c r="V99" s="100" t="n"/>
      <x:c r="W99" s="100" t="n"/>
      <x:c r="X99" s="100" t="n"/>
      <x:c r="Y99" s="100" t="n"/>
      <x:c r="Z99" s="100" t="n"/>
      <x:c r="AA99" s="100" t="n"/>
      <x:c r="AB99" s="100" t="n"/>
      <x:c r="AC99" s="100" t="n"/>
      <x:c r="AD99" s="100" t="n"/>
      <x:c r="AE99" s="100" t="n"/>
      <x:c r="AF99" s="100" t="n"/>
      <x:c r="AG99" s="100" t="n"/>
      <x:c r="AH99" s="100" t="n"/>
      <x:c r="AI99" s="100" t="n"/>
      <x:c r="AJ99" s="100" t="n"/>
      <x:c r="AK99" s="100" t="n"/>
      <x:c r="AL99" s="100" t="n"/>
      <x:c r="AM99" s="100" t="n"/>
      <x:c r="AN99" s="100" t="n"/>
      <x:c r="AO99" s="100" t="n"/>
      <x:c r="AP99" s="100" t="n"/>
      <x:c r="AQ99" s="100" t="n"/>
      <x:c r="AR99" s="100" t="n"/>
      <x:c r="AS99" s="100" t="n"/>
      <x:c r="AT99" s="100" t="n"/>
      <x:c r="AU99" s="100" t="n"/>
      <x:c r="AV99" s="100" t="n"/>
      <x:c r="AW99" s="100" t="n"/>
      <x:c r="AX99" s="100" t="n"/>
      <x:c r="AY99" s="100" t="n"/>
      <x:c r="AZ99" s="100" t="n"/>
      <x:c r="BA99" s="100" t="n"/>
      <x:c r="BB99" s="100" t="n"/>
      <x:c r="BC99" s="100" t="n"/>
      <x:c r="BD99" s="100" t="n"/>
      <x:c r="BE99" s="100" t="n"/>
      <x:c r="BF99" s="100" t="n"/>
      <x:c r="BG99" s="100" t="n"/>
      <x:c r="BH99" s="100" t="n"/>
      <x:c r="BI99" s="100" t="n"/>
      <x:c r="BJ99" s="100" t="n"/>
      <x:c r="BK99" s="100" t="n"/>
      <x:c r="BL99" s="100" t="n"/>
      <x:c r="BM99" s="100" t="n"/>
      <x:c r="BN99" s="100" t="n"/>
      <x:c r="BO99" s="100" t="n"/>
      <x:c r="BP99" s="100" t="n"/>
      <x:c r="BQ99" s="100" t="n"/>
      <x:c r="BR99" s="100" t="n"/>
      <x:c r="BS99" s="100" t="n"/>
      <x:c r="BT99" s="100" t="n"/>
      <x:c r="BU99" s="100" t="n"/>
      <x:c r="BV99" s="100" t="n"/>
      <x:c r="BW99" s="100" t="n"/>
      <x:c r="BX99" s="100" t="n"/>
      <x:c r="BY99" s="100" t="n"/>
      <x:c r="BZ99" s="100" t="n"/>
      <x:c r="CA99" s="100" t="n"/>
      <x:c r="CB99" s="100" t="n"/>
      <x:c r="CC99" s="100" t="n"/>
      <x:c r="CD99" s="100" t="n"/>
      <x:c r="CE99" s="100" t="n"/>
      <x:c r="CF99" s="100" t="n"/>
      <x:c r="CG99" s="100" t="n"/>
      <x:c r="CH99" s="100" t="n"/>
      <x:c r="CI99" s="100" t="n"/>
      <x:c r="CJ99" s="100" t="n"/>
      <x:c r="CK99" s="100" t="n"/>
      <x:c r="CL99" s="100" t="n"/>
      <x:c r="CM99" s="100" t="n"/>
      <x:c r="CN99" s="100" t="n"/>
      <x:c r="CO99" s="100" t="n"/>
      <x:c r="CP99" s="100" t="n"/>
      <x:c r="CQ99" s="100" t="n"/>
      <x:c r="CR99" s="100" t="n"/>
      <x:c r="CS99" s="100" t="n"/>
      <x:c r="CT99" s="100" t="n"/>
      <x:c r="CU99" s="100" t="n"/>
      <x:c r="CV99" s="100" t="n"/>
      <x:c r="CW99" s="100" t="n"/>
      <x:c r="CX99" s="100" t="n"/>
      <x:c r="CY99" s="100" t="n"/>
      <x:c r="CZ99" s="100" t="n"/>
      <x:c r="DA99" s="100" t="n"/>
      <x:c r="DB99" s="100" t="n"/>
      <x:c r="DC99" s="100" t="n"/>
      <x:c r="DD99" s="100" t="n"/>
      <x:c r="DE99" s="100" t="n"/>
      <x:c r="DF99" s="100" t="n"/>
      <x:c r="DG99" s="100" t="n"/>
      <x:c r="DH99" s="100" t="n"/>
      <x:c r="DI99" s="100" t="n"/>
      <x:c r="DJ99" s="100" t="n"/>
      <x:c r="DK99" s="100" t="n"/>
      <x:c r="DL99" s="100" t="n"/>
      <x:c r="DM99" s="100" t="n"/>
      <x:c r="DN99" s="100" t="n"/>
      <x:c r="DO99" s="100" t="n"/>
      <x:c r="DP99" s="100" t="n"/>
      <x:c r="DQ99" s="100" t="n"/>
      <x:c r="DR99" s="100" t="n"/>
      <x:c r="DS99" s="100" t="n"/>
      <x:c r="DT99" s="100" t="n"/>
      <x:c r="DU99" s="100" t="n"/>
      <x:c r="DV99" s="100" t="n"/>
      <x:c r="DW99" s="100" t="n"/>
      <x:c r="DX99" s="100" t="n"/>
      <x:c r="DY99" s="100" t="n"/>
      <x:c r="DZ99" s="100" t="n"/>
      <x:c r="EA99" s="100" t="n"/>
      <x:c r="EB99" s="100" t="n"/>
      <x:c r="EC99" s="100" t="n"/>
      <x:c r="ED99" s="100" t="n"/>
      <x:c r="EE99" s="100" t="n"/>
      <x:c r="EF99" s="100" t="n"/>
      <x:c r="EG99" s="100" t="n"/>
      <x:c r="EH99" s="100" t="n"/>
      <x:c r="EI99" s="100" t="n"/>
      <x:c r="EJ99" s="100" t="n"/>
      <x:c r="EK99" s="100" t="n"/>
      <x:c r="EL99" s="100" t="n"/>
      <x:c r="EM99" s="100" t="n"/>
      <x:c r="EN99" s="100" t="n"/>
      <x:c r="EO99" s="100" t="n"/>
      <x:c r="EP99" s="100" t="n"/>
      <x:c r="EQ99" s="100" t="n"/>
      <x:c r="ER99" s="100" t="n"/>
      <x:c r="ES99" s="100" t="n"/>
      <x:c r="ET99" s="100" t="n"/>
      <x:c r="EU99" s="100" t="n"/>
      <x:c r="EV99" s="100" t="n"/>
      <x:c r="EW99" s="100" t="n"/>
      <x:c r="EX99" s="100" t="n"/>
      <x:c r="EY99" s="100" t="n"/>
      <x:c r="EZ99" s="100" t="n"/>
      <x:c r="FA99" s="100" t="n"/>
      <x:c r="FB99" s="100" t="n"/>
      <x:c r="FC99" s="100" t="n"/>
      <x:c r="FD99" s="100" t="n"/>
      <x:c r="FE99" s="100" t="n"/>
      <x:c r="FF99" s="100" t="n"/>
      <x:c r="FG99" s="100" t="n"/>
      <x:c r="FH99" s="100" t="n"/>
      <x:c r="FI99" s="100" t="n"/>
      <x:c r="FJ99" s="100" t="n"/>
      <x:c r="FK99" s="100" t="n"/>
      <x:c r="FL99" s="100" t="n"/>
      <x:c r="FM99" s="100" t="n"/>
      <x:c r="FN99" s="100" t="n"/>
      <x:c r="FO99" s="100" t="n"/>
      <x:c r="FP99" s="100" t="n"/>
      <x:c r="FQ99" s="100" t="n"/>
      <x:c r="FR99" s="100" t="n"/>
      <x:c r="FS99" s="100" t="n"/>
      <x:c r="FT99" s="100" t="n"/>
      <x:c r="FU99" s="100" t="n"/>
      <x:c r="FV99" s="100" t="n"/>
      <x:c r="FW99" s="100" t="n"/>
      <x:c r="FX99" s="100" t="n"/>
      <x:c r="FY99" s="100" t="n"/>
      <x:c r="FZ99" s="100" t="n"/>
      <x:c r="GA99" s="100" t="n"/>
      <x:c r="GB99" s="100" t="n"/>
      <x:c r="GC99" s="100" t="n"/>
      <x:c r="GD99" s="100" t="n"/>
      <x:c r="GE99" s="100" t="n"/>
      <x:c r="GF99" s="100" t="n"/>
    </x:row>
    <x:row r="100" s="27" customFormat="1">
      <x:c r="A100" s="38" t="n"/>
      <x:c r="B100" s="37" t="n"/>
      <x:c r="C100" s="36" t="n">
        <x:f>E100*D$5</x:f>
        <x:v>0</x:v>
      </x:c>
      <x:c r="D100" s="66" t="n"/>
      <x:c r="E100" s="36" t="n">
        <x:f>SUM(G100:HT100)</x:f>
        <x:v>0</x:v>
      </x:c>
      <x:c r="M100" s="100" t="n"/>
      <x:c r="N100" s="100" t="n"/>
      <x:c r="O100" s="100" t="n"/>
      <x:c r="P100" s="100" t="n"/>
      <x:c r="Q100" s="100" t="n"/>
      <x:c r="R100" s="100" t="n"/>
      <x:c r="S100" s="100" t="n"/>
      <x:c r="T100" s="100" t="n"/>
      <x:c r="U100" s="100" t="n"/>
      <x:c r="V100" s="100" t="n"/>
      <x:c r="W100" s="100" t="n"/>
      <x:c r="X100" s="100" t="n"/>
      <x:c r="Y100" s="100" t="n"/>
      <x:c r="Z100" s="100" t="n"/>
      <x:c r="AA100" s="100" t="n"/>
      <x:c r="AB100" s="100" t="n"/>
      <x:c r="AC100" s="100" t="n"/>
      <x:c r="AD100" s="100" t="n"/>
      <x:c r="AE100" s="100" t="n"/>
      <x:c r="AF100" s="100" t="n"/>
      <x:c r="AG100" s="100" t="n"/>
      <x:c r="AH100" s="100" t="n"/>
      <x:c r="AI100" s="100" t="n"/>
      <x:c r="AJ100" s="100" t="n"/>
      <x:c r="AK100" s="100" t="n"/>
      <x:c r="AL100" s="100" t="n"/>
      <x:c r="AM100" s="100" t="n"/>
      <x:c r="AN100" s="100" t="n"/>
      <x:c r="AO100" s="100" t="n"/>
      <x:c r="AP100" s="100" t="n"/>
      <x:c r="AQ100" s="100" t="n"/>
      <x:c r="AR100" s="100" t="n"/>
      <x:c r="AS100" s="100" t="n"/>
      <x:c r="AT100" s="100" t="n"/>
      <x:c r="AU100" s="100" t="n"/>
      <x:c r="AV100" s="100" t="n"/>
      <x:c r="AW100" s="100" t="n"/>
      <x:c r="AX100" s="100" t="n"/>
      <x:c r="AY100" s="100" t="n"/>
      <x:c r="AZ100" s="100" t="n"/>
      <x:c r="BA100" s="100" t="n"/>
      <x:c r="BB100" s="100" t="n"/>
      <x:c r="BC100" s="100" t="n"/>
      <x:c r="BD100" s="100" t="n"/>
      <x:c r="BE100" s="100" t="n"/>
      <x:c r="BF100" s="100" t="n"/>
      <x:c r="BG100" s="100" t="n"/>
      <x:c r="BH100" s="100" t="n"/>
      <x:c r="BI100" s="100" t="n"/>
      <x:c r="BJ100" s="100" t="n"/>
      <x:c r="BK100" s="100" t="n"/>
      <x:c r="BL100" s="100" t="n"/>
      <x:c r="BM100" s="100" t="n"/>
      <x:c r="BN100" s="100" t="n"/>
      <x:c r="BO100" s="100" t="n"/>
      <x:c r="BP100" s="100" t="n"/>
      <x:c r="BQ100" s="100" t="n"/>
      <x:c r="BR100" s="100" t="n"/>
      <x:c r="BS100" s="100" t="n"/>
      <x:c r="BT100" s="100" t="n"/>
      <x:c r="BU100" s="100" t="n"/>
      <x:c r="BV100" s="100" t="n"/>
      <x:c r="BW100" s="100" t="n"/>
      <x:c r="BX100" s="100" t="n"/>
      <x:c r="BY100" s="100" t="n"/>
      <x:c r="BZ100" s="100" t="n"/>
      <x:c r="CA100" s="100" t="n"/>
      <x:c r="CB100" s="100" t="n"/>
      <x:c r="CC100" s="100" t="n"/>
      <x:c r="CD100" s="100" t="n"/>
      <x:c r="CE100" s="100" t="n"/>
      <x:c r="CF100" s="100" t="n"/>
      <x:c r="CG100" s="100" t="n"/>
      <x:c r="CH100" s="100" t="n"/>
      <x:c r="CI100" s="100" t="n"/>
      <x:c r="CJ100" s="100" t="n"/>
      <x:c r="CK100" s="100" t="n"/>
      <x:c r="CL100" s="100" t="n"/>
      <x:c r="CM100" s="100" t="n"/>
      <x:c r="CN100" s="100" t="n"/>
      <x:c r="CO100" s="100" t="n"/>
      <x:c r="CP100" s="100" t="n"/>
      <x:c r="CQ100" s="100" t="n"/>
      <x:c r="CR100" s="100" t="n"/>
      <x:c r="CS100" s="100" t="n"/>
      <x:c r="CT100" s="100" t="n"/>
      <x:c r="CU100" s="100" t="n"/>
      <x:c r="CV100" s="100" t="n"/>
      <x:c r="CW100" s="100" t="n"/>
      <x:c r="CX100" s="100" t="n"/>
      <x:c r="CY100" s="100" t="n"/>
      <x:c r="CZ100" s="100" t="n"/>
      <x:c r="DA100" s="100" t="n"/>
      <x:c r="DB100" s="100" t="n"/>
      <x:c r="DC100" s="100" t="n"/>
      <x:c r="DD100" s="100" t="n"/>
      <x:c r="DE100" s="100" t="n"/>
      <x:c r="DF100" s="100" t="n"/>
      <x:c r="DG100" s="100" t="n"/>
      <x:c r="DH100" s="100" t="n"/>
      <x:c r="DI100" s="100" t="n"/>
      <x:c r="DJ100" s="100" t="n"/>
      <x:c r="DK100" s="100" t="n"/>
      <x:c r="DL100" s="100" t="n"/>
      <x:c r="DM100" s="100" t="n"/>
      <x:c r="DN100" s="100" t="n"/>
      <x:c r="DO100" s="100" t="n"/>
      <x:c r="DP100" s="100" t="n"/>
      <x:c r="DQ100" s="100" t="n"/>
      <x:c r="DR100" s="100" t="n"/>
      <x:c r="DS100" s="100" t="n"/>
      <x:c r="DT100" s="100" t="n"/>
      <x:c r="DU100" s="100" t="n"/>
      <x:c r="DV100" s="100" t="n"/>
      <x:c r="DW100" s="100" t="n"/>
      <x:c r="DX100" s="100" t="n"/>
      <x:c r="DY100" s="100" t="n"/>
      <x:c r="DZ100" s="100" t="n"/>
      <x:c r="EA100" s="100" t="n"/>
      <x:c r="EB100" s="100" t="n"/>
      <x:c r="EC100" s="100" t="n"/>
      <x:c r="ED100" s="100" t="n"/>
      <x:c r="EE100" s="100" t="n"/>
      <x:c r="EF100" s="100" t="n"/>
      <x:c r="EG100" s="100" t="n"/>
      <x:c r="EH100" s="100" t="n"/>
      <x:c r="EI100" s="100" t="n"/>
      <x:c r="EJ100" s="100" t="n"/>
      <x:c r="EK100" s="100" t="n"/>
      <x:c r="EL100" s="100" t="n"/>
      <x:c r="EM100" s="100" t="n"/>
      <x:c r="EN100" s="100" t="n"/>
      <x:c r="EO100" s="100" t="n"/>
      <x:c r="EP100" s="100" t="n"/>
      <x:c r="EQ100" s="100" t="n"/>
      <x:c r="ER100" s="100" t="n"/>
      <x:c r="ES100" s="100" t="n"/>
      <x:c r="ET100" s="100" t="n"/>
      <x:c r="EU100" s="100" t="n"/>
      <x:c r="EV100" s="100" t="n"/>
      <x:c r="EW100" s="100" t="n"/>
      <x:c r="EX100" s="100" t="n"/>
      <x:c r="EY100" s="100" t="n"/>
      <x:c r="EZ100" s="100" t="n"/>
      <x:c r="FA100" s="100" t="n"/>
      <x:c r="FB100" s="100" t="n"/>
      <x:c r="FC100" s="100" t="n"/>
      <x:c r="FD100" s="100" t="n"/>
      <x:c r="FE100" s="100" t="n"/>
      <x:c r="FF100" s="100" t="n"/>
      <x:c r="FG100" s="100" t="n"/>
      <x:c r="FH100" s="100" t="n"/>
      <x:c r="FI100" s="100" t="n"/>
      <x:c r="FJ100" s="100" t="n"/>
      <x:c r="FK100" s="100" t="n"/>
      <x:c r="FL100" s="100" t="n"/>
      <x:c r="FM100" s="100" t="n"/>
      <x:c r="FN100" s="100" t="n"/>
      <x:c r="FO100" s="100" t="n"/>
      <x:c r="FP100" s="100" t="n"/>
      <x:c r="FQ100" s="100" t="n"/>
      <x:c r="FR100" s="100" t="n"/>
      <x:c r="FS100" s="100" t="n"/>
      <x:c r="FT100" s="100" t="n"/>
      <x:c r="FU100" s="100" t="n"/>
      <x:c r="FV100" s="100" t="n"/>
      <x:c r="FW100" s="100" t="n"/>
      <x:c r="FX100" s="100" t="n"/>
      <x:c r="FY100" s="100" t="n"/>
      <x:c r="FZ100" s="100" t="n"/>
      <x:c r="GA100" s="100" t="n"/>
      <x:c r="GB100" s="100" t="n"/>
      <x:c r="GC100" s="100" t="n"/>
      <x:c r="GD100" s="100" t="n"/>
      <x:c r="GE100" s="100" t="n"/>
      <x:c r="GF100" s="100" t="n"/>
    </x:row>
    <x:row r="101" s="27" customFormat="1">
      <x:c r="A101" s="38" t="n"/>
      <x:c r="B101" s="37" t="n"/>
      <x:c r="C101" s="36" t="n">
        <x:f>E101*D$5</x:f>
        <x:v>0</x:v>
      </x:c>
      <x:c r="D101" s="523" t="n"/>
      <x:c r="E101" s="36" t="n">
        <x:f>SUM(G101:HT101)</x:f>
        <x:v>0</x:v>
      </x:c>
      <x:c r="M101" s="100" t="n"/>
      <x:c r="N101" s="100" t="n"/>
      <x:c r="O101" s="100" t="n"/>
      <x:c r="P101" s="100" t="n"/>
      <x:c r="Q101" s="100" t="n"/>
      <x:c r="R101" s="100" t="n"/>
      <x:c r="S101" s="100" t="n"/>
      <x:c r="T101" s="100" t="n"/>
      <x:c r="U101" s="100" t="n"/>
      <x:c r="V101" s="100" t="n"/>
      <x:c r="W101" s="100" t="n"/>
      <x:c r="X101" s="100" t="n"/>
      <x:c r="Y101" s="100" t="n"/>
      <x:c r="Z101" s="100" t="n"/>
      <x:c r="AA101" s="100" t="n"/>
      <x:c r="AB101" s="100" t="n"/>
      <x:c r="AC101" s="100" t="n"/>
      <x:c r="AD101" s="100" t="n"/>
      <x:c r="AE101" s="100" t="n"/>
      <x:c r="AF101" s="100" t="n"/>
      <x:c r="AG101" s="100" t="n"/>
      <x:c r="AH101" s="100" t="n"/>
      <x:c r="AI101" s="100" t="n"/>
      <x:c r="AJ101" s="100" t="n"/>
      <x:c r="AK101" s="100" t="n"/>
      <x:c r="AL101" s="100" t="n"/>
      <x:c r="AM101" s="100" t="n"/>
      <x:c r="AN101" s="100" t="n"/>
      <x:c r="AO101" s="100" t="n"/>
      <x:c r="AP101" s="100" t="n"/>
      <x:c r="AQ101" s="100" t="n"/>
      <x:c r="AR101" s="100" t="n"/>
      <x:c r="AS101" s="100" t="n"/>
      <x:c r="AT101" s="100" t="n"/>
      <x:c r="AU101" s="100" t="n"/>
      <x:c r="AV101" s="100" t="n"/>
      <x:c r="AW101" s="100" t="n"/>
      <x:c r="AX101" s="100" t="n"/>
      <x:c r="AY101" s="100" t="n"/>
      <x:c r="AZ101" s="100" t="n"/>
      <x:c r="BA101" s="100" t="n"/>
      <x:c r="BB101" s="100" t="n"/>
      <x:c r="BC101" s="100" t="n"/>
      <x:c r="BD101" s="100" t="n"/>
      <x:c r="BE101" s="100" t="n"/>
      <x:c r="BF101" s="100" t="n"/>
      <x:c r="BG101" s="100" t="n"/>
      <x:c r="BH101" s="100" t="n"/>
      <x:c r="BI101" s="100" t="n"/>
      <x:c r="BJ101" s="100" t="n"/>
      <x:c r="BK101" s="100" t="n"/>
      <x:c r="BL101" s="100" t="n"/>
      <x:c r="BM101" s="100" t="n"/>
      <x:c r="BN101" s="100" t="n"/>
      <x:c r="BO101" s="100" t="n"/>
      <x:c r="BP101" s="100" t="n"/>
      <x:c r="BQ101" s="100" t="n"/>
      <x:c r="BR101" s="100" t="n"/>
      <x:c r="BS101" s="100" t="n"/>
      <x:c r="BT101" s="100" t="n"/>
      <x:c r="BU101" s="100" t="n"/>
      <x:c r="BV101" s="100" t="n"/>
      <x:c r="BW101" s="100" t="n"/>
      <x:c r="BX101" s="100" t="n"/>
      <x:c r="BY101" s="100" t="n"/>
      <x:c r="BZ101" s="100" t="n"/>
      <x:c r="CA101" s="100" t="n"/>
      <x:c r="CB101" s="100" t="n"/>
      <x:c r="CC101" s="100" t="n"/>
      <x:c r="CD101" s="100" t="n"/>
      <x:c r="CE101" s="100" t="n"/>
      <x:c r="CF101" s="100" t="n"/>
      <x:c r="CG101" s="100" t="n"/>
      <x:c r="CH101" s="100" t="n"/>
      <x:c r="CI101" s="100" t="n"/>
      <x:c r="CJ101" s="100" t="n"/>
      <x:c r="CK101" s="100" t="n"/>
      <x:c r="CL101" s="100" t="n"/>
      <x:c r="CM101" s="100" t="n"/>
      <x:c r="CN101" s="100" t="n"/>
      <x:c r="CO101" s="100" t="n"/>
      <x:c r="CP101" s="100" t="n"/>
      <x:c r="CQ101" s="100" t="n"/>
      <x:c r="CR101" s="100" t="n"/>
      <x:c r="CS101" s="100" t="n"/>
      <x:c r="CT101" s="100" t="n"/>
      <x:c r="CU101" s="100" t="n"/>
      <x:c r="CV101" s="100" t="n"/>
      <x:c r="CW101" s="100" t="n"/>
      <x:c r="CX101" s="100" t="n"/>
      <x:c r="CY101" s="100" t="n"/>
      <x:c r="CZ101" s="100" t="n"/>
      <x:c r="DA101" s="100" t="n"/>
      <x:c r="DB101" s="100" t="n"/>
      <x:c r="DC101" s="100" t="n"/>
      <x:c r="DD101" s="100" t="n"/>
      <x:c r="DE101" s="100" t="n"/>
      <x:c r="DF101" s="100" t="n"/>
      <x:c r="DG101" s="100" t="n"/>
      <x:c r="DH101" s="100" t="n"/>
      <x:c r="DI101" s="100" t="n"/>
      <x:c r="DJ101" s="100" t="n"/>
      <x:c r="DK101" s="100" t="n"/>
      <x:c r="DL101" s="100" t="n"/>
      <x:c r="DM101" s="100" t="n"/>
      <x:c r="DN101" s="100" t="n"/>
      <x:c r="DO101" s="100" t="n"/>
      <x:c r="DP101" s="100" t="n"/>
      <x:c r="DQ101" s="100" t="n"/>
      <x:c r="DR101" s="100" t="n"/>
      <x:c r="DS101" s="100" t="n"/>
      <x:c r="DT101" s="100" t="n"/>
      <x:c r="DU101" s="100" t="n"/>
      <x:c r="DV101" s="100" t="n"/>
      <x:c r="DW101" s="100" t="n"/>
      <x:c r="DX101" s="100" t="n"/>
      <x:c r="DY101" s="100" t="n"/>
      <x:c r="DZ101" s="100" t="n"/>
      <x:c r="EA101" s="100" t="n"/>
      <x:c r="EB101" s="100" t="n"/>
      <x:c r="EC101" s="100" t="n"/>
      <x:c r="ED101" s="100" t="n"/>
      <x:c r="EE101" s="100" t="n"/>
      <x:c r="EF101" s="100" t="n"/>
      <x:c r="EG101" s="100" t="n"/>
      <x:c r="EH101" s="100" t="n"/>
      <x:c r="EI101" s="100" t="n"/>
      <x:c r="EJ101" s="100" t="n"/>
      <x:c r="EK101" s="100" t="n"/>
      <x:c r="EL101" s="100" t="n"/>
      <x:c r="EM101" s="100" t="n"/>
      <x:c r="EN101" s="100" t="n"/>
      <x:c r="EO101" s="100" t="n"/>
      <x:c r="EP101" s="100" t="n"/>
      <x:c r="EQ101" s="100" t="n"/>
      <x:c r="ER101" s="100" t="n"/>
      <x:c r="ES101" s="100" t="n"/>
      <x:c r="ET101" s="100" t="n"/>
      <x:c r="EU101" s="100" t="n"/>
      <x:c r="EV101" s="100" t="n"/>
      <x:c r="EW101" s="100" t="n"/>
      <x:c r="EX101" s="100" t="n"/>
      <x:c r="EY101" s="100" t="n"/>
      <x:c r="EZ101" s="100" t="n"/>
      <x:c r="FA101" s="100" t="n"/>
      <x:c r="FB101" s="100" t="n"/>
      <x:c r="FC101" s="100" t="n"/>
      <x:c r="FD101" s="100" t="n"/>
      <x:c r="FE101" s="100" t="n"/>
      <x:c r="FF101" s="100" t="n"/>
      <x:c r="FG101" s="100" t="n"/>
      <x:c r="FH101" s="100" t="n"/>
      <x:c r="FI101" s="100" t="n"/>
      <x:c r="FJ101" s="100" t="n"/>
      <x:c r="FK101" s="100" t="n"/>
      <x:c r="FL101" s="100" t="n"/>
      <x:c r="FM101" s="100" t="n"/>
      <x:c r="FN101" s="100" t="n"/>
      <x:c r="FO101" s="100" t="n"/>
      <x:c r="FP101" s="100" t="n"/>
      <x:c r="FQ101" s="100" t="n"/>
      <x:c r="FR101" s="100" t="n"/>
      <x:c r="FS101" s="100" t="n"/>
      <x:c r="FT101" s="100" t="n"/>
      <x:c r="FU101" s="100" t="n"/>
      <x:c r="FV101" s="100" t="n"/>
      <x:c r="FW101" s="100" t="n"/>
      <x:c r="FX101" s="100" t="n"/>
      <x:c r="FY101" s="100" t="n"/>
      <x:c r="FZ101" s="100" t="n"/>
      <x:c r="GA101" s="100" t="n"/>
      <x:c r="GB101" s="100" t="n"/>
      <x:c r="GC101" s="100" t="n"/>
      <x:c r="GD101" s="100" t="n"/>
      <x:c r="GE101" s="100" t="n"/>
      <x:c r="GF101" s="100" t="n"/>
    </x:row>
    <x:row r="102" s="27" customFormat="1">
      <x:c r="A102" s="38" t="n"/>
      <x:c r="B102" s="37" t="n"/>
      <x:c r="C102" s="36" t="n">
        <x:f>E102*D$5</x:f>
        <x:v>0</x:v>
      </x:c>
      <x:c r="D102" s="523" t="n"/>
      <x:c r="E102" s="36" t="n">
        <x:f>SUM(G102:HT102)</x:f>
        <x:v>0</x:v>
      </x:c>
      <x:c r="M102" s="100" t="n"/>
      <x:c r="N102" s="100" t="n"/>
      <x:c r="O102" s="100" t="n"/>
      <x:c r="P102" s="100" t="n"/>
      <x:c r="Q102" s="100" t="n"/>
      <x:c r="R102" s="100" t="n"/>
      <x:c r="S102" s="100" t="n"/>
      <x:c r="T102" s="100" t="n"/>
      <x:c r="U102" s="100" t="n"/>
      <x:c r="V102" s="100" t="n"/>
      <x:c r="W102" s="100" t="n"/>
      <x:c r="X102" s="100" t="n"/>
      <x:c r="Y102" s="100" t="n"/>
      <x:c r="Z102" s="100" t="n"/>
      <x:c r="AA102" s="100" t="n"/>
      <x:c r="AB102" s="100" t="n"/>
      <x:c r="AC102" s="100" t="n"/>
      <x:c r="AD102" s="100" t="n"/>
      <x:c r="AE102" s="100" t="n"/>
      <x:c r="AF102" s="100" t="n"/>
      <x:c r="AG102" s="100" t="n"/>
      <x:c r="AH102" s="100" t="n"/>
      <x:c r="AI102" s="100" t="n"/>
      <x:c r="AJ102" s="100" t="n"/>
      <x:c r="AK102" s="100" t="n"/>
      <x:c r="AL102" s="100" t="n"/>
      <x:c r="AM102" s="100" t="n"/>
      <x:c r="AN102" s="100" t="n"/>
      <x:c r="AO102" s="100" t="n"/>
      <x:c r="AP102" s="100" t="n"/>
      <x:c r="AQ102" s="100" t="n"/>
      <x:c r="AR102" s="100" t="n"/>
      <x:c r="AS102" s="100" t="n"/>
      <x:c r="AT102" s="100" t="n"/>
      <x:c r="AU102" s="100" t="n"/>
      <x:c r="AV102" s="100" t="n"/>
      <x:c r="AW102" s="100" t="n"/>
      <x:c r="AX102" s="100" t="n"/>
      <x:c r="AY102" s="100" t="n"/>
      <x:c r="AZ102" s="100" t="n"/>
      <x:c r="BA102" s="100" t="n"/>
      <x:c r="BB102" s="100" t="n"/>
      <x:c r="BC102" s="100" t="n"/>
      <x:c r="BD102" s="100" t="n"/>
      <x:c r="BE102" s="100" t="n"/>
      <x:c r="BF102" s="100" t="n"/>
      <x:c r="BG102" s="100" t="n"/>
      <x:c r="BH102" s="100" t="n"/>
      <x:c r="BI102" s="100" t="n"/>
      <x:c r="BJ102" s="100" t="n"/>
      <x:c r="BK102" s="100" t="n"/>
      <x:c r="BL102" s="100" t="n"/>
      <x:c r="BM102" s="100" t="n"/>
      <x:c r="BN102" s="100" t="n"/>
      <x:c r="BO102" s="100" t="n"/>
      <x:c r="BP102" s="100" t="n"/>
      <x:c r="BQ102" s="100" t="n"/>
      <x:c r="BR102" s="100" t="n"/>
      <x:c r="BS102" s="100" t="n"/>
      <x:c r="BT102" s="100" t="n"/>
      <x:c r="BU102" s="100" t="n"/>
      <x:c r="BV102" s="100" t="n"/>
      <x:c r="BW102" s="100" t="n"/>
      <x:c r="BX102" s="100" t="n"/>
      <x:c r="BY102" s="100" t="n"/>
      <x:c r="BZ102" s="100" t="n"/>
      <x:c r="CA102" s="100" t="n"/>
      <x:c r="CB102" s="100" t="n"/>
      <x:c r="CC102" s="100" t="n"/>
      <x:c r="CD102" s="100" t="n"/>
      <x:c r="CE102" s="100" t="n"/>
      <x:c r="CF102" s="100" t="n"/>
      <x:c r="CG102" s="100" t="n"/>
      <x:c r="CH102" s="100" t="n"/>
      <x:c r="CI102" s="100" t="n"/>
      <x:c r="CJ102" s="100" t="n"/>
      <x:c r="CK102" s="100" t="n"/>
      <x:c r="CL102" s="100" t="n"/>
      <x:c r="CM102" s="100" t="n"/>
      <x:c r="CN102" s="100" t="n"/>
      <x:c r="CO102" s="100" t="n"/>
      <x:c r="CP102" s="100" t="n"/>
      <x:c r="CQ102" s="100" t="n"/>
      <x:c r="CR102" s="100" t="n"/>
      <x:c r="CS102" s="100" t="n"/>
      <x:c r="CT102" s="100" t="n"/>
      <x:c r="CU102" s="100" t="n"/>
      <x:c r="CV102" s="100" t="n"/>
      <x:c r="CW102" s="100" t="n"/>
      <x:c r="CX102" s="100" t="n"/>
      <x:c r="CY102" s="100" t="n"/>
      <x:c r="CZ102" s="100" t="n"/>
      <x:c r="DA102" s="100" t="n"/>
      <x:c r="DB102" s="100" t="n"/>
      <x:c r="DC102" s="100" t="n"/>
      <x:c r="DD102" s="100" t="n"/>
      <x:c r="DE102" s="100" t="n"/>
      <x:c r="DF102" s="100" t="n"/>
      <x:c r="DG102" s="100" t="n"/>
      <x:c r="DH102" s="100" t="n"/>
      <x:c r="DI102" s="100" t="n"/>
      <x:c r="DJ102" s="100" t="n"/>
      <x:c r="DK102" s="100" t="n"/>
      <x:c r="DL102" s="100" t="n"/>
      <x:c r="DM102" s="100" t="n"/>
      <x:c r="DN102" s="100" t="n"/>
      <x:c r="DO102" s="100" t="n"/>
      <x:c r="DP102" s="100" t="n"/>
      <x:c r="DQ102" s="100" t="n"/>
      <x:c r="DR102" s="100" t="n"/>
      <x:c r="DS102" s="100" t="n"/>
      <x:c r="DT102" s="100" t="n"/>
      <x:c r="DU102" s="100" t="n"/>
      <x:c r="DV102" s="100" t="n"/>
      <x:c r="DW102" s="100" t="n"/>
      <x:c r="DX102" s="100" t="n"/>
      <x:c r="DY102" s="100" t="n"/>
      <x:c r="DZ102" s="100" t="n"/>
      <x:c r="EA102" s="100" t="n"/>
      <x:c r="EB102" s="100" t="n"/>
      <x:c r="EC102" s="100" t="n"/>
      <x:c r="ED102" s="100" t="n"/>
      <x:c r="EE102" s="100" t="n"/>
      <x:c r="EF102" s="100" t="n"/>
      <x:c r="EG102" s="100" t="n"/>
      <x:c r="EH102" s="100" t="n"/>
      <x:c r="EI102" s="100" t="n"/>
      <x:c r="EJ102" s="100" t="n"/>
      <x:c r="EK102" s="100" t="n"/>
      <x:c r="EL102" s="100" t="n"/>
      <x:c r="EM102" s="100" t="n"/>
      <x:c r="EN102" s="100" t="n"/>
      <x:c r="EO102" s="100" t="n"/>
      <x:c r="EP102" s="100" t="n"/>
      <x:c r="EQ102" s="100" t="n"/>
      <x:c r="ER102" s="100" t="n"/>
      <x:c r="ES102" s="100" t="n"/>
      <x:c r="ET102" s="100" t="n"/>
      <x:c r="EU102" s="100" t="n"/>
      <x:c r="EV102" s="100" t="n"/>
      <x:c r="EW102" s="100" t="n"/>
      <x:c r="EX102" s="100" t="n"/>
      <x:c r="EY102" s="100" t="n"/>
      <x:c r="EZ102" s="100" t="n"/>
      <x:c r="FA102" s="100" t="n"/>
      <x:c r="FB102" s="100" t="n"/>
      <x:c r="FC102" s="100" t="n"/>
      <x:c r="FD102" s="100" t="n"/>
      <x:c r="FE102" s="100" t="n"/>
      <x:c r="FF102" s="100" t="n"/>
      <x:c r="FG102" s="100" t="n"/>
      <x:c r="FH102" s="100" t="n"/>
      <x:c r="FI102" s="100" t="n"/>
      <x:c r="FJ102" s="100" t="n"/>
      <x:c r="FK102" s="100" t="n"/>
      <x:c r="FL102" s="100" t="n"/>
      <x:c r="FM102" s="100" t="n"/>
      <x:c r="FN102" s="100" t="n"/>
      <x:c r="FO102" s="100" t="n"/>
      <x:c r="FP102" s="100" t="n"/>
      <x:c r="FQ102" s="100" t="n"/>
      <x:c r="FR102" s="100" t="n"/>
      <x:c r="FS102" s="100" t="n"/>
      <x:c r="FT102" s="100" t="n"/>
      <x:c r="FU102" s="100" t="n"/>
      <x:c r="FV102" s="100" t="n"/>
      <x:c r="FW102" s="100" t="n"/>
      <x:c r="FX102" s="100" t="n"/>
      <x:c r="FY102" s="100" t="n"/>
      <x:c r="FZ102" s="100" t="n"/>
      <x:c r="GA102" s="100" t="n"/>
      <x:c r="GB102" s="100" t="n"/>
      <x:c r="GC102" s="100" t="n"/>
      <x:c r="GD102" s="100" t="n"/>
      <x:c r="GE102" s="100" t="n"/>
      <x:c r="GF102" s="100" t="n"/>
    </x:row>
    <x:row r="103" s="27" customFormat="1">
      <x:c r="A103" s="38" t="n"/>
      <x:c r="B103" s="37" t="n"/>
      <x:c r="C103" s="36" t="n">
        <x:f>E103*D$5</x:f>
        <x:v>0</x:v>
      </x:c>
      <x:c r="D103" s="20" t="n"/>
      <x:c r="E103" s="36" t="n">
        <x:f>SUM(G103:HT103)</x:f>
        <x:v>0</x:v>
      </x:c>
      <x:c r="M103" s="100" t="n"/>
      <x:c r="N103" s="100" t="n"/>
      <x:c r="O103" s="100" t="n"/>
      <x:c r="P103" s="100" t="n"/>
      <x:c r="Q103" s="100" t="n"/>
      <x:c r="R103" s="100" t="n"/>
      <x:c r="S103" s="100" t="n"/>
      <x:c r="T103" s="100" t="n"/>
      <x:c r="U103" s="100" t="n"/>
      <x:c r="V103" s="100" t="n"/>
      <x:c r="W103" s="100" t="n"/>
      <x:c r="X103" s="100" t="n"/>
      <x:c r="Y103" s="100" t="n"/>
      <x:c r="Z103" s="100" t="n"/>
      <x:c r="AA103" s="100" t="n"/>
      <x:c r="AB103" s="100" t="n"/>
      <x:c r="AC103" s="100" t="n"/>
      <x:c r="AD103" s="100" t="n"/>
      <x:c r="AE103" s="100" t="n"/>
      <x:c r="AF103" s="100" t="n"/>
      <x:c r="AG103" s="100" t="n"/>
      <x:c r="AH103" s="100" t="n"/>
      <x:c r="AI103" s="100" t="n"/>
      <x:c r="AJ103" s="100" t="n"/>
      <x:c r="AK103" s="100" t="n"/>
      <x:c r="AL103" s="100" t="n"/>
      <x:c r="AM103" s="100" t="n"/>
      <x:c r="AN103" s="100" t="n"/>
      <x:c r="AO103" s="100" t="n"/>
      <x:c r="AP103" s="100" t="n"/>
      <x:c r="AQ103" s="100" t="n"/>
      <x:c r="AR103" s="100" t="n"/>
      <x:c r="AS103" s="100" t="n"/>
      <x:c r="AT103" s="100" t="n"/>
      <x:c r="AU103" s="100" t="n"/>
      <x:c r="AV103" s="100" t="n"/>
      <x:c r="AW103" s="100" t="n"/>
      <x:c r="AX103" s="100" t="n"/>
      <x:c r="AY103" s="100" t="n"/>
      <x:c r="AZ103" s="100" t="n"/>
      <x:c r="BA103" s="100" t="n"/>
      <x:c r="BB103" s="100" t="n"/>
      <x:c r="BC103" s="100" t="n"/>
      <x:c r="BD103" s="100" t="n"/>
      <x:c r="BE103" s="100" t="n"/>
      <x:c r="BF103" s="100" t="n"/>
      <x:c r="BG103" s="100" t="n"/>
      <x:c r="BH103" s="100" t="n"/>
      <x:c r="BI103" s="100" t="n"/>
      <x:c r="BJ103" s="100" t="n"/>
      <x:c r="BK103" s="100" t="n"/>
      <x:c r="BL103" s="100" t="n"/>
      <x:c r="BM103" s="100" t="n"/>
      <x:c r="BN103" s="100" t="n"/>
      <x:c r="BO103" s="100" t="n"/>
      <x:c r="BP103" s="100" t="n"/>
      <x:c r="BQ103" s="100" t="n"/>
      <x:c r="BR103" s="100" t="n"/>
      <x:c r="BS103" s="100" t="n"/>
      <x:c r="BT103" s="100" t="n"/>
      <x:c r="BU103" s="100" t="n"/>
      <x:c r="BV103" s="100" t="n"/>
      <x:c r="BW103" s="100" t="n"/>
      <x:c r="BX103" s="100" t="n"/>
      <x:c r="BY103" s="100" t="n"/>
      <x:c r="BZ103" s="100" t="n"/>
      <x:c r="CA103" s="100" t="n"/>
      <x:c r="CB103" s="100" t="n"/>
      <x:c r="CC103" s="100" t="n"/>
      <x:c r="CD103" s="100" t="n"/>
      <x:c r="CE103" s="100" t="n"/>
      <x:c r="CF103" s="100" t="n"/>
      <x:c r="CG103" s="100" t="n"/>
      <x:c r="CH103" s="100" t="n"/>
      <x:c r="CI103" s="100" t="n"/>
      <x:c r="CJ103" s="100" t="n"/>
      <x:c r="CK103" s="100" t="n"/>
      <x:c r="CL103" s="100" t="n"/>
      <x:c r="CM103" s="100" t="n"/>
      <x:c r="CN103" s="100" t="n"/>
      <x:c r="CO103" s="100" t="n"/>
      <x:c r="CP103" s="100" t="n"/>
      <x:c r="CQ103" s="100" t="n"/>
      <x:c r="CR103" s="100" t="n"/>
      <x:c r="CS103" s="100" t="n"/>
      <x:c r="CT103" s="100" t="n"/>
      <x:c r="CU103" s="100" t="n"/>
      <x:c r="CV103" s="100" t="n"/>
      <x:c r="CW103" s="100" t="n"/>
      <x:c r="CX103" s="100" t="n"/>
      <x:c r="CY103" s="100" t="n"/>
      <x:c r="CZ103" s="100" t="n"/>
      <x:c r="DA103" s="100" t="n"/>
      <x:c r="DB103" s="100" t="n"/>
      <x:c r="DC103" s="100" t="n"/>
      <x:c r="DD103" s="100" t="n"/>
      <x:c r="DE103" s="100" t="n"/>
      <x:c r="DF103" s="100" t="n"/>
      <x:c r="DG103" s="100" t="n"/>
      <x:c r="DH103" s="100" t="n"/>
      <x:c r="DI103" s="100" t="n"/>
      <x:c r="DJ103" s="100" t="n"/>
      <x:c r="DK103" s="100" t="n"/>
      <x:c r="DL103" s="100" t="n"/>
      <x:c r="DM103" s="100" t="n"/>
      <x:c r="DN103" s="100" t="n"/>
      <x:c r="DO103" s="100" t="n"/>
      <x:c r="DP103" s="100" t="n"/>
      <x:c r="DQ103" s="100" t="n"/>
      <x:c r="DR103" s="100" t="n"/>
      <x:c r="DS103" s="100" t="n"/>
      <x:c r="DT103" s="100" t="n"/>
      <x:c r="DU103" s="100" t="n"/>
      <x:c r="DV103" s="100" t="n"/>
      <x:c r="DW103" s="100" t="n"/>
      <x:c r="DX103" s="100" t="n"/>
      <x:c r="DY103" s="100" t="n"/>
      <x:c r="DZ103" s="100" t="n"/>
      <x:c r="EA103" s="100" t="n"/>
      <x:c r="EB103" s="100" t="n"/>
      <x:c r="EC103" s="100" t="n"/>
      <x:c r="ED103" s="100" t="n"/>
      <x:c r="EE103" s="100" t="n"/>
      <x:c r="EF103" s="100" t="n"/>
      <x:c r="EG103" s="100" t="n"/>
      <x:c r="EH103" s="100" t="n"/>
      <x:c r="EI103" s="100" t="n"/>
      <x:c r="EJ103" s="100" t="n"/>
      <x:c r="EK103" s="100" t="n"/>
      <x:c r="EL103" s="100" t="n"/>
      <x:c r="EM103" s="100" t="n"/>
      <x:c r="EN103" s="100" t="n"/>
      <x:c r="EO103" s="100" t="n"/>
      <x:c r="EP103" s="100" t="n"/>
      <x:c r="EQ103" s="100" t="n"/>
      <x:c r="ER103" s="100" t="n"/>
      <x:c r="ES103" s="100" t="n"/>
      <x:c r="ET103" s="100" t="n"/>
      <x:c r="EU103" s="100" t="n"/>
      <x:c r="EV103" s="100" t="n"/>
      <x:c r="EW103" s="100" t="n"/>
      <x:c r="EX103" s="100" t="n"/>
      <x:c r="EY103" s="100" t="n"/>
      <x:c r="EZ103" s="100" t="n"/>
      <x:c r="FA103" s="100" t="n"/>
      <x:c r="FB103" s="100" t="n"/>
      <x:c r="FC103" s="100" t="n"/>
      <x:c r="FD103" s="100" t="n"/>
      <x:c r="FE103" s="100" t="n"/>
      <x:c r="FF103" s="100" t="n"/>
      <x:c r="FG103" s="100" t="n"/>
      <x:c r="FH103" s="100" t="n"/>
      <x:c r="FI103" s="100" t="n"/>
      <x:c r="FJ103" s="100" t="n"/>
      <x:c r="FK103" s="100" t="n"/>
      <x:c r="FL103" s="100" t="n"/>
      <x:c r="FM103" s="100" t="n"/>
      <x:c r="FN103" s="100" t="n"/>
      <x:c r="FO103" s="100" t="n"/>
      <x:c r="FP103" s="100" t="n"/>
      <x:c r="FQ103" s="100" t="n"/>
      <x:c r="FR103" s="100" t="n"/>
      <x:c r="FS103" s="100" t="n"/>
      <x:c r="FT103" s="100" t="n"/>
      <x:c r="FU103" s="100" t="n"/>
      <x:c r="FV103" s="100" t="n"/>
      <x:c r="FW103" s="100" t="n"/>
      <x:c r="FX103" s="100" t="n"/>
      <x:c r="FY103" s="100" t="n"/>
      <x:c r="FZ103" s="100" t="n"/>
      <x:c r="GA103" s="100" t="n"/>
      <x:c r="GB103" s="100" t="n"/>
      <x:c r="GC103" s="100" t="n"/>
      <x:c r="GD103" s="100" t="n"/>
      <x:c r="GE103" s="100" t="n"/>
      <x:c r="GF103" s="100" t="n"/>
    </x:row>
    <x:row r="104" s="27" customFormat="1">
      <x:c r="A104" s="38" t="n"/>
      <x:c r="B104" s="37" t="n"/>
      <x:c r="C104" s="36" t="n">
        <x:f>E104*D$5</x:f>
        <x:v>0</x:v>
      </x:c>
      <x:c r="D104" s="20" t="n"/>
      <x:c r="E104" s="36" t="n">
        <x:f>SUM(G104:HT104)</x:f>
        <x:v>0</x:v>
      </x:c>
      <x:c r="M104" s="100" t="n"/>
      <x:c r="N104" s="100" t="n"/>
      <x:c r="O104" s="100" t="n"/>
      <x:c r="P104" s="100" t="n"/>
      <x:c r="Q104" s="100" t="n"/>
      <x:c r="R104" s="100" t="n"/>
      <x:c r="S104" s="100" t="n"/>
      <x:c r="T104" s="100" t="n"/>
      <x:c r="U104" s="100" t="n"/>
      <x:c r="V104" s="100" t="n"/>
      <x:c r="W104" s="100" t="n"/>
      <x:c r="X104" s="100" t="n"/>
      <x:c r="Y104" s="100" t="n"/>
      <x:c r="Z104" s="100" t="n"/>
      <x:c r="AA104" s="100" t="n"/>
      <x:c r="AB104" s="100" t="n"/>
      <x:c r="AC104" s="100" t="n"/>
      <x:c r="AD104" s="100" t="n"/>
      <x:c r="AE104" s="100" t="n"/>
      <x:c r="AF104" s="100" t="n"/>
      <x:c r="AG104" s="100" t="n"/>
      <x:c r="AH104" s="100" t="n"/>
      <x:c r="AI104" s="100" t="n"/>
      <x:c r="AJ104" s="100" t="n"/>
      <x:c r="AK104" s="100" t="n"/>
      <x:c r="AL104" s="100" t="n"/>
      <x:c r="AM104" s="100" t="n"/>
      <x:c r="AN104" s="100" t="n"/>
      <x:c r="AO104" s="100" t="n"/>
      <x:c r="AP104" s="100" t="n"/>
      <x:c r="AQ104" s="100" t="n"/>
      <x:c r="AR104" s="100" t="n"/>
      <x:c r="AS104" s="100" t="n"/>
      <x:c r="AT104" s="100" t="n"/>
      <x:c r="AU104" s="100" t="n"/>
      <x:c r="AV104" s="100" t="n"/>
      <x:c r="AW104" s="100" t="n"/>
      <x:c r="AX104" s="100" t="n"/>
      <x:c r="AY104" s="100" t="n"/>
      <x:c r="AZ104" s="100" t="n"/>
      <x:c r="BA104" s="100" t="n"/>
      <x:c r="BB104" s="100" t="n"/>
      <x:c r="BC104" s="100" t="n"/>
      <x:c r="BD104" s="100" t="n"/>
      <x:c r="BE104" s="100" t="n"/>
      <x:c r="BF104" s="100" t="n"/>
      <x:c r="BG104" s="100" t="n"/>
      <x:c r="BH104" s="100" t="n"/>
      <x:c r="BI104" s="100" t="n"/>
      <x:c r="BJ104" s="100" t="n"/>
      <x:c r="BK104" s="100" t="n"/>
      <x:c r="BL104" s="100" t="n"/>
      <x:c r="BM104" s="100" t="n"/>
      <x:c r="BN104" s="100" t="n"/>
      <x:c r="BO104" s="100" t="n"/>
      <x:c r="BP104" s="100" t="n"/>
      <x:c r="BQ104" s="100" t="n"/>
      <x:c r="BR104" s="100" t="n"/>
      <x:c r="BS104" s="100" t="n"/>
      <x:c r="BT104" s="100" t="n"/>
      <x:c r="BU104" s="100" t="n"/>
      <x:c r="BV104" s="100" t="n"/>
      <x:c r="BW104" s="100" t="n"/>
      <x:c r="BX104" s="100" t="n"/>
      <x:c r="BY104" s="100" t="n"/>
      <x:c r="BZ104" s="100" t="n"/>
      <x:c r="CA104" s="100" t="n"/>
      <x:c r="CB104" s="100" t="n"/>
      <x:c r="CC104" s="100" t="n"/>
      <x:c r="CD104" s="100" t="n"/>
      <x:c r="CE104" s="100" t="n"/>
      <x:c r="CF104" s="100" t="n"/>
      <x:c r="CG104" s="100" t="n"/>
      <x:c r="CH104" s="100" t="n"/>
      <x:c r="CI104" s="100" t="n"/>
      <x:c r="CJ104" s="100" t="n"/>
      <x:c r="CK104" s="100" t="n"/>
      <x:c r="CL104" s="100" t="n"/>
      <x:c r="CM104" s="100" t="n"/>
      <x:c r="CN104" s="100" t="n"/>
      <x:c r="CO104" s="100" t="n"/>
      <x:c r="CP104" s="100" t="n"/>
      <x:c r="CQ104" s="100" t="n"/>
      <x:c r="CR104" s="100" t="n"/>
      <x:c r="CS104" s="100" t="n"/>
      <x:c r="CT104" s="100" t="n"/>
      <x:c r="CU104" s="100" t="n"/>
      <x:c r="CV104" s="100" t="n"/>
      <x:c r="CW104" s="100" t="n"/>
      <x:c r="CX104" s="100" t="n"/>
      <x:c r="CY104" s="100" t="n"/>
      <x:c r="CZ104" s="100" t="n"/>
      <x:c r="DA104" s="100" t="n"/>
      <x:c r="DB104" s="100" t="n"/>
      <x:c r="DC104" s="100" t="n"/>
      <x:c r="DD104" s="100" t="n"/>
      <x:c r="DE104" s="100" t="n"/>
      <x:c r="DF104" s="100" t="n"/>
      <x:c r="DG104" s="100" t="n"/>
      <x:c r="DH104" s="100" t="n"/>
      <x:c r="DI104" s="100" t="n"/>
      <x:c r="DJ104" s="100" t="n"/>
      <x:c r="DK104" s="100" t="n"/>
      <x:c r="DL104" s="100" t="n"/>
      <x:c r="DM104" s="100" t="n"/>
      <x:c r="DN104" s="100" t="n"/>
      <x:c r="DO104" s="100" t="n"/>
      <x:c r="DP104" s="100" t="n"/>
      <x:c r="DQ104" s="100" t="n"/>
      <x:c r="DR104" s="100" t="n"/>
      <x:c r="DS104" s="100" t="n"/>
      <x:c r="DT104" s="100" t="n"/>
      <x:c r="DU104" s="100" t="n"/>
      <x:c r="DV104" s="100" t="n"/>
      <x:c r="DW104" s="100" t="n"/>
      <x:c r="DX104" s="100" t="n"/>
      <x:c r="DY104" s="100" t="n"/>
      <x:c r="DZ104" s="100" t="n"/>
      <x:c r="EA104" s="100" t="n"/>
      <x:c r="EB104" s="100" t="n"/>
      <x:c r="EC104" s="100" t="n"/>
      <x:c r="ED104" s="100" t="n"/>
      <x:c r="EE104" s="100" t="n"/>
      <x:c r="EF104" s="100" t="n"/>
      <x:c r="EG104" s="100" t="n"/>
      <x:c r="EH104" s="100" t="n"/>
      <x:c r="EI104" s="100" t="n"/>
      <x:c r="EJ104" s="100" t="n"/>
      <x:c r="EK104" s="100" t="n"/>
      <x:c r="EL104" s="100" t="n"/>
      <x:c r="EM104" s="100" t="n"/>
      <x:c r="EN104" s="100" t="n"/>
      <x:c r="EO104" s="100" t="n"/>
      <x:c r="EP104" s="100" t="n"/>
      <x:c r="EQ104" s="100" t="n"/>
      <x:c r="ER104" s="100" t="n"/>
      <x:c r="ES104" s="100" t="n"/>
      <x:c r="ET104" s="100" t="n"/>
      <x:c r="EU104" s="100" t="n"/>
      <x:c r="EV104" s="100" t="n"/>
      <x:c r="EW104" s="100" t="n"/>
      <x:c r="EX104" s="100" t="n"/>
      <x:c r="EY104" s="100" t="n"/>
      <x:c r="EZ104" s="100" t="n"/>
      <x:c r="FA104" s="100" t="n"/>
      <x:c r="FB104" s="100" t="n"/>
      <x:c r="FC104" s="100" t="n"/>
      <x:c r="FD104" s="100" t="n"/>
      <x:c r="FE104" s="100" t="n"/>
      <x:c r="FF104" s="100" t="n"/>
      <x:c r="FG104" s="100" t="n"/>
      <x:c r="FH104" s="100" t="n"/>
      <x:c r="FI104" s="100" t="n"/>
      <x:c r="FJ104" s="100" t="n"/>
      <x:c r="FK104" s="100" t="n"/>
      <x:c r="FL104" s="100" t="n"/>
      <x:c r="FM104" s="100" t="n"/>
      <x:c r="FN104" s="100" t="n"/>
      <x:c r="FO104" s="100" t="n"/>
      <x:c r="FP104" s="100" t="n"/>
      <x:c r="FQ104" s="100" t="n"/>
      <x:c r="FR104" s="100" t="n"/>
      <x:c r="FS104" s="100" t="n"/>
      <x:c r="FT104" s="100" t="n"/>
      <x:c r="FU104" s="100" t="n"/>
      <x:c r="FV104" s="100" t="n"/>
      <x:c r="FW104" s="100" t="n"/>
      <x:c r="FX104" s="100" t="n"/>
      <x:c r="FY104" s="100" t="n"/>
      <x:c r="FZ104" s="100" t="n"/>
      <x:c r="GA104" s="100" t="n"/>
      <x:c r="GB104" s="100" t="n"/>
      <x:c r="GC104" s="100" t="n"/>
      <x:c r="GD104" s="100" t="n"/>
      <x:c r="GE104" s="100" t="n"/>
      <x:c r="GF104" s="100" t="n"/>
    </x:row>
    <x:row r="105" s="27" customFormat="1">
      <x:c r="A105" s="38" t="n"/>
      <x:c r="B105" s="37" t="n"/>
      <x:c r="C105" s="36" t="n">
        <x:f>E105*D$5</x:f>
        <x:v>0</x:v>
      </x:c>
      <x:c r="D105" s="20" t="n"/>
      <x:c r="E105" s="36" t="n">
        <x:f>SUM(G105:HT105)</x:f>
        <x:v>0</x:v>
      </x:c>
      <x:c r="M105" s="100" t="n"/>
      <x:c r="N105" s="100" t="n"/>
      <x:c r="O105" s="100" t="n"/>
      <x:c r="P105" s="100" t="n"/>
      <x:c r="Q105" s="100" t="n"/>
      <x:c r="R105" s="100" t="n"/>
      <x:c r="S105" s="100" t="n"/>
      <x:c r="T105" s="100" t="n"/>
      <x:c r="U105" s="100" t="n"/>
      <x:c r="V105" s="100" t="n"/>
      <x:c r="W105" s="100" t="n"/>
      <x:c r="X105" s="100" t="n"/>
      <x:c r="Y105" s="100" t="n"/>
      <x:c r="Z105" s="100" t="n"/>
      <x:c r="AA105" s="100" t="n"/>
      <x:c r="AB105" s="100" t="n"/>
      <x:c r="AC105" s="100" t="n"/>
      <x:c r="AD105" s="100" t="n"/>
      <x:c r="AE105" s="100" t="n"/>
      <x:c r="AF105" s="100" t="n"/>
      <x:c r="AG105" s="100" t="n"/>
      <x:c r="AH105" s="100" t="n"/>
      <x:c r="AI105" s="100" t="n"/>
      <x:c r="AJ105" s="100" t="n"/>
      <x:c r="AK105" s="100" t="n"/>
      <x:c r="AL105" s="100" t="n"/>
      <x:c r="AM105" s="100" t="n"/>
      <x:c r="AN105" s="100" t="n"/>
      <x:c r="AO105" s="100" t="n"/>
      <x:c r="AP105" s="100" t="n"/>
      <x:c r="AQ105" s="100" t="n"/>
      <x:c r="AR105" s="100" t="n"/>
      <x:c r="AS105" s="100" t="n"/>
      <x:c r="AT105" s="100" t="n"/>
      <x:c r="AU105" s="100" t="n"/>
      <x:c r="AV105" s="100" t="n"/>
      <x:c r="AW105" s="100" t="n"/>
      <x:c r="AX105" s="100" t="n"/>
      <x:c r="AY105" s="100" t="n"/>
      <x:c r="AZ105" s="100" t="n"/>
      <x:c r="BA105" s="100" t="n"/>
      <x:c r="BB105" s="100" t="n"/>
      <x:c r="BC105" s="100" t="n"/>
      <x:c r="BD105" s="100" t="n"/>
      <x:c r="BE105" s="100" t="n"/>
      <x:c r="BF105" s="100" t="n"/>
      <x:c r="BG105" s="100" t="n"/>
      <x:c r="BH105" s="100" t="n"/>
      <x:c r="BI105" s="100" t="n"/>
      <x:c r="BJ105" s="100" t="n"/>
      <x:c r="BK105" s="100" t="n"/>
      <x:c r="BL105" s="100" t="n"/>
      <x:c r="BM105" s="100" t="n"/>
      <x:c r="BN105" s="100" t="n"/>
      <x:c r="BO105" s="100" t="n"/>
      <x:c r="BP105" s="100" t="n"/>
      <x:c r="BQ105" s="100" t="n"/>
      <x:c r="BR105" s="100" t="n"/>
      <x:c r="BS105" s="100" t="n"/>
      <x:c r="BT105" s="100" t="n"/>
      <x:c r="BU105" s="100" t="n"/>
      <x:c r="BV105" s="100" t="n"/>
      <x:c r="BW105" s="100" t="n"/>
      <x:c r="BX105" s="100" t="n"/>
      <x:c r="BY105" s="100" t="n"/>
      <x:c r="BZ105" s="100" t="n"/>
      <x:c r="CA105" s="100" t="n"/>
      <x:c r="CB105" s="100" t="n"/>
      <x:c r="CC105" s="100" t="n"/>
      <x:c r="CD105" s="100" t="n"/>
      <x:c r="CE105" s="100" t="n"/>
      <x:c r="CF105" s="100" t="n"/>
      <x:c r="CG105" s="100" t="n"/>
      <x:c r="CH105" s="100" t="n"/>
      <x:c r="CI105" s="100" t="n"/>
      <x:c r="CJ105" s="100" t="n"/>
      <x:c r="CK105" s="100" t="n"/>
      <x:c r="CL105" s="100" t="n"/>
      <x:c r="CM105" s="100" t="n"/>
      <x:c r="CN105" s="100" t="n"/>
      <x:c r="CO105" s="100" t="n"/>
      <x:c r="CP105" s="100" t="n"/>
      <x:c r="CQ105" s="100" t="n"/>
      <x:c r="CR105" s="100" t="n"/>
      <x:c r="CS105" s="100" t="n"/>
      <x:c r="CT105" s="100" t="n"/>
      <x:c r="CU105" s="100" t="n"/>
      <x:c r="CV105" s="100" t="n"/>
      <x:c r="CW105" s="100" t="n"/>
      <x:c r="CX105" s="100" t="n"/>
      <x:c r="CY105" s="100" t="n"/>
      <x:c r="CZ105" s="100" t="n"/>
      <x:c r="DA105" s="100" t="n"/>
      <x:c r="DB105" s="100" t="n"/>
      <x:c r="DC105" s="100" t="n"/>
      <x:c r="DD105" s="100" t="n"/>
      <x:c r="DE105" s="100" t="n"/>
      <x:c r="DF105" s="100" t="n"/>
      <x:c r="DG105" s="100" t="n"/>
      <x:c r="DH105" s="100" t="n"/>
      <x:c r="DI105" s="100" t="n"/>
      <x:c r="DJ105" s="100" t="n"/>
      <x:c r="DK105" s="100" t="n"/>
      <x:c r="DL105" s="100" t="n"/>
      <x:c r="DM105" s="100" t="n"/>
      <x:c r="DN105" s="100" t="n"/>
      <x:c r="DO105" s="100" t="n"/>
      <x:c r="DP105" s="100" t="n"/>
      <x:c r="DQ105" s="100" t="n"/>
      <x:c r="DR105" s="100" t="n"/>
      <x:c r="DS105" s="100" t="n"/>
      <x:c r="DT105" s="100" t="n"/>
      <x:c r="DU105" s="100" t="n"/>
      <x:c r="DV105" s="100" t="n"/>
      <x:c r="DW105" s="100" t="n"/>
      <x:c r="DX105" s="100" t="n"/>
      <x:c r="DY105" s="100" t="n"/>
      <x:c r="DZ105" s="100" t="n"/>
      <x:c r="EA105" s="100" t="n"/>
      <x:c r="EB105" s="100" t="n"/>
      <x:c r="EC105" s="100" t="n"/>
      <x:c r="ED105" s="100" t="n"/>
      <x:c r="EE105" s="100" t="n"/>
      <x:c r="EF105" s="100" t="n"/>
      <x:c r="EG105" s="100" t="n"/>
      <x:c r="EH105" s="100" t="n"/>
      <x:c r="EI105" s="100" t="n"/>
      <x:c r="EJ105" s="100" t="n"/>
      <x:c r="EK105" s="100" t="n"/>
      <x:c r="EL105" s="100" t="n"/>
      <x:c r="EM105" s="100" t="n"/>
      <x:c r="EN105" s="100" t="n"/>
      <x:c r="EO105" s="100" t="n"/>
      <x:c r="EP105" s="100" t="n"/>
      <x:c r="EQ105" s="100" t="n"/>
      <x:c r="ER105" s="100" t="n"/>
      <x:c r="ES105" s="100" t="n"/>
      <x:c r="ET105" s="100" t="n"/>
      <x:c r="EU105" s="100" t="n"/>
      <x:c r="EV105" s="100" t="n"/>
      <x:c r="EW105" s="100" t="n"/>
      <x:c r="EX105" s="100" t="n"/>
      <x:c r="EY105" s="100" t="n"/>
      <x:c r="EZ105" s="100" t="n"/>
      <x:c r="FA105" s="100" t="n"/>
      <x:c r="FB105" s="100" t="n"/>
      <x:c r="FC105" s="100" t="n"/>
      <x:c r="FD105" s="100" t="n"/>
      <x:c r="FE105" s="100" t="n"/>
      <x:c r="FF105" s="100" t="n"/>
      <x:c r="FG105" s="100" t="n"/>
      <x:c r="FH105" s="100" t="n"/>
      <x:c r="FI105" s="100" t="n"/>
      <x:c r="FJ105" s="100" t="n"/>
      <x:c r="FK105" s="100" t="n"/>
      <x:c r="FL105" s="100" t="n"/>
      <x:c r="FM105" s="100" t="n"/>
      <x:c r="FN105" s="100" t="n"/>
      <x:c r="FO105" s="100" t="n"/>
      <x:c r="FP105" s="100" t="n"/>
      <x:c r="FQ105" s="100" t="n"/>
      <x:c r="FR105" s="100" t="n"/>
      <x:c r="FS105" s="100" t="n"/>
      <x:c r="FT105" s="100" t="n"/>
      <x:c r="FU105" s="100" t="n"/>
      <x:c r="FV105" s="100" t="n"/>
      <x:c r="FW105" s="100" t="n"/>
      <x:c r="FX105" s="100" t="n"/>
      <x:c r="FY105" s="100" t="n"/>
      <x:c r="FZ105" s="100" t="n"/>
      <x:c r="GA105" s="100" t="n"/>
      <x:c r="GB105" s="100" t="n"/>
      <x:c r="GC105" s="100" t="n"/>
      <x:c r="GD105" s="100" t="n"/>
      <x:c r="GE105" s="100" t="n"/>
      <x:c r="GF105" s="100" t="n"/>
    </x:row>
    <x:row r="106" s="27" customFormat="1">
      <x:c r="A106" s="38" t="n"/>
      <x:c r="B106" s="37" t="n"/>
      <x:c r="C106" s="36" t="n">
        <x:f>E106*D$5</x:f>
        <x:v>0</x:v>
      </x:c>
      <x:c r="D106" s="20" t="n"/>
      <x:c r="E106" s="36" t="n">
        <x:f>SUM(G106:HT106)</x:f>
        <x:v>0</x:v>
      </x:c>
      <x:c r="M106" s="100" t="n"/>
      <x:c r="N106" s="100" t="n"/>
      <x:c r="O106" s="100" t="n"/>
      <x:c r="P106" s="100" t="n"/>
      <x:c r="Q106" s="100" t="n"/>
      <x:c r="R106" s="100" t="n"/>
      <x:c r="S106" s="100" t="n"/>
      <x:c r="T106" s="100" t="n"/>
      <x:c r="U106" s="100" t="n"/>
      <x:c r="V106" s="100" t="n"/>
      <x:c r="W106" s="100" t="n"/>
      <x:c r="X106" s="100" t="n"/>
      <x:c r="Y106" s="100" t="n"/>
      <x:c r="Z106" s="100" t="n"/>
      <x:c r="AA106" s="100" t="n"/>
      <x:c r="AB106" s="100" t="n"/>
      <x:c r="AC106" s="100" t="n"/>
      <x:c r="AD106" s="100" t="n"/>
      <x:c r="AE106" s="100" t="n"/>
      <x:c r="AF106" s="100" t="n"/>
      <x:c r="AG106" s="100" t="n"/>
      <x:c r="AH106" s="100" t="n"/>
      <x:c r="AI106" s="100" t="n"/>
      <x:c r="AJ106" s="100" t="n"/>
      <x:c r="AK106" s="100" t="n"/>
      <x:c r="AL106" s="100" t="n"/>
      <x:c r="AM106" s="100" t="n"/>
      <x:c r="AN106" s="100" t="n"/>
      <x:c r="AO106" s="100" t="n"/>
      <x:c r="AP106" s="100" t="n"/>
      <x:c r="AQ106" s="100" t="n"/>
      <x:c r="AR106" s="100" t="n"/>
      <x:c r="AS106" s="100" t="n"/>
      <x:c r="AT106" s="100" t="n"/>
      <x:c r="AU106" s="100" t="n"/>
      <x:c r="AV106" s="100" t="n"/>
      <x:c r="AW106" s="100" t="n"/>
      <x:c r="AX106" s="100" t="n"/>
      <x:c r="AY106" s="100" t="n"/>
      <x:c r="AZ106" s="100" t="n"/>
      <x:c r="BA106" s="100" t="n"/>
      <x:c r="BB106" s="100" t="n"/>
      <x:c r="BC106" s="100" t="n"/>
      <x:c r="BD106" s="100" t="n"/>
      <x:c r="BE106" s="100" t="n"/>
      <x:c r="BF106" s="100" t="n"/>
      <x:c r="BG106" s="100" t="n"/>
      <x:c r="BH106" s="100" t="n"/>
      <x:c r="BI106" s="100" t="n"/>
      <x:c r="BJ106" s="100" t="n"/>
      <x:c r="BK106" s="100" t="n"/>
      <x:c r="BL106" s="100" t="n"/>
      <x:c r="BM106" s="100" t="n"/>
      <x:c r="BN106" s="100" t="n"/>
      <x:c r="BO106" s="100" t="n"/>
      <x:c r="BP106" s="100" t="n"/>
      <x:c r="BQ106" s="100" t="n"/>
      <x:c r="BR106" s="100" t="n"/>
      <x:c r="BS106" s="100" t="n"/>
      <x:c r="BT106" s="100" t="n"/>
      <x:c r="BU106" s="100" t="n"/>
      <x:c r="BV106" s="100" t="n"/>
      <x:c r="BW106" s="100" t="n"/>
      <x:c r="BX106" s="100" t="n"/>
      <x:c r="BY106" s="100" t="n"/>
      <x:c r="BZ106" s="100" t="n"/>
      <x:c r="CA106" s="100" t="n"/>
      <x:c r="CB106" s="100" t="n"/>
      <x:c r="CC106" s="100" t="n"/>
      <x:c r="CD106" s="100" t="n"/>
      <x:c r="CE106" s="100" t="n"/>
      <x:c r="CF106" s="100" t="n"/>
      <x:c r="CG106" s="100" t="n"/>
      <x:c r="CH106" s="100" t="n"/>
      <x:c r="CI106" s="100" t="n"/>
      <x:c r="CJ106" s="100" t="n"/>
      <x:c r="CK106" s="100" t="n"/>
      <x:c r="CL106" s="100" t="n"/>
      <x:c r="CM106" s="100" t="n"/>
      <x:c r="CN106" s="100" t="n"/>
      <x:c r="CO106" s="100" t="n"/>
      <x:c r="CP106" s="100" t="n"/>
      <x:c r="CQ106" s="100" t="n"/>
      <x:c r="CR106" s="100" t="n"/>
      <x:c r="CS106" s="100" t="n"/>
      <x:c r="CT106" s="100" t="n"/>
      <x:c r="CU106" s="100" t="n"/>
      <x:c r="CV106" s="100" t="n"/>
      <x:c r="CW106" s="100" t="n"/>
      <x:c r="CX106" s="100" t="n"/>
      <x:c r="CY106" s="100" t="n"/>
      <x:c r="CZ106" s="100" t="n"/>
      <x:c r="DA106" s="100" t="n"/>
      <x:c r="DB106" s="100" t="n"/>
      <x:c r="DC106" s="100" t="n"/>
      <x:c r="DD106" s="100" t="n"/>
      <x:c r="DE106" s="100" t="n"/>
      <x:c r="DF106" s="100" t="n"/>
      <x:c r="DG106" s="100" t="n"/>
      <x:c r="DH106" s="100" t="n"/>
      <x:c r="DI106" s="100" t="n"/>
      <x:c r="DJ106" s="100" t="n"/>
      <x:c r="DK106" s="100" t="n"/>
      <x:c r="DL106" s="100" t="n"/>
      <x:c r="DM106" s="100" t="n"/>
      <x:c r="DN106" s="100" t="n"/>
      <x:c r="DO106" s="100" t="n"/>
      <x:c r="DP106" s="100" t="n"/>
      <x:c r="DQ106" s="100" t="n"/>
      <x:c r="DR106" s="100" t="n"/>
      <x:c r="DS106" s="100" t="n"/>
      <x:c r="DT106" s="100" t="n"/>
      <x:c r="DU106" s="100" t="n"/>
      <x:c r="DV106" s="100" t="n"/>
      <x:c r="DW106" s="100" t="n"/>
      <x:c r="DX106" s="100" t="n"/>
      <x:c r="DY106" s="100" t="n"/>
      <x:c r="DZ106" s="100" t="n"/>
      <x:c r="EA106" s="100" t="n"/>
      <x:c r="EB106" s="100" t="n"/>
      <x:c r="EC106" s="100" t="n"/>
      <x:c r="ED106" s="100" t="n"/>
      <x:c r="EE106" s="100" t="n"/>
      <x:c r="EF106" s="100" t="n"/>
      <x:c r="EG106" s="100" t="n"/>
      <x:c r="EH106" s="100" t="n"/>
      <x:c r="EI106" s="100" t="n"/>
      <x:c r="EJ106" s="100" t="n"/>
      <x:c r="EK106" s="100" t="n"/>
      <x:c r="EL106" s="100" t="n"/>
      <x:c r="EM106" s="100" t="n"/>
      <x:c r="EN106" s="100" t="n"/>
      <x:c r="EO106" s="100" t="n"/>
      <x:c r="EP106" s="100" t="n"/>
      <x:c r="EQ106" s="100" t="n"/>
      <x:c r="ER106" s="100" t="n"/>
      <x:c r="ES106" s="100" t="n"/>
      <x:c r="ET106" s="100" t="n"/>
      <x:c r="EU106" s="100" t="n"/>
      <x:c r="EV106" s="100" t="n"/>
      <x:c r="EW106" s="100" t="n"/>
      <x:c r="EX106" s="100" t="n"/>
      <x:c r="EY106" s="100" t="n"/>
      <x:c r="EZ106" s="100" t="n"/>
      <x:c r="FA106" s="100" t="n"/>
      <x:c r="FB106" s="100" t="n"/>
      <x:c r="FC106" s="100" t="n"/>
      <x:c r="FD106" s="100" t="n"/>
      <x:c r="FE106" s="100" t="n"/>
      <x:c r="FF106" s="100" t="n"/>
      <x:c r="FG106" s="100" t="n"/>
      <x:c r="FH106" s="100" t="n"/>
      <x:c r="FI106" s="100" t="n"/>
      <x:c r="FJ106" s="100" t="n"/>
      <x:c r="FK106" s="100" t="n"/>
      <x:c r="FL106" s="100" t="n"/>
      <x:c r="FM106" s="100" t="n"/>
      <x:c r="FN106" s="100" t="n"/>
      <x:c r="FO106" s="100" t="n"/>
      <x:c r="FP106" s="100" t="n"/>
      <x:c r="FQ106" s="100" t="n"/>
      <x:c r="FR106" s="100" t="n"/>
      <x:c r="FS106" s="100" t="n"/>
      <x:c r="FT106" s="100" t="n"/>
      <x:c r="FU106" s="100" t="n"/>
      <x:c r="FV106" s="100" t="n"/>
      <x:c r="FW106" s="100" t="n"/>
      <x:c r="FX106" s="100" t="n"/>
      <x:c r="FY106" s="100" t="n"/>
      <x:c r="FZ106" s="100" t="n"/>
      <x:c r="GA106" s="100" t="n"/>
      <x:c r="GB106" s="100" t="n"/>
      <x:c r="GC106" s="100" t="n"/>
      <x:c r="GD106" s="100" t="n"/>
      <x:c r="GE106" s="100" t="n"/>
      <x:c r="GF106" s="100" t="n"/>
    </x:row>
    <x:row r="107" s="27" customFormat="1">
      <x:c r="A107" s="38" t="n"/>
      <x:c r="B107" s="37" t="n"/>
      <x:c r="C107" s="36" t="n">
        <x:f>E107*D$5</x:f>
        <x:v>0</x:v>
      </x:c>
      <x:c r="D107" s="20" t="n"/>
      <x:c r="E107" s="36" t="n">
        <x:f>SUM(G107:HT107)</x:f>
        <x:v>0</x:v>
      </x:c>
      <x:c r="M107" s="100" t="n"/>
      <x:c r="N107" s="100" t="n"/>
      <x:c r="O107" s="100" t="n"/>
      <x:c r="P107" s="100" t="n"/>
      <x:c r="Q107" s="100" t="n"/>
      <x:c r="R107" s="100" t="n"/>
      <x:c r="S107" s="100" t="n"/>
      <x:c r="T107" s="100" t="n"/>
      <x:c r="U107" s="100" t="n"/>
      <x:c r="V107" s="100" t="n"/>
      <x:c r="W107" s="100" t="n"/>
      <x:c r="X107" s="100" t="n"/>
      <x:c r="Y107" s="100" t="n"/>
      <x:c r="Z107" s="100" t="n"/>
      <x:c r="AA107" s="100" t="n"/>
      <x:c r="AB107" s="100" t="n"/>
      <x:c r="AC107" s="100" t="n"/>
      <x:c r="AD107" s="100" t="n"/>
      <x:c r="AE107" s="100" t="n"/>
      <x:c r="AF107" s="100" t="n"/>
      <x:c r="AG107" s="100" t="n"/>
      <x:c r="AH107" s="100" t="n"/>
      <x:c r="AI107" s="100" t="n"/>
      <x:c r="AJ107" s="100" t="n"/>
      <x:c r="AK107" s="100" t="n"/>
      <x:c r="AL107" s="100" t="n"/>
      <x:c r="AM107" s="100" t="n"/>
      <x:c r="AN107" s="100" t="n"/>
      <x:c r="AO107" s="100" t="n"/>
      <x:c r="AP107" s="100" t="n"/>
      <x:c r="AQ107" s="100" t="n"/>
      <x:c r="AR107" s="100" t="n"/>
      <x:c r="AS107" s="100" t="n"/>
      <x:c r="AT107" s="100" t="n"/>
      <x:c r="AU107" s="100" t="n"/>
      <x:c r="AV107" s="100" t="n"/>
      <x:c r="AW107" s="100" t="n"/>
      <x:c r="AX107" s="100" t="n"/>
      <x:c r="AY107" s="100" t="n"/>
      <x:c r="AZ107" s="100" t="n"/>
      <x:c r="BA107" s="100" t="n"/>
      <x:c r="BB107" s="100" t="n"/>
      <x:c r="BC107" s="100" t="n"/>
      <x:c r="BD107" s="100" t="n"/>
      <x:c r="BE107" s="100" t="n"/>
      <x:c r="BF107" s="100" t="n"/>
      <x:c r="BG107" s="100" t="n"/>
      <x:c r="BH107" s="100" t="n"/>
      <x:c r="BI107" s="100" t="n"/>
      <x:c r="BJ107" s="100" t="n"/>
      <x:c r="BK107" s="100" t="n"/>
      <x:c r="BL107" s="100" t="n"/>
      <x:c r="BM107" s="100" t="n"/>
      <x:c r="BN107" s="100" t="n"/>
      <x:c r="BO107" s="100" t="n"/>
      <x:c r="BP107" s="100" t="n"/>
      <x:c r="BQ107" s="100" t="n"/>
      <x:c r="BR107" s="100" t="n"/>
      <x:c r="BS107" s="100" t="n"/>
      <x:c r="BT107" s="100" t="n"/>
      <x:c r="BU107" s="100" t="n"/>
      <x:c r="BV107" s="100" t="n"/>
      <x:c r="BW107" s="100" t="n"/>
      <x:c r="BX107" s="100" t="n"/>
      <x:c r="BY107" s="100" t="n"/>
      <x:c r="BZ107" s="100" t="n"/>
      <x:c r="CA107" s="100" t="n"/>
      <x:c r="CB107" s="100" t="n"/>
      <x:c r="CC107" s="100" t="n"/>
      <x:c r="CD107" s="100" t="n"/>
      <x:c r="CE107" s="100" t="n"/>
      <x:c r="CF107" s="100" t="n"/>
      <x:c r="CG107" s="100" t="n"/>
      <x:c r="CH107" s="100" t="n"/>
      <x:c r="CI107" s="100" t="n"/>
      <x:c r="CJ107" s="100" t="n"/>
      <x:c r="CK107" s="100" t="n"/>
      <x:c r="CL107" s="100" t="n"/>
      <x:c r="CM107" s="100" t="n"/>
      <x:c r="CN107" s="100" t="n"/>
      <x:c r="CO107" s="100" t="n"/>
      <x:c r="CP107" s="100" t="n"/>
      <x:c r="CQ107" s="100" t="n"/>
      <x:c r="CR107" s="100" t="n"/>
      <x:c r="CS107" s="100" t="n"/>
      <x:c r="CT107" s="100" t="n"/>
      <x:c r="CU107" s="100" t="n"/>
      <x:c r="CV107" s="100" t="n"/>
      <x:c r="CW107" s="100" t="n"/>
      <x:c r="CX107" s="100" t="n"/>
      <x:c r="CY107" s="100" t="n"/>
      <x:c r="CZ107" s="100" t="n"/>
      <x:c r="DA107" s="100" t="n"/>
      <x:c r="DB107" s="100" t="n"/>
      <x:c r="DC107" s="100" t="n"/>
      <x:c r="DD107" s="100" t="n"/>
      <x:c r="DE107" s="100" t="n"/>
      <x:c r="DF107" s="100" t="n"/>
      <x:c r="DG107" s="100" t="n"/>
      <x:c r="DH107" s="100" t="n"/>
      <x:c r="DI107" s="100" t="n"/>
      <x:c r="DJ107" s="100" t="n"/>
      <x:c r="DK107" s="100" t="n"/>
      <x:c r="DL107" s="100" t="n"/>
      <x:c r="DM107" s="100" t="n"/>
      <x:c r="DN107" s="100" t="n"/>
      <x:c r="DO107" s="100" t="n"/>
      <x:c r="DP107" s="100" t="n"/>
      <x:c r="DQ107" s="100" t="n"/>
      <x:c r="DR107" s="100" t="n"/>
      <x:c r="DS107" s="100" t="n"/>
      <x:c r="DT107" s="100" t="n"/>
      <x:c r="DU107" s="100" t="n"/>
      <x:c r="DV107" s="100" t="n"/>
      <x:c r="DW107" s="100" t="n"/>
      <x:c r="DX107" s="100" t="n"/>
      <x:c r="DY107" s="100" t="n"/>
      <x:c r="DZ107" s="100" t="n"/>
      <x:c r="EA107" s="100" t="n"/>
      <x:c r="EB107" s="100" t="n"/>
      <x:c r="EC107" s="100" t="n"/>
      <x:c r="ED107" s="100" t="n"/>
      <x:c r="EE107" s="100" t="n"/>
      <x:c r="EF107" s="100" t="n"/>
      <x:c r="EG107" s="100" t="n"/>
      <x:c r="EH107" s="100" t="n"/>
      <x:c r="EI107" s="100" t="n"/>
      <x:c r="EJ107" s="100" t="n"/>
      <x:c r="EK107" s="100" t="n"/>
      <x:c r="EL107" s="100" t="n"/>
      <x:c r="EM107" s="100" t="n"/>
      <x:c r="EN107" s="100" t="n"/>
      <x:c r="EO107" s="100" t="n"/>
      <x:c r="EP107" s="100" t="n"/>
      <x:c r="EQ107" s="100" t="n"/>
      <x:c r="ER107" s="100" t="n"/>
      <x:c r="ES107" s="100" t="n"/>
      <x:c r="ET107" s="100" t="n"/>
      <x:c r="EU107" s="100" t="n"/>
      <x:c r="EV107" s="100" t="n"/>
      <x:c r="EW107" s="100" t="n"/>
      <x:c r="EX107" s="100" t="n"/>
      <x:c r="EY107" s="100" t="n"/>
      <x:c r="EZ107" s="100" t="n"/>
      <x:c r="FA107" s="100" t="n"/>
      <x:c r="FB107" s="100" t="n"/>
      <x:c r="FC107" s="100" t="n"/>
      <x:c r="FD107" s="100" t="n"/>
      <x:c r="FE107" s="100" t="n"/>
      <x:c r="FF107" s="100" t="n"/>
      <x:c r="FG107" s="100" t="n"/>
      <x:c r="FH107" s="100" t="n"/>
      <x:c r="FI107" s="100" t="n"/>
      <x:c r="FJ107" s="100" t="n"/>
      <x:c r="FK107" s="100" t="n"/>
      <x:c r="FL107" s="100" t="n"/>
      <x:c r="FM107" s="100" t="n"/>
      <x:c r="FN107" s="100" t="n"/>
      <x:c r="FO107" s="100" t="n"/>
      <x:c r="FP107" s="100" t="n"/>
      <x:c r="FQ107" s="100" t="n"/>
      <x:c r="FR107" s="100" t="n"/>
      <x:c r="FS107" s="100" t="n"/>
      <x:c r="FT107" s="100" t="n"/>
      <x:c r="FU107" s="100" t="n"/>
      <x:c r="FV107" s="100" t="n"/>
      <x:c r="FW107" s="100" t="n"/>
      <x:c r="FX107" s="100" t="n"/>
      <x:c r="FY107" s="100" t="n"/>
      <x:c r="FZ107" s="100" t="n"/>
      <x:c r="GA107" s="100" t="n"/>
      <x:c r="GB107" s="100" t="n"/>
      <x:c r="GC107" s="100" t="n"/>
      <x:c r="GD107" s="100" t="n"/>
      <x:c r="GE107" s="100" t="n"/>
      <x:c r="GF107" s="100" t="n"/>
    </x:row>
    <x:row r="108" s="27" customFormat="1">
      <x:c r="A108" s="38" t="n"/>
      <x:c r="B108" s="37" t="n"/>
      <x:c r="C108" s="36" t="n">
        <x:f>E108*D$5</x:f>
        <x:v>0</x:v>
      </x:c>
      <x:c r="D108" s="20" t="n"/>
      <x:c r="E108" s="36" t="n">
        <x:f>SUM(G108:HT108)</x:f>
        <x:v>0</x:v>
      </x:c>
      <x:c r="M108" s="100" t="n"/>
      <x:c r="N108" s="100" t="n"/>
      <x:c r="O108" s="100" t="n"/>
      <x:c r="P108" s="100" t="n"/>
      <x:c r="Q108" s="100" t="n"/>
      <x:c r="R108" s="100" t="n"/>
      <x:c r="S108" s="100" t="n"/>
      <x:c r="T108" s="100" t="n"/>
      <x:c r="U108" s="100" t="n"/>
      <x:c r="V108" s="100" t="n"/>
      <x:c r="W108" s="100" t="n"/>
      <x:c r="X108" s="100" t="n"/>
      <x:c r="Y108" s="100" t="n"/>
      <x:c r="Z108" s="100" t="n"/>
      <x:c r="AA108" s="100" t="n"/>
      <x:c r="AB108" s="100" t="n"/>
      <x:c r="AC108" s="100" t="n"/>
      <x:c r="AD108" s="100" t="n"/>
      <x:c r="AE108" s="100" t="n"/>
      <x:c r="AF108" s="100" t="n"/>
      <x:c r="AG108" s="100" t="n"/>
      <x:c r="AH108" s="100" t="n"/>
      <x:c r="AI108" s="100" t="n"/>
      <x:c r="AJ108" s="100" t="n"/>
      <x:c r="AK108" s="100" t="n"/>
      <x:c r="AL108" s="100" t="n"/>
      <x:c r="AM108" s="100" t="n"/>
      <x:c r="AN108" s="100" t="n"/>
      <x:c r="AO108" s="100" t="n"/>
      <x:c r="AP108" s="100" t="n"/>
      <x:c r="AQ108" s="100" t="n"/>
      <x:c r="AR108" s="100" t="n"/>
      <x:c r="AS108" s="100" t="n"/>
      <x:c r="AT108" s="100" t="n"/>
      <x:c r="AU108" s="100" t="n"/>
      <x:c r="AV108" s="100" t="n"/>
      <x:c r="AW108" s="100" t="n"/>
      <x:c r="AX108" s="100" t="n"/>
      <x:c r="AY108" s="100" t="n"/>
      <x:c r="AZ108" s="100" t="n"/>
      <x:c r="BA108" s="100" t="n"/>
      <x:c r="BB108" s="100" t="n"/>
      <x:c r="BC108" s="100" t="n"/>
      <x:c r="BD108" s="100" t="n"/>
      <x:c r="BE108" s="100" t="n"/>
      <x:c r="BF108" s="100" t="n"/>
      <x:c r="BG108" s="100" t="n"/>
      <x:c r="BH108" s="100" t="n"/>
      <x:c r="BI108" s="100" t="n"/>
      <x:c r="BJ108" s="100" t="n"/>
      <x:c r="BK108" s="100" t="n"/>
      <x:c r="BL108" s="100" t="n"/>
      <x:c r="BM108" s="100" t="n"/>
      <x:c r="BN108" s="100" t="n"/>
      <x:c r="BO108" s="100" t="n"/>
      <x:c r="BP108" s="100" t="n"/>
      <x:c r="BQ108" s="100" t="n"/>
      <x:c r="BR108" s="100" t="n"/>
      <x:c r="BS108" s="100" t="n"/>
      <x:c r="BT108" s="100" t="n"/>
      <x:c r="BU108" s="100" t="n"/>
      <x:c r="BV108" s="100" t="n"/>
      <x:c r="BW108" s="100" t="n"/>
      <x:c r="BX108" s="100" t="n"/>
      <x:c r="BY108" s="100" t="n"/>
      <x:c r="BZ108" s="100" t="n"/>
      <x:c r="CA108" s="100" t="n"/>
      <x:c r="CB108" s="100" t="n"/>
      <x:c r="CC108" s="100" t="n"/>
      <x:c r="CD108" s="100" t="n"/>
      <x:c r="CE108" s="100" t="n"/>
      <x:c r="CF108" s="100" t="n"/>
      <x:c r="CG108" s="100" t="n"/>
      <x:c r="CH108" s="100" t="n"/>
      <x:c r="CI108" s="100" t="n"/>
      <x:c r="CJ108" s="100" t="n"/>
      <x:c r="CK108" s="100" t="n"/>
      <x:c r="CL108" s="100" t="n"/>
      <x:c r="CM108" s="100" t="n"/>
      <x:c r="CN108" s="100" t="n"/>
      <x:c r="CO108" s="100" t="n"/>
      <x:c r="CP108" s="100" t="n"/>
      <x:c r="CQ108" s="100" t="n"/>
      <x:c r="CR108" s="100" t="n"/>
      <x:c r="CS108" s="100" t="n"/>
      <x:c r="CT108" s="100" t="n"/>
      <x:c r="CU108" s="100" t="n"/>
      <x:c r="CV108" s="100" t="n"/>
      <x:c r="CW108" s="100" t="n"/>
      <x:c r="CX108" s="100" t="n"/>
      <x:c r="CY108" s="100" t="n"/>
      <x:c r="CZ108" s="100" t="n"/>
      <x:c r="DA108" s="100" t="n"/>
      <x:c r="DB108" s="100" t="n"/>
      <x:c r="DC108" s="100" t="n"/>
      <x:c r="DD108" s="100" t="n"/>
      <x:c r="DE108" s="100" t="n"/>
      <x:c r="DF108" s="100" t="n"/>
      <x:c r="DG108" s="100" t="n"/>
      <x:c r="DH108" s="100" t="n"/>
      <x:c r="DI108" s="100" t="n"/>
      <x:c r="DJ108" s="100" t="n"/>
      <x:c r="DK108" s="100" t="n"/>
      <x:c r="DL108" s="100" t="n"/>
      <x:c r="DM108" s="100" t="n"/>
      <x:c r="DN108" s="100" t="n"/>
      <x:c r="DO108" s="100" t="n"/>
      <x:c r="DP108" s="100" t="n"/>
      <x:c r="DQ108" s="100" t="n"/>
      <x:c r="DR108" s="100" t="n"/>
      <x:c r="DS108" s="100" t="n"/>
      <x:c r="DT108" s="100" t="n"/>
      <x:c r="DU108" s="100" t="n"/>
      <x:c r="DV108" s="100" t="n"/>
      <x:c r="DW108" s="100" t="n"/>
      <x:c r="DX108" s="100" t="n"/>
      <x:c r="DY108" s="100" t="n"/>
      <x:c r="DZ108" s="100" t="n"/>
      <x:c r="EA108" s="100" t="n"/>
      <x:c r="EB108" s="100" t="n"/>
      <x:c r="EC108" s="100" t="n"/>
      <x:c r="ED108" s="100" t="n"/>
      <x:c r="EE108" s="100" t="n"/>
      <x:c r="EF108" s="100" t="n"/>
      <x:c r="EG108" s="100" t="n"/>
      <x:c r="EH108" s="100" t="n"/>
      <x:c r="EI108" s="100" t="n"/>
      <x:c r="EJ108" s="100" t="n"/>
      <x:c r="EK108" s="100" t="n"/>
      <x:c r="EL108" s="100" t="n"/>
      <x:c r="EM108" s="100" t="n"/>
      <x:c r="EN108" s="100" t="n"/>
      <x:c r="EO108" s="100" t="n"/>
      <x:c r="EP108" s="100" t="n"/>
      <x:c r="EQ108" s="100" t="n"/>
      <x:c r="ER108" s="100" t="n"/>
      <x:c r="ES108" s="100" t="n"/>
      <x:c r="ET108" s="100" t="n"/>
      <x:c r="EU108" s="100" t="n"/>
      <x:c r="EV108" s="100" t="n"/>
      <x:c r="EW108" s="100" t="n"/>
      <x:c r="EX108" s="100" t="n"/>
      <x:c r="EY108" s="100" t="n"/>
      <x:c r="EZ108" s="100" t="n"/>
      <x:c r="FA108" s="100" t="n"/>
      <x:c r="FB108" s="100" t="n"/>
      <x:c r="FC108" s="100" t="n"/>
      <x:c r="FD108" s="100" t="n"/>
      <x:c r="FE108" s="100" t="n"/>
      <x:c r="FF108" s="100" t="n"/>
      <x:c r="FG108" s="100" t="n"/>
      <x:c r="FH108" s="100" t="n"/>
      <x:c r="FI108" s="100" t="n"/>
      <x:c r="FJ108" s="100" t="n"/>
      <x:c r="FK108" s="100" t="n"/>
      <x:c r="FL108" s="100" t="n"/>
      <x:c r="FM108" s="100" t="n"/>
      <x:c r="FN108" s="100" t="n"/>
      <x:c r="FO108" s="100" t="n"/>
      <x:c r="FP108" s="100" t="n"/>
      <x:c r="FQ108" s="100" t="n"/>
      <x:c r="FR108" s="100" t="n"/>
      <x:c r="FS108" s="100" t="n"/>
      <x:c r="FT108" s="100" t="n"/>
      <x:c r="FU108" s="100" t="n"/>
      <x:c r="FV108" s="100" t="n"/>
      <x:c r="FW108" s="100" t="n"/>
      <x:c r="FX108" s="100" t="n"/>
      <x:c r="FY108" s="100" t="n"/>
      <x:c r="FZ108" s="100" t="n"/>
      <x:c r="GA108" s="100" t="n"/>
      <x:c r="GB108" s="100" t="n"/>
      <x:c r="GC108" s="100" t="n"/>
      <x:c r="GD108" s="100" t="n"/>
      <x:c r="GE108" s="100" t="n"/>
      <x:c r="GF108" s="100" t="n"/>
    </x:row>
    <x:row r="109" s="27" customFormat="1">
      <x:c r="A109" s="38" t="n"/>
      <x:c r="B109" s="37" t="n"/>
      <x:c r="C109" s="36" t="n">
        <x:f>E109*D$5</x:f>
        <x:v>0</x:v>
      </x:c>
      <x:c r="D109" s="20" t="n"/>
      <x:c r="E109" s="36" t="n">
        <x:f>SUM(G109:HT109)</x:f>
        <x:v>0</x:v>
      </x:c>
      <x:c r="M109" s="100" t="n"/>
      <x:c r="N109" s="100" t="n"/>
      <x:c r="O109" s="100" t="n"/>
      <x:c r="P109" s="100" t="n"/>
      <x:c r="Q109" s="100" t="n"/>
      <x:c r="R109" s="100" t="n"/>
      <x:c r="S109" s="100" t="n"/>
      <x:c r="T109" s="100" t="n"/>
      <x:c r="U109" s="100" t="n"/>
      <x:c r="V109" s="100" t="n"/>
      <x:c r="W109" s="100" t="n"/>
      <x:c r="X109" s="100" t="n"/>
      <x:c r="Y109" s="100" t="n"/>
      <x:c r="Z109" s="100" t="n"/>
      <x:c r="AA109" s="100" t="n"/>
      <x:c r="AB109" s="100" t="n"/>
      <x:c r="AC109" s="100" t="n"/>
      <x:c r="AD109" s="100" t="n"/>
      <x:c r="AE109" s="100" t="n"/>
      <x:c r="AF109" s="100" t="n"/>
      <x:c r="AG109" s="100" t="n"/>
      <x:c r="AH109" s="100" t="n"/>
      <x:c r="AI109" s="100" t="n"/>
      <x:c r="AJ109" s="100" t="n"/>
      <x:c r="AK109" s="100" t="n"/>
      <x:c r="AL109" s="100" t="n"/>
      <x:c r="AM109" s="100" t="n"/>
      <x:c r="AN109" s="100" t="n"/>
      <x:c r="AO109" s="100" t="n"/>
      <x:c r="AP109" s="100" t="n"/>
      <x:c r="AQ109" s="100" t="n"/>
      <x:c r="AR109" s="100" t="n"/>
      <x:c r="AS109" s="100" t="n"/>
      <x:c r="AT109" s="100" t="n"/>
      <x:c r="AU109" s="100" t="n"/>
      <x:c r="AV109" s="100" t="n"/>
      <x:c r="AW109" s="100" t="n"/>
      <x:c r="AX109" s="100" t="n"/>
      <x:c r="AY109" s="100" t="n"/>
      <x:c r="AZ109" s="100" t="n"/>
      <x:c r="BA109" s="100" t="n"/>
      <x:c r="BB109" s="100" t="n"/>
      <x:c r="BC109" s="100" t="n"/>
      <x:c r="BD109" s="100" t="n"/>
      <x:c r="BE109" s="100" t="n"/>
      <x:c r="BF109" s="100" t="n"/>
      <x:c r="BG109" s="100" t="n"/>
      <x:c r="BH109" s="100" t="n"/>
      <x:c r="BI109" s="100" t="n"/>
      <x:c r="BJ109" s="100" t="n"/>
      <x:c r="BK109" s="100" t="n"/>
      <x:c r="BL109" s="100" t="n"/>
      <x:c r="BM109" s="100" t="n"/>
      <x:c r="BN109" s="100" t="n"/>
      <x:c r="BO109" s="100" t="n"/>
      <x:c r="BP109" s="100" t="n"/>
      <x:c r="BQ109" s="100" t="n"/>
      <x:c r="BR109" s="100" t="n"/>
      <x:c r="BS109" s="100" t="n"/>
      <x:c r="BT109" s="100" t="n"/>
      <x:c r="BU109" s="100" t="n"/>
      <x:c r="BV109" s="100" t="n"/>
      <x:c r="BW109" s="100" t="n"/>
      <x:c r="BX109" s="100" t="n"/>
      <x:c r="BY109" s="100" t="n"/>
      <x:c r="BZ109" s="100" t="n"/>
      <x:c r="CA109" s="100" t="n"/>
      <x:c r="CB109" s="100" t="n"/>
      <x:c r="CC109" s="100" t="n"/>
      <x:c r="CD109" s="100" t="n"/>
      <x:c r="CE109" s="100" t="n"/>
      <x:c r="CF109" s="100" t="n"/>
      <x:c r="CG109" s="100" t="n"/>
      <x:c r="CH109" s="100" t="n"/>
      <x:c r="CI109" s="100" t="n"/>
      <x:c r="CJ109" s="100" t="n"/>
      <x:c r="CK109" s="100" t="n"/>
      <x:c r="CL109" s="100" t="n"/>
      <x:c r="CM109" s="100" t="n"/>
      <x:c r="CN109" s="100" t="n"/>
      <x:c r="CO109" s="100" t="n"/>
      <x:c r="CP109" s="100" t="n"/>
      <x:c r="CQ109" s="100" t="n"/>
      <x:c r="CR109" s="100" t="n"/>
      <x:c r="CS109" s="100" t="n"/>
      <x:c r="CT109" s="100" t="n"/>
      <x:c r="CU109" s="100" t="n"/>
      <x:c r="CV109" s="100" t="n"/>
      <x:c r="CW109" s="100" t="n"/>
      <x:c r="CX109" s="100" t="n"/>
      <x:c r="CY109" s="100" t="n"/>
      <x:c r="CZ109" s="100" t="n"/>
      <x:c r="DA109" s="100" t="n"/>
      <x:c r="DB109" s="100" t="n"/>
      <x:c r="DC109" s="100" t="n"/>
      <x:c r="DD109" s="100" t="n"/>
      <x:c r="DE109" s="100" t="n"/>
      <x:c r="DF109" s="100" t="n"/>
      <x:c r="DG109" s="100" t="n"/>
      <x:c r="DH109" s="100" t="n"/>
      <x:c r="DI109" s="100" t="n"/>
      <x:c r="DJ109" s="100" t="n"/>
      <x:c r="DK109" s="100" t="n"/>
      <x:c r="DL109" s="100" t="n"/>
      <x:c r="DM109" s="100" t="n"/>
      <x:c r="DN109" s="100" t="n"/>
      <x:c r="DO109" s="100" t="n"/>
      <x:c r="DP109" s="100" t="n"/>
      <x:c r="DQ109" s="100" t="n"/>
      <x:c r="DR109" s="100" t="n"/>
      <x:c r="DS109" s="100" t="n"/>
      <x:c r="DT109" s="100" t="n"/>
      <x:c r="DU109" s="100" t="n"/>
      <x:c r="DV109" s="100" t="n"/>
      <x:c r="DW109" s="100" t="n"/>
      <x:c r="DX109" s="100" t="n"/>
      <x:c r="DY109" s="100" t="n"/>
      <x:c r="DZ109" s="100" t="n"/>
      <x:c r="EA109" s="100" t="n"/>
      <x:c r="EB109" s="100" t="n"/>
      <x:c r="EC109" s="100" t="n"/>
      <x:c r="ED109" s="100" t="n"/>
      <x:c r="EE109" s="100" t="n"/>
      <x:c r="EF109" s="100" t="n"/>
      <x:c r="EG109" s="100" t="n"/>
      <x:c r="EH109" s="100" t="n"/>
      <x:c r="EI109" s="100" t="n"/>
      <x:c r="EJ109" s="100" t="n"/>
      <x:c r="EK109" s="100" t="n"/>
      <x:c r="EL109" s="100" t="n"/>
      <x:c r="EM109" s="100" t="n"/>
      <x:c r="EN109" s="100" t="n"/>
      <x:c r="EO109" s="100" t="n"/>
      <x:c r="EP109" s="100" t="n"/>
      <x:c r="EQ109" s="100" t="n"/>
      <x:c r="ER109" s="100" t="n"/>
      <x:c r="ES109" s="100" t="n"/>
      <x:c r="ET109" s="100" t="n"/>
      <x:c r="EU109" s="100" t="n"/>
      <x:c r="EV109" s="100" t="n"/>
      <x:c r="EW109" s="100" t="n"/>
      <x:c r="EX109" s="100" t="n"/>
      <x:c r="EY109" s="100" t="n"/>
      <x:c r="EZ109" s="100" t="n"/>
      <x:c r="FA109" s="100" t="n"/>
      <x:c r="FB109" s="100" t="n"/>
      <x:c r="FC109" s="100" t="n"/>
      <x:c r="FD109" s="100" t="n"/>
      <x:c r="FE109" s="100" t="n"/>
      <x:c r="FF109" s="100" t="n"/>
      <x:c r="FG109" s="100" t="n"/>
      <x:c r="FH109" s="100" t="n"/>
      <x:c r="FI109" s="100" t="n"/>
      <x:c r="FJ109" s="100" t="n"/>
      <x:c r="FK109" s="100" t="n"/>
      <x:c r="FL109" s="100" t="n"/>
      <x:c r="FM109" s="100" t="n"/>
      <x:c r="FN109" s="100" t="n"/>
      <x:c r="FO109" s="100" t="n"/>
      <x:c r="FP109" s="100" t="n"/>
      <x:c r="FQ109" s="100" t="n"/>
      <x:c r="FR109" s="100" t="n"/>
      <x:c r="FS109" s="100" t="n"/>
      <x:c r="FT109" s="100" t="n"/>
      <x:c r="FU109" s="100" t="n"/>
      <x:c r="FV109" s="100" t="n"/>
      <x:c r="FW109" s="100" t="n"/>
      <x:c r="FX109" s="100" t="n"/>
      <x:c r="FY109" s="100" t="n"/>
      <x:c r="FZ109" s="100" t="n"/>
      <x:c r="GA109" s="100" t="n"/>
      <x:c r="GB109" s="100" t="n"/>
      <x:c r="GC109" s="100" t="n"/>
      <x:c r="GD109" s="100" t="n"/>
      <x:c r="GE109" s="100" t="n"/>
      <x:c r="GF109" s="100" t="n"/>
    </x:row>
    <x:row r="110" s="27" customFormat="1">
      <x:c r="A110" s="38" t="n"/>
      <x:c r="B110" s="37" t="n"/>
      <x:c r="C110" s="36" t="n">
        <x:f>E110*D$5</x:f>
        <x:v>0</x:v>
      </x:c>
      <x:c r="D110" s="20" t="n"/>
      <x:c r="E110" s="36" t="n">
        <x:f>SUM(G110:HT110)</x:f>
        <x:v>0</x:v>
      </x:c>
      <x:c r="M110" s="100" t="n"/>
      <x:c r="N110" s="100" t="n"/>
      <x:c r="O110" s="100" t="n"/>
      <x:c r="P110" s="100" t="n"/>
      <x:c r="Q110" s="100" t="n"/>
      <x:c r="R110" s="100" t="n"/>
      <x:c r="S110" s="100" t="n"/>
      <x:c r="T110" s="100" t="n"/>
      <x:c r="U110" s="100" t="n"/>
      <x:c r="V110" s="100" t="n"/>
      <x:c r="W110" s="100" t="n"/>
      <x:c r="X110" s="100" t="n"/>
      <x:c r="Y110" s="100" t="n"/>
      <x:c r="Z110" s="100" t="n"/>
      <x:c r="AA110" s="100" t="n"/>
      <x:c r="AB110" s="100" t="n"/>
      <x:c r="AC110" s="100" t="n"/>
      <x:c r="AD110" s="100" t="n"/>
      <x:c r="AE110" s="100" t="n"/>
      <x:c r="AF110" s="100" t="n"/>
      <x:c r="AG110" s="100" t="n"/>
      <x:c r="AH110" s="100" t="n"/>
      <x:c r="AI110" s="100" t="n"/>
      <x:c r="AJ110" s="100" t="n"/>
      <x:c r="AK110" s="100" t="n"/>
      <x:c r="AL110" s="100" t="n"/>
      <x:c r="AM110" s="100" t="n"/>
      <x:c r="AN110" s="100" t="n"/>
      <x:c r="AO110" s="100" t="n"/>
      <x:c r="AP110" s="100" t="n"/>
      <x:c r="AQ110" s="100" t="n"/>
      <x:c r="AR110" s="100" t="n"/>
      <x:c r="AS110" s="100" t="n"/>
      <x:c r="AT110" s="100" t="n"/>
      <x:c r="AU110" s="100" t="n"/>
      <x:c r="AV110" s="100" t="n"/>
      <x:c r="AW110" s="100" t="n"/>
      <x:c r="AX110" s="100" t="n"/>
      <x:c r="AY110" s="100" t="n"/>
      <x:c r="AZ110" s="100" t="n"/>
      <x:c r="BA110" s="100" t="n"/>
      <x:c r="BB110" s="100" t="n"/>
      <x:c r="BC110" s="100" t="n"/>
      <x:c r="BD110" s="100" t="n"/>
      <x:c r="BE110" s="100" t="n"/>
      <x:c r="BF110" s="100" t="n"/>
      <x:c r="BG110" s="100" t="n"/>
      <x:c r="BH110" s="100" t="n"/>
      <x:c r="BI110" s="100" t="n"/>
      <x:c r="BJ110" s="100" t="n"/>
      <x:c r="BK110" s="100" t="n"/>
      <x:c r="BL110" s="100" t="n"/>
      <x:c r="BM110" s="100" t="n"/>
      <x:c r="BN110" s="100" t="n"/>
      <x:c r="BO110" s="100" t="n"/>
      <x:c r="BP110" s="100" t="n"/>
      <x:c r="BQ110" s="100" t="n"/>
      <x:c r="BR110" s="100" t="n"/>
      <x:c r="BS110" s="100" t="n"/>
      <x:c r="BT110" s="100" t="n"/>
      <x:c r="BU110" s="100" t="n"/>
      <x:c r="BV110" s="100" t="n"/>
      <x:c r="BW110" s="100" t="n"/>
      <x:c r="BX110" s="100" t="n"/>
      <x:c r="BY110" s="100" t="n"/>
      <x:c r="BZ110" s="100" t="n"/>
      <x:c r="CA110" s="100" t="n"/>
      <x:c r="CB110" s="100" t="n"/>
      <x:c r="CC110" s="100" t="n"/>
      <x:c r="CD110" s="100" t="n"/>
      <x:c r="CE110" s="100" t="n"/>
      <x:c r="CF110" s="100" t="n"/>
      <x:c r="CG110" s="100" t="n"/>
      <x:c r="CH110" s="100" t="n"/>
      <x:c r="CI110" s="100" t="n"/>
      <x:c r="CJ110" s="100" t="n"/>
      <x:c r="CK110" s="100" t="n"/>
      <x:c r="CL110" s="100" t="n"/>
      <x:c r="CM110" s="100" t="n"/>
      <x:c r="CN110" s="100" t="n"/>
      <x:c r="CO110" s="100" t="n"/>
      <x:c r="CP110" s="100" t="n"/>
      <x:c r="CQ110" s="100" t="n"/>
      <x:c r="CR110" s="100" t="n"/>
      <x:c r="CS110" s="100" t="n"/>
      <x:c r="CT110" s="100" t="n"/>
      <x:c r="CU110" s="100" t="n"/>
      <x:c r="CV110" s="100" t="n"/>
      <x:c r="CW110" s="100" t="n"/>
      <x:c r="CX110" s="100" t="n"/>
      <x:c r="CY110" s="100" t="n"/>
      <x:c r="CZ110" s="100" t="n"/>
      <x:c r="DA110" s="100" t="n"/>
      <x:c r="DB110" s="100" t="n"/>
      <x:c r="DC110" s="100" t="n"/>
      <x:c r="DD110" s="100" t="n"/>
      <x:c r="DE110" s="100" t="n"/>
      <x:c r="DF110" s="100" t="n"/>
      <x:c r="DG110" s="100" t="n"/>
      <x:c r="DH110" s="100" t="n"/>
      <x:c r="DI110" s="100" t="n"/>
      <x:c r="DJ110" s="100" t="n"/>
      <x:c r="DK110" s="100" t="n"/>
      <x:c r="DL110" s="100" t="n"/>
      <x:c r="DM110" s="100" t="n"/>
      <x:c r="DN110" s="100" t="n"/>
      <x:c r="DO110" s="100" t="n"/>
      <x:c r="DP110" s="100" t="n"/>
      <x:c r="DQ110" s="100" t="n"/>
      <x:c r="DR110" s="100" t="n"/>
      <x:c r="DS110" s="100" t="n"/>
      <x:c r="DT110" s="100" t="n"/>
      <x:c r="DU110" s="100" t="n"/>
      <x:c r="DV110" s="100" t="n"/>
      <x:c r="DW110" s="100" t="n"/>
      <x:c r="DX110" s="100" t="n"/>
      <x:c r="DY110" s="100" t="n"/>
      <x:c r="DZ110" s="100" t="n"/>
      <x:c r="EA110" s="100" t="n"/>
      <x:c r="EB110" s="100" t="n"/>
      <x:c r="EC110" s="100" t="n"/>
      <x:c r="ED110" s="100" t="n"/>
      <x:c r="EE110" s="100" t="n"/>
      <x:c r="EF110" s="100" t="n"/>
      <x:c r="EG110" s="100" t="n"/>
      <x:c r="EH110" s="100" t="n"/>
      <x:c r="EI110" s="100" t="n"/>
      <x:c r="EJ110" s="100" t="n"/>
      <x:c r="EK110" s="100" t="n"/>
      <x:c r="EL110" s="100" t="n"/>
      <x:c r="EM110" s="100" t="n"/>
      <x:c r="EN110" s="100" t="n"/>
      <x:c r="EO110" s="100" t="n"/>
      <x:c r="EP110" s="100" t="n"/>
      <x:c r="EQ110" s="100" t="n"/>
      <x:c r="ER110" s="100" t="n"/>
      <x:c r="ES110" s="100" t="n"/>
      <x:c r="ET110" s="100" t="n"/>
      <x:c r="EU110" s="100" t="n"/>
      <x:c r="EV110" s="100" t="n"/>
      <x:c r="EW110" s="100" t="n"/>
      <x:c r="EX110" s="100" t="n"/>
      <x:c r="EY110" s="100" t="n"/>
      <x:c r="EZ110" s="100" t="n"/>
      <x:c r="FA110" s="100" t="n"/>
      <x:c r="FB110" s="100" t="n"/>
      <x:c r="FC110" s="100" t="n"/>
      <x:c r="FD110" s="100" t="n"/>
      <x:c r="FE110" s="100" t="n"/>
      <x:c r="FF110" s="100" t="n"/>
      <x:c r="FG110" s="100" t="n"/>
      <x:c r="FH110" s="100" t="n"/>
      <x:c r="FI110" s="100" t="n"/>
      <x:c r="FJ110" s="100" t="n"/>
      <x:c r="FK110" s="100" t="n"/>
      <x:c r="FL110" s="100" t="n"/>
      <x:c r="FM110" s="100" t="n"/>
      <x:c r="FN110" s="100" t="n"/>
      <x:c r="FO110" s="100" t="n"/>
      <x:c r="FP110" s="100" t="n"/>
      <x:c r="FQ110" s="100" t="n"/>
      <x:c r="FR110" s="100" t="n"/>
      <x:c r="FS110" s="100" t="n"/>
      <x:c r="FT110" s="100" t="n"/>
      <x:c r="FU110" s="100" t="n"/>
      <x:c r="FV110" s="100" t="n"/>
      <x:c r="FW110" s="100" t="n"/>
      <x:c r="FX110" s="100" t="n"/>
      <x:c r="FY110" s="100" t="n"/>
      <x:c r="FZ110" s="100" t="n"/>
      <x:c r="GA110" s="100" t="n"/>
      <x:c r="GB110" s="100" t="n"/>
      <x:c r="GC110" s="100" t="n"/>
      <x:c r="GD110" s="100" t="n"/>
      <x:c r="GE110" s="100" t="n"/>
      <x:c r="GF110" s="100" t="n"/>
    </x:row>
    <x:row r="111" s="27" customFormat="1">
      <x:c r="A111" s="38" t="n"/>
      <x:c r="B111" s="37" t="n"/>
      <x:c r="C111" s="36" t="n">
        <x:f>E111*D$5</x:f>
        <x:v>0</x:v>
      </x:c>
      <x:c r="D111" s="20" t="n"/>
      <x:c r="E111" s="36" t="n">
        <x:f>SUM(G111:HT111)</x:f>
        <x:v>0</x:v>
      </x:c>
      <x:c r="M111" s="100" t="n"/>
      <x:c r="N111" s="100" t="n"/>
      <x:c r="O111" s="100" t="n"/>
      <x:c r="P111" s="100" t="n"/>
      <x:c r="Q111" s="100" t="n"/>
      <x:c r="R111" s="100" t="n"/>
      <x:c r="S111" s="100" t="n"/>
      <x:c r="T111" s="100" t="n"/>
      <x:c r="U111" s="100" t="n"/>
      <x:c r="V111" s="100" t="n"/>
      <x:c r="W111" s="100" t="n"/>
      <x:c r="X111" s="100" t="n"/>
      <x:c r="Y111" s="100" t="n"/>
      <x:c r="Z111" s="100" t="n"/>
      <x:c r="AA111" s="100" t="n"/>
      <x:c r="AB111" s="100" t="n"/>
      <x:c r="AC111" s="100" t="n"/>
      <x:c r="AD111" s="100" t="n"/>
      <x:c r="AE111" s="100" t="n"/>
      <x:c r="AF111" s="100" t="n"/>
      <x:c r="AG111" s="100" t="n"/>
      <x:c r="AH111" s="100" t="n"/>
      <x:c r="AI111" s="100" t="n"/>
      <x:c r="AJ111" s="100" t="n"/>
      <x:c r="AK111" s="100" t="n"/>
      <x:c r="AL111" s="100" t="n"/>
      <x:c r="AM111" s="100" t="n"/>
      <x:c r="AN111" s="100" t="n"/>
      <x:c r="AO111" s="100" t="n"/>
      <x:c r="AP111" s="100" t="n"/>
      <x:c r="AQ111" s="100" t="n"/>
      <x:c r="AR111" s="100" t="n"/>
      <x:c r="AS111" s="100" t="n"/>
      <x:c r="AT111" s="100" t="n"/>
      <x:c r="AU111" s="100" t="n"/>
      <x:c r="AV111" s="100" t="n"/>
      <x:c r="AW111" s="100" t="n"/>
      <x:c r="AX111" s="100" t="n"/>
      <x:c r="AY111" s="100" t="n"/>
      <x:c r="AZ111" s="100" t="n"/>
      <x:c r="BA111" s="100" t="n"/>
      <x:c r="BB111" s="100" t="n"/>
      <x:c r="BC111" s="100" t="n"/>
      <x:c r="BD111" s="100" t="n"/>
      <x:c r="BE111" s="100" t="n"/>
      <x:c r="BF111" s="100" t="n"/>
      <x:c r="BG111" s="100" t="n"/>
      <x:c r="BH111" s="100" t="n"/>
      <x:c r="BI111" s="100" t="n"/>
      <x:c r="BJ111" s="100" t="n"/>
      <x:c r="BK111" s="100" t="n"/>
      <x:c r="BL111" s="100" t="n"/>
      <x:c r="BM111" s="100" t="n"/>
      <x:c r="BN111" s="100" t="n"/>
      <x:c r="BO111" s="100" t="n"/>
      <x:c r="BP111" s="100" t="n"/>
      <x:c r="BQ111" s="100" t="n"/>
      <x:c r="BR111" s="100" t="n"/>
      <x:c r="BS111" s="100" t="n"/>
      <x:c r="BT111" s="100" t="n"/>
      <x:c r="BU111" s="100" t="n"/>
      <x:c r="BV111" s="100" t="n"/>
      <x:c r="BW111" s="100" t="n"/>
      <x:c r="BX111" s="100" t="n"/>
      <x:c r="BY111" s="100" t="n"/>
      <x:c r="BZ111" s="100" t="n"/>
      <x:c r="CA111" s="100" t="n"/>
      <x:c r="CB111" s="100" t="n"/>
      <x:c r="CC111" s="100" t="n"/>
      <x:c r="CD111" s="100" t="n"/>
      <x:c r="CE111" s="100" t="n"/>
      <x:c r="CF111" s="100" t="n"/>
      <x:c r="CG111" s="100" t="n"/>
      <x:c r="CH111" s="100" t="n"/>
      <x:c r="CI111" s="100" t="n"/>
      <x:c r="CJ111" s="100" t="n"/>
      <x:c r="CK111" s="100" t="n"/>
      <x:c r="CL111" s="100" t="n"/>
      <x:c r="CM111" s="100" t="n"/>
      <x:c r="CN111" s="100" t="n"/>
      <x:c r="CO111" s="100" t="n"/>
      <x:c r="CP111" s="100" t="n"/>
      <x:c r="CQ111" s="100" t="n"/>
      <x:c r="CR111" s="100" t="n"/>
      <x:c r="CS111" s="100" t="n"/>
      <x:c r="CT111" s="100" t="n"/>
      <x:c r="CU111" s="100" t="n"/>
      <x:c r="CV111" s="100" t="n"/>
      <x:c r="CW111" s="100" t="n"/>
      <x:c r="CX111" s="100" t="n"/>
      <x:c r="CY111" s="100" t="n"/>
      <x:c r="CZ111" s="100" t="n"/>
      <x:c r="DA111" s="100" t="n"/>
      <x:c r="DB111" s="100" t="n"/>
      <x:c r="DC111" s="100" t="n"/>
      <x:c r="DD111" s="100" t="n"/>
      <x:c r="DE111" s="100" t="n"/>
      <x:c r="DF111" s="100" t="n"/>
      <x:c r="DG111" s="100" t="n"/>
      <x:c r="DH111" s="100" t="n"/>
      <x:c r="DI111" s="100" t="n"/>
      <x:c r="DJ111" s="100" t="n"/>
      <x:c r="DK111" s="100" t="n"/>
      <x:c r="DL111" s="100" t="n"/>
      <x:c r="DM111" s="100" t="n"/>
      <x:c r="DN111" s="100" t="n"/>
      <x:c r="DO111" s="100" t="n"/>
      <x:c r="DP111" s="100" t="n"/>
      <x:c r="DQ111" s="100" t="n"/>
      <x:c r="DR111" s="100" t="n"/>
      <x:c r="DS111" s="100" t="n"/>
      <x:c r="DT111" s="100" t="n"/>
      <x:c r="DU111" s="100" t="n"/>
      <x:c r="DV111" s="100" t="n"/>
      <x:c r="DW111" s="100" t="n"/>
      <x:c r="DX111" s="100" t="n"/>
      <x:c r="DY111" s="100" t="n"/>
      <x:c r="DZ111" s="100" t="n"/>
      <x:c r="EA111" s="100" t="n"/>
      <x:c r="EB111" s="100" t="n"/>
      <x:c r="EC111" s="100" t="n"/>
      <x:c r="ED111" s="100" t="n"/>
      <x:c r="EE111" s="100" t="n"/>
      <x:c r="EF111" s="100" t="n"/>
      <x:c r="EG111" s="100" t="n"/>
      <x:c r="EH111" s="100" t="n"/>
      <x:c r="EI111" s="100" t="n"/>
      <x:c r="EJ111" s="100" t="n"/>
      <x:c r="EK111" s="100" t="n"/>
      <x:c r="EL111" s="100" t="n"/>
      <x:c r="EM111" s="100" t="n"/>
      <x:c r="EN111" s="100" t="n"/>
      <x:c r="EO111" s="100" t="n"/>
      <x:c r="EP111" s="100" t="n"/>
      <x:c r="EQ111" s="100" t="n"/>
      <x:c r="ER111" s="100" t="n"/>
      <x:c r="ES111" s="100" t="n"/>
      <x:c r="ET111" s="100" t="n"/>
      <x:c r="EU111" s="100" t="n"/>
      <x:c r="EV111" s="100" t="n"/>
      <x:c r="EW111" s="100" t="n"/>
      <x:c r="EX111" s="100" t="n"/>
      <x:c r="EY111" s="100" t="n"/>
      <x:c r="EZ111" s="100" t="n"/>
      <x:c r="FA111" s="100" t="n"/>
      <x:c r="FB111" s="100" t="n"/>
      <x:c r="FC111" s="100" t="n"/>
      <x:c r="FD111" s="100" t="n"/>
      <x:c r="FE111" s="100" t="n"/>
      <x:c r="FF111" s="100" t="n"/>
      <x:c r="FG111" s="100" t="n"/>
      <x:c r="FH111" s="100" t="n"/>
      <x:c r="FI111" s="100" t="n"/>
      <x:c r="FJ111" s="100" t="n"/>
      <x:c r="FK111" s="100" t="n"/>
      <x:c r="FL111" s="100" t="n"/>
      <x:c r="FM111" s="100" t="n"/>
      <x:c r="FN111" s="100" t="n"/>
      <x:c r="FO111" s="100" t="n"/>
      <x:c r="FP111" s="100" t="n"/>
      <x:c r="FQ111" s="100" t="n"/>
      <x:c r="FR111" s="100" t="n"/>
      <x:c r="FS111" s="100" t="n"/>
      <x:c r="FT111" s="100" t="n"/>
      <x:c r="FU111" s="100" t="n"/>
      <x:c r="FV111" s="100" t="n"/>
      <x:c r="FW111" s="100" t="n"/>
      <x:c r="FX111" s="100" t="n"/>
      <x:c r="FY111" s="100" t="n"/>
      <x:c r="FZ111" s="100" t="n"/>
      <x:c r="GA111" s="100" t="n"/>
      <x:c r="GB111" s="100" t="n"/>
      <x:c r="GC111" s="100" t="n"/>
      <x:c r="GD111" s="100" t="n"/>
      <x:c r="GE111" s="100" t="n"/>
      <x:c r="GF111" s="100" t="n"/>
    </x:row>
    <x:row r="112" s="27" customFormat="1">
      <x:c r="A112" s="38" t="n"/>
      <x:c r="B112" s="37" t="n"/>
      <x:c r="C112" s="36" t="n">
        <x:f>E112*D$5</x:f>
        <x:v>0</x:v>
      </x:c>
      <x:c r="D112" s="20" t="n"/>
      <x:c r="E112" s="36" t="n">
        <x:f>SUM(G112:HT112)</x:f>
        <x:v>0</x:v>
      </x:c>
      <x:c r="M112" s="100" t="n"/>
      <x:c r="N112" s="100" t="n"/>
      <x:c r="O112" s="100" t="n"/>
      <x:c r="P112" s="100" t="n"/>
      <x:c r="Q112" s="100" t="n"/>
      <x:c r="R112" s="100" t="n"/>
      <x:c r="S112" s="100" t="n"/>
      <x:c r="T112" s="100" t="n"/>
      <x:c r="U112" s="100" t="n"/>
      <x:c r="V112" s="100" t="n"/>
      <x:c r="W112" s="100" t="n"/>
      <x:c r="X112" s="100" t="n"/>
      <x:c r="Y112" s="100" t="n"/>
      <x:c r="Z112" s="100" t="n"/>
      <x:c r="AA112" s="100" t="n"/>
      <x:c r="AB112" s="100" t="n"/>
      <x:c r="AC112" s="100" t="n"/>
      <x:c r="AD112" s="100" t="n"/>
      <x:c r="AE112" s="100" t="n"/>
      <x:c r="AF112" s="100" t="n"/>
      <x:c r="AG112" s="100" t="n"/>
      <x:c r="AH112" s="100" t="n"/>
      <x:c r="AI112" s="100" t="n"/>
      <x:c r="AJ112" s="100" t="n"/>
      <x:c r="AK112" s="100" t="n"/>
      <x:c r="AL112" s="100" t="n"/>
      <x:c r="AM112" s="100" t="n"/>
      <x:c r="AN112" s="100" t="n"/>
      <x:c r="AO112" s="100" t="n"/>
      <x:c r="AP112" s="100" t="n"/>
      <x:c r="AQ112" s="100" t="n"/>
      <x:c r="AR112" s="100" t="n"/>
      <x:c r="AS112" s="100" t="n"/>
      <x:c r="AT112" s="100" t="n"/>
      <x:c r="AU112" s="100" t="n"/>
      <x:c r="AV112" s="100" t="n"/>
      <x:c r="AW112" s="100" t="n"/>
      <x:c r="AX112" s="100" t="n"/>
      <x:c r="AY112" s="100" t="n"/>
      <x:c r="AZ112" s="100" t="n"/>
      <x:c r="BA112" s="100" t="n"/>
      <x:c r="BB112" s="100" t="n"/>
      <x:c r="BC112" s="100" t="n"/>
      <x:c r="BD112" s="100" t="n"/>
      <x:c r="BE112" s="100" t="n"/>
      <x:c r="BF112" s="100" t="n"/>
      <x:c r="BG112" s="100" t="n"/>
      <x:c r="BH112" s="100" t="n"/>
      <x:c r="BI112" s="100" t="n"/>
      <x:c r="BJ112" s="100" t="n"/>
      <x:c r="BK112" s="100" t="n"/>
      <x:c r="BL112" s="100" t="n"/>
      <x:c r="BM112" s="100" t="n"/>
      <x:c r="BN112" s="100" t="n"/>
      <x:c r="BO112" s="100" t="n"/>
      <x:c r="BP112" s="100" t="n"/>
      <x:c r="BQ112" s="100" t="n"/>
      <x:c r="BR112" s="100" t="n"/>
      <x:c r="BS112" s="100" t="n"/>
      <x:c r="BT112" s="100" t="n"/>
      <x:c r="BU112" s="100" t="n"/>
      <x:c r="BV112" s="100" t="n"/>
      <x:c r="BW112" s="100" t="n"/>
      <x:c r="BX112" s="100" t="n"/>
      <x:c r="BY112" s="100" t="n"/>
      <x:c r="BZ112" s="100" t="n"/>
      <x:c r="CA112" s="100" t="n"/>
      <x:c r="CB112" s="100" t="n"/>
      <x:c r="CC112" s="100" t="n"/>
      <x:c r="CD112" s="100" t="n"/>
      <x:c r="CE112" s="100" t="n"/>
      <x:c r="CF112" s="100" t="n"/>
      <x:c r="CG112" s="100" t="n"/>
      <x:c r="CH112" s="100" t="n"/>
      <x:c r="CI112" s="100" t="n"/>
      <x:c r="CJ112" s="100" t="n"/>
      <x:c r="CK112" s="100" t="n"/>
      <x:c r="CL112" s="100" t="n"/>
      <x:c r="CM112" s="100" t="n"/>
      <x:c r="CN112" s="100" t="n"/>
      <x:c r="CO112" s="100" t="n"/>
      <x:c r="CP112" s="100" t="n"/>
      <x:c r="CQ112" s="100" t="n"/>
      <x:c r="CR112" s="100" t="n"/>
      <x:c r="CS112" s="100" t="n"/>
      <x:c r="CT112" s="100" t="n"/>
      <x:c r="CU112" s="100" t="n"/>
      <x:c r="CV112" s="100" t="n"/>
      <x:c r="CW112" s="100" t="n"/>
      <x:c r="CX112" s="100" t="n"/>
      <x:c r="CY112" s="100" t="n"/>
      <x:c r="CZ112" s="100" t="n"/>
      <x:c r="DA112" s="100" t="n"/>
      <x:c r="DB112" s="100" t="n"/>
      <x:c r="DC112" s="100" t="n"/>
      <x:c r="DD112" s="100" t="n"/>
      <x:c r="DE112" s="100" t="n"/>
      <x:c r="DF112" s="100" t="n"/>
      <x:c r="DG112" s="100" t="n"/>
      <x:c r="DH112" s="100" t="n"/>
      <x:c r="DI112" s="100" t="n"/>
      <x:c r="DJ112" s="100" t="n"/>
      <x:c r="DK112" s="100" t="n"/>
      <x:c r="DL112" s="100" t="n"/>
      <x:c r="DM112" s="100" t="n"/>
      <x:c r="DN112" s="100" t="n"/>
      <x:c r="DO112" s="100" t="n"/>
      <x:c r="DP112" s="100" t="n"/>
      <x:c r="DQ112" s="100" t="n"/>
      <x:c r="DR112" s="100" t="n"/>
      <x:c r="DS112" s="100" t="n"/>
      <x:c r="DT112" s="100" t="n"/>
      <x:c r="DU112" s="100" t="n"/>
      <x:c r="DV112" s="100" t="n"/>
      <x:c r="DW112" s="100" t="n"/>
      <x:c r="DX112" s="100" t="n"/>
      <x:c r="DY112" s="100" t="n"/>
      <x:c r="DZ112" s="100" t="n"/>
      <x:c r="EA112" s="100" t="n"/>
      <x:c r="EB112" s="100" t="n"/>
      <x:c r="EC112" s="100" t="n"/>
      <x:c r="ED112" s="100" t="n"/>
      <x:c r="EE112" s="100" t="n"/>
      <x:c r="EF112" s="100" t="n"/>
      <x:c r="EG112" s="100" t="n"/>
      <x:c r="EH112" s="100" t="n"/>
      <x:c r="EI112" s="100" t="n"/>
      <x:c r="EJ112" s="100" t="n"/>
      <x:c r="EK112" s="100" t="n"/>
      <x:c r="EL112" s="100" t="n"/>
      <x:c r="EM112" s="100" t="n"/>
      <x:c r="EN112" s="100" t="n"/>
      <x:c r="EO112" s="100" t="n"/>
      <x:c r="EP112" s="100" t="n"/>
      <x:c r="EQ112" s="100" t="n"/>
      <x:c r="ER112" s="100" t="n"/>
      <x:c r="ES112" s="100" t="n"/>
      <x:c r="ET112" s="100" t="n"/>
      <x:c r="EU112" s="100" t="n"/>
      <x:c r="EV112" s="100" t="n"/>
      <x:c r="EW112" s="100" t="n"/>
      <x:c r="EX112" s="100" t="n"/>
      <x:c r="EY112" s="100" t="n"/>
      <x:c r="EZ112" s="100" t="n"/>
      <x:c r="FA112" s="100" t="n"/>
      <x:c r="FB112" s="100" t="n"/>
      <x:c r="FC112" s="100" t="n"/>
      <x:c r="FD112" s="100" t="n"/>
      <x:c r="FE112" s="100" t="n"/>
      <x:c r="FF112" s="100" t="n"/>
      <x:c r="FG112" s="100" t="n"/>
      <x:c r="FH112" s="100" t="n"/>
      <x:c r="FI112" s="100" t="n"/>
      <x:c r="FJ112" s="100" t="n"/>
      <x:c r="FK112" s="100" t="n"/>
      <x:c r="FL112" s="100" t="n"/>
      <x:c r="FM112" s="100" t="n"/>
      <x:c r="FN112" s="100" t="n"/>
      <x:c r="FO112" s="100" t="n"/>
      <x:c r="FP112" s="100" t="n"/>
      <x:c r="FQ112" s="100" t="n"/>
      <x:c r="FR112" s="100" t="n"/>
      <x:c r="FS112" s="100" t="n"/>
      <x:c r="FT112" s="100" t="n"/>
      <x:c r="FU112" s="100" t="n"/>
      <x:c r="FV112" s="100" t="n"/>
      <x:c r="FW112" s="100" t="n"/>
      <x:c r="FX112" s="100" t="n"/>
      <x:c r="FY112" s="100" t="n"/>
      <x:c r="FZ112" s="100" t="n"/>
      <x:c r="GA112" s="100" t="n"/>
      <x:c r="GB112" s="100" t="n"/>
      <x:c r="GC112" s="100" t="n"/>
      <x:c r="GD112" s="100" t="n"/>
      <x:c r="GE112" s="100" t="n"/>
      <x:c r="GF112" s="100" t="n"/>
    </x:row>
    <x:row r="113" s="27" customFormat="1">
      <x:c r="A113" s="38" t="n"/>
      <x:c r="B113" s="37" t="n"/>
      <x:c r="C113" s="36" t="n">
        <x:f>E113*D$5</x:f>
        <x:v>0</x:v>
      </x:c>
      <x:c r="D113" s="20" t="n"/>
      <x:c r="E113" s="36" t="n">
        <x:f>SUM(G113:HT113)</x:f>
        <x:v>0</x:v>
      </x:c>
      <x:c r="M113" s="100" t="n"/>
      <x:c r="N113" s="100" t="n"/>
      <x:c r="O113" s="100" t="n"/>
      <x:c r="P113" s="100" t="n"/>
      <x:c r="Q113" s="100" t="n"/>
      <x:c r="R113" s="100" t="n"/>
      <x:c r="S113" s="100" t="n"/>
      <x:c r="T113" s="100" t="n"/>
      <x:c r="U113" s="100" t="n"/>
      <x:c r="V113" s="100" t="n"/>
      <x:c r="W113" s="100" t="n"/>
      <x:c r="X113" s="100" t="n"/>
      <x:c r="Y113" s="100" t="n"/>
      <x:c r="Z113" s="100" t="n"/>
      <x:c r="AA113" s="100" t="n"/>
      <x:c r="AB113" s="100" t="n"/>
      <x:c r="AC113" s="100" t="n"/>
      <x:c r="AD113" s="100" t="n"/>
      <x:c r="AE113" s="100" t="n"/>
      <x:c r="AF113" s="100" t="n"/>
      <x:c r="AG113" s="100" t="n"/>
      <x:c r="AH113" s="100" t="n"/>
      <x:c r="AI113" s="100" t="n"/>
      <x:c r="AJ113" s="100" t="n"/>
      <x:c r="AK113" s="100" t="n"/>
      <x:c r="AL113" s="100" t="n"/>
      <x:c r="AM113" s="100" t="n"/>
      <x:c r="AN113" s="100" t="n"/>
      <x:c r="AO113" s="100" t="n"/>
      <x:c r="AP113" s="100" t="n"/>
      <x:c r="AQ113" s="100" t="n"/>
      <x:c r="AR113" s="100" t="n"/>
      <x:c r="AS113" s="100" t="n"/>
      <x:c r="AT113" s="100" t="n"/>
      <x:c r="AU113" s="100" t="n"/>
      <x:c r="AV113" s="100" t="n"/>
      <x:c r="AW113" s="100" t="n"/>
      <x:c r="AX113" s="100" t="n"/>
      <x:c r="AY113" s="100" t="n"/>
      <x:c r="AZ113" s="100" t="n"/>
      <x:c r="BA113" s="100" t="n"/>
      <x:c r="BB113" s="100" t="n"/>
      <x:c r="BC113" s="100" t="n"/>
      <x:c r="BD113" s="100" t="n"/>
      <x:c r="BE113" s="100" t="n"/>
      <x:c r="BF113" s="100" t="n"/>
      <x:c r="BG113" s="100" t="n"/>
      <x:c r="BH113" s="100" t="n"/>
      <x:c r="BI113" s="100" t="n"/>
      <x:c r="BJ113" s="100" t="n"/>
      <x:c r="BK113" s="100" t="n"/>
      <x:c r="BL113" s="100" t="n"/>
      <x:c r="BM113" s="100" t="n"/>
      <x:c r="BN113" s="100" t="n"/>
      <x:c r="BO113" s="100" t="n"/>
      <x:c r="BP113" s="100" t="n"/>
      <x:c r="BQ113" s="100" t="n"/>
      <x:c r="BR113" s="100" t="n"/>
      <x:c r="BS113" s="100" t="n"/>
      <x:c r="BT113" s="100" t="n"/>
      <x:c r="BU113" s="100" t="n"/>
      <x:c r="BV113" s="100" t="n"/>
      <x:c r="BW113" s="100" t="n"/>
      <x:c r="BX113" s="100" t="n"/>
      <x:c r="BY113" s="100" t="n"/>
      <x:c r="BZ113" s="100" t="n"/>
      <x:c r="CA113" s="100" t="n"/>
      <x:c r="CB113" s="100" t="n"/>
      <x:c r="CC113" s="100" t="n"/>
      <x:c r="CD113" s="100" t="n"/>
      <x:c r="CE113" s="100" t="n"/>
      <x:c r="CF113" s="100" t="n"/>
      <x:c r="CG113" s="100" t="n"/>
      <x:c r="CH113" s="100" t="n"/>
      <x:c r="CI113" s="100" t="n"/>
      <x:c r="CJ113" s="100" t="n"/>
      <x:c r="CK113" s="100" t="n"/>
      <x:c r="CL113" s="100" t="n"/>
      <x:c r="CM113" s="100" t="n"/>
      <x:c r="CN113" s="100" t="n"/>
      <x:c r="CO113" s="100" t="n"/>
      <x:c r="CP113" s="100" t="n"/>
      <x:c r="CQ113" s="100" t="n"/>
      <x:c r="CR113" s="100" t="n"/>
      <x:c r="CS113" s="100" t="n"/>
      <x:c r="CT113" s="100" t="n"/>
      <x:c r="CU113" s="100" t="n"/>
      <x:c r="CV113" s="100" t="n"/>
      <x:c r="CW113" s="100" t="n"/>
      <x:c r="CX113" s="100" t="n"/>
      <x:c r="CY113" s="100" t="n"/>
      <x:c r="CZ113" s="100" t="n"/>
      <x:c r="DA113" s="100" t="n"/>
      <x:c r="DB113" s="100" t="n"/>
      <x:c r="DC113" s="100" t="n"/>
      <x:c r="DD113" s="100" t="n"/>
      <x:c r="DE113" s="100" t="n"/>
      <x:c r="DF113" s="100" t="n"/>
      <x:c r="DG113" s="100" t="n"/>
      <x:c r="DH113" s="100" t="n"/>
      <x:c r="DI113" s="100" t="n"/>
      <x:c r="DJ113" s="100" t="n"/>
      <x:c r="DK113" s="100" t="n"/>
      <x:c r="DL113" s="100" t="n"/>
      <x:c r="DM113" s="100" t="n"/>
      <x:c r="DN113" s="100" t="n"/>
      <x:c r="DO113" s="100" t="n"/>
      <x:c r="DP113" s="100" t="n"/>
      <x:c r="DQ113" s="100" t="n"/>
      <x:c r="DR113" s="100" t="n"/>
      <x:c r="DS113" s="100" t="n"/>
      <x:c r="DT113" s="100" t="n"/>
      <x:c r="DU113" s="100" t="n"/>
      <x:c r="DV113" s="100" t="n"/>
      <x:c r="DW113" s="100" t="n"/>
      <x:c r="DX113" s="100" t="n"/>
      <x:c r="DY113" s="100" t="n"/>
      <x:c r="DZ113" s="100" t="n"/>
      <x:c r="EA113" s="100" t="n"/>
      <x:c r="EB113" s="100" t="n"/>
      <x:c r="EC113" s="100" t="n"/>
      <x:c r="ED113" s="100" t="n"/>
      <x:c r="EE113" s="100" t="n"/>
      <x:c r="EF113" s="100" t="n"/>
      <x:c r="EG113" s="100" t="n"/>
      <x:c r="EH113" s="100" t="n"/>
      <x:c r="EI113" s="100" t="n"/>
      <x:c r="EJ113" s="100" t="n"/>
      <x:c r="EK113" s="100" t="n"/>
      <x:c r="EL113" s="100" t="n"/>
      <x:c r="EM113" s="100" t="n"/>
      <x:c r="EN113" s="100" t="n"/>
      <x:c r="EO113" s="100" t="n"/>
      <x:c r="EP113" s="100" t="n"/>
      <x:c r="EQ113" s="100" t="n"/>
      <x:c r="ER113" s="100" t="n"/>
      <x:c r="ES113" s="100" t="n"/>
      <x:c r="ET113" s="100" t="n"/>
      <x:c r="EU113" s="100" t="n"/>
      <x:c r="EV113" s="100" t="n"/>
      <x:c r="EW113" s="100" t="n"/>
      <x:c r="EX113" s="100" t="n"/>
      <x:c r="EY113" s="100" t="n"/>
      <x:c r="EZ113" s="100" t="n"/>
      <x:c r="FA113" s="100" t="n"/>
      <x:c r="FB113" s="100" t="n"/>
      <x:c r="FC113" s="100" t="n"/>
      <x:c r="FD113" s="100" t="n"/>
      <x:c r="FE113" s="100" t="n"/>
      <x:c r="FF113" s="100" t="n"/>
      <x:c r="FG113" s="100" t="n"/>
      <x:c r="FH113" s="100" t="n"/>
      <x:c r="FI113" s="100" t="n"/>
      <x:c r="FJ113" s="100" t="n"/>
      <x:c r="FK113" s="100" t="n"/>
      <x:c r="FL113" s="100" t="n"/>
      <x:c r="FM113" s="100" t="n"/>
      <x:c r="FN113" s="100" t="n"/>
      <x:c r="FO113" s="100" t="n"/>
      <x:c r="FP113" s="100" t="n"/>
      <x:c r="FQ113" s="100" t="n"/>
      <x:c r="FR113" s="100" t="n"/>
      <x:c r="FS113" s="100" t="n"/>
      <x:c r="FT113" s="100" t="n"/>
      <x:c r="FU113" s="100" t="n"/>
      <x:c r="FV113" s="100" t="n"/>
      <x:c r="FW113" s="100" t="n"/>
      <x:c r="FX113" s="100" t="n"/>
      <x:c r="FY113" s="100" t="n"/>
      <x:c r="FZ113" s="100" t="n"/>
      <x:c r="GA113" s="100" t="n"/>
      <x:c r="GB113" s="100" t="n"/>
      <x:c r="GC113" s="100" t="n"/>
      <x:c r="GD113" s="100" t="n"/>
      <x:c r="GE113" s="100" t="n"/>
      <x:c r="GF113" s="100" t="n"/>
    </x:row>
    <x:row r="114" s="27" customFormat="1">
      <x:c r="A114" s="38" t="n"/>
      <x:c r="B114" s="37" t="n"/>
      <x:c r="C114" s="36" t="n">
        <x:f>E114*D$5</x:f>
        <x:v>0</x:v>
      </x:c>
      <x:c r="D114" s="20" t="n"/>
      <x:c r="E114" s="36" t="n">
        <x:f>SUM(G114:HT114)</x:f>
        <x:v>0</x:v>
      </x:c>
      <x:c r="M114" s="100" t="n"/>
      <x:c r="N114" s="100" t="n"/>
      <x:c r="O114" s="100" t="n"/>
      <x:c r="P114" s="100" t="n"/>
      <x:c r="Q114" s="100" t="n"/>
      <x:c r="R114" s="100" t="n"/>
      <x:c r="S114" s="100" t="n"/>
      <x:c r="T114" s="100" t="n"/>
      <x:c r="U114" s="100" t="n"/>
      <x:c r="V114" s="100" t="n"/>
      <x:c r="W114" s="100" t="n"/>
      <x:c r="X114" s="100" t="n"/>
      <x:c r="Y114" s="100" t="n"/>
      <x:c r="Z114" s="100" t="n"/>
      <x:c r="AA114" s="100" t="n"/>
      <x:c r="AB114" s="100" t="n"/>
      <x:c r="AC114" s="100" t="n"/>
      <x:c r="AD114" s="100" t="n"/>
      <x:c r="AE114" s="100" t="n"/>
      <x:c r="AF114" s="100" t="n"/>
      <x:c r="AG114" s="100" t="n"/>
      <x:c r="AH114" s="100" t="n"/>
      <x:c r="AI114" s="100" t="n"/>
      <x:c r="AJ114" s="100" t="n"/>
      <x:c r="AK114" s="100" t="n"/>
      <x:c r="AL114" s="100" t="n"/>
      <x:c r="AM114" s="100" t="n"/>
      <x:c r="AN114" s="100" t="n"/>
      <x:c r="AO114" s="100" t="n"/>
      <x:c r="AP114" s="100" t="n"/>
      <x:c r="AQ114" s="100" t="n"/>
      <x:c r="AR114" s="100" t="n"/>
      <x:c r="AS114" s="100" t="n"/>
      <x:c r="AT114" s="100" t="n"/>
      <x:c r="AU114" s="100" t="n"/>
      <x:c r="AV114" s="100" t="n"/>
      <x:c r="AW114" s="100" t="n"/>
      <x:c r="AX114" s="100" t="n"/>
      <x:c r="AY114" s="100" t="n"/>
      <x:c r="AZ114" s="100" t="n"/>
      <x:c r="BA114" s="100" t="n"/>
      <x:c r="BB114" s="100" t="n"/>
      <x:c r="BC114" s="100" t="n"/>
      <x:c r="BD114" s="100" t="n"/>
      <x:c r="BE114" s="100" t="n"/>
      <x:c r="BF114" s="100" t="n"/>
      <x:c r="BG114" s="100" t="n"/>
      <x:c r="BH114" s="100" t="n"/>
      <x:c r="BI114" s="100" t="n"/>
      <x:c r="BJ114" s="100" t="n"/>
      <x:c r="BK114" s="100" t="n"/>
      <x:c r="BL114" s="100" t="n"/>
      <x:c r="BM114" s="100" t="n"/>
      <x:c r="BN114" s="100" t="n"/>
      <x:c r="BO114" s="100" t="n"/>
      <x:c r="BP114" s="100" t="n"/>
      <x:c r="BQ114" s="100" t="n"/>
      <x:c r="BR114" s="100" t="n"/>
      <x:c r="BS114" s="100" t="n"/>
      <x:c r="BT114" s="100" t="n"/>
      <x:c r="BU114" s="100" t="n"/>
      <x:c r="BV114" s="100" t="n"/>
      <x:c r="BW114" s="100" t="n"/>
      <x:c r="BX114" s="100" t="n"/>
      <x:c r="BY114" s="100" t="n"/>
      <x:c r="BZ114" s="100" t="n"/>
      <x:c r="CA114" s="100" t="n"/>
      <x:c r="CB114" s="100" t="n"/>
      <x:c r="CC114" s="100" t="n"/>
      <x:c r="CD114" s="100" t="n"/>
      <x:c r="CE114" s="100" t="n"/>
      <x:c r="CF114" s="100" t="n"/>
      <x:c r="CG114" s="100" t="n"/>
      <x:c r="CH114" s="100" t="n"/>
      <x:c r="CI114" s="100" t="n"/>
      <x:c r="CJ114" s="100" t="n"/>
      <x:c r="CK114" s="100" t="n"/>
      <x:c r="CL114" s="100" t="n"/>
      <x:c r="CM114" s="100" t="n"/>
      <x:c r="CN114" s="100" t="n"/>
      <x:c r="CO114" s="100" t="n"/>
      <x:c r="CP114" s="100" t="n"/>
      <x:c r="CQ114" s="100" t="n"/>
      <x:c r="CR114" s="100" t="n"/>
      <x:c r="CS114" s="100" t="n"/>
      <x:c r="CT114" s="100" t="n"/>
      <x:c r="CU114" s="100" t="n"/>
      <x:c r="CV114" s="100" t="n"/>
      <x:c r="CW114" s="100" t="n"/>
      <x:c r="CX114" s="100" t="n"/>
      <x:c r="CY114" s="100" t="n"/>
      <x:c r="CZ114" s="100" t="n"/>
      <x:c r="DA114" s="100" t="n"/>
      <x:c r="DB114" s="100" t="n"/>
      <x:c r="DC114" s="100" t="n"/>
      <x:c r="DD114" s="100" t="n"/>
      <x:c r="DE114" s="100" t="n"/>
      <x:c r="DF114" s="100" t="n"/>
      <x:c r="DG114" s="100" t="n"/>
      <x:c r="DH114" s="100" t="n"/>
      <x:c r="DI114" s="100" t="n"/>
      <x:c r="DJ114" s="100" t="n"/>
      <x:c r="DK114" s="100" t="n"/>
      <x:c r="DL114" s="100" t="n"/>
      <x:c r="DM114" s="100" t="n"/>
      <x:c r="DN114" s="100" t="n"/>
      <x:c r="DO114" s="100" t="n"/>
      <x:c r="DP114" s="100" t="n"/>
      <x:c r="DQ114" s="100" t="n"/>
      <x:c r="DR114" s="100" t="n"/>
      <x:c r="DS114" s="100" t="n"/>
      <x:c r="DT114" s="100" t="n"/>
      <x:c r="DU114" s="100" t="n"/>
      <x:c r="DV114" s="100" t="n"/>
      <x:c r="DW114" s="100" t="n"/>
      <x:c r="DX114" s="100" t="n"/>
      <x:c r="DY114" s="100" t="n"/>
      <x:c r="DZ114" s="100" t="n"/>
      <x:c r="EA114" s="100" t="n"/>
      <x:c r="EB114" s="100" t="n"/>
      <x:c r="EC114" s="100" t="n"/>
      <x:c r="ED114" s="100" t="n"/>
      <x:c r="EE114" s="100" t="n"/>
      <x:c r="EF114" s="100" t="n"/>
      <x:c r="EG114" s="100" t="n"/>
      <x:c r="EH114" s="100" t="n"/>
      <x:c r="EI114" s="100" t="n"/>
      <x:c r="EJ114" s="100" t="n"/>
      <x:c r="EK114" s="100" t="n"/>
      <x:c r="EL114" s="100" t="n"/>
      <x:c r="EM114" s="100" t="n"/>
      <x:c r="EN114" s="100" t="n"/>
      <x:c r="EO114" s="100" t="n"/>
      <x:c r="EP114" s="100" t="n"/>
      <x:c r="EQ114" s="100" t="n"/>
      <x:c r="ER114" s="100" t="n"/>
      <x:c r="ES114" s="100" t="n"/>
      <x:c r="ET114" s="100" t="n"/>
      <x:c r="EU114" s="100" t="n"/>
      <x:c r="EV114" s="100" t="n"/>
      <x:c r="EW114" s="100" t="n"/>
      <x:c r="EX114" s="100" t="n"/>
      <x:c r="EY114" s="100" t="n"/>
      <x:c r="EZ114" s="100" t="n"/>
      <x:c r="FA114" s="100" t="n"/>
      <x:c r="FB114" s="100" t="n"/>
      <x:c r="FC114" s="100" t="n"/>
      <x:c r="FD114" s="100" t="n"/>
      <x:c r="FE114" s="100" t="n"/>
      <x:c r="FF114" s="100" t="n"/>
      <x:c r="FG114" s="100" t="n"/>
      <x:c r="FH114" s="100" t="n"/>
      <x:c r="FI114" s="100" t="n"/>
      <x:c r="FJ114" s="100" t="n"/>
      <x:c r="FK114" s="100" t="n"/>
      <x:c r="FL114" s="100" t="n"/>
      <x:c r="FM114" s="100" t="n"/>
      <x:c r="FN114" s="100" t="n"/>
      <x:c r="FO114" s="100" t="n"/>
      <x:c r="FP114" s="100" t="n"/>
      <x:c r="FQ114" s="100" t="n"/>
      <x:c r="FR114" s="100" t="n"/>
      <x:c r="FS114" s="100" t="n"/>
      <x:c r="FT114" s="100" t="n"/>
      <x:c r="FU114" s="100" t="n"/>
      <x:c r="FV114" s="100" t="n"/>
      <x:c r="FW114" s="100" t="n"/>
      <x:c r="FX114" s="100" t="n"/>
      <x:c r="FY114" s="100" t="n"/>
      <x:c r="FZ114" s="100" t="n"/>
      <x:c r="GA114" s="100" t="n"/>
      <x:c r="GB114" s="100" t="n"/>
      <x:c r="GC114" s="100" t="n"/>
      <x:c r="GD114" s="100" t="n"/>
      <x:c r="GE114" s="100" t="n"/>
      <x:c r="GF114" s="100" t="n"/>
    </x:row>
    <x:row r="115" s="27" customFormat="1">
      <x:c r="A115" s="38" t="n"/>
      <x:c r="B115" s="37" t="n"/>
      <x:c r="C115" s="36" t="n">
        <x:f>E115*D$5</x:f>
        <x:v>0</x:v>
      </x:c>
      <x:c r="D115" s="20" t="n"/>
      <x:c r="E115" s="36" t="n">
        <x:f>SUM(G115:HT115)</x:f>
        <x:v>0</x:v>
      </x:c>
      <x:c r="M115" s="100" t="n"/>
      <x:c r="N115" s="100" t="n"/>
      <x:c r="O115" s="100" t="n"/>
      <x:c r="P115" s="100" t="n"/>
      <x:c r="Q115" s="100" t="n"/>
      <x:c r="R115" s="100" t="n"/>
      <x:c r="S115" s="100" t="n"/>
      <x:c r="T115" s="100" t="n"/>
      <x:c r="U115" s="100" t="n"/>
      <x:c r="V115" s="100" t="n"/>
      <x:c r="W115" s="100" t="n"/>
      <x:c r="X115" s="100" t="n"/>
      <x:c r="Y115" s="100" t="n"/>
      <x:c r="Z115" s="100" t="n"/>
      <x:c r="AA115" s="100" t="n"/>
      <x:c r="AB115" s="100" t="n"/>
      <x:c r="AC115" s="100" t="n"/>
      <x:c r="AD115" s="100" t="n"/>
      <x:c r="AE115" s="100" t="n"/>
      <x:c r="AF115" s="100" t="n"/>
      <x:c r="AG115" s="100" t="n"/>
      <x:c r="AH115" s="100" t="n"/>
      <x:c r="AI115" s="100" t="n"/>
      <x:c r="AJ115" s="100" t="n"/>
      <x:c r="AK115" s="100" t="n"/>
      <x:c r="AL115" s="100" t="n"/>
      <x:c r="AM115" s="100" t="n"/>
      <x:c r="AN115" s="100" t="n"/>
      <x:c r="AO115" s="100" t="n"/>
      <x:c r="AP115" s="100" t="n"/>
      <x:c r="AQ115" s="100" t="n"/>
      <x:c r="AR115" s="100" t="n"/>
      <x:c r="AS115" s="100" t="n"/>
      <x:c r="AT115" s="100" t="n"/>
      <x:c r="AU115" s="100" t="n"/>
      <x:c r="AV115" s="100" t="n"/>
      <x:c r="AW115" s="100" t="n"/>
      <x:c r="AX115" s="100" t="n"/>
      <x:c r="AY115" s="100" t="n"/>
      <x:c r="AZ115" s="100" t="n"/>
      <x:c r="BA115" s="100" t="n"/>
      <x:c r="BB115" s="100" t="n"/>
      <x:c r="BC115" s="100" t="n"/>
      <x:c r="BD115" s="100" t="n"/>
      <x:c r="BE115" s="100" t="n"/>
      <x:c r="BF115" s="100" t="n"/>
      <x:c r="BG115" s="100" t="n"/>
      <x:c r="BH115" s="100" t="n"/>
      <x:c r="BI115" s="100" t="n"/>
      <x:c r="BJ115" s="100" t="n"/>
      <x:c r="BK115" s="100" t="n"/>
      <x:c r="BL115" s="100" t="n"/>
      <x:c r="BM115" s="100" t="n"/>
      <x:c r="BN115" s="100" t="n"/>
      <x:c r="BO115" s="100" t="n"/>
      <x:c r="BP115" s="100" t="n"/>
      <x:c r="BQ115" s="100" t="n"/>
      <x:c r="BR115" s="100" t="n"/>
      <x:c r="BS115" s="100" t="n"/>
      <x:c r="BT115" s="100" t="n"/>
      <x:c r="BU115" s="100" t="n"/>
      <x:c r="BV115" s="100" t="n"/>
      <x:c r="BW115" s="100" t="n"/>
      <x:c r="BX115" s="100" t="n"/>
      <x:c r="BY115" s="100" t="n"/>
      <x:c r="BZ115" s="100" t="n"/>
      <x:c r="CA115" s="100" t="n"/>
      <x:c r="CB115" s="100" t="n"/>
      <x:c r="CC115" s="100" t="n"/>
      <x:c r="CD115" s="100" t="n"/>
      <x:c r="CE115" s="100" t="n"/>
      <x:c r="CF115" s="100" t="n"/>
      <x:c r="CG115" s="100" t="n"/>
      <x:c r="CH115" s="100" t="n"/>
      <x:c r="CI115" s="100" t="n"/>
      <x:c r="CJ115" s="100" t="n"/>
      <x:c r="CK115" s="100" t="n"/>
      <x:c r="CL115" s="100" t="n"/>
      <x:c r="CM115" s="100" t="n"/>
      <x:c r="CN115" s="100" t="n"/>
      <x:c r="CO115" s="100" t="n"/>
      <x:c r="CP115" s="100" t="n"/>
      <x:c r="CQ115" s="100" t="n"/>
      <x:c r="CR115" s="100" t="n"/>
      <x:c r="CS115" s="100" t="n"/>
      <x:c r="CT115" s="100" t="n"/>
      <x:c r="CU115" s="100" t="n"/>
      <x:c r="CV115" s="100" t="n"/>
      <x:c r="CW115" s="100" t="n"/>
      <x:c r="CX115" s="100" t="n"/>
      <x:c r="CY115" s="100" t="n"/>
      <x:c r="CZ115" s="100" t="n"/>
      <x:c r="DA115" s="100" t="n"/>
      <x:c r="DB115" s="100" t="n"/>
      <x:c r="DC115" s="100" t="n"/>
      <x:c r="DD115" s="100" t="n"/>
      <x:c r="DE115" s="100" t="n"/>
      <x:c r="DF115" s="100" t="n"/>
      <x:c r="DG115" s="100" t="n"/>
      <x:c r="DH115" s="100" t="n"/>
      <x:c r="DI115" s="100" t="n"/>
      <x:c r="DJ115" s="100" t="n"/>
      <x:c r="DK115" s="100" t="n"/>
      <x:c r="DL115" s="100" t="n"/>
      <x:c r="DM115" s="100" t="n"/>
      <x:c r="DN115" s="100" t="n"/>
      <x:c r="DO115" s="100" t="n"/>
      <x:c r="DP115" s="100" t="n"/>
      <x:c r="DQ115" s="100" t="n"/>
      <x:c r="DR115" s="100" t="n"/>
      <x:c r="DS115" s="100" t="n"/>
      <x:c r="DT115" s="100" t="n"/>
      <x:c r="DU115" s="100" t="n"/>
      <x:c r="DV115" s="100" t="n"/>
      <x:c r="DW115" s="100" t="n"/>
      <x:c r="DX115" s="100" t="n"/>
      <x:c r="DY115" s="100" t="n"/>
      <x:c r="DZ115" s="100" t="n"/>
      <x:c r="EA115" s="100" t="n"/>
      <x:c r="EB115" s="100" t="n"/>
      <x:c r="EC115" s="100" t="n"/>
      <x:c r="ED115" s="100" t="n"/>
      <x:c r="EE115" s="100" t="n"/>
      <x:c r="EF115" s="100" t="n"/>
      <x:c r="EG115" s="100" t="n"/>
      <x:c r="EH115" s="100" t="n"/>
      <x:c r="EI115" s="100" t="n"/>
      <x:c r="EJ115" s="100" t="n"/>
      <x:c r="EK115" s="100" t="n"/>
      <x:c r="EL115" s="100" t="n"/>
      <x:c r="EM115" s="100" t="n"/>
      <x:c r="EN115" s="100" t="n"/>
      <x:c r="EO115" s="100" t="n"/>
      <x:c r="EP115" s="100" t="n"/>
      <x:c r="EQ115" s="100" t="n"/>
      <x:c r="ER115" s="100" t="n"/>
      <x:c r="ES115" s="100" t="n"/>
      <x:c r="ET115" s="100" t="n"/>
      <x:c r="EU115" s="100" t="n"/>
      <x:c r="EV115" s="100" t="n"/>
      <x:c r="EW115" s="100" t="n"/>
      <x:c r="EX115" s="100" t="n"/>
      <x:c r="EY115" s="100" t="n"/>
      <x:c r="EZ115" s="100" t="n"/>
      <x:c r="FA115" s="100" t="n"/>
      <x:c r="FB115" s="100" t="n"/>
      <x:c r="FC115" s="100" t="n"/>
      <x:c r="FD115" s="100" t="n"/>
      <x:c r="FE115" s="100" t="n"/>
      <x:c r="FF115" s="100" t="n"/>
      <x:c r="FG115" s="100" t="n"/>
      <x:c r="FH115" s="100" t="n"/>
      <x:c r="FI115" s="100" t="n"/>
      <x:c r="FJ115" s="100" t="n"/>
      <x:c r="FK115" s="100" t="n"/>
      <x:c r="FL115" s="100" t="n"/>
      <x:c r="FM115" s="100" t="n"/>
      <x:c r="FN115" s="100" t="n"/>
      <x:c r="FO115" s="100" t="n"/>
      <x:c r="FP115" s="100" t="n"/>
      <x:c r="FQ115" s="100" t="n"/>
      <x:c r="FR115" s="100" t="n"/>
      <x:c r="FS115" s="100" t="n"/>
      <x:c r="FT115" s="100" t="n"/>
      <x:c r="FU115" s="100" t="n"/>
      <x:c r="FV115" s="100" t="n"/>
      <x:c r="FW115" s="100" t="n"/>
      <x:c r="FX115" s="100" t="n"/>
      <x:c r="FY115" s="100" t="n"/>
      <x:c r="FZ115" s="100" t="n"/>
      <x:c r="GA115" s="100" t="n"/>
      <x:c r="GB115" s="100" t="n"/>
      <x:c r="GC115" s="100" t="n"/>
      <x:c r="GD115" s="100" t="n"/>
      <x:c r="GE115" s="100" t="n"/>
      <x:c r="GF115" s="100" t="n"/>
    </x:row>
    <x:row r="116" s="27" customFormat="1">
      <x:c r="A116" s="38" t="n"/>
      <x:c r="B116" s="37" t="n"/>
      <x:c r="C116" s="36" t="n">
        <x:f>E116*D$5</x:f>
        <x:v>0</x:v>
      </x:c>
      <x:c r="D116" s="20" t="n"/>
      <x:c r="E116" s="36" t="n">
        <x:f>SUM(G116:HT116)</x:f>
        <x:v>0</x:v>
      </x:c>
      <x:c r="M116" s="100" t="n"/>
      <x:c r="N116" s="100" t="n"/>
      <x:c r="O116" s="100" t="n"/>
      <x:c r="P116" s="100" t="n"/>
      <x:c r="Q116" s="100" t="n"/>
      <x:c r="R116" s="100" t="n"/>
      <x:c r="S116" s="100" t="n"/>
      <x:c r="T116" s="100" t="n"/>
      <x:c r="U116" s="100" t="n"/>
      <x:c r="V116" s="100" t="n"/>
      <x:c r="W116" s="100" t="n"/>
      <x:c r="X116" s="100" t="n"/>
      <x:c r="Y116" s="100" t="n"/>
      <x:c r="Z116" s="100" t="n"/>
      <x:c r="AA116" s="100" t="n"/>
      <x:c r="AB116" s="100" t="n"/>
      <x:c r="AC116" s="100" t="n"/>
      <x:c r="AD116" s="100" t="n"/>
      <x:c r="AE116" s="100" t="n"/>
      <x:c r="AF116" s="100" t="n"/>
      <x:c r="AG116" s="100" t="n"/>
      <x:c r="AH116" s="100" t="n"/>
      <x:c r="AI116" s="100" t="n"/>
      <x:c r="AJ116" s="100" t="n"/>
      <x:c r="AK116" s="100" t="n"/>
      <x:c r="AL116" s="100" t="n"/>
      <x:c r="AM116" s="100" t="n"/>
      <x:c r="AN116" s="100" t="n"/>
      <x:c r="AO116" s="100" t="n"/>
      <x:c r="AP116" s="100" t="n"/>
      <x:c r="AQ116" s="100" t="n"/>
      <x:c r="AR116" s="100" t="n"/>
      <x:c r="AS116" s="100" t="n"/>
      <x:c r="AT116" s="100" t="n"/>
      <x:c r="AU116" s="100" t="n"/>
      <x:c r="AV116" s="100" t="n"/>
      <x:c r="AW116" s="100" t="n"/>
      <x:c r="AX116" s="100" t="n"/>
      <x:c r="AY116" s="100" t="n"/>
      <x:c r="AZ116" s="100" t="n"/>
      <x:c r="BA116" s="100" t="n"/>
      <x:c r="BB116" s="100" t="n"/>
      <x:c r="BC116" s="100" t="n"/>
      <x:c r="BD116" s="100" t="n"/>
      <x:c r="BE116" s="100" t="n"/>
      <x:c r="BF116" s="100" t="n"/>
      <x:c r="BG116" s="100" t="n"/>
      <x:c r="BH116" s="100" t="n"/>
      <x:c r="BI116" s="100" t="n"/>
      <x:c r="BJ116" s="100" t="n"/>
      <x:c r="BK116" s="100" t="n"/>
      <x:c r="BL116" s="100" t="n"/>
      <x:c r="BM116" s="100" t="n"/>
      <x:c r="BN116" s="100" t="n"/>
      <x:c r="BO116" s="100" t="n"/>
      <x:c r="BP116" s="100" t="n"/>
      <x:c r="BQ116" s="100" t="n"/>
      <x:c r="BR116" s="100" t="n"/>
      <x:c r="BS116" s="100" t="n"/>
      <x:c r="BT116" s="100" t="n"/>
      <x:c r="BU116" s="100" t="n"/>
      <x:c r="BV116" s="100" t="n"/>
      <x:c r="BW116" s="100" t="n"/>
      <x:c r="BX116" s="100" t="n"/>
      <x:c r="BY116" s="100" t="n"/>
      <x:c r="BZ116" s="100" t="n"/>
      <x:c r="CA116" s="100" t="n"/>
      <x:c r="CB116" s="100" t="n"/>
      <x:c r="CC116" s="100" t="n"/>
      <x:c r="CD116" s="100" t="n"/>
      <x:c r="CE116" s="100" t="n"/>
      <x:c r="CF116" s="100" t="n"/>
      <x:c r="CG116" s="100" t="n"/>
      <x:c r="CH116" s="100" t="n"/>
      <x:c r="CI116" s="100" t="n"/>
      <x:c r="CJ116" s="100" t="n"/>
      <x:c r="CK116" s="100" t="n"/>
      <x:c r="CL116" s="100" t="n"/>
      <x:c r="CM116" s="100" t="n"/>
      <x:c r="CN116" s="100" t="n"/>
      <x:c r="CO116" s="100" t="n"/>
      <x:c r="CP116" s="100" t="n"/>
      <x:c r="CQ116" s="100" t="n"/>
      <x:c r="CR116" s="100" t="n"/>
      <x:c r="CS116" s="100" t="n"/>
      <x:c r="CT116" s="100" t="n"/>
      <x:c r="CU116" s="100" t="n"/>
      <x:c r="CV116" s="100" t="n"/>
      <x:c r="CW116" s="100" t="n"/>
      <x:c r="CX116" s="100" t="n"/>
      <x:c r="CY116" s="100" t="n"/>
      <x:c r="CZ116" s="100" t="n"/>
      <x:c r="DA116" s="100" t="n"/>
      <x:c r="DB116" s="100" t="n"/>
      <x:c r="DC116" s="100" t="n"/>
      <x:c r="DD116" s="100" t="n"/>
      <x:c r="DE116" s="100" t="n"/>
      <x:c r="DF116" s="100" t="n"/>
      <x:c r="DG116" s="100" t="n"/>
      <x:c r="DH116" s="100" t="n"/>
      <x:c r="DI116" s="100" t="n"/>
      <x:c r="DJ116" s="100" t="n"/>
      <x:c r="DK116" s="100" t="n"/>
      <x:c r="DL116" s="100" t="n"/>
      <x:c r="DM116" s="100" t="n"/>
      <x:c r="DN116" s="100" t="n"/>
      <x:c r="DO116" s="100" t="n"/>
      <x:c r="DP116" s="100" t="n"/>
      <x:c r="DQ116" s="100" t="n"/>
      <x:c r="DR116" s="100" t="n"/>
      <x:c r="DS116" s="100" t="n"/>
      <x:c r="DT116" s="100" t="n"/>
      <x:c r="DU116" s="100" t="n"/>
      <x:c r="DV116" s="100" t="n"/>
      <x:c r="DW116" s="100" t="n"/>
      <x:c r="DX116" s="100" t="n"/>
      <x:c r="DY116" s="100" t="n"/>
      <x:c r="DZ116" s="100" t="n"/>
      <x:c r="EA116" s="100" t="n"/>
      <x:c r="EB116" s="100" t="n"/>
      <x:c r="EC116" s="100" t="n"/>
      <x:c r="ED116" s="100" t="n"/>
      <x:c r="EE116" s="100" t="n"/>
      <x:c r="EF116" s="100" t="n"/>
      <x:c r="EG116" s="100" t="n"/>
      <x:c r="EH116" s="100" t="n"/>
      <x:c r="EI116" s="100" t="n"/>
      <x:c r="EJ116" s="100" t="n"/>
      <x:c r="EK116" s="100" t="n"/>
      <x:c r="EL116" s="100" t="n"/>
      <x:c r="EM116" s="100" t="n"/>
      <x:c r="EN116" s="100" t="n"/>
      <x:c r="EO116" s="100" t="n"/>
      <x:c r="EP116" s="100" t="n"/>
      <x:c r="EQ116" s="100" t="n"/>
      <x:c r="ER116" s="100" t="n"/>
      <x:c r="ES116" s="100" t="n"/>
      <x:c r="ET116" s="100" t="n"/>
      <x:c r="EU116" s="100" t="n"/>
      <x:c r="EV116" s="100" t="n"/>
      <x:c r="EW116" s="100" t="n"/>
      <x:c r="EX116" s="100" t="n"/>
      <x:c r="EY116" s="100" t="n"/>
      <x:c r="EZ116" s="100" t="n"/>
      <x:c r="FA116" s="100" t="n"/>
      <x:c r="FB116" s="100" t="n"/>
      <x:c r="FC116" s="100" t="n"/>
      <x:c r="FD116" s="100" t="n"/>
      <x:c r="FE116" s="100" t="n"/>
      <x:c r="FF116" s="100" t="n"/>
      <x:c r="FG116" s="100" t="n"/>
      <x:c r="FH116" s="100" t="n"/>
      <x:c r="FI116" s="100" t="n"/>
      <x:c r="FJ116" s="100" t="n"/>
      <x:c r="FK116" s="100" t="n"/>
      <x:c r="FL116" s="100" t="n"/>
      <x:c r="FM116" s="100" t="n"/>
      <x:c r="FN116" s="100" t="n"/>
      <x:c r="FO116" s="100" t="n"/>
      <x:c r="FP116" s="100" t="n"/>
      <x:c r="FQ116" s="100" t="n"/>
      <x:c r="FR116" s="100" t="n"/>
      <x:c r="FS116" s="100" t="n"/>
      <x:c r="FT116" s="100" t="n"/>
      <x:c r="FU116" s="100" t="n"/>
      <x:c r="FV116" s="100" t="n"/>
      <x:c r="FW116" s="100" t="n"/>
      <x:c r="FX116" s="100" t="n"/>
      <x:c r="FY116" s="100" t="n"/>
      <x:c r="FZ116" s="100" t="n"/>
      <x:c r="GA116" s="100" t="n"/>
      <x:c r="GB116" s="100" t="n"/>
      <x:c r="GC116" s="100" t="n"/>
      <x:c r="GD116" s="100" t="n"/>
      <x:c r="GE116" s="100" t="n"/>
      <x:c r="GF116" s="100" t="n"/>
    </x:row>
    <x:row r="117" s="27" customFormat="1">
      <x:c r="A117" s="38" t="n"/>
      <x:c r="B117" s="37" t="n"/>
      <x:c r="C117" s="36" t="n">
        <x:f>E117*D$5</x:f>
        <x:v>0</x:v>
      </x:c>
      <x:c r="D117" s="20" t="n"/>
      <x:c r="E117" s="36" t="n">
        <x:f>SUM(G117:HT117)</x:f>
        <x:v>0</x:v>
      </x:c>
      <x:c r="M117" s="100" t="n"/>
      <x:c r="N117" s="100" t="n"/>
      <x:c r="O117" s="100" t="n"/>
      <x:c r="P117" s="100" t="n"/>
      <x:c r="Q117" s="100" t="n"/>
      <x:c r="R117" s="100" t="n"/>
      <x:c r="S117" s="100" t="n"/>
      <x:c r="T117" s="100" t="n"/>
      <x:c r="U117" s="100" t="n"/>
      <x:c r="V117" s="100" t="n"/>
      <x:c r="W117" s="100" t="n"/>
      <x:c r="X117" s="100" t="n"/>
      <x:c r="Y117" s="100" t="n"/>
      <x:c r="Z117" s="100" t="n"/>
      <x:c r="AA117" s="100" t="n"/>
      <x:c r="AB117" s="100" t="n"/>
      <x:c r="AC117" s="100" t="n"/>
      <x:c r="AD117" s="100" t="n"/>
      <x:c r="AE117" s="100" t="n"/>
      <x:c r="AF117" s="100" t="n"/>
      <x:c r="AG117" s="100" t="n"/>
      <x:c r="AH117" s="100" t="n"/>
      <x:c r="AI117" s="100" t="n"/>
      <x:c r="AJ117" s="100" t="n"/>
      <x:c r="AK117" s="100" t="n"/>
      <x:c r="AL117" s="100" t="n"/>
      <x:c r="AM117" s="100" t="n"/>
      <x:c r="AN117" s="100" t="n"/>
      <x:c r="AO117" s="100" t="n"/>
      <x:c r="AP117" s="100" t="n"/>
      <x:c r="AQ117" s="100" t="n"/>
      <x:c r="AR117" s="100" t="n"/>
      <x:c r="AS117" s="100" t="n"/>
      <x:c r="AT117" s="100" t="n"/>
      <x:c r="AU117" s="100" t="n"/>
      <x:c r="AV117" s="100" t="n"/>
      <x:c r="AW117" s="100" t="n"/>
      <x:c r="AX117" s="100" t="n"/>
      <x:c r="AY117" s="100" t="n"/>
      <x:c r="AZ117" s="100" t="n"/>
      <x:c r="BA117" s="100" t="n"/>
      <x:c r="BB117" s="100" t="n"/>
      <x:c r="BC117" s="100" t="n"/>
      <x:c r="BD117" s="100" t="n"/>
      <x:c r="BE117" s="100" t="n"/>
      <x:c r="BF117" s="100" t="n"/>
      <x:c r="BG117" s="100" t="n"/>
      <x:c r="BH117" s="100" t="n"/>
      <x:c r="BI117" s="100" t="n"/>
      <x:c r="BJ117" s="100" t="n"/>
      <x:c r="BK117" s="100" t="n"/>
      <x:c r="BL117" s="100" t="n"/>
      <x:c r="BM117" s="100" t="n"/>
      <x:c r="BN117" s="100" t="n"/>
      <x:c r="BO117" s="100" t="n"/>
      <x:c r="BP117" s="100" t="n"/>
      <x:c r="BQ117" s="100" t="n"/>
      <x:c r="BR117" s="100" t="n"/>
      <x:c r="BS117" s="100" t="n"/>
      <x:c r="BT117" s="100" t="n"/>
      <x:c r="BU117" s="100" t="n"/>
      <x:c r="BV117" s="100" t="n"/>
      <x:c r="BW117" s="100" t="n"/>
      <x:c r="BX117" s="100" t="n"/>
      <x:c r="BY117" s="100" t="n"/>
      <x:c r="BZ117" s="100" t="n"/>
      <x:c r="CA117" s="100" t="n"/>
      <x:c r="CB117" s="100" t="n"/>
      <x:c r="CC117" s="100" t="n"/>
      <x:c r="CD117" s="100" t="n"/>
      <x:c r="CE117" s="100" t="n"/>
      <x:c r="CF117" s="100" t="n"/>
      <x:c r="CG117" s="100" t="n"/>
      <x:c r="CH117" s="100" t="n"/>
      <x:c r="CI117" s="100" t="n"/>
      <x:c r="CJ117" s="100" t="n"/>
      <x:c r="CK117" s="100" t="n"/>
      <x:c r="CL117" s="100" t="n"/>
      <x:c r="CM117" s="100" t="n"/>
      <x:c r="CN117" s="100" t="n"/>
      <x:c r="CO117" s="100" t="n"/>
      <x:c r="CP117" s="100" t="n"/>
      <x:c r="CQ117" s="100" t="n"/>
      <x:c r="CR117" s="100" t="n"/>
      <x:c r="CS117" s="100" t="n"/>
      <x:c r="CT117" s="100" t="n"/>
      <x:c r="CU117" s="100" t="n"/>
      <x:c r="CV117" s="100" t="n"/>
      <x:c r="CW117" s="100" t="n"/>
      <x:c r="CX117" s="100" t="n"/>
      <x:c r="CY117" s="100" t="n"/>
      <x:c r="CZ117" s="100" t="n"/>
      <x:c r="DA117" s="100" t="n"/>
      <x:c r="DB117" s="100" t="n"/>
      <x:c r="DC117" s="100" t="n"/>
      <x:c r="DD117" s="100" t="n"/>
      <x:c r="DE117" s="100" t="n"/>
      <x:c r="DF117" s="100" t="n"/>
      <x:c r="DG117" s="100" t="n"/>
      <x:c r="DH117" s="100" t="n"/>
      <x:c r="DI117" s="100" t="n"/>
      <x:c r="DJ117" s="100" t="n"/>
      <x:c r="DK117" s="100" t="n"/>
      <x:c r="DL117" s="100" t="n"/>
      <x:c r="DM117" s="100" t="n"/>
      <x:c r="DN117" s="100" t="n"/>
      <x:c r="DO117" s="100" t="n"/>
      <x:c r="DP117" s="100" t="n"/>
      <x:c r="DQ117" s="100" t="n"/>
      <x:c r="DR117" s="100" t="n"/>
      <x:c r="DS117" s="100" t="n"/>
      <x:c r="DT117" s="100" t="n"/>
      <x:c r="DU117" s="100" t="n"/>
      <x:c r="DV117" s="100" t="n"/>
      <x:c r="DW117" s="100" t="n"/>
      <x:c r="DX117" s="100" t="n"/>
      <x:c r="DY117" s="100" t="n"/>
      <x:c r="DZ117" s="100" t="n"/>
      <x:c r="EA117" s="100" t="n"/>
      <x:c r="EB117" s="100" t="n"/>
      <x:c r="EC117" s="100" t="n"/>
      <x:c r="ED117" s="100" t="n"/>
      <x:c r="EE117" s="100" t="n"/>
      <x:c r="EF117" s="100" t="n"/>
      <x:c r="EG117" s="100" t="n"/>
      <x:c r="EH117" s="100" t="n"/>
      <x:c r="EI117" s="100" t="n"/>
      <x:c r="EJ117" s="100" t="n"/>
      <x:c r="EK117" s="100" t="n"/>
      <x:c r="EL117" s="100" t="n"/>
      <x:c r="EM117" s="100" t="n"/>
      <x:c r="EN117" s="100" t="n"/>
      <x:c r="EO117" s="100" t="n"/>
      <x:c r="EP117" s="100" t="n"/>
      <x:c r="EQ117" s="100" t="n"/>
      <x:c r="ER117" s="100" t="n"/>
      <x:c r="ES117" s="100" t="n"/>
      <x:c r="ET117" s="100" t="n"/>
      <x:c r="EU117" s="100" t="n"/>
      <x:c r="EV117" s="100" t="n"/>
      <x:c r="EW117" s="100" t="n"/>
      <x:c r="EX117" s="100" t="n"/>
      <x:c r="EY117" s="100" t="n"/>
      <x:c r="EZ117" s="100" t="n"/>
      <x:c r="FA117" s="100" t="n"/>
      <x:c r="FB117" s="100" t="n"/>
      <x:c r="FC117" s="100" t="n"/>
      <x:c r="FD117" s="100" t="n"/>
      <x:c r="FE117" s="100" t="n"/>
      <x:c r="FF117" s="100" t="n"/>
      <x:c r="FG117" s="100" t="n"/>
      <x:c r="FH117" s="100" t="n"/>
      <x:c r="FI117" s="100" t="n"/>
      <x:c r="FJ117" s="100" t="n"/>
      <x:c r="FK117" s="100" t="n"/>
      <x:c r="FL117" s="100" t="n"/>
      <x:c r="FM117" s="100" t="n"/>
      <x:c r="FN117" s="100" t="n"/>
      <x:c r="FO117" s="100" t="n"/>
      <x:c r="FP117" s="100" t="n"/>
      <x:c r="FQ117" s="100" t="n"/>
      <x:c r="FR117" s="100" t="n"/>
      <x:c r="FS117" s="100" t="n"/>
      <x:c r="FT117" s="100" t="n"/>
      <x:c r="FU117" s="100" t="n"/>
      <x:c r="FV117" s="100" t="n"/>
      <x:c r="FW117" s="100" t="n"/>
      <x:c r="FX117" s="100" t="n"/>
      <x:c r="FY117" s="100" t="n"/>
      <x:c r="FZ117" s="100" t="n"/>
      <x:c r="GA117" s="100" t="n"/>
      <x:c r="GB117" s="100" t="n"/>
      <x:c r="GC117" s="100" t="n"/>
      <x:c r="GD117" s="100" t="n"/>
      <x:c r="GE117" s="100" t="n"/>
      <x:c r="GF117" s="100" t="n"/>
    </x:row>
    <x:row r="118" s="27" customFormat="1">
      <x:c r="A118" s="38" t="n"/>
      <x:c r="B118" s="37" t="n"/>
      <x:c r="C118" s="36" t="n">
        <x:f>E118*D$5</x:f>
        <x:v>0</x:v>
      </x:c>
      <x:c r="D118" s="20" t="n"/>
      <x:c r="E118" s="36" t="n">
        <x:f>SUM(G118:HT118)</x:f>
        <x:v>0</x:v>
      </x:c>
      <x:c r="M118" s="100" t="n"/>
      <x:c r="N118" s="100" t="n"/>
      <x:c r="O118" s="100" t="n"/>
      <x:c r="P118" s="100" t="n"/>
      <x:c r="Q118" s="100" t="n"/>
      <x:c r="R118" s="100" t="n"/>
      <x:c r="S118" s="100" t="n"/>
      <x:c r="T118" s="100" t="n"/>
      <x:c r="U118" s="100" t="n"/>
      <x:c r="V118" s="100" t="n"/>
      <x:c r="W118" s="100" t="n"/>
      <x:c r="X118" s="100" t="n"/>
      <x:c r="Y118" s="100" t="n"/>
      <x:c r="Z118" s="100" t="n"/>
      <x:c r="AA118" s="100" t="n"/>
      <x:c r="AB118" s="100" t="n"/>
      <x:c r="AC118" s="100" t="n"/>
      <x:c r="AD118" s="100" t="n"/>
      <x:c r="AE118" s="100" t="n"/>
      <x:c r="AF118" s="100" t="n"/>
      <x:c r="AG118" s="100" t="n"/>
      <x:c r="AH118" s="100" t="n"/>
      <x:c r="AI118" s="100" t="n"/>
      <x:c r="AJ118" s="100" t="n"/>
      <x:c r="AK118" s="100" t="n"/>
      <x:c r="AL118" s="100" t="n"/>
      <x:c r="AM118" s="100" t="n"/>
      <x:c r="AN118" s="100" t="n"/>
      <x:c r="AO118" s="100" t="n"/>
      <x:c r="AP118" s="100" t="n"/>
      <x:c r="AQ118" s="100" t="n"/>
      <x:c r="AR118" s="100" t="n"/>
      <x:c r="AS118" s="100" t="n"/>
      <x:c r="AT118" s="100" t="n"/>
      <x:c r="AU118" s="100" t="n"/>
      <x:c r="AV118" s="100" t="n"/>
      <x:c r="AW118" s="100" t="n"/>
      <x:c r="AX118" s="100" t="n"/>
      <x:c r="AY118" s="100" t="n"/>
      <x:c r="AZ118" s="100" t="n"/>
      <x:c r="BA118" s="100" t="n"/>
      <x:c r="BB118" s="100" t="n"/>
      <x:c r="BC118" s="100" t="n"/>
      <x:c r="BD118" s="100" t="n"/>
      <x:c r="BE118" s="100" t="n"/>
      <x:c r="BF118" s="100" t="n"/>
      <x:c r="BG118" s="100" t="n"/>
      <x:c r="BH118" s="100" t="n"/>
      <x:c r="BI118" s="100" t="n"/>
      <x:c r="BJ118" s="100" t="n"/>
      <x:c r="BK118" s="100" t="n"/>
      <x:c r="BL118" s="100" t="n"/>
      <x:c r="BM118" s="100" t="n"/>
      <x:c r="BN118" s="100" t="n"/>
      <x:c r="BO118" s="100" t="n"/>
      <x:c r="BP118" s="100" t="n"/>
      <x:c r="BQ118" s="100" t="n"/>
      <x:c r="BR118" s="100" t="n"/>
      <x:c r="BS118" s="100" t="n"/>
      <x:c r="BT118" s="100" t="n"/>
      <x:c r="BU118" s="100" t="n"/>
      <x:c r="BV118" s="100" t="n"/>
      <x:c r="BW118" s="100" t="n"/>
      <x:c r="BX118" s="100" t="n"/>
      <x:c r="BY118" s="100" t="n"/>
      <x:c r="BZ118" s="100" t="n"/>
      <x:c r="CA118" s="100" t="n"/>
      <x:c r="CB118" s="100" t="n"/>
      <x:c r="CC118" s="100" t="n"/>
      <x:c r="CD118" s="100" t="n"/>
      <x:c r="CE118" s="100" t="n"/>
      <x:c r="CF118" s="100" t="n"/>
      <x:c r="CG118" s="100" t="n"/>
      <x:c r="CH118" s="100" t="n"/>
      <x:c r="CI118" s="100" t="n"/>
      <x:c r="CJ118" s="100" t="n"/>
      <x:c r="CK118" s="100" t="n"/>
      <x:c r="CL118" s="100" t="n"/>
      <x:c r="CM118" s="100" t="n"/>
      <x:c r="CN118" s="100" t="n"/>
      <x:c r="CO118" s="100" t="n"/>
      <x:c r="CP118" s="100" t="n"/>
      <x:c r="CQ118" s="100" t="n"/>
      <x:c r="CR118" s="100" t="n"/>
      <x:c r="CS118" s="100" t="n"/>
      <x:c r="CT118" s="100" t="n"/>
      <x:c r="CU118" s="100" t="n"/>
      <x:c r="CV118" s="100" t="n"/>
      <x:c r="CW118" s="100" t="n"/>
      <x:c r="CX118" s="100" t="n"/>
      <x:c r="CY118" s="100" t="n"/>
      <x:c r="CZ118" s="100" t="n"/>
      <x:c r="DA118" s="100" t="n"/>
      <x:c r="DB118" s="100" t="n"/>
      <x:c r="DC118" s="100" t="n"/>
      <x:c r="DD118" s="100" t="n"/>
      <x:c r="DE118" s="100" t="n"/>
      <x:c r="DF118" s="100" t="n"/>
      <x:c r="DG118" s="100" t="n"/>
      <x:c r="DH118" s="100" t="n"/>
      <x:c r="DI118" s="100" t="n"/>
      <x:c r="DJ118" s="100" t="n"/>
      <x:c r="DK118" s="100" t="n"/>
      <x:c r="DL118" s="100" t="n"/>
      <x:c r="DM118" s="100" t="n"/>
      <x:c r="DN118" s="100" t="n"/>
      <x:c r="DO118" s="100" t="n"/>
      <x:c r="DP118" s="100" t="n"/>
      <x:c r="DQ118" s="100" t="n"/>
      <x:c r="DR118" s="100" t="n"/>
      <x:c r="DS118" s="100" t="n"/>
      <x:c r="DT118" s="100" t="n"/>
      <x:c r="DU118" s="100" t="n"/>
      <x:c r="DV118" s="100" t="n"/>
      <x:c r="DW118" s="100" t="n"/>
      <x:c r="DX118" s="100" t="n"/>
      <x:c r="DY118" s="100" t="n"/>
      <x:c r="DZ118" s="100" t="n"/>
      <x:c r="EA118" s="100" t="n"/>
      <x:c r="EB118" s="100" t="n"/>
      <x:c r="EC118" s="100" t="n"/>
      <x:c r="ED118" s="100" t="n"/>
      <x:c r="EE118" s="100" t="n"/>
      <x:c r="EF118" s="100" t="n"/>
      <x:c r="EG118" s="100" t="n"/>
      <x:c r="EH118" s="100" t="n"/>
      <x:c r="EI118" s="100" t="n"/>
      <x:c r="EJ118" s="100" t="n"/>
      <x:c r="EK118" s="100" t="n"/>
      <x:c r="EL118" s="100" t="n"/>
      <x:c r="EM118" s="100" t="n"/>
      <x:c r="EN118" s="100" t="n"/>
      <x:c r="EO118" s="100" t="n"/>
      <x:c r="EP118" s="100" t="n"/>
      <x:c r="EQ118" s="100" t="n"/>
      <x:c r="ER118" s="100" t="n"/>
      <x:c r="ES118" s="100" t="n"/>
      <x:c r="ET118" s="100" t="n"/>
      <x:c r="EU118" s="100" t="n"/>
      <x:c r="EV118" s="100" t="n"/>
      <x:c r="EW118" s="100" t="n"/>
      <x:c r="EX118" s="100" t="n"/>
      <x:c r="EY118" s="100" t="n"/>
      <x:c r="EZ118" s="100" t="n"/>
      <x:c r="FA118" s="100" t="n"/>
      <x:c r="FB118" s="100" t="n"/>
      <x:c r="FC118" s="100" t="n"/>
      <x:c r="FD118" s="100" t="n"/>
      <x:c r="FE118" s="100" t="n"/>
      <x:c r="FF118" s="100" t="n"/>
      <x:c r="FG118" s="100" t="n"/>
      <x:c r="FH118" s="100" t="n"/>
      <x:c r="FI118" s="100" t="n"/>
      <x:c r="FJ118" s="100" t="n"/>
      <x:c r="FK118" s="100" t="n"/>
      <x:c r="FL118" s="100" t="n"/>
      <x:c r="FM118" s="100" t="n"/>
      <x:c r="FN118" s="100" t="n"/>
      <x:c r="FO118" s="100" t="n"/>
      <x:c r="FP118" s="100" t="n"/>
      <x:c r="FQ118" s="100" t="n"/>
      <x:c r="FR118" s="100" t="n"/>
      <x:c r="FS118" s="100" t="n"/>
      <x:c r="FT118" s="100" t="n"/>
      <x:c r="FU118" s="100" t="n"/>
      <x:c r="FV118" s="100" t="n"/>
      <x:c r="FW118" s="100" t="n"/>
      <x:c r="FX118" s="100" t="n"/>
      <x:c r="FY118" s="100" t="n"/>
      <x:c r="FZ118" s="100" t="n"/>
      <x:c r="GA118" s="100" t="n"/>
      <x:c r="GB118" s="100" t="n"/>
      <x:c r="GC118" s="100" t="n"/>
      <x:c r="GD118" s="100" t="n"/>
      <x:c r="GE118" s="100" t="n"/>
      <x:c r="GF118" s="100" t="n"/>
    </x:row>
    <x:row r="119" s="27" customFormat="1">
      <x:c r="A119" s="38" t="n"/>
      <x:c r="B119" s="37" t="n"/>
      <x:c r="C119" s="36" t="n">
        <x:f>E119*D$5</x:f>
        <x:v>0</x:v>
      </x:c>
      <x:c r="D119" s="20" t="n"/>
      <x:c r="E119" s="36" t="n">
        <x:f>SUM(G119:HT119)</x:f>
        <x:v>0</x:v>
      </x:c>
      <x:c r="M119" s="100" t="n"/>
      <x:c r="N119" s="100" t="n"/>
      <x:c r="O119" s="100" t="n"/>
      <x:c r="P119" s="100" t="n"/>
      <x:c r="Q119" s="100" t="n"/>
      <x:c r="R119" s="100" t="n"/>
      <x:c r="S119" s="100" t="n"/>
      <x:c r="T119" s="100" t="n"/>
      <x:c r="U119" s="100" t="n"/>
      <x:c r="V119" s="100" t="n"/>
      <x:c r="W119" s="100" t="n"/>
      <x:c r="X119" s="100" t="n"/>
      <x:c r="Y119" s="100" t="n"/>
      <x:c r="Z119" s="100" t="n"/>
      <x:c r="AA119" s="100" t="n"/>
      <x:c r="AB119" s="100" t="n"/>
      <x:c r="AC119" s="100" t="n"/>
      <x:c r="AD119" s="100" t="n"/>
      <x:c r="AE119" s="100" t="n"/>
      <x:c r="AF119" s="100" t="n"/>
      <x:c r="AG119" s="100" t="n"/>
      <x:c r="AH119" s="100" t="n"/>
      <x:c r="AI119" s="100" t="n"/>
      <x:c r="AJ119" s="100" t="n"/>
      <x:c r="AK119" s="100" t="n"/>
      <x:c r="AL119" s="100" t="n"/>
      <x:c r="AM119" s="100" t="n"/>
      <x:c r="AN119" s="100" t="n"/>
      <x:c r="AO119" s="100" t="n"/>
      <x:c r="AP119" s="100" t="n"/>
      <x:c r="AQ119" s="100" t="n"/>
      <x:c r="AR119" s="100" t="n"/>
      <x:c r="AS119" s="100" t="n"/>
      <x:c r="AT119" s="100" t="n"/>
      <x:c r="AU119" s="100" t="n"/>
      <x:c r="AV119" s="100" t="n"/>
      <x:c r="AW119" s="100" t="n"/>
      <x:c r="AX119" s="100" t="n"/>
      <x:c r="AY119" s="100" t="n"/>
      <x:c r="AZ119" s="100" t="n"/>
      <x:c r="BA119" s="100" t="n"/>
      <x:c r="BB119" s="100" t="n"/>
      <x:c r="BC119" s="100" t="n"/>
      <x:c r="BD119" s="100" t="n"/>
      <x:c r="BE119" s="100" t="n"/>
      <x:c r="BF119" s="100" t="n"/>
      <x:c r="BG119" s="100" t="n"/>
      <x:c r="BH119" s="100" t="n"/>
      <x:c r="BI119" s="100" t="n"/>
      <x:c r="BJ119" s="100" t="n"/>
      <x:c r="BK119" s="100" t="n"/>
      <x:c r="BL119" s="100" t="n"/>
      <x:c r="BM119" s="100" t="n"/>
      <x:c r="BN119" s="100" t="n"/>
      <x:c r="BO119" s="100" t="n"/>
      <x:c r="BP119" s="100" t="n"/>
      <x:c r="BQ119" s="100" t="n"/>
      <x:c r="BR119" s="100" t="n"/>
      <x:c r="BS119" s="100" t="n"/>
      <x:c r="BT119" s="100" t="n"/>
      <x:c r="BU119" s="100" t="n"/>
      <x:c r="BV119" s="100" t="n"/>
      <x:c r="BW119" s="100" t="n"/>
      <x:c r="BX119" s="100" t="n"/>
      <x:c r="BY119" s="100" t="n"/>
      <x:c r="BZ119" s="100" t="n"/>
      <x:c r="CA119" s="100" t="n"/>
      <x:c r="CB119" s="100" t="n"/>
      <x:c r="CC119" s="100" t="n"/>
      <x:c r="CD119" s="100" t="n"/>
      <x:c r="CE119" s="100" t="n"/>
      <x:c r="CF119" s="100" t="n"/>
      <x:c r="CG119" s="100" t="n"/>
      <x:c r="CH119" s="100" t="n"/>
      <x:c r="CI119" s="100" t="n"/>
      <x:c r="CJ119" s="100" t="n"/>
      <x:c r="CK119" s="100" t="n"/>
      <x:c r="CL119" s="100" t="n"/>
      <x:c r="CM119" s="100" t="n"/>
      <x:c r="CN119" s="100" t="n"/>
      <x:c r="CO119" s="100" t="n"/>
      <x:c r="CP119" s="100" t="n"/>
      <x:c r="CQ119" s="100" t="n"/>
      <x:c r="CR119" s="100" t="n"/>
      <x:c r="CS119" s="100" t="n"/>
      <x:c r="CT119" s="100" t="n"/>
      <x:c r="CU119" s="100" t="n"/>
      <x:c r="CV119" s="100" t="n"/>
      <x:c r="CW119" s="100" t="n"/>
      <x:c r="CX119" s="100" t="n"/>
      <x:c r="CY119" s="100" t="n"/>
      <x:c r="CZ119" s="100" t="n"/>
      <x:c r="DA119" s="100" t="n"/>
      <x:c r="DB119" s="100" t="n"/>
      <x:c r="DC119" s="100" t="n"/>
      <x:c r="DD119" s="100" t="n"/>
      <x:c r="DE119" s="100" t="n"/>
      <x:c r="DF119" s="100" t="n"/>
      <x:c r="DG119" s="100" t="n"/>
      <x:c r="DH119" s="100" t="n"/>
      <x:c r="DI119" s="100" t="n"/>
      <x:c r="DJ119" s="100" t="n"/>
      <x:c r="DK119" s="100" t="n"/>
      <x:c r="DL119" s="100" t="n"/>
      <x:c r="DM119" s="100" t="n"/>
      <x:c r="DN119" s="100" t="n"/>
      <x:c r="DO119" s="100" t="n"/>
      <x:c r="DP119" s="100" t="n"/>
      <x:c r="DQ119" s="100" t="n"/>
      <x:c r="DR119" s="100" t="n"/>
      <x:c r="DS119" s="100" t="n"/>
      <x:c r="DT119" s="100" t="n"/>
      <x:c r="DU119" s="100" t="n"/>
      <x:c r="DV119" s="100" t="n"/>
      <x:c r="DW119" s="100" t="n"/>
      <x:c r="DX119" s="100" t="n"/>
      <x:c r="DY119" s="100" t="n"/>
      <x:c r="DZ119" s="100" t="n"/>
      <x:c r="EA119" s="100" t="n"/>
      <x:c r="EB119" s="100" t="n"/>
      <x:c r="EC119" s="100" t="n"/>
      <x:c r="ED119" s="100" t="n"/>
      <x:c r="EE119" s="100" t="n"/>
      <x:c r="EF119" s="100" t="n"/>
      <x:c r="EG119" s="100" t="n"/>
      <x:c r="EH119" s="100" t="n"/>
      <x:c r="EI119" s="100" t="n"/>
      <x:c r="EJ119" s="100" t="n"/>
      <x:c r="EK119" s="100" t="n"/>
      <x:c r="EL119" s="100" t="n"/>
      <x:c r="EM119" s="100" t="n"/>
      <x:c r="EN119" s="100" t="n"/>
      <x:c r="EO119" s="100" t="n"/>
      <x:c r="EP119" s="100" t="n"/>
      <x:c r="EQ119" s="100" t="n"/>
      <x:c r="ER119" s="100" t="n"/>
      <x:c r="ES119" s="100" t="n"/>
      <x:c r="ET119" s="100" t="n"/>
      <x:c r="EU119" s="100" t="n"/>
      <x:c r="EV119" s="100" t="n"/>
      <x:c r="EW119" s="100" t="n"/>
      <x:c r="EX119" s="100" t="n"/>
      <x:c r="EY119" s="100" t="n"/>
      <x:c r="EZ119" s="100" t="n"/>
      <x:c r="FA119" s="100" t="n"/>
      <x:c r="FB119" s="100" t="n"/>
      <x:c r="FC119" s="100" t="n"/>
      <x:c r="FD119" s="100" t="n"/>
      <x:c r="FE119" s="100" t="n"/>
      <x:c r="FF119" s="100" t="n"/>
      <x:c r="FG119" s="100" t="n"/>
      <x:c r="FH119" s="100" t="n"/>
      <x:c r="FI119" s="100" t="n"/>
      <x:c r="FJ119" s="100" t="n"/>
      <x:c r="FK119" s="100" t="n"/>
      <x:c r="FL119" s="100" t="n"/>
      <x:c r="FM119" s="100" t="n"/>
      <x:c r="FN119" s="100" t="n"/>
      <x:c r="FO119" s="100" t="n"/>
      <x:c r="FP119" s="100" t="n"/>
      <x:c r="FQ119" s="100" t="n"/>
      <x:c r="FR119" s="100" t="n"/>
      <x:c r="FS119" s="100" t="n"/>
      <x:c r="FT119" s="100" t="n"/>
      <x:c r="FU119" s="100" t="n"/>
      <x:c r="FV119" s="100" t="n"/>
      <x:c r="FW119" s="100" t="n"/>
      <x:c r="FX119" s="100" t="n"/>
      <x:c r="FY119" s="100" t="n"/>
      <x:c r="FZ119" s="100" t="n"/>
      <x:c r="GA119" s="100" t="n"/>
      <x:c r="GB119" s="100" t="n"/>
      <x:c r="GC119" s="100" t="n"/>
      <x:c r="GD119" s="100" t="n"/>
      <x:c r="GE119" s="100" t="n"/>
      <x:c r="GF119" s="100" t="n"/>
    </x:row>
    <x:row r="120" s="27" customFormat="1">
      <x:c r="A120" s="38" t="n"/>
      <x:c r="B120" s="37" t="n"/>
      <x:c r="C120" s="36" t="n">
        <x:f>E120*D$5</x:f>
        <x:v>0</x:v>
      </x:c>
      <x:c r="D120" s="20" t="n"/>
      <x:c r="E120" s="36" t="n">
        <x:f>SUM(G120:HT120)</x:f>
        <x:v>0</x:v>
      </x:c>
      <x:c r="M120" s="100" t="n"/>
      <x:c r="N120" s="100" t="n"/>
      <x:c r="O120" s="100" t="n"/>
      <x:c r="P120" s="100" t="n"/>
      <x:c r="Q120" s="100" t="n"/>
      <x:c r="R120" s="100" t="n"/>
      <x:c r="S120" s="100" t="n"/>
      <x:c r="T120" s="100" t="n"/>
      <x:c r="U120" s="100" t="n"/>
      <x:c r="V120" s="100" t="n"/>
      <x:c r="W120" s="100" t="n"/>
      <x:c r="X120" s="100" t="n"/>
      <x:c r="Y120" s="100" t="n"/>
      <x:c r="Z120" s="100" t="n"/>
      <x:c r="AA120" s="100" t="n"/>
      <x:c r="AB120" s="100" t="n"/>
      <x:c r="AC120" s="100" t="n"/>
      <x:c r="AD120" s="100" t="n"/>
      <x:c r="AE120" s="100" t="n"/>
      <x:c r="AF120" s="100" t="n"/>
      <x:c r="AG120" s="100" t="n"/>
      <x:c r="AH120" s="100" t="n"/>
      <x:c r="AI120" s="100" t="n"/>
      <x:c r="AJ120" s="100" t="n"/>
      <x:c r="AK120" s="100" t="n"/>
      <x:c r="AL120" s="100" t="n"/>
      <x:c r="AM120" s="100" t="n"/>
      <x:c r="AN120" s="100" t="n"/>
      <x:c r="AO120" s="100" t="n"/>
      <x:c r="AP120" s="100" t="n"/>
      <x:c r="AQ120" s="100" t="n"/>
      <x:c r="AR120" s="100" t="n"/>
      <x:c r="AS120" s="100" t="n"/>
      <x:c r="AT120" s="100" t="n"/>
      <x:c r="AU120" s="100" t="n"/>
      <x:c r="AV120" s="100" t="n"/>
      <x:c r="AW120" s="100" t="n"/>
      <x:c r="AX120" s="100" t="n"/>
      <x:c r="AY120" s="100" t="n"/>
      <x:c r="AZ120" s="100" t="n"/>
      <x:c r="BA120" s="100" t="n"/>
      <x:c r="BB120" s="100" t="n"/>
      <x:c r="BC120" s="100" t="n"/>
      <x:c r="BD120" s="100" t="n"/>
      <x:c r="BE120" s="100" t="n"/>
      <x:c r="BF120" s="100" t="n"/>
      <x:c r="BG120" s="100" t="n"/>
      <x:c r="BH120" s="100" t="n"/>
      <x:c r="BI120" s="100" t="n"/>
      <x:c r="BJ120" s="100" t="n"/>
      <x:c r="BK120" s="100" t="n"/>
      <x:c r="BL120" s="100" t="n"/>
      <x:c r="BM120" s="100" t="n"/>
      <x:c r="BN120" s="100" t="n"/>
      <x:c r="BO120" s="100" t="n"/>
      <x:c r="BP120" s="100" t="n"/>
      <x:c r="BQ120" s="100" t="n"/>
      <x:c r="BR120" s="100" t="n"/>
      <x:c r="BS120" s="100" t="n"/>
      <x:c r="BT120" s="100" t="n"/>
      <x:c r="BU120" s="100" t="n"/>
      <x:c r="BV120" s="100" t="n"/>
      <x:c r="BW120" s="100" t="n"/>
      <x:c r="BX120" s="100" t="n"/>
      <x:c r="BY120" s="100" t="n"/>
      <x:c r="BZ120" s="100" t="n"/>
      <x:c r="CA120" s="100" t="n"/>
      <x:c r="CB120" s="100" t="n"/>
      <x:c r="CC120" s="100" t="n"/>
      <x:c r="CD120" s="100" t="n"/>
      <x:c r="CE120" s="100" t="n"/>
      <x:c r="CF120" s="100" t="n"/>
      <x:c r="CG120" s="100" t="n"/>
      <x:c r="CH120" s="100" t="n"/>
      <x:c r="CI120" s="100" t="n"/>
      <x:c r="CJ120" s="100" t="n"/>
      <x:c r="CK120" s="100" t="n"/>
      <x:c r="CL120" s="100" t="n"/>
      <x:c r="CM120" s="100" t="n"/>
      <x:c r="CN120" s="100" t="n"/>
      <x:c r="CO120" s="100" t="n"/>
      <x:c r="CP120" s="100" t="n"/>
      <x:c r="CQ120" s="100" t="n"/>
      <x:c r="CR120" s="100" t="n"/>
      <x:c r="CS120" s="100" t="n"/>
      <x:c r="CT120" s="100" t="n"/>
      <x:c r="CU120" s="100" t="n"/>
      <x:c r="CV120" s="100" t="n"/>
      <x:c r="CW120" s="100" t="n"/>
      <x:c r="CX120" s="100" t="n"/>
      <x:c r="CY120" s="100" t="n"/>
      <x:c r="CZ120" s="100" t="n"/>
      <x:c r="DA120" s="100" t="n"/>
      <x:c r="DB120" s="100" t="n"/>
      <x:c r="DC120" s="100" t="n"/>
      <x:c r="DD120" s="100" t="n"/>
      <x:c r="DE120" s="100" t="n"/>
      <x:c r="DF120" s="100" t="n"/>
      <x:c r="DG120" s="100" t="n"/>
      <x:c r="DH120" s="100" t="n"/>
      <x:c r="DI120" s="100" t="n"/>
      <x:c r="DJ120" s="100" t="n"/>
      <x:c r="DK120" s="100" t="n"/>
      <x:c r="DL120" s="100" t="n"/>
      <x:c r="DM120" s="100" t="n"/>
      <x:c r="DN120" s="100" t="n"/>
      <x:c r="DO120" s="100" t="n"/>
      <x:c r="DP120" s="100" t="n"/>
      <x:c r="DQ120" s="100" t="n"/>
      <x:c r="DR120" s="100" t="n"/>
      <x:c r="DS120" s="100" t="n"/>
      <x:c r="DT120" s="100" t="n"/>
      <x:c r="DU120" s="100" t="n"/>
      <x:c r="DV120" s="100" t="n"/>
      <x:c r="DW120" s="100" t="n"/>
      <x:c r="DX120" s="100" t="n"/>
      <x:c r="DY120" s="100" t="n"/>
      <x:c r="DZ120" s="100" t="n"/>
      <x:c r="EA120" s="100" t="n"/>
      <x:c r="EB120" s="100" t="n"/>
      <x:c r="EC120" s="100" t="n"/>
      <x:c r="ED120" s="100" t="n"/>
      <x:c r="EE120" s="100" t="n"/>
      <x:c r="EF120" s="100" t="n"/>
      <x:c r="EG120" s="100" t="n"/>
      <x:c r="EH120" s="100" t="n"/>
      <x:c r="EI120" s="100" t="n"/>
      <x:c r="EJ120" s="100" t="n"/>
      <x:c r="EK120" s="100" t="n"/>
      <x:c r="EL120" s="100" t="n"/>
      <x:c r="EM120" s="100" t="n"/>
      <x:c r="EN120" s="100" t="n"/>
      <x:c r="EO120" s="100" t="n"/>
      <x:c r="EP120" s="100" t="n"/>
      <x:c r="EQ120" s="100" t="n"/>
      <x:c r="ER120" s="100" t="n"/>
      <x:c r="ES120" s="100" t="n"/>
      <x:c r="ET120" s="100" t="n"/>
      <x:c r="EU120" s="100" t="n"/>
      <x:c r="EV120" s="100" t="n"/>
      <x:c r="EW120" s="100" t="n"/>
      <x:c r="EX120" s="100" t="n"/>
      <x:c r="EY120" s="100" t="n"/>
      <x:c r="EZ120" s="100" t="n"/>
      <x:c r="FA120" s="100" t="n"/>
      <x:c r="FB120" s="100" t="n"/>
      <x:c r="FC120" s="100" t="n"/>
      <x:c r="FD120" s="100" t="n"/>
      <x:c r="FE120" s="100" t="n"/>
      <x:c r="FF120" s="100" t="n"/>
      <x:c r="FG120" s="100" t="n"/>
      <x:c r="FH120" s="100" t="n"/>
      <x:c r="FI120" s="100" t="n"/>
      <x:c r="FJ120" s="100" t="n"/>
      <x:c r="FK120" s="100" t="n"/>
      <x:c r="FL120" s="100" t="n"/>
      <x:c r="FM120" s="100" t="n"/>
      <x:c r="FN120" s="100" t="n"/>
      <x:c r="FO120" s="100" t="n"/>
      <x:c r="FP120" s="100" t="n"/>
      <x:c r="FQ120" s="100" t="n"/>
      <x:c r="FR120" s="100" t="n"/>
      <x:c r="FS120" s="100" t="n"/>
      <x:c r="FT120" s="100" t="n"/>
      <x:c r="FU120" s="100" t="n"/>
      <x:c r="FV120" s="100" t="n"/>
      <x:c r="FW120" s="100" t="n"/>
      <x:c r="FX120" s="100" t="n"/>
      <x:c r="FY120" s="100" t="n"/>
      <x:c r="FZ120" s="100" t="n"/>
      <x:c r="GA120" s="100" t="n"/>
      <x:c r="GB120" s="100" t="n"/>
      <x:c r="GC120" s="100" t="n"/>
      <x:c r="GD120" s="100" t="n"/>
      <x:c r="GE120" s="100" t="n"/>
      <x:c r="GF120" s="100" t="n"/>
    </x:row>
    <x:row r="121" s="27" customFormat="1">
      <x:c r="A121" s="38" t="n"/>
      <x:c r="B121" s="37" t="n"/>
      <x:c r="C121" s="36" t="n">
        <x:f>E121*D$5</x:f>
        <x:v>0</x:v>
      </x:c>
      <x:c r="D121" s="20" t="n"/>
      <x:c r="E121" s="36" t="n">
        <x:f>SUM(G121:HT121)</x:f>
        <x:v>0</x:v>
      </x:c>
      <x:c r="M121" s="100" t="n"/>
      <x:c r="N121" s="100" t="n"/>
      <x:c r="O121" s="100" t="n"/>
      <x:c r="P121" s="100" t="n"/>
      <x:c r="Q121" s="100" t="n"/>
      <x:c r="R121" s="100" t="n"/>
      <x:c r="S121" s="100" t="n"/>
      <x:c r="T121" s="100" t="n"/>
      <x:c r="U121" s="100" t="n"/>
      <x:c r="V121" s="100" t="n"/>
      <x:c r="W121" s="100" t="n"/>
      <x:c r="X121" s="100" t="n"/>
      <x:c r="Y121" s="100" t="n"/>
      <x:c r="Z121" s="100" t="n"/>
      <x:c r="AA121" s="100" t="n"/>
      <x:c r="AB121" s="100" t="n"/>
      <x:c r="AC121" s="100" t="n"/>
      <x:c r="AD121" s="100" t="n"/>
      <x:c r="AE121" s="100" t="n"/>
      <x:c r="AF121" s="100" t="n"/>
      <x:c r="AG121" s="100" t="n"/>
      <x:c r="AH121" s="100" t="n"/>
      <x:c r="AI121" s="100" t="n"/>
      <x:c r="AJ121" s="100" t="n"/>
      <x:c r="AK121" s="100" t="n"/>
      <x:c r="AL121" s="100" t="n"/>
      <x:c r="AM121" s="100" t="n"/>
      <x:c r="AN121" s="100" t="n"/>
      <x:c r="AO121" s="100" t="n"/>
      <x:c r="AP121" s="100" t="n"/>
      <x:c r="AQ121" s="100" t="n"/>
      <x:c r="AR121" s="100" t="n"/>
      <x:c r="AS121" s="100" t="n"/>
      <x:c r="AT121" s="100" t="n"/>
      <x:c r="AU121" s="100" t="n"/>
      <x:c r="AV121" s="100" t="n"/>
      <x:c r="AW121" s="100" t="n"/>
      <x:c r="AX121" s="100" t="n"/>
      <x:c r="AY121" s="100" t="n"/>
      <x:c r="AZ121" s="100" t="n"/>
      <x:c r="BA121" s="100" t="n"/>
      <x:c r="BB121" s="100" t="n"/>
      <x:c r="BC121" s="100" t="n"/>
      <x:c r="BD121" s="100" t="n"/>
      <x:c r="BE121" s="100" t="n"/>
      <x:c r="BF121" s="100" t="n"/>
      <x:c r="BG121" s="100" t="n"/>
      <x:c r="BH121" s="100" t="n"/>
      <x:c r="BI121" s="100" t="n"/>
      <x:c r="BJ121" s="100" t="n"/>
      <x:c r="BK121" s="100" t="n"/>
      <x:c r="BL121" s="100" t="n"/>
      <x:c r="BM121" s="100" t="n"/>
      <x:c r="BN121" s="100" t="n"/>
      <x:c r="BO121" s="100" t="n"/>
      <x:c r="BP121" s="100" t="n"/>
      <x:c r="BQ121" s="100" t="n"/>
      <x:c r="BR121" s="100" t="n"/>
      <x:c r="BS121" s="100" t="n"/>
      <x:c r="BT121" s="100" t="n"/>
      <x:c r="BU121" s="100" t="n"/>
      <x:c r="BV121" s="100" t="n"/>
      <x:c r="BW121" s="100" t="n"/>
      <x:c r="BX121" s="100" t="n"/>
      <x:c r="BY121" s="100" t="n"/>
      <x:c r="BZ121" s="100" t="n"/>
      <x:c r="CA121" s="100" t="n"/>
      <x:c r="CB121" s="100" t="n"/>
      <x:c r="CC121" s="100" t="n"/>
      <x:c r="CD121" s="100" t="n"/>
      <x:c r="CE121" s="100" t="n"/>
      <x:c r="CF121" s="100" t="n"/>
      <x:c r="CG121" s="100" t="n"/>
      <x:c r="CH121" s="100" t="n"/>
      <x:c r="CI121" s="100" t="n"/>
      <x:c r="CJ121" s="100" t="n"/>
      <x:c r="CK121" s="100" t="n"/>
      <x:c r="CL121" s="100" t="n"/>
      <x:c r="CM121" s="100" t="n"/>
      <x:c r="CN121" s="100" t="n"/>
      <x:c r="CO121" s="100" t="n"/>
      <x:c r="CP121" s="100" t="n"/>
      <x:c r="CQ121" s="100" t="n"/>
      <x:c r="CR121" s="100" t="n"/>
      <x:c r="CS121" s="100" t="n"/>
      <x:c r="CT121" s="100" t="n"/>
      <x:c r="CU121" s="100" t="n"/>
      <x:c r="CV121" s="100" t="n"/>
      <x:c r="CW121" s="100" t="n"/>
      <x:c r="CX121" s="100" t="n"/>
      <x:c r="CY121" s="100" t="n"/>
      <x:c r="CZ121" s="100" t="n"/>
      <x:c r="DA121" s="100" t="n"/>
      <x:c r="DB121" s="100" t="n"/>
      <x:c r="DC121" s="100" t="n"/>
      <x:c r="DD121" s="100" t="n"/>
      <x:c r="DE121" s="100" t="n"/>
      <x:c r="DF121" s="100" t="n"/>
      <x:c r="DG121" s="100" t="n"/>
      <x:c r="DH121" s="100" t="n"/>
      <x:c r="DI121" s="100" t="n"/>
      <x:c r="DJ121" s="100" t="n"/>
      <x:c r="DK121" s="100" t="n"/>
      <x:c r="DL121" s="100" t="n"/>
      <x:c r="DM121" s="100" t="n"/>
      <x:c r="DN121" s="100" t="n"/>
      <x:c r="DO121" s="100" t="n"/>
      <x:c r="DP121" s="100" t="n"/>
      <x:c r="DQ121" s="100" t="n"/>
      <x:c r="DR121" s="100" t="n"/>
      <x:c r="DS121" s="100" t="n"/>
      <x:c r="DT121" s="100" t="n"/>
      <x:c r="DU121" s="100" t="n"/>
      <x:c r="DV121" s="100" t="n"/>
      <x:c r="DW121" s="100" t="n"/>
      <x:c r="DX121" s="100" t="n"/>
      <x:c r="DY121" s="100" t="n"/>
      <x:c r="DZ121" s="100" t="n"/>
      <x:c r="EA121" s="100" t="n"/>
      <x:c r="EB121" s="100" t="n"/>
      <x:c r="EC121" s="100" t="n"/>
      <x:c r="ED121" s="100" t="n"/>
      <x:c r="EE121" s="100" t="n"/>
      <x:c r="EF121" s="100" t="n"/>
      <x:c r="EG121" s="100" t="n"/>
      <x:c r="EH121" s="100" t="n"/>
      <x:c r="EI121" s="100" t="n"/>
      <x:c r="EJ121" s="100" t="n"/>
      <x:c r="EK121" s="100" t="n"/>
      <x:c r="EL121" s="100" t="n"/>
      <x:c r="EM121" s="100" t="n"/>
      <x:c r="EN121" s="100" t="n"/>
      <x:c r="EO121" s="100" t="n"/>
      <x:c r="EP121" s="100" t="n"/>
      <x:c r="EQ121" s="100" t="n"/>
      <x:c r="ER121" s="100" t="n"/>
      <x:c r="ES121" s="100" t="n"/>
      <x:c r="ET121" s="100" t="n"/>
      <x:c r="EU121" s="100" t="n"/>
      <x:c r="EV121" s="100" t="n"/>
      <x:c r="EW121" s="100" t="n"/>
      <x:c r="EX121" s="100" t="n"/>
      <x:c r="EY121" s="100" t="n"/>
      <x:c r="EZ121" s="100" t="n"/>
      <x:c r="FA121" s="100" t="n"/>
      <x:c r="FB121" s="100" t="n"/>
      <x:c r="FC121" s="100" t="n"/>
      <x:c r="FD121" s="100" t="n"/>
      <x:c r="FE121" s="100" t="n"/>
      <x:c r="FF121" s="100" t="n"/>
      <x:c r="FG121" s="100" t="n"/>
      <x:c r="FH121" s="100" t="n"/>
      <x:c r="FI121" s="100" t="n"/>
      <x:c r="FJ121" s="100" t="n"/>
      <x:c r="FK121" s="100" t="n"/>
      <x:c r="FL121" s="100" t="n"/>
      <x:c r="FM121" s="100" t="n"/>
      <x:c r="FN121" s="100" t="n"/>
      <x:c r="FO121" s="100" t="n"/>
      <x:c r="FP121" s="100" t="n"/>
      <x:c r="FQ121" s="100" t="n"/>
      <x:c r="FR121" s="100" t="n"/>
      <x:c r="FS121" s="100" t="n"/>
      <x:c r="FT121" s="100" t="n"/>
      <x:c r="FU121" s="100" t="n"/>
      <x:c r="FV121" s="100" t="n"/>
      <x:c r="FW121" s="100" t="n"/>
      <x:c r="FX121" s="100" t="n"/>
      <x:c r="FY121" s="100" t="n"/>
      <x:c r="FZ121" s="100" t="n"/>
      <x:c r="GA121" s="100" t="n"/>
      <x:c r="GB121" s="100" t="n"/>
      <x:c r="GC121" s="100" t="n"/>
      <x:c r="GD121" s="100" t="n"/>
      <x:c r="GE121" s="100" t="n"/>
      <x:c r="GF121" s="100" t="n"/>
    </x:row>
    <x:row r="122" s="27" customFormat="1">
      <x:c r="A122" s="38" t="n"/>
      <x:c r="B122" s="37" t="n"/>
      <x:c r="C122" s="36" t="n">
        <x:f>E122*D$5</x:f>
        <x:v>0</x:v>
      </x:c>
      <x:c r="D122" s="20" t="n"/>
      <x:c r="E122" s="36" t="n">
        <x:f>SUM(G122:HT122)</x:f>
        <x:v>0</x:v>
      </x:c>
      <x:c r="M122" s="100" t="n"/>
      <x:c r="N122" s="100" t="n"/>
      <x:c r="O122" s="100" t="n"/>
      <x:c r="P122" s="100" t="n"/>
      <x:c r="Q122" s="100" t="n"/>
      <x:c r="R122" s="100" t="n"/>
      <x:c r="S122" s="100" t="n"/>
      <x:c r="T122" s="100" t="n"/>
      <x:c r="U122" s="100" t="n"/>
      <x:c r="V122" s="100" t="n"/>
      <x:c r="W122" s="100" t="n"/>
      <x:c r="X122" s="100" t="n"/>
      <x:c r="Y122" s="100" t="n"/>
      <x:c r="Z122" s="100" t="n"/>
      <x:c r="AA122" s="100" t="n"/>
      <x:c r="AB122" s="100" t="n"/>
      <x:c r="AC122" s="100" t="n"/>
      <x:c r="AD122" s="100" t="n"/>
      <x:c r="AE122" s="100" t="n"/>
      <x:c r="AF122" s="100" t="n"/>
      <x:c r="AG122" s="100" t="n"/>
      <x:c r="AH122" s="100" t="n"/>
      <x:c r="AI122" s="100" t="n"/>
      <x:c r="AJ122" s="100" t="n"/>
      <x:c r="AK122" s="100" t="n"/>
      <x:c r="AL122" s="100" t="n"/>
      <x:c r="AM122" s="100" t="n"/>
      <x:c r="AN122" s="100" t="n"/>
      <x:c r="AO122" s="100" t="n"/>
      <x:c r="AP122" s="100" t="n"/>
      <x:c r="AQ122" s="100" t="n"/>
      <x:c r="AR122" s="100" t="n"/>
      <x:c r="AS122" s="100" t="n"/>
      <x:c r="AT122" s="100" t="n"/>
      <x:c r="AU122" s="100" t="n"/>
      <x:c r="AV122" s="100" t="n"/>
      <x:c r="AW122" s="100" t="n"/>
      <x:c r="AX122" s="100" t="n"/>
      <x:c r="AY122" s="100" t="n"/>
      <x:c r="AZ122" s="100" t="n"/>
      <x:c r="BA122" s="100" t="n"/>
      <x:c r="BB122" s="100" t="n"/>
      <x:c r="BC122" s="100" t="n"/>
      <x:c r="BD122" s="100" t="n"/>
      <x:c r="BE122" s="100" t="n"/>
      <x:c r="BF122" s="100" t="n"/>
      <x:c r="BG122" s="100" t="n"/>
      <x:c r="BH122" s="100" t="n"/>
      <x:c r="BI122" s="100" t="n"/>
      <x:c r="BJ122" s="100" t="n"/>
      <x:c r="BK122" s="100" t="n"/>
      <x:c r="BL122" s="100" t="n"/>
      <x:c r="BM122" s="100" t="n"/>
      <x:c r="BN122" s="100" t="n"/>
      <x:c r="BO122" s="100" t="n"/>
      <x:c r="BP122" s="100" t="n"/>
      <x:c r="BQ122" s="100" t="n"/>
      <x:c r="BR122" s="100" t="n"/>
      <x:c r="BS122" s="100" t="n"/>
      <x:c r="BT122" s="100" t="n"/>
      <x:c r="BU122" s="100" t="n"/>
      <x:c r="BV122" s="100" t="n"/>
      <x:c r="BW122" s="100" t="n"/>
      <x:c r="BX122" s="100" t="n"/>
      <x:c r="BY122" s="100" t="n"/>
      <x:c r="BZ122" s="100" t="n"/>
      <x:c r="CA122" s="100" t="n"/>
      <x:c r="CB122" s="100" t="n"/>
      <x:c r="CC122" s="100" t="n"/>
      <x:c r="CD122" s="100" t="n"/>
      <x:c r="CE122" s="100" t="n"/>
      <x:c r="CF122" s="100" t="n"/>
      <x:c r="CG122" s="100" t="n"/>
      <x:c r="CH122" s="100" t="n"/>
      <x:c r="CI122" s="100" t="n"/>
      <x:c r="CJ122" s="100" t="n"/>
      <x:c r="CK122" s="100" t="n"/>
      <x:c r="CL122" s="100" t="n"/>
      <x:c r="CM122" s="100" t="n"/>
      <x:c r="CN122" s="100" t="n"/>
      <x:c r="CO122" s="100" t="n"/>
      <x:c r="CP122" s="100" t="n"/>
      <x:c r="CQ122" s="100" t="n"/>
      <x:c r="CR122" s="100" t="n"/>
      <x:c r="CS122" s="100" t="n"/>
      <x:c r="CT122" s="100" t="n"/>
      <x:c r="CU122" s="100" t="n"/>
      <x:c r="CV122" s="100" t="n"/>
      <x:c r="CW122" s="100" t="n"/>
      <x:c r="CX122" s="100" t="n"/>
      <x:c r="CY122" s="100" t="n"/>
      <x:c r="CZ122" s="100" t="n"/>
      <x:c r="DA122" s="100" t="n"/>
      <x:c r="DB122" s="100" t="n"/>
      <x:c r="DC122" s="100" t="n"/>
      <x:c r="DD122" s="100" t="n"/>
      <x:c r="DE122" s="100" t="n"/>
      <x:c r="DF122" s="100" t="n"/>
      <x:c r="DG122" s="100" t="n"/>
      <x:c r="DH122" s="100" t="n"/>
      <x:c r="DI122" s="100" t="n"/>
      <x:c r="DJ122" s="100" t="n"/>
      <x:c r="DK122" s="100" t="n"/>
      <x:c r="DL122" s="100" t="n"/>
      <x:c r="DM122" s="100" t="n"/>
      <x:c r="DN122" s="100" t="n"/>
      <x:c r="DO122" s="100" t="n"/>
      <x:c r="DP122" s="100" t="n"/>
      <x:c r="DQ122" s="100" t="n"/>
      <x:c r="DR122" s="100" t="n"/>
      <x:c r="DS122" s="100" t="n"/>
      <x:c r="DT122" s="100" t="n"/>
      <x:c r="DU122" s="100" t="n"/>
      <x:c r="DV122" s="100" t="n"/>
      <x:c r="DW122" s="100" t="n"/>
      <x:c r="DX122" s="100" t="n"/>
      <x:c r="DY122" s="100" t="n"/>
      <x:c r="DZ122" s="100" t="n"/>
      <x:c r="EA122" s="100" t="n"/>
      <x:c r="EB122" s="100" t="n"/>
      <x:c r="EC122" s="100" t="n"/>
      <x:c r="ED122" s="100" t="n"/>
      <x:c r="EE122" s="100" t="n"/>
      <x:c r="EF122" s="100" t="n"/>
      <x:c r="EG122" s="100" t="n"/>
      <x:c r="EH122" s="100" t="n"/>
      <x:c r="EI122" s="100" t="n"/>
      <x:c r="EJ122" s="100" t="n"/>
      <x:c r="EK122" s="100" t="n"/>
      <x:c r="EL122" s="100" t="n"/>
      <x:c r="EM122" s="100" t="n"/>
      <x:c r="EN122" s="100" t="n"/>
      <x:c r="EO122" s="100" t="n"/>
      <x:c r="EP122" s="100" t="n"/>
      <x:c r="EQ122" s="100" t="n"/>
      <x:c r="ER122" s="100" t="n"/>
      <x:c r="ES122" s="100" t="n"/>
      <x:c r="ET122" s="100" t="n"/>
      <x:c r="EU122" s="100" t="n"/>
      <x:c r="EV122" s="100" t="n"/>
      <x:c r="EW122" s="100" t="n"/>
      <x:c r="EX122" s="100" t="n"/>
      <x:c r="EY122" s="100" t="n"/>
      <x:c r="EZ122" s="100" t="n"/>
      <x:c r="FA122" s="100" t="n"/>
      <x:c r="FB122" s="100" t="n"/>
      <x:c r="FC122" s="100" t="n"/>
      <x:c r="FD122" s="100" t="n"/>
      <x:c r="FE122" s="100" t="n"/>
      <x:c r="FF122" s="100" t="n"/>
      <x:c r="FG122" s="100" t="n"/>
      <x:c r="FH122" s="100" t="n"/>
      <x:c r="FI122" s="100" t="n"/>
      <x:c r="FJ122" s="100" t="n"/>
      <x:c r="FK122" s="100" t="n"/>
      <x:c r="FL122" s="100" t="n"/>
      <x:c r="FM122" s="100" t="n"/>
      <x:c r="FN122" s="100" t="n"/>
      <x:c r="FO122" s="100" t="n"/>
      <x:c r="FP122" s="100" t="n"/>
      <x:c r="FQ122" s="100" t="n"/>
      <x:c r="FR122" s="100" t="n"/>
      <x:c r="FS122" s="100" t="n"/>
      <x:c r="FT122" s="100" t="n"/>
      <x:c r="FU122" s="100" t="n"/>
      <x:c r="FV122" s="100" t="n"/>
      <x:c r="FW122" s="100" t="n"/>
      <x:c r="FX122" s="100" t="n"/>
      <x:c r="FY122" s="100" t="n"/>
      <x:c r="FZ122" s="100" t="n"/>
      <x:c r="GA122" s="100" t="n"/>
      <x:c r="GB122" s="100" t="n"/>
      <x:c r="GC122" s="100" t="n"/>
      <x:c r="GD122" s="100" t="n"/>
      <x:c r="GE122" s="100" t="n"/>
      <x:c r="GF122" s="100" t="n"/>
    </x:row>
    <x:row r="123" s="27" customFormat="1">
      <x:c r="A123" s="38" t="n"/>
      <x:c r="B123" s="37" t="n"/>
      <x:c r="C123" s="36" t="n">
        <x:f>E123*D$5</x:f>
        <x:v>0</x:v>
      </x:c>
      <x:c r="D123" s="20" t="n"/>
      <x:c r="E123" s="36" t="n">
        <x:f>SUM(G123:HT123)</x:f>
        <x:v>0</x:v>
      </x:c>
      <x:c r="M123" s="100" t="n"/>
      <x:c r="N123" s="100" t="n"/>
      <x:c r="O123" s="100" t="n"/>
      <x:c r="P123" s="100" t="n"/>
      <x:c r="Q123" s="100" t="n"/>
      <x:c r="R123" s="100" t="n"/>
      <x:c r="S123" s="100" t="n"/>
      <x:c r="T123" s="100" t="n"/>
      <x:c r="U123" s="100" t="n"/>
      <x:c r="V123" s="100" t="n"/>
      <x:c r="W123" s="100" t="n"/>
      <x:c r="X123" s="100" t="n"/>
      <x:c r="Y123" s="100" t="n"/>
      <x:c r="Z123" s="100" t="n"/>
      <x:c r="AA123" s="100" t="n"/>
      <x:c r="AB123" s="100" t="n"/>
      <x:c r="AC123" s="100" t="n"/>
      <x:c r="AD123" s="100" t="n"/>
      <x:c r="AE123" s="100" t="n"/>
      <x:c r="AF123" s="100" t="n"/>
      <x:c r="AG123" s="100" t="n"/>
      <x:c r="AH123" s="100" t="n"/>
      <x:c r="AI123" s="100" t="n"/>
      <x:c r="AJ123" s="100" t="n"/>
      <x:c r="AK123" s="100" t="n"/>
      <x:c r="AL123" s="100" t="n"/>
      <x:c r="AM123" s="100" t="n"/>
      <x:c r="AN123" s="100" t="n"/>
      <x:c r="AO123" s="100" t="n"/>
      <x:c r="AP123" s="100" t="n"/>
      <x:c r="AQ123" s="100" t="n"/>
      <x:c r="AR123" s="100" t="n"/>
      <x:c r="AS123" s="100" t="n"/>
      <x:c r="AT123" s="100" t="n"/>
      <x:c r="AU123" s="100" t="n"/>
      <x:c r="AV123" s="100" t="n"/>
      <x:c r="AW123" s="100" t="n"/>
      <x:c r="AX123" s="100" t="n"/>
      <x:c r="AY123" s="100" t="n"/>
      <x:c r="AZ123" s="100" t="n"/>
      <x:c r="BA123" s="100" t="n"/>
      <x:c r="BB123" s="100" t="n"/>
      <x:c r="BC123" s="100" t="n"/>
      <x:c r="BD123" s="100" t="n"/>
      <x:c r="BE123" s="100" t="n"/>
      <x:c r="BF123" s="100" t="n"/>
      <x:c r="BG123" s="100" t="n"/>
      <x:c r="BH123" s="100" t="n"/>
      <x:c r="BI123" s="100" t="n"/>
      <x:c r="BJ123" s="100" t="n"/>
      <x:c r="BK123" s="100" t="n"/>
      <x:c r="BL123" s="100" t="n"/>
      <x:c r="BM123" s="100" t="n"/>
      <x:c r="BN123" s="100" t="n"/>
      <x:c r="BO123" s="100" t="n"/>
      <x:c r="BP123" s="100" t="n"/>
      <x:c r="BQ123" s="100" t="n"/>
      <x:c r="BR123" s="100" t="n"/>
      <x:c r="BS123" s="100" t="n"/>
      <x:c r="BT123" s="100" t="n"/>
      <x:c r="BU123" s="100" t="n"/>
      <x:c r="BV123" s="100" t="n"/>
      <x:c r="BW123" s="100" t="n"/>
      <x:c r="BX123" s="100" t="n"/>
      <x:c r="BY123" s="100" t="n"/>
      <x:c r="BZ123" s="100" t="n"/>
      <x:c r="CA123" s="100" t="n"/>
      <x:c r="CB123" s="100" t="n"/>
      <x:c r="CC123" s="100" t="n"/>
      <x:c r="CD123" s="100" t="n"/>
      <x:c r="CE123" s="100" t="n"/>
      <x:c r="CF123" s="100" t="n"/>
      <x:c r="CG123" s="100" t="n"/>
      <x:c r="CH123" s="100" t="n"/>
      <x:c r="CI123" s="100" t="n"/>
      <x:c r="CJ123" s="100" t="n"/>
      <x:c r="CK123" s="100" t="n"/>
      <x:c r="CL123" s="100" t="n"/>
      <x:c r="CM123" s="100" t="n"/>
      <x:c r="CN123" s="100" t="n"/>
      <x:c r="CO123" s="100" t="n"/>
      <x:c r="CP123" s="100" t="n"/>
      <x:c r="CQ123" s="100" t="n"/>
      <x:c r="CR123" s="100" t="n"/>
      <x:c r="CS123" s="100" t="n"/>
      <x:c r="CT123" s="100" t="n"/>
      <x:c r="CU123" s="100" t="n"/>
      <x:c r="CV123" s="100" t="n"/>
      <x:c r="CW123" s="100" t="n"/>
      <x:c r="CX123" s="100" t="n"/>
      <x:c r="CY123" s="100" t="n"/>
      <x:c r="CZ123" s="100" t="n"/>
      <x:c r="DA123" s="100" t="n"/>
      <x:c r="DB123" s="100" t="n"/>
      <x:c r="DC123" s="100" t="n"/>
      <x:c r="DD123" s="100" t="n"/>
      <x:c r="DE123" s="100" t="n"/>
      <x:c r="DF123" s="100" t="n"/>
      <x:c r="DG123" s="100" t="n"/>
      <x:c r="DH123" s="100" t="n"/>
      <x:c r="DI123" s="100" t="n"/>
      <x:c r="DJ123" s="100" t="n"/>
      <x:c r="DK123" s="100" t="n"/>
      <x:c r="DL123" s="100" t="n"/>
      <x:c r="DM123" s="100" t="n"/>
      <x:c r="DN123" s="100" t="n"/>
      <x:c r="DO123" s="100" t="n"/>
      <x:c r="DP123" s="100" t="n"/>
      <x:c r="DQ123" s="100" t="n"/>
      <x:c r="DR123" s="100" t="n"/>
      <x:c r="DS123" s="100" t="n"/>
      <x:c r="DT123" s="100" t="n"/>
      <x:c r="DU123" s="100" t="n"/>
      <x:c r="DV123" s="100" t="n"/>
      <x:c r="DW123" s="100" t="n"/>
      <x:c r="DX123" s="100" t="n"/>
      <x:c r="DY123" s="100" t="n"/>
      <x:c r="DZ123" s="100" t="n"/>
      <x:c r="EA123" s="100" t="n"/>
      <x:c r="EB123" s="100" t="n"/>
      <x:c r="EC123" s="100" t="n"/>
      <x:c r="ED123" s="100" t="n"/>
      <x:c r="EE123" s="100" t="n"/>
      <x:c r="EF123" s="100" t="n"/>
      <x:c r="EG123" s="100" t="n"/>
      <x:c r="EH123" s="100" t="n"/>
      <x:c r="EI123" s="100" t="n"/>
      <x:c r="EJ123" s="100" t="n"/>
      <x:c r="EK123" s="100" t="n"/>
      <x:c r="EL123" s="100" t="n"/>
      <x:c r="EM123" s="100" t="n"/>
      <x:c r="EN123" s="100" t="n"/>
      <x:c r="EO123" s="100" t="n"/>
      <x:c r="EP123" s="100" t="n"/>
      <x:c r="EQ123" s="100" t="n"/>
      <x:c r="ER123" s="100" t="n"/>
      <x:c r="ES123" s="100" t="n"/>
      <x:c r="ET123" s="100" t="n"/>
      <x:c r="EU123" s="100" t="n"/>
      <x:c r="EV123" s="100" t="n"/>
      <x:c r="EW123" s="100" t="n"/>
      <x:c r="EX123" s="100" t="n"/>
      <x:c r="EY123" s="100" t="n"/>
      <x:c r="EZ123" s="100" t="n"/>
      <x:c r="FA123" s="100" t="n"/>
      <x:c r="FB123" s="100" t="n"/>
      <x:c r="FC123" s="100" t="n"/>
      <x:c r="FD123" s="100" t="n"/>
      <x:c r="FE123" s="100" t="n"/>
      <x:c r="FF123" s="100" t="n"/>
      <x:c r="FG123" s="100" t="n"/>
      <x:c r="FH123" s="100" t="n"/>
      <x:c r="FI123" s="100" t="n"/>
      <x:c r="FJ123" s="100" t="n"/>
      <x:c r="FK123" s="100" t="n"/>
      <x:c r="FL123" s="100" t="n"/>
      <x:c r="FM123" s="100" t="n"/>
      <x:c r="FN123" s="100" t="n"/>
      <x:c r="FO123" s="100" t="n"/>
      <x:c r="FP123" s="100" t="n"/>
      <x:c r="FQ123" s="100" t="n"/>
      <x:c r="FR123" s="100" t="n"/>
      <x:c r="FS123" s="100" t="n"/>
      <x:c r="FT123" s="100" t="n"/>
      <x:c r="FU123" s="100" t="n"/>
      <x:c r="FV123" s="100" t="n"/>
      <x:c r="FW123" s="100" t="n"/>
      <x:c r="FX123" s="100" t="n"/>
      <x:c r="FY123" s="100" t="n"/>
      <x:c r="FZ123" s="100" t="n"/>
      <x:c r="GA123" s="100" t="n"/>
      <x:c r="GB123" s="100" t="n"/>
      <x:c r="GC123" s="100" t="n"/>
      <x:c r="GD123" s="100" t="n"/>
      <x:c r="GE123" s="100" t="n"/>
      <x:c r="GF123" s="100" t="n"/>
    </x:row>
    <x:row r="124" s="27" customFormat="1">
      <x:c r="A124" s="38" t="n"/>
      <x:c r="B124" s="37" t="n"/>
      <x:c r="C124" s="36" t="n">
        <x:f>E124*D$5</x:f>
        <x:v>0</x:v>
      </x:c>
      <x:c r="D124" s="20" t="n"/>
      <x:c r="E124" s="36" t="n">
        <x:f>SUM(G124:HT124)</x:f>
        <x:v>0</x:v>
      </x:c>
      <x:c r="M124" s="100" t="n"/>
      <x:c r="N124" s="100" t="n"/>
      <x:c r="O124" s="100" t="n"/>
      <x:c r="P124" s="100" t="n"/>
      <x:c r="Q124" s="100" t="n"/>
      <x:c r="R124" s="100" t="n"/>
      <x:c r="S124" s="100" t="n"/>
      <x:c r="T124" s="100" t="n"/>
      <x:c r="U124" s="100" t="n"/>
      <x:c r="V124" s="100" t="n"/>
      <x:c r="W124" s="100" t="n"/>
      <x:c r="X124" s="100" t="n"/>
      <x:c r="Y124" s="100" t="n"/>
      <x:c r="Z124" s="100" t="n"/>
      <x:c r="AA124" s="100" t="n"/>
      <x:c r="AB124" s="100" t="n"/>
      <x:c r="AC124" s="100" t="n"/>
      <x:c r="AD124" s="100" t="n"/>
      <x:c r="AE124" s="100" t="n"/>
      <x:c r="AF124" s="100" t="n"/>
      <x:c r="AG124" s="100" t="n"/>
      <x:c r="AH124" s="100" t="n"/>
      <x:c r="AI124" s="100" t="n"/>
      <x:c r="AJ124" s="100" t="n"/>
      <x:c r="AK124" s="100" t="n"/>
      <x:c r="AL124" s="100" t="n"/>
      <x:c r="AM124" s="100" t="n"/>
      <x:c r="AN124" s="100" t="n"/>
      <x:c r="AO124" s="100" t="n"/>
      <x:c r="AP124" s="100" t="n"/>
      <x:c r="AQ124" s="100" t="n"/>
      <x:c r="AR124" s="100" t="n"/>
      <x:c r="AS124" s="100" t="n"/>
      <x:c r="AT124" s="100" t="n"/>
      <x:c r="AU124" s="100" t="n"/>
      <x:c r="AV124" s="100" t="n"/>
      <x:c r="AW124" s="100" t="n"/>
      <x:c r="AX124" s="100" t="n"/>
      <x:c r="AY124" s="100" t="n"/>
      <x:c r="AZ124" s="100" t="n"/>
      <x:c r="BA124" s="100" t="n"/>
      <x:c r="BB124" s="100" t="n"/>
      <x:c r="BC124" s="100" t="n"/>
      <x:c r="BD124" s="100" t="n"/>
      <x:c r="BE124" s="100" t="n"/>
      <x:c r="BF124" s="100" t="n"/>
      <x:c r="BG124" s="100" t="n"/>
      <x:c r="BH124" s="100" t="n"/>
      <x:c r="BI124" s="100" t="n"/>
      <x:c r="BJ124" s="100" t="n"/>
      <x:c r="BK124" s="100" t="n"/>
      <x:c r="BL124" s="100" t="n"/>
      <x:c r="BM124" s="100" t="n"/>
      <x:c r="BN124" s="100" t="n"/>
      <x:c r="BO124" s="100" t="n"/>
      <x:c r="BP124" s="100" t="n"/>
      <x:c r="BQ124" s="100" t="n"/>
      <x:c r="BR124" s="100" t="n"/>
      <x:c r="BS124" s="100" t="n"/>
      <x:c r="BT124" s="100" t="n"/>
      <x:c r="BU124" s="100" t="n"/>
      <x:c r="BV124" s="100" t="n"/>
      <x:c r="BW124" s="100" t="n"/>
      <x:c r="BX124" s="100" t="n"/>
      <x:c r="BY124" s="100" t="n"/>
      <x:c r="BZ124" s="100" t="n"/>
      <x:c r="CA124" s="100" t="n"/>
      <x:c r="CB124" s="100" t="n"/>
      <x:c r="CC124" s="100" t="n"/>
      <x:c r="CD124" s="100" t="n"/>
      <x:c r="CE124" s="100" t="n"/>
      <x:c r="CF124" s="100" t="n"/>
      <x:c r="CG124" s="100" t="n"/>
      <x:c r="CH124" s="100" t="n"/>
      <x:c r="CI124" s="100" t="n"/>
      <x:c r="CJ124" s="100" t="n"/>
      <x:c r="CK124" s="100" t="n"/>
      <x:c r="CL124" s="100" t="n"/>
      <x:c r="CM124" s="100" t="n"/>
      <x:c r="CN124" s="100" t="n"/>
      <x:c r="CO124" s="100" t="n"/>
      <x:c r="CP124" s="100" t="n"/>
      <x:c r="CQ124" s="100" t="n"/>
      <x:c r="CR124" s="100" t="n"/>
      <x:c r="CS124" s="100" t="n"/>
      <x:c r="CT124" s="100" t="n"/>
      <x:c r="CU124" s="100" t="n"/>
      <x:c r="CV124" s="100" t="n"/>
      <x:c r="CW124" s="100" t="n"/>
      <x:c r="CX124" s="100" t="n"/>
      <x:c r="CY124" s="100" t="n"/>
      <x:c r="CZ124" s="100" t="n"/>
      <x:c r="DA124" s="100" t="n"/>
      <x:c r="DB124" s="100" t="n"/>
      <x:c r="DC124" s="100" t="n"/>
      <x:c r="DD124" s="100" t="n"/>
      <x:c r="DE124" s="100" t="n"/>
      <x:c r="DF124" s="100" t="n"/>
      <x:c r="DG124" s="100" t="n"/>
      <x:c r="DH124" s="100" t="n"/>
      <x:c r="DI124" s="100" t="n"/>
      <x:c r="DJ124" s="100" t="n"/>
      <x:c r="DK124" s="100" t="n"/>
      <x:c r="DL124" s="100" t="n"/>
      <x:c r="DM124" s="100" t="n"/>
      <x:c r="DN124" s="100" t="n"/>
      <x:c r="DO124" s="100" t="n"/>
      <x:c r="DP124" s="100" t="n"/>
      <x:c r="DQ124" s="100" t="n"/>
      <x:c r="DR124" s="100" t="n"/>
      <x:c r="DS124" s="100" t="n"/>
      <x:c r="DT124" s="100" t="n"/>
      <x:c r="DU124" s="100" t="n"/>
      <x:c r="DV124" s="100" t="n"/>
      <x:c r="DW124" s="100" t="n"/>
      <x:c r="DX124" s="100" t="n"/>
      <x:c r="DY124" s="100" t="n"/>
      <x:c r="DZ124" s="100" t="n"/>
      <x:c r="EA124" s="100" t="n"/>
      <x:c r="EB124" s="100" t="n"/>
      <x:c r="EC124" s="100" t="n"/>
      <x:c r="ED124" s="100" t="n"/>
      <x:c r="EE124" s="100" t="n"/>
      <x:c r="EF124" s="100" t="n"/>
      <x:c r="EG124" s="100" t="n"/>
      <x:c r="EH124" s="100" t="n"/>
      <x:c r="EI124" s="100" t="n"/>
      <x:c r="EJ124" s="100" t="n"/>
      <x:c r="EK124" s="100" t="n"/>
      <x:c r="EL124" s="100" t="n"/>
      <x:c r="EM124" s="100" t="n"/>
      <x:c r="EN124" s="100" t="n"/>
      <x:c r="EO124" s="100" t="n"/>
      <x:c r="EP124" s="100" t="n"/>
      <x:c r="EQ124" s="100" t="n"/>
      <x:c r="ER124" s="100" t="n"/>
      <x:c r="ES124" s="100" t="n"/>
      <x:c r="ET124" s="100" t="n"/>
      <x:c r="EU124" s="100" t="n"/>
      <x:c r="EV124" s="100" t="n"/>
      <x:c r="EW124" s="100" t="n"/>
      <x:c r="EX124" s="100" t="n"/>
      <x:c r="EY124" s="100" t="n"/>
      <x:c r="EZ124" s="100" t="n"/>
      <x:c r="FA124" s="100" t="n"/>
      <x:c r="FB124" s="100" t="n"/>
      <x:c r="FC124" s="100" t="n"/>
      <x:c r="FD124" s="100" t="n"/>
      <x:c r="FE124" s="100" t="n"/>
      <x:c r="FF124" s="100" t="n"/>
      <x:c r="FG124" s="100" t="n"/>
      <x:c r="FH124" s="100" t="n"/>
      <x:c r="FI124" s="100" t="n"/>
      <x:c r="FJ124" s="100" t="n"/>
      <x:c r="FK124" s="100" t="n"/>
      <x:c r="FL124" s="100" t="n"/>
      <x:c r="FM124" s="100" t="n"/>
      <x:c r="FN124" s="100" t="n"/>
      <x:c r="FO124" s="100" t="n"/>
      <x:c r="FP124" s="100" t="n"/>
      <x:c r="FQ124" s="100" t="n"/>
      <x:c r="FR124" s="100" t="n"/>
      <x:c r="FS124" s="100" t="n"/>
      <x:c r="FT124" s="100" t="n"/>
      <x:c r="FU124" s="100" t="n"/>
      <x:c r="FV124" s="100" t="n"/>
      <x:c r="FW124" s="100" t="n"/>
      <x:c r="FX124" s="100" t="n"/>
      <x:c r="FY124" s="100" t="n"/>
      <x:c r="FZ124" s="100" t="n"/>
      <x:c r="GA124" s="100" t="n"/>
      <x:c r="GB124" s="100" t="n"/>
      <x:c r="GC124" s="100" t="n"/>
      <x:c r="GD124" s="100" t="n"/>
      <x:c r="GE124" s="100" t="n"/>
      <x:c r="GF124" s="100" t="n"/>
    </x:row>
    <x:row r="125" s="27" customFormat="1">
      <x:c r="A125" s="38" t="n"/>
      <x:c r="B125" s="37" t="n"/>
      <x:c r="C125" s="36" t="n">
        <x:f>E125*D$5</x:f>
        <x:v>0</x:v>
      </x:c>
      <x:c r="D125" s="20" t="n"/>
      <x:c r="E125" s="36" t="n">
        <x:f>SUM(G125:HT125)</x:f>
        <x:v>0</x:v>
      </x:c>
      <x:c r="M125" s="100" t="n"/>
      <x:c r="N125" s="100" t="n"/>
      <x:c r="O125" s="100" t="n"/>
      <x:c r="P125" s="100" t="n"/>
      <x:c r="Q125" s="100" t="n"/>
      <x:c r="R125" s="100" t="n"/>
      <x:c r="S125" s="100" t="n"/>
      <x:c r="T125" s="100" t="n"/>
      <x:c r="U125" s="100" t="n"/>
      <x:c r="V125" s="100" t="n"/>
      <x:c r="W125" s="100" t="n"/>
      <x:c r="X125" s="100" t="n"/>
      <x:c r="Y125" s="100" t="n"/>
      <x:c r="Z125" s="100" t="n"/>
      <x:c r="AA125" s="100" t="n"/>
      <x:c r="AB125" s="100" t="n"/>
      <x:c r="AC125" s="100" t="n"/>
      <x:c r="AD125" s="100" t="n"/>
      <x:c r="AE125" s="100" t="n"/>
      <x:c r="AF125" s="100" t="n"/>
      <x:c r="AG125" s="100" t="n"/>
      <x:c r="AH125" s="100" t="n"/>
      <x:c r="AI125" s="100" t="n"/>
      <x:c r="AJ125" s="100" t="n"/>
      <x:c r="AK125" s="100" t="n"/>
      <x:c r="AL125" s="100" t="n"/>
      <x:c r="AM125" s="100" t="n"/>
      <x:c r="AN125" s="100" t="n"/>
      <x:c r="AO125" s="100" t="n"/>
      <x:c r="AP125" s="100" t="n"/>
      <x:c r="AQ125" s="100" t="n"/>
      <x:c r="AR125" s="100" t="n"/>
      <x:c r="AS125" s="100" t="n"/>
      <x:c r="AT125" s="100" t="n"/>
      <x:c r="AU125" s="100" t="n"/>
      <x:c r="AV125" s="100" t="n"/>
      <x:c r="AW125" s="100" t="n"/>
      <x:c r="AX125" s="100" t="n"/>
      <x:c r="AY125" s="100" t="n"/>
      <x:c r="AZ125" s="100" t="n"/>
      <x:c r="BA125" s="100" t="n"/>
      <x:c r="BB125" s="100" t="n"/>
      <x:c r="BC125" s="100" t="n"/>
      <x:c r="BD125" s="100" t="n"/>
      <x:c r="BE125" s="100" t="n"/>
      <x:c r="BF125" s="100" t="n"/>
      <x:c r="BG125" s="100" t="n"/>
      <x:c r="BH125" s="100" t="n"/>
      <x:c r="BI125" s="100" t="n"/>
      <x:c r="BJ125" s="100" t="n"/>
      <x:c r="BK125" s="100" t="n"/>
      <x:c r="BL125" s="100" t="n"/>
      <x:c r="BM125" s="100" t="n"/>
      <x:c r="BN125" s="100" t="n"/>
      <x:c r="BO125" s="100" t="n"/>
      <x:c r="BP125" s="100" t="n"/>
      <x:c r="BQ125" s="100" t="n"/>
      <x:c r="BR125" s="100" t="n"/>
      <x:c r="BS125" s="100" t="n"/>
      <x:c r="BT125" s="100" t="n"/>
      <x:c r="BU125" s="100" t="n"/>
      <x:c r="BV125" s="100" t="n"/>
      <x:c r="BW125" s="100" t="n"/>
      <x:c r="BX125" s="100" t="n"/>
      <x:c r="BY125" s="100" t="n"/>
      <x:c r="BZ125" s="100" t="n"/>
      <x:c r="CA125" s="100" t="n"/>
      <x:c r="CB125" s="100" t="n"/>
      <x:c r="CC125" s="100" t="n"/>
      <x:c r="CD125" s="100" t="n"/>
      <x:c r="CE125" s="100" t="n"/>
      <x:c r="CF125" s="100" t="n"/>
      <x:c r="CG125" s="100" t="n"/>
      <x:c r="CH125" s="100" t="n"/>
      <x:c r="CI125" s="100" t="n"/>
      <x:c r="CJ125" s="100" t="n"/>
      <x:c r="CK125" s="100" t="n"/>
      <x:c r="CL125" s="100" t="n"/>
      <x:c r="CM125" s="100" t="n"/>
      <x:c r="CN125" s="100" t="n"/>
      <x:c r="CO125" s="100" t="n"/>
      <x:c r="CP125" s="100" t="n"/>
      <x:c r="CQ125" s="100" t="n"/>
      <x:c r="CR125" s="100" t="n"/>
      <x:c r="CS125" s="100" t="n"/>
      <x:c r="CT125" s="100" t="n"/>
      <x:c r="CU125" s="100" t="n"/>
      <x:c r="CV125" s="100" t="n"/>
      <x:c r="CW125" s="100" t="n"/>
      <x:c r="CX125" s="100" t="n"/>
      <x:c r="CY125" s="100" t="n"/>
      <x:c r="CZ125" s="100" t="n"/>
      <x:c r="DA125" s="100" t="n"/>
      <x:c r="DB125" s="100" t="n"/>
      <x:c r="DC125" s="100" t="n"/>
      <x:c r="DD125" s="100" t="n"/>
      <x:c r="DE125" s="100" t="n"/>
      <x:c r="DF125" s="100" t="n"/>
      <x:c r="DG125" s="100" t="n"/>
      <x:c r="DH125" s="100" t="n"/>
      <x:c r="DI125" s="100" t="n"/>
      <x:c r="DJ125" s="100" t="n"/>
      <x:c r="DK125" s="100" t="n"/>
      <x:c r="DL125" s="100" t="n"/>
      <x:c r="DM125" s="100" t="n"/>
      <x:c r="DN125" s="100" t="n"/>
      <x:c r="DO125" s="100" t="n"/>
      <x:c r="DP125" s="100" t="n"/>
      <x:c r="DQ125" s="100" t="n"/>
      <x:c r="DR125" s="100" t="n"/>
      <x:c r="DS125" s="100" t="n"/>
      <x:c r="DT125" s="100" t="n"/>
      <x:c r="DU125" s="100" t="n"/>
      <x:c r="DV125" s="100" t="n"/>
      <x:c r="DW125" s="100" t="n"/>
      <x:c r="DX125" s="100" t="n"/>
      <x:c r="DY125" s="100" t="n"/>
      <x:c r="DZ125" s="100" t="n"/>
      <x:c r="EA125" s="100" t="n"/>
      <x:c r="EB125" s="100" t="n"/>
      <x:c r="EC125" s="100" t="n"/>
      <x:c r="ED125" s="100" t="n"/>
      <x:c r="EE125" s="100" t="n"/>
      <x:c r="EF125" s="100" t="n"/>
      <x:c r="EG125" s="100" t="n"/>
      <x:c r="EH125" s="100" t="n"/>
      <x:c r="EI125" s="100" t="n"/>
      <x:c r="EJ125" s="100" t="n"/>
      <x:c r="EK125" s="100" t="n"/>
      <x:c r="EL125" s="100" t="n"/>
      <x:c r="EM125" s="100" t="n"/>
      <x:c r="EN125" s="100" t="n"/>
      <x:c r="EO125" s="100" t="n"/>
      <x:c r="EP125" s="100" t="n"/>
      <x:c r="EQ125" s="100" t="n"/>
      <x:c r="ER125" s="100" t="n"/>
      <x:c r="ES125" s="100" t="n"/>
      <x:c r="ET125" s="100" t="n"/>
      <x:c r="EU125" s="100" t="n"/>
      <x:c r="EV125" s="100" t="n"/>
      <x:c r="EW125" s="100" t="n"/>
      <x:c r="EX125" s="100" t="n"/>
      <x:c r="EY125" s="100" t="n"/>
      <x:c r="EZ125" s="100" t="n"/>
      <x:c r="FA125" s="100" t="n"/>
      <x:c r="FB125" s="100" t="n"/>
      <x:c r="FC125" s="100" t="n"/>
      <x:c r="FD125" s="100" t="n"/>
      <x:c r="FE125" s="100" t="n"/>
      <x:c r="FF125" s="100" t="n"/>
      <x:c r="FG125" s="100" t="n"/>
      <x:c r="FH125" s="100" t="n"/>
      <x:c r="FI125" s="100" t="n"/>
      <x:c r="FJ125" s="100" t="n"/>
      <x:c r="FK125" s="100" t="n"/>
      <x:c r="FL125" s="100" t="n"/>
      <x:c r="FM125" s="100" t="n"/>
      <x:c r="FN125" s="100" t="n"/>
      <x:c r="FO125" s="100" t="n"/>
      <x:c r="FP125" s="100" t="n"/>
      <x:c r="FQ125" s="100" t="n"/>
      <x:c r="FR125" s="100" t="n"/>
      <x:c r="FS125" s="100" t="n"/>
      <x:c r="FT125" s="100" t="n"/>
      <x:c r="FU125" s="100" t="n"/>
      <x:c r="FV125" s="100" t="n"/>
      <x:c r="FW125" s="100" t="n"/>
      <x:c r="FX125" s="100" t="n"/>
      <x:c r="FY125" s="100" t="n"/>
      <x:c r="FZ125" s="100" t="n"/>
      <x:c r="GA125" s="100" t="n"/>
      <x:c r="GB125" s="100" t="n"/>
      <x:c r="GC125" s="100" t="n"/>
      <x:c r="GD125" s="100" t="n"/>
      <x:c r="GE125" s="100" t="n"/>
      <x:c r="GF125" s="100" t="n"/>
    </x:row>
    <x:row r="126" s="27" customFormat="1">
      <x:c r="A126" s="38" t="n"/>
      <x:c r="B126" s="37" t="n"/>
      <x:c r="C126" s="36" t="n">
        <x:f>E126*D$5</x:f>
        <x:v>0</x:v>
      </x:c>
      <x:c r="D126" s="20" t="n"/>
      <x:c r="E126" s="36" t="n">
        <x:f>SUM(G126:HT126)</x:f>
        <x:v>0</x:v>
      </x:c>
      <x:c r="M126" s="100" t="n"/>
      <x:c r="N126" s="100" t="n"/>
      <x:c r="O126" s="100" t="n"/>
      <x:c r="P126" s="100" t="n"/>
      <x:c r="Q126" s="100" t="n"/>
      <x:c r="R126" s="100" t="n"/>
      <x:c r="S126" s="100" t="n"/>
      <x:c r="T126" s="100" t="n"/>
      <x:c r="U126" s="100" t="n"/>
      <x:c r="V126" s="100" t="n"/>
      <x:c r="W126" s="100" t="n"/>
      <x:c r="X126" s="100" t="n"/>
      <x:c r="Y126" s="100" t="n"/>
      <x:c r="Z126" s="100" t="n"/>
      <x:c r="AA126" s="100" t="n"/>
      <x:c r="AB126" s="100" t="n"/>
      <x:c r="AC126" s="100" t="n"/>
      <x:c r="AD126" s="100" t="n"/>
      <x:c r="AE126" s="100" t="n"/>
      <x:c r="AF126" s="100" t="n"/>
      <x:c r="AG126" s="100" t="n"/>
      <x:c r="AH126" s="100" t="n"/>
      <x:c r="AI126" s="100" t="n"/>
      <x:c r="AJ126" s="100" t="n"/>
      <x:c r="AK126" s="100" t="n"/>
      <x:c r="AL126" s="100" t="n"/>
      <x:c r="AM126" s="100" t="n"/>
      <x:c r="AN126" s="100" t="n"/>
      <x:c r="AO126" s="100" t="n"/>
      <x:c r="AP126" s="100" t="n"/>
      <x:c r="AQ126" s="100" t="n"/>
      <x:c r="AR126" s="100" t="n"/>
      <x:c r="AS126" s="100" t="n"/>
      <x:c r="AT126" s="100" t="n"/>
      <x:c r="AU126" s="100" t="n"/>
      <x:c r="AV126" s="100" t="n"/>
      <x:c r="AW126" s="100" t="n"/>
      <x:c r="AX126" s="100" t="n"/>
      <x:c r="AY126" s="100" t="n"/>
      <x:c r="AZ126" s="100" t="n"/>
      <x:c r="BA126" s="100" t="n"/>
      <x:c r="BB126" s="100" t="n"/>
      <x:c r="BC126" s="100" t="n"/>
      <x:c r="BD126" s="100" t="n"/>
      <x:c r="BE126" s="100" t="n"/>
      <x:c r="BF126" s="100" t="n"/>
      <x:c r="BG126" s="100" t="n"/>
      <x:c r="BH126" s="100" t="n"/>
      <x:c r="BI126" s="100" t="n"/>
      <x:c r="BJ126" s="100" t="n"/>
      <x:c r="BK126" s="100" t="n"/>
      <x:c r="BL126" s="100" t="n"/>
      <x:c r="BM126" s="100" t="n"/>
      <x:c r="BN126" s="100" t="n"/>
      <x:c r="BO126" s="100" t="n"/>
      <x:c r="BP126" s="100" t="n"/>
      <x:c r="BQ126" s="100" t="n"/>
      <x:c r="BR126" s="100" t="n"/>
      <x:c r="BS126" s="100" t="n"/>
      <x:c r="BT126" s="100" t="n"/>
      <x:c r="BU126" s="100" t="n"/>
      <x:c r="BV126" s="100" t="n"/>
      <x:c r="BW126" s="100" t="n"/>
      <x:c r="BX126" s="100" t="n"/>
      <x:c r="BY126" s="100" t="n"/>
      <x:c r="BZ126" s="100" t="n"/>
      <x:c r="CA126" s="100" t="n"/>
      <x:c r="CB126" s="100" t="n"/>
      <x:c r="CC126" s="100" t="n"/>
      <x:c r="CD126" s="100" t="n"/>
      <x:c r="CE126" s="100" t="n"/>
      <x:c r="CF126" s="100" t="n"/>
      <x:c r="CG126" s="100" t="n"/>
      <x:c r="CH126" s="100" t="n"/>
      <x:c r="CI126" s="100" t="n"/>
      <x:c r="CJ126" s="100" t="n"/>
      <x:c r="CK126" s="100" t="n"/>
      <x:c r="CL126" s="100" t="n"/>
      <x:c r="CM126" s="100" t="n"/>
      <x:c r="CN126" s="100" t="n"/>
      <x:c r="CO126" s="100" t="n"/>
      <x:c r="CP126" s="100" t="n"/>
      <x:c r="CQ126" s="100" t="n"/>
      <x:c r="CR126" s="100" t="n"/>
      <x:c r="CS126" s="100" t="n"/>
      <x:c r="CT126" s="100" t="n"/>
      <x:c r="CU126" s="100" t="n"/>
      <x:c r="CV126" s="100" t="n"/>
      <x:c r="CW126" s="100" t="n"/>
      <x:c r="CX126" s="100" t="n"/>
      <x:c r="CY126" s="100" t="n"/>
      <x:c r="CZ126" s="100" t="n"/>
      <x:c r="DA126" s="100" t="n"/>
      <x:c r="DB126" s="100" t="n"/>
      <x:c r="DC126" s="100" t="n"/>
      <x:c r="DD126" s="100" t="n"/>
      <x:c r="DE126" s="100" t="n"/>
      <x:c r="DF126" s="100" t="n"/>
      <x:c r="DG126" s="100" t="n"/>
      <x:c r="DH126" s="100" t="n"/>
      <x:c r="DI126" s="100" t="n"/>
      <x:c r="DJ126" s="100" t="n"/>
      <x:c r="DK126" s="100" t="n"/>
      <x:c r="DL126" s="100" t="n"/>
      <x:c r="DM126" s="100" t="n"/>
      <x:c r="DN126" s="100" t="n"/>
      <x:c r="DO126" s="100" t="n"/>
      <x:c r="DP126" s="100" t="n"/>
      <x:c r="DQ126" s="100" t="n"/>
      <x:c r="DR126" s="100" t="n"/>
      <x:c r="DS126" s="100" t="n"/>
      <x:c r="DT126" s="100" t="n"/>
      <x:c r="DU126" s="100" t="n"/>
      <x:c r="DV126" s="100" t="n"/>
      <x:c r="DW126" s="100" t="n"/>
      <x:c r="DX126" s="100" t="n"/>
      <x:c r="DY126" s="100" t="n"/>
      <x:c r="DZ126" s="100" t="n"/>
      <x:c r="EA126" s="100" t="n"/>
      <x:c r="EB126" s="100" t="n"/>
      <x:c r="EC126" s="100" t="n"/>
      <x:c r="ED126" s="100" t="n"/>
      <x:c r="EE126" s="100" t="n"/>
      <x:c r="EF126" s="100" t="n"/>
      <x:c r="EG126" s="100" t="n"/>
      <x:c r="EH126" s="100" t="n"/>
      <x:c r="EI126" s="100" t="n"/>
      <x:c r="EJ126" s="100" t="n"/>
      <x:c r="EK126" s="100" t="n"/>
      <x:c r="EL126" s="100" t="n"/>
      <x:c r="EM126" s="100" t="n"/>
      <x:c r="EN126" s="100" t="n"/>
      <x:c r="EO126" s="100" t="n"/>
      <x:c r="EP126" s="100" t="n"/>
      <x:c r="EQ126" s="100" t="n"/>
      <x:c r="ER126" s="100" t="n"/>
      <x:c r="ES126" s="100" t="n"/>
      <x:c r="ET126" s="100" t="n"/>
      <x:c r="EU126" s="100" t="n"/>
      <x:c r="EV126" s="100" t="n"/>
      <x:c r="EW126" s="100" t="n"/>
      <x:c r="EX126" s="100" t="n"/>
      <x:c r="EY126" s="100" t="n"/>
      <x:c r="EZ126" s="100" t="n"/>
      <x:c r="FA126" s="100" t="n"/>
      <x:c r="FB126" s="100" t="n"/>
      <x:c r="FC126" s="100" t="n"/>
      <x:c r="FD126" s="100" t="n"/>
      <x:c r="FE126" s="100" t="n"/>
      <x:c r="FF126" s="100" t="n"/>
      <x:c r="FG126" s="100" t="n"/>
      <x:c r="FH126" s="100" t="n"/>
      <x:c r="FI126" s="100" t="n"/>
      <x:c r="FJ126" s="100" t="n"/>
      <x:c r="FK126" s="100" t="n"/>
      <x:c r="FL126" s="100" t="n"/>
      <x:c r="FM126" s="100" t="n"/>
      <x:c r="FN126" s="100" t="n"/>
      <x:c r="FO126" s="100" t="n"/>
      <x:c r="FP126" s="100" t="n"/>
      <x:c r="FQ126" s="100" t="n"/>
      <x:c r="FR126" s="100" t="n"/>
      <x:c r="FS126" s="100" t="n"/>
      <x:c r="FT126" s="100" t="n"/>
      <x:c r="FU126" s="100" t="n"/>
      <x:c r="FV126" s="100" t="n"/>
      <x:c r="FW126" s="100" t="n"/>
      <x:c r="FX126" s="100" t="n"/>
      <x:c r="FY126" s="100" t="n"/>
      <x:c r="FZ126" s="100" t="n"/>
      <x:c r="GA126" s="100" t="n"/>
      <x:c r="GB126" s="100" t="n"/>
      <x:c r="GC126" s="100" t="n"/>
      <x:c r="GD126" s="100" t="n"/>
      <x:c r="GE126" s="100" t="n"/>
      <x:c r="GF126" s="100" t="n"/>
    </x:row>
    <x:row r="127" s="27" customFormat="1">
      <x:c r="A127" s="38" t="n"/>
      <x:c r="B127" s="37" t="n"/>
      <x:c r="C127" s="36" t="n">
        <x:f>E127*D$5</x:f>
        <x:v>0</x:v>
      </x:c>
      <x:c r="D127" s="20" t="n"/>
      <x:c r="E127" s="36" t="n">
        <x:f>SUM(G127:HT127)</x:f>
        <x:v>0</x:v>
      </x:c>
      <x:c r="M127" s="100" t="n"/>
      <x:c r="N127" s="100" t="n"/>
      <x:c r="O127" s="100" t="n"/>
      <x:c r="P127" s="100" t="n"/>
      <x:c r="Q127" s="100" t="n"/>
      <x:c r="R127" s="100" t="n"/>
      <x:c r="S127" s="100" t="n"/>
      <x:c r="T127" s="100" t="n"/>
      <x:c r="U127" s="100" t="n"/>
      <x:c r="V127" s="100" t="n"/>
      <x:c r="W127" s="100" t="n"/>
      <x:c r="X127" s="100" t="n"/>
      <x:c r="Y127" s="100" t="n"/>
      <x:c r="Z127" s="100" t="n"/>
      <x:c r="AA127" s="100" t="n"/>
      <x:c r="AB127" s="100" t="n"/>
      <x:c r="AC127" s="100" t="n"/>
      <x:c r="AD127" s="100" t="n"/>
      <x:c r="AE127" s="100" t="n"/>
      <x:c r="AF127" s="100" t="n"/>
      <x:c r="AG127" s="100" t="n"/>
      <x:c r="AH127" s="100" t="n"/>
      <x:c r="AI127" s="100" t="n"/>
      <x:c r="AJ127" s="100" t="n"/>
      <x:c r="AK127" s="100" t="n"/>
      <x:c r="AL127" s="100" t="n"/>
      <x:c r="AM127" s="100" t="n"/>
      <x:c r="AN127" s="100" t="n"/>
      <x:c r="AO127" s="100" t="n"/>
      <x:c r="AP127" s="100" t="n"/>
      <x:c r="AQ127" s="100" t="n"/>
      <x:c r="AR127" s="100" t="n"/>
      <x:c r="AS127" s="100" t="n"/>
      <x:c r="AT127" s="100" t="n"/>
      <x:c r="AU127" s="100" t="n"/>
      <x:c r="AV127" s="100" t="n"/>
      <x:c r="AW127" s="100" t="n"/>
      <x:c r="AX127" s="100" t="n"/>
      <x:c r="AY127" s="100" t="n"/>
      <x:c r="AZ127" s="100" t="n"/>
      <x:c r="BA127" s="100" t="n"/>
      <x:c r="BB127" s="100" t="n"/>
      <x:c r="BC127" s="100" t="n"/>
      <x:c r="BD127" s="100" t="n"/>
      <x:c r="BE127" s="100" t="n"/>
      <x:c r="BF127" s="100" t="n"/>
      <x:c r="BG127" s="100" t="n"/>
      <x:c r="BH127" s="100" t="n"/>
      <x:c r="BI127" s="100" t="n"/>
      <x:c r="BJ127" s="100" t="n"/>
      <x:c r="BK127" s="100" t="n"/>
      <x:c r="BL127" s="100" t="n"/>
      <x:c r="BM127" s="100" t="n"/>
      <x:c r="BN127" s="100" t="n"/>
      <x:c r="BO127" s="100" t="n"/>
      <x:c r="BP127" s="100" t="n"/>
      <x:c r="BQ127" s="100" t="n"/>
      <x:c r="BR127" s="100" t="n"/>
      <x:c r="BS127" s="100" t="n"/>
      <x:c r="BT127" s="100" t="n"/>
      <x:c r="BU127" s="100" t="n"/>
      <x:c r="BV127" s="100" t="n"/>
      <x:c r="BW127" s="100" t="n"/>
      <x:c r="BX127" s="100" t="n"/>
      <x:c r="BY127" s="100" t="n"/>
      <x:c r="BZ127" s="100" t="n"/>
      <x:c r="CA127" s="100" t="n"/>
      <x:c r="CB127" s="100" t="n"/>
      <x:c r="CC127" s="100" t="n"/>
      <x:c r="CD127" s="100" t="n"/>
      <x:c r="CE127" s="100" t="n"/>
      <x:c r="CF127" s="100" t="n"/>
      <x:c r="CG127" s="100" t="n"/>
      <x:c r="CH127" s="100" t="n"/>
      <x:c r="CI127" s="100" t="n"/>
      <x:c r="CJ127" s="100" t="n"/>
      <x:c r="CK127" s="100" t="n"/>
      <x:c r="CL127" s="100" t="n"/>
      <x:c r="CM127" s="100" t="n"/>
      <x:c r="CN127" s="100" t="n"/>
      <x:c r="CO127" s="100" t="n"/>
      <x:c r="CP127" s="100" t="n"/>
      <x:c r="CQ127" s="100" t="n"/>
      <x:c r="CR127" s="100" t="n"/>
      <x:c r="CS127" s="100" t="n"/>
      <x:c r="CT127" s="100" t="n"/>
      <x:c r="CU127" s="100" t="n"/>
      <x:c r="CV127" s="100" t="n"/>
      <x:c r="CW127" s="100" t="n"/>
      <x:c r="CX127" s="100" t="n"/>
      <x:c r="CY127" s="100" t="n"/>
      <x:c r="CZ127" s="100" t="n"/>
      <x:c r="DA127" s="100" t="n"/>
      <x:c r="DB127" s="100" t="n"/>
      <x:c r="DC127" s="100" t="n"/>
      <x:c r="DD127" s="100" t="n"/>
      <x:c r="DE127" s="100" t="n"/>
      <x:c r="DF127" s="100" t="n"/>
      <x:c r="DG127" s="100" t="n"/>
      <x:c r="DH127" s="100" t="n"/>
      <x:c r="DI127" s="100" t="n"/>
      <x:c r="DJ127" s="100" t="n"/>
      <x:c r="DK127" s="100" t="n"/>
      <x:c r="DL127" s="100" t="n"/>
      <x:c r="DM127" s="100" t="n"/>
      <x:c r="DN127" s="100" t="n"/>
      <x:c r="DO127" s="100" t="n"/>
      <x:c r="DP127" s="100" t="n"/>
      <x:c r="DQ127" s="100" t="n"/>
      <x:c r="DR127" s="100" t="n"/>
      <x:c r="DS127" s="100" t="n"/>
      <x:c r="DT127" s="100" t="n"/>
      <x:c r="DU127" s="100" t="n"/>
      <x:c r="DV127" s="100" t="n"/>
      <x:c r="DW127" s="100" t="n"/>
      <x:c r="DX127" s="100" t="n"/>
      <x:c r="DY127" s="100" t="n"/>
      <x:c r="DZ127" s="100" t="n"/>
      <x:c r="EA127" s="100" t="n"/>
      <x:c r="EB127" s="100" t="n"/>
      <x:c r="EC127" s="100" t="n"/>
      <x:c r="ED127" s="100" t="n"/>
      <x:c r="EE127" s="100" t="n"/>
      <x:c r="EF127" s="100" t="n"/>
      <x:c r="EG127" s="100" t="n"/>
      <x:c r="EH127" s="100" t="n"/>
      <x:c r="EI127" s="100" t="n"/>
      <x:c r="EJ127" s="100" t="n"/>
      <x:c r="EK127" s="100" t="n"/>
      <x:c r="EL127" s="100" t="n"/>
      <x:c r="EM127" s="100" t="n"/>
      <x:c r="EN127" s="100" t="n"/>
      <x:c r="EO127" s="100" t="n"/>
      <x:c r="EP127" s="100" t="n"/>
      <x:c r="EQ127" s="100" t="n"/>
      <x:c r="ER127" s="100" t="n"/>
      <x:c r="ES127" s="100" t="n"/>
      <x:c r="ET127" s="100" t="n"/>
      <x:c r="EU127" s="100" t="n"/>
      <x:c r="EV127" s="100" t="n"/>
      <x:c r="EW127" s="100" t="n"/>
      <x:c r="EX127" s="100" t="n"/>
      <x:c r="EY127" s="100" t="n"/>
      <x:c r="EZ127" s="100" t="n"/>
      <x:c r="FA127" s="100" t="n"/>
      <x:c r="FB127" s="100" t="n"/>
      <x:c r="FC127" s="100" t="n"/>
      <x:c r="FD127" s="100" t="n"/>
      <x:c r="FE127" s="100" t="n"/>
      <x:c r="FF127" s="100" t="n"/>
      <x:c r="FG127" s="100" t="n"/>
      <x:c r="FH127" s="100" t="n"/>
      <x:c r="FI127" s="100" t="n"/>
      <x:c r="FJ127" s="100" t="n"/>
      <x:c r="FK127" s="100" t="n"/>
      <x:c r="FL127" s="100" t="n"/>
      <x:c r="FM127" s="100" t="n"/>
      <x:c r="FN127" s="100" t="n"/>
      <x:c r="FO127" s="100" t="n"/>
      <x:c r="FP127" s="100" t="n"/>
      <x:c r="FQ127" s="100" t="n"/>
      <x:c r="FR127" s="100" t="n"/>
      <x:c r="FS127" s="100" t="n"/>
      <x:c r="FT127" s="100" t="n"/>
      <x:c r="FU127" s="100" t="n"/>
      <x:c r="FV127" s="100" t="n"/>
      <x:c r="FW127" s="100" t="n"/>
      <x:c r="FX127" s="100" t="n"/>
      <x:c r="FY127" s="100" t="n"/>
      <x:c r="FZ127" s="100" t="n"/>
      <x:c r="GA127" s="100" t="n"/>
      <x:c r="GB127" s="100" t="n"/>
      <x:c r="GC127" s="100" t="n"/>
      <x:c r="GD127" s="100" t="n"/>
      <x:c r="GE127" s="100" t="n"/>
      <x:c r="GF127" s="100" t="n"/>
    </x:row>
    <x:row r="128" s="27" customFormat="1">
      <x:c r="A128" s="38" t="n"/>
      <x:c r="B128" s="37" t="n"/>
      <x:c r="C128" s="36" t="n">
        <x:f>E128*D$5</x:f>
        <x:v>0</x:v>
      </x:c>
      <x:c r="D128" s="20" t="n"/>
      <x:c r="E128" s="36" t="n">
        <x:f>SUM(G128:HT128)</x:f>
        <x:v>0</x:v>
      </x:c>
      <x:c r="M128" s="100" t="n"/>
      <x:c r="N128" s="100" t="n"/>
      <x:c r="O128" s="100" t="n"/>
      <x:c r="P128" s="100" t="n"/>
      <x:c r="Q128" s="100" t="n"/>
      <x:c r="R128" s="100" t="n"/>
      <x:c r="S128" s="100" t="n"/>
      <x:c r="T128" s="100" t="n"/>
      <x:c r="U128" s="100" t="n"/>
      <x:c r="V128" s="100" t="n"/>
      <x:c r="W128" s="100" t="n"/>
      <x:c r="X128" s="100" t="n"/>
      <x:c r="Y128" s="100" t="n"/>
      <x:c r="Z128" s="100" t="n"/>
      <x:c r="AA128" s="100" t="n"/>
      <x:c r="AB128" s="100" t="n"/>
      <x:c r="AC128" s="100" t="n"/>
      <x:c r="AD128" s="100" t="n"/>
      <x:c r="AE128" s="100" t="n"/>
      <x:c r="AF128" s="100" t="n"/>
      <x:c r="AG128" s="100" t="n"/>
      <x:c r="AH128" s="100" t="n"/>
      <x:c r="AI128" s="100" t="n"/>
      <x:c r="AJ128" s="100" t="n"/>
      <x:c r="AK128" s="100" t="n"/>
      <x:c r="AL128" s="100" t="n"/>
      <x:c r="AM128" s="100" t="n"/>
      <x:c r="AN128" s="100" t="n"/>
      <x:c r="AO128" s="100" t="n"/>
      <x:c r="AP128" s="100" t="n"/>
      <x:c r="AQ128" s="100" t="n"/>
      <x:c r="AR128" s="100" t="n"/>
      <x:c r="AS128" s="100" t="n"/>
      <x:c r="AT128" s="100" t="n"/>
      <x:c r="AU128" s="100" t="n"/>
      <x:c r="AV128" s="100" t="n"/>
      <x:c r="AW128" s="100" t="n"/>
      <x:c r="AX128" s="100" t="n"/>
      <x:c r="AY128" s="100" t="n"/>
      <x:c r="AZ128" s="100" t="n"/>
      <x:c r="BA128" s="100" t="n"/>
      <x:c r="BB128" s="100" t="n"/>
      <x:c r="BC128" s="100" t="n"/>
      <x:c r="BD128" s="100" t="n"/>
      <x:c r="BE128" s="100" t="n"/>
      <x:c r="BF128" s="100" t="n"/>
      <x:c r="BG128" s="100" t="n"/>
      <x:c r="BH128" s="100" t="n"/>
      <x:c r="BI128" s="100" t="n"/>
      <x:c r="BJ128" s="100" t="n"/>
      <x:c r="BK128" s="100" t="n"/>
      <x:c r="BL128" s="100" t="n"/>
      <x:c r="BM128" s="100" t="n"/>
      <x:c r="BN128" s="100" t="n"/>
      <x:c r="BO128" s="100" t="n"/>
      <x:c r="BP128" s="100" t="n"/>
      <x:c r="BQ128" s="100" t="n"/>
      <x:c r="BR128" s="100" t="n"/>
      <x:c r="BS128" s="100" t="n"/>
      <x:c r="BT128" s="100" t="n"/>
      <x:c r="BU128" s="100" t="n"/>
      <x:c r="BV128" s="100" t="n"/>
      <x:c r="BW128" s="100" t="n"/>
      <x:c r="BX128" s="100" t="n"/>
      <x:c r="BY128" s="100" t="n"/>
      <x:c r="BZ128" s="100" t="n"/>
      <x:c r="CA128" s="100" t="n"/>
      <x:c r="CB128" s="100" t="n"/>
      <x:c r="CC128" s="100" t="n"/>
      <x:c r="CD128" s="100" t="n"/>
      <x:c r="CE128" s="100" t="n"/>
      <x:c r="CF128" s="100" t="n"/>
      <x:c r="CG128" s="100" t="n"/>
      <x:c r="CH128" s="100" t="n"/>
      <x:c r="CI128" s="100" t="n"/>
      <x:c r="CJ128" s="100" t="n"/>
      <x:c r="CK128" s="100" t="n"/>
      <x:c r="CL128" s="100" t="n"/>
      <x:c r="CM128" s="100" t="n"/>
      <x:c r="CN128" s="100" t="n"/>
      <x:c r="CO128" s="100" t="n"/>
      <x:c r="CP128" s="100" t="n"/>
      <x:c r="CQ128" s="100" t="n"/>
      <x:c r="CR128" s="100" t="n"/>
      <x:c r="CS128" s="100" t="n"/>
      <x:c r="CT128" s="100" t="n"/>
      <x:c r="CU128" s="100" t="n"/>
      <x:c r="CV128" s="100" t="n"/>
      <x:c r="CW128" s="100" t="n"/>
      <x:c r="CX128" s="100" t="n"/>
      <x:c r="CY128" s="100" t="n"/>
      <x:c r="CZ128" s="100" t="n"/>
      <x:c r="DA128" s="100" t="n"/>
      <x:c r="DB128" s="100" t="n"/>
      <x:c r="DC128" s="100" t="n"/>
      <x:c r="DD128" s="100" t="n"/>
      <x:c r="DE128" s="100" t="n"/>
      <x:c r="DF128" s="100" t="n"/>
      <x:c r="DG128" s="100" t="n"/>
      <x:c r="DH128" s="100" t="n"/>
      <x:c r="DI128" s="100" t="n"/>
      <x:c r="DJ128" s="100" t="n"/>
      <x:c r="DK128" s="100" t="n"/>
      <x:c r="DL128" s="100" t="n"/>
      <x:c r="DM128" s="100" t="n"/>
      <x:c r="DN128" s="100" t="n"/>
      <x:c r="DO128" s="100" t="n"/>
      <x:c r="DP128" s="100" t="n"/>
      <x:c r="DQ128" s="100" t="n"/>
      <x:c r="DR128" s="100" t="n"/>
      <x:c r="DS128" s="100" t="n"/>
      <x:c r="DT128" s="100" t="n"/>
      <x:c r="DU128" s="100" t="n"/>
      <x:c r="DV128" s="100" t="n"/>
      <x:c r="DW128" s="100" t="n"/>
      <x:c r="DX128" s="100" t="n"/>
      <x:c r="DY128" s="100" t="n"/>
      <x:c r="DZ128" s="100" t="n"/>
      <x:c r="EA128" s="100" t="n"/>
      <x:c r="EB128" s="100" t="n"/>
      <x:c r="EC128" s="100" t="n"/>
      <x:c r="ED128" s="100" t="n"/>
      <x:c r="EE128" s="100" t="n"/>
      <x:c r="EF128" s="100" t="n"/>
      <x:c r="EG128" s="100" t="n"/>
      <x:c r="EH128" s="100" t="n"/>
      <x:c r="EI128" s="100" t="n"/>
      <x:c r="EJ128" s="100" t="n"/>
      <x:c r="EK128" s="100" t="n"/>
      <x:c r="EL128" s="100" t="n"/>
      <x:c r="EM128" s="100" t="n"/>
      <x:c r="EN128" s="100" t="n"/>
      <x:c r="EO128" s="100" t="n"/>
      <x:c r="EP128" s="100" t="n"/>
      <x:c r="EQ128" s="100" t="n"/>
      <x:c r="ER128" s="100" t="n"/>
      <x:c r="ES128" s="100" t="n"/>
      <x:c r="ET128" s="100" t="n"/>
      <x:c r="EU128" s="100" t="n"/>
      <x:c r="EV128" s="100" t="n"/>
      <x:c r="EW128" s="100" t="n"/>
      <x:c r="EX128" s="100" t="n"/>
      <x:c r="EY128" s="100" t="n"/>
      <x:c r="EZ128" s="100" t="n"/>
      <x:c r="FA128" s="100" t="n"/>
      <x:c r="FB128" s="100" t="n"/>
      <x:c r="FC128" s="100" t="n"/>
      <x:c r="FD128" s="100" t="n"/>
      <x:c r="FE128" s="100" t="n"/>
      <x:c r="FF128" s="100" t="n"/>
      <x:c r="FG128" s="100" t="n"/>
      <x:c r="FH128" s="100" t="n"/>
      <x:c r="FI128" s="100" t="n"/>
      <x:c r="FJ128" s="100" t="n"/>
      <x:c r="FK128" s="100" t="n"/>
      <x:c r="FL128" s="100" t="n"/>
      <x:c r="FM128" s="100" t="n"/>
      <x:c r="FN128" s="100" t="n"/>
      <x:c r="FO128" s="100" t="n"/>
      <x:c r="FP128" s="100" t="n"/>
      <x:c r="FQ128" s="100" t="n"/>
      <x:c r="FR128" s="100" t="n"/>
      <x:c r="FS128" s="100" t="n"/>
      <x:c r="FT128" s="100" t="n"/>
      <x:c r="FU128" s="100" t="n"/>
      <x:c r="FV128" s="100" t="n"/>
      <x:c r="FW128" s="100" t="n"/>
      <x:c r="FX128" s="100" t="n"/>
      <x:c r="FY128" s="100" t="n"/>
      <x:c r="FZ128" s="100" t="n"/>
      <x:c r="GA128" s="100" t="n"/>
      <x:c r="GB128" s="100" t="n"/>
      <x:c r="GC128" s="100" t="n"/>
      <x:c r="GD128" s="100" t="n"/>
      <x:c r="GE128" s="100" t="n"/>
      <x:c r="GF128" s="100" t="n"/>
    </x:row>
    <x:row r="129" s="27" customFormat="1">
      <x:c r="A129" s="38" t="n"/>
      <x:c r="B129" s="37" t="n"/>
      <x:c r="C129" s="36" t="n">
        <x:f>E129*D$5</x:f>
        <x:v>0</x:v>
      </x:c>
      <x:c r="D129" s="20" t="n"/>
      <x:c r="E129" s="36" t="n">
        <x:f>SUM(G129:HT129)</x:f>
        <x:v>0</x:v>
      </x:c>
      <x:c r="M129" s="100" t="n"/>
      <x:c r="N129" s="100" t="n"/>
      <x:c r="O129" s="100" t="n"/>
      <x:c r="P129" s="100" t="n"/>
      <x:c r="Q129" s="100" t="n"/>
      <x:c r="R129" s="100" t="n"/>
      <x:c r="S129" s="100" t="n"/>
      <x:c r="T129" s="100" t="n"/>
      <x:c r="U129" s="100" t="n"/>
      <x:c r="V129" s="100" t="n"/>
      <x:c r="W129" s="100" t="n"/>
      <x:c r="X129" s="100" t="n"/>
      <x:c r="Y129" s="100" t="n"/>
      <x:c r="Z129" s="100" t="n"/>
      <x:c r="AA129" s="100" t="n"/>
      <x:c r="AB129" s="100" t="n"/>
      <x:c r="AC129" s="100" t="n"/>
      <x:c r="AD129" s="100" t="n"/>
      <x:c r="AE129" s="100" t="n"/>
      <x:c r="AF129" s="100" t="n"/>
      <x:c r="AG129" s="100" t="n"/>
      <x:c r="AH129" s="100" t="n"/>
      <x:c r="AI129" s="100" t="n"/>
      <x:c r="AJ129" s="100" t="n"/>
      <x:c r="AK129" s="100" t="n"/>
      <x:c r="AL129" s="100" t="n"/>
      <x:c r="AM129" s="100" t="n"/>
      <x:c r="AN129" s="100" t="n"/>
      <x:c r="AO129" s="100" t="n"/>
      <x:c r="AP129" s="100" t="n"/>
      <x:c r="AQ129" s="100" t="n"/>
      <x:c r="AR129" s="100" t="n"/>
      <x:c r="AS129" s="100" t="n"/>
      <x:c r="AT129" s="100" t="n"/>
      <x:c r="AU129" s="100" t="n"/>
      <x:c r="AV129" s="100" t="n"/>
      <x:c r="AW129" s="100" t="n"/>
      <x:c r="AX129" s="100" t="n"/>
      <x:c r="AY129" s="100" t="n"/>
      <x:c r="AZ129" s="100" t="n"/>
      <x:c r="BA129" s="100" t="n"/>
      <x:c r="BB129" s="100" t="n"/>
      <x:c r="BC129" s="100" t="n"/>
      <x:c r="BD129" s="100" t="n"/>
      <x:c r="BE129" s="100" t="n"/>
      <x:c r="BF129" s="100" t="n"/>
      <x:c r="BG129" s="100" t="n"/>
      <x:c r="BH129" s="100" t="n"/>
      <x:c r="BI129" s="100" t="n"/>
      <x:c r="BJ129" s="100" t="n"/>
      <x:c r="BK129" s="100" t="n"/>
      <x:c r="BL129" s="100" t="n"/>
      <x:c r="BM129" s="100" t="n"/>
      <x:c r="BN129" s="100" t="n"/>
      <x:c r="BO129" s="100" t="n"/>
      <x:c r="BP129" s="100" t="n"/>
      <x:c r="BQ129" s="100" t="n"/>
      <x:c r="BR129" s="100" t="n"/>
      <x:c r="BS129" s="100" t="n"/>
      <x:c r="BT129" s="100" t="n"/>
      <x:c r="BU129" s="100" t="n"/>
      <x:c r="BV129" s="100" t="n"/>
      <x:c r="BW129" s="100" t="n"/>
      <x:c r="BX129" s="100" t="n"/>
      <x:c r="BY129" s="100" t="n"/>
      <x:c r="BZ129" s="100" t="n"/>
      <x:c r="CA129" s="100" t="n"/>
      <x:c r="CB129" s="100" t="n"/>
      <x:c r="CC129" s="100" t="n"/>
      <x:c r="CD129" s="100" t="n"/>
      <x:c r="CE129" s="100" t="n"/>
      <x:c r="CF129" s="100" t="n"/>
      <x:c r="CG129" s="100" t="n"/>
      <x:c r="CH129" s="100" t="n"/>
      <x:c r="CI129" s="100" t="n"/>
      <x:c r="CJ129" s="100" t="n"/>
      <x:c r="CK129" s="100" t="n"/>
      <x:c r="CL129" s="100" t="n"/>
      <x:c r="CM129" s="100" t="n"/>
      <x:c r="CN129" s="100" t="n"/>
      <x:c r="CO129" s="100" t="n"/>
      <x:c r="CP129" s="100" t="n"/>
      <x:c r="CQ129" s="100" t="n"/>
      <x:c r="CR129" s="100" t="n"/>
      <x:c r="CS129" s="100" t="n"/>
      <x:c r="CT129" s="100" t="n"/>
      <x:c r="CU129" s="100" t="n"/>
      <x:c r="CV129" s="100" t="n"/>
      <x:c r="CW129" s="100" t="n"/>
      <x:c r="CX129" s="100" t="n"/>
      <x:c r="CY129" s="100" t="n"/>
      <x:c r="CZ129" s="100" t="n"/>
      <x:c r="DA129" s="100" t="n"/>
      <x:c r="DB129" s="100" t="n"/>
      <x:c r="DC129" s="100" t="n"/>
      <x:c r="DD129" s="100" t="n"/>
      <x:c r="DE129" s="100" t="n"/>
      <x:c r="DF129" s="100" t="n"/>
      <x:c r="DG129" s="100" t="n"/>
      <x:c r="DH129" s="100" t="n"/>
      <x:c r="DI129" s="100" t="n"/>
      <x:c r="DJ129" s="100" t="n"/>
      <x:c r="DK129" s="100" t="n"/>
      <x:c r="DL129" s="100" t="n"/>
      <x:c r="DM129" s="100" t="n"/>
      <x:c r="DN129" s="100" t="n"/>
      <x:c r="DO129" s="100" t="n"/>
      <x:c r="DP129" s="100" t="n"/>
      <x:c r="DQ129" s="100" t="n"/>
      <x:c r="DR129" s="100" t="n"/>
      <x:c r="DS129" s="100" t="n"/>
      <x:c r="DT129" s="100" t="n"/>
      <x:c r="DU129" s="100" t="n"/>
      <x:c r="DV129" s="100" t="n"/>
      <x:c r="DW129" s="100" t="n"/>
      <x:c r="DX129" s="100" t="n"/>
      <x:c r="DY129" s="100" t="n"/>
      <x:c r="DZ129" s="100" t="n"/>
      <x:c r="EA129" s="100" t="n"/>
      <x:c r="EB129" s="100" t="n"/>
      <x:c r="EC129" s="100" t="n"/>
      <x:c r="ED129" s="100" t="n"/>
      <x:c r="EE129" s="100" t="n"/>
      <x:c r="EF129" s="100" t="n"/>
      <x:c r="EG129" s="100" t="n"/>
      <x:c r="EH129" s="100" t="n"/>
      <x:c r="EI129" s="100" t="n"/>
      <x:c r="EJ129" s="100" t="n"/>
      <x:c r="EK129" s="100" t="n"/>
      <x:c r="EL129" s="100" t="n"/>
      <x:c r="EM129" s="100" t="n"/>
      <x:c r="EN129" s="100" t="n"/>
      <x:c r="EO129" s="100" t="n"/>
      <x:c r="EP129" s="100" t="n"/>
      <x:c r="EQ129" s="100" t="n"/>
      <x:c r="ER129" s="100" t="n"/>
      <x:c r="ES129" s="100" t="n"/>
      <x:c r="ET129" s="100" t="n"/>
      <x:c r="EU129" s="100" t="n"/>
      <x:c r="EV129" s="100" t="n"/>
      <x:c r="EW129" s="100" t="n"/>
      <x:c r="EX129" s="100" t="n"/>
      <x:c r="EY129" s="100" t="n"/>
      <x:c r="EZ129" s="100" t="n"/>
      <x:c r="FA129" s="100" t="n"/>
      <x:c r="FB129" s="100" t="n"/>
      <x:c r="FC129" s="100" t="n"/>
      <x:c r="FD129" s="100" t="n"/>
      <x:c r="FE129" s="100" t="n"/>
      <x:c r="FF129" s="100" t="n"/>
      <x:c r="FG129" s="100" t="n"/>
      <x:c r="FH129" s="100" t="n"/>
      <x:c r="FI129" s="100" t="n"/>
      <x:c r="FJ129" s="100" t="n"/>
      <x:c r="FK129" s="100" t="n"/>
      <x:c r="FL129" s="100" t="n"/>
      <x:c r="FM129" s="100" t="n"/>
      <x:c r="FN129" s="100" t="n"/>
      <x:c r="FO129" s="100" t="n"/>
      <x:c r="FP129" s="100" t="n"/>
      <x:c r="FQ129" s="100" t="n"/>
      <x:c r="FR129" s="100" t="n"/>
      <x:c r="FS129" s="100" t="n"/>
      <x:c r="FT129" s="100" t="n"/>
      <x:c r="FU129" s="100" t="n"/>
      <x:c r="FV129" s="100" t="n"/>
      <x:c r="FW129" s="100" t="n"/>
      <x:c r="FX129" s="100" t="n"/>
      <x:c r="FY129" s="100" t="n"/>
      <x:c r="FZ129" s="100" t="n"/>
      <x:c r="GA129" s="100" t="n"/>
      <x:c r="GB129" s="100" t="n"/>
      <x:c r="GC129" s="100" t="n"/>
      <x:c r="GD129" s="100" t="n"/>
      <x:c r="GE129" s="100" t="n"/>
      <x:c r="GF129" s="100" t="n"/>
    </x:row>
    <x:row r="130" s="27" customFormat="1">
      <x:c r="A130" s="38" t="n"/>
      <x:c r="B130" s="37" t="n"/>
      <x:c r="C130" s="36" t="n">
        <x:f>E130*D$5</x:f>
        <x:v>0</x:v>
      </x:c>
      <x:c r="D130" s="20" t="n"/>
      <x:c r="E130" s="36" t="n">
        <x:f>SUM(G130:HT130)</x:f>
        <x:v>0</x:v>
      </x:c>
      <x:c r="M130" s="100" t="n"/>
      <x:c r="N130" s="100" t="n"/>
      <x:c r="O130" s="100" t="n"/>
      <x:c r="P130" s="100" t="n"/>
      <x:c r="Q130" s="100" t="n"/>
      <x:c r="R130" s="100" t="n"/>
      <x:c r="S130" s="100" t="n"/>
      <x:c r="T130" s="100" t="n"/>
      <x:c r="U130" s="100" t="n"/>
      <x:c r="V130" s="100" t="n"/>
      <x:c r="W130" s="100" t="n"/>
      <x:c r="X130" s="100" t="n"/>
      <x:c r="Y130" s="100" t="n"/>
      <x:c r="Z130" s="100" t="n"/>
      <x:c r="AA130" s="100" t="n"/>
      <x:c r="AB130" s="100" t="n"/>
      <x:c r="AC130" s="100" t="n"/>
      <x:c r="AD130" s="100" t="n"/>
      <x:c r="AE130" s="100" t="n"/>
      <x:c r="AF130" s="100" t="n"/>
      <x:c r="AG130" s="100" t="n"/>
      <x:c r="AH130" s="100" t="n"/>
      <x:c r="AI130" s="100" t="n"/>
      <x:c r="AJ130" s="100" t="n"/>
      <x:c r="AK130" s="100" t="n"/>
      <x:c r="AL130" s="100" t="n"/>
      <x:c r="AM130" s="100" t="n"/>
      <x:c r="AN130" s="100" t="n"/>
      <x:c r="AO130" s="100" t="n"/>
      <x:c r="AP130" s="100" t="n"/>
      <x:c r="AQ130" s="100" t="n"/>
      <x:c r="AR130" s="100" t="n"/>
      <x:c r="AS130" s="100" t="n"/>
      <x:c r="AT130" s="100" t="n"/>
      <x:c r="AU130" s="100" t="n"/>
      <x:c r="AV130" s="100" t="n"/>
      <x:c r="AW130" s="100" t="n"/>
      <x:c r="AX130" s="100" t="n"/>
      <x:c r="AY130" s="100" t="n"/>
      <x:c r="AZ130" s="100" t="n"/>
      <x:c r="BA130" s="100" t="n"/>
      <x:c r="BB130" s="100" t="n"/>
      <x:c r="BC130" s="100" t="n"/>
      <x:c r="BD130" s="100" t="n"/>
      <x:c r="BE130" s="100" t="n"/>
      <x:c r="BF130" s="100" t="n"/>
      <x:c r="BG130" s="100" t="n"/>
      <x:c r="BH130" s="100" t="n"/>
      <x:c r="BI130" s="100" t="n"/>
      <x:c r="BJ130" s="100" t="n"/>
      <x:c r="BK130" s="100" t="n"/>
      <x:c r="BL130" s="100" t="n"/>
      <x:c r="BM130" s="100" t="n"/>
      <x:c r="BN130" s="100" t="n"/>
      <x:c r="BO130" s="100" t="n"/>
      <x:c r="BP130" s="100" t="n"/>
      <x:c r="BQ130" s="100" t="n"/>
      <x:c r="BR130" s="100" t="n"/>
      <x:c r="BS130" s="100" t="n"/>
      <x:c r="BT130" s="100" t="n"/>
      <x:c r="BU130" s="100" t="n"/>
      <x:c r="BV130" s="100" t="n"/>
      <x:c r="BW130" s="100" t="n"/>
      <x:c r="BX130" s="100" t="n"/>
      <x:c r="BY130" s="100" t="n"/>
      <x:c r="BZ130" s="100" t="n"/>
      <x:c r="CA130" s="100" t="n"/>
      <x:c r="CB130" s="100" t="n"/>
      <x:c r="CC130" s="100" t="n"/>
      <x:c r="CD130" s="100" t="n"/>
      <x:c r="CE130" s="100" t="n"/>
      <x:c r="CF130" s="100" t="n"/>
      <x:c r="CG130" s="100" t="n"/>
      <x:c r="CH130" s="100" t="n"/>
      <x:c r="CI130" s="100" t="n"/>
      <x:c r="CJ130" s="100" t="n"/>
      <x:c r="CK130" s="100" t="n"/>
      <x:c r="CL130" s="100" t="n"/>
      <x:c r="CM130" s="100" t="n"/>
      <x:c r="CN130" s="100" t="n"/>
      <x:c r="CO130" s="100" t="n"/>
      <x:c r="CP130" s="100" t="n"/>
      <x:c r="CQ130" s="100" t="n"/>
      <x:c r="CR130" s="100" t="n"/>
      <x:c r="CS130" s="100" t="n"/>
      <x:c r="CT130" s="100" t="n"/>
      <x:c r="CU130" s="100" t="n"/>
      <x:c r="CV130" s="100" t="n"/>
      <x:c r="CW130" s="100" t="n"/>
      <x:c r="CX130" s="100" t="n"/>
      <x:c r="CY130" s="100" t="n"/>
      <x:c r="CZ130" s="100" t="n"/>
      <x:c r="DA130" s="100" t="n"/>
      <x:c r="DB130" s="100" t="n"/>
      <x:c r="DC130" s="100" t="n"/>
      <x:c r="DD130" s="100" t="n"/>
      <x:c r="DE130" s="100" t="n"/>
      <x:c r="DF130" s="100" t="n"/>
      <x:c r="DG130" s="100" t="n"/>
      <x:c r="DH130" s="100" t="n"/>
      <x:c r="DI130" s="100" t="n"/>
      <x:c r="DJ130" s="100" t="n"/>
      <x:c r="DK130" s="100" t="n"/>
      <x:c r="DL130" s="100" t="n"/>
      <x:c r="DM130" s="100" t="n"/>
      <x:c r="DN130" s="100" t="n"/>
      <x:c r="DO130" s="100" t="n"/>
      <x:c r="DP130" s="100" t="n"/>
      <x:c r="DQ130" s="100" t="n"/>
      <x:c r="DR130" s="100" t="n"/>
      <x:c r="DS130" s="100" t="n"/>
      <x:c r="DT130" s="100" t="n"/>
      <x:c r="DU130" s="100" t="n"/>
      <x:c r="DV130" s="100" t="n"/>
      <x:c r="DW130" s="100" t="n"/>
      <x:c r="DX130" s="100" t="n"/>
      <x:c r="DY130" s="100" t="n"/>
      <x:c r="DZ130" s="100" t="n"/>
      <x:c r="EA130" s="100" t="n"/>
      <x:c r="EB130" s="100" t="n"/>
      <x:c r="EC130" s="100" t="n"/>
      <x:c r="ED130" s="100" t="n"/>
      <x:c r="EE130" s="100" t="n"/>
      <x:c r="EF130" s="100" t="n"/>
      <x:c r="EG130" s="100" t="n"/>
      <x:c r="EH130" s="100" t="n"/>
      <x:c r="EI130" s="100" t="n"/>
      <x:c r="EJ130" s="100" t="n"/>
      <x:c r="EK130" s="100" t="n"/>
      <x:c r="EL130" s="100" t="n"/>
      <x:c r="EM130" s="100" t="n"/>
      <x:c r="EN130" s="100" t="n"/>
      <x:c r="EO130" s="100" t="n"/>
      <x:c r="EP130" s="100" t="n"/>
      <x:c r="EQ130" s="100" t="n"/>
      <x:c r="ER130" s="100" t="n"/>
      <x:c r="ES130" s="100" t="n"/>
      <x:c r="ET130" s="100" t="n"/>
      <x:c r="EU130" s="100" t="n"/>
      <x:c r="EV130" s="100" t="n"/>
      <x:c r="EW130" s="100" t="n"/>
      <x:c r="EX130" s="100" t="n"/>
      <x:c r="EY130" s="100" t="n"/>
      <x:c r="EZ130" s="100" t="n"/>
      <x:c r="FA130" s="100" t="n"/>
      <x:c r="FB130" s="100" t="n"/>
      <x:c r="FC130" s="100" t="n"/>
      <x:c r="FD130" s="100" t="n"/>
      <x:c r="FE130" s="100" t="n"/>
      <x:c r="FF130" s="100" t="n"/>
      <x:c r="FG130" s="100" t="n"/>
      <x:c r="FH130" s="100" t="n"/>
      <x:c r="FI130" s="100" t="n"/>
      <x:c r="FJ130" s="100" t="n"/>
      <x:c r="FK130" s="100" t="n"/>
      <x:c r="FL130" s="100" t="n"/>
      <x:c r="FM130" s="100" t="n"/>
      <x:c r="FN130" s="100" t="n"/>
      <x:c r="FO130" s="100" t="n"/>
      <x:c r="FP130" s="100" t="n"/>
      <x:c r="FQ130" s="100" t="n"/>
      <x:c r="FR130" s="100" t="n"/>
      <x:c r="FS130" s="100" t="n"/>
      <x:c r="FT130" s="100" t="n"/>
      <x:c r="FU130" s="100" t="n"/>
      <x:c r="FV130" s="100" t="n"/>
      <x:c r="FW130" s="100" t="n"/>
      <x:c r="FX130" s="100" t="n"/>
      <x:c r="FY130" s="100" t="n"/>
      <x:c r="FZ130" s="100" t="n"/>
      <x:c r="GA130" s="100" t="n"/>
      <x:c r="GB130" s="100" t="n"/>
      <x:c r="GC130" s="100" t="n"/>
      <x:c r="GD130" s="100" t="n"/>
      <x:c r="GE130" s="100" t="n"/>
      <x:c r="GF130" s="100" t="n"/>
    </x:row>
    <x:row r="131" s="27" customFormat="1">
      <x:c r="A131" s="38" t="n"/>
      <x:c r="B131" s="37" t="n"/>
      <x:c r="C131" s="36" t="n">
        <x:f>E131*D$5</x:f>
        <x:v>0</x:v>
      </x:c>
      <x:c r="D131" s="20" t="n"/>
      <x:c r="E131" s="36" t="n">
        <x:f>SUM(G131:HT131)</x:f>
        <x:v>0</x:v>
      </x:c>
      <x:c r="M131" s="100" t="n"/>
      <x:c r="N131" s="100" t="n"/>
      <x:c r="O131" s="100" t="n"/>
      <x:c r="P131" s="100" t="n"/>
      <x:c r="Q131" s="100" t="n"/>
      <x:c r="R131" s="100" t="n"/>
      <x:c r="S131" s="100" t="n"/>
      <x:c r="T131" s="100" t="n"/>
      <x:c r="U131" s="100" t="n"/>
      <x:c r="V131" s="100" t="n"/>
      <x:c r="W131" s="100" t="n"/>
      <x:c r="X131" s="100" t="n"/>
      <x:c r="Y131" s="100" t="n"/>
      <x:c r="Z131" s="100" t="n"/>
      <x:c r="AA131" s="100" t="n"/>
      <x:c r="AB131" s="100" t="n"/>
      <x:c r="AC131" s="100" t="n"/>
      <x:c r="AD131" s="100" t="n"/>
      <x:c r="AE131" s="100" t="n"/>
      <x:c r="AF131" s="100" t="n"/>
      <x:c r="AG131" s="100" t="n"/>
      <x:c r="AH131" s="100" t="n"/>
      <x:c r="AI131" s="100" t="n"/>
      <x:c r="AJ131" s="100" t="n"/>
      <x:c r="AK131" s="100" t="n"/>
      <x:c r="AL131" s="100" t="n"/>
      <x:c r="AM131" s="100" t="n"/>
      <x:c r="AN131" s="100" t="n"/>
      <x:c r="AO131" s="100" t="n"/>
      <x:c r="AP131" s="100" t="n"/>
      <x:c r="AQ131" s="100" t="n"/>
      <x:c r="AR131" s="100" t="n"/>
      <x:c r="AS131" s="100" t="n"/>
      <x:c r="AT131" s="100" t="n"/>
      <x:c r="AU131" s="100" t="n"/>
      <x:c r="AV131" s="100" t="n"/>
      <x:c r="AW131" s="100" t="n"/>
      <x:c r="AX131" s="100" t="n"/>
      <x:c r="AY131" s="100" t="n"/>
      <x:c r="AZ131" s="100" t="n"/>
      <x:c r="BA131" s="100" t="n"/>
      <x:c r="BB131" s="100" t="n"/>
      <x:c r="BC131" s="100" t="n"/>
      <x:c r="BD131" s="100" t="n"/>
      <x:c r="BE131" s="100" t="n"/>
      <x:c r="BF131" s="100" t="n"/>
      <x:c r="BG131" s="100" t="n"/>
      <x:c r="BH131" s="100" t="n"/>
      <x:c r="BI131" s="100" t="n"/>
      <x:c r="BJ131" s="100" t="n"/>
      <x:c r="BK131" s="100" t="n"/>
      <x:c r="BL131" s="100" t="n"/>
      <x:c r="BM131" s="100" t="n"/>
      <x:c r="BN131" s="100" t="n"/>
      <x:c r="BO131" s="100" t="n"/>
      <x:c r="BP131" s="100" t="n"/>
      <x:c r="BQ131" s="100" t="n"/>
      <x:c r="BR131" s="100" t="n"/>
      <x:c r="BS131" s="100" t="n"/>
      <x:c r="BT131" s="100" t="n"/>
      <x:c r="BU131" s="100" t="n"/>
      <x:c r="BV131" s="100" t="n"/>
      <x:c r="BW131" s="100" t="n"/>
      <x:c r="BX131" s="100" t="n"/>
      <x:c r="BY131" s="100" t="n"/>
      <x:c r="BZ131" s="100" t="n"/>
      <x:c r="CA131" s="100" t="n"/>
      <x:c r="CB131" s="100" t="n"/>
      <x:c r="CC131" s="100" t="n"/>
      <x:c r="CD131" s="100" t="n"/>
      <x:c r="CE131" s="100" t="n"/>
      <x:c r="CF131" s="100" t="n"/>
      <x:c r="CG131" s="100" t="n"/>
      <x:c r="CH131" s="100" t="n"/>
      <x:c r="CI131" s="100" t="n"/>
      <x:c r="CJ131" s="100" t="n"/>
      <x:c r="CK131" s="100" t="n"/>
      <x:c r="CL131" s="100" t="n"/>
      <x:c r="CM131" s="100" t="n"/>
      <x:c r="CN131" s="100" t="n"/>
      <x:c r="CO131" s="100" t="n"/>
      <x:c r="CP131" s="100" t="n"/>
      <x:c r="CQ131" s="100" t="n"/>
      <x:c r="CR131" s="100" t="n"/>
      <x:c r="CS131" s="100" t="n"/>
      <x:c r="CT131" s="100" t="n"/>
      <x:c r="CU131" s="100" t="n"/>
      <x:c r="CV131" s="100" t="n"/>
      <x:c r="CW131" s="100" t="n"/>
      <x:c r="CX131" s="100" t="n"/>
      <x:c r="CY131" s="100" t="n"/>
      <x:c r="CZ131" s="100" t="n"/>
      <x:c r="DA131" s="100" t="n"/>
      <x:c r="DB131" s="100" t="n"/>
      <x:c r="DC131" s="100" t="n"/>
      <x:c r="DD131" s="100" t="n"/>
      <x:c r="DE131" s="100" t="n"/>
      <x:c r="DF131" s="100" t="n"/>
      <x:c r="DG131" s="100" t="n"/>
      <x:c r="DH131" s="100" t="n"/>
      <x:c r="DI131" s="100" t="n"/>
      <x:c r="DJ131" s="100" t="n"/>
      <x:c r="DK131" s="100" t="n"/>
      <x:c r="DL131" s="100" t="n"/>
      <x:c r="DM131" s="100" t="n"/>
      <x:c r="DN131" s="100" t="n"/>
      <x:c r="DO131" s="100" t="n"/>
      <x:c r="DP131" s="100" t="n"/>
      <x:c r="DQ131" s="100" t="n"/>
      <x:c r="DR131" s="100" t="n"/>
      <x:c r="DS131" s="100" t="n"/>
      <x:c r="DT131" s="100" t="n"/>
      <x:c r="DU131" s="100" t="n"/>
      <x:c r="DV131" s="100" t="n"/>
      <x:c r="DW131" s="100" t="n"/>
      <x:c r="DX131" s="100" t="n"/>
      <x:c r="DY131" s="100" t="n"/>
      <x:c r="DZ131" s="100" t="n"/>
      <x:c r="EA131" s="100" t="n"/>
      <x:c r="EB131" s="100" t="n"/>
      <x:c r="EC131" s="100" t="n"/>
      <x:c r="ED131" s="100" t="n"/>
      <x:c r="EE131" s="100" t="n"/>
      <x:c r="EF131" s="100" t="n"/>
      <x:c r="EG131" s="100" t="n"/>
      <x:c r="EH131" s="100" t="n"/>
      <x:c r="EI131" s="100" t="n"/>
      <x:c r="EJ131" s="100" t="n"/>
      <x:c r="EK131" s="100" t="n"/>
      <x:c r="EL131" s="100" t="n"/>
      <x:c r="EM131" s="100" t="n"/>
      <x:c r="EN131" s="100" t="n"/>
      <x:c r="EO131" s="100" t="n"/>
      <x:c r="EP131" s="100" t="n"/>
      <x:c r="EQ131" s="100" t="n"/>
      <x:c r="ER131" s="100" t="n"/>
      <x:c r="ES131" s="100" t="n"/>
      <x:c r="ET131" s="100" t="n"/>
      <x:c r="EU131" s="100" t="n"/>
      <x:c r="EV131" s="100" t="n"/>
      <x:c r="EW131" s="100" t="n"/>
      <x:c r="EX131" s="100" t="n"/>
      <x:c r="EY131" s="100" t="n"/>
      <x:c r="EZ131" s="100" t="n"/>
      <x:c r="FA131" s="100" t="n"/>
      <x:c r="FB131" s="100" t="n"/>
      <x:c r="FC131" s="100" t="n"/>
      <x:c r="FD131" s="100" t="n"/>
      <x:c r="FE131" s="100" t="n"/>
      <x:c r="FF131" s="100" t="n"/>
      <x:c r="FG131" s="100" t="n"/>
      <x:c r="FH131" s="100" t="n"/>
      <x:c r="FI131" s="100" t="n"/>
      <x:c r="FJ131" s="100" t="n"/>
      <x:c r="FK131" s="100" t="n"/>
      <x:c r="FL131" s="100" t="n"/>
      <x:c r="FM131" s="100" t="n"/>
      <x:c r="FN131" s="100" t="n"/>
      <x:c r="FO131" s="100" t="n"/>
      <x:c r="FP131" s="100" t="n"/>
      <x:c r="FQ131" s="100" t="n"/>
      <x:c r="FR131" s="100" t="n"/>
      <x:c r="FS131" s="100" t="n"/>
      <x:c r="FT131" s="100" t="n"/>
      <x:c r="FU131" s="100" t="n"/>
      <x:c r="FV131" s="100" t="n"/>
      <x:c r="FW131" s="100" t="n"/>
      <x:c r="FX131" s="100" t="n"/>
      <x:c r="FY131" s="100" t="n"/>
      <x:c r="FZ131" s="100" t="n"/>
      <x:c r="GA131" s="100" t="n"/>
      <x:c r="GB131" s="100" t="n"/>
      <x:c r="GC131" s="100" t="n"/>
      <x:c r="GD131" s="100" t="n"/>
      <x:c r="GE131" s="100" t="n"/>
      <x:c r="GF131" s="100" t="n"/>
    </x:row>
    <x:row r="132" s="27" customFormat="1">
      <x:c r="A132" s="38" t="n"/>
      <x:c r="B132" s="37" t="n"/>
      <x:c r="C132" s="36" t="n">
        <x:f>E132*D$5</x:f>
        <x:v>0</x:v>
      </x:c>
      <x:c r="D132" s="20" t="n"/>
      <x:c r="E132" s="36" t="n">
        <x:f>SUM(G132:HT132)</x:f>
        <x:v>0</x:v>
      </x:c>
      <x:c r="M132" s="100" t="n"/>
      <x:c r="N132" s="100" t="n"/>
      <x:c r="O132" s="100" t="n"/>
      <x:c r="P132" s="100" t="n"/>
      <x:c r="Q132" s="100" t="n"/>
      <x:c r="R132" s="100" t="n"/>
      <x:c r="S132" s="100" t="n"/>
      <x:c r="T132" s="100" t="n"/>
      <x:c r="U132" s="100" t="n"/>
      <x:c r="V132" s="100" t="n"/>
      <x:c r="W132" s="100" t="n"/>
      <x:c r="X132" s="100" t="n"/>
      <x:c r="Y132" s="100" t="n"/>
      <x:c r="Z132" s="100" t="n"/>
      <x:c r="AA132" s="100" t="n"/>
      <x:c r="AB132" s="100" t="n"/>
      <x:c r="AC132" s="100" t="n"/>
      <x:c r="AD132" s="100" t="n"/>
      <x:c r="AE132" s="100" t="n"/>
      <x:c r="AF132" s="100" t="n"/>
      <x:c r="AG132" s="100" t="n"/>
      <x:c r="AH132" s="100" t="n"/>
      <x:c r="AI132" s="100" t="n"/>
      <x:c r="AJ132" s="100" t="n"/>
      <x:c r="AK132" s="100" t="n"/>
      <x:c r="AL132" s="100" t="n"/>
      <x:c r="AM132" s="100" t="n"/>
      <x:c r="AN132" s="100" t="n"/>
      <x:c r="AO132" s="100" t="n"/>
      <x:c r="AP132" s="100" t="n"/>
      <x:c r="AQ132" s="100" t="n"/>
      <x:c r="AR132" s="100" t="n"/>
      <x:c r="AS132" s="100" t="n"/>
      <x:c r="AT132" s="100" t="n"/>
      <x:c r="AU132" s="100" t="n"/>
      <x:c r="AV132" s="100" t="n"/>
      <x:c r="AW132" s="100" t="n"/>
      <x:c r="AX132" s="100" t="n"/>
      <x:c r="AY132" s="100" t="n"/>
      <x:c r="AZ132" s="100" t="n"/>
      <x:c r="BA132" s="100" t="n"/>
      <x:c r="BB132" s="100" t="n"/>
      <x:c r="BC132" s="100" t="n"/>
      <x:c r="BD132" s="100" t="n"/>
      <x:c r="BE132" s="100" t="n"/>
      <x:c r="BF132" s="100" t="n"/>
      <x:c r="BG132" s="100" t="n"/>
      <x:c r="BH132" s="100" t="n"/>
      <x:c r="BI132" s="100" t="n"/>
      <x:c r="BJ132" s="100" t="n"/>
      <x:c r="BK132" s="100" t="n"/>
      <x:c r="BL132" s="100" t="n"/>
      <x:c r="BM132" s="100" t="n"/>
      <x:c r="BN132" s="100" t="n"/>
      <x:c r="BO132" s="100" t="n"/>
      <x:c r="BP132" s="100" t="n"/>
      <x:c r="BQ132" s="100" t="n"/>
      <x:c r="BR132" s="100" t="n"/>
      <x:c r="BS132" s="100" t="n"/>
      <x:c r="BT132" s="100" t="n"/>
      <x:c r="BU132" s="100" t="n"/>
      <x:c r="BV132" s="100" t="n"/>
      <x:c r="BW132" s="100" t="n"/>
      <x:c r="BX132" s="100" t="n"/>
      <x:c r="BY132" s="100" t="n"/>
      <x:c r="BZ132" s="100" t="n"/>
      <x:c r="CA132" s="100" t="n"/>
      <x:c r="CB132" s="100" t="n"/>
      <x:c r="CC132" s="100" t="n"/>
      <x:c r="CD132" s="100" t="n"/>
      <x:c r="CE132" s="100" t="n"/>
      <x:c r="CF132" s="100" t="n"/>
      <x:c r="CG132" s="100" t="n"/>
      <x:c r="CH132" s="100" t="n"/>
      <x:c r="CI132" s="100" t="n"/>
      <x:c r="CJ132" s="100" t="n"/>
      <x:c r="CK132" s="100" t="n"/>
      <x:c r="CL132" s="100" t="n"/>
      <x:c r="CM132" s="100" t="n"/>
      <x:c r="CN132" s="100" t="n"/>
      <x:c r="CO132" s="100" t="n"/>
      <x:c r="CP132" s="100" t="n"/>
      <x:c r="CQ132" s="100" t="n"/>
      <x:c r="CR132" s="100" t="n"/>
      <x:c r="CS132" s="100" t="n"/>
      <x:c r="CT132" s="100" t="n"/>
      <x:c r="CU132" s="100" t="n"/>
      <x:c r="CV132" s="100" t="n"/>
      <x:c r="CW132" s="100" t="n"/>
      <x:c r="CX132" s="100" t="n"/>
      <x:c r="CY132" s="100" t="n"/>
      <x:c r="CZ132" s="100" t="n"/>
      <x:c r="DA132" s="100" t="n"/>
      <x:c r="DB132" s="100" t="n"/>
      <x:c r="DC132" s="100" t="n"/>
      <x:c r="DD132" s="100" t="n"/>
      <x:c r="DE132" s="100" t="n"/>
      <x:c r="DF132" s="100" t="n"/>
      <x:c r="DG132" s="100" t="n"/>
      <x:c r="DH132" s="100" t="n"/>
      <x:c r="DI132" s="100" t="n"/>
      <x:c r="DJ132" s="100" t="n"/>
      <x:c r="DK132" s="100" t="n"/>
      <x:c r="DL132" s="100" t="n"/>
      <x:c r="DM132" s="100" t="n"/>
      <x:c r="DN132" s="100" t="n"/>
      <x:c r="DO132" s="100" t="n"/>
      <x:c r="DP132" s="100" t="n"/>
      <x:c r="DQ132" s="100" t="n"/>
      <x:c r="DR132" s="100" t="n"/>
      <x:c r="DS132" s="100" t="n"/>
      <x:c r="DT132" s="100" t="n"/>
      <x:c r="DU132" s="100" t="n"/>
      <x:c r="DV132" s="100" t="n"/>
      <x:c r="DW132" s="100" t="n"/>
      <x:c r="DX132" s="100" t="n"/>
      <x:c r="DY132" s="100" t="n"/>
      <x:c r="DZ132" s="100" t="n"/>
      <x:c r="EA132" s="100" t="n"/>
      <x:c r="EB132" s="100" t="n"/>
      <x:c r="EC132" s="100" t="n"/>
      <x:c r="ED132" s="100" t="n"/>
      <x:c r="EE132" s="100" t="n"/>
      <x:c r="EF132" s="100" t="n"/>
      <x:c r="EG132" s="100" t="n"/>
      <x:c r="EH132" s="100" t="n"/>
      <x:c r="EI132" s="100" t="n"/>
      <x:c r="EJ132" s="100" t="n"/>
      <x:c r="EK132" s="100" t="n"/>
      <x:c r="EL132" s="100" t="n"/>
      <x:c r="EM132" s="100" t="n"/>
      <x:c r="EN132" s="100" t="n"/>
      <x:c r="EO132" s="100" t="n"/>
      <x:c r="EP132" s="100" t="n"/>
      <x:c r="EQ132" s="100" t="n"/>
      <x:c r="ER132" s="100" t="n"/>
      <x:c r="ES132" s="100" t="n"/>
      <x:c r="ET132" s="100" t="n"/>
      <x:c r="EU132" s="100" t="n"/>
      <x:c r="EV132" s="100" t="n"/>
      <x:c r="EW132" s="100" t="n"/>
      <x:c r="EX132" s="100" t="n"/>
      <x:c r="EY132" s="100" t="n"/>
      <x:c r="EZ132" s="100" t="n"/>
      <x:c r="FA132" s="100" t="n"/>
      <x:c r="FB132" s="100" t="n"/>
      <x:c r="FC132" s="100" t="n"/>
      <x:c r="FD132" s="100" t="n"/>
      <x:c r="FE132" s="100" t="n"/>
      <x:c r="FF132" s="100" t="n"/>
      <x:c r="FG132" s="100" t="n"/>
      <x:c r="FH132" s="100" t="n"/>
      <x:c r="FI132" s="100" t="n"/>
      <x:c r="FJ132" s="100" t="n"/>
      <x:c r="FK132" s="100" t="n"/>
      <x:c r="FL132" s="100" t="n"/>
      <x:c r="FM132" s="100" t="n"/>
      <x:c r="FN132" s="100" t="n"/>
      <x:c r="FO132" s="100" t="n"/>
      <x:c r="FP132" s="100" t="n"/>
      <x:c r="FQ132" s="100" t="n"/>
      <x:c r="FR132" s="100" t="n"/>
      <x:c r="FS132" s="100" t="n"/>
      <x:c r="FT132" s="100" t="n"/>
      <x:c r="FU132" s="100" t="n"/>
      <x:c r="FV132" s="100" t="n"/>
      <x:c r="FW132" s="100" t="n"/>
      <x:c r="FX132" s="100" t="n"/>
      <x:c r="FY132" s="100" t="n"/>
      <x:c r="FZ132" s="100" t="n"/>
      <x:c r="GA132" s="100" t="n"/>
      <x:c r="GB132" s="100" t="n"/>
      <x:c r="GC132" s="100" t="n"/>
      <x:c r="GD132" s="100" t="n"/>
      <x:c r="GE132" s="100" t="n"/>
      <x:c r="GF132" s="100" t="n"/>
    </x:row>
    <x:row r="133" s="27" customFormat="1">
      <x:c r="A133" s="38" t="n"/>
      <x:c r="B133" s="37" t="n"/>
      <x:c r="C133" s="36" t="n">
        <x:f>E133*D$5</x:f>
        <x:v>0</x:v>
      </x:c>
      <x:c r="D133" s="20" t="n"/>
      <x:c r="E133" s="36" t="n">
        <x:f>SUM(G133:HT133)</x:f>
        <x:v>0</x:v>
      </x:c>
      <x:c r="M133" s="100" t="n"/>
      <x:c r="N133" s="100" t="n"/>
      <x:c r="O133" s="100" t="n"/>
      <x:c r="P133" s="100" t="n"/>
      <x:c r="Q133" s="100" t="n"/>
      <x:c r="R133" s="100" t="n"/>
      <x:c r="S133" s="100" t="n"/>
      <x:c r="T133" s="100" t="n"/>
      <x:c r="U133" s="100" t="n"/>
      <x:c r="V133" s="100" t="n"/>
      <x:c r="W133" s="100" t="n"/>
      <x:c r="X133" s="100" t="n"/>
      <x:c r="Y133" s="100" t="n"/>
      <x:c r="Z133" s="100" t="n"/>
      <x:c r="AA133" s="100" t="n"/>
      <x:c r="AB133" s="100" t="n"/>
      <x:c r="AC133" s="100" t="n"/>
      <x:c r="AD133" s="100" t="n"/>
      <x:c r="AE133" s="100" t="n"/>
      <x:c r="AF133" s="100" t="n"/>
      <x:c r="AG133" s="100" t="n"/>
      <x:c r="AH133" s="100" t="n"/>
      <x:c r="AI133" s="100" t="n"/>
      <x:c r="AJ133" s="100" t="n"/>
      <x:c r="AK133" s="100" t="n"/>
      <x:c r="AL133" s="100" t="n"/>
      <x:c r="AM133" s="100" t="n"/>
      <x:c r="AN133" s="100" t="n"/>
      <x:c r="AO133" s="100" t="n"/>
      <x:c r="AP133" s="100" t="n"/>
      <x:c r="AQ133" s="100" t="n"/>
      <x:c r="AR133" s="100" t="n"/>
      <x:c r="AS133" s="100" t="n"/>
      <x:c r="AT133" s="100" t="n"/>
      <x:c r="AU133" s="100" t="n"/>
      <x:c r="AV133" s="100" t="n"/>
      <x:c r="AW133" s="100" t="n"/>
      <x:c r="AX133" s="100" t="n"/>
      <x:c r="AY133" s="100" t="n"/>
      <x:c r="AZ133" s="100" t="n"/>
      <x:c r="BA133" s="100" t="n"/>
      <x:c r="BB133" s="100" t="n"/>
      <x:c r="BC133" s="100" t="n"/>
      <x:c r="BD133" s="100" t="n"/>
      <x:c r="BE133" s="100" t="n"/>
      <x:c r="BF133" s="100" t="n"/>
      <x:c r="BG133" s="100" t="n"/>
      <x:c r="BH133" s="100" t="n"/>
      <x:c r="BI133" s="100" t="n"/>
      <x:c r="BJ133" s="100" t="n"/>
      <x:c r="BK133" s="100" t="n"/>
      <x:c r="BL133" s="100" t="n"/>
      <x:c r="BM133" s="100" t="n"/>
      <x:c r="BN133" s="100" t="n"/>
      <x:c r="BO133" s="100" t="n"/>
      <x:c r="BP133" s="100" t="n"/>
      <x:c r="BQ133" s="100" t="n"/>
      <x:c r="BR133" s="100" t="n"/>
      <x:c r="BS133" s="100" t="n"/>
      <x:c r="BT133" s="100" t="n"/>
      <x:c r="BU133" s="100" t="n"/>
      <x:c r="BV133" s="100" t="n"/>
      <x:c r="BW133" s="100" t="n"/>
      <x:c r="BX133" s="100" t="n"/>
      <x:c r="BY133" s="100" t="n"/>
      <x:c r="BZ133" s="100" t="n"/>
      <x:c r="CA133" s="100" t="n"/>
      <x:c r="CB133" s="100" t="n"/>
      <x:c r="CC133" s="100" t="n"/>
      <x:c r="CD133" s="100" t="n"/>
      <x:c r="CE133" s="100" t="n"/>
      <x:c r="CF133" s="100" t="n"/>
      <x:c r="CG133" s="100" t="n"/>
      <x:c r="CH133" s="100" t="n"/>
      <x:c r="CI133" s="100" t="n"/>
      <x:c r="CJ133" s="100" t="n"/>
      <x:c r="CK133" s="100" t="n"/>
      <x:c r="CL133" s="100" t="n"/>
      <x:c r="CM133" s="100" t="n"/>
      <x:c r="CN133" s="100" t="n"/>
      <x:c r="CO133" s="100" t="n"/>
      <x:c r="CP133" s="100" t="n"/>
      <x:c r="CQ133" s="100" t="n"/>
      <x:c r="CR133" s="100" t="n"/>
      <x:c r="CS133" s="100" t="n"/>
      <x:c r="CT133" s="100" t="n"/>
      <x:c r="CU133" s="100" t="n"/>
      <x:c r="CV133" s="100" t="n"/>
      <x:c r="CW133" s="100" t="n"/>
      <x:c r="CX133" s="100" t="n"/>
      <x:c r="CY133" s="100" t="n"/>
      <x:c r="CZ133" s="100" t="n"/>
      <x:c r="DA133" s="100" t="n"/>
      <x:c r="DB133" s="100" t="n"/>
      <x:c r="DC133" s="100" t="n"/>
      <x:c r="DD133" s="100" t="n"/>
      <x:c r="DE133" s="100" t="n"/>
      <x:c r="DF133" s="100" t="n"/>
      <x:c r="DG133" s="100" t="n"/>
      <x:c r="DH133" s="100" t="n"/>
      <x:c r="DI133" s="100" t="n"/>
      <x:c r="DJ133" s="100" t="n"/>
      <x:c r="DK133" s="100" t="n"/>
      <x:c r="DL133" s="100" t="n"/>
      <x:c r="DM133" s="100" t="n"/>
      <x:c r="DN133" s="100" t="n"/>
      <x:c r="DO133" s="100" t="n"/>
      <x:c r="DP133" s="100" t="n"/>
      <x:c r="DQ133" s="100" t="n"/>
      <x:c r="DR133" s="100" t="n"/>
      <x:c r="DS133" s="100" t="n"/>
      <x:c r="DT133" s="100" t="n"/>
      <x:c r="DU133" s="100" t="n"/>
      <x:c r="DV133" s="100" t="n"/>
      <x:c r="DW133" s="100" t="n"/>
      <x:c r="DX133" s="100" t="n"/>
      <x:c r="DY133" s="100" t="n"/>
      <x:c r="DZ133" s="100" t="n"/>
      <x:c r="EA133" s="100" t="n"/>
      <x:c r="EB133" s="100" t="n"/>
      <x:c r="EC133" s="100" t="n"/>
      <x:c r="ED133" s="100" t="n"/>
      <x:c r="EE133" s="100" t="n"/>
      <x:c r="EF133" s="100" t="n"/>
      <x:c r="EG133" s="100" t="n"/>
      <x:c r="EH133" s="100" t="n"/>
      <x:c r="EI133" s="100" t="n"/>
      <x:c r="EJ133" s="100" t="n"/>
      <x:c r="EK133" s="100" t="n"/>
      <x:c r="EL133" s="100" t="n"/>
      <x:c r="EM133" s="100" t="n"/>
      <x:c r="EN133" s="100" t="n"/>
      <x:c r="EO133" s="100" t="n"/>
      <x:c r="EP133" s="100" t="n"/>
      <x:c r="EQ133" s="100" t="n"/>
      <x:c r="ER133" s="100" t="n"/>
      <x:c r="ES133" s="100" t="n"/>
      <x:c r="ET133" s="100" t="n"/>
      <x:c r="EU133" s="100" t="n"/>
      <x:c r="EV133" s="100" t="n"/>
      <x:c r="EW133" s="100" t="n"/>
      <x:c r="EX133" s="100" t="n"/>
      <x:c r="EY133" s="100" t="n"/>
      <x:c r="EZ133" s="100" t="n"/>
      <x:c r="FA133" s="100" t="n"/>
      <x:c r="FB133" s="100" t="n"/>
      <x:c r="FC133" s="100" t="n"/>
      <x:c r="FD133" s="100" t="n"/>
      <x:c r="FE133" s="100" t="n"/>
      <x:c r="FF133" s="100" t="n"/>
      <x:c r="FG133" s="100" t="n"/>
      <x:c r="FH133" s="100" t="n"/>
      <x:c r="FI133" s="100" t="n"/>
      <x:c r="FJ133" s="100" t="n"/>
      <x:c r="FK133" s="100" t="n"/>
      <x:c r="FL133" s="100" t="n"/>
      <x:c r="FM133" s="100" t="n"/>
      <x:c r="FN133" s="100" t="n"/>
      <x:c r="FO133" s="100" t="n"/>
      <x:c r="FP133" s="100" t="n"/>
      <x:c r="FQ133" s="100" t="n"/>
      <x:c r="FR133" s="100" t="n"/>
      <x:c r="FS133" s="100" t="n"/>
      <x:c r="FT133" s="100" t="n"/>
      <x:c r="FU133" s="100" t="n"/>
      <x:c r="FV133" s="100" t="n"/>
      <x:c r="FW133" s="100" t="n"/>
      <x:c r="FX133" s="100" t="n"/>
      <x:c r="FY133" s="100" t="n"/>
      <x:c r="FZ133" s="100" t="n"/>
      <x:c r="GA133" s="100" t="n"/>
      <x:c r="GB133" s="100" t="n"/>
      <x:c r="GC133" s="100" t="n"/>
      <x:c r="GD133" s="100" t="n"/>
      <x:c r="GE133" s="100" t="n"/>
      <x:c r="GF133" s="100" t="n"/>
    </x:row>
    <x:row r="134" s="27" customFormat="1">
      <x:c r="A134" s="38" t="n"/>
      <x:c r="B134" s="37" t="n"/>
      <x:c r="C134" s="36" t="n">
        <x:f>E134*D$5</x:f>
        <x:v>0</x:v>
      </x:c>
      <x:c r="D134" s="20" t="n"/>
      <x:c r="E134" s="36" t="n">
        <x:f>SUM(G134:HT134)</x:f>
        <x:v>0</x:v>
      </x:c>
      <x:c r="M134" s="100" t="n"/>
      <x:c r="N134" s="100" t="n"/>
      <x:c r="O134" s="100" t="n"/>
      <x:c r="P134" s="100" t="n"/>
      <x:c r="Q134" s="100" t="n"/>
      <x:c r="R134" s="100" t="n"/>
      <x:c r="S134" s="100" t="n"/>
      <x:c r="T134" s="100" t="n"/>
      <x:c r="U134" s="100" t="n"/>
      <x:c r="V134" s="100" t="n"/>
      <x:c r="W134" s="100" t="n"/>
      <x:c r="X134" s="100" t="n"/>
      <x:c r="Y134" s="100" t="n"/>
      <x:c r="Z134" s="100" t="n"/>
      <x:c r="AA134" s="100" t="n"/>
      <x:c r="AB134" s="100" t="n"/>
      <x:c r="AC134" s="100" t="n"/>
      <x:c r="AD134" s="100" t="n"/>
      <x:c r="AE134" s="100" t="n"/>
      <x:c r="AF134" s="100" t="n"/>
      <x:c r="AG134" s="100" t="n"/>
      <x:c r="AH134" s="100" t="n"/>
      <x:c r="AI134" s="100" t="n"/>
      <x:c r="AJ134" s="100" t="n"/>
      <x:c r="AK134" s="100" t="n"/>
      <x:c r="AL134" s="100" t="n"/>
      <x:c r="AM134" s="100" t="n"/>
      <x:c r="AN134" s="100" t="n"/>
      <x:c r="AO134" s="100" t="n"/>
      <x:c r="AP134" s="100" t="n"/>
      <x:c r="AQ134" s="100" t="n"/>
      <x:c r="AR134" s="100" t="n"/>
      <x:c r="AS134" s="100" t="n"/>
      <x:c r="AT134" s="100" t="n"/>
      <x:c r="AU134" s="100" t="n"/>
      <x:c r="AV134" s="100" t="n"/>
      <x:c r="AW134" s="100" t="n"/>
      <x:c r="AX134" s="100" t="n"/>
      <x:c r="AY134" s="100" t="n"/>
      <x:c r="AZ134" s="100" t="n"/>
      <x:c r="BA134" s="100" t="n"/>
      <x:c r="BB134" s="100" t="n"/>
      <x:c r="BC134" s="100" t="n"/>
      <x:c r="BD134" s="100" t="n"/>
      <x:c r="BE134" s="100" t="n"/>
      <x:c r="BF134" s="100" t="n"/>
      <x:c r="BG134" s="100" t="n"/>
      <x:c r="BH134" s="100" t="n"/>
      <x:c r="BI134" s="100" t="n"/>
      <x:c r="BJ134" s="100" t="n"/>
      <x:c r="BK134" s="100" t="n"/>
      <x:c r="BL134" s="100" t="n"/>
      <x:c r="BM134" s="100" t="n"/>
      <x:c r="BN134" s="100" t="n"/>
      <x:c r="BO134" s="100" t="n"/>
      <x:c r="BP134" s="100" t="n"/>
      <x:c r="BQ134" s="100" t="n"/>
      <x:c r="BR134" s="100" t="n"/>
      <x:c r="BS134" s="100" t="n"/>
      <x:c r="BT134" s="100" t="n"/>
      <x:c r="BU134" s="100" t="n"/>
      <x:c r="BV134" s="100" t="n"/>
      <x:c r="BW134" s="100" t="n"/>
      <x:c r="BX134" s="100" t="n"/>
      <x:c r="BY134" s="100" t="n"/>
      <x:c r="BZ134" s="100" t="n"/>
      <x:c r="CA134" s="100" t="n"/>
      <x:c r="CB134" s="100" t="n"/>
      <x:c r="CC134" s="100" t="n"/>
      <x:c r="CD134" s="100" t="n"/>
      <x:c r="CE134" s="100" t="n"/>
      <x:c r="CF134" s="100" t="n"/>
      <x:c r="CG134" s="100" t="n"/>
      <x:c r="CH134" s="100" t="n"/>
      <x:c r="CI134" s="100" t="n"/>
      <x:c r="CJ134" s="100" t="n"/>
      <x:c r="CK134" s="100" t="n"/>
      <x:c r="CL134" s="100" t="n"/>
      <x:c r="CM134" s="100" t="n"/>
      <x:c r="CN134" s="100" t="n"/>
      <x:c r="CO134" s="100" t="n"/>
      <x:c r="CP134" s="100" t="n"/>
      <x:c r="CQ134" s="100" t="n"/>
      <x:c r="CR134" s="100" t="n"/>
      <x:c r="CS134" s="100" t="n"/>
      <x:c r="CT134" s="100" t="n"/>
      <x:c r="CU134" s="100" t="n"/>
      <x:c r="CV134" s="100" t="n"/>
      <x:c r="CW134" s="100" t="n"/>
      <x:c r="CX134" s="100" t="n"/>
      <x:c r="CY134" s="100" t="n"/>
      <x:c r="CZ134" s="100" t="n"/>
      <x:c r="DA134" s="100" t="n"/>
      <x:c r="DB134" s="100" t="n"/>
      <x:c r="DC134" s="100" t="n"/>
      <x:c r="DD134" s="100" t="n"/>
      <x:c r="DE134" s="100" t="n"/>
      <x:c r="DF134" s="100" t="n"/>
      <x:c r="DG134" s="100" t="n"/>
      <x:c r="DH134" s="100" t="n"/>
      <x:c r="DI134" s="100" t="n"/>
      <x:c r="DJ134" s="100" t="n"/>
      <x:c r="DK134" s="100" t="n"/>
      <x:c r="DL134" s="100" t="n"/>
      <x:c r="DM134" s="100" t="n"/>
      <x:c r="DN134" s="100" t="n"/>
      <x:c r="DO134" s="100" t="n"/>
      <x:c r="DP134" s="100" t="n"/>
      <x:c r="DQ134" s="100" t="n"/>
      <x:c r="DR134" s="100" t="n"/>
      <x:c r="DS134" s="100" t="n"/>
      <x:c r="DT134" s="100" t="n"/>
      <x:c r="DU134" s="100" t="n"/>
      <x:c r="DV134" s="100" t="n"/>
      <x:c r="DW134" s="100" t="n"/>
      <x:c r="DX134" s="100" t="n"/>
      <x:c r="DY134" s="100" t="n"/>
      <x:c r="DZ134" s="100" t="n"/>
      <x:c r="EA134" s="100" t="n"/>
      <x:c r="EB134" s="100" t="n"/>
      <x:c r="EC134" s="100" t="n"/>
      <x:c r="ED134" s="100" t="n"/>
      <x:c r="EE134" s="100" t="n"/>
      <x:c r="EF134" s="100" t="n"/>
      <x:c r="EG134" s="100" t="n"/>
      <x:c r="EH134" s="100" t="n"/>
      <x:c r="EI134" s="100" t="n"/>
      <x:c r="EJ134" s="100" t="n"/>
      <x:c r="EK134" s="100" t="n"/>
      <x:c r="EL134" s="100" t="n"/>
      <x:c r="EM134" s="100" t="n"/>
      <x:c r="EN134" s="100" t="n"/>
      <x:c r="EO134" s="100" t="n"/>
      <x:c r="EP134" s="100" t="n"/>
      <x:c r="EQ134" s="100" t="n"/>
      <x:c r="ER134" s="100" t="n"/>
      <x:c r="ES134" s="100" t="n"/>
      <x:c r="ET134" s="100" t="n"/>
      <x:c r="EU134" s="100" t="n"/>
      <x:c r="EV134" s="100" t="n"/>
      <x:c r="EW134" s="100" t="n"/>
      <x:c r="EX134" s="100" t="n"/>
      <x:c r="EY134" s="100" t="n"/>
      <x:c r="EZ134" s="100" t="n"/>
      <x:c r="FA134" s="100" t="n"/>
      <x:c r="FB134" s="100" t="n"/>
      <x:c r="FC134" s="100" t="n"/>
      <x:c r="FD134" s="100" t="n"/>
      <x:c r="FE134" s="100" t="n"/>
      <x:c r="FF134" s="100" t="n"/>
      <x:c r="FG134" s="100" t="n"/>
      <x:c r="FH134" s="100" t="n"/>
      <x:c r="FI134" s="100" t="n"/>
      <x:c r="FJ134" s="100" t="n"/>
      <x:c r="FK134" s="100" t="n"/>
      <x:c r="FL134" s="100" t="n"/>
      <x:c r="FM134" s="100" t="n"/>
      <x:c r="FN134" s="100" t="n"/>
      <x:c r="FO134" s="100" t="n"/>
      <x:c r="FP134" s="100" t="n"/>
      <x:c r="FQ134" s="100" t="n"/>
      <x:c r="FR134" s="100" t="n"/>
      <x:c r="FS134" s="100" t="n"/>
      <x:c r="FT134" s="100" t="n"/>
      <x:c r="FU134" s="100" t="n"/>
      <x:c r="FV134" s="100" t="n"/>
      <x:c r="FW134" s="100" t="n"/>
      <x:c r="FX134" s="100" t="n"/>
      <x:c r="FY134" s="100" t="n"/>
      <x:c r="FZ134" s="100" t="n"/>
      <x:c r="GA134" s="100" t="n"/>
      <x:c r="GB134" s="100" t="n"/>
      <x:c r="GC134" s="100" t="n"/>
      <x:c r="GD134" s="100" t="n"/>
      <x:c r="GE134" s="100" t="n"/>
      <x:c r="GF134" s="100" t="n"/>
    </x:row>
    <x:row r="135" s="27" customFormat="1">
      <x:c r="A135" s="38" t="n"/>
      <x:c r="B135" s="37" t="n"/>
      <x:c r="C135" s="36" t="n">
        <x:f>E135*D$5</x:f>
        <x:v>0</x:v>
      </x:c>
      <x:c r="D135" s="20" t="n"/>
      <x:c r="E135" s="36" t="n">
        <x:f>SUM(G135:HT135)</x:f>
        <x:v>0</x:v>
      </x:c>
      <x:c r="M135" s="100" t="n"/>
      <x:c r="N135" s="100" t="n"/>
      <x:c r="O135" s="100" t="n"/>
      <x:c r="P135" s="100" t="n"/>
      <x:c r="Q135" s="100" t="n"/>
      <x:c r="R135" s="100" t="n"/>
      <x:c r="S135" s="100" t="n"/>
      <x:c r="T135" s="100" t="n"/>
      <x:c r="U135" s="100" t="n"/>
      <x:c r="V135" s="100" t="n"/>
      <x:c r="W135" s="100" t="n"/>
      <x:c r="X135" s="100" t="n"/>
      <x:c r="Y135" s="100" t="n"/>
      <x:c r="Z135" s="100" t="n"/>
      <x:c r="AA135" s="100" t="n"/>
      <x:c r="AB135" s="100" t="n"/>
      <x:c r="AC135" s="100" t="n"/>
      <x:c r="AD135" s="100" t="n"/>
      <x:c r="AE135" s="100" t="n"/>
      <x:c r="AF135" s="100" t="n"/>
      <x:c r="AG135" s="100" t="n"/>
      <x:c r="AH135" s="100" t="n"/>
      <x:c r="AI135" s="100" t="n"/>
      <x:c r="AJ135" s="100" t="n"/>
      <x:c r="AK135" s="100" t="n"/>
      <x:c r="AL135" s="100" t="n"/>
      <x:c r="AM135" s="100" t="n"/>
      <x:c r="AN135" s="100" t="n"/>
      <x:c r="AO135" s="100" t="n"/>
      <x:c r="AP135" s="100" t="n"/>
      <x:c r="AQ135" s="100" t="n"/>
      <x:c r="AR135" s="100" t="n"/>
      <x:c r="AS135" s="100" t="n"/>
      <x:c r="AT135" s="100" t="n"/>
      <x:c r="AU135" s="100" t="n"/>
      <x:c r="AV135" s="100" t="n"/>
      <x:c r="AW135" s="100" t="n"/>
      <x:c r="AX135" s="100" t="n"/>
      <x:c r="AY135" s="100" t="n"/>
      <x:c r="AZ135" s="100" t="n"/>
      <x:c r="BA135" s="100" t="n"/>
      <x:c r="BB135" s="100" t="n"/>
      <x:c r="BC135" s="100" t="n"/>
      <x:c r="BD135" s="100" t="n"/>
      <x:c r="BE135" s="100" t="n"/>
      <x:c r="BF135" s="100" t="n"/>
      <x:c r="BG135" s="100" t="n"/>
      <x:c r="BH135" s="100" t="n"/>
      <x:c r="BI135" s="100" t="n"/>
      <x:c r="BJ135" s="100" t="n"/>
      <x:c r="BK135" s="100" t="n"/>
      <x:c r="BL135" s="100" t="n"/>
      <x:c r="BM135" s="100" t="n"/>
      <x:c r="BN135" s="100" t="n"/>
      <x:c r="BO135" s="100" t="n"/>
      <x:c r="BP135" s="100" t="n"/>
      <x:c r="BQ135" s="100" t="n"/>
      <x:c r="BR135" s="100" t="n"/>
      <x:c r="BS135" s="100" t="n"/>
      <x:c r="BT135" s="100" t="n"/>
      <x:c r="BU135" s="100" t="n"/>
      <x:c r="BV135" s="100" t="n"/>
      <x:c r="BW135" s="100" t="n"/>
      <x:c r="BX135" s="100" t="n"/>
      <x:c r="BY135" s="100" t="n"/>
      <x:c r="BZ135" s="100" t="n"/>
      <x:c r="CA135" s="100" t="n"/>
      <x:c r="CB135" s="100" t="n"/>
      <x:c r="CC135" s="100" t="n"/>
      <x:c r="CD135" s="100" t="n"/>
      <x:c r="CE135" s="100" t="n"/>
      <x:c r="CF135" s="100" t="n"/>
      <x:c r="CG135" s="100" t="n"/>
      <x:c r="CH135" s="100" t="n"/>
      <x:c r="CI135" s="100" t="n"/>
      <x:c r="CJ135" s="100" t="n"/>
      <x:c r="CK135" s="100" t="n"/>
      <x:c r="CL135" s="100" t="n"/>
      <x:c r="CM135" s="100" t="n"/>
      <x:c r="CN135" s="100" t="n"/>
      <x:c r="CO135" s="100" t="n"/>
      <x:c r="CP135" s="100" t="n"/>
      <x:c r="CQ135" s="100" t="n"/>
      <x:c r="CR135" s="100" t="n"/>
      <x:c r="CS135" s="100" t="n"/>
      <x:c r="CT135" s="100" t="n"/>
      <x:c r="CU135" s="100" t="n"/>
      <x:c r="CV135" s="100" t="n"/>
      <x:c r="CW135" s="100" t="n"/>
      <x:c r="CX135" s="100" t="n"/>
      <x:c r="CY135" s="100" t="n"/>
      <x:c r="CZ135" s="100" t="n"/>
      <x:c r="DA135" s="100" t="n"/>
      <x:c r="DB135" s="100" t="n"/>
      <x:c r="DC135" s="100" t="n"/>
      <x:c r="DD135" s="100" t="n"/>
      <x:c r="DE135" s="100" t="n"/>
      <x:c r="DF135" s="100" t="n"/>
      <x:c r="DG135" s="100" t="n"/>
      <x:c r="DH135" s="100" t="n"/>
      <x:c r="DI135" s="100" t="n"/>
      <x:c r="DJ135" s="100" t="n"/>
      <x:c r="DK135" s="100" t="n"/>
      <x:c r="DL135" s="100" t="n"/>
      <x:c r="DM135" s="100" t="n"/>
      <x:c r="DN135" s="100" t="n"/>
      <x:c r="DO135" s="100" t="n"/>
      <x:c r="DP135" s="100" t="n"/>
      <x:c r="DQ135" s="100" t="n"/>
      <x:c r="DR135" s="100" t="n"/>
      <x:c r="DS135" s="100" t="n"/>
      <x:c r="DT135" s="100" t="n"/>
      <x:c r="DU135" s="100" t="n"/>
      <x:c r="DV135" s="100" t="n"/>
      <x:c r="DW135" s="100" t="n"/>
      <x:c r="DX135" s="100" t="n"/>
      <x:c r="DY135" s="100" t="n"/>
      <x:c r="DZ135" s="100" t="n"/>
      <x:c r="EA135" s="100" t="n"/>
      <x:c r="EB135" s="100" t="n"/>
      <x:c r="EC135" s="100" t="n"/>
      <x:c r="ED135" s="100" t="n"/>
      <x:c r="EE135" s="100" t="n"/>
      <x:c r="EF135" s="100" t="n"/>
      <x:c r="EG135" s="100" t="n"/>
      <x:c r="EH135" s="100" t="n"/>
      <x:c r="EI135" s="100" t="n"/>
      <x:c r="EJ135" s="100" t="n"/>
      <x:c r="EK135" s="100" t="n"/>
      <x:c r="EL135" s="100" t="n"/>
      <x:c r="EM135" s="100" t="n"/>
      <x:c r="EN135" s="100" t="n"/>
      <x:c r="EO135" s="100" t="n"/>
      <x:c r="EP135" s="100" t="n"/>
      <x:c r="EQ135" s="100" t="n"/>
      <x:c r="ER135" s="100" t="n"/>
      <x:c r="ES135" s="100" t="n"/>
      <x:c r="ET135" s="100" t="n"/>
      <x:c r="EU135" s="100" t="n"/>
      <x:c r="EV135" s="100" t="n"/>
      <x:c r="EW135" s="100" t="n"/>
      <x:c r="EX135" s="100" t="n"/>
      <x:c r="EY135" s="100" t="n"/>
      <x:c r="EZ135" s="100" t="n"/>
      <x:c r="FA135" s="100" t="n"/>
      <x:c r="FB135" s="100" t="n"/>
      <x:c r="FC135" s="100" t="n"/>
      <x:c r="FD135" s="100" t="n"/>
      <x:c r="FE135" s="100" t="n"/>
      <x:c r="FF135" s="100" t="n"/>
      <x:c r="FG135" s="100" t="n"/>
      <x:c r="FH135" s="100" t="n"/>
      <x:c r="FI135" s="100" t="n"/>
      <x:c r="FJ135" s="100" t="n"/>
      <x:c r="FK135" s="100" t="n"/>
      <x:c r="FL135" s="100" t="n"/>
      <x:c r="FM135" s="100" t="n"/>
      <x:c r="FN135" s="100" t="n"/>
      <x:c r="FO135" s="100" t="n"/>
      <x:c r="FP135" s="100" t="n"/>
      <x:c r="FQ135" s="100" t="n"/>
      <x:c r="FR135" s="100" t="n"/>
      <x:c r="FS135" s="100" t="n"/>
      <x:c r="FT135" s="100" t="n"/>
      <x:c r="FU135" s="100" t="n"/>
      <x:c r="FV135" s="100" t="n"/>
      <x:c r="FW135" s="100" t="n"/>
      <x:c r="FX135" s="100" t="n"/>
      <x:c r="FY135" s="100" t="n"/>
      <x:c r="FZ135" s="100" t="n"/>
      <x:c r="GA135" s="100" t="n"/>
      <x:c r="GB135" s="100" t="n"/>
      <x:c r="GC135" s="100" t="n"/>
      <x:c r="GD135" s="100" t="n"/>
      <x:c r="GE135" s="100" t="n"/>
      <x:c r="GF135" s="100" t="n"/>
    </x:row>
    <x:row r="136" s="27" customFormat="1">
      <x:c r="A136" s="38" t="n"/>
      <x:c r="B136" s="37" t="n"/>
      <x:c r="C136" s="36" t="n">
        <x:f>E136*D$5</x:f>
        <x:v>0</x:v>
      </x:c>
      <x:c r="D136" s="20" t="n"/>
      <x:c r="E136" s="36" t="n">
        <x:f>SUM(G136:HT136)</x:f>
        <x:v>0</x:v>
      </x:c>
      <x:c r="M136" s="100" t="n"/>
      <x:c r="N136" s="100" t="n"/>
      <x:c r="O136" s="100" t="n"/>
      <x:c r="P136" s="100" t="n"/>
      <x:c r="Q136" s="100" t="n"/>
      <x:c r="R136" s="100" t="n"/>
      <x:c r="S136" s="100" t="n"/>
      <x:c r="T136" s="100" t="n"/>
      <x:c r="U136" s="100" t="n"/>
      <x:c r="V136" s="100" t="n"/>
      <x:c r="W136" s="100" t="n"/>
      <x:c r="X136" s="100" t="n"/>
      <x:c r="Y136" s="100" t="n"/>
      <x:c r="Z136" s="100" t="n"/>
      <x:c r="AA136" s="100" t="n"/>
      <x:c r="AB136" s="100" t="n"/>
      <x:c r="AC136" s="100" t="n"/>
      <x:c r="AD136" s="100" t="n"/>
      <x:c r="AE136" s="100" t="n"/>
      <x:c r="AF136" s="100" t="n"/>
      <x:c r="AG136" s="100" t="n"/>
      <x:c r="AH136" s="100" t="n"/>
      <x:c r="AI136" s="100" t="n"/>
      <x:c r="AJ136" s="100" t="n"/>
      <x:c r="AK136" s="100" t="n"/>
      <x:c r="AL136" s="100" t="n"/>
      <x:c r="AM136" s="100" t="n"/>
      <x:c r="AN136" s="100" t="n"/>
      <x:c r="AO136" s="100" t="n"/>
      <x:c r="AP136" s="100" t="n"/>
      <x:c r="AQ136" s="100" t="n"/>
      <x:c r="AR136" s="100" t="n"/>
      <x:c r="AS136" s="100" t="n"/>
      <x:c r="AT136" s="100" t="n"/>
      <x:c r="AU136" s="100" t="n"/>
      <x:c r="AV136" s="100" t="n"/>
      <x:c r="AW136" s="100" t="n"/>
      <x:c r="AX136" s="100" t="n"/>
      <x:c r="AY136" s="100" t="n"/>
      <x:c r="AZ136" s="100" t="n"/>
      <x:c r="BA136" s="100" t="n"/>
      <x:c r="BB136" s="100" t="n"/>
      <x:c r="BC136" s="100" t="n"/>
      <x:c r="BD136" s="100" t="n"/>
      <x:c r="BE136" s="100" t="n"/>
      <x:c r="BF136" s="100" t="n"/>
      <x:c r="BG136" s="100" t="n"/>
      <x:c r="BH136" s="100" t="n"/>
      <x:c r="BI136" s="100" t="n"/>
      <x:c r="BJ136" s="100" t="n"/>
      <x:c r="BK136" s="100" t="n"/>
      <x:c r="BL136" s="100" t="n"/>
      <x:c r="BM136" s="100" t="n"/>
      <x:c r="BN136" s="100" t="n"/>
      <x:c r="BO136" s="100" t="n"/>
      <x:c r="BP136" s="100" t="n"/>
      <x:c r="BQ136" s="100" t="n"/>
      <x:c r="BR136" s="100" t="n"/>
      <x:c r="BS136" s="100" t="n"/>
      <x:c r="BT136" s="100" t="n"/>
      <x:c r="BU136" s="100" t="n"/>
      <x:c r="BV136" s="100" t="n"/>
      <x:c r="BW136" s="100" t="n"/>
      <x:c r="BX136" s="100" t="n"/>
      <x:c r="BY136" s="100" t="n"/>
      <x:c r="BZ136" s="100" t="n"/>
      <x:c r="CA136" s="100" t="n"/>
      <x:c r="CB136" s="100" t="n"/>
      <x:c r="CC136" s="100" t="n"/>
      <x:c r="CD136" s="100" t="n"/>
      <x:c r="CE136" s="100" t="n"/>
      <x:c r="CF136" s="100" t="n"/>
      <x:c r="CG136" s="100" t="n"/>
      <x:c r="CH136" s="100" t="n"/>
      <x:c r="CI136" s="100" t="n"/>
      <x:c r="CJ136" s="100" t="n"/>
      <x:c r="CK136" s="100" t="n"/>
      <x:c r="CL136" s="100" t="n"/>
      <x:c r="CM136" s="100" t="n"/>
      <x:c r="CN136" s="100" t="n"/>
      <x:c r="CO136" s="100" t="n"/>
      <x:c r="CP136" s="100" t="n"/>
      <x:c r="CQ136" s="100" t="n"/>
      <x:c r="CR136" s="100" t="n"/>
      <x:c r="CS136" s="100" t="n"/>
      <x:c r="CT136" s="100" t="n"/>
      <x:c r="CU136" s="100" t="n"/>
      <x:c r="CV136" s="100" t="n"/>
      <x:c r="CW136" s="100" t="n"/>
      <x:c r="CX136" s="100" t="n"/>
      <x:c r="CY136" s="100" t="n"/>
      <x:c r="CZ136" s="100" t="n"/>
      <x:c r="DA136" s="100" t="n"/>
      <x:c r="DB136" s="100" t="n"/>
      <x:c r="DC136" s="100" t="n"/>
      <x:c r="DD136" s="100" t="n"/>
      <x:c r="DE136" s="100" t="n"/>
      <x:c r="DF136" s="100" t="n"/>
      <x:c r="DG136" s="100" t="n"/>
      <x:c r="DH136" s="100" t="n"/>
      <x:c r="DI136" s="100" t="n"/>
      <x:c r="DJ136" s="100" t="n"/>
      <x:c r="DK136" s="100" t="n"/>
      <x:c r="DL136" s="100" t="n"/>
      <x:c r="DM136" s="100" t="n"/>
      <x:c r="DN136" s="100" t="n"/>
      <x:c r="DO136" s="100" t="n"/>
      <x:c r="DP136" s="100" t="n"/>
      <x:c r="DQ136" s="100" t="n"/>
      <x:c r="DR136" s="100" t="n"/>
      <x:c r="DS136" s="100" t="n"/>
      <x:c r="DT136" s="100" t="n"/>
      <x:c r="DU136" s="100" t="n"/>
      <x:c r="DV136" s="100" t="n"/>
      <x:c r="DW136" s="100" t="n"/>
      <x:c r="DX136" s="100" t="n"/>
      <x:c r="DY136" s="100" t="n"/>
      <x:c r="DZ136" s="100" t="n"/>
      <x:c r="EA136" s="100" t="n"/>
      <x:c r="EB136" s="100" t="n"/>
      <x:c r="EC136" s="100" t="n"/>
      <x:c r="ED136" s="100" t="n"/>
      <x:c r="EE136" s="100" t="n"/>
      <x:c r="EF136" s="100" t="n"/>
      <x:c r="EG136" s="100" t="n"/>
      <x:c r="EH136" s="100" t="n"/>
      <x:c r="EI136" s="100" t="n"/>
      <x:c r="EJ136" s="100" t="n"/>
      <x:c r="EK136" s="100" t="n"/>
      <x:c r="EL136" s="100" t="n"/>
      <x:c r="EM136" s="100" t="n"/>
      <x:c r="EN136" s="100" t="n"/>
      <x:c r="EO136" s="100" t="n"/>
      <x:c r="EP136" s="100" t="n"/>
      <x:c r="EQ136" s="100" t="n"/>
      <x:c r="ER136" s="100" t="n"/>
      <x:c r="ES136" s="100" t="n"/>
      <x:c r="ET136" s="100" t="n"/>
      <x:c r="EU136" s="100" t="n"/>
      <x:c r="EV136" s="100" t="n"/>
      <x:c r="EW136" s="100" t="n"/>
      <x:c r="EX136" s="100" t="n"/>
      <x:c r="EY136" s="100" t="n"/>
      <x:c r="EZ136" s="100" t="n"/>
      <x:c r="FA136" s="100" t="n"/>
      <x:c r="FB136" s="100" t="n"/>
      <x:c r="FC136" s="100" t="n"/>
      <x:c r="FD136" s="100" t="n"/>
      <x:c r="FE136" s="100" t="n"/>
      <x:c r="FF136" s="100" t="n"/>
      <x:c r="FG136" s="100" t="n"/>
      <x:c r="FH136" s="100" t="n"/>
      <x:c r="FI136" s="100" t="n"/>
      <x:c r="FJ136" s="100" t="n"/>
      <x:c r="FK136" s="100" t="n"/>
      <x:c r="FL136" s="100" t="n"/>
      <x:c r="FM136" s="100" t="n"/>
      <x:c r="FN136" s="100" t="n"/>
      <x:c r="FO136" s="100" t="n"/>
      <x:c r="FP136" s="100" t="n"/>
      <x:c r="FQ136" s="100" t="n"/>
      <x:c r="FR136" s="100" t="n"/>
      <x:c r="FS136" s="100" t="n"/>
      <x:c r="FT136" s="100" t="n"/>
      <x:c r="FU136" s="100" t="n"/>
      <x:c r="FV136" s="100" t="n"/>
      <x:c r="FW136" s="100" t="n"/>
      <x:c r="FX136" s="100" t="n"/>
      <x:c r="FY136" s="100" t="n"/>
      <x:c r="FZ136" s="100" t="n"/>
      <x:c r="GA136" s="100" t="n"/>
      <x:c r="GB136" s="100" t="n"/>
      <x:c r="GC136" s="100" t="n"/>
      <x:c r="GD136" s="100" t="n"/>
      <x:c r="GE136" s="100" t="n"/>
      <x:c r="GF136" s="100" t="n"/>
    </x:row>
    <x:row r="137" s="27" customFormat="1">
      <x:c r="A137" s="38" t="n"/>
      <x:c r="B137" s="37" t="n"/>
      <x:c r="C137" s="36" t="n">
        <x:f>E137*D$5</x:f>
        <x:v>0</x:v>
      </x:c>
      <x:c r="D137" s="20" t="n"/>
      <x:c r="E137" s="36" t="n">
        <x:f>SUM(G137:HT137)</x:f>
        <x:v>0</x:v>
      </x:c>
      <x:c r="M137" s="100" t="n"/>
      <x:c r="N137" s="100" t="n"/>
      <x:c r="O137" s="100" t="n"/>
      <x:c r="P137" s="100" t="n"/>
      <x:c r="Q137" s="100" t="n"/>
      <x:c r="R137" s="100" t="n"/>
      <x:c r="S137" s="100" t="n"/>
      <x:c r="T137" s="100" t="n"/>
      <x:c r="U137" s="100" t="n"/>
      <x:c r="V137" s="100" t="n"/>
      <x:c r="W137" s="100" t="n"/>
      <x:c r="X137" s="100" t="n"/>
      <x:c r="Y137" s="100" t="n"/>
      <x:c r="Z137" s="100" t="n"/>
      <x:c r="AA137" s="100" t="n"/>
      <x:c r="AB137" s="100" t="n"/>
      <x:c r="AC137" s="100" t="n"/>
      <x:c r="AD137" s="100" t="n"/>
      <x:c r="AE137" s="100" t="n"/>
      <x:c r="AF137" s="100" t="n"/>
      <x:c r="AG137" s="100" t="n"/>
      <x:c r="AH137" s="100" t="n"/>
      <x:c r="AI137" s="100" t="n"/>
      <x:c r="AJ137" s="100" t="n"/>
      <x:c r="AK137" s="100" t="n"/>
      <x:c r="AL137" s="100" t="n"/>
      <x:c r="AM137" s="100" t="n"/>
      <x:c r="AN137" s="100" t="n"/>
      <x:c r="AO137" s="100" t="n"/>
      <x:c r="AP137" s="100" t="n"/>
      <x:c r="AQ137" s="100" t="n"/>
      <x:c r="AR137" s="100" t="n"/>
      <x:c r="AS137" s="100" t="n"/>
      <x:c r="AT137" s="100" t="n"/>
      <x:c r="AU137" s="100" t="n"/>
      <x:c r="AV137" s="100" t="n"/>
      <x:c r="AW137" s="100" t="n"/>
      <x:c r="AX137" s="100" t="n"/>
      <x:c r="AY137" s="100" t="n"/>
      <x:c r="AZ137" s="100" t="n"/>
      <x:c r="BA137" s="100" t="n"/>
      <x:c r="BB137" s="100" t="n"/>
      <x:c r="BC137" s="100" t="n"/>
      <x:c r="BD137" s="100" t="n"/>
      <x:c r="BE137" s="100" t="n"/>
      <x:c r="BF137" s="100" t="n"/>
      <x:c r="BG137" s="100" t="n"/>
      <x:c r="BH137" s="100" t="n"/>
      <x:c r="BI137" s="100" t="n"/>
      <x:c r="BJ137" s="100" t="n"/>
      <x:c r="BK137" s="100" t="n"/>
      <x:c r="BL137" s="100" t="n"/>
      <x:c r="BM137" s="100" t="n"/>
      <x:c r="BN137" s="100" t="n"/>
      <x:c r="BO137" s="100" t="n"/>
      <x:c r="BP137" s="100" t="n"/>
      <x:c r="BQ137" s="100" t="n"/>
      <x:c r="BR137" s="100" t="n"/>
      <x:c r="BS137" s="100" t="n"/>
      <x:c r="BT137" s="100" t="n"/>
      <x:c r="BU137" s="100" t="n"/>
      <x:c r="BV137" s="100" t="n"/>
      <x:c r="BW137" s="100" t="n"/>
      <x:c r="BX137" s="100" t="n"/>
      <x:c r="BY137" s="100" t="n"/>
      <x:c r="BZ137" s="100" t="n"/>
      <x:c r="CA137" s="100" t="n"/>
      <x:c r="CB137" s="100" t="n"/>
      <x:c r="CC137" s="100" t="n"/>
      <x:c r="CD137" s="100" t="n"/>
      <x:c r="CE137" s="100" t="n"/>
      <x:c r="CF137" s="100" t="n"/>
      <x:c r="CG137" s="100" t="n"/>
      <x:c r="CH137" s="100" t="n"/>
      <x:c r="CI137" s="100" t="n"/>
      <x:c r="CJ137" s="100" t="n"/>
      <x:c r="CK137" s="100" t="n"/>
      <x:c r="CL137" s="100" t="n"/>
      <x:c r="CM137" s="100" t="n"/>
      <x:c r="CN137" s="100" t="n"/>
      <x:c r="CO137" s="100" t="n"/>
      <x:c r="CP137" s="100" t="n"/>
      <x:c r="CQ137" s="100" t="n"/>
      <x:c r="CR137" s="100" t="n"/>
      <x:c r="CS137" s="100" t="n"/>
      <x:c r="CT137" s="100" t="n"/>
      <x:c r="CU137" s="100" t="n"/>
      <x:c r="CV137" s="100" t="n"/>
      <x:c r="CW137" s="100" t="n"/>
      <x:c r="CX137" s="100" t="n"/>
      <x:c r="CY137" s="100" t="n"/>
      <x:c r="CZ137" s="100" t="n"/>
      <x:c r="DA137" s="100" t="n"/>
      <x:c r="DB137" s="100" t="n"/>
      <x:c r="DC137" s="100" t="n"/>
      <x:c r="DD137" s="100" t="n"/>
      <x:c r="DE137" s="100" t="n"/>
      <x:c r="DF137" s="100" t="n"/>
      <x:c r="DG137" s="100" t="n"/>
      <x:c r="DH137" s="100" t="n"/>
      <x:c r="DI137" s="100" t="n"/>
      <x:c r="DJ137" s="100" t="n"/>
      <x:c r="DK137" s="100" t="n"/>
      <x:c r="DL137" s="100" t="n"/>
      <x:c r="DM137" s="100" t="n"/>
      <x:c r="DN137" s="100" t="n"/>
      <x:c r="DO137" s="100" t="n"/>
      <x:c r="DP137" s="100" t="n"/>
      <x:c r="DQ137" s="100" t="n"/>
      <x:c r="DR137" s="100" t="n"/>
      <x:c r="DS137" s="100" t="n"/>
      <x:c r="DT137" s="100" t="n"/>
      <x:c r="DU137" s="100" t="n"/>
      <x:c r="DV137" s="100" t="n"/>
      <x:c r="DW137" s="100" t="n"/>
      <x:c r="DX137" s="100" t="n"/>
      <x:c r="DY137" s="100" t="n"/>
      <x:c r="DZ137" s="100" t="n"/>
      <x:c r="EA137" s="100" t="n"/>
      <x:c r="EB137" s="100" t="n"/>
      <x:c r="EC137" s="100" t="n"/>
      <x:c r="ED137" s="100" t="n"/>
      <x:c r="EE137" s="100" t="n"/>
      <x:c r="EF137" s="100" t="n"/>
      <x:c r="EG137" s="100" t="n"/>
      <x:c r="EH137" s="100" t="n"/>
      <x:c r="EI137" s="100" t="n"/>
      <x:c r="EJ137" s="100" t="n"/>
      <x:c r="EK137" s="100" t="n"/>
      <x:c r="EL137" s="100" t="n"/>
      <x:c r="EM137" s="100" t="n"/>
      <x:c r="EN137" s="100" t="n"/>
      <x:c r="EO137" s="100" t="n"/>
      <x:c r="EP137" s="100" t="n"/>
      <x:c r="EQ137" s="100" t="n"/>
      <x:c r="ER137" s="100" t="n"/>
      <x:c r="ES137" s="100" t="n"/>
      <x:c r="ET137" s="100" t="n"/>
      <x:c r="EU137" s="100" t="n"/>
      <x:c r="EV137" s="100" t="n"/>
      <x:c r="EW137" s="100" t="n"/>
      <x:c r="EX137" s="100" t="n"/>
      <x:c r="EY137" s="100" t="n"/>
      <x:c r="EZ137" s="100" t="n"/>
      <x:c r="FA137" s="100" t="n"/>
      <x:c r="FB137" s="100" t="n"/>
      <x:c r="FC137" s="100" t="n"/>
      <x:c r="FD137" s="100" t="n"/>
      <x:c r="FE137" s="100" t="n"/>
      <x:c r="FF137" s="100" t="n"/>
      <x:c r="FG137" s="100" t="n"/>
      <x:c r="FH137" s="100" t="n"/>
      <x:c r="FI137" s="100" t="n"/>
      <x:c r="FJ137" s="100" t="n"/>
      <x:c r="FK137" s="100" t="n"/>
      <x:c r="FL137" s="100" t="n"/>
      <x:c r="FM137" s="100" t="n"/>
      <x:c r="FN137" s="100" t="n"/>
      <x:c r="FO137" s="100" t="n"/>
      <x:c r="FP137" s="100" t="n"/>
      <x:c r="FQ137" s="100" t="n"/>
      <x:c r="FR137" s="100" t="n"/>
      <x:c r="FS137" s="100" t="n"/>
      <x:c r="FT137" s="100" t="n"/>
      <x:c r="FU137" s="100" t="n"/>
      <x:c r="FV137" s="100" t="n"/>
      <x:c r="FW137" s="100" t="n"/>
      <x:c r="FX137" s="100" t="n"/>
      <x:c r="FY137" s="100" t="n"/>
      <x:c r="FZ137" s="100" t="n"/>
      <x:c r="GA137" s="100" t="n"/>
      <x:c r="GB137" s="100" t="n"/>
      <x:c r="GC137" s="100" t="n"/>
      <x:c r="GD137" s="100" t="n"/>
      <x:c r="GE137" s="100" t="n"/>
      <x:c r="GF137" s="100" t="n"/>
    </x:row>
    <x:row r="138" s="27" customFormat="1">
      <x:c r="A138" s="38" t="n"/>
      <x:c r="B138" s="37" t="n"/>
      <x:c r="C138" s="36" t="n">
        <x:f>E138*D$5</x:f>
        <x:v>0</x:v>
      </x:c>
      <x:c r="D138" s="20" t="n"/>
      <x:c r="E138" s="36" t="n">
        <x:f>SUM(G138:HT138)</x:f>
        <x:v>0</x:v>
      </x:c>
      <x:c r="M138" s="100" t="n"/>
      <x:c r="N138" s="100" t="n"/>
      <x:c r="O138" s="100" t="n"/>
      <x:c r="P138" s="100" t="n"/>
      <x:c r="Q138" s="100" t="n"/>
      <x:c r="R138" s="100" t="n"/>
      <x:c r="S138" s="100" t="n"/>
      <x:c r="T138" s="100" t="n"/>
      <x:c r="U138" s="100" t="n"/>
      <x:c r="V138" s="100" t="n"/>
      <x:c r="W138" s="100" t="n"/>
      <x:c r="X138" s="100" t="n"/>
      <x:c r="Y138" s="100" t="n"/>
      <x:c r="Z138" s="100" t="n"/>
      <x:c r="AA138" s="100" t="n"/>
      <x:c r="AB138" s="100" t="n"/>
      <x:c r="AC138" s="100" t="n"/>
      <x:c r="AD138" s="100" t="n"/>
      <x:c r="AE138" s="100" t="n"/>
      <x:c r="AF138" s="100" t="n"/>
      <x:c r="AG138" s="100" t="n"/>
      <x:c r="AH138" s="100" t="n"/>
      <x:c r="AI138" s="100" t="n"/>
      <x:c r="AJ138" s="100" t="n"/>
      <x:c r="AK138" s="100" t="n"/>
      <x:c r="AL138" s="100" t="n"/>
      <x:c r="AM138" s="100" t="n"/>
      <x:c r="AN138" s="100" t="n"/>
      <x:c r="AO138" s="100" t="n"/>
      <x:c r="AP138" s="100" t="n"/>
      <x:c r="AQ138" s="100" t="n"/>
      <x:c r="AR138" s="100" t="n"/>
      <x:c r="AS138" s="100" t="n"/>
      <x:c r="AT138" s="100" t="n"/>
      <x:c r="AU138" s="100" t="n"/>
      <x:c r="AV138" s="100" t="n"/>
      <x:c r="AW138" s="100" t="n"/>
      <x:c r="AX138" s="100" t="n"/>
      <x:c r="AY138" s="100" t="n"/>
      <x:c r="AZ138" s="100" t="n"/>
      <x:c r="BA138" s="100" t="n"/>
      <x:c r="BB138" s="100" t="n"/>
      <x:c r="BC138" s="100" t="n"/>
      <x:c r="BD138" s="100" t="n"/>
      <x:c r="BE138" s="100" t="n"/>
      <x:c r="BF138" s="100" t="n"/>
      <x:c r="BG138" s="100" t="n"/>
      <x:c r="BH138" s="100" t="n"/>
      <x:c r="BI138" s="100" t="n"/>
      <x:c r="BJ138" s="100" t="n"/>
      <x:c r="BK138" s="100" t="n"/>
      <x:c r="BL138" s="100" t="n"/>
      <x:c r="BM138" s="100" t="n"/>
      <x:c r="BN138" s="100" t="n"/>
      <x:c r="BO138" s="100" t="n"/>
      <x:c r="BP138" s="100" t="n"/>
      <x:c r="BQ138" s="100" t="n"/>
      <x:c r="BR138" s="100" t="n"/>
      <x:c r="BS138" s="100" t="n"/>
      <x:c r="BT138" s="100" t="n"/>
      <x:c r="BU138" s="100" t="n"/>
      <x:c r="BV138" s="100" t="n"/>
      <x:c r="BW138" s="100" t="n"/>
      <x:c r="BX138" s="100" t="n"/>
      <x:c r="BY138" s="100" t="n"/>
      <x:c r="BZ138" s="100" t="n"/>
      <x:c r="CA138" s="100" t="n"/>
      <x:c r="CB138" s="100" t="n"/>
      <x:c r="CC138" s="100" t="n"/>
      <x:c r="CD138" s="100" t="n"/>
      <x:c r="CE138" s="100" t="n"/>
      <x:c r="CF138" s="100" t="n"/>
      <x:c r="CG138" s="100" t="n"/>
      <x:c r="CH138" s="100" t="n"/>
      <x:c r="CI138" s="100" t="n"/>
      <x:c r="CJ138" s="100" t="n"/>
      <x:c r="CK138" s="100" t="n"/>
      <x:c r="CL138" s="100" t="n"/>
      <x:c r="CM138" s="100" t="n"/>
      <x:c r="CN138" s="100" t="n"/>
      <x:c r="CO138" s="100" t="n"/>
      <x:c r="CP138" s="100" t="n"/>
      <x:c r="CQ138" s="100" t="n"/>
      <x:c r="CR138" s="100" t="n"/>
      <x:c r="CS138" s="100" t="n"/>
      <x:c r="CT138" s="100" t="n"/>
      <x:c r="CU138" s="100" t="n"/>
      <x:c r="CV138" s="100" t="n"/>
      <x:c r="CW138" s="100" t="n"/>
      <x:c r="CX138" s="100" t="n"/>
      <x:c r="CY138" s="100" t="n"/>
      <x:c r="CZ138" s="100" t="n"/>
      <x:c r="DA138" s="100" t="n"/>
      <x:c r="DB138" s="100" t="n"/>
      <x:c r="DC138" s="100" t="n"/>
      <x:c r="DD138" s="100" t="n"/>
      <x:c r="DE138" s="100" t="n"/>
      <x:c r="DF138" s="100" t="n"/>
      <x:c r="DG138" s="100" t="n"/>
      <x:c r="DH138" s="100" t="n"/>
      <x:c r="DI138" s="100" t="n"/>
      <x:c r="DJ138" s="100" t="n"/>
      <x:c r="DK138" s="100" t="n"/>
      <x:c r="DL138" s="100" t="n"/>
      <x:c r="DM138" s="100" t="n"/>
      <x:c r="DN138" s="100" t="n"/>
      <x:c r="DO138" s="100" t="n"/>
      <x:c r="DP138" s="100" t="n"/>
      <x:c r="DQ138" s="100" t="n"/>
      <x:c r="DR138" s="100" t="n"/>
      <x:c r="DS138" s="100" t="n"/>
      <x:c r="DT138" s="100" t="n"/>
      <x:c r="DU138" s="100" t="n"/>
      <x:c r="DV138" s="100" t="n"/>
      <x:c r="DW138" s="100" t="n"/>
      <x:c r="DX138" s="100" t="n"/>
      <x:c r="DY138" s="100" t="n"/>
      <x:c r="DZ138" s="100" t="n"/>
      <x:c r="EA138" s="100" t="n"/>
      <x:c r="EB138" s="100" t="n"/>
      <x:c r="EC138" s="100" t="n"/>
      <x:c r="ED138" s="100" t="n"/>
      <x:c r="EE138" s="100" t="n"/>
      <x:c r="EF138" s="100" t="n"/>
      <x:c r="EG138" s="100" t="n"/>
      <x:c r="EH138" s="100" t="n"/>
      <x:c r="EI138" s="100" t="n"/>
      <x:c r="EJ138" s="100" t="n"/>
      <x:c r="EK138" s="100" t="n"/>
      <x:c r="EL138" s="100" t="n"/>
      <x:c r="EM138" s="100" t="n"/>
      <x:c r="EN138" s="100" t="n"/>
      <x:c r="EO138" s="100" t="n"/>
      <x:c r="EP138" s="100" t="n"/>
      <x:c r="EQ138" s="100" t="n"/>
      <x:c r="ER138" s="100" t="n"/>
      <x:c r="ES138" s="100" t="n"/>
      <x:c r="ET138" s="100" t="n"/>
      <x:c r="EU138" s="100" t="n"/>
      <x:c r="EV138" s="100" t="n"/>
      <x:c r="EW138" s="100" t="n"/>
      <x:c r="EX138" s="100" t="n"/>
      <x:c r="EY138" s="100" t="n"/>
      <x:c r="EZ138" s="100" t="n"/>
      <x:c r="FA138" s="100" t="n"/>
      <x:c r="FB138" s="100" t="n"/>
      <x:c r="FC138" s="100" t="n"/>
      <x:c r="FD138" s="100" t="n"/>
      <x:c r="FE138" s="100" t="n"/>
      <x:c r="FF138" s="100" t="n"/>
      <x:c r="FG138" s="100" t="n"/>
      <x:c r="FH138" s="100" t="n"/>
      <x:c r="FI138" s="100" t="n"/>
      <x:c r="FJ138" s="100" t="n"/>
      <x:c r="FK138" s="100" t="n"/>
      <x:c r="FL138" s="100" t="n"/>
      <x:c r="FM138" s="100" t="n"/>
      <x:c r="FN138" s="100" t="n"/>
      <x:c r="FO138" s="100" t="n"/>
      <x:c r="FP138" s="100" t="n"/>
      <x:c r="FQ138" s="100" t="n"/>
      <x:c r="FR138" s="100" t="n"/>
      <x:c r="FS138" s="100" t="n"/>
      <x:c r="FT138" s="100" t="n"/>
      <x:c r="FU138" s="100" t="n"/>
      <x:c r="FV138" s="100" t="n"/>
      <x:c r="FW138" s="100" t="n"/>
      <x:c r="FX138" s="100" t="n"/>
      <x:c r="FY138" s="100" t="n"/>
      <x:c r="FZ138" s="100" t="n"/>
      <x:c r="GA138" s="100" t="n"/>
      <x:c r="GB138" s="100" t="n"/>
      <x:c r="GC138" s="100" t="n"/>
      <x:c r="GD138" s="100" t="n"/>
      <x:c r="GE138" s="100" t="n"/>
      <x:c r="GF138" s="100" t="n"/>
    </x:row>
    <x:row r="139" s="27" customFormat="1">
      <x:c r="A139" s="38" t="n"/>
      <x:c r="B139" s="37" t="n"/>
      <x:c r="C139" s="36" t="n">
        <x:f>E139*D$5</x:f>
        <x:v>0</x:v>
      </x:c>
      <x:c r="D139" s="20" t="n"/>
      <x:c r="E139" s="36" t="n">
        <x:f>SUM(G139:HT139)</x:f>
        <x:v>0</x:v>
      </x:c>
      <x:c r="M139" s="100" t="n"/>
      <x:c r="N139" s="100" t="n"/>
      <x:c r="O139" s="100" t="n"/>
      <x:c r="P139" s="100" t="n"/>
      <x:c r="Q139" s="100" t="n"/>
      <x:c r="R139" s="100" t="n"/>
      <x:c r="S139" s="100" t="n"/>
      <x:c r="T139" s="100" t="n"/>
      <x:c r="U139" s="100" t="n"/>
      <x:c r="V139" s="100" t="n"/>
      <x:c r="W139" s="100" t="n"/>
      <x:c r="X139" s="100" t="n"/>
      <x:c r="Y139" s="100" t="n"/>
      <x:c r="Z139" s="100" t="n"/>
      <x:c r="AA139" s="100" t="n"/>
      <x:c r="AB139" s="100" t="n"/>
      <x:c r="AC139" s="100" t="n"/>
      <x:c r="AD139" s="100" t="n"/>
      <x:c r="AE139" s="100" t="n"/>
      <x:c r="AF139" s="100" t="n"/>
      <x:c r="AG139" s="100" t="n"/>
      <x:c r="AH139" s="100" t="n"/>
      <x:c r="AI139" s="100" t="n"/>
      <x:c r="AJ139" s="100" t="n"/>
      <x:c r="AK139" s="100" t="n"/>
      <x:c r="AL139" s="100" t="n"/>
      <x:c r="AM139" s="100" t="n"/>
      <x:c r="AN139" s="100" t="n"/>
      <x:c r="AO139" s="100" t="n"/>
      <x:c r="AP139" s="100" t="n"/>
      <x:c r="AQ139" s="100" t="n"/>
      <x:c r="AR139" s="100" t="n"/>
      <x:c r="AS139" s="100" t="n"/>
      <x:c r="AT139" s="100" t="n"/>
      <x:c r="AU139" s="100" t="n"/>
      <x:c r="AV139" s="100" t="n"/>
      <x:c r="AW139" s="100" t="n"/>
      <x:c r="AX139" s="100" t="n"/>
      <x:c r="AY139" s="100" t="n"/>
      <x:c r="AZ139" s="100" t="n"/>
      <x:c r="BA139" s="100" t="n"/>
      <x:c r="BB139" s="100" t="n"/>
      <x:c r="BC139" s="100" t="n"/>
      <x:c r="BD139" s="100" t="n"/>
      <x:c r="BE139" s="100" t="n"/>
      <x:c r="BF139" s="100" t="n"/>
      <x:c r="BG139" s="100" t="n"/>
      <x:c r="BH139" s="100" t="n"/>
      <x:c r="BI139" s="100" t="n"/>
      <x:c r="BJ139" s="100" t="n"/>
      <x:c r="BK139" s="100" t="n"/>
      <x:c r="BL139" s="100" t="n"/>
      <x:c r="BM139" s="100" t="n"/>
      <x:c r="BN139" s="100" t="n"/>
      <x:c r="BO139" s="100" t="n"/>
      <x:c r="BP139" s="100" t="n"/>
      <x:c r="BQ139" s="100" t="n"/>
      <x:c r="BR139" s="100" t="n"/>
      <x:c r="BS139" s="100" t="n"/>
      <x:c r="BT139" s="100" t="n"/>
      <x:c r="BU139" s="100" t="n"/>
      <x:c r="BV139" s="100" t="n"/>
      <x:c r="BW139" s="100" t="n"/>
      <x:c r="BX139" s="100" t="n"/>
      <x:c r="BY139" s="100" t="n"/>
      <x:c r="BZ139" s="100" t="n"/>
      <x:c r="CA139" s="100" t="n"/>
      <x:c r="CB139" s="100" t="n"/>
      <x:c r="CC139" s="100" t="n"/>
      <x:c r="CD139" s="100" t="n"/>
      <x:c r="CE139" s="100" t="n"/>
      <x:c r="CF139" s="100" t="n"/>
      <x:c r="CG139" s="100" t="n"/>
      <x:c r="CH139" s="100" t="n"/>
      <x:c r="CI139" s="100" t="n"/>
      <x:c r="CJ139" s="100" t="n"/>
      <x:c r="CK139" s="100" t="n"/>
      <x:c r="CL139" s="100" t="n"/>
      <x:c r="CM139" s="100" t="n"/>
      <x:c r="CN139" s="100" t="n"/>
      <x:c r="CO139" s="100" t="n"/>
      <x:c r="CP139" s="100" t="n"/>
      <x:c r="CQ139" s="100" t="n"/>
      <x:c r="CR139" s="100" t="n"/>
      <x:c r="CS139" s="100" t="n"/>
      <x:c r="CT139" s="100" t="n"/>
      <x:c r="CU139" s="100" t="n"/>
      <x:c r="CV139" s="100" t="n"/>
      <x:c r="CW139" s="100" t="n"/>
      <x:c r="CX139" s="100" t="n"/>
      <x:c r="CY139" s="100" t="n"/>
      <x:c r="CZ139" s="100" t="n"/>
      <x:c r="DA139" s="100" t="n"/>
      <x:c r="DB139" s="100" t="n"/>
      <x:c r="DC139" s="100" t="n"/>
      <x:c r="DD139" s="100" t="n"/>
      <x:c r="DE139" s="100" t="n"/>
      <x:c r="DF139" s="100" t="n"/>
      <x:c r="DG139" s="100" t="n"/>
      <x:c r="DH139" s="100" t="n"/>
      <x:c r="DI139" s="100" t="n"/>
      <x:c r="DJ139" s="100" t="n"/>
      <x:c r="DK139" s="100" t="n"/>
      <x:c r="DL139" s="100" t="n"/>
      <x:c r="DM139" s="100" t="n"/>
      <x:c r="DN139" s="100" t="n"/>
      <x:c r="DO139" s="100" t="n"/>
      <x:c r="DP139" s="100" t="n"/>
      <x:c r="DQ139" s="100" t="n"/>
      <x:c r="DR139" s="100" t="n"/>
      <x:c r="DS139" s="100" t="n"/>
      <x:c r="DT139" s="100" t="n"/>
      <x:c r="DU139" s="100" t="n"/>
      <x:c r="DV139" s="100" t="n"/>
      <x:c r="DW139" s="100" t="n"/>
      <x:c r="DX139" s="100" t="n"/>
      <x:c r="DY139" s="100" t="n"/>
      <x:c r="DZ139" s="100" t="n"/>
      <x:c r="EA139" s="100" t="n"/>
      <x:c r="EB139" s="100" t="n"/>
      <x:c r="EC139" s="100" t="n"/>
      <x:c r="ED139" s="100" t="n"/>
      <x:c r="EE139" s="100" t="n"/>
      <x:c r="EF139" s="100" t="n"/>
      <x:c r="EG139" s="100" t="n"/>
      <x:c r="EH139" s="100" t="n"/>
      <x:c r="EI139" s="100" t="n"/>
      <x:c r="EJ139" s="100" t="n"/>
      <x:c r="EK139" s="100" t="n"/>
      <x:c r="EL139" s="100" t="n"/>
      <x:c r="EM139" s="100" t="n"/>
      <x:c r="EN139" s="100" t="n"/>
      <x:c r="EO139" s="100" t="n"/>
      <x:c r="EP139" s="100" t="n"/>
      <x:c r="EQ139" s="100" t="n"/>
      <x:c r="ER139" s="100" t="n"/>
      <x:c r="ES139" s="100" t="n"/>
      <x:c r="ET139" s="100" t="n"/>
      <x:c r="EU139" s="100" t="n"/>
      <x:c r="EV139" s="100" t="n"/>
      <x:c r="EW139" s="100" t="n"/>
      <x:c r="EX139" s="100" t="n"/>
      <x:c r="EY139" s="100" t="n"/>
      <x:c r="EZ139" s="100" t="n"/>
      <x:c r="FA139" s="100" t="n"/>
      <x:c r="FB139" s="100" t="n"/>
      <x:c r="FC139" s="100" t="n"/>
      <x:c r="FD139" s="100" t="n"/>
      <x:c r="FE139" s="100" t="n"/>
      <x:c r="FF139" s="100" t="n"/>
      <x:c r="FG139" s="100" t="n"/>
      <x:c r="FH139" s="100" t="n"/>
      <x:c r="FI139" s="100" t="n"/>
      <x:c r="FJ139" s="100" t="n"/>
      <x:c r="FK139" s="100" t="n"/>
      <x:c r="FL139" s="100" t="n"/>
      <x:c r="FM139" s="100" t="n"/>
      <x:c r="FN139" s="100" t="n"/>
      <x:c r="FO139" s="100" t="n"/>
      <x:c r="FP139" s="100" t="n"/>
      <x:c r="FQ139" s="100" t="n"/>
      <x:c r="FR139" s="100" t="n"/>
      <x:c r="FS139" s="100" t="n"/>
      <x:c r="FT139" s="100" t="n"/>
      <x:c r="FU139" s="100" t="n"/>
      <x:c r="FV139" s="100" t="n"/>
      <x:c r="FW139" s="100" t="n"/>
      <x:c r="FX139" s="100" t="n"/>
      <x:c r="FY139" s="100" t="n"/>
      <x:c r="FZ139" s="100" t="n"/>
      <x:c r="GA139" s="100" t="n"/>
      <x:c r="GB139" s="100" t="n"/>
      <x:c r="GC139" s="100" t="n"/>
      <x:c r="GD139" s="100" t="n"/>
      <x:c r="GE139" s="100" t="n"/>
      <x:c r="GF139" s="100" t="n"/>
    </x:row>
    <x:row r="140" s="27" customFormat="1">
      <x:c r="A140" s="38" t="n"/>
      <x:c r="B140" s="37" t="n"/>
      <x:c r="C140" s="36" t="n">
        <x:f>E140*D$5</x:f>
        <x:v>0</x:v>
      </x:c>
      <x:c r="D140" s="20" t="n"/>
      <x:c r="E140" s="36" t="n">
        <x:f>SUM(G140:HT140)</x:f>
        <x:v>0</x:v>
      </x:c>
      <x:c r="M140" s="100" t="n"/>
      <x:c r="N140" s="100" t="n"/>
      <x:c r="O140" s="100" t="n"/>
      <x:c r="P140" s="100" t="n"/>
      <x:c r="Q140" s="100" t="n"/>
      <x:c r="R140" s="100" t="n"/>
      <x:c r="S140" s="100" t="n"/>
      <x:c r="T140" s="100" t="n"/>
      <x:c r="U140" s="100" t="n"/>
      <x:c r="V140" s="100" t="n"/>
      <x:c r="W140" s="100" t="n"/>
      <x:c r="X140" s="100" t="n"/>
      <x:c r="Y140" s="100" t="n"/>
      <x:c r="Z140" s="100" t="n"/>
      <x:c r="AA140" s="100" t="n"/>
      <x:c r="AB140" s="100" t="n"/>
      <x:c r="AC140" s="100" t="n"/>
      <x:c r="AD140" s="100" t="n"/>
      <x:c r="AE140" s="100" t="n"/>
      <x:c r="AF140" s="100" t="n"/>
      <x:c r="AG140" s="100" t="n"/>
      <x:c r="AH140" s="100" t="n"/>
      <x:c r="AI140" s="100" t="n"/>
      <x:c r="AJ140" s="100" t="n"/>
      <x:c r="AK140" s="100" t="n"/>
      <x:c r="AL140" s="100" t="n"/>
      <x:c r="AM140" s="100" t="n"/>
      <x:c r="AN140" s="100" t="n"/>
      <x:c r="AO140" s="100" t="n"/>
      <x:c r="AP140" s="100" t="n"/>
      <x:c r="AQ140" s="100" t="n"/>
      <x:c r="AR140" s="100" t="n"/>
      <x:c r="AS140" s="100" t="n"/>
      <x:c r="AT140" s="100" t="n"/>
      <x:c r="AU140" s="100" t="n"/>
      <x:c r="AV140" s="100" t="n"/>
      <x:c r="AW140" s="100" t="n"/>
      <x:c r="AX140" s="100" t="n"/>
      <x:c r="AY140" s="100" t="n"/>
      <x:c r="AZ140" s="100" t="n"/>
      <x:c r="BA140" s="100" t="n"/>
      <x:c r="BB140" s="100" t="n"/>
      <x:c r="BC140" s="100" t="n"/>
      <x:c r="BD140" s="100" t="n"/>
      <x:c r="BE140" s="100" t="n"/>
      <x:c r="BF140" s="100" t="n"/>
      <x:c r="BG140" s="100" t="n"/>
      <x:c r="BH140" s="100" t="n"/>
      <x:c r="BI140" s="100" t="n"/>
      <x:c r="BJ140" s="100" t="n"/>
      <x:c r="BK140" s="100" t="n"/>
      <x:c r="BL140" s="100" t="n"/>
      <x:c r="BM140" s="100" t="n"/>
      <x:c r="BN140" s="100" t="n"/>
      <x:c r="BO140" s="100" t="n"/>
      <x:c r="BP140" s="100" t="n"/>
      <x:c r="BQ140" s="100" t="n"/>
      <x:c r="BR140" s="100" t="n"/>
      <x:c r="BS140" s="100" t="n"/>
      <x:c r="BT140" s="100" t="n"/>
      <x:c r="BU140" s="100" t="n"/>
      <x:c r="BV140" s="100" t="n"/>
      <x:c r="BW140" s="100" t="n"/>
      <x:c r="BX140" s="100" t="n"/>
      <x:c r="BY140" s="100" t="n"/>
      <x:c r="BZ140" s="100" t="n"/>
      <x:c r="CA140" s="100" t="n"/>
      <x:c r="CB140" s="100" t="n"/>
      <x:c r="CC140" s="100" t="n"/>
      <x:c r="CD140" s="100" t="n"/>
      <x:c r="CE140" s="100" t="n"/>
      <x:c r="CF140" s="100" t="n"/>
      <x:c r="CG140" s="100" t="n"/>
      <x:c r="CH140" s="100" t="n"/>
      <x:c r="CI140" s="100" t="n"/>
      <x:c r="CJ140" s="100" t="n"/>
      <x:c r="CK140" s="100" t="n"/>
      <x:c r="CL140" s="100" t="n"/>
      <x:c r="CM140" s="100" t="n"/>
      <x:c r="CN140" s="100" t="n"/>
      <x:c r="CO140" s="100" t="n"/>
      <x:c r="CP140" s="100" t="n"/>
      <x:c r="CQ140" s="100" t="n"/>
      <x:c r="CR140" s="100" t="n"/>
      <x:c r="CS140" s="100" t="n"/>
      <x:c r="CT140" s="100" t="n"/>
      <x:c r="CU140" s="100" t="n"/>
      <x:c r="CV140" s="100" t="n"/>
      <x:c r="CW140" s="100" t="n"/>
      <x:c r="CX140" s="100" t="n"/>
      <x:c r="CY140" s="100" t="n"/>
      <x:c r="CZ140" s="100" t="n"/>
      <x:c r="DA140" s="100" t="n"/>
      <x:c r="DB140" s="100" t="n"/>
      <x:c r="DC140" s="100" t="n"/>
      <x:c r="DD140" s="100" t="n"/>
      <x:c r="DE140" s="100" t="n"/>
      <x:c r="DF140" s="100" t="n"/>
      <x:c r="DG140" s="100" t="n"/>
      <x:c r="DH140" s="100" t="n"/>
      <x:c r="DI140" s="100" t="n"/>
      <x:c r="DJ140" s="100" t="n"/>
      <x:c r="DK140" s="100" t="n"/>
      <x:c r="DL140" s="100" t="n"/>
      <x:c r="DM140" s="100" t="n"/>
      <x:c r="DN140" s="100" t="n"/>
      <x:c r="DO140" s="100" t="n"/>
      <x:c r="DP140" s="100" t="n"/>
      <x:c r="DQ140" s="100" t="n"/>
      <x:c r="DR140" s="100" t="n"/>
      <x:c r="DS140" s="100" t="n"/>
      <x:c r="DT140" s="100" t="n"/>
      <x:c r="DU140" s="100" t="n"/>
      <x:c r="DV140" s="100" t="n"/>
      <x:c r="DW140" s="100" t="n"/>
      <x:c r="DX140" s="100" t="n"/>
      <x:c r="DY140" s="100" t="n"/>
      <x:c r="DZ140" s="100" t="n"/>
      <x:c r="EA140" s="100" t="n"/>
      <x:c r="EB140" s="100" t="n"/>
      <x:c r="EC140" s="100" t="n"/>
      <x:c r="ED140" s="100" t="n"/>
      <x:c r="EE140" s="100" t="n"/>
      <x:c r="EF140" s="100" t="n"/>
      <x:c r="EG140" s="100" t="n"/>
      <x:c r="EH140" s="100" t="n"/>
      <x:c r="EI140" s="100" t="n"/>
      <x:c r="EJ140" s="100" t="n"/>
      <x:c r="EK140" s="100" t="n"/>
      <x:c r="EL140" s="100" t="n"/>
      <x:c r="EM140" s="100" t="n"/>
      <x:c r="EN140" s="100" t="n"/>
      <x:c r="EO140" s="100" t="n"/>
      <x:c r="EP140" s="100" t="n"/>
      <x:c r="EQ140" s="100" t="n"/>
      <x:c r="ER140" s="100" t="n"/>
      <x:c r="ES140" s="100" t="n"/>
      <x:c r="ET140" s="100" t="n"/>
      <x:c r="EU140" s="100" t="n"/>
      <x:c r="EV140" s="100" t="n"/>
      <x:c r="EW140" s="100" t="n"/>
      <x:c r="EX140" s="100" t="n"/>
      <x:c r="EY140" s="100" t="n"/>
      <x:c r="EZ140" s="100" t="n"/>
      <x:c r="FA140" s="100" t="n"/>
      <x:c r="FB140" s="100" t="n"/>
      <x:c r="FC140" s="100" t="n"/>
      <x:c r="FD140" s="100" t="n"/>
      <x:c r="FE140" s="100" t="n"/>
      <x:c r="FF140" s="100" t="n"/>
      <x:c r="FG140" s="100" t="n"/>
      <x:c r="FH140" s="100" t="n"/>
      <x:c r="FI140" s="100" t="n"/>
      <x:c r="FJ140" s="100" t="n"/>
      <x:c r="FK140" s="100" t="n"/>
      <x:c r="FL140" s="100" t="n"/>
      <x:c r="FM140" s="100" t="n"/>
      <x:c r="FN140" s="100" t="n"/>
      <x:c r="FO140" s="100" t="n"/>
      <x:c r="FP140" s="100" t="n"/>
      <x:c r="FQ140" s="100" t="n"/>
      <x:c r="FR140" s="100" t="n"/>
      <x:c r="FS140" s="100" t="n"/>
      <x:c r="FT140" s="100" t="n"/>
      <x:c r="FU140" s="100" t="n"/>
      <x:c r="FV140" s="100" t="n"/>
      <x:c r="FW140" s="100" t="n"/>
      <x:c r="FX140" s="100" t="n"/>
      <x:c r="FY140" s="100" t="n"/>
      <x:c r="FZ140" s="100" t="n"/>
      <x:c r="GA140" s="100" t="n"/>
      <x:c r="GB140" s="100" t="n"/>
      <x:c r="GC140" s="100" t="n"/>
      <x:c r="GD140" s="100" t="n"/>
      <x:c r="GE140" s="100" t="n"/>
      <x:c r="GF140" s="100" t="n"/>
    </x:row>
    <x:row r="141" s="27" customFormat="1">
      <x:c r="A141" s="38" t="n"/>
      <x:c r="B141" s="37" t="n"/>
      <x:c r="C141" s="36" t="n">
        <x:f>E141*D$5</x:f>
        <x:v>0</x:v>
      </x:c>
      <x:c r="D141" s="20" t="n"/>
      <x:c r="E141" s="36" t="n">
        <x:f>SUM(G141:HT141)</x:f>
        <x:v>0</x:v>
      </x:c>
      <x:c r="M141" s="100" t="n"/>
      <x:c r="N141" s="100" t="n"/>
      <x:c r="O141" s="100" t="n"/>
      <x:c r="P141" s="100" t="n"/>
      <x:c r="Q141" s="100" t="n"/>
      <x:c r="R141" s="100" t="n"/>
      <x:c r="S141" s="100" t="n"/>
      <x:c r="T141" s="100" t="n"/>
      <x:c r="U141" s="100" t="n"/>
      <x:c r="V141" s="100" t="n"/>
      <x:c r="W141" s="100" t="n"/>
      <x:c r="X141" s="100" t="n"/>
      <x:c r="Y141" s="100" t="n"/>
      <x:c r="Z141" s="100" t="n"/>
      <x:c r="AA141" s="100" t="n"/>
      <x:c r="AB141" s="100" t="n"/>
      <x:c r="AC141" s="100" t="n"/>
      <x:c r="AD141" s="100" t="n"/>
      <x:c r="AE141" s="100" t="n"/>
      <x:c r="AF141" s="100" t="n"/>
      <x:c r="AG141" s="100" t="n"/>
      <x:c r="AH141" s="100" t="n"/>
      <x:c r="AI141" s="100" t="n"/>
      <x:c r="AJ141" s="100" t="n"/>
      <x:c r="AK141" s="100" t="n"/>
      <x:c r="AL141" s="100" t="n"/>
      <x:c r="AM141" s="100" t="n"/>
      <x:c r="AN141" s="100" t="n"/>
      <x:c r="AO141" s="100" t="n"/>
      <x:c r="AP141" s="100" t="n"/>
      <x:c r="AQ141" s="100" t="n"/>
      <x:c r="AR141" s="100" t="n"/>
      <x:c r="AS141" s="100" t="n"/>
      <x:c r="AT141" s="100" t="n"/>
      <x:c r="AU141" s="100" t="n"/>
      <x:c r="AV141" s="100" t="n"/>
      <x:c r="AW141" s="100" t="n"/>
      <x:c r="AX141" s="100" t="n"/>
      <x:c r="AY141" s="100" t="n"/>
      <x:c r="AZ141" s="100" t="n"/>
      <x:c r="BA141" s="100" t="n"/>
      <x:c r="BB141" s="100" t="n"/>
      <x:c r="BC141" s="100" t="n"/>
      <x:c r="BD141" s="100" t="n"/>
      <x:c r="BE141" s="100" t="n"/>
      <x:c r="BF141" s="100" t="n"/>
      <x:c r="BG141" s="100" t="n"/>
      <x:c r="BH141" s="100" t="n"/>
      <x:c r="BI141" s="100" t="n"/>
      <x:c r="BJ141" s="100" t="n"/>
      <x:c r="BK141" s="100" t="n"/>
      <x:c r="BL141" s="100" t="n"/>
      <x:c r="BM141" s="100" t="n"/>
      <x:c r="BN141" s="100" t="n"/>
      <x:c r="BO141" s="100" t="n"/>
      <x:c r="BP141" s="100" t="n"/>
      <x:c r="BQ141" s="100" t="n"/>
      <x:c r="BR141" s="100" t="n"/>
      <x:c r="BS141" s="100" t="n"/>
      <x:c r="BT141" s="100" t="n"/>
      <x:c r="BU141" s="100" t="n"/>
      <x:c r="BV141" s="100" t="n"/>
      <x:c r="BW141" s="100" t="n"/>
      <x:c r="BX141" s="100" t="n"/>
      <x:c r="BY141" s="100" t="n"/>
      <x:c r="BZ141" s="100" t="n"/>
      <x:c r="CA141" s="100" t="n"/>
      <x:c r="CB141" s="100" t="n"/>
      <x:c r="CC141" s="100" t="n"/>
      <x:c r="CD141" s="100" t="n"/>
      <x:c r="CE141" s="100" t="n"/>
      <x:c r="CF141" s="100" t="n"/>
      <x:c r="CG141" s="100" t="n"/>
      <x:c r="CH141" s="100" t="n"/>
      <x:c r="CI141" s="100" t="n"/>
      <x:c r="CJ141" s="100" t="n"/>
      <x:c r="CK141" s="100" t="n"/>
      <x:c r="CL141" s="100" t="n"/>
      <x:c r="CM141" s="100" t="n"/>
      <x:c r="CN141" s="100" t="n"/>
      <x:c r="CO141" s="100" t="n"/>
      <x:c r="CP141" s="100" t="n"/>
      <x:c r="CQ141" s="100" t="n"/>
      <x:c r="CR141" s="100" t="n"/>
      <x:c r="CS141" s="100" t="n"/>
      <x:c r="CT141" s="100" t="n"/>
      <x:c r="CU141" s="100" t="n"/>
      <x:c r="CV141" s="100" t="n"/>
      <x:c r="CW141" s="100" t="n"/>
      <x:c r="CX141" s="100" t="n"/>
      <x:c r="CY141" s="100" t="n"/>
      <x:c r="CZ141" s="100" t="n"/>
      <x:c r="DA141" s="100" t="n"/>
      <x:c r="DB141" s="100" t="n"/>
      <x:c r="DC141" s="100" t="n"/>
      <x:c r="DD141" s="100" t="n"/>
      <x:c r="DE141" s="100" t="n"/>
      <x:c r="DF141" s="100" t="n"/>
      <x:c r="DG141" s="100" t="n"/>
      <x:c r="DH141" s="100" t="n"/>
      <x:c r="DI141" s="100" t="n"/>
      <x:c r="DJ141" s="100" t="n"/>
      <x:c r="DK141" s="100" t="n"/>
      <x:c r="DL141" s="100" t="n"/>
      <x:c r="DM141" s="100" t="n"/>
      <x:c r="DN141" s="100" t="n"/>
      <x:c r="DO141" s="100" t="n"/>
      <x:c r="DP141" s="100" t="n"/>
      <x:c r="DQ141" s="100" t="n"/>
      <x:c r="DR141" s="100" t="n"/>
      <x:c r="DS141" s="100" t="n"/>
      <x:c r="DT141" s="100" t="n"/>
      <x:c r="DU141" s="100" t="n"/>
      <x:c r="DV141" s="100" t="n"/>
      <x:c r="DW141" s="100" t="n"/>
      <x:c r="DX141" s="100" t="n"/>
      <x:c r="DY141" s="100" t="n"/>
      <x:c r="DZ141" s="100" t="n"/>
      <x:c r="EA141" s="100" t="n"/>
      <x:c r="EB141" s="100" t="n"/>
      <x:c r="EC141" s="100" t="n"/>
      <x:c r="ED141" s="100" t="n"/>
      <x:c r="EE141" s="100" t="n"/>
      <x:c r="EF141" s="100" t="n"/>
      <x:c r="EG141" s="100" t="n"/>
      <x:c r="EH141" s="100" t="n"/>
      <x:c r="EI141" s="100" t="n"/>
      <x:c r="EJ141" s="100" t="n"/>
      <x:c r="EK141" s="100" t="n"/>
      <x:c r="EL141" s="100" t="n"/>
      <x:c r="EM141" s="100" t="n"/>
      <x:c r="EN141" s="100" t="n"/>
      <x:c r="EO141" s="100" t="n"/>
      <x:c r="EP141" s="100" t="n"/>
      <x:c r="EQ141" s="100" t="n"/>
      <x:c r="ER141" s="100" t="n"/>
      <x:c r="ES141" s="100" t="n"/>
      <x:c r="ET141" s="100" t="n"/>
      <x:c r="EU141" s="100" t="n"/>
      <x:c r="EV141" s="100" t="n"/>
      <x:c r="EW141" s="100" t="n"/>
      <x:c r="EX141" s="100" t="n"/>
      <x:c r="EY141" s="100" t="n"/>
      <x:c r="EZ141" s="100" t="n"/>
      <x:c r="FA141" s="100" t="n"/>
      <x:c r="FB141" s="100" t="n"/>
      <x:c r="FC141" s="100" t="n"/>
      <x:c r="FD141" s="100" t="n"/>
      <x:c r="FE141" s="100" t="n"/>
      <x:c r="FF141" s="100" t="n"/>
      <x:c r="FG141" s="100" t="n"/>
      <x:c r="FH141" s="100" t="n"/>
      <x:c r="FI141" s="100" t="n"/>
      <x:c r="FJ141" s="100" t="n"/>
      <x:c r="FK141" s="100" t="n"/>
      <x:c r="FL141" s="100" t="n"/>
      <x:c r="FM141" s="100" t="n"/>
      <x:c r="FN141" s="100" t="n"/>
      <x:c r="FO141" s="100" t="n"/>
      <x:c r="FP141" s="100" t="n"/>
      <x:c r="FQ141" s="100" t="n"/>
      <x:c r="FR141" s="100" t="n"/>
      <x:c r="FS141" s="100" t="n"/>
      <x:c r="FT141" s="100" t="n"/>
      <x:c r="FU141" s="100" t="n"/>
      <x:c r="FV141" s="100" t="n"/>
      <x:c r="FW141" s="100" t="n"/>
      <x:c r="FX141" s="100" t="n"/>
      <x:c r="FY141" s="100" t="n"/>
      <x:c r="FZ141" s="100" t="n"/>
      <x:c r="GA141" s="100" t="n"/>
      <x:c r="GB141" s="100" t="n"/>
      <x:c r="GC141" s="100" t="n"/>
      <x:c r="GD141" s="100" t="n"/>
      <x:c r="GE141" s="100" t="n"/>
      <x:c r="GF141" s="100" t="n"/>
    </x:row>
    <x:row r="142" s="27" customFormat="1">
      <x:c r="A142" s="38" t="n"/>
      <x:c r="B142" s="37" t="n"/>
      <x:c r="C142" s="36" t="n">
        <x:f>E142*D$5</x:f>
        <x:v>0</x:v>
      </x:c>
      <x:c r="D142" s="20" t="n"/>
      <x:c r="E142" s="36" t="n">
        <x:f>SUM(G142:HT142)</x:f>
        <x:v>0</x:v>
      </x:c>
      <x:c r="M142" s="100" t="n"/>
      <x:c r="N142" s="100" t="n"/>
      <x:c r="O142" s="100" t="n"/>
      <x:c r="P142" s="100" t="n"/>
      <x:c r="Q142" s="100" t="n"/>
      <x:c r="R142" s="100" t="n"/>
      <x:c r="S142" s="100" t="n"/>
      <x:c r="T142" s="100" t="n"/>
      <x:c r="U142" s="100" t="n"/>
      <x:c r="V142" s="100" t="n"/>
      <x:c r="W142" s="100" t="n"/>
      <x:c r="X142" s="100" t="n"/>
      <x:c r="Y142" s="100" t="n"/>
      <x:c r="Z142" s="100" t="n"/>
      <x:c r="AA142" s="100" t="n"/>
      <x:c r="AB142" s="100" t="n"/>
      <x:c r="AC142" s="100" t="n"/>
      <x:c r="AD142" s="100" t="n"/>
      <x:c r="AE142" s="100" t="n"/>
      <x:c r="AF142" s="100" t="n"/>
      <x:c r="AG142" s="100" t="n"/>
      <x:c r="AH142" s="100" t="n"/>
      <x:c r="AI142" s="100" t="n"/>
      <x:c r="AJ142" s="100" t="n"/>
      <x:c r="AK142" s="100" t="n"/>
      <x:c r="AL142" s="100" t="n"/>
      <x:c r="AM142" s="100" t="n"/>
      <x:c r="AN142" s="100" t="n"/>
      <x:c r="AO142" s="100" t="n"/>
      <x:c r="AP142" s="100" t="n"/>
      <x:c r="AQ142" s="100" t="n"/>
      <x:c r="AR142" s="100" t="n"/>
      <x:c r="AS142" s="100" t="n"/>
      <x:c r="AT142" s="100" t="n"/>
      <x:c r="AU142" s="100" t="n"/>
      <x:c r="AV142" s="100" t="n"/>
      <x:c r="AW142" s="100" t="n"/>
      <x:c r="AX142" s="100" t="n"/>
      <x:c r="AY142" s="100" t="n"/>
      <x:c r="AZ142" s="100" t="n"/>
      <x:c r="BA142" s="100" t="n"/>
      <x:c r="BB142" s="100" t="n"/>
      <x:c r="BC142" s="100" t="n"/>
      <x:c r="BD142" s="100" t="n"/>
      <x:c r="BE142" s="100" t="n"/>
      <x:c r="BF142" s="100" t="n"/>
      <x:c r="BG142" s="100" t="n"/>
      <x:c r="BH142" s="100" t="n"/>
      <x:c r="BI142" s="100" t="n"/>
      <x:c r="BJ142" s="100" t="n"/>
      <x:c r="BK142" s="100" t="n"/>
      <x:c r="BL142" s="100" t="n"/>
      <x:c r="BM142" s="100" t="n"/>
      <x:c r="BN142" s="100" t="n"/>
      <x:c r="BO142" s="100" t="n"/>
      <x:c r="BP142" s="100" t="n"/>
      <x:c r="BQ142" s="100" t="n"/>
      <x:c r="BR142" s="100" t="n"/>
      <x:c r="BS142" s="100" t="n"/>
      <x:c r="BT142" s="100" t="n"/>
      <x:c r="BU142" s="100" t="n"/>
      <x:c r="BV142" s="100" t="n"/>
      <x:c r="BW142" s="100" t="n"/>
      <x:c r="BX142" s="100" t="n"/>
      <x:c r="BY142" s="100" t="n"/>
      <x:c r="BZ142" s="100" t="n"/>
      <x:c r="CA142" s="100" t="n"/>
      <x:c r="CB142" s="100" t="n"/>
      <x:c r="CC142" s="100" t="n"/>
      <x:c r="CD142" s="100" t="n"/>
      <x:c r="CE142" s="100" t="n"/>
      <x:c r="CF142" s="100" t="n"/>
      <x:c r="CG142" s="100" t="n"/>
      <x:c r="CH142" s="100" t="n"/>
      <x:c r="CI142" s="100" t="n"/>
      <x:c r="CJ142" s="100" t="n"/>
      <x:c r="CK142" s="100" t="n"/>
      <x:c r="CL142" s="100" t="n"/>
      <x:c r="CM142" s="100" t="n"/>
      <x:c r="CN142" s="100" t="n"/>
      <x:c r="CO142" s="100" t="n"/>
      <x:c r="CP142" s="100" t="n"/>
      <x:c r="CQ142" s="100" t="n"/>
      <x:c r="CR142" s="100" t="n"/>
      <x:c r="CS142" s="100" t="n"/>
      <x:c r="CT142" s="100" t="n"/>
      <x:c r="CU142" s="100" t="n"/>
      <x:c r="CV142" s="100" t="n"/>
      <x:c r="CW142" s="100" t="n"/>
      <x:c r="CX142" s="100" t="n"/>
      <x:c r="CY142" s="100" t="n"/>
      <x:c r="CZ142" s="100" t="n"/>
      <x:c r="DA142" s="100" t="n"/>
      <x:c r="DB142" s="100" t="n"/>
      <x:c r="DC142" s="100" t="n"/>
      <x:c r="DD142" s="100" t="n"/>
      <x:c r="DE142" s="100" t="n"/>
      <x:c r="DF142" s="100" t="n"/>
      <x:c r="DG142" s="100" t="n"/>
      <x:c r="DH142" s="100" t="n"/>
      <x:c r="DI142" s="100" t="n"/>
      <x:c r="DJ142" s="100" t="n"/>
      <x:c r="DK142" s="100" t="n"/>
      <x:c r="DL142" s="100" t="n"/>
      <x:c r="DM142" s="100" t="n"/>
      <x:c r="DN142" s="100" t="n"/>
      <x:c r="DO142" s="100" t="n"/>
      <x:c r="DP142" s="100" t="n"/>
      <x:c r="DQ142" s="100" t="n"/>
      <x:c r="DR142" s="100" t="n"/>
      <x:c r="DS142" s="100" t="n"/>
      <x:c r="DT142" s="100" t="n"/>
      <x:c r="DU142" s="100" t="n"/>
      <x:c r="DV142" s="100" t="n"/>
      <x:c r="DW142" s="100" t="n"/>
      <x:c r="DX142" s="100" t="n"/>
      <x:c r="DY142" s="100" t="n"/>
      <x:c r="DZ142" s="100" t="n"/>
      <x:c r="EA142" s="100" t="n"/>
      <x:c r="EB142" s="100" t="n"/>
      <x:c r="EC142" s="100" t="n"/>
      <x:c r="ED142" s="100" t="n"/>
      <x:c r="EE142" s="100" t="n"/>
      <x:c r="EF142" s="100" t="n"/>
      <x:c r="EG142" s="100" t="n"/>
      <x:c r="EH142" s="100" t="n"/>
      <x:c r="EI142" s="100" t="n"/>
      <x:c r="EJ142" s="100" t="n"/>
      <x:c r="EK142" s="100" t="n"/>
      <x:c r="EL142" s="100" t="n"/>
      <x:c r="EM142" s="100" t="n"/>
      <x:c r="EN142" s="100" t="n"/>
      <x:c r="EO142" s="100" t="n"/>
      <x:c r="EP142" s="100" t="n"/>
      <x:c r="EQ142" s="100" t="n"/>
      <x:c r="ER142" s="100" t="n"/>
      <x:c r="ES142" s="100" t="n"/>
      <x:c r="ET142" s="100" t="n"/>
      <x:c r="EU142" s="100" t="n"/>
      <x:c r="EV142" s="100" t="n"/>
      <x:c r="EW142" s="100" t="n"/>
      <x:c r="EX142" s="100" t="n"/>
      <x:c r="EY142" s="100" t="n"/>
      <x:c r="EZ142" s="100" t="n"/>
      <x:c r="FA142" s="100" t="n"/>
      <x:c r="FB142" s="100" t="n"/>
      <x:c r="FC142" s="100" t="n"/>
      <x:c r="FD142" s="100" t="n"/>
      <x:c r="FE142" s="100" t="n"/>
      <x:c r="FF142" s="100" t="n"/>
      <x:c r="FG142" s="100" t="n"/>
      <x:c r="FH142" s="100" t="n"/>
      <x:c r="FI142" s="100" t="n"/>
      <x:c r="FJ142" s="100" t="n"/>
      <x:c r="FK142" s="100" t="n"/>
      <x:c r="FL142" s="100" t="n"/>
      <x:c r="FM142" s="100" t="n"/>
      <x:c r="FN142" s="100" t="n"/>
      <x:c r="FO142" s="100" t="n"/>
      <x:c r="FP142" s="100" t="n"/>
      <x:c r="FQ142" s="100" t="n"/>
      <x:c r="FR142" s="100" t="n"/>
      <x:c r="FS142" s="100" t="n"/>
      <x:c r="FT142" s="100" t="n"/>
      <x:c r="FU142" s="100" t="n"/>
      <x:c r="FV142" s="100" t="n"/>
      <x:c r="FW142" s="100" t="n"/>
      <x:c r="FX142" s="100" t="n"/>
      <x:c r="FY142" s="100" t="n"/>
      <x:c r="FZ142" s="100" t="n"/>
      <x:c r="GA142" s="100" t="n"/>
      <x:c r="GB142" s="100" t="n"/>
      <x:c r="GC142" s="100" t="n"/>
      <x:c r="GD142" s="100" t="n"/>
      <x:c r="GE142" s="100" t="n"/>
      <x:c r="GF142" s="100" t="n"/>
    </x:row>
    <x:row r="143" s="27" customFormat="1">
      <x:c r="A143" s="38" t="n"/>
      <x:c r="B143" s="37" t="n"/>
      <x:c r="C143" s="36" t="n">
        <x:f>E143*D$5</x:f>
        <x:v>0</x:v>
      </x:c>
      <x:c r="D143" s="20" t="n"/>
      <x:c r="E143" s="36" t="n">
        <x:f>SUM(G143:HT143)</x:f>
        <x:v>0</x:v>
      </x:c>
      <x:c r="M143" s="100" t="n"/>
      <x:c r="N143" s="100" t="n"/>
      <x:c r="O143" s="100" t="n"/>
      <x:c r="P143" s="100" t="n"/>
      <x:c r="Q143" s="100" t="n"/>
      <x:c r="R143" s="100" t="n"/>
      <x:c r="S143" s="100" t="n"/>
      <x:c r="T143" s="100" t="n"/>
      <x:c r="U143" s="100" t="n"/>
      <x:c r="V143" s="100" t="n"/>
      <x:c r="W143" s="100" t="n"/>
      <x:c r="X143" s="100" t="n"/>
      <x:c r="Y143" s="100" t="n"/>
      <x:c r="Z143" s="100" t="n"/>
      <x:c r="AA143" s="100" t="n"/>
      <x:c r="AB143" s="100" t="n"/>
      <x:c r="AC143" s="100" t="n"/>
      <x:c r="AD143" s="100" t="n"/>
      <x:c r="AE143" s="100" t="n"/>
      <x:c r="AF143" s="100" t="n"/>
      <x:c r="AG143" s="100" t="n"/>
      <x:c r="AH143" s="100" t="n"/>
      <x:c r="AI143" s="100" t="n"/>
      <x:c r="AJ143" s="100" t="n"/>
      <x:c r="AK143" s="100" t="n"/>
      <x:c r="AL143" s="100" t="n"/>
      <x:c r="AM143" s="100" t="n"/>
      <x:c r="AN143" s="100" t="n"/>
      <x:c r="AO143" s="100" t="n"/>
      <x:c r="AP143" s="100" t="n"/>
      <x:c r="AQ143" s="100" t="n"/>
      <x:c r="AR143" s="100" t="n"/>
      <x:c r="AS143" s="100" t="n"/>
      <x:c r="AT143" s="100" t="n"/>
      <x:c r="AU143" s="100" t="n"/>
      <x:c r="AV143" s="100" t="n"/>
      <x:c r="AW143" s="100" t="n"/>
      <x:c r="AX143" s="100" t="n"/>
      <x:c r="AY143" s="100" t="n"/>
      <x:c r="AZ143" s="100" t="n"/>
      <x:c r="BA143" s="100" t="n"/>
      <x:c r="BB143" s="100" t="n"/>
      <x:c r="BC143" s="100" t="n"/>
      <x:c r="BD143" s="100" t="n"/>
      <x:c r="BE143" s="100" t="n"/>
      <x:c r="BF143" s="100" t="n"/>
      <x:c r="BG143" s="100" t="n"/>
      <x:c r="BH143" s="100" t="n"/>
      <x:c r="BI143" s="100" t="n"/>
      <x:c r="BJ143" s="100" t="n"/>
      <x:c r="BK143" s="100" t="n"/>
      <x:c r="BL143" s="100" t="n"/>
      <x:c r="BM143" s="100" t="n"/>
      <x:c r="BN143" s="100" t="n"/>
      <x:c r="BO143" s="100" t="n"/>
      <x:c r="BP143" s="100" t="n"/>
      <x:c r="BQ143" s="100" t="n"/>
      <x:c r="BR143" s="100" t="n"/>
      <x:c r="BS143" s="100" t="n"/>
      <x:c r="BT143" s="100" t="n"/>
      <x:c r="BU143" s="100" t="n"/>
      <x:c r="BV143" s="100" t="n"/>
      <x:c r="BW143" s="100" t="n"/>
      <x:c r="BX143" s="100" t="n"/>
      <x:c r="BY143" s="100" t="n"/>
      <x:c r="BZ143" s="100" t="n"/>
      <x:c r="CA143" s="100" t="n"/>
      <x:c r="CB143" s="100" t="n"/>
      <x:c r="CC143" s="100" t="n"/>
      <x:c r="CD143" s="100" t="n"/>
      <x:c r="CE143" s="100" t="n"/>
      <x:c r="CF143" s="100" t="n"/>
      <x:c r="CG143" s="100" t="n"/>
      <x:c r="CH143" s="100" t="n"/>
      <x:c r="CI143" s="100" t="n"/>
      <x:c r="CJ143" s="100" t="n"/>
      <x:c r="CK143" s="100" t="n"/>
      <x:c r="CL143" s="100" t="n"/>
      <x:c r="CM143" s="100" t="n"/>
      <x:c r="CN143" s="100" t="n"/>
      <x:c r="CO143" s="100" t="n"/>
      <x:c r="CP143" s="100" t="n"/>
      <x:c r="CQ143" s="100" t="n"/>
      <x:c r="CR143" s="100" t="n"/>
      <x:c r="CS143" s="100" t="n"/>
      <x:c r="CT143" s="100" t="n"/>
      <x:c r="CU143" s="100" t="n"/>
      <x:c r="CV143" s="100" t="n"/>
      <x:c r="CW143" s="100" t="n"/>
      <x:c r="CX143" s="100" t="n"/>
      <x:c r="CY143" s="100" t="n"/>
      <x:c r="CZ143" s="100" t="n"/>
      <x:c r="DA143" s="100" t="n"/>
      <x:c r="DB143" s="100" t="n"/>
      <x:c r="DC143" s="100" t="n"/>
      <x:c r="DD143" s="100" t="n"/>
      <x:c r="DE143" s="100" t="n"/>
      <x:c r="DF143" s="100" t="n"/>
      <x:c r="DG143" s="100" t="n"/>
      <x:c r="DH143" s="100" t="n"/>
      <x:c r="DI143" s="100" t="n"/>
      <x:c r="DJ143" s="100" t="n"/>
      <x:c r="DK143" s="100" t="n"/>
      <x:c r="DL143" s="100" t="n"/>
      <x:c r="DM143" s="100" t="n"/>
      <x:c r="DN143" s="100" t="n"/>
      <x:c r="DO143" s="100" t="n"/>
      <x:c r="DP143" s="100" t="n"/>
      <x:c r="DQ143" s="100" t="n"/>
      <x:c r="DR143" s="100" t="n"/>
      <x:c r="DS143" s="100" t="n"/>
      <x:c r="DT143" s="100" t="n"/>
      <x:c r="DU143" s="100" t="n"/>
      <x:c r="DV143" s="100" t="n"/>
      <x:c r="DW143" s="100" t="n"/>
      <x:c r="DX143" s="100" t="n"/>
      <x:c r="DY143" s="100" t="n"/>
      <x:c r="DZ143" s="100" t="n"/>
      <x:c r="EA143" s="100" t="n"/>
      <x:c r="EB143" s="100" t="n"/>
      <x:c r="EC143" s="100" t="n"/>
      <x:c r="ED143" s="100" t="n"/>
      <x:c r="EE143" s="100" t="n"/>
      <x:c r="EF143" s="100" t="n"/>
      <x:c r="EG143" s="100" t="n"/>
      <x:c r="EH143" s="100" t="n"/>
      <x:c r="EI143" s="100" t="n"/>
      <x:c r="EJ143" s="100" t="n"/>
      <x:c r="EK143" s="100" t="n"/>
      <x:c r="EL143" s="100" t="n"/>
      <x:c r="EM143" s="100" t="n"/>
      <x:c r="EN143" s="100" t="n"/>
      <x:c r="EO143" s="100" t="n"/>
      <x:c r="EP143" s="100" t="n"/>
      <x:c r="EQ143" s="100" t="n"/>
      <x:c r="ER143" s="100" t="n"/>
      <x:c r="ES143" s="100" t="n"/>
      <x:c r="ET143" s="100" t="n"/>
      <x:c r="EU143" s="100" t="n"/>
      <x:c r="EV143" s="100" t="n"/>
      <x:c r="EW143" s="100" t="n"/>
      <x:c r="EX143" s="100" t="n"/>
      <x:c r="EY143" s="100" t="n"/>
      <x:c r="EZ143" s="100" t="n"/>
      <x:c r="FA143" s="100" t="n"/>
      <x:c r="FB143" s="100" t="n"/>
      <x:c r="FC143" s="100" t="n"/>
      <x:c r="FD143" s="100" t="n"/>
      <x:c r="FE143" s="100" t="n"/>
      <x:c r="FF143" s="100" t="n"/>
      <x:c r="FG143" s="100" t="n"/>
      <x:c r="FH143" s="100" t="n"/>
      <x:c r="FI143" s="100" t="n"/>
      <x:c r="FJ143" s="100" t="n"/>
      <x:c r="FK143" s="100" t="n"/>
      <x:c r="FL143" s="100" t="n"/>
      <x:c r="FM143" s="100" t="n"/>
      <x:c r="FN143" s="100" t="n"/>
      <x:c r="FO143" s="100" t="n"/>
      <x:c r="FP143" s="100" t="n"/>
      <x:c r="FQ143" s="100" t="n"/>
      <x:c r="FR143" s="100" t="n"/>
      <x:c r="FS143" s="100" t="n"/>
      <x:c r="FT143" s="100" t="n"/>
      <x:c r="FU143" s="100" t="n"/>
      <x:c r="FV143" s="100" t="n"/>
      <x:c r="FW143" s="100" t="n"/>
      <x:c r="FX143" s="100" t="n"/>
      <x:c r="FY143" s="100" t="n"/>
      <x:c r="FZ143" s="100" t="n"/>
      <x:c r="GA143" s="100" t="n"/>
      <x:c r="GB143" s="100" t="n"/>
      <x:c r="GC143" s="100" t="n"/>
      <x:c r="GD143" s="100" t="n"/>
      <x:c r="GE143" s="100" t="n"/>
      <x:c r="GF143" s="100" t="n"/>
    </x:row>
    <x:row r="144" s="27" customFormat="1">
      <x:c r="A144" s="38" t="n"/>
      <x:c r="B144" s="37" t="n"/>
      <x:c r="C144" s="36" t="n">
        <x:f>E144*D$5</x:f>
        <x:v>0</x:v>
      </x:c>
      <x:c r="D144" s="20" t="n"/>
      <x:c r="E144" s="36" t="n">
        <x:f>SUM(G144:HT144)</x:f>
        <x:v>0</x:v>
      </x:c>
      <x:c r="M144" s="100" t="n"/>
      <x:c r="N144" s="100" t="n"/>
      <x:c r="O144" s="100" t="n"/>
      <x:c r="P144" s="100" t="n"/>
      <x:c r="Q144" s="100" t="n"/>
      <x:c r="R144" s="100" t="n"/>
      <x:c r="S144" s="100" t="n"/>
      <x:c r="T144" s="100" t="n"/>
      <x:c r="U144" s="100" t="n"/>
      <x:c r="V144" s="100" t="n"/>
      <x:c r="W144" s="100" t="n"/>
      <x:c r="X144" s="100" t="n"/>
      <x:c r="Y144" s="100" t="n"/>
      <x:c r="Z144" s="100" t="n"/>
      <x:c r="AA144" s="100" t="n"/>
      <x:c r="AB144" s="100" t="n"/>
      <x:c r="AC144" s="100" t="n"/>
      <x:c r="AD144" s="100" t="n"/>
      <x:c r="AE144" s="100" t="n"/>
      <x:c r="AF144" s="100" t="n"/>
      <x:c r="AG144" s="100" t="n"/>
      <x:c r="AH144" s="100" t="n"/>
      <x:c r="AI144" s="100" t="n"/>
      <x:c r="AJ144" s="100" t="n"/>
      <x:c r="AK144" s="100" t="n"/>
      <x:c r="AL144" s="100" t="n"/>
      <x:c r="AM144" s="100" t="n"/>
      <x:c r="AN144" s="100" t="n"/>
      <x:c r="AO144" s="100" t="n"/>
      <x:c r="AP144" s="100" t="n"/>
      <x:c r="AQ144" s="100" t="n"/>
      <x:c r="AR144" s="100" t="n"/>
      <x:c r="AS144" s="100" t="n"/>
      <x:c r="AT144" s="100" t="n"/>
      <x:c r="AU144" s="100" t="n"/>
      <x:c r="AV144" s="100" t="n"/>
      <x:c r="AW144" s="100" t="n"/>
      <x:c r="AX144" s="100" t="n"/>
      <x:c r="AY144" s="100" t="n"/>
      <x:c r="AZ144" s="100" t="n"/>
      <x:c r="BA144" s="100" t="n"/>
      <x:c r="BB144" s="100" t="n"/>
      <x:c r="BC144" s="100" t="n"/>
      <x:c r="BD144" s="100" t="n"/>
      <x:c r="BE144" s="100" t="n"/>
      <x:c r="BF144" s="100" t="n"/>
      <x:c r="BG144" s="100" t="n"/>
      <x:c r="BH144" s="100" t="n"/>
      <x:c r="BI144" s="100" t="n"/>
      <x:c r="BJ144" s="100" t="n"/>
      <x:c r="BK144" s="100" t="n"/>
      <x:c r="BL144" s="100" t="n"/>
      <x:c r="BM144" s="100" t="n"/>
      <x:c r="BN144" s="100" t="n"/>
      <x:c r="BO144" s="100" t="n"/>
      <x:c r="BP144" s="100" t="n"/>
      <x:c r="BQ144" s="100" t="n"/>
      <x:c r="BR144" s="100" t="n"/>
      <x:c r="BS144" s="100" t="n"/>
      <x:c r="BT144" s="100" t="n"/>
      <x:c r="BU144" s="100" t="n"/>
      <x:c r="BV144" s="100" t="n"/>
      <x:c r="BW144" s="100" t="n"/>
      <x:c r="BX144" s="100" t="n"/>
      <x:c r="BY144" s="100" t="n"/>
      <x:c r="BZ144" s="100" t="n"/>
      <x:c r="CA144" s="100" t="n"/>
      <x:c r="CB144" s="100" t="n"/>
      <x:c r="CC144" s="100" t="n"/>
      <x:c r="CD144" s="100" t="n"/>
      <x:c r="CE144" s="100" t="n"/>
      <x:c r="CF144" s="100" t="n"/>
      <x:c r="CG144" s="100" t="n"/>
      <x:c r="CH144" s="100" t="n"/>
      <x:c r="CI144" s="100" t="n"/>
      <x:c r="CJ144" s="100" t="n"/>
      <x:c r="CK144" s="100" t="n"/>
      <x:c r="CL144" s="100" t="n"/>
      <x:c r="CM144" s="100" t="n"/>
      <x:c r="CN144" s="100" t="n"/>
      <x:c r="CO144" s="100" t="n"/>
      <x:c r="CP144" s="100" t="n"/>
      <x:c r="CQ144" s="100" t="n"/>
      <x:c r="CR144" s="100" t="n"/>
      <x:c r="CS144" s="100" t="n"/>
      <x:c r="CT144" s="100" t="n"/>
      <x:c r="CU144" s="100" t="n"/>
      <x:c r="CV144" s="100" t="n"/>
      <x:c r="CW144" s="100" t="n"/>
      <x:c r="CX144" s="100" t="n"/>
      <x:c r="CY144" s="100" t="n"/>
      <x:c r="CZ144" s="100" t="n"/>
      <x:c r="DA144" s="100" t="n"/>
      <x:c r="DB144" s="100" t="n"/>
      <x:c r="DC144" s="100" t="n"/>
      <x:c r="DD144" s="100" t="n"/>
      <x:c r="DE144" s="100" t="n"/>
      <x:c r="DF144" s="100" t="n"/>
      <x:c r="DG144" s="100" t="n"/>
      <x:c r="DH144" s="100" t="n"/>
      <x:c r="DI144" s="100" t="n"/>
      <x:c r="DJ144" s="100" t="n"/>
      <x:c r="DK144" s="100" t="n"/>
      <x:c r="DL144" s="100" t="n"/>
      <x:c r="DM144" s="100" t="n"/>
      <x:c r="DN144" s="100" t="n"/>
      <x:c r="DO144" s="100" t="n"/>
      <x:c r="DP144" s="100" t="n"/>
      <x:c r="DQ144" s="100" t="n"/>
      <x:c r="DR144" s="100" t="n"/>
      <x:c r="DS144" s="100" t="n"/>
      <x:c r="DT144" s="100" t="n"/>
      <x:c r="DU144" s="100" t="n"/>
      <x:c r="DV144" s="100" t="n"/>
      <x:c r="DW144" s="100" t="n"/>
      <x:c r="DX144" s="100" t="n"/>
      <x:c r="DY144" s="100" t="n"/>
      <x:c r="DZ144" s="100" t="n"/>
      <x:c r="EA144" s="100" t="n"/>
      <x:c r="EB144" s="100" t="n"/>
      <x:c r="EC144" s="100" t="n"/>
      <x:c r="ED144" s="100" t="n"/>
      <x:c r="EE144" s="100" t="n"/>
      <x:c r="EF144" s="100" t="n"/>
      <x:c r="EG144" s="100" t="n"/>
      <x:c r="EH144" s="100" t="n"/>
      <x:c r="EI144" s="100" t="n"/>
      <x:c r="EJ144" s="100" t="n"/>
      <x:c r="EK144" s="100" t="n"/>
      <x:c r="EL144" s="100" t="n"/>
      <x:c r="EM144" s="100" t="n"/>
      <x:c r="EN144" s="100" t="n"/>
      <x:c r="EO144" s="100" t="n"/>
      <x:c r="EP144" s="100" t="n"/>
      <x:c r="EQ144" s="100" t="n"/>
      <x:c r="ER144" s="100" t="n"/>
      <x:c r="ES144" s="100" t="n"/>
      <x:c r="ET144" s="100" t="n"/>
      <x:c r="EU144" s="100" t="n"/>
      <x:c r="EV144" s="100" t="n"/>
      <x:c r="EW144" s="100" t="n"/>
      <x:c r="EX144" s="100" t="n"/>
      <x:c r="EY144" s="100" t="n"/>
      <x:c r="EZ144" s="100" t="n"/>
      <x:c r="FA144" s="100" t="n"/>
      <x:c r="FB144" s="100" t="n"/>
      <x:c r="FC144" s="100" t="n"/>
      <x:c r="FD144" s="100" t="n"/>
      <x:c r="FE144" s="100" t="n"/>
      <x:c r="FF144" s="100" t="n"/>
      <x:c r="FG144" s="100" t="n"/>
      <x:c r="FH144" s="100" t="n"/>
      <x:c r="FI144" s="100" t="n"/>
      <x:c r="FJ144" s="100" t="n"/>
      <x:c r="FK144" s="100" t="n"/>
      <x:c r="FL144" s="100" t="n"/>
      <x:c r="FM144" s="100" t="n"/>
      <x:c r="FN144" s="100" t="n"/>
      <x:c r="FO144" s="100" t="n"/>
      <x:c r="FP144" s="100" t="n"/>
      <x:c r="FQ144" s="100" t="n"/>
      <x:c r="FR144" s="100" t="n"/>
      <x:c r="FS144" s="100" t="n"/>
      <x:c r="FT144" s="100" t="n"/>
      <x:c r="FU144" s="100" t="n"/>
      <x:c r="FV144" s="100" t="n"/>
      <x:c r="FW144" s="100" t="n"/>
      <x:c r="FX144" s="100" t="n"/>
      <x:c r="FY144" s="100" t="n"/>
      <x:c r="FZ144" s="100" t="n"/>
      <x:c r="GA144" s="100" t="n"/>
      <x:c r="GB144" s="100" t="n"/>
      <x:c r="GC144" s="100" t="n"/>
      <x:c r="GD144" s="100" t="n"/>
      <x:c r="GE144" s="100" t="n"/>
      <x:c r="GF144" s="100" t="n"/>
    </x:row>
    <x:row r="145" s="27" customFormat="1">
      <x:c r="A145" s="38" t="n"/>
      <x:c r="B145" s="37" t="n"/>
      <x:c r="C145" s="36" t="n">
        <x:f>E145*D$5</x:f>
        <x:v>0</x:v>
      </x:c>
      <x:c r="D145" s="20" t="n"/>
      <x:c r="E145" s="36" t="n">
        <x:f>SUM(G145:HT145)</x:f>
        <x:v>0</x:v>
      </x:c>
      <x:c r="M145" s="100" t="n"/>
      <x:c r="N145" s="100" t="n"/>
      <x:c r="O145" s="100" t="n"/>
      <x:c r="P145" s="100" t="n"/>
      <x:c r="Q145" s="100" t="n"/>
      <x:c r="R145" s="100" t="n"/>
      <x:c r="S145" s="100" t="n"/>
      <x:c r="T145" s="100" t="n"/>
      <x:c r="U145" s="100" t="n"/>
      <x:c r="V145" s="100" t="n"/>
      <x:c r="W145" s="100" t="n"/>
      <x:c r="X145" s="100" t="n"/>
      <x:c r="Y145" s="100" t="n"/>
      <x:c r="Z145" s="100" t="n"/>
      <x:c r="AA145" s="100" t="n"/>
      <x:c r="AB145" s="100" t="n"/>
      <x:c r="AC145" s="100" t="n"/>
      <x:c r="AD145" s="100" t="n"/>
      <x:c r="AE145" s="100" t="n"/>
      <x:c r="AF145" s="100" t="n"/>
      <x:c r="AG145" s="100" t="n"/>
      <x:c r="AH145" s="100" t="n"/>
      <x:c r="AI145" s="100" t="n"/>
      <x:c r="AJ145" s="100" t="n"/>
      <x:c r="AK145" s="100" t="n"/>
      <x:c r="AL145" s="100" t="n"/>
      <x:c r="AM145" s="100" t="n"/>
      <x:c r="AN145" s="100" t="n"/>
      <x:c r="AO145" s="100" t="n"/>
      <x:c r="AP145" s="100" t="n"/>
      <x:c r="AQ145" s="100" t="n"/>
      <x:c r="AR145" s="100" t="n"/>
      <x:c r="AS145" s="100" t="n"/>
      <x:c r="AT145" s="100" t="n"/>
      <x:c r="AU145" s="100" t="n"/>
      <x:c r="AV145" s="100" t="n"/>
      <x:c r="AW145" s="100" t="n"/>
      <x:c r="AX145" s="100" t="n"/>
      <x:c r="AY145" s="100" t="n"/>
      <x:c r="AZ145" s="100" t="n"/>
      <x:c r="BA145" s="100" t="n"/>
      <x:c r="BB145" s="100" t="n"/>
      <x:c r="BC145" s="100" t="n"/>
      <x:c r="BD145" s="100" t="n"/>
      <x:c r="BE145" s="100" t="n"/>
      <x:c r="BF145" s="100" t="n"/>
      <x:c r="BG145" s="100" t="n"/>
      <x:c r="BH145" s="100" t="n"/>
      <x:c r="BI145" s="100" t="n"/>
      <x:c r="BJ145" s="100" t="n"/>
      <x:c r="BK145" s="100" t="n"/>
      <x:c r="BL145" s="100" t="n"/>
      <x:c r="BM145" s="100" t="n"/>
      <x:c r="BN145" s="100" t="n"/>
      <x:c r="BO145" s="100" t="n"/>
      <x:c r="BP145" s="100" t="n"/>
      <x:c r="BQ145" s="100" t="n"/>
      <x:c r="BR145" s="100" t="n"/>
      <x:c r="BS145" s="100" t="n"/>
      <x:c r="BT145" s="100" t="n"/>
      <x:c r="BU145" s="100" t="n"/>
      <x:c r="BV145" s="100" t="n"/>
      <x:c r="BW145" s="100" t="n"/>
      <x:c r="BX145" s="100" t="n"/>
      <x:c r="BY145" s="100" t="n"/>
      <x:c r="BZ145" s="100" t="n"/>
      <x:c r="CA145" s="100" t="n"/>
      <x:c r="CB145" s="100" t="n"/>
      <x:c r="CC145" s="100" t="n"/>
      <x:c r="CD145" s="100" t="n"/>
      <x:c r="CE145" s="100" t="n"/>
      <x:c r="CF145" s="100" t="n"/>
      <x:c r="CG145" s="100" t="n"/>
      <x:c r="CH145" s="100" t="n"/>
      <x:c r="CI145" s="100" t="n"/>
      <x:c r="CJ145" s="100" t="n"/>
      <x:c r="CK145" s="100" t="n"/>
      <x:c r="CL145" s="100" t="n"/>
      <x:c r="CM145" s="100" t="n"/>
      <x:c r="CN145" s="100" t="n"/>
      <x:c r="CO145" s="100" t="n"/>
      <x:c r="CP145" s="100" t="n"/>
      <x:c r="CQ145" s="100" t="n"/>
      <x:c r="CR145" s="100" t="n"/>
      <x:c r="CS145" s="100" t="n"/>
      <x:c r="CT145" s="100" t="n"/>
      <x:c r="CU145" s="100" t="n"/>
      <x:c r="CV145" s="100" t="n"/>
      <x:c r="CW145" s="100" t="n"/>
      <x:c r="CX145" s="100" t="n"/>
      <x:c r="CY145" s="100" t="n"/>
      <x:c r="CZ145" s="100" t="n"/>
      <x:c r="DA145" s="100" t="n"/>
      <x:c r="DB145" s="100" t="n"/>
      <x:c r="DC145" s="100" t="n"/>
      <x:c r="DD145" s="100" t="n"/>
      <x:c r="DE145" s="100" t="n"/>
      <x:c r="DF145" s="100" t="n"/>
      <x:c r="DG145" s="100" t="n"/>
      <x:c r="DH145" s="100" t="n"/>
      <x:c r="DI145" s="100" t="n"/>
      <x:c r="DJ145" s="100" t="n"/>
      <x:c r="DK145" s="100" t="n"/>
      <x:c r="DL145" s="100" t="n"/>
      <x:c r="DM145" s="100" t="n"/>
      <x:c r="DN145" s="100" t="n"/>
      <x:c r="DO145" s="100" t="n"/>
      <x:c r="DP145" s="100" t="n"/>
      <x:c r="DQ145" s="100" t="n"/>
      <x:c r="DR145" s="100" t="n"/>
      <x:c r="DS145" s="100" t="n"/>
      <x:c r="DT145" s="100" t="n"/>
      <x:c r="DU145" s="100" t="n"/>
      <x:c r="DV145" s="100" t="n"/>
      <x:c r="DW145" s="100" t="n"/>
      <x:c r="DX145" s="100" t="n"/>
      <x:c r="DY145" s="100" t="n"/>
      <x:c r="DZ145" s="100" t="n"/>
      <x:c r="EA145" s="100" t="n"/>
      <x:c r="EB145" s="100" t="n"/>
      <x:c r="EC145" s="100" t="n"/>
      <x:c r="ED145" s="100" t="n"/>
      <x:c r="EE145" s="100" t="n"/>
      <x:c r="EF145" s="100" t="n"/>
      <x:c r="EG145" s="100" t="n"/>
      <x:c r="EH145" s="100" t="n"/>
      <x:c r="EI145" s="100" t="n"/>
      <x:c r="EJ145" s="100" t="n"/>
      <x:c r="EK145" s="100" t="n"/>
      <x:c r="EL145" s="100" t="n"/>
      <x:c r="EM145" s="100" t="n"/>
      <x:c r="EN145" s="100" t="n"/>
      <x:c r="EO145" s="100" t="n"/>
      <x:c r="EP145" s="100" t="n"/>
      <x:c r="EQ145" s="100" t="n"/>
      <x:c r="ER145" s="100" t="n"/>
      <x:c r="ES145" s="100" t="n"/>
      <x:c r="ET145" s="100" t="n"/>
      <x:c r="EU145" s="100" t="n"/>
      <x:c r="EV145" s="100" t="n"/>
      <x:c r="EW145" s="100" t="n"/>
      <x:c r="EX145" s="100" t="n"/>
      <x:c r="EY145" s="100" t="n"/>
      <x:c r="EZ145" s="100" t="n"/>
      <x:c r="FA145" s="100" t="n"/>
      <x:c r="FB145" s="100" t="n"/>
      <x:c r="FC145" s="100" t="n"/>
      <x:c r="FD145" s="100" t="n"/>
      <x:c r="FE145" s="100" t="n"/>
      <x:c r="FF145" s="100" t="n"/>
      <x:c r="FG145" s="100" t="n"/>
      <x:c r="FH145" s="100" t="n"/>
      <x:c r="FI145" s="100" t="n"/>
      <x:c r="FJ145" s="100" t="n"/>
      <x:c r="FK145" s="100" t="n"/>
      <x:c r="FL145" s="100" t="n"/>
      <x:c r="FM145" s="100" t="n"/>
      <x:c r="FN145" s="100" t="n"/>
      <x:c r="FO145" s="100" t="n"/>
      <x:c r="FP145" s="100" t="n"/>
      <x:c r="FQ145" s="100" t="n"/>
      <x:c r="FR145" s="100" t="n"/>
      <x:c r="FS145" s="100" t="n"/>
      <x:c r="FT145" s="100" t="n"/>
      <x:c r="FU145" s="100" t="n"/>
      <x:c r="FV145" s="100" t="n"/>
      <x:c r="FW145" s="100" t="n"/>
      <x:c r="FX145" s="100" t="n"/>
      <x:c r="FY145" s="100" t="n"/>
      <x:c r="FZ145" s="100" t="n"/>
      <x:c r="GA145" s="100" t="n"/>
      <x:c r="GB145" s="100" t="n"/>
      <x:c r="GC145" s="100" t="n"/>
      <x:c r="GD145" s="100" t="n"/>
      <x:c r="GE145" s="100" t="n"/>
      <x:c r="GF145" s="100" t="n"/>
    </x:row>
    <x:row r="146" s="27" customFormat="1">
      <x:c r="A146" s="38" t="n"/>
      <x:c r="B146" s="37" t="n"/>
      <x:c r="C146" s="36" t="n">
        <x:f>E146*D$5</x:f>
        <x:v>0</x:v>
      </x:c>
      <x:c r="D146" s="20" t="n"/>
      <x:c r="E146" s="36" t="n">
        <x:f>SUM(G146:HT146)</x:f>
        <x:v>0</x:v>
      </x:c>
      <x:c r="M146" s="100" t="n"/>
      <x:c r="N146" s="100" t="n"/>
      <x:c r="O146" s="100" t="n"/>
      <x:c r="P146" s="100" t="n"/>
      <x:c r="Q146" s="100" t="n"/>
      <x:c r="R146" s="100" t="n"/>
      <x:c r="S146" s="100" t="n"/>
      <x:c r="T146" s="100" t="n"/>
      <x:c r="U146" s="100" t="n"/>
      <x:c r="V146" s="100" t="n"/>
      <x:c r="W146" s="100" t="n"/>
      <x:c r="X146" s="100" t="n"/>
      <x:c r="Y146" s="100" t="n"/>
      <x:c r="Z146" s="100" t="n"/>
      <x:c r="AA146" s="100" t="n"/>
      <x:c r="AB146" s="100" t="n"/>
      <x:c r="AC146" s="100" t="n"/>
      <x:c r="AD146" s="100" t="n"/>
      <x:c r="AE146" s="100" t="n"/>
      <x:c r="AF146" s="100" t="n"/>
      <x:c r="AG146" s="100" t="n"/>
      <x:c r="AH146" s="100" t="n"/>
      <x:c r="AI146" s="100" t="n"/>
      <x:c r="AJ146" s="100" t="n"/>
      <x:c r="AK146" s="100" t="n"/>
      <x:c r="AL146" s="100" t="n"/>
      <x:c r="AM146" s="100" t="n"/>
      <x:c r="AN146" s="100" t="n"/>
      <x:c r="AO146" s="100" t="n"/>
      <x:c r="AP146" s="100" t="n"/>
      <x:c r="AQ146" s="100" t="n"/>
      <x:c r="AR146" s="100" t="n"/>
      <x:c r="AS146" s="100" t="n"/>
      <x:c r="AT146" s="100" t="n"/>
      <x:c r="AU146" s="100" t="n"/>
      <x:c r="AV146" s="100" t="n"/>
      <x:c r="AW146" s="100" t="n"/>
      <x:c r="AX146" s="100" t="n"/>
      <x:c r="AY146" s="100" t="n"/>
      <x:c r="AZ146" s="100" t="n"/>
      <x:c r="BA146" s="100" t="n"/>
      <x:c r="BB146" s="100" t="n"/>
      <x:c r="BC146" s="100" t="n"/>
      <x:c r="BD146" s="100" t="n"/>
      <x:c r="BE146" s="100" t="n"/>
      <x:c r="BF146" s="100" t="n"/>
      <x:c r="BG146" s="100" t="n"/>
      <x:c r="BH146" s="100" t="n"/>
      <x:c r="BI146" s="100" t="n"/>
      <x:c r="BJ146" s="100" t="n"/>
      <x:c r="BK146" s="100" t="n"/>
      <x:c r="BL146" s="100" t="n"/>
      <x:c r="BM146" s="100" t="n"/>
      <x:c r="BN146" s="100" t="n"/>
      <x:c r="BO146" s="100" t="n"/>
      <x:c r="BP146" s="100" t="n"/>
      <x:c r="BQ146" s="100" t="n"/>
      <x:c r="BR146" s="100" t="n"/>
      <x:c r="BS146" s="100" t="n"/>
      <x:c r="BT146" s="100" t="n"/>
      <x:c r="BU146" s="100" t="n"/>
      <x:c r="BV146" s="100" t="n"/>
      <x:c r="BW146" s="100" t="n"/>
      <x:c r="BX146" s="100" t="n"/>
      <x:c r="BY146" s="100" t="n"/>
      <x:c r="BZ146" s="100" t="n"/>
      <x:c r="CA146" s="100" t="n"/>
      <x:c r="CB146" s="100" t="n"/>
      <x:c r="CC146" s="100" t="n"/>
      <x:c r="CD146" s="100" t="n"/>
      <x:c r="CE146" s="100" t="n"/>
      <x:c r="CF146" s="100" t="n"/>
      <x:c r="CG146" s="100" t="n"/>
      <x:c r="CH146" s="100" t="n"/>
      <x:c r="CI146" s="100" t="n"/>
      <x:c r="CJ146" s="100" t="n"/>
      <x:c r="CK146" s="100" t="n"/>
      <x:c r="CL146" s="100" t="n"/>
      <x:c r="CM146" s="100" t="n"/>
      <x:c r="CN146" s="100" t="n"/>
      <x:c r="CO146" s="100" t="n"/>
      <x:c r="CP146" s="100" t="n"/>
      <x:c r="CQ146" s="100" t="n"/>
      <x:c r="CR146" s="100" t="n"/>
      <x:c r="CS146" s="100" t="n"/>
      <x:c r="CT146" s="100" t="n"/>
      <x:c r="CU146" s="100" t="n"/>
      <x:c r="CV146" s="100" t="n"/>
      <x:c r="CW146" s="100" t="n"/>
      <x:c r="CX146" s="100" t="n"/>
      <x:c r="CY146" s="100" t="n"/>
      <x:c r="CZ146" s="100" t="n"/>
      <x:c r="DA146" s="100" t="n"/>
      <x:c r="DB146" s="100" t="n"/>
      <x:c r="DC146" s="100" t="n"/>
      <x:c r="DD146" s="100" t="n"/>
      <x:c r="DE146" s="100" t="n"/>
      <x:c r="DF146" s="100" t="n"/>
      <x:c r="DG146" s="100" t="n"/>
      <x:c r="DH146" s="100" t="n"/>
      <x:c r="DI146" s="100" t="n"/>
      <x:c r="DJ146" s="100" t="n"/>
      <x:c r="DK146" s="100" t="n"/>
      <x:c r="DL146" s="100" t="n"/>
      <x:c r="DM146" s="100" t="n"/>
      <x:c r="DN146" s="100" t="n"/>
      <x:c r="DO146" s="100" t="n"/>
      <x:c r="DP146" s="100" t="n"/>
      <x:c r="DQ146" s="100" t="n"/>
      <x:c r="DR146" s="100" t="n"/>
      <x:c r="DS146" s="100" t="n"/>
      <x:c r="DT146" s="100" t="n"/>
      <x:c r="DU146" s="100" t="n"/>
      <x:c r="DV146" s="100" t="n"/>
      <x:c r="DW146" s="100" t="n"/>
      <x:c r="DX146" s="100" t="n"/>
      <x:c r="DY146" s="100" t="n"/>
      <x:c r="DZ146" s="100" t="n"/>
      <x:c r="EA146" s="100" t="n"/>
      <x:c r="EB146" s="100" t="n"/>
      <x:c r="EC146" s="100" t="n"/>
      <x:c r="ED146" s="100" t="n"/>
      <x:c r="EE146" s="100" t="n"/>
      <x:c r="EF146" s="100" t="n"/>
      <x:c r="EG146" s="100" t="n"/>
      <x:c r="EH146" s="100" t="n"/>
      <x:c r="EI146" s="100" t="n"/>
      <x:c r="EJ146" s="100" t="n"/>
      <x:c r="EK146" s="100" t="n"/>
      <x:c r="EL146" s="100" t="n"/>
      <x:c r="EM146" s="100" t="n"/>
      <x:c r="EN146" s="100" t="n"/>
      <x:c r="EO146" s="100" t="n"/>
      <x:c r="EP146" s="100" t="n"/>
      <x:c r="EQ146" s="100" t="n"/>
      <x:c r="ER146" s="100" t="n"/>
      <x:c r="ES146" s="100" t="n"/>
      <x:c r="ET146" s="100" t="n"/>
      <x:c r="EU146" s="100" t="n"/>
      <x:c r="EV146" s="100" t="n"/>
      <x:c r="EW146" s="100" t="n"/>
      <x:c r="EX146" s="100" t="n"/>
      <x:c r="EY146" s="100" t="n"/>
      <x:c r="EZ146" s="100" t="n"/>
      <x:c r="FA146" s="100" t="n"/>
      <x:c r="FB146" s="100" t="n"/>
      <x:c r="FC146" s="100" t="n"/>
      <x:c r="FD146" s="100" t="n"/>
      <x:c r="FE146" s="100" t="n"/>
      <x:c r="FF146" s="100" t="n"/>
      <x:c r="FG146" s="100" t="n"/>
      <x:c r="FH146" s="100" t="n"/>
      <x:c r="FI146" s="100" t="n"/>
      <x:c r="FJ146" s="100" t="n"/>
      <x:c r="FK146" s="100" t="n"/>
      <x:c r="FL146" s="100" t="n"/>
      <x:c r="FM146" s="100" t="n"/>
      <x:c r="FN146" s="100" t="n"/>
      <x:c r="FO146" s="100" t="n"/>
      <x:c r="FP146" s="100" t="n"/>
      <x:c r="FQ146" s="100" t="n"/>
      <x:c r="FR146" s="100" t="n"/>
      <x:c r="FS146" s="100" t="n"/>
      <x:c r="FT146" s="100" t="n"/>
      <x:c r="FU146" s="100" t="n"/>
      <x:c r="FV146" s="100" t="n"/>
      <x:c r="FW146" s="100" t="n"/>
      <x:c r="FX146" s="100" t="n"/>
      <x:c r="FY146" s="100" t="n"/>
      <x:c r="FZ146" s="100" t="n"/>
      <x:c r="GA146" s="100" t="n"/>
      <x:c r="GB146" s="100" t="n"/>
      <x:c r="GC146" s="100" t="n"/>
      <x:c r="GD146" s="100" t="n"/>
      <x:c r="GE146" s="100" t="n"/>
      <x:c r="GF146" s="100" t="n"/>
    </x:row>
    <x:row r="147" s="27" customFormat="1">
      <x:c r="A147" s="38" t="n"/>
      <x:c r="B147" s="37" t="n"/>
      <x:c r="C147" s="36" t="n">
        <x:f>E147*D$5</x:f>
        <x:v>0</x:v>
      </x:c>
      <x:c r="D147" s="20" t="n"/>
      <x:c r="E147" s="36" t="n">
        <x:f>SUM(G147:HT147)</x:f>
        <x:v>0</x:v>
      </x:c>
      <x:c r="M147" s="100" t="n"/>
      <x:c r="N147" s="100" t="n"/>
      <x:c r="O147" s="100" t="n"/>
      <x:c r="P147" s="100" t="n"/>
      <x:c r="Q147" s="100" t="n"/>
      <x:c r="R147" s="100" t="n"/>
      <x:c r="S147" s="100" t="n"/>
      <x:c r="T147" s="100" t="n"/>
      <x:c r="U147" s="100" t="n"/>
      <x:c r="V147" s="100" t="n"/>
      <x:c r="W147" s="100" t="n"/>
      <x:c r="X147" s="100" t="n"/>
      <x:c r="Y147" s="100" t="n"/>
      <x:c r="Z147" s="100" t="n"/>
      <x:c r="AA147" s="100" t="n"/>
      <x:c r="AB147" s="100" t="n"/>
      <x:c r="AC147" s="100" t="n"/>
      <x:c r="AD147" s="100" t="n"/>
      <x:c r="AE147" s="100" t="n"/>
      <x:c r="AF147" s="100" t="n"/>
      <x:c r="AG147" s="100" t="n"/>
      <x:c r="AH147" s="100" t="n"/>
      <x:c r="AI147" s="100" t="n"/>
      <x:c r="AJ147" s="100" t="n"/>
      <x:c r="AK147" s="100" t="n"/>
      <x:c r="AL147" s="100" t="n"/>
      <x:c r="AM147" s="100" t="n"/>
      <x:c r="AN147" s="100" t="n"/>
      <x:c r="AO147" s="100" t="n"/>
      <x:c r="AP147" s="100" t="n"/>
      <x:c r="AQ147" s="100" t="n"/>
      <x:c r="AR147" s="100" t="n"/>
      <x:c r="AS147" s="100" t="n"/>
      <x:c r="AT147" s="100" t="n"/>
      <x:c r="AU147" s="100" t="n"/>
      <x:c r="AV147" s="100" t="n"/>
      <x:c r="AW147" s="100" t="n"/>
      <x:c r="AX147" s="100" t="n"/>
      <x:c r="AY147" s="100" t="n"/>
      <x:c r="AZ147" s="100" t="n"/>
      <x:c r="BA147" s="100" t="n"/>
      <x:c r="BB147" s="100" t="n"/>
      <x:c r="BC147" s="100" t="n"/>
      <x:c r="BD147" s="100" t="n"/>
      <x:c r="BE147" s="100" t="n"/>
      <x:c r="BF147" s="100" t="n"/>
      <x:c r="BG147" s="100" t="n"/>
      <x:c r="BH147" s="100" t="n"/>
      <x:c r="BI147" s="100" t="n"/>
      <x:c r="BJ147" s="100" t="n"/>
      <x:c r="BK147" s="100" t="n"/>
      <x:c r="BL147" s="100" t="n"/>
      <x:c r="BM147" s="100" t="n"/>
      <x:c r="BN147" s="100" t="n"/>
      <x:c r="BO147" s="100" t="n"/>
      <x:c r="BP147" s="100" t="n"/>
      <x:c r="BQ147" s="100" t="n"/>
      <x:c r="BR147" s="100" t="n"/>
      <x:c r="BS147" s="100" t="n"/>
      <x:c r="BT147" s="100" t="n"/>
      <x:c r="BU147" s="100" t="n"/>
      <x:c r="BV147" s="100" t="n"/>
      <x:c r="BW147" s="100" t="n"/>
      <x:c r="BX147" s="100" t="n"/>
      <x:c r="BY147" s="100" t="n"/>
      <x:c r="BZ147" s="100" t="n"/>
      <x:c r="CA147" s="100" t="n"/>
      <x:c r="CB147" s="100" t="n"/>
      <x:c r="CC147" s="100" t="n"/>
      <x:c r="CD147" s="100" t="n"/>
      <x:c r="CE147" s="100" t="n"/>
      <x:c r="CF147" s="100" t="n"/>
      <x:c r="CG147" s="100" t="n"/>
      <x:c r="CH147" s="100" t="n"/>
      <x:c r="CI147" s="100" t="n"/>
      <x:c r="CJ147" s="100" t="n"/>
      <x:c r="CK147" s="100" t="n"/>
      <x:c r="CL147" s="100" t="n"/>
      <x:c r="CM147" s="100" t="n"/>
      <x:c r="CN147" s="100" t="n"/>
      <x:c r="CO147" s="100" t="n"/>
      <x:c r="CP147" s="100" t="n"/>
      <x:c r="CQ147" s="100" t="n"/>
      <x:c r="CR147" s="100" t="n"/>
      <x:c r="CS147" s="100" t="n"/>
      <x:c r="CT147" s="100" t="n"/>
      <x:c r="CU147" s="100" t="n"/>
      <x:c r="CV147" s="100" t="n"/>
      <x:c r="CW147" s="100" t="n"/>
      <x:c r="CX147" s="100" t="n"/>
      <x:c r="CY147" s="100" t="n"/>
      <x:c r="CZ147" s="100" t="n"/>
      <x:c r="DA147" s="100" t="n"/>
      <x:c r="DB147" s="100" t="n"/>
      <x:c r="DC147" s="100" t="n"/>
      <x:c r="DD147" s="100" t="n"/>
      <x:c r="DE147" s="100" t="n"/>
      <x:c r="DF147" s="100" t="n"/>
      <x:c r="DG147" s="100" t="n"/>
      <x:c r="DH147" s="100" t="n"/>
      <x:c r="DI147" s="100" t="n"/>
      <x:c r="DJ147" s="100" t="n"/>
      <x:c r="DK147" s="100" t="n"/>
      <x:c r="DL147" s="100" t="n"/>
      <x:c r="DM147" s="100" t="n"/>
      <x:c r="DN147" s="100" t="n"/>
      <x:c r="DO147" s="100" t="n"/>
      <x:c r="DP147" s="100" t="n"/>
      <x:c r="DQ147" s="100" t="n"/>
      <x:c r="DR147" s="100" t="n"/>
      <x:c r="DS147" s="100" t="n"/>
      <x:c r="DT147" s="100" t="n"/>
      <x:c r="DU147" s="100" t="n"/>
      <x:c r="DV147" s="100" t="n"/>
      <x:c r="DW147" s="100" t="n"/>
      <x:c r="DX147" s="100" t="n"/>
      <x:c r="DY147" s="100" t="n"/>
      <x:c r="DZ147" s="100" t="n"/>
      <x:c r="EA147" s="100" t="n"/>
      <x:c r="EB147" s="100" t="n"/>
      <x:c r="EC147" s="100" t="n"/>
      <x:c r="ED147" s="100" t="n"/>
      <x:c r="EE147" s="100" t="n"/>
      <x:c r="EF147" s="100" t="n"/>
      <x:c r="EG147" s="100" t="n"/>
      <x:c r="EH147" s="100" t="n"/>
      <x:c r="EI147" s="100" t="n"/>
      <x:c r="EJ147" s="100" t="n"/>
      <x:c r="EK147" s="100" t="n"/>
      <x:c r="EL147" s="100" t="n"/>
      <x:c r="EM147" s="100" t="n"/>
      <x:c r="EN147" s="100" t="n"/>
      <x:c r="EO147" s="100" t="n"/>
      <x:c r="EP147" s="100" t="n"/>
      <x:c r="EQ147" s="100" t="n"/>
      <x:c r="ER147" s="100" t="n"/>
      <x:c r="ES147" s="100" t="n"/>
      <x:c r="ET147" s="100" t="n"/>
      <x:c r="EU147" s="100" t="n"/>
      <x:c r="EV147" s="100" t="n"/>
      <x:c r="EW147" s="100" t="n"/>
      <x:c r="EX147" s="100" t="n"/>
      <x:c r="EY147" s="100" t="n"/>
      <x:c r="EZ147" s="100" t="n"/>
      <x:c r="FA147" s="100" t="n"/>
      <x:c r="FB147" s="100" t="n"/>
      <x:c r="FC147" s="100" t="n"/>
      <x:c r="FD147" s="100" t="n"/>
      <x:c r="FE147" s="100" t="n"/>
      <x:c r="FF147" s="100" t="n"/>
      <x:c r="FG147" s="100" t="n"/>
      <x:c r="FH147" s="100" t="n"/>
      <x:c r="FI147" s="100" t="n"/>
      <x:c r="FJ147" s="100" t="n"/>
      <x:c r="FK147" s="100" t="n"/>
      <x:c r="FL147" s="100" t="n"/>
      <x:c r="FM147" s="100" t="n"/>
      <x:c r="FN147" s="100" t="n"/>
      <x:c r="FO147" s="100" t="n"/>
      <x:c r="FP147" s="100" t="n"/>
      <x:c r="FQ147" s="100" t="n"/>
      <x:c r="FR147" s="100" t="n"/>
      <x:c r="FS147" s="100" t="n"/>
      <x:c r="FT147" s="100" t="n"/>
      <x:c r="FU147" s="100" t="n"/>
      <x:c r="FV147" s="100" t="n"/>
      <x:c r="FW147" s="100" t="n"/>
      <x:c r="FX147" s="100" t="n"/>
      <x:c r="FY147" s="100" t="n"/>
      <x:c r="FZ147" s="100" t="n"/>
      <x:c r="GA147" s="100" t="n"/>
      <x:c r="GB147" s="100" t="n"/>
      <x:c r="GC147" s="100" t="n"/>
      <x:c r="GD147" s="100" t="n"/>
      <x:c r="GE147" s="100" t="n"/>
      <x:c r="GF147" s="100" t="n"/>
    </x:row>
    <x:row r="148" s="27" customFormat="1">
      <x:c r="A148" s="38" t="n"/>
      <x:c r="B148" s="37" t="n"/>
      <x:c r="C148" s="36" t="n">
        <x:f>E148*D$5</x:f>
        <x:v>0</x:v>
      </x:c>
      <x:c r="D148" s="20" t="n"/>
      <x:c r="E148" s="36" t="n">
        <x:f>SUM(G148:HT148)</x:f>
        <x:v>0</x:v>
      </x:c>
      <x:c r="M148" s="100" t="n"/>
      <x:c r="N148" s="100" t="n"/>
      <x:c r="O148" s="100" t="n"/>
      <x:c r="P148" s="100" t="n"/>
      <x:c r="Q148" s="100" t="n"/>
      <x:c r="R148" s="100" t="n"/>
      <x:c r="S148" s="100" t="n"/>
      <x:c r="T148" s="100" t="n"/>
      <x:c r="U148" s="100" t="n"/>
      <x:c r="V148" s="100" t="n"/>
      <x:c r="W148" s="100" t="n"/>
      <x:c r="X148" s="100" t="n"/>
      <x:c r="Y148" s="100" t="n"/>
      <x:c r="Z148" s="100" t="n"/>
      <x:c r="AA148" s="100" t="n"/>
      <x:c r="AB148" s="100" t="n"/>
      <x:c r="AC148" s="100" t="n"/>
      <x:c r="AD148" s="100" t="n"/>
      <x:c r="AE148" s="100" t="n"/>
      <x:c r="AF148" s="100" t="n"/>
      <x:c r="AG148" s="100" t="n"/>
      <x:c r="AH148" s="100" t="n"/>
      <x:c r="AI148" s="100" t="n"/>
      <x:c r="AJ148" s="100" t="n"/>
      <x:c r="AK148" s="100" t="n"/>
      <x:c r="AL148" s="100" t="n"/>
      <x:c r="AM148" s="100" t="n"/>
      <x:c r="AN148" s="100" t="n"/>
      <x:c r="AO148" s="100" t="n"/>
      <x:c r="AP148" s="100" t="n"/>
      <x:c r="AQ148" s="100" t="n"/>
      <x:c r="AR148" s="100" t="n"/>
      <x:c r="AS148" s="100" t="n"/>
      <x:c r="AT148" s="100" t="n"/>
      <x:c r="AU148" s="100" t="n"/>
      <x:c r="AV148" s="100" t="n"/>
      <x:c r="AW148" s="100" t="n"/>
      <x:c r="AX148" s="100" t="n"/>
      <x:c r="AY148" s="100" t="n"/>
      <x:c r="AZ148" s="100" t="n"/>
      <x:c r="BA148" s="100" t="n"/>
      <x:c r="BB148" s="100" t="n"/>
      <x:c r="BC148" s="100" t="n"/>
      <x:c r="BD148" s="100" t="n"/>
      <x:c r="BE148" s="100" t="n"/>
      <x:c r="BF148" s="100" t="n"/>
      <x:c r="BG148" s="100" t="n"/>
      <x:c r="BH148" s="100" t="n"/>
      <x:c r="BI148" s="100" t="n"/>
      <x:c r="BJ148" s="100" t="n"/>
      <x:c r="BK148" s="100" t="n"/>
      <x:c r="BL148" s="100" t="n"/>
      <x:c r="BM148" s="100" t="n"/>
      <x:c r="BN148" s="100" t="n"/>
      <x:c r="BO148" s="100" t="n"/>
      <x:c r="BP148" s="100" t="n"/>
      <x:c r="BQ148" s="100" t="n"/>
      <x:c r="BR148" s="100" t="n"/>
      <x:c r="BS148" s="100" t="n"/>
      <x:c r="BT148" s="100" t="n"/>
      <x:c r="BU148" s="100" t="n"/>
      <x:c r="BV148" s="100" t="n"/>
      <x:c r="BW148" s="100" t="n"/>
      <x:c r="BX148" s="100" t="n"/>
      <x:c r="BY148" s="100" t="n"/>
      <x:c r="BZ148" s="100" t="n"/>
      <x:c r="CA148" s="100" t="n"/>
      <x:c r="CB148" s="100" t="n"/>
      <x:c r="CC148" s="100" t="n"/>
      <x:c r="CD148" s="100" t="n"/>
      <x:c r="CE148" s="100" t="n"/>
      <x:c r="CF148" s="100" t="n"/>
      <x:c r="CG148" s="100" t="n"/>
      <x:c r="CH148" s="100" t="n"/>
      <x:c r="CI148" s="100" t="n"/>
      <x:c r="CJ148" s="100" t="n"/>
      <x:c r="CK148" s="100" t="n"/>
      <x:c r="CL148" s="100" t="n"/>
      <x:c r="CM148" s="100" t="n"/>
      <x:c r="CN148" s="100" t="n"/>
      <x:c r="CO148" s="100" t="n"/>
      <x:c r="CP148" s="100" t="n"/>
      <x:c r="CQ148" s="100" t="n"/>
      <x:c r="CR148" s="100" t="n"/>
      <x:c r="CS148" s="100" t="n"/>
      <x:c r="CT148" s="100" t="n"/>
      <x:c r="CU148" s="100" t="n"/>
      <x:c r="CV148" s="100" t="n"/>
      <x:c r="CW148" s="100" t="n"/>
      <x:c r="CX148" s="100" t="n"/>
      <x:c r="CY148" s="100" t="n"/>
      <x:c r="CZ148" s="100" t="n"/>
      <x:c r="DA148" s="100" t="n"/>
      <x:c r="DB148" s="100" t="n"/>
      <x:c r="DC148" s="100" t="n"/>
      <x:c r="DD148" s="100" t="n"/>
      <x:c r="DE148" s="100" t="n"/>
      <x:c r="DF148" s="100" t="n"/>
      <x:c r="DG148" s="100" t="n"/>
      <x:c r="DH148" s="100" t="n"/>
      <x:c r="DI148" s="100" t="n"/>
      <x:c r="DJ148" s="100" t="n"/>
      <x:c r="DK148" s="100" t="n"/>
      <x:c r="DL148" s="100" t="n"/>
      <x:c r="DM148" s="100" t="n"/>
      <x:c r="DN148" s="100" t="n"/>
      <x:c r="DO148" s="100" t="n"/>
      <x:c r="DP148" s="100" t="n"/>
      <x:c r="DQ148" s="100" t="n"/>
      <x:c r="DR148" s="100" t="n"/>
      <x:c r="DS148" s="100" t="n"/>
      <x:c r="DT148" s="100" t="n"/>
      <x:c r="DU148" s="100" t="n"/>
      <x:c r="DV148" s="100" t="n"/>
      <x:c r="DW148" s="100" t="n"/>
      <x:c r="DX148" s="100" t="n"/>
      <x:c r="DY148" s="100" t="n"/>
      <x:c r="DZ148" s="100" t="n"/>
      <x:c r="EA148" s="100" t="n"/>
      <x:c r="EB148" s="100" t="n"/>
      <x:c r="EC148" s="100" t="n"/>
      <x:c r="ED148" s="100" t="n"/>
      <x:c r="EE148" s="100" t="n"/>
      <x:c r="EF148" s="100" t="n"/>
      <x:c r="EG148" s="100" t="n"/>
      <x:c r="EH148" s="100" t="n"/>
      <x:c r="EI148" s="100" t="n"/>
      <x:c r="EJ148" s="100" t="n"/>
      <x:c r="EK148" s="100" t="n"/>
      <x:c r="EL148" s="100" t="n"/>
      <x:c r="EM148" s="100" t="n"/>
      <x:c r="EN148" s="100" t="n"/>
      <x:c r="EO148" s="100" t="n"/>
      <x:c r="EP148" s="100" t="n"/>
      <x:c r="EQ148" s="100" t="n"/>
      <x:c r="ER148" s="100" t="n"/>
      <x:c r="ES148" s="100" t="n"/>
      <x:c r="ET148" s="100" t="n"/>
      <x:c r="EU148" s="100" t="n"/>
      <x:c r="EV148" s="100" t="n"/>
      <x:c r="EW148" s="100" t="n"/>
      <x:c r="EX148" s="100" t="n"/>
      <x:c r="EY148" s="100" t="n"/>
      <x:c r="EZ148" s="100" t="n"/>
      <x:c r="FA148" s="100" t="n"/>
      <x:c r="FB148" s="100" t="n"/>
      <x:c r="FC148" s="100" t="n"/>
      <x:c r="FD148" s="100" t="n"/>
      <x:c r="FE148" s="100" t="n"/>
      <x:c r="FF148" s="100" t="n"/>
      <x:c r="FG148" s="100" t="n"/>
      <x:c r="FH148" s="100" t="n"/>
      <x:c r="FI148" s="100" t="n"/>
      <x:c r="FJ148" s="100" t="n"/>
      <x:c r="FK148" s="100" t="n"/>
      <x:c r="FL148" s="100" t="n"/>
      <x:c r="FM148" s="100" t="n"/>
      <x:c r="FN148" s="100" t="n"/>
      <x:c r="FO148" s="100" t="n"/>
      <x:c r="FP148" s="100" t="n"/>
      <x:c r="FQ148" s="100" t="n"/>
      <x:c r="FR148" s="100" t="n"/>
      <x:c r="FS148" s="100" t="n"/>
      <x:c r="FT148" s="100" t="n"/>
      <x:c r="FU148" s="100" t="n"/>
      <x:c r="FV148" s="100" t="n"/>
      <x:c r="FW148" s="100" t="n"/>
      <x:c r="FX148" s="100" t="n"/>
      <x:c r="FY148" s="100" t="n"/>
      <x:c r="FZ148" s="100" t="n"/>
      <x:c r="GA148" s="100" t="n"/>
      <x:c r="GB148" s="100" t="n"/>
      <x:c r="GC148" s="100" t="n"/>
      <x:c r="GD148" s="100" t="n"/>
      <x:c r="GE148" s="100" t="n"/>
      <x:c r="GF148" s="100" t="n"/>
    </x:row>
    <x:row r="149" s="27" customFormat="1">
      <x:c r="A149" s="38" t="n"/>
      <x:c r="B149" s="37" t="n"/>
      <x:c r="C149" s="36" t="n">
        <x:f>E149*D$5</x:f>
        <x:v>0</x:v>
      </x:c>
      <x:c r="D149" s="20" t="n"/>
      <x:c r="E149" s="36" t="n">
        <x:f>SUM(G149:HT149)</x:f>
        <x:v>0</x:v>
      </x:c>
      <x:c r="M149" s="100" t="n"/>
      <x:c r="N149" s="100" t="n"/>
      <x:c r="O149" s="100" t="n"/>
      <x:c r="P149" s="100" t="n"/>
      <x:c r="Q149" s="100" t="n"/>
      <x:c r="R149" s="100" t="n"/>
      <x:c r="S149" s="100" t="n"/>
      <x:c r="T149" s="100" t="n"/>
      <x:c r="U149" s="100" t="n"/>
      <x:c r="V149" s="100" t="n"/>
      <x:c r="W149" s="100" t="n"/>
      <x:c r="X149" s="100" t="n"/>
      <x:c r="Y149" s="100" t="n"/>
      <x:c r="Z149" s="100" t="n"/>
      <x:c r="AA149" s="100" t="n"/>
      <x:c r="AB149" s="100" t="n"/>
      <x:c r="AC149" s="100" t="n"/>
      <x:c r="AD149" s="100" t="n"/>
      <x:c r="AE149" s="100" t="n"/>
      <x:c r="AF149" s="100" t="n"/>
      <x:c r="AG149" s="100" t="n"/>
      <x:c r="AH149" s="100" t="n"/>
      <x:c r="AI149" s="100" t="n"/>
      <x:c r="AJ149" s="100" t="n"/>
      <x:c r="AK149" s="100" t="n"/>
      <x:c r="AL149" s="100" t="n"/>
      <x:c r="AM149" s="100" t="n"/>
      <x:c r="AN149" s="100" t="n"/>
      <x:c r="AO149" s="100" t="n"/>
      <x:c r="AP149" s="100" t="n"/>
      <x:c r="AQ149" s="100" t="n"/>
      <x:c r="AR149" s="100" t="n"/>
      <x:c r="AS149" s="100" t="n"/>
      <x:c r="AT149" s="100" t="n"/>
      <x:c r="AU149" s="100" t="n"/>
      <x:c r="AV149" s="100" t="n"/>
      <x:c r="AW149" s="100" t="n"/>
      <x:c r="AX149" s="100" t="n"/>
      <x:c r="AY149" s="100" t="n"/>
      <x:c r="AZ149" s="100" t="n"/>
      <x:c r="BA149" s="100" t="n"/>
      <x:c r="BB149" s="100" t="n"/>
      <x:c r="BC149" s="100" t="n"/>
      <x:c r="BD149" s="100" t="n"/>
      <x:c r="BE149" s="100" t="n"/>
      <x:c r="BF149" s="100" t="n"/>
      <x:c r="BG149" s="100" t="n"/>
      <x:c r="BH149" s="100" t="n"/>
      <x:c r="BI149" s="100" t="n"/>
      <x:c r="BJ149" s="100" t="n"/>
      <x:c r="BK149" s="100" t="n"/>
      <x:c r="BL149" s="100" t="n"/>
      <x:c r="BM149" s="100" t="n"/>
      <x:c r="BN149" s="100" t="n"/>
      <x:c r="BO149" s="100" t="n"/>
      <x:c r="BP149" s="100" t="n"/>
      <x:c r="BQ149" s="100" t="n"/>
      <x:c r="BR149" s="100" t="n"/>
      <x:c r="BS149" s="100" t="n"/>
      <x:c r="BT149" s="100" t="n"/>
      <x:c r="BU149" s="100" t="n"/>
      <x:c r="BV149" s="100" t="n"/>
      <x:c r="BW149" s="100" t="n"/>
      <x:c r="BX149" s="100" t="n"/>
      <x:c r="BY149" s="100" t="n"/>
      <x:c r="BZ149" s="100" t="n"/>
      <x:c r="CA149" s="100" t="n"/>
      <x:c r="CB149" s="100" t="n"/>
      <x:c r="CC149" s="100" t="n"/>
      <x:c r="CD149" s="100" t="n"/>
      <x:c r="CE149" s="100" t="n"/>
      <x:c r="CF149" s="100" t="n"/>
      <x:c r="CG149" s="100" t="n"/>
      <x:c r="CH149" s="100" t="n"/>
      <x:c r="CI149" s="100" t="n"/>
      <x:c r="CJ149" s="100" t="n"/>
      <x:c r="CK149" s="100" t="n"/>
      <x:c r="CL149" s="100" t="n"/>
      <x:c r="CM149" s="100" t="n"/>
      <x:c r="CN149" s="100" t="n"/>
      <x:c r="CO149" s="100" t="n"/>
      <x:c r="CP149" s="100" t="n"/>
      <x:c r="CQ149" s="100" t="n"/>
      <x:c r="CR149" s="100" t="n"/>
      <x:c r="CS149" s="100" t="n"/>
      <x:c r="CT149" s="100" t="n"/>
      <x:c r="CU149" s="100" t="n"/>
      <x:c r="CV149" s="100" t="n"/>
      <x:c r="CW149" s="100" t="n"/>
      <x:c r="CX149" s="100" t="n"/>
      <x:c r="CY149" s="100" t="n"/>
      <x:c r="CZ149" s="100" t="n"/>
      <x:c r="DA149" s="100" t="n"/>
      <x:c r="DB149" s="100" t="n"/>
      <x:c r="DC149" s="100" t="n"/>
      <x:c r="DD149" s="100" t="n"/>
      <x:c r="DE149" s="100" t="n"/>
      <x:c r="DF149" s="100" t="n"/>
      <x:c r="DG149" s="100" t="n"/>
      <x:c r="DH149" s="100" t="n"/>
      <x:c r="DI149" s="100" t="n"/>
      <x:c r="DJ149" s="100" t="n"/>
      <x:c r="DK149" s="100" t="n"/>
      <x:c r="DL149" s="100" t="n"/>
      <x:c r="DM149" s="100" t="n"/>
      <x:c r="DN149" s="100" t="n"/>
      <x:c r="DO149" s="100" t="n"/>
      <x:c r="DP149" s="100" t="n"/>
      <x:c r="DQ149" s="100" t="n"/>
      <x:c r="DR149" s="100" t="n"/>
      <x:c r="DS149" s="100" t="n"/>
      <x:c r="DT149" s="100" t="n"/>
      <x:c r="DU149" s="100" t="n"/>
      <x:c r="DV149" s="100" t="n"/>
      <x:c r="DW149" s="100" t="n"/>
      <x:c r="DX149" s="100" t="n"/>
      <x:c r="DY149" s="100" t="n"/>
      <x:c r="DZ149" s="100" t="n"/>
      <x:c r="EA149" s="100" t="n"/>
      <x:c r="EB149" s="100" t="n"/>
      <x:c r="EC149" s="100" t="n"/>
      <x:c r="ED149" s="100" t="n"/>
      <x:c r="EE149" s="100" t="n"/>
      <x:c r="EF149" s="100" t="n"/>
      <x:c r="EG149" s="100" t="n"/>
      <x:c r="EH149" s="100" t="n"/>
      <x:c r="EI149" s="100" t="n"/>
      <x:c r="EJ149" s="100" t="n"/>
      <x:c r="EK149" s="100" t="n"/>
      <x:c r="EL149" s="100" t="n"/>
      <x:c r="EM149" s="100" t="n"/>
      <x:c r="EN149" s="100" t="n"/>
      <x:c r="EO149" s="100" t="n"/>
      <x:c r="EP149" s="100" t="n"/>
      <x:c r="EQ149" s="100" t="n"/>
      <x:c r="ER149" s="100" t="n"/>
      <x:c r="ES149" s="100" t="n"/>
      <x:c r="ET149" s="100" t="n"/>
      <x:c r="EU149" s="100" t="n"/>
      <x:c r="EV149" s="100" t="n"/>
      <x:c r="EW149" s="100" t="n"/>
      <x:c r="EX149" s="100" t="n"/>
      <x:c r="EY149" s="100" t="n"/>
      <x:c r="EZ149" s="100" t="n"/>
      <x:c r="FA149" s="100" t="n"/>
      <x:c r="FB149" s="100" t="n"/>
      <x:c r="FC149" s="100" t="n"/>
      <x:c r="FD149" s="100" t="n"/>
      <x:c r="FE149" s="100" t="n"/>
      <x:c r="FF149" s="100" t="n"/>
      <x:c r="FG149" s="100" t="n"/>
      <x:c r="FH149" s="100" t="n"/>
      <x:c r="FI149" s="100" t="n"/>
      <x:c r="FJ149" s="100" t="n"/>
      <x:c r="FK149" s="100" t="n"/>
      <x:c r="FL149" s="100" t="n"/>
      <x:c r="FM149" s="100" t="n"/>
      <x:c r="FN149" s="100" t="n"/>
      <x:c r="FO149" s="100" t="n"/>
      <x:c r="FP149" s="100" t="n"/>
      <x:c r="FQ149" s="100" t="n"/>
      <x:c r="FR149" s="100" t="n"/>
      <x:c r="FS149" s="100" t="n"/>
      <x:c r="FT149" s="100" t="n"/>
      <x:c r="FU149" s="100" t="n"/>
      <x:c r="FV149" s="100" t="n"/>
      <x:c r="FW149" s="100" t="n"/>
      <x:c r="FX149" s="100" t="n"/>
      <x:c r="FY149" s="100" t="n"/>
      <x:c r="FZ149" s="100" t="n"/>
      <x:c r="GA149" s="100" t="n"/>
      <x:c r="GB149" s="100" t="n"/>
      <x:c r="GC149" s="100" t="n"/>
      <x:c r="GD149" s="100" t="n"/>
      <x:c r="GE149" s="100" t="n"/>
      <x:c r="GF149" s="100" t="n"/>
    </x:row>
    <x:row r="150" s="27" customFormat="1">
      <x:c r="A150" s="38" t="n"/>
      <x:c r="B150" s="37" t="n"/>
      <x:c r="C150" s="36" t="n">
        <x:f>E150*D$5</x:f>
        <x:v>0</x:v>
      </x:c>
      <x:c r="D150" s="20" t="n"/>
      <x:c r="E150" s="36" t="n">
        <x:f>SUM(G150:HT150)</x:f>
        <x:v>0</x:v>
      </x:c>
      <x:c r="M150" s="100" t="n"/>
      <x:c r="N150" s="100" t="n"/>
      <x:c r="O150" s="100" t="n"/>
      <x:c r="P150" s="100" t="n"/>
      <x:c r="Q150" s="100" t="n"/>
      <x:c r="R150" s="100" t="n"/>
      <x:c r="S150" s="100" t="n"/>
      <x:c r="T150" s="100" t="n"/>
      <x:c r="U150" s="100" t="n"/>
      <x:c r="V150" s="100" t="n"/>
      <x:c r="W150" s="100" t="n"/>
      <x:c r="X150" s="100" t="n"/>
      <x:c r="Y150" s="100" t="n"/>
      <x:c r="Z150" s="100" t="n"/>
      <x:c r="AA150" s="100" t="n"/>
      <x:c r="AB150" s="100" t="n"/>
      <x:c r="AC150" s="100" t="n"/>
      <x:c r="AD150" s="100" t="n"/>
      <x:c r="AE150" s="100" t="n"/>
      <x:c r="AF150" s="100" t="n"/>
      <x:c r="AG150" s="100" t="n"/>
      <x:c r="AH150" s="100" t="n"/>
      <x:c r="AI150" s="100" t="n"/>
      <x:c r="AJ150" s="100" t="n"/>
      <x:c r="AK150" s="100" t="n"/>
      <x:c r="AL150" s="100" t="n"/>
      <x:c r="AM150" s="100" t="n"/>
      <x:c r="AN150" s="100" t="n"/>
      <x:c r="AO150" s="100" t="n"/>
      <x:c r="AP150" s="100" t="n"/>
      <x:c r="AQ150" s="100" t="n"/>
      <x:c r="AR150" s="100" t="n"/>
      <x:c r="AS150" s="100" t="n"/>
      <x:c r="AT150" s="100" t="n"/>
      <x:c r="AU150" s="100" t="n"/>
      <x:c r="AV150" s="100" t="n"/>
      <x:c r="AW150" s="100" t="n"/>
      <x:c r="AX150" s="100" t="n"/>
      <x:c r="AY150" s="100" t="n"/>
      <x:c r="AZ150" s="100" t="n"/>
      <x:c r="BA150" s="100" t="n"/>
      <x:c r="BB150" s="100" t="n"/>
      <x:c r="BC150" s="100" t="n"/>
      <x:c r="BD150" s="100" t="n"/>
      <x:c r="BE150" s="100" t="n"/>
      <x:c r="BF150" s="100" t="n"/>
      <x:c r="BG150" s="100" t="n"/>
      <x:c r="BH150" s="100" t="n"/>
      <x:c r="BI150" s="100" t="n"/>
      <x:c r="BJ150" s="100" t="n"/>
      <x:c r="BK150" s="100" t="n"/>
      <x:c r="BL150" s="100" t="n"/>
      <x:c r="BM150" s="100" t="n"/>
      <x:c r="BN150" s="100" t="n"/>
      <x:c r="BO150" s="100" t="n"/>
      <x:c r="BP150" s="100" t="n"/>
      <x:c r="BQ150" s="100" t="n"/>
      <x:c r="BR150" s="100" t="n"/>
      <x:c r="BS150" s="100" t="n"/>
      <x:c r="BT150" s="100" t="n"/>
      <x:c r="BU150" s="100" t="n"/>
      <x:c r="BV150" s="100" t="n"/>
      <x:c r="BW150" s="100" t="n"/>
      <x:c r="BX150" s="100" t="n"/>
      <x:c r="BY150" s="100" t="n"/>
      <x:c r="BZ150" s="100" t="n"/>
      <x:c r="CA150" s="100" t="n"/>
      <x:c r="CB150" s="100" t="n"/>
      <x:c r="CC150" s="100" t="n"/>
      <x:c r="CD150" s="100" t="n"/>
      <x:c r="CE150" s="100" t="n"/>
      <x:c r="CF150" s="100" t="n"/>
      <x:c r="CG150" s="100" t="n"/>
      <x:c r="CH150" s="100" t="n"/>
      <x:c r="CI150" s="100" t="n"/>
      <x:c r="CJ150" s="100" t="n"/>
      <x:c r="CK150" s="100" t="n"/>
      <x:c r="CL150" s="100" t="n"/>
      <x:c r="CM150" s="100" t="n"/>
      <x:c r="CN150" s="100" t="n"/>
      <x:c r="CO150" s="100" t="n"/>
      <x:c r="CP150" s="100" t="n"/>
      <x:c r="CQ150" s="100" t="n"/>
      <x:c r="CR150" s="100" t="n"/>
      <x:c r="CS150" s="100" t="n"/>
      <x:c r="CT150" s="100" t="n"/>
      <x:c r="CU150" s="100" t="n"/>
      <x:c r="CV150" s="100" t="n"/>
      <x:c r="CW150" s="100" t="n"/>
      <x:c r="CX150" s="100" t="n"/>
      <x:c r="CY150" s="100" t="n"/>
      <x:c r="CZ150" s="100" t="n"/>
      <x:c r="DA150" s="100" t="n"/>
      <x:c r="DB150" s="100" t="n"/>
      <x:c r="DC150" s="100" t="n"/>
      <x:c r="DD150" s="100" t="n"/>
      <x:c r="DE150" s="100" t="n"/>
      <x:c r="DF150" s="100" t="n"/>
      <x:c r="DG150" s="100" t="n"/>
      <x:c r="DH150" s="100" t="n"/>
      <x:c r="DI150" s="100" t="n"/>
      <x:c r="DJ150" s="100" t="n"/>
      <x:c r="DK150" s="100" t="n"/>
      <x:c r="DL150" s="100" t="n"/>
      <x:c r="DM150" s="100" t="n"/>
      <x:c r="DN150" s="100" t="n"/>
      <x:c r="DO150" s="100" t="n"/>
      <x:c r="DP150" s="100" t="n"/>
      <x:c r="DQ150" s="100" t="n"/>
      <x:c r="DR150" s="100" t="n"/>
      <x:c r="DS150" s="100" t="n"/>
      <x:c r="DT150" s="100" t="n"/>
      <x:c r="DU150" s="100" t="n"/>
      <x:c r="DV150" s="100" t="n"/>
      <x:c r="DW150" s="100" t="n"/>
      <x:c r="DX150" s="100" t="n"/>
      <x:c r="DY150" s="100" t="n"/>
      <x:c r="DZ150" s="100" t="n"/>
      <x:c r="EA150" s="100" t="n"/>
      <x:c r="EB150" s="100" t="n"/>
      <x:c r="EC150" s="100" t="n"/>
      <x:c r="ED150" s="100" t="n"/>
      <x:c r="EE150" s="100" t="n"/>
      <x:c r="EF150" s="100" t="n"/>
      <x:c r="EG150" s="100" t="n"/>
      <x:c r="EH150" s="100" t="n"/>
      <x:c r="EI150" s="100" t="n"/>
      <x:c r="EJ150" s="100" t="n"/>
      <x:c r="EK150" s="100" t="n"/>
      <x:c r="EL150" s="100" t="n"/>
      <x:c r="EM150" s="100" t="n"/>
      <x:c r="EN150" s="100" t="n"/>
      <x:c r="EO150" s="100" t="n"/>
      <x:c r="EP150" s="100" t="n"/>
      <x:c r="EQ150" s="100" t="n"/>
      <x:c r="ER150" s="100" t="n"/>
      <x:c r="ES150" s="100" t="n"/>
      <x:c r="ET150" s="100" t="n"/>
      <x:c r="EU150" s="100" t="n"/>
      <x:c r="EV150" s="100" t="n"/>
      <x:c r="EW150" s="100" t="n"/>
      <x:c r="EX150" s="100" t="n"/>
      <x:c r="EY150" s="100" t="n"/>
      <x:c r="EZ150" s="100" t="n"/>
      <x:c r="FA150" s="100" t="n"/>
      <x:c r="FB150" s="100" t="n"/>
      <x:c r="FC150" s="100" t="n"/>
      <x:c r="FD150" s="100" t="n"/>
      <x:c r="FE150" s="100" t="n"/>
      <x:c r="FF150" s="100" t="n"/>
      <x:c r="FG150" s="100" t="n"/>
      <x:c r="FH150" s="100" t="n"/>
      <x:c r="FI150" s="100" t="n"/>
      <x:c r="FJ150" s="100" t="n"/>
      <x:c r="FK150" s="100" t="n"/>
      <x:c r="FL150" s="100" t="n"/>
      <x:c r="FM150" s="100" t="n"/>
      <x:c r="FN150" s="100" t="n"/>
      <x:c r="FO150" s="100" t="n"/>
      <x:c r="FP150" s="100" t="n"/>
      <x:c r="FQ150" s="100" t="n"/>
      <x:c r="FR150" s="100" t="n"/>
      <x:c r="FS150" s="100" t="n"/>
      <x:c r="FT150" s="100" t="n"/>
      <x:c r="FU150" s="100" t="n"/>
      <x:c r="FV150" s="100" t="n"/>
      <x:c r="FW150" s="100" t="n"/>
      <x:c r="FX150" s="100" t="n"/>
      <x:c r="FY150" s="100" t="n"/>
      <x:c r="FZ150" s="100" t="n"/>
      <x:c r="GA150" s="100" t="n"/>
      <x:c r="GB150" s="100" t="n"/>
      <x:c r="GC150" s="100" t="n"/>
      <x:c r="GD150" s="100" t="n"/>
      <x:c r="GE150" s="100" t="n"/>
      <x:c r="GF150" s="100" t="n"/>
    </x:row>
    <x:row r="151" s="27" customFormat="1">
      <x:c r="A151" s="38" t="n"/>
      <x:c r="B151" s="37" t="n"/>
      <x:c r="C151" s="36" t="n">
        <x:f>E151*D$5</x:f>
        <x:v>0</x:v>
      </x:c>
      <x:c r="D151" s="20" t="n"/>
      <x:c r="E151" s="36" t="n">
        <x:f>SUM(G151:HT151)</x:f>
        <x:v>0</x:v>
      </x:c>
      <x:c r="M151" s="100" t="n"/>
      <x:c r="N151" s="100" t="n"/>
      <x:c r="O151" s="100" t="n"/>
      <x:c r="P151" s="100" t="n"/>
      <x:c r="Q151" s="100" t="n"/>
      <x:c r="R151" s="100" t="n"/>
      <x:c r="S151" s="100" t="n"/>
      <x:c r="T151" s="100" t="n"/>
      <x:c r="U151" s="100" t="n"/>
      <x:c r="V151" s="100" t="n"/>
      <x:c r="W151" s="100" t="n"/>
      <x:c r="X151" s="100" t="n"/>
      <x:c r="Y151" s="100" t="n"/>
      <x:c r="Z151" s="100" t="n"/>
      <x:c r="AA151" s="100" t="n"/>
      <x:c r="AB151" s="100" t="n"/>
      <x:c r="AC151" s="100" t="n"/>
      <x:c r="AD151" s="100" t="n"/>
      <x:c r="AE151" s="100" t="n"/>
      <x:c r="AF151" s="100" t="n"/>
      <x:c r="AG151" s="100" t="n"/>
      <x:c r="AH151" s="100" t="n"/>
      <x:c r="AI151" s="100" t="n"/>
      <x:c r="AJ151" s="100" t="n"/>
      <x:c r="AK151" s="100" t="n"/>
      <x:c r="AL151" s="100" t="n"/>
      <x:c r="AM151" s="100" t="n"/>
      <x:c r="AN151" s="100" t="n"/>
      <x:c r="AO151" s="100" t="n"/>
      <x:c r="AP151" s="100" t="n"/>
      <x:c r="AQ151" s="100" t="n"/>
      <x:c r="AR151" s="100" t="n"/>
      <x:c r="AS151" s="100" t="n"/>
      <x:c r="AT151" s="100" t="n"/>
      <x:c r="AU151" s="100" t="n"/>
      <x:c r="AV151" s="100" t="n"/>
      <x:c r="AW151" s="100" t="n"/>
      <x:c r="AX151" s="100" t="n"/>
      <x:c r="AY151" s="100" t="n"/>
      <x:c r="AZ151" s="100" t="n"/>
      <x:c r="BA151" s="100" t="n"/>
      <x:c r="BB151" s="100" t="n"/>
      <x:c r="BC151" s="100" t="n"/>
      <x:c r="BD151" s="100" t="n"/>
      <x:c r="BE151" s="100" t="n"/>
      <x:c r="BF151" s="100" t="n"/>
      <x:c r="BG151" s="100" t="n"/>
      <x:c r="BH151" s="100" t="n"/>
      <x:c r="BI151" s="100" t="n"/>
      <x:c r="BJ151" s="100" t="n"/>
      <x:c r="BK151" s="100" t="n"/>
      <x:c r="BL151" s="100" t="n"/>
      <x:c r="BM151" s="100" t="n"/>
      <x:c r="BN151" s="100" t="n"/>
      <x:c r="BO151" s="100" t="n"/>
      <x:c r="BP151" s="100" t="n"/>
      <x:c r="BQ151" s="100" t="n"/>
      <x:c r="BR151" s="100" t="n"/>
      <x:c r="BS151" s="100" t="n"/>
      <x:c r="BT151" s="100" t="n"/>
      <x:c r="BU151" s="100" t="n"/>
      <x:c r="BV151" s="100" t="n"/>
      <x:c r="BW151" s="100" t="n"/>
      <x:c r="BX151" s="100" t="n"/>
      <x:c r="BY151" s="100" t="n"/>
      <x:c r="BZ151" s="100" t="n"/>
      <x:c r="CA151" s="100" t="n"/>
      <x:c r="CB151" s="100" t="n"/>
      <x:c r="CC151" s="100" t="n"/>
      <x:c r="CD151" s="100" t="n"/>
      <x:c r="CE151" s="100" t="n"/>
      <x:c r="CF151" s="100" t="n"/>
      <x:c r="CG151" s="100" t="n"/>
      <x:c r="CH151" s="100" t="n"/>
      <x:c r="CI151" s="100" t="n"/>
      <x:c r="CJ151" s="100" t="n"/>
      <x:c r="CK151" s="100" t="n"/>
      <x:c r="CL151" s="100" t="n"/>
      <x:c r="CM151" s="100" t="n"/>
      <x:c r="CN151" s="100" t="n"/>
      <x:c r="CO151" s="100" t="n"/>
      <x:c r="CP151" s="100" t="n"/>
      <x:c r="CQ151" s="100" t="n"/>
      <x:c r="CR151" s="100" t="n"/>
      <x:c r="CS151" s="100" t="n"/>
      <x:c r="CT151" s="100" t="n"/>
      <x:c r="CU151" s="100" t="n"/>
      <x:c r="CV151" s="100" t="n"/>
      <x:c r="CW151" s="100" t="n"/>
      <x:c r="CX151" s="100" t="n"/>
      <x:c r="CY151" s="100" t="n"/>
      <x:c r="CZ151" s="100" t="n"/>
      <x:c r="DA151" s="100" t="n"/>
      <x:c r="DB151" s="100" t="n"/>
      <x:c r="DC151" s="100" t="n"/>
      <x:c r="DD151" s="100" t="n"/>
      <x:c r="DE151" s="100" t="n"/>
      <x:c r="DF151" s="100" t="n"/>
      <x:c r="DG151" s="100" t="n"/>
      <x:c r="DH151" s="100" t="n"/>
      <x:c r="DI151" s="100" t="n"/>
      <x:c r="DJ151" s="100" t="n"/>
      <x:c r="DK151" s="100" t="n"/>
      <x:c r="DL151" s="100" t="n"/>
      <x:c r="DM151" s="100" t="n"/>
      <x:c r="DN151" s="100" t="n"/>
      <x:c r="DO151" s="100" t="n"/>
      <x:c r="DP151" s="100" t="n"/>
      <x:c r="DQ151" s="100" t="n"/>
      <x:c r="DR151" s="100" t="n"/>
      <x:c r="DS151" s="100" t="n"/>
      <x:c r="DT151" s="100" t="n"/>
      <x:c r="DU151" s="100" t="n"/>
      <x:c r="DV151" s="100" t="n"/>
      <x:c r="DW151" s="100" t="n"/>
      <x:c r="DX151" s="100" t="n"/>
      <x:c r="DY151" s="100" t="n"/>
      <x:c r="DZ151" s="100" t="n"/>
      <x:c r="EA151" s="100" t="n"/>
      <x:c r="EB151" s="100" t="n"/>
      <x:c r="EC151" s="100" t="n"/>
      <x:c r="ED151" s="100" t="n"/>
      <x:c r="EE151" s="100" t="n"/>
      <x:c r="EF151" s="100" t="n"/>
      <x:c r="EG151" s="100" t="n"/>
      <x:c r="EH151" s="100" t="n"/>
      <x:c r="EI151" s="100" t="n"/>
      <x:c r="EJ151" s="100" t="n"/>
      <x:c r="EK151" s="100" t="n"/>
      <x:c r="EL151" s="100" t="n"/>
      <x:c r="EM151" s="100" t="n"/>
      <x:c r="EN151" s="100" t="n"/>
      <x:c r="EO151" s="100" t="n"/>
      <x:c r="EP151" s="100" t="n"/>
      <x:c r="EQ151" s="100" t="n"/>
      <x:c r="ER151" s="100" t="n"/>
      <x:c r="ES151" s="100" t="n"/>
      <x:c r="ET151" s="100" t="n"/>
      <x:c r="EU151" s="100" t="n"/>
      <x:c r="EV151" s="100" t="n"/>
      <x:c r="EW151" s="100" t="n"/>
      <x:c r="EX151" s="100" t="n"/>
      <x:c r="EY151" s="100" t="n"/>
      <x:c r="EZ151" s="100" t="n"/>
      <x:c r="FA151" s="100" t="n"/>
      <x:c r="FB151" s="100" t="n"/>
      <x:c r="FC151" s="100" t="n"/>
      <x:c r="FD151" s="100" t="n"/>
      <x:c r="FE151" s="100" t="n"/>
      <x:c r="FF151" s="100" t="n"/>
      <x:c r="FG151" s="100" t="n"/>
      <x:c r="FH151" s="100" t="n"/>
      <x:c r="FI151" s="100" t="n"/>
      <x:c r="FJ151" s="100" t="n"/>
      <x:c r="FK151" s="100" t="n"/>
      <x:c r="FL151" s="100" t="n"/>
      <x:c r="FM151" s="100" t="n"/>
      <x:c r="FN151" s="100" t="n"/>
      <x:c r="FO151" s="100" t="n"/>
      <x:c r="FP151" s="100" t="n"/>
      <x:c r="FQ151" s="100" t="n"/>
      <x:c r="FR151" s="100" t="n"/>
      <x:c r="FS151" s="100" t="n"/>
      <x:c r="FT151" s="100" t="n"/>
      <x:c r="FU151" s="100" t="n"/>
      <x:c r="FV151" s="100" t="n"/>
      <x:c r="FW151" s="100" t="n"/>
      <x:c r="FX151" s="100" t="n"/>
      <x:c r="FY151" s="100" t="n"/>
      <x:c r="FZ151" s="100" t="n"/>
      <x:c r="GA151" s="100" t="n"/>
      <x:c r="GB151" s="100" t="n"/>
      <x:c r="GC151" s="100" t="n"/>
      <x:c r="GD151" s="100" t="n"/>
      <x:c r="GE151" s="100" t="n"/>
      <x:c r="GF151" s="100" t="n"/>
    </x:row>
    <x:row r="152" s="27" customFormat="1">
      <x:c r="A152" s="38" t="n"/>
      <x:c r="B152" s="37" t="n"/>
      <x:c r="C152" s="36" t="n">
        <x:f>E152*D$5</x:f>
        <x:v>0</x:v>
      </x:c>
      <x:c r="D152" s="20" t="n"/>
      <x:c r="E152" s="36" t="n">
        <x:f>SUM(G152:HT152)</x:f>
        <x:v>0</x:v>
      </x:c>
      <x:c r="M152" s="100" t="n"/>
      <x:c r="N152" s="100" t="n"/>
      <x:c r="O152" s="100" t="n"/>
      <x:c r="P152" s="100" t="n"/>
      <x:c r="Q152" s="100" t="n"/>
      <x:c r="R152" s="100" t="n"/>
      <x:c r="S152" s="100" t="n"/>
      <x:c r="T152" s="100" t="n"/>
      <x:c r="U152" s="100" t="n"/>
      <x:c r="V152" s="100" t="n"/>
      <x:c r="W152" s="100" t="n"/>
      <x:c r="X152" s="100" t="n"/>
      <x:c r="Y152" s="100" t="n"/>
      <x:c r="Z152" s="100" t="n"/>
      <x:c r="AA152" s="100" t="n"/>
      <x:c r="AB152" s="100" t="n"/>
      <x:c r="AC152" s="100" t="n"/>
      <x:c r="AD152" s="100" t="n"/>
      <x:c r="AE152" s="100" t="n"/>
      <x:c r="AF152" s="100" t="n"/>
      <x:c r="AG152" s="100" t="n"/>
      <x:c r="AH152" s="100" t="n"/>
      <x:c r="AI152" s="100" t="n"/>
      <x:c r="AJ152" s="100" t="n"/>
      <x:c r="AK152" s="100" t="n"/>
      <x:c r="AL152" s="100" t="n"/>
      <x:c r="AM152" s="100" t="n"/>
      <x:c r="AN152" s="100" t="n"/>
      <x:c r="AO152" s="100" t="n"/>
      <x:c r="AP152" s="100" t="n"/>
      <x:c r="AQ152" s="100" t="n"/>
      <x:c r="AR152" s="100" t="n"/>
      <x:c r="AS152" s="100" t="n"/>
      <x:c r="AT152" s="100" t="n"/>
      <x:c r="AU152" s="100" t="n"/>
      <x:c r="AV152" s="100" t="n"/>
      <x:c r="AW152" s="100" t="n"/>
      <x:c r="AX152" s="100" t="n"/>
      <x:c r="AY152" s="100" t="n"/>
      <x:c r="AZ152" s="100" t="n"/>
      <x:c r="BA152" s="100" t="n"/>
      <x:c r="BB152" s="100" t="n"/>
      <x:c r="BC152" s="100" t="n"/>
      <x:c r="BD152" s="100" t="n"/>
      <x:c r="BE152" s="100" t="n"/>
      <x:c r="BF152" s="100" t="n"/>
      <x:c r="BG152" s="100" t="n"/>
      <x:c r="BH152" s="100" t="n"/>
      <x:c r="BI152" s="100" t="n"/>
      <x:c r="BJ152" s="100" t="n"/>
      <x:c r="BK152" s="100" t="n"/>
      <x:c r="BL152" s="100" t="n"/>
      <x:c r="BM152" s="100" t="n"/>
      <x:c r="BN152" s="100" t="n"/>
      <x:c r="BO152" s="100" t="n"/>
      <x:c r="BP152" s="100" t="n"/>
      <x:c r="BQ152" s="100" t="n"/>
      <x:c r="BR152" s="100" t="n"/>
      <x:c r="BS152" s="100" t="n"/>
      <x:c r="BT152" s="100" t="n"/>
      <x:c r="BU152" s="100" t="n"/>
      <x:c r="BV152" s="100" t="n"/>
      <x:c r="BW152" s="100" t="n"/>
      <x:c r="BX152" s="100" t="n"/>
      <x:c r="BY152" s="100" t="n"/>
      <x:c r="BZ152" s="100" t="n"/>
      <x:c r="CA152" s="100" t="n"/>
      <x:c r="CB152" s="100" t="n"/>
      <x:c r="CC152" s="100" t="n"/>
      <x:c r="CD152" s="100" t="n"/>
      <x:c r="CE152" s="100" t="n"/>
      <x:c r="CF152" s="100" t="n"/>
      <x:c r="CG152" s="100" t="n"/>
      <x:c r="CH152" s="100" t="n"/>
      <x:c r="CI152" s="100" t="n"/>
      <x:c r="CJ152" s="100" t="n"/>
      <x:c r="CK152" s="100" t="n"/>
      <x:c r="CL152" s="100" t="n"/>
      <x:c r="CM152" s="100" t="n"/>
      <x:c r="CN152" s="100" t="n"/>
      <x:c r="CO152" s="100" t="n"/>
      <x:c r="CP152" s="100" t="n"/>
      <x:c r="CQ152" s="100" t="n"/>
      <x:c r="CR152" s="100" t="n"/>
      <x:c r="CS152" s="100" t="n"/>
      <x:c r="CT152" s="100" t="n"/>
      <x:c r="CU152" s="100" t="n"/>
      <x:c r="CV152" s="100" t="n"/>
      <x:c r="CW152" s="100" t="n"/>
      <x:c r="CX152" s="100" t="n"/>
      <x:c r="CY152" s="100" t="n"/>
      <x:c r="CZ152" s="100" t="n"/>
      <x:c r="DA152" s="100" t="n"/>
      <x:c r="DB152" s="100" t="n"/>
      <x:c r="DC152" s="100" t="n"/>
      <x:c r="DD152" s="100" t="n"/>
      <x:c r="DE152" s="100" t="n"/>
      <x:c r="DF152" s="100" t="n"/>
      <x:c r="DG152" s="100" t="n"/>
      <x:c r="DH152" s="100" t="n"/>
      <x:c r="DI152" s="100" t="n"/>
      <x:c r="DJ152" s="100" t="n"/>
      <x:c r="DK152" s="100" t="n"/>
      <x:c r="DL152" s="100" t="n"/>
      <x:c r="DM152" s="100" t="n"/>
      <x:c r="DN152" s="100" t="n"/>
      <x:c r="DO152" s="100" t="n"/>
      <x:c r="DP152" s="100" t="n"/>
      <x:c r="DQ152" s="100" t="n"/>
      <x:c r="DR152" s="100" t="n"/>
      <x:c r="DS152" s="100" t="n"/>
      <x:c r="DT152" s="100" t="n"/>
      <x:c r="DU152" s="100" t="n"/>
      <x:c r="DV152" s="100" t="n"/>
      <x:c r="DW152" s="100" t="n"/>
      <x:c r="DX152" s="100" t="n"/>
      <x:c r="DY152" s="100" t="n"/>
      <x:c r="DZ152" s="100" t="n"/>
      <x:c r="EA152" s="100" t="n"/>
      <x:c r="EB152" s="100" t="n"/>
      <x:c r="EC152" s="100" t="n"/>
      <x:c r="ED152" s="100" t="n"/>
      <x:c r="EE152" s="100" t="n"/>
      <x:c r="EF152" s="100" t="n"/>
      <x:c r="EG152" s="100" t="n"/>
      <x:c r="EH152" s="100" t="n"/>
      <x:c r="EI152" s="100" t="n"/>
      <x:c r="EJ152" s="100" t="n"/>
      <x:c r="EK152" s="100" t="n"/>
      <x:c r="EL152" s="100" t="n"/>
      <x:c r="EM152" s="100" t="n"/>
      <x:c r="EN152" s="100" t="n"/>
      <x:c r="EO152" s="100" t="n"/>
      <x:c r="EP152" s="100" t="n"/>
      <x:c r="EQ152" s="100" t="n"/>
      <x:c r="ER152" s="100" t="n"/>
      <x:c r="ES152" s="100" t="n"/>
      <x:c r="ET152" s="100" t="n"/>
      <x:c r="EU152" s="100" t="n"/>
      <x:c r="EV152" s="100" t="n"/>
      <x:c r="EW152" s="100" t="n"/>
      <x:c r="EX152" s="100" t="n"/>
      <x:c r="EY152" s="100" t="n"/>
      <x:c r="EZ152" s="100" t="n"/>
      <x:c r="FA152" s="100" t="n"/>
      <x:c r="FB152" s="100" t="n"/>
      <x:c r="FC152" s="100" t="n"/>
      <x:c r="FD152" s="100" t="n"/>
      <x:c r="FE152" s="100" t="n"/>
      <x:c r="FF152" s="100" t="n"/>
      <x:c r="FG152" s="100" t="n"/>
      <x:c r="FH152" s="100" t="n"/>
      <x:c r="FI152" s="100" t="n"/>
      <x:c r="FJ152" s="100" t="n"/>
      <x:c r="FK152" s="100" t="n"/>
      <x:c r="FL152" s="100" t="n"/>
      <x:c r="FM152" s="100" t="n"/>
      <x:c r="FN152" s="100" t="n"/>
      <x:c r="FO152" s="100" t="n"/>
      <x:c r="FP152" s="100" t="n"/>
      <x:c r="FQ152" s="100" t="n"/>
      <x:c r="FR152" s="100" t="n"/>
      <x:c r="FS152" s="100" t="n"/>
      <x:c r="FT152" s="100" t="n"/>
      <x:c r="FU152" s="100" t="n"/>
      <x:c r="FV152" s="100" t="n"/>
      <x:c r="FW152" s="100" t="n"/>
      <x:c r="FX152" s="100" t="n"/>
      <x:c r="FY152" s="100" t="n"/>
      <x:c r="FZ152" s="100" t="n"/>
      <x:c r="GA152" s="100" t="n"/>
      <x:c r="GB152" s="100" t="n"/>
      <x:c r="GC152" s="100" t="n"/>
      <x:c r="GD152" s="100" t="n"/>
      <x:c r="GE152" s="100" t="n"/>
      <x:c r="GF152" s="100" t="n"/>
    </x:row>
    <x:row r="153" s="27" customFormat="1">
      <x:c r="A153" s="38" t="n"/>
      <x:c r="B153" s="37" t="n"/>
      <x:c r="C153" s="36" t="n">
        <x:f>E153*D$5</x:f>
        <x:v>0</x:v>
      </x:c>
      <x:c r="D153" s="20" t="n"/>
      <x:c r="E153" s="36" t="n">
        <x:f>SUM(G153:HT153)</x:f>
        <x:v>0</x:v>
      </x:c>
      <x:c r="M153" s="100" t="n"/>
      <x:c r="N153" s="100" t="n"/>
      <x:c r="O153" s="100" t="n"/>
      <x:c r="P153" s="100" t="n"/>
      <x:c r="Q153" s="100" t="n"/>
      <x:c r="R153" s="100" t="n"/>
      <x:c r="S153" s="100" t="n"/>
      <x:c r="T153" s="100" t="n"/>
      <x:c r="U153" s="100" t="n"/>
      <x:c r="V153" s="100" t="n"/>
      <x:c r="W153" s="100" t="n"/>
      <x:c r="X153" s="100" t="n"/>
      <x:c r="Y153" s="100" t="n"/>
      <x:c r="Z153" s="100" t="n"/>
      <x:c r="AA153" s="100" t="n"/>
      <x:c r="AB153" s="100" t="n"/>
      <x:c r="AC153" s="100" t="n"/>
      <x:c r="AD153" s="100" t="n"/>
      <x:c r="AE153" s="100" t="n"/>
      <x:c r="AF153" s="100" t="n"/>
      <x:c r="AG153" s="100" t="n"/>
      <x:c r="AH153" s="100" t="n"/>
      <x:c r="AI153" s="100" t="n"/>
      <x:c r="AJ153" s="100" t="n"/>
      <x:c r="AK153" s="100" t="n"/>
      <x:c r="AL153" s="100" t="n"/>
      <x:c r="AM153" s="100" t="n"/>
      <x:c r="AN153" s="100" t="n"/>
      <x:c r="AO153" s="100" t="n"/>
      <x:c r="AP153" s="100" t="n"/>
      <x:c r="AQ153" s="100" t="n"/>
      <x:c r="AR153" s="100" t="n"/>
      <x:c r="AS153" s="100" t="n"/>
      <x:c r="AT153" s="100" t="n"/>
      <x:c r="AU153" s="100" t="n"/>
      <x:c r="AV153" s="100" t="n"/>
      <x:c r="AW153" s="100" t="n"/>
      <x:c r="AX153" s="100" t="n"/>
      <x:c r="AY153" s="100" t="n"/>
      <x:c r="AZ153" s="100" t="n"/>
      <x:c r="BA153" s="100" t="n"/>
      <x:c r="BB153" s="100" t="n"/>
      <x:c r="BC153" s="100" t="n"/>
      <x:c r="BD153" s="100" t="n"/>
      <x:c r="BE153" s="100" t="n"/>
      <x:c r="BF153" s="100" t="n"/>
      <x:c r="BG153" s="100" t="n"/>
      <x:c r="BH153" s="100" t="n"/>
      <x:c r="BI153" s="100" t="n"/>
      <x:c r="BJ153" s="100" t="n"/>
      <x:c r="BK153" s="100" t="n"/>
      <x:c r="BL153" s="100" t="n"/>
      <x:c r="BM153" s="100" t="n"/>
      <x:c r="BN153" s="100" t="n"/>
      <x:c r="BO153" s="100" t="n"/>
      <x:c r="BP153" s="100" t="n"/>
      <x:c r="BQ153" s="100" t="n"/>
      <x:c r="BR153" s="100" t="n"/>
      <x:c r="BS153" s="100" t="n"/>
      <x:c r="BT153" s="100" t="n"/>
      <x:c r="BU153" s="100" t="n"/>
      <x:c r="BV153" s="100" t="n"/>
      <x:c r="BW153" s="100" t="n"/>
      <x:c r="BX153" s="100" t="n"/>
      <x:c r="BY153" s="100" t="n"/>
      <x:c r="BZ153" s="100" t="n"/>
      <x:c r="CA153" s="100" t="n"/>
      <x:c r="CB153" s="100" t="n"/>
      <x:c r="CC153" s="100" t="n"/>
      <x:c r="CD153" s="100" t="n"/>
      <x:c r="CE153" s="100" t="n"/>
      <x:c r="CF153" s="100" t="n"/>
      <x:c r="CG153" s="100" t="n"/>
      <x:c r="CH153" s="100" t="n"/>
      <x:c r="CI153" s="100" t="n"/>
      <x:c r="CJ153" s="100" t="n"/>
      <x:c r="CK153" s="100" t="n"/>
      <x:c r="CL153" s="100" t="n"/>
      <x:c r="CM153" s="100" t="n"/>
      <x:c r="CN153" s="100" t="n"/>
      <x:c r="CO153" s="100" t="n"/>
      <x:c r="CP153" s="100" t="n"/>
      <x:c r="CQ153" s="100" t="n"/>
      <x:c r="CR153" s="100" t="n"/>
      <x:c r="CS153" s="100" t="n"/>
      <x:c r="CT153" s="100" t="n"/>
      <x:c r="CU153" s="100" t="n"/>
      <x:c r="CV153" s="100" t="n"/>
      <x:c r="CW153" s="100" t="n"/>
      <x:c r="CX153" s="100" t="n"/>
      <x:c r="CY153" s="100" t="n"/>
      <x:c r="CZ153" s="100" t="n"/>
      <x:c r="DA153" s="100" t="n"/>
      <x:c r="DB153" s="100" t="n"/>
      <x:c r="DC153" s="100" t="n"/>
      <x:c r="DD153" s="100" t="n"/>
      <x:c r="DE153" s="100" t="n"/>
      <x:c r="DF153" s="100" t="n"/>
      <x:c r="DG153" s="100" t="n"/>
      <x:c r="DH153" s="100" t="n"/>
      <x:c r="DI153" s="100" t="n"/>
      <x:c r="DJ153" s="100" t="n"/>
      <x:c r="DK153" s="100" t="n"/>
      <x:c r="DL153" s="100" t="n"/>
      <x:c r="DM153" s="100" t="n"/>
      <x:c r="DN153" s="100" t="n"/>
      <x:c r="DO153" s="100" t="n"/>
      <x:c r="DP153" s="100" t="n"/>
      <x:c r="DQ153" s="100" t="n"/>
      <x:c r="DR153" s="100" t="n"/>
      <x:c r="DS153" s="100" t="n"/>
      <x:c r="DT153" s="100" t="n"/>
      <x:c r="DU153" s="100" t="n"/>
      <x:c r="DV153" s="100" t="n"/>
      <x:c r="DW153" s="100" t="n"/>
      <x:c r="DX153" s="100" t="n"/>
      <x:c r="DY153" s="100" t="n"/>
      <x:c r="DZ153" s="100" t="n"/>
      <x:c r="EA153" s="100" t="n"/>
      <x:c r="EB153" s="100" t="n"/>
      <x:c r="EC153" s="100" t="n"/>
      <x:c r="ED153" s="100" t="n"/>
      <x:c r="EE153" s="100" t="n"/>
      <x:c r="EF153" s="100" t="n"/>
      <x:c r="EG153" s="100" t="n"/>
      <x:c r="EH153" s="100" t="n"/>
      <x:c r="EI153" s="100" t="n"/>
      <x:c r="EJ153" s="100" t="n"/>
      <x:c r="EK153" s="100" t="n"/>
      <x:c r="EL153" s="100" t="n"/>
      <x:c r="EM153" s="100" t="n"/>
      <x:c r="EN153" s="100" t="n"/>
      <x:c r="EO153" s="100" t="n"/>
      <x:c r="EP153" s="100" t="n"/>
      <x:c r="EQ153" s="100" t="n"/>
      <x:c r="ER153" s="100" t="n"/>
      <x:c r="ES153" s="100" t="n"/>
      <x:c r="ET153" s="100" t="n"/>
      <x:c r="EU153" s="100" t="n"/>
      <x:c r="EV153" s="100" t="n"/>
      <x:c r="EW153" s="100" t="n"/>
      <x:c r="EX153" s="100" t="n"/>
      <x:c r="EY153" s="100" t="n"/>
      <x:c r="EZ153" s="100" t="n"/>
      <x:c r="FA153" s="100" t="n"/>
      <x:c r="FB153" s="100" t="n"/>
      <x:c r="FC153" s="100" t="n"/>
      <x:c r="FD153" s="100" t="n"/>
      <x:c r="FE153" s="100" t="n"/>
      <x:c r="FF153" s="100" t="n"/>
      <x:c r="FG153" s="100" t="n"/>
      <x:c r="FH153" s="100" t="n"/>
      <x:c r="FI153" s="100" t="n"/>
      <x:c r="FJ153" s="100" t="n"/>
      <x:c r="FK153" s="100" t="n"/>
      <x:c r="FL153" s="100" t="n"/>
      <x:c r="FM153" s="100" t="n"/>
      <x:c r="FN153" s="100" t="n"/>
      <x:c r="FO153" s="100" t="n"/>
      <x:c r="FP153" s="100" t="n"/>
      <x:c r="FQ153" s="100" t="n"/>
      <x:c r="FR153" s="100" t="n"/>
      <x:c r="FS153" s="100" t="n"/>
      <x:c r="FT153" s="100" t="n"/>
      <x:c r="FU153" s="100" t="n"/>
      <x:c r="FV153" s="100" t="n"/>
      <x:c r="FW153" s="100" t="n"/>
      <x:c r="FX153" s="100" t="n"/>
      <x:c r="FY153" s="100" t="n"/>
      <x:c r="FZ153" s="100" t="n"/>
      <x:c r="GA153" s="100" t="n"/>
      <x:c r="GB153" s="100" t="n"/>
      <x:c r="GC153" s="100" t="n"/>
      <x:c r="GD153" s="100" t="n"/>
      <x:c r="GE153" s="100" t="n"/>
      <x:c r="GF153" s="100" t="n"/>
    </x:row>
    <x:row r="154" s="27" customFormat="1">
      <x:c r="A154" s="38" t="n"/>
      <x:c r="B154" s="37" t="n"/>
      <x:c r="C154" s="36" t="n">
        <x:f>E154*D$5</x:f>
        <x:v>0</x:v>
      </x:c>
      <x:c r="D154" s="20" t="n"/>
      <x:c r="E154" s="36" t="n">
        <x:f>SUM(G154:HT154)</x:f>
        <x:v>0</x:v>
      </x:c>
      <x:c r="M154" s="100" t="n"/>
      <x:c r="N154" s="100" t="n"/>
      <x:c r="O154" s="100" t="n"/>
      <x:c r="P154" s="100" t="n"/>
      <x:c r="Q154" s="100" t="n"/>
      <x:c r="R154" s="100" t="n"/>
      <x:c r="S154" s="100" t="n"/>
      <x:c r="T154" s="100" t="n"/>
      <x:c r="U154" s="100" t="n"/>
      <x:c r="V154" s="100" t="n"/>
      <x:c r="W154" s="100" t="n"/>
      <x:c r="X154" s="100" t="n"/>
      <x:c r="Y154" s="100" t="n"/>
      <x:c r="Z154" s="100" t="n"/>
      <x:c r="AA154" s="100" t="n"/>
      <x:c r="AB154" s="100" t="n"/>
      <x:c r="AC154" s="100" t="n"/>
      <x:c r="AD154" s="100" t="n"/>
      <x:c r="AE154" s="100" t="n"/>
      <x:c r="AF154" s="100" t="n"/>
      <x:c r="AG154" s="100" t="n"/>
      <x:c r="AH154" s="100" t="n"/>
      <x:c r="AI154" s="100" t="n"/>
      <x:c r="AJ154" s="100" t="n"/>
      <x:c r="AK154" s="100" t="n"/>
      <x:c r="AL154" s="100" t="n"/>
      <x:c r="AM154" s="100" t="n"/>
      <x:c r="AN154" s="100" t="n"/>
      <x:c r="AO154" s="100" t="n"/>
      <x:c r="AP154" s="100" t="n"/>
      <x:c r="AQ154" s="100" t="n"/>
      <x:c r="AR154" s="100" t="n"/>
      <x:c r="AS154" s="100" t="n"/>
      <x:c r="AT154" s="100" t="n"/>
      <x:c r="AU154" s="100" t="n"/>
      <x:c r="AV154" s="100" t="n"/>
      <x:c r="AW154" s="100" t="n"/>
      <x:c r="AX154" s="100" t="n"/>
      <x:c r="AY154" s="100" t="n"/>
      <x:c r="AZ154" s="100" t="n"/>
      <x:c r="BA154" s="100" t="n"/>
      <x:c r="BB154" s="100" t="n"/>
      <x:c r="BC154" s="100" t="n"/>
      <x:c r="BD154" s="100" t="n"/>
      <x:c r="BE154" s="100" t="n"/>
      <x:c r="BF154" s="100" t="n"/>
      <x:c r="BG154" s="100" t="n"/>
      <x:c r="BH154" s="100" t="n"/>
      <x:c r="BI154" s="100" t="n"/>
      <x:c r="BJ154" s="100" t="n"/>
      <x:c r="BK154" s="100" t="n"/>
      <x:c r="BL154" s="100" t="n"/>
      <x:c r="BM154" s="100" t="n"/>
      <x:c r="BN154" s="100" t="n"/>
      <x:c r="BO154" s="100" t="n"/>
      <x:c r="BP154" s="100" t="n"/>
      <x:c r="BQ154" s="100" t="n"/>
      <x:c r="BR154" s="100" t="n"/>
      <x:c r="BS154" s="100" t="n"/>
      <x:c r="BT154" s="100" t="n"/>
      <x:c r="BU154" s="100" t="n"/>
      <x:c r="BV154" s="100" t="n"/>
      <x:c r="BW154" s="100" t="n"/>
      <x:c r="BX154" s="100" t="n"/>
      <x:c r="BY154" s="100" t="n"/>
      <x:c r="BZ154" s="100" t="n"/>
      <x:c r="CA154" s="100" t="n"/>
      <x:c r="CB154" s="100" t="n"/>
      <x:c r="CC154" s="100" t="n"/>
      <x:c r="CD154" s="100" t="n"/>
      <x:c r="CE154" s="100" t="n"/>
      <x:c r="CF154" s="100" t="n"/>
      <x:c r="CG154" s="100" t="n"/>
      <x:c r="CH154" s="100" t="n"/>
      <x:c r="CI154" s="100" t="n"/>
      <x:c r="CJ154" s="100" t="n"/>
      <x:c r="CK154" s="100" t="n"/>
      <x:c r="CL154" s="100" t="n"/>
      <x:c r="CM154" s="100" t="n"/>
      <x:c r="CN154" s="100" t="n"/>
      <x:c r="CO154" s="100" t="n"/>
      <x:c r="CP154" s="100" t="n"/>
      <x:c r="CQ154" s="100" t="n"/>
      <x:c r="CR154" s="100" t="n"/>
      <x:c r="CS154" s="100" t="n"/>
      <x:c r="CT154" s="100" t="n"/>
      <x:c r="CU154" s="100" t="n"/>
      <x:c r="CV154" s="100" t="n"/>
      <x:c r="CW154" s="100" t="n"/>
      <x:c r="CX154" s="100" t="n"/>
      <x:c r="CY154" s="100" t="n"/>
      <x:c r="CZ154" s="100" t="n"/>
      <x:c r="DA154" s="100" t="n"/>
      <x:c r="DB154" s="100" t="n"/>
      <x:c r="DC154" s="100" t="n"/>
      <x:c r="DD154" s="100" t="n"/>
      <x:c r="DE154" s="100" t="n"/>
      <x:c r="DF154" s="100" t="n"/>
      <x:c r="DG154" s="100" t="n"/>
      <x:c r="DH154" s="100" t="n"/>
      <x:c r="DI154" s="100" t="n"/>
      <x:c r="DJ154" s="100" t="n"/>
      <x:c r="DK154" s="100" t="n"/>
      <x:c r="DL154" s="100" t="n"/>
      <x:c r="DM154" s="100" t="n"/>
      <x:c r="DN154" s="100" t="n"/>
      <x:c r="DO154" s="100" t="n"/>
      <x:c r="DP154" s="100" t="n"/>
      <x:c r="DQ154" s="100" t="n"/>
      <x:c r="DR154" s="100" t="n"/>
      <x:c r="DS154" s="100" t="n"/>
      <x:c r="DT154" s="100" t="n"/>
      <x:c r="DU154" s="100" t="n"/>
      <x:c r="DV154" s="100" t="n"/>
      <x:c r="DW154" s="100" t="n"/>
      <x:c r="DX154" s="100" t="n"/>
      <x:c r="DY154" s="100" t="n"/>
      <x:c r="DZ154" s="100" t="n"/>
      <x:c r="EA154" s="100" t="n"/>
      <x:c r="EB154" s="100" t="n"/>
      <x:c r="EC154" s="100" t="n"/>
      <x:c r="ED154" s="100" t="n"/>
      <x:c r="EE154" s="100" t="n"/>
      <x:c r="EF154" s="100" t="n"/>
      <x:c r="EG154" s="100" t="n"/>
      <x:c r="EH154" s="100" t="n"/>
      <x:c r="EI154" s="100" t="n"/>
      <x:c r="EJ154" s="100" t="n"/>
      <x:c r="EK154" s="100" t="n"/>
      <x:c r="EL154" s="100" t="n"/>
      <x:c r="EM154" s="100" t="n"/>
      <x:c r="EN154" s="100" t="n"/>
      <x:c r="EO154" s="100" t="n"/>
      <x:c r="EP154" s="100" t="n"/>
      <x:c r="EQ154" s="100" t="n"/>
      <x:c r="ER154" s="100" t="n"/>
      <x:c r="ES154" s="100" t="n"/>
      <x:c r="ET154" s="100" t="n"/>
      <x:c r="EU154" s="100" t="n"/>
      <x:c r="EV154" s="100" t="n"/>
      <x:c r="EW154" s="100" t="n"/>
      <x:c r="EX154" s="100" t="n"/>
      <x:c r="EY154" s="100" t="n"/>
      <x:c r="EZ154" s="100" t="n"/>
      <x:c r="FA154" s="100" t="n"/>
      <x:c r="FB154" s="100" t="n"/>
      <x:c r="FC154" s="100" t="n"/>
      <x:c r="FD154" s="100" t="n"/>
      <x:c r="FE154" s="100" t="n"/>
      <x:c r="FF154" s="100" t="n"/>
      <x:c r="FG154" s="100" t="n"/>
      <x:c r="FH154" s="100" t="n"/>
      <x:c r="FI154" s="100" t="n"/>
      <x:c r="FJ154" s="100" t="n"/>
      <x:c r="FK154" s="100" t="n"/>
      <x:c r="FL154" s="100" t="n"/>
      <x:c r="FM154" s="100" t="n"/>
      <x:c r="FN154" s="100" t="n"/>
      <x:c r="FO154" s="100" t="n"/>
      <x:c r="FP154" s="100" t="n"/>
      <x:c r="FQ154" s="100" t="n"/>
      <x:c r="FR154" s="100" t="n"/>
      <x:c r="FS154" s="100" t="n"/>
      <x:c r="FT154" s="100" t="n"/>
      <x:c r="FU154" s="100" t="n"/>
      <x:c r="FV154" s="100" t="n"/>
      <x:c r="FW154" s="100" t="n"/>
      <x:c r="FX154" s="100" t="n"/>
      <x:c r="FY154" s="100" t="n"/>
      <x:c r="FZ154" s="100" t="n"/>
      <x:c r="GA154" s="100" t="n"/>
      <x:c r="GB154" s="100" t="n"/>
      <x:c r="GC154" s="100" t="n"/>
      <x:c r="GD154" s="100" t="n"/>
      <x:c r="GE154" s="100" t="n"/>
      <x:c r="GF154" s="100" t="n"/>
    </x:row>
    <x:row r="155" s="27" customFormat="1">
      <x:c r="A155" s="38" t="n"/>
      <x:c r="B155" s="37" t="n"/>
      <x:c r="C155" s="36" t="n">
        <x:f>E155*D$5</x:f>
        <x:v>0</x:v>
      </x:c>
      <x:c r="D155" s="20" t="n"/>
      <x:c r="E155" s="36" t="n">
        <x:f>SUM(G155:HT155)</x:f>
        <x:v>0</x:v>
      </x:c>
      <x:c r="M155" s="100" t="n"/>
      <x:c r="N155" s="100" t="n"/>
      <x:c r="O155" s="100" t="n"/>
      <x:c r="P155" s="100" t="n"/>
      <x:c r="Q155" s="100" t="n"/>
      <x:c r="R155" s="100" t="n"/>
      <x:c r="S155" s="100" t="n"/>
      <x:c r="T155" s="100" t="n"/>
      <x:c r="U155" s="100" t="n"/>
      <x:c r="V155" s="100" t="n"/>
      <x:c r="W155" s="100" t="n"/>
      <x:c r="X155" s="100" t="n"/>
      <x:c r="Y155" s="100" t="n"/>
      <x:c r="Z155" s="100" t="n"/>
      <x:c r="AA155" s="100" t="n"/>
      <x:c r="AB155" s="100" t="n"/>
      <x:c r="AC155" s="100" t="n"/>
      <x:c r="AD155" s="100" t="n"/>
      <x:c r="AE155" s="100" t="n"/>
      <x:c r="AF155" s="100" t="n"/>
      <x:c r="AG155" s="100" t="n"/>
      <x:c r="AH155" s="100" t="n"/>
      <x:c r="AI155" s="100" t="n"/>
      <x:c r="AJ155" s="100" t="n"/>
      <x:c r="AK155" s="100" t="n"/>
      <x:c r="AL155" s="100" t="n"/>
      <x:c r="AM155" s="100" t="n"/>
      <x:c r="AN155" s="100" t="n"/>
      <x:c r="AO155" s="100" t="n"/>
      <x:c r="AP155" s="100" t="n"/>
      <x:c r="AQ155" s="100" t="n"/>
      <x:c r="AR155" s="100" t="n"/>
      <x:c r="AS155" s="100" t="n"/>
      <x:c r="AT155" s="100" t="n"/>
      <x:c r="AU155" s="100" t="n"/>
      <x:c r="AV155" s="100" t="n"/>
      <x:c r="AW155" s="100" t="n"/>
      <x:c r="AX155" s="100" t="n"/>
      <x:c r="AY155" s="100" t="n"/>
      <x:c r="AZ155" s="100" t="n"/>
      <x:c r="BA155" s="100" t="n"/>
      <x:c r="BB155" s="100" t="n"/>
      <x:c r="BC155" s="100" t="n"/>
      <x:c r="BD155" s="100" t="n"/>
      <x:c r="BE155" s="100" t="n"/>
      <x:c r="BF155" s="100" t="n"/>
      <x:c r="BG155" s="100" t="n"/>
      <x:c r="BH155" s="100" t="n"/>
      <x:c r="BI155" s="100" t="n"/>
      <x:c r="BJ155" s="100" t="n"/>
      <x:c r="BK155" s="100" t="n"/>
      <x:c r="BL155" s="100" t="n"/>
      <x:c r="BM155" s="100" t="n"/>
      <x:c r="BN155" s="100" t="n"/>
      <x:c r="BO155" s="100" t="n"/>
      <x:c r="BP155" s="100" t="n"/>
      <x:c r="BQ155" s="100" t="n"/>
      <x:c r="BR155" s="100" t="n"/>
      <x:c r="BS155" s="100" t="n"/>
      <x:c r="BT155" s="100" t="n"/>
      <x:c r="BU155" s="100" t="n"/>
      <x:c r="BV155" s="100" t="n"/>
      <x:c r="BW155" s="100" t="n"/>
      <x:c r="BX155" s="100" t="n"/>
      <x:c r="BY155" s="100" t="n"/>
      <x:c r="BZ155" s="100" t="n"/>
      <x:c r="CA155" s="100" t="n"/>
      <x:c r="CB155" s="100" t="n"/>
      <x:c r="CC155" s="100" t="n"/>
      <x:c r="CD155" s="100" t="n"/>
      <x:c r="CE155" s="100" t="n"/>
      <x:c r="CF155" s="100" t="n"/>
      <x:c r="CG155" s="100" t="n"/>
      <x:c r="CH155" s="100" t="n"/>
      <x:c r="CI155" s="100" t="n"/>
      <x:c r="CJ155" s="100" t="n"/>
      <x:c r="CK155" s="100" t="n"/>
      <x:c r="CL155" s="100" t="n"/>
      <x:c r="CM155" s="100" t="n"/>
      <x:c r="CN155" s="100" t="n"/>
      <x:c r="CO155" s="100" t="n"/>
      <x:c r="CP155" s="100" t="n"/>
      <x:c r="CQ155" s="100" t="n"/>
      <x:c r="CR155" s="100" t="n"/>
      <x:c r="CS155" s="100" t="n"/>
      <x:c r="CT155" s="100" t="n"/>
      <x:c r="CU155" s="100" t="n"/>
      <x:c r="CV155" s="100" t="n"/>
      <x:c r="CW155" s="100" t="n"/>
      <x:c r="CX155" s="100" t="n"/>
      <x:c r="CY155" s="100" t="n"/>
      <x:c r="CZ155" s="100" t="n"/>
      <x:c r="DA155" s="100" t="n"/>
      <x:c r="DB155" s="100" t="n"/>
      <x:c r="DC155" s="100" t="n"/>
      <x:c r="DD155" s="100" t="n"/>
      <x:c r="DE155" s="100" t="n"/>
      <x:c r="DF155" s="100" t="n"/>
      <x:c r="DG155" s="100" t="n"/>
      <x:c r="DH155" s="100" t="n"/>
      <x:c r="DI155" s="100" t="n"/>
      <x:c r="DJ155" s="100" t="n"/>
      <x:c r="DK155" s="100" t="n"/>
      <x:c r="DL155" s="100" t="n"/>
      <x:c r="DM155" s="100" t="n"/>
      <x:c r="DN155" s="100" t="n"/>
      <x:c r="DO155" s="100" t="n"/>
      <x:c r="DP155" s="100" t="n"/>
      <x:c r="DQ155" s="100" t="n"/>
      <x:c r="DR155" s="100" t="n"/>
      <x:c r="DS155" s="100" t="n"/>
      <x:c r="DT155" s="100" t="n"/>
      <x:c r="DU155" s="100" t="n"/>
      <x:c r="DV155" s="100" t="n"/>
      <x:c r="DW155" s="100" t="n"/>
      <x:c r="DX155" s="100" t="n"/>
      <x:c r="DY155" s="100" t="n"/>
      <x:c r="DZ155" s="100" t="n"/>
      <x:c r="EA155" s="100" t="n"/>
      <x:c r="EB155" s="100" t="n"/>
      <x:c r="EC155" s="100" t="n"/>
      <x:c r="ED155" s="100" t="n"/>
      <x:c r="EE155" s="100" t="n"/>
      <x:c r="EF155" s="100" t="n"/>
      <x:c r="EG155" s="100" t="n"/>
      <x:c r="EH155" s="100" t="n"/>
      <x:c r="EI155" s="100" t="n"/>
      <x:c r="EJ155" s="100" t="n"/>
      <x:c r="EK155" s="100" t="n"/>
      <x:c r="EL155" s="100" t="n"/>
      <x:c r="EM155" s="100" t="n"/>
      <x:c r="EN155" s="100" t="n"/>
      <x:c r="EO155" s="100" t="n"/>
      <x:c r="EP155" s="100" t="n"/>
      <x:c r="EQ155" s="100" t="n"/>
      <x:c r="ER155" s="100" t="n"/>
      <x:c r="ES155" s="100" t="n"/>
      <x:c r="ET155" s="100" t="n"/>
      <x:c r="EU155" s="100" t="n"/>
      <x:c r="EV155" s="100" t="n"/>
      <x:c r="EW155" s="100" t="n"/>
      <x:c r="EX155" s="100" t="n"/>
      <x:c r="EY155" s="100" t="n"/>
      <x:c r="EZ155" s="100" t="n"/>
      <x:c r="FA155" s="100" t="n"/>
      <x:c r="FB155" s="100" t="n"/>
      <x:c r="FC155" s="100" t="n"/>
      <x:c r="FD155" s="100" t="n"/>
      <x:c r="FE155" s="100" t="n"/>
      <x:c r="FF155" s="100" t="n"/>
      <x:c r="FG155" s="100" t="n"/>
      <x:c r="FH155" s="100" t="n"/>
      <x:c r="FI155" s="100" t="n"/>
      <x:c r="FJ155" s="100" t="n"/>
      <x:c r="FK155" s="100" t="n"/>
      <x:c r="FL155" s="100" t="n"/>
      <x:c r="FM155" s="100" t="n"/>
      <x:c r="FN155" s="100" t="n"/>
      <x:c r="FO155" s="100" t="n"/>
      <x:c r="FP155" s="100" t="n"/>
      <x:c r="FQ155" s="100" t="n"/>
      <x:c r="FR155" s="100" t="n"/>
      <x:c r="FS155" s="100" t="n"/>
      <x:c r="FT155" s="100" t="n"/>
      <x:c r="FU155" s="100" t="n"/>
      <x:c r="FV155" s="100" t="n"/>
      <x:c r="FW155" s="100" t="n"/>
      <x:c r="FX155" s="100" t="n"/>
      <x:c r="FY155" s="100" t="n"/>
      <x:c r="FZ155" s="100" t="n"/>
      <x:c r="GA155" s="100" t="n"/>
      <x:c r="GB155" s="100" t="n"/>
      <x:c r="GC155" s="100" t="n"/>
      <x:c r="GD155" s="100" t="n"/>
      <x:c r="GE155" s="100" t="n"/>
      <x:c r="GF155" s="100" t="n"/>
    </x:row>
    <x:row r="156" s="27" customFormat="1">
      <x:c r="A156" s="38" t="n"/>
      <x:c r="B156" s="37" t="n"/>
      <x:c r="C156" s="36" t="n">
        <x:f>E156*D$5</x:f>
        <x:v>0</x:v>
      </x:c>
      <x:c r="D156" s="20" t="n"/>
      <x:c r="E156" s="36" t="n">
        <x:f>SUM(G156:HT156)</x:f>
        <x:v>0</x:v>
      </x:c>
      <x:c r="M156" s="100" t="n"/>
      <x:c r="N156" s="100" t="n"/>
      <x:c r="O156" s="100" t="n"/>
      <x:c r="P156" s="100" t="n"/>
      <x:c r="Q156" s="100" t="n"/>
      <x:c r="R156" s="100" t="n"/>
      <x:c r="S156" s="100" t="n"/>
      <x:c r="T156" s="100" t="n"/>
      <x:c r="U156" s="100" t="n"/>
      <x:c r="V156" s="100" t="n"/>
      <x:c r="W156" s="100" t="n"/>
      <x:c r="X156" s="100" t="n"/>
      <x:c r="Y156" s="100" t="n"/>
      <x:c r="Z156" s="100" t="n"/>
      <x:c r="AA156" s="100" t="n"/>
      <x:c r="AB156" s="100" t="n"/>
      <x:c r="AC156" s="100" t="n"/>
      <x:c r="AD156" s="100" t="n"/>
      <x:c r="AE156" s="100" t="n"/>
      <x:c r="AF156" s="100" t="n"/>
      <x:c r="AG156" s="100" t="n"/>
      <x:c r="AH156" s="100" t="n"/>
      <x:c r="AI156" s="100" t="n"/>
      <x:c r="AJ156" s="100" t="n"/>
      <x:c r="AK156" s="100" t="n"/>
      <x:c r="AL156" s="100" t="n"/>
      <x:c r="AM156" s="100" t="n"/>
      <x:c r="AN156" s="100" t="n"/>
      <x:c r="AO156" s="100" t="n"/>
      <x:c r="AP156" s="100" t="n"/>
      <x:c r="AQ156" s="100" t="n"/>
      <x:c r="AR156" s="100" t="n"/>
      <x:c r="AS156" s="100" t="n"/>
      <x:c r="AT156" s="100" t="n"/>
      <x:c r="AU156" s="100" t="n"/>
      <x:c r="AV156" s="100" t="n"/>
      <x:c r="AW156" s="100" t="n"/>
      <x:c r="AX156" s="100" t="n"/>
      <x:c r="AY156" s="100" t="n"/>
      <x:c r="AZ156" s="100" t="n"/>
      <x:c r="BA156" s="100" t="n"/>
      <x:c r="BB156" s="100" t="n"/>
      <x:c r="BC156" s="100" t="n"/>
      <x:c r="BD156" s="100" t="n"/>
      <x:c r="BE156" s="100" t="n"/>
      <x:c r="BF156" s="100" t="n"/>
      <x:c r="BG156" s="100" t="n"/>
      <x:c r="BH156" s="100" t="n"/>
      <x:c r="BI156" s="100" t="n"/>
      <x:c r="BJ156" s="100" t="n"/>
      <x:c r="BK156" s="100" t="n"/>
      <x:c r="BL156" s="100" t="n"/>
      <x:c r="BM156" s="100" t="n"/>
      <x:c r="BN156" s="100" t="n"/>
      <x:c r="BO156" s="100" t="n"/>
      <x:c r="BP156" s="100" t="n"/>
      <x:c r="BQ156" s="100" t="n"/>
      <x:c r="BR156" s="100" t="n"/>
      <x:c r="BS156" s="100" t="n"/>
      <x:c r="BT156" s="100" t="n"/>
      <x:c r="BU156" s="100" t="n"/>
      <x:c r="BV156" s="100" t="n"/>
      <x:c r="BW156" s="100" t="n"/>
      <x:c r="BX156" s="100" t="n"/>
      <x:c r="BY156" s="100" t="n"/>
      <x:c r="BZ156" s="100" t="n"/>
      <x:c r="CA156" s="100" t="n"/>
      <x:c r="CB156" s="100" t="n"/>
      <x:c r="CC156" s="100" t="n"/>
      <x:c r="CD156" s="100" t="n"/>
      <x:c r="CE156" s="100" t="n"/>
      <x:c r="CF156" s="100" t="n"/>
      <x:c r="CG156" s="100" t="n"/>
      <x:c r="CH156" s="100" t="n"/>
      <x:c r="CI156" s="100" t="n"/>
      <x:c r="CJ156" s="100" t="n"/>
      <x:c r="CK156" s="100" t="n"/>
      <x:c r="CL156" s="100" t="n"/>
      <x:c r="CM156" s="100" t="n"/>
      <x:c r="CN156" s="100" t="n"/>
      <x:c r="CO156" s="100" t="n"/>
      <x:c r="CP156" s="100" t="n"/>
      <x:c r="CQ156" s="100" t="n"/>
      <x:c r="CR156" s="100" t="n"/>
      <x:c r="CS156" s="100" t="n"/>
      <x:c r="CT156" s="100" t="n"/>
      <x:c r="CU156" s="100" t="n"/>
      <x:c r="CV156" s="100" t="n"/>
      <x:c r="CW156" s="100" t="n"/>
      <x:c r="CX156" s="100" t="n"/>
      <x:c r="CY156" s="100" t="n"/>
      <x:c r="CZ156" s="100" t="n"/>
      <x:c r="DA156" s="100" t="n"/>
      <x:c r="DB156" s="100" t="n"/>
      <x:c r="DC156" s="100" t="n"/>
      <x:c r="DD156" s="100" t="n"/>
      <x:c r="DE156" s="100" t="n"/>
      <x:c r="DF156" s="100" t="n"/>
      <x:c r="DG156" s="100" t="n"/>
      <x:c r="DH156" s="100" t="n"/>
      <x:c r="DI156" s="100" t="n"/>
      <x:c r="DJ156" s="100" t="n"/>
      <x:c r="DK156" s="100" t="n"/>
      <x:c r="DL156" s="100" t="n"/>
      <x:c r="DM156" s="100" t="n"/>
      <x:c r="DN156" s="100" t="n"/>
      <x:c r="DO156" s="100" t="n"/>
      <x:c r="DP156" s="100" t="n"/>
      <x:c r="DQ156" s="100" t="n"/>
      <x:c r="DR156" s="100" t="n"/>
      <x:c r="DS156" s="100" t="n"/>
      <x:c r="DT156" s="100" t="n"/>
      <x:c r="DU156" s="100" t="n"/>
      <x:c r="DV156" s="100" t="n"/>
      <x:c r="DW156" s="100" t="n"/>
      <x:c r="DX156" s="100" t="n"/>
      <x:c r="DY156" s="100" t="n"/>
      <x:c r="DZ156" s="100" t="n"/>
      <x:c r="EA156" s="100" t="n"/>
      <x:c r="EB156" s="100" t="n"/>
      <x:c r="EC156" s="100" t="n"/>
      <x:c r="ED156" s="100" t="n"/>
      <x:c r="EE156" s="100" t="n"/>
      <x:c r="EF156" s="100" t="n"/>
      <x:c r="EG156" s="100" t="n"/>
      <x:c r="EH156" s="100" t="n"/>
      <x:c r="EI156" s="100" t="n"/>
      <x:c r="EJ156" s="100" t="n"/>
      <x:c r="EK156" s="100" t="n"/>
      <x:c r="EL156" s="100" t="n"/>
      <x:c r="EM156" s="100" t="n"/>
      <x:c r="EN156" s="100" t="n"/>
      <x:c r="EO156" s="100" t="n"/>
      <x:c r="EP156" s="100" t="n"/>
      <x:c r="EQ156" s="100" t="n"/>
      <x:c r="ER156" s="100" t="n"/>
      <x:c r="ES156" s="100" t="n"/>
      <x:c r="ET156" s="100" t="n"/>
      <x:c r="EU156" s="100" t="n"/>
      <x:c r="EV156" s="100" t="n"/>
      <x:c r="EW156" s="100" t="n"/>
      <x:c r="EX156" s="100" t="n"/>
      <x:c r="EY156" s="100" t="n"/>
      <x:c r="EZ156" s="100" t="n"/>
      <x:c r="FA156" s="100" t="n"/>
      <x:c r="FB156" s="100" t="n"/>
      <x:c r="FC156" s="100" t="n"/>
      <x:c r="FD156" s="100" t="n"/>
      <x:c r="FE156" s="100" t="n"/>
      <x:c r="FF156" s="100" t="n"/>
      <x:c r="FG156" s="100" t="n"/>
      <x:c r="FH156" s="100" t="n"/>
      <x:c r="FI156" s="100" t="n"/>
      <x:c r="FJ156" s="100" t="n"/>
      <x:c r="FK156" s="100" t="n"/>
      <x:c r="FL156" s="100" t="n"/>
      <x:c r="FM156" s="100" t="n"/>
      <x:c r="FN156" s="100" t="n"/>
      <x:c r="FO156" s="100" t="n"/>
      <x:c r="FP156" s="100" t="n"/>
      <x:c r="FQ156" s="100" t="n"/>
      <x:c r="FR156" s="100" t="n"/>
      <x:c r="FS156" s="100" t="n"/>
      <x:c r="FT156" s="100" t="n"/>
      <x:c r="FU156" s="100" t="n"/>
      <x:c r="FV156" s="100" t="n"/>
      <x:c r="FW156" s="100" t="n"/>
      <x:c r="FX156" s="100" t="n"/>
      <x:c r="FY156" s="100" t="n"/>
      <x:c r="FZ156" s="100" t="n"/>
      <x:c r="GA156" s="100" t="n"/>
      <x:c r="GB156" s="100" t="n"/>
      <x:c r="GC156" s="100" t="n"/>
      <x:c r="GD156" s="100" t="n"/>
      <x:c r="GE156" s="100" t="n"/>
      <x:c r="GF156" s="100" t="n"/>
    </x:row>
    <x:row r="157" s="27" customFormat="1">
      <x:c r="A157" s="38" t="n"/>
      <x:c r="B157" s="37" t="n"/>
      <x:c r="C157" s="36" t="n">
        <x:f>E157*D$5</x:f>
        <x:v>0</x:v>
      </x:c>
      <x:c r="D157" s="20" t="n"/>
      <x:c r="E157" s="36" t="n">
        <x:f>SUM(G157:HT157)</x:f>
        <x:v>0</x:v>
      </x:c>
      <x:c r="M157" s="100" t="n"/>
      <x:c r="N157" s="100" t="n"/>
      <x:c r="O157" s="100" t="n"/>
      <x:c r="P157" s="100" t="n"/>
      <x:c r="Q157" s="100" t="n"/>
      <x:c r="R157" s="100" t="n"/>
      <x:c r="S157" s="100" t="n"/>
      <x:c r="T157" s="100" t="n"/>
      <x:c r="U157" s="100" t="n"/>
      <x:c r="V157" s="100" t="n"/>
      <x:c r="W157" s="100" t="n"/>
      <x:c r="X157" s="100" t="n"/>
      <x:c r="Y157" s="100" t="n"/>
      <x:c r="Z157" s="100" t="n"/>
      <x:c r="AA157" s="100" t="n"/>
      <x:c r="AB157" s="100" t="n"/>
      <x:c r="AC157" s="100" t="n"/>
      <x:c r="AD157" s="100" t="n"/>
      <x:c r="AE157" s="100" t="n"/>
      <x:c r="AF157" s="100" t="n"/>
      <x:c r="AG157" s="100" t="n"/>
      <x:c r="AH157" s="100" t="n"/>
      <x:c r="AI157" s="100" t="n"/>
      <x:c r="AJ157" s="100" t="n"/>
      <x:c r="AK157" s="100" t="n"/>
      <x:c r="AL157" s="100" t="n"/>
      <x:c r="AM157" s="100" t="n"/>
      <x:c r="AN157" s="100" t="n"/>
      <x:c r="AO157" s="100" t="n"/>
      <x:c r="AP157" s="100" t="n"/>
      <x:c r="AQ157" s="100" t="n"/>
      <x:c r="AR157" s="100" t="n"/>
      <x:c r="AS157" s="100" t="n"/>
      <x:c r="AT157" s="100" t="n"/>
      <x:c r="AU157" s="100" t="n"/>
      <x:c r="AV157" s="100" t="n"/>
      <x:c r="AW157" s="100" t="n"/>
      <x:c r="AX157" s="100" t="n"/>
      <x:c r="AY157" s="100" t="n"/>
      <x:c r="AZ157" s="100" t="n"/>
      <x:c r="BA157" s="100" t="n"/>
      <x:c r="BB157" s="100" t="n"/>
      <x:c r="BC157" s="100" t="n"/>
      <x:c r="BD157" s="100" t="n"/>
      <x:c r="BE157" s="100" t="n"/>
      <x:c r="BF157" s="100" t="n"/>
      <x:c r="BG157" s="100" t="n"/>
      <x:c r="BH157" s="100" t="n"/>
      <x:c r="BI157" s="100" t="n"/>
      <x:c r="BJ157" s="100" t="n"/>
      <x:c r="BK157" s="100" t="n"/>
      <x:c r="BL157" s="100" t="n"/>
      <x:c r="BM157" s="100" t="n"/>
      <x:c r="BN157" s="100" t="n"/>
      <x:c r="BO157" s="100" t="n"/>
      <x:c r="BP157" s="100" t="n"/>
      <x:c r="BQ157" s="100" t="n"/>
      <x:c r="BR157" s="100" t="n"/>
      <x:c r="BS157" s="100" t="n"/>
      <x:c r="BT157" s="100" t="n"/>
      <x:c r="BU157" s="100" t="n"/>
      <x:c r="BV157" s="100" t="n"/>
      <x:c r="BW157" s="100" t="n"/>
      <x:c r="BX157" s="100" t="n"/>
      <x:c r="BY157" s="100" t="n"/>
      <x:c r="BZ157" s="100" t="n"/>
      <x:c r="CA157" s="100" t="n"/>
      <x:c r="CB157" s="100" t="n"/>
      <x:c r="CC157" s="100" t="n"/>
      <x:c r="CD157" s="100" t="n"/>
      <x:c r="CE157" s="100" t="n"/>
      <x:c r="CF157" s="100" t="n"/>
      <x:c r="CG157" s="100" t="n"/>
      <x:c r="CH157" s="100" t="n"/>
      <x:c r="CI157" s="100" t="n"/>
      <x:c r="CJ157" s="100" t="n"/>
      <x:c r="CK157" s="100" t="n"/>
      <x:c r="CL157" s="100" t="n"/>
      <x:c r="CM157" s="100" t="n"/>
      <x:c r="CN157" s="100" t="n"/>
      <x:c r="CO157" s="100" t="n"/>
      <x:c r="CP157" s="100" t="n"/>
      <x:c r="CQ157" s="100" t="n"/>
      <x:c r="CR157" s="100" t="n"/>
      <x:c r="CS157" s="100" t="n"/>
      <x:c r="CT157" s="100" t="n"/>
      <x:c r="CU157" s="100" t="n"/>
      <x:c r="CV157" s="100" t="n"/>
      <x:c r="CW157" s="100" t="n"/>
      <x:c r="CX157" s="100" t="n"/>
      <x:c r="CY157" s="100" t="n"/>
      <x:c r="CZ157" s="100" t="n"/>
      <x:c r="DA157" s="100" t="n"/>
      <x:c r="DB157" s="100" t="n"/>
      <x:c r="DC157" s="100" t="n"/>
      <x:c r="DD157" s="100" t="n"/>
      <x:c r="DE157" s="100" t="n"/>
      <x:c r="DF157" s="100" t="n"/>
      <x:c r="DG157" s="100" t="n"/>
      <x:c r="DH157" s="100" t="n"/>
      <x:c r="DI157" s="100" t="n"/>
      <x:c r="DJ157" s="100" t="n"/>
      <x:c r="DK157" s="100" t="n"/>
      <x:c r="DL157" s="100" t="n"/>
      <x:c r="DM157" s="100" t="n"/>
      <x:c r="DN157" s="100" t="n"/>
      <x:c r="DO157" s="100" t="n"/>
      <x:c r="DP157" s="100" t="n"/>
      <x:c r="DQ157" s="100" t="n"/>
      <x:c r="DR157" s="100" t="n"/>
      <x:c r="DS157" s="100" t="n"/>
      <x:c r="DT157" s="100" t="n"/>
      <x:c r="DU157" s="100" t="n"/>
      <x:c r="DV157" s="100" t="n"/>
      <x:c r="DW157" s="100" t="n"/>
      <x:c r="DX157" s="100" t="n"/>
      <x:c r="DY157" s="100" t="n"/>
      <x:c r="DZ157" s="100" t="n"/>
      <x:c r="EA157" s="100" t="n"/>
      <x:c r="EB157" s="100" t="n"/>
      <x:c r="EC157" s="100" t="n"/>
      <x:c r="ED157" s="100" t="n"/>
      <x:c r="EE157" s="100" t="n"/>
      <x:c r="EF157" s="100" t="n"/>
      <x:c r="EG157" s="100" t="n"/>
      <x:c r="EH157" s="100" t="n"/>
      <x:c r="EI157" s="100" t="n"/>
      <x:c r="EJ157" s="100" t="n"/>
      <x:c r="EK157" s="100" t="n"/>
      <x:c r="EL157" s="100" t="n"/>
      <x:c r="EM157" s="100" t="n"/>
      <x:c r="EN157" s="100" t="n"/>
      <x:c r="EO157" s="100" t="n"/>
      <x:c r="EP157" s="100" t="n"/>
      <x:c r="EQ157" s="100" t="n"/>
      <x:c r="ER157" s="100" t="n"/>
      <x:c r="ES157" s="100" t="n"/>
      <x:c r="ET157" s="100" t="n"/>
      <x:c r="EU157" s="100" t="n"/>
      <x:c r="EV157" s="100" t="n"/>
      <x:c r="EW157" s="100" t="n"/>
      <x:c r="EX157" s="100" t="n"/>
      <x:c r="EY157" s="100" t="n"/>
      <x:c r="EZ157" s="100" t="n"/>
      <x:c r="FA157" s="100" t="n"/>
      <x:c r="FB157" s="100" t="n"/>
      <x:c r="FC157" s="100" t="n"/>
      <x:c r="FD157" s="100" t="n"/>
      <x:c r="FE157" s="100" t="n"/>
      <x:c r="FF157" s="100" t="n"/>
      <x:c r="FG157" s="100" t="n"/>
      <x:c r="FH157" s="100" t="n"/>
      <x:c r="FI157" s="100" t="n"/>
      <x:c r="FJ157" s="100" t="n"/>
      <x:c r="FK157" s="100" t="n"/>
      <x:c r="FL157" s="100" t="n"/>
      <x:c r="FM157" s="100" t="n"/>
      <x:c r="FN157" s="100" t="n"/>
      <x:c r="FO157" s="100" t="n"/>
      <x:c r="FP157" s="100" t="n"/>
      <x:c r="FQ157" s="100" t="n"/>
      <x:c r="FR157" s="100" t="n"/>
      <x:c r="FS157" s="100" t="n"/>
      <x:c r="FT157" s="100" t="n"/>
      <x:c r="FU157" s="100" t="n"/>
      <x:c r="FV157" s="100" t="n"/>
      <x:c r="FW157" s="100" t="n"/>
      <x:c r="FX157" s="100" t="n"/>
      <x:c r="FY157" s="100" t="n"/>
      <x:c r="FZ157" s="100" t="n"/>
      <x:c r="GA157" s="100" t="n"/>
      <x:c r="GB157" s="100" t="n"/>
      <x:c r="GC157" s="100" t="n"/>
      <x:c r="GD157" s="100" t="n"/>
      <x:c r="GE157" s="100" t="n"/>
      <x:c r="GF157" s="100" t="n"/>
    </x:row>
    <x:row r="158" s="27" customFormat="1">
      <x:c r="A158" s="38" t="n"/>
      <x:c r="B158" s="37" t="n"/>
      <x:c r="C158" s="36" t="n">
        <x:f>E158*D$5</x:f>
        <x:v>0</x:v>
      </x:c>
      <x:c r="D158" s="20" t="n"/>
      <x:c r="E158" s="36" t="n">
        <x:f>SUM(G158:HT158)</x:f>
        <x:v>0</x:v>
      </x:c>
      <x:c r="M158" s="100" t="n"/>
      <x:c r="N158" s="100" t="n"/>
      <x:c r="O158" s="100" t="n"/>
      <x:c r="P158" s="100" t="n"/>
      <x:c r="Q158" s="100" t="n"/>
      <x:c r="R158" s="100" t="n"/>
      <x:c r="S158" s="100" t="n"/>
      <x:c r="T158" s="100" t="n"/>
      <x:c r="U158" s="100" t="n"/>
      <x:c r="V158" s="100" t="n"/>
      <x:c r="W158" s="100" t="n"/>
      <x:c r="X158" s="100" t="n"/>
      <x:c r="Y158" s="100" t="n"/>
      <x:c r="Z158" s="100" t="n"/>
      <x:c r="AA158" s="100" t="n"/>
      <x:c r="AB158" s="100" t="n"/>
      <x:c r="AC158" s="100" t="n"/>
      <x:c r="AD158" s="100" t="n"/>
      <x:c r="AE158" s="100" t="n"/>
      <x:c r="AF158" s="100" t="n"/>
      <x:c r="AG158" s="100" t="n"/>
      <x:c r="AH158" s="100" t="n"/>
      <x:c r="AI158" s="100" t="n"/>
      <x:c r="AJ158" s="100" t="n"/>
      <x:c r="AK158" s="100" t="n"/>
      <x:c r="AL158" s="100" t="n"/>
      <x:c r="AM158" s="100" t="n"/>
      <x:c r="AN158" s="100" t="n"/>
      <x:c r="AO158" s="100" t="n"/>
      <x:c r="AP158" s="100" t="n"/>
      <x:c r="AQ158" s="100" t="n"/>
      <x:c r="AR158" s="100" t="n"/>
      <x:c r="AS158" s="100" t="n"/>
      <x:c r="AT158" s="100" t="n"/>
      <x:c r="AU158" s="100" t="n"/>
      <x:c r="AV158" s="100" t="n"/>
      <x:c r="AW158" s="100" t="n"/>
      <x:c r="AX158" s="100" t="n"/>
      <x:c r="AY158" s="100" t="n"/>
      <x:c r="AZ158" s="100" t="n"/>
      <x:c r="BA158" s="100" t="n"/>
      <x:c r="BB158" s="100" t="n"/>
      <x:c r="BC158" s="100" t="n"/>
      <x:c r="BD158" s="100" t="n"/>
      <x:c r="BE158" s="100" t="n"/>
      <x:c r="BF158" s="100" t="n"/>
      <x:c r="BG158" s="100" t="n"/>
      <x:c r="BH158" s="100" t="n"/>
      <x:c r="BI158" s="100" t="n"/>
      <x:c r="BJ158" s="100" t="n"/>
      <x:c r="BK158" s="100" t="n"/>
      <x:c r="BL158" s="100" t="n"/>
      <x:c r="BM158" s="100" t="n"/>
      <x:c r="BN158" s="100" t="n"/>
      <x:c r="BO158" s="100" t="n"/>
      <x:c r="BP158" s="100" t="n"/>
      <x:c r="BQ158" s="100" t="n"/>
      <x:c r="BR158" s="100" t="n"/>
      <x:c r="BS158" s="100" t="n"/>
      <x:c r="BT158" s="100" t="n"/>
      <x:c r="BU158" s="100" t="n"/>
      <x:c r="BV158" s="100" t="n"/>
      <x:c r="BW158" s="100" t="n"/>
      <x:c r="BX158" s="100" t="n"/>
      <x:c r="BY158" s="100" t="n"/>
      <x:c r="BZ158" s="100" t="n"/>
      <x:c r="CA158" s="100" t="n"/>
      <x:c r="CB158" s="100" t="n"/>
      <x:c r="CC158" s="100" t="n"/>
      <x:c r="CD158" s="100" t="n"/>
      <x:c r="CE158" s="100" t="n"/>
      <x:c r="CF158" s="100" t="n"/>
      <x:c r="CG158" s="100" t="n"/>
      <x:c r="CH158" s="100" t="n"/>
      <x:c r="CI158" s="100" t="n"/>
      <x:c r="CJ158" s="100" t="n"/>
      <x:c r="CK158" s="100" t="n"/>
      <x:c r="CL158" s="100" t="n"/>
      <x:c r="CM158" s="100" t="n"/>
      <x:c r="CN158" s="100" t="n"/>
      <x:c r="CO158" s="100" t="n"/>
      <x:c r="CP158" s="100" t="n"/>
      <x:c r="CQ158" s="100" t="n"/>
      <x:c r="CR158" s="100" t="n"/>
      <x:c r="CS158" s="100" t="n"/>
      <x:c r="CT158" s="100" t="n"/>
      <x:c r="CU158" s="100" t="n"/>
      <x:c r="CV158" s="100" t="n"/>
      <x:c r="CW158" s="100" t="n"/>
      <x:c r="CX158" s="100" t="n"/>
      <x:c r="CY158" s="100" t="n"/>
      <x:c r="CZ158" s="100" t="n"/>
      <x:c r="DA158" s="100" t="n"/>
      <x:c r="DB158" s="100" t="n"/>
      <x:c r="DC158" s="100" t="n"/>
      <x:c r="DD158" s="100" t="n"/>
      <x:c r="DE158" s="100" t="n"/>
      <x:c r="DF158" s="100" t="n"/>
      <x:c r="DG158" s="100" t="n"/>
      <x:c r="DH158" s="100" t="n"/>
      <x:c r="DI158" s="100" t="n"/>
      <x:c r="DJ158" s="100" t="n"/>
      <x:c r="DK158" s="100" t="n"/>
      <x:c r="DL158" s="100" t="n"/>
      <x:c r="DM158" s="100" t="n"/>
      <x:c r="DN158" s="100" t="n"/>
      <x:c r="DO158" s="100" t="n"/>
      <x:c r="DP158" s="100" t="n"/>
      <x:c r="DQ158" s="100" t="n"/>
      <x:c r="DR158" s="100" t="n"/>
      <x:c r="DS158" s="100" t="n"/>
      <x:c r="DT158" s="100" t="n"/>
      <x:c r="DU158" s="100" t="n"/>
      <x:c r="DV158" s="100" t="n"/>
      <x:c r="DW158" s="100" t="n"/>
      <x:c r="DX158" s="100" t="n"/>
      <x:c r="DY158" s="100" t="n"/>
      <x:c r="DZ158" s="100" t="n"/>
      <x:c r="EA158" s="100" t="n"/>
      <x:c r="EB158" s="100" t="n"/>
      <x:c r="EC158" s="100" t="n"/>
      <x:c r="ED158" s="100" t="n"/>
      <x:c r="EE158" s="100" t="n"/>
      <x:c r="EF158" s="100" t="n"/>
      <x:c r="EG158" s="100" t="n"/>
      <x:c r="EH158" s="100" t="n"/>
      <x:c r="EI158" s="100" t="n"/>
      <x:c r="EJ158" s="100" t="n"/>
      <x:c r="EK158" s="100" t="n"/>
      <x:c r="EL158" s="100" t="n"/>
      <x:c r="EM158" s="100" t="n"/>
      <x:c r="EN158" s="100" t="n"/>
      <x:c r="EO158" s="100" t="n"/>
      <x:c r="EP158" s="100" t="n"/>
      <x:c r="EQ158" s="100" t="n"/>
      <x:c r="ER158" s="100" t="n"/>
      <x:c r="ES158" s="100" t="n"/>
      <x:c r="ET158" s="100" t="n"/>
      <x:c r="EU158" s="100" t="n"/>
      <x:c r="EV158" s="100" t="n"/>
      <x:c r="EW158" s="100" t="n"/>
      <x:c r="EX158" s="100" t="n"/>
      <x:c r="EY158" s="100" t="n"/>
      <x:c r="EZ158" s="100" t="n"/>
      <x:c r="FA158" s="100" t="n"/>
      <x:c r="FB158" s="100" t="n"/>
      <x:c r="FC158" s="100" t="n"/>
      <x:c r="FD158" s="100" t="n"/>
      <x:c r="FE158" s="100" t="n"/>
      <x:c r="FF158" s="100" t="n"/>
      <x:c r="FG158" s="100" t="n"/>
      <x:c r="FH158" s="100" t="n"/>
      <x:c r="FI158" s="100" t="n"/>
      <x:c r="FJ158" s="100" t="n"/>
      <x:c r="FK158" s="100" t="n"/>
      <x:c r="FL158" s="100" t="n"/>
      <x:c r="FM158" s="100" t="n"/>
      <x:c r="FN158" s="100" t="n"/>
      <x:c r="FO158" s="100" t="n"/>
      <x:c r="FP158" s="100" t="n"/>
      <x:c r="FQ158" s="100" t="n"/>
      <x:c r="FR158" s="100" t="n"/>
      <x:c r="FS158" s="100" t="n"/>
      <x:c r="FT158" s="100" t="n"/>
      <x:c r="FU158" s="100" t="n"/>
      <x:c r="FV158" s="100" t="n"/>
      <x:c r="FW158" s="100" t="n"/>
      <x:c r="FX158" s="100" t="n"/>
      <x:c r="FY158" s="100" t="n"/>
      <x:c r="FZ158" s="100" t="n"/>
      <x:c r="GA158" s="100" t="n"/>
      <x:c r="GB158" s="100" t="n"/>
      <x:c r="GC158" s="100" t="n"/>
      <x:c r="GD158" s="100" t="n"/>
      <x:c r="GE158" s="100" t="n"/>
      <x:c r="GF158" s="100" t="n"/>
    </x:row>
    <x:row r="159" s="27" customFormat="1">
      <x:c r="A159" s="38" t="n"/>
      <x:c r="B159" s="37" t="n"/>
      <x:c r="C159" s="36" t="n">
        <x:f>E159*D$5</x:f>
        <x:v>0</x:v>
      </x:c>
      <x:c r="D159" s="20" t="n"/>
      <x:c r="E159" s="36" t="n">
        <x:f>SUM(G159:HT159)</x:f>
        <x:v>0</x:v>
      </x:c>
      <x:c r="M159" s="100" t="n"/>
      <x:c r="N159" s="100" t="n"/>
      <x:c r="O159" s="100" t="n"/>
      <x:c r="P159" s="100" t="n"/>
      <x:c r="Q159" s="100" t="n"/>
      <x:c r="R159" s="100" t="n"/>
      <x:c r="S159" s="100" t="n"/>
      <x:c r="T159" s="100" t="n"/>
      <x:c r="U159" s="100" t="n"/>
      <x:c r="V159" s="100" t="n"/>
      <x:c r="W159" s="100" t="n"/>
      <x:c r="X159" s="100" t="n"/>
      <x:c r="Y159" s="100" t="n"/>
      <x:c r="Z159" s="100" t="n"/>
      <x:c r="AA159" s="100" t="n"/>
      <x:c r="AB159" s="100" t="n"/>
      <x:c r="AC159" s="100" t="n"/>
      <x:c r="AD159" s="100" t="n"/>
      <x:c r="AE159" s="100" t="n"/>
      <x:c r="AF159" s="100" t="n"/>
      <x:c r="AG159" s="100" t="n"/>
      <x:c r="AH159" s="100" t="n"/>
      <x:c r="AI159" s="100" t="n"/>
      <x:c r="AJ159" s="100" t="n"/>
      <x:c r="AK159" s="100" t="n"/>
      <x:c r="AL159" s="100" t="n"/>
      <x:c r="AM159" s="100" t="n"/>
      <x:c r="AN159" s="100" t="n"/>
      <x:c r="AO159" s="100" t="n"/>
      <x:c r="AP159" s="100" t="n"/>
      <x:c r="AQ159" s="100" t="n"/>
      <x:c r="AR159" s="100" t="n"/>
      <x:c r="AS159" s="100" t="n"/>
      <x:c r="AT159" s="100" t="n"/>
      <x:c r="AU159" s="100" t="n"/>
      <x:c r="AV159" s="100" t="n"/>
      <x:c r="AW159" s="100" t="n"/>
      <x:c r="AX159" s="100" t="n"/>
      <x:c r="AY159" s="100" t="n"/>
      <x:c r="AZ159" s="100" t="n"/>
      <x:c r="BA159" s="100" t="n"/>
      <x:c r="BB159" s="100" t="n"/>
      <x:c r="BC159" s="100" t="n"/>
      <x:c r="BD159" s="100" t="n"/>
      <x:c r="BE159" s="100" t="n"/>
      <x:c r="BF159" s="100" t="n"/>
      <x:c r="BG159" s="100" t="n"/>
      <x:c r="BH159" s="100" t="n"/>
      <x:c r="BI159" s="100" t="n"/>
      <x:c r="BJ159" s="100" t="n"/>
      <x:c r="BK159" s="100" t="n"/>
      <x:c r="BL159" s="100" t="n"/>
      <x:c r="BM159" s="100" t="n"/>
      <x:c r="BN159" s="100" t="n"/>
      <x:c r="BO159" s="100" t="n"/>
      <x:c r="BP159" s="100" t="n"/>
      <x:c r="BQ159" s="100" t="n"/>
      <x:c r="BR159" s="100" t="n"/>
      <x:c r="BS159" s="100" t="n"/>
      <x:c r="BT159" s="100" t="n"/>
      <x:c r="BU159" s="100" t="n"/>
      <x:c r="BV159" s="100" t="n"/>
      <x:c r="BW159" s="100" t="n"/>
      <x:c r="BX159" s="100" t="n"/>
      <x:c r="BY159" s="100" t="n"/>
      <x:c r="BZ159" s="100" t="n"/>
      <x:c r="CA159" s="100" t="n"/>
      <x:c r="CB159" s="100" t="n"/>
      <x:c r="CC159" s="100" t="n"/>
      <x:c r="CD159" s="100" t="n"/>
      <x:c r="CE159" s="100" t="n"/>
      <x:c r="CF159" s="100" t="n"/>
      <x:c r="CG159" s="100" t="n"/>
      <x:c r="CH159" s="100" t="n"/>
      <x:c r="CI159" s="100" t="n"/>
      <x:c r="CJ159" s="100" t="n"/>
      <x:c r="CK159" s="100" t="n"/>
      <x:c r="CL159" s="100" t="n"/>
      <x:c r="CM159" s="100" t="n"/>
      <x:c r="CN159" s="100" t="n"/>
      <x:c r="CO159" s="100" t="n"/>
      <x:c r="CP159" s="100" t="n"/>
      <x:c r="CQ159" s="100" t="n"/>
      <x:c r="CR159" s="100" t="n"/>
      <x:c r="CS159" s="100" t="n"/>
      <x:c r="CT159" s="100" t="n"/>
      <x:c r="CU159" s="100" t="n"/>
      <x:c r="CV159" s="100" t="n"/>
      <x:c r="CW159" s="100" t="n"/>
      <x:c r="CX159" s="100" t="n"/>
      <x:c r="CY159" s="100" t="n"/>
      <x:c r="CZ159" s="100" t="n"/>
      <x:c r="DA159" s="100" t="n"/>
      <x:c r="DB159" s="100" t="n"/>
      <x:c r="DC159" s="100" t="n"/>
      <x:c r="DD159" s="100" t="n"/>
      <x:c r="DE159" s="100" t="n"/>
      <x:c r="DF159" s="100" t="n"/>
      <x:c r="DG159" s="100" t="n"/>
      <x:c r="DH159" s="100" t="n"/>
      <x:c r="DI159" s="100" t="n"/>
      <x:c r="DJ159" s="100" t="n"/>
      <x:c r="DK159" s="100" t="n"/>
      <x:c r="DL159" s="100" t="n"/>
      <x:c r="DM159" s="100" t="n"/>
      <x:c r="DN159" s="100" t="n"/>
      <x:c r="DO159" s="100" t="n"/>
      <x:c r="DP159" s="100" t="n"/>
      <x:c r="DQ159" s="100" t="n"/>
      <x:c r="DR159" s="100" t="n"/>
      <x:c r="DS159" s="100" t="n"/>
      <x:c r="DT159" s="100" t="n"/>
      <x:c r="DU159" s="100" t="n"/>
      <x:c r="DV159" s="100" t="n"/>
      <x:c r="DW159" s="100" t="n"/>
      <x:c r="DX159" s="100" t="n"/>
      <x:c r="DY159" s="100" t="n"/>
      <x:c r="DZ159" s="100" t="n"/>
      <x:c r="EA159" s="100" t="n"/>
      <x:c r="EB159" s="100" t="n"/>
      <x:c r="EC159" s="100" t="n"/>
      <x:c r="ED159" s="100" t="n"/>
      <x:c r="EE159" s="100" t="n"/>
      <x:c r="EF159" s="100" t="n"/>
      <x:c r="EG159" s="100" t="n"/>
      <x:c r="EH159" s="100" t="n"/>
      <x:c r="EI159" s="100" t="n"/>
      <x:c r="EJ159" s="100" t="n"/>
      <x:c r="EK159" s="100" t="n"/>
      <x:c r="EL159" s="100" t="n"/>
      <x:c r="EM159" s="100" t="n"/>
      <x:c r="EN159" s="100" t="n"/>
      <x:c r="EO159" s="100" t="n"/>
      <x:c r="EP159" s="100" t="n"/>
      <x:c r="EQ159" s="100" t="n"/>
      <x:c r="ER159" s="100" t="n"/>
      <x:c r="ES159" s="100" t="n"/>
      <x:c r="ET159" s="100" t="n"/>
      <x:c r="EU159" s="100" t="n"/>
      <x:c r="EV159" s="100" t="n"/>
      <x:c r="EW159" s="100" t="n"/>
      <x:c r="EX159" s="100" t="n"/>
      <x:c r="EY159" s="100" t="n"/>
      <x:c r="EZ159" s="100" t="n"/>
      <x:c r="FA159" s="100" t="n"/>
      <x:c r="FB159" s="100" t="n"/>
      <x:c r="FC159" s="100" t="n"/>
      <x:c r="FD159" s="100" t="n"/>
      <x:c r="FE159" s="100" t="n"/>
      <x:c r="FF159" s="100" t="n"/>
      <x:c r="FG159" s="100" t="n"/>
      <x:c r="FH159" s="100" t="n"/>
      <x:c r="FI159" s="100" t="n"/>
      <x:c r="FJ159" s="100" t="n"/>
      <x:c r="FK159" s="100" t="n"/>
      <x:c r="FL159" s="100" t="n"/>
      <x:c r="FM159" s="100" t="n"/>
      <x:c r="FN159" s="100" t="n"/>
      <x:c r="FO159" s="100" t="n"/>
      <x:c r="FP159" s="100" t="n"/>
      <x:c r="FQ159" s="100" t="n"/>
      <x:c r="FR159" s="100" t="n"/>
      <x:c r="FS159" s="100" t="n"/>
      <x:c r="FT159" s="100" t="n"/>
      <x:c r="FU159" s="100" t="n"/>
      <x:c r="FV159" s="100" t="n"/>
      <x:c r="FW159" s="100" t="n"/>
      <x:c r="FX159" s="100" t="n"/>
      <x:c r="FY159" s="100" t="n"/>
      <x:c r="FZ159" s="100" t="n"/>
      <x:c r="GA159" s="100" t="n"/>
      <x:c r="GB159" s="100" t="n"/>
      <x:c r="GC159" s="100" t="n"/>
      <x:c r="GD159" s="100" t="n"/>
      <x:c r="GE159" s="100" t="n"/>
      <x:c r="GF159" s="100" t="n"/>
    </x:row>
    <x:row r="160" s="27" customFormat="1">
      <x:c r="A160" s="38" t="n"/>
      <x:c r="B160" s="37" t="n"/>
      <x:c r="C160" s="36" t="n">
        <x:f>E160*D$5</x:f>
        <x:v>0</x:v>
      </x:c>
      <x:c r="D160" s="20" t="n"/>
      <x:c r="E160" s="36" t="n">
        <x:f>SUM(G160:HT160)</x:f>
        <x:v>0</x:v>
      </x:c>
      <x:c r="M160" s="100" t="n"/>
      <x:c r="N160" s="100" t="n"/>
      <x:c r="O160" s="100" t="n"/>
      <x:c r="P160" s="100" t="n"/>
      <x:c r="Q160" s="100" t="n"/>
      <x:c r="R160" s="100" t="n"/>
      <x:c r="S160" s="100" t="n"/>
      <x:c r="T160" s="100" t="n"/>
      <x:c r="U160" s="100" t="n"/>
      <x:c r="V160" s="100" t="n"/>
      <x:c r="W160" s="100" t="n"/>
      <x:c r="X160" s="100" t="n"/>
      <x:c r="Y160" s="100" t="n"/>
      <x:c r="Z160" s="100" t="n"/>
      <x:c r="AA160" s="100" t="n"/>
      <x:c r="AB160" s="100" t="n"/>
      <x:c r="AC160" s="100" t="n"/>
      <x:c r="AD160" s="100" t="n"/>
      <x:c r="AE160" s="100" t="n"/>
      <x:c r="AF160" s="100" t="n"/>
      <x:c r="AG160" s="100" t="n"/>
      <x:c r="AH160" s="100" t="n"/>
      <x:c r="AI160" s="100" t="n"/>
      <x:c r="AJ160" s="100" t="n"/>
      <x:c r="AK160" s="100" t="n"/>
      <x:c r="AL160" s="100" t="n"/>
      <x:c r="AM160" s="100" t="n"/>
      <x:c r="AN160" s="100" t="n"/>
      <x:c r="AO160" s="100" t="n"/>
      <x:c r="AP160" s="100" t="n"/>
      <x:c r="AQ160" s="100" t="n"/>
      <x:c r="AR160" s="100" t="n"/>
      <x:c r="AS160" s="100" t="n"/>
      <x:c r="AT160" s="100" t="n"/>
      <x:c r="AU160" s="100" t="n"/>
      <x:c r="AV160" s="100" t="n"/>
      <x:c r="AW160" s="100" t="n"/>
      <x:c r="AX160" s="100" t="n"/>
      <x:c r="AY160" s="100" t="n"/>
      <x:c r="AZ160" s="100" t="n"/>
      <x:c r="BA160" s="100" t="n"/>
      <x:c r="BB160" s="100" t="n"/>
      <x:c r="BC160" s="100" t="n"/>
      <x:c r="BD160" s="100" t="n"/>
      <x:c r="BE160" s="100" t="n"/>
      <x:c r="BF160" s="100" t="n"/>
      <x:c r="BG160" s="100" t="n"/>
      <x:c r="BH160" s="100" t="n"/>
      <x:c r="BI160" s="100" t="n"/>
      <x:c r="BJ160" s="100" t="n"/>
      <x:c r="BK160" s="100" t="n"/>
      <x:c r="BL160" s="100" t="n"/>
      <x:c r="BM160" s="100" t="n"/>
      <x:c r="BN160" s="100" t="n"/>
      <x:c r="BO160" s="100" t="n"/>
      <x:c r="BP160" s="100" t="n"/>
      <x:c r="BQ160" s="100" t="n"/>
      <x:c r="BR160" s="100" t="n"/>
      <x:c r="BS160" s="100" t="n"/>
      <x:c r="BT160" s="100" t="n"/>
      <x:c r="BU160" s="100" t="n"/>
      <x:c r="BV160" s="100" t="n"/>
      <x:c r="BW160" s="100" t="n"/>
      <x:c r="BX160" s="100" t="n"/>
      <x:c r="BY160" s="100" t="n"/>
      <x:c r="BZ160" s="100" t="n"/>
      <x:c r="CA160" s="100" t="n"/>
      <x:c r="CB160" s="100" t="n"/>
      <x:c r="CC160" s="100" t="n"/>
      <x:c r="CD160" s="100" t="n"/>
      <x:c r="CE160" s="100" t="n"/>
      <x:c r="CF160" s="100" t="n"/>
      <x:c r="CG160" s="100" t="n"/>
      <x:c r="CH160" s="100" t="n"/>
      <x:c r="CI160" s="100" t="n"/>
      <x:c r="CJ160" s="100" t="n"/>
      <x:c r="CK160" s="100" t="n"/>
      <x:c r="CL160" s="100" t="n"/>
      <x:c r="CM160" s="100" t="n"/>
      <x:c r="CN160" s="100" t="n"/>
      <x:c r="CO160" s="100" t="n"/>
      <x:c r="CP160" s="100" t="n"/>
      <x:c r="CQ160" s="100" t="n"/>
      <x:c r="CR160" s="100" t="n"/>
      <x:c r="CS160" s="100" t="n"/>
      <x:c r="CT160" s="100" t="n"/>
      <x:c r="CU160" s="100" t="n"/>
      <x:c r="CV160" s="100" t="n"/>
      <x:c r="CW160" s="100" t="n"/>
      <x:c r="CX160" s="100" t="n"/>
      <x:c r="CY160" s="100" t="n"/>
      <x:c r="CZ160" s="100" t="n"/>
      <x:c r="DA160" s="100" t="n"/>
      <x:c r="DB160" s="100" t="n"/>
      <x:c r="DC160" s="100" t="n"/>
      <x:c r="DD160" s="100" t="n"/>
      <x:c r="DE160" s="100" t="n"/>
      <x:c r="DF160" s="100" t="n"/>
      <x:c r="DG160" s="100" t="n"/>
      <x:c r="DH160" s="100" t="n"/>
      <x:c r="DI160" s="100" t="n"/>
      <x:c r="DJ160" s="100" t="n"/>
      <x:c r="DK160" s="100" t="n"/>
      <x:c r="DL160" s="100" t="n"/>
      <x:c r="DM160" s="100" t="n"/>
      <x:c r="DN160" s="100" t="n"/>
      <x:c r="DO160" s="100" t="n"/>
      <x:c r="DP160" s="100" t="n"/>
      <x:c r="DQ160" s="100" t="n"/>
      <x:c r="DR160" s="100" t="n"/>
      <x:c r="DS160" s="100" t="n"/>
      <x:c r="DT160" s="100" t="n"/>
      <x:c r="DU160" s="100" t="n"/>
      <x:c r="DV160" s="100" t="n"/>
      <x:c r="DW160" s="100" t="n"/>
      <x:c r="DX160" s="100" t="n"/>
      <x:c r="DY160" s="100" t="n"/>
      <x:c r="DZ160" s="100" t="n"/>
      <x:c r="EA160" s="100" t="n"/>
      <x:c r="EB160" s="100" t="n"/>
      <x:c r="EC160" s="100" t="n"/>
      <x:c r="ED160" s="100" t="n"/>
      <x:c r="EE160" s="100" t="n"/>
      <x:c r="EF160" s="100" t="n"/>
      <x:c r="EG160" s="100" t="n"/>
      <x:c r="EH160" s="100" t="n"/>
      <x:c r="EI160" s="100" t="n"/>
      <x:c r="EJ160" s="100" t="n"/>
      <x:c r="EK160" s="100" t="n"/>
      <x:c r="EL160" s="100" t="n"/>
      <x:c r="EM160" s="100" t="n"/>
      <x:c r="EN160" s="100" t="n"/>
      <x:c r="EO160" s="100" t="n"/>
      <x:c r="EP160" s="100" t="n"/>
      <x:c r="EQ160" s="100" t="n"/>
      <x:c r="ER160" s="100" t="n"/>
      <x:c r="ES160" s="100" t="n"/>
      <x:c r="ET160" s="100" t="n"/>
      <x:c r="EU160" s="100" t="n"/>
      <x:c r="EV160" s="100" t="n"/>
      <x:c r="EW160" s="100" t="n"/>
      <x:c r="EX160" s="100" t="n"/>
      <x:c r="EY160" s="100" t="n"/>
      <x:c r="EZ160" s="100" t="n"/>
      <x:c r="FA160" s="100" t="n"/>
      <x:c r="FB160" s="100" t="n"/>
      <x:c r="FC160" s="100" t="n"/>
      <x:c r="FD160" s="100" t="n"/>
      <x:c r="FE160" s="100" t="n"/>
      <x:c r="FF160" s="100" t="n"/>
      <x:c r="FG160" s="100" t="n"/>
      <x:c r="FH160" s="100" t="n"/>
      <x:c r="FI160" s="100" t="n"/>
      <x:c r="FJ160" s="100" t="n"/>
      <x:c r="FK160" s="100" t="n"/>
      <x:c r="FL160" s="100" t="n"/>
      <x:c r="FM160" s="100" t="n"/>
      <x:c r="FN160" s="100" t="n"/>
      <x:c r="FO160" s="100" t="n"/>
      <x:c r="FP160" s="100" t="n"/>
      <x:c r="FQ160" s="100" t="n"/>
      <x:c r="FR160" s="100" t="n"/>
      <x:c r="FS160" s="100" t="n"/>
      <x:c r="FT160" s="100" t="n"/>
      <x:c r="FU160" s="100" t="n"/>
      <x:c r="FV160" s="100" t="n"/>
      <x:c r="FW160" s="100" t="n"/>
      <x:c r="FX160" s="100" t="n"/>
      <x:c r="FY160" s="100" t="n"/>
      <x:c r="FZ160" s="100" t="n"/>
      <x:c r="GA160" s="100" t="n"/>
      <x:c r="GB160" s="100" t="n"/>
      <x:c r="GC160" s="100" t="n"/>
      <x:c r="GD160" s="100" t="n"/>
      <x:c r="GE160" s="100" t="n"/>
      <x:c r="GF160" s="100" t="n"/>
    </x:row>
    <x:row r="161" s="27" customFormat="1">
      <x:c r="A161" s="38" t="n"/>
      <x:c r="B161" s="37" t="n"/>
      <x:c r="C161" s="36" t="n">
        <x:f>E161*D$5</x:f>
        <x:v>0</x:v>
      </x:c>
      <x:c r="D161" s="20" t="n"/>
      <x:c r="E161" s="36" t="n">
        <x:f>SUM(G161:HT161)</x:f>
        <x:v>0</x:v>
      </x:c>
      <x:c r="M161" s="100" t="n"/>
      <x:c r="N161" s="100" t="n"/>
      <x:c r="O161" s="100" t="n"/>
      <x:c r="P161" s="100" t="n"/>
      <x:c r="Q161" s="100" t="n"/>
      <x:c r="R161" s="100" t="n"/>
      <x:c r="S161" s="100" t="n"/>
      <x:c r="T161" s="100" t="n"/>
      <x:c r="U161" s="100" t="n"/>
      <x:c r="V161" s="100" t="n"/>
      <x:c r="W161" s="100" t="n"/>
      <x:c r="X161" s="100" t="n"/>
      <x:c r="Y161" s="100" t="n"/>
      <x:c r="Z161" s="100" t="n"/>
      <x:c r="AA161" s="100" t="n"/>
      <x:c r="AB161" s="100" t="n"/>
      <x:c r="AC161" s="100" t="n"/>
      <x:c r="AD161" s="100" t="n"/>
      <x:c r="AE161" s="100" t="n"/>
      <x:c r="AF161" s="100" t="n"/>
      <x:c r="AG161" s="100" t="n"/>
      <x:c r="AH161" s="100" t="n"/>
      <x:c r="AI161" s="100" t="n"/>
      <x:c r="AJ161" s="100" t="n"/>
      <x:c r="AK161" s="100" t="n"/>
      <x:c r="AL161" s="100" t="n"/>
      <x:c r="AM161" s="100" t="n"/>
      <x:c r="AN161" s="100" t="n"/>
      <x:c r="AO161" s="100" t="n"/>
      <x:c r="AP161" s="100" t="n"/>
      <x:c r="AQ161" s="100" t="n"/>
      <x:c r="AR161" s="100" t="n"/>
      <x:c r="AS161" s="100" t="n"/>
      <x:c r="AT161" s="100" t="n"/>
      <x:c r="AU161" s="100" t="n"/>
      <x:c r="AV161" s="100" t="n"/>
      <x:c r="AW161" s="100" t="n"/>
      <x:c r="AX161" s="100" t="n"/>
      <x:c r="AY161" s="100" t="n"/>
      <x:c r="AZ161" s="100" t="n"/>
      <x:c r="BA161" s="100" t="n"/>
      <x:c r="BB161" s="100" t="n"/>
      <x:c r="BC161" s="100" t="n"/>
      <x:c r="BD161" s="100" t="n"/>
      <x:c r="BE161" s="100" t="n"/>
      <x:c r="BF161" s="100" t="n"/>
      <x:c r="BG161" s="100" t="n"/>
      <x:c r="BH161" s="100" t="n"/>
      <x:c r="BI161" s="100" t="n"/>
      <x:c r="BJ161" s="100" t="n"/>
      <x:c r="BK161" s="100" t="n"/>
      <x:c r="BL161" s="100" t="n"/>
      <x:c r="BM161" s="100" t="n"/>
      <x:c r="BN161" s="100" t="n"/>
      <x:c r="BO161" s="100" t="n"/>
      <x:c r="BP161" s="100" t="n"/>
      <x:c r="BQ161" s="100" t="n"/>
      <x:c r="BR161" s="100" t="n"/>
      <x:c r="BS161" s="100" t="n"/>
      <x:c r="BT161" s="100" t="n"/>
      <x:c r="BU161" s="100" t="n"/>
      <x:c r="BV161" s="100" t="n"/>
      <x:c r="BW161" s="100" t="n"/>
      <x:c r="BX161" s="100" t="n"/>
      <x:c r="BY161" s="100" t="n"/>
      <x:c r="BZ161" s="100" t="n"/>
      <x:c r="CA161" s="100" t="n"/>
      <x:c r="CB161" s="100" t="n"/>
      <x:c r="CC161" s="100" t="n"/>
      <x:c r="CD161" s="100" t="n"/>
      <x:c r="CE161" s="100" t="n"/>
      <x:c r="CF161" s="100" t="n"/>
      <x:c r="CG161" s="100" t="n"/>
      <x:c r="CH161" s="100" t="n"/>
      <x:c r="CI161" s="100" t="n"/>
      <x:c r="CJ161" s="100" t="n"/>
      <x:c r="CK161" s="100" t="n"/>
      <x:c r="CL161" s="100" t="n"/>
      <x:c r="CM161" s="100" t="n"/>
      <x:c r="CN161" s="100" t="n"/>
      <x:c r="CO161" s="100" t="n"/>
      <x:c r="CP161" s="100" t="n"/>
      <x:c r="CQ161" s="100" t="n"/>
      <x:c r="CR161" s="100" t="n"/>
      <x:c r="CS161" s="100" t="n"/>
      <x:c r="CT161" s="100" t="n"/>
      <x:c r="CU161" s="100" t="n"/>
      <x:c r="CV161" s="100" t="n"/>
      <x:c r="CW161" s="100" t="n"/>
      <x:c r="CX161" s="100" t="n"/>
      <x:c r="CY161" s="100" t="n"/>
      <x:c r="CZ161" s="100" t="n"/>
      <x:c r="DA161" s="100" t="n"/>
      <x:c r="DB161" s="100" t="n"/>
      <x:c r="DC161" s="100" t="n"/>
      <x:c r="DD161" s="100" t="n"/>
      <x:c r="DE161" s="100" t="n"/>
      <x:c r="DF161" s="100" t="n"/>
      <x:c r="DG161" s="100" t="n"/>
      <x:c r="DH161" s="100" t="n"/>
      <x:c r="DI161" s="100" t="n"/>
      <x:c r="DJ161" s="100" t="n"/>
      <x:c r="DK161" s="100" t="n"/>
      <x:c r="DL161" s="100" t="n"/>
      <x:c r="DM161" s="100" t="n"/>
      <x:c r="DN161" s="100" t="n"/>
      <x:c r="DO161" s="100" t="n"/>
      <x:c r="DP161" s="100" t="n"/>
      <x:c r="DQ161" s="100" t="n"/>
      <x:c r="DR161" s="100" t="n"/>
      <x:c r="DS161" s="100" t="n"/>
      <x:c r="DT161" s="100" t="n"/>
      <x:c r="DU161" s="100" t="n"/>
      <x:c r="DV161" s="100" t="n"/>
      <x:c r="DW161" s="100" t="n"/>
      <x:c r="DX161" s="100" t="n"/>
      <x:c r="DY161" s="100" t="n"/>
      <x:c r="DZ161" s="100" t="n"/>
      <x:c r="EA161" s="100" t="n"/>
      <x:c r="EB161" s="100" t="n"/>
      <x:c r="EC161" s="100" t="n"/>
      <x:c r="ED161" s="100" t="n"/>
      <x:c r="EE161" s="100" t="n"/>
      <x:c r="EF161" s="100" t="n"/>
      <x:c r="EG161" s="100" t="n"/>
      <x:c r="EH161" s="100" t="n"/>
      <x:c r="EI161" s="100" t="n"/>
      <x:c r="EJ161" s="100" t="n"/>
      <x:c r="EK161" s="100" t="n"/>
      <x:c r="EL161" s="100" t="n"/>
      <x:c r="EM161" s="100" t="n"/>
      <x:c r="EN161" s="100" t="n"/>
      <x:c r="EO161" s="100" t="n"/>
      <x:c r="EP161" s="100" t="n"/>
      <x:c r="EQ161" s="100" t="n"/>
      <x:c r="ER161" s="100" t="n"/>
      <x:c r="ES161" s="100" t="n"/>
      <x:c r="ET161" s="100" t="n"/>
      <x:c r="EU161" s="100" t="n"/>
      <x:c r="EV161" s="100" t="n"/>
      <x:c r="EW161" s="100" t="n"/>
      <x:c r="EX161" s="100" t="n"/>
      <x:c r="EY161" s="100" t="n"/>
      <x:c r="EZ161" s="100" t="n"/>
      <x:c r="FA161" s="100" t="n"/>
      <x:c r="FB161" s="100" t="n"/>
      <x:c r="FC161" s="100" t="n"/>
      <x:c r="FD161" s="100" t="n"/>
      <x:c r="FE161" s="100" t="n"/>
      <x:c r="FF161" s="100" t="n"/>
      <x:c r="FG161" s="100" t="n"/>
      <x:c r="FH161" s="100" t="n"/>
      <x:c r="FI161" s="100" t="n"/>
      <x:c r="FJ161" s="100" t="n"/>
      <x:c r="FK161" s="100" t="n"/>
      <x:c r="FL161" s="100" t="n"/>
      <x:c r="FM161" s="100" t="n"/>
      <x:c r="FN161" s="100" t="n"/>
      <x:c r="FO161" s="100" t="n"/>
      <x:c r="FP161" s="100" t="n"/>
      <x:c r="FQ161" s="100" t="n"/>
      <x:c r="FR161" s="100" t="n"/>
      <x:c r="FS161" s="100" t="n"/>
      <x:c r="FT161" s="100" t="n"/>
      <x:c r="FU161" s="100" t="n"/>
      <x:c r="FV161" s="100" t="n"/>
      <x:c r="FW161" s="100" t="n"/>
      <x:c r="FX161" s="100" t="n"/>
      <x:c r="FY161" s="100" t="n"/>
      <x:c r="FZ161" s="100" t="n"/>
      <x:c r="GA161" s="100" t="n"/>
      <x:c r="GB161" s="100" t="n"/>
      <x:c r="GC161" s="100" t="n"/>
      <x:c r="GD161" s="100" t="n"/>
      <x:c r="GE161" s="100" t="n"/>
      <x:c r="GF161" s="100" t="n"/>
    </x:row>
    <x:row r="162" s="27" customFormat="1">
      <x:c r="A162" s="38" t="n"/>
      <x:c r="B162" s="37" t="n"/>
      <x:c r="C162" s="36" t="n">
        <x:f>E162*D$5</x:f>
        <x:v>0</x:v>
      </x:c>
      <x:c r="D162" s="20" t="n"/>
      <x:c r="E162" s="36" t="n">
        <x:f>SUM(G162:HT162)</x:f>
        <x:v>0</x:v>
      </x:c>
      <x:c r="M162" s="100" t="n"/>
      <x:c r="N162" s="100" t="n"/>
      <x:c r="O162" s="100" t="n"/>
      <x:c r="P162" s="100" t="n"/>
      <x:c r="Q162" s="100" t="n"/>
      <x:c r="R162" s="100" t="n"/>
      <x:c r="S162" s="100" t="n"/>
      <x:c r="T162" s="100" t="n"/>
      <x:c r="U162" s="100" t="n"/>
      <x:c r="V162" s="100" t="n"/>
      <x:c r="W162" s="100" t="n"/>
      <x:c r="X162" s="100" t="n"/>
      <x:c r="Y162" s="100" t="n"/>
      <x:c r="Z162" s="100" t="n"/>
      <x:c r="AA162" s="100" t="n"/>
      <x:c r="AB162" s="100" t="n"/>
      <x:c r="AC162" s="100" t="n"/>
      <x:c r="AD162" s="100" t="n"/>
      <x:c r="AE162" s="100" t="n"/>
      <x:c r="AF162" s="100" t="n"/>
      <x:c r="AG162" s="100" t="n"/>
      <x:c r="AH162" s="100" t="n"/>
      <x:c r="AI162" s="100" t="n"/>
      <x:c r="AJ162" s="100" t="n"/>
      <x:c r="AK162" s="100" t="n"/>
      <x:c r="AL162" s="100" t="n"/>
      <x:c r="AM162" s="100" t="n"/>
      <x:c r="AN162" s="100" t="n"/>
      <x:c r="AO162" s="100" t="n"/>
      <x:c r="AP162" s="100" t="n"/>
      <x:c r="AQ162" s="100" t="n"/>
      <x:c r="AR162" s="100" t="n"/>
      <x:c r="AS162" s="100" t="n"/>
      <x:c r="AT162" s="100" t="n"/>
      <x:c r="AU162" s="100" t="n"/>
      <x:c r="AV162" s="100" t="n"/>
      <x:c r="AW162" s="100" t="n"/>
      <x:c r="AX162" s="100" t="n"/>
      <x:c r="AY162" s="100" t="n"/>
      <x:c r="AZ162" s="100" t="n"/>
      <x:c r="BA162" s="100" t="n"/>
      <x:c r="BB162" s="100" t="n"/>
      <x:c r="BC162" s="100" t="n"/>
      <x:c r="BD162" s="100" t="n"/>
      <x:c r="BE162" s="100" t="n"/>
      <x:c r="BF162" s="100" t="n"/>
      <x:c r="BG162" s="100" t="n"/>
      <x:c r="BH162" s="100" t="n"/>
      <x:c r="BI162" s="100" t="n"/>
      <x:c r="BJ162" s="100" t="n"/>
      <x:c r="BK162" s="100" t="n"/>
      <x:c r="BL162" s="100" t="n"/>
      <x:c r="BM162" s="100" t="n"/>
      <x:c r="BN162" s="100" t="n"/>
      <x:c r="BO162" s="100" t="n"/>
      <x:c r="BP162" s="100" t="n"/>
      <x:c r="BQ162" s="100" t="n"/>
      <x:c r="BR162" s="100" t="n"/>
      <x:c r="BS162" s="100" t="n"/>
      <x:c r="BT162" s="100" t="n"/>
      <x:c r="BU162" s="100" t="n"/>
      <x:c r="BV162" s="100" t="n"/>
      <x:c r="BW162" s="100" t="n"/>
      <x:c r="BX162" s="100" t="n"/>
      <x:c r="BY162" s="100" t="n"/>
      <x:c r="BZ162" s="100" t="n"/>
      <x:c r="CA162" s="100" t="n"/>
      <x:c r="CB162" s="100" t="n"/>
      <x:c r="CC162" s="100" t="n"/>
      <x:c r="CD162" s="100" t="n"/>
      <x:c r="CE162" s="100" t="n"/>
      <x:c r="CF162" s="100" t="n"/>
      <x:c r="CG162" s="100" t="n"/>
      <x:c r="CH162" s="100" t="n"/>
      <x:c r="CI162" s="100" t="n"/>
      <x:c r="CJ162" s="100" t="n"/>
      <x:c r="CK162" s="100" t="n"/>
      <x:c r="CL162" s="100" t="n"/>
      <x:c r="CM162" s="100" t="n"/>
      <x:c r="CN162" s="100" t="n"/>
      <x:c r="CO162" s="100" t="n"/>
      <x:c r="CP162" s="100" t="n"/>
      <x:c r="CQ162" s="100" t="n"/>
      <x:c r="CR162" s="100" t="n"/>
      <x:c r="CS162" s="100" t="n"/>
      <x:c r="CT162" s="100" t="n"/>
      <x:c r="CU162" s="100" t="n"/>
      <x:c r="CV162" s="100" t="n"/>
      <x:c r="CW162" s="100" t="n"/>
      <x:c r="CX162" s="100" t="n"/>
      <x:c r="CY162" s="100" t="n"/>
      <x:c r="CZ162" s="100" t="n"/>
      <x:c r="DA162" s="100" t="n"/>
      <x:c r="DB162" s="100" t="n"/>
      <x:c r="DC162" s="100" t="n"/>
      <x:c r="DD162" s="100" t="n"/>
      <x:c r="DE162" s="100" t="n"/>
      <x:c r="DF162" s="100" t="n"/>
      <x:c r="DG162" s="100" t="n"/>
      <x:c r="DH162" s="100" t="n"/>
      <x:c r="DI162" s="100" t="n"/>
      <x:c r="DJ162" s="100" t="n"/>
      <x:c r="DK162" s="100" t="n"/>
      <x:c r="DL162" s="100" t="n"/>
      <x:c r="DM162" s="100" t="n"/>
      <x:c r="DN162" s="100" t="n"/>
      <x:c r="DO162" s="100" t="n"/>
      <x:c r="DP162" s="100" t="n"/>
      <x:c r="DQ162" s="100" t="n"/>
      <x:c r="DR162" s="100" t="n"/>
      <x:c r="DS162" s="100" t="n"/>
      <x:c r="DT162" s="100" t="n"/>
      <x:c r="DU162" s="100" t="n"/>
      <x:c r="DV162" s="100" t="n"/>
      <x:c r="DW162" s="100" t="n"/>
      <x:c r="DX162" s="100" t="n"/>
      <x:c r="DY162" s="100" t="n"/>
      <x:c r="DZ162" s="100" t="n"/>
      <x:c r="EA162" s="100" t="n"/>
      <x:c r="EB162" s="100" t="n"/>
      <x:c r="EC162" s="100" t="n"/>
      <x:c r="ED162" s="100" t="n"/>
      <x:c r="EE162" s="100" t="n"/>
      <x:c r="EF162" s="100" t="n"/>
      <x:c r="EG162" s="100" t="n"/>
      <x:c r="EH162" s="100" t="n"/>
      <x:c r="EI162" s="100" t="n"/>
      <x:c r="EJ162" s="100" t="n"/>
      <x:c r="EK162" s="100" t="n"/>
      <x:c r="EL162" s="100" t="n"/>
      <x:c r="EM162" s="100" t="n"/>
      <x:c r="EN162" s="100" t="n"/>
      <x:c r="EO162" s="100" t="n"/>
      <x:c r="EP162" s="100" t="n"/>
      <x:c r="EQ162" s="100" t="n"/>
      <x:c r="ER162" s="100" t="n"/>
      <x:c r="ES162" s="100" t="n"/>
      <x:c r="ET162" s="100" t="n"/>
      <x:c r="EU162" s="100" t="n"/>
      <x:c r="EV162" s="100" t="n"/>
      <x:c r="EW162" s="100" t="n"/>
      <x:c r="EX162" s="100" t="n"/>
      <x:c r="EY162" s="100" t="n"/>
      <x:c r="EZ162" s="100" t="n"/>
      <x:c r="FA162" s="100" t="n"/>
      <x:c r="FB162" s="100" t="n"/>
      <x:c r="FC162" s="100" t="n"/>
      <x:c r="FD162" s="100" t="n"/>
      <x:c r="FE162" s="100" t="n"/>
      <x:c r="FF162" s="100" t="n"/>
      <x:c r="FG162" s="100" t="n"/>
      <x:c r="FH162" s="100" t="n"/>
      <x:c r="FI162" s="100" t="n"/>
      <x:c r="FJ162" s="100" t="n"/>
      <x:c r="FK162" s="100" t="n"/>
      <x:c r="FL162" s="100" t="n"/>
      <x:c r="FM162" s="100" t="n"/>
      <x:c r="FN162" s="100" t="n"/>
      <x:c r="FO162" s="100" t="n"/>
      <x:c r="FP162" s="100" t="n"/>
      <x:c r="FQ162" s="100" t="n"/>
      <x:c r="FR162" s="100" t="n"/>
      <x:c r="FS162" s="100" t="n"/>
      <x:c r="FT162" s="100" t="n"/>
      <x:c r="FU162" s="100" t="n"/>
      <x:c r="FV162" s="100" t="n"/>
      <x:c r="FW162" s="100" t="n"/>
      <x:c r="FX162" s="100" t="n"/>
      <x:c r="FY162" s="100" t="n"/>
      <x:c r="FZ162" s="100" t="n"/>
      <x:c r="GA162" s="100" t="n"/>
      <x:c r="GB162" s="100" t="n"/>
      <x:c r="GC162" s="100" t="n"/>
      <x:c r="GD162" s="100" t="n"/>
      <x:c r="GE162" s="100" t="n"/>
      <x:c r="GF162" s="100" t="n"/>
    </x:row>
    <x:row r="163" s="27" customFormat="1">
      <x:c r="A163" s="38" t="n"/>
      <x:c r="B163" s="37" t="n"/>
      <x:c r="C163" s="36" t="n">
        <x:f>E163*D$5</x:f>
        <x:v>0</x:v>
      </x:c>
      <x:c r="D163" s="20" t="n"/>
      <x:c r="E163" s="36" t="n">
        <x:f>SUM(G163:HT163)</x:f>
        <x:v>0</x:v>
      </x:c>
      <x:c r="M163" s="100" t="n"/>
      <x:c r="N163" s="100" t="n"/>
      <x:c r="O163" s="100" t="n"/>
      <x:c r="P163" s="100" t="n"/>
      <x:c r="Q163" s="100" t="n"/>
      <x:c r="R163" s="100" t="n"/>
      <x:c r="S163" s="100" t="n"/>
      <x:c r="T163" s="100" t="n"/>
      <x:c r="U163" s="100" t="n"/>
      <x:c r="V163" s="100" t="n"/>
      <x:c r="W163" s="100" t="n"/>
      <x:c r="X163" s="100" t="n"/>
      <x:c r="Y163" s="100" t="n"/>
      <x:c r="Z163" s="100" t="n"/>
      <x:c r="AA163" s="100" t="n"/>
      <x:c r="AB163" s="100" t="n"/>
      <x:c r="AC163" s="100" t="n"/>
      <x:c r="AD163" s="100" t="n"/>
      <x:c r="AE163" s="100" t="n"/>
      <x:c r="AF163" s="100" t="n"/>
      <x:c r="AG163" s="100" t="n"/>
      <x:c r="AH163" s="100" t="n"/>
      <x:c r="AI163" s="100" t="n"/>
      <x:c r="AJ163" s="100" t="n"/>
      <x:c r="AK163" s="100" t="n"/>
      <x:c r="AL163" s="100" t="n"/>
      <x:c r="AM163" s="100" t="n"/>
      <x:c r="AN163" s="100" t="n"/>
      <x:c r="AO163" s="100" t="n"/>
      <x:c r="AP163" s="100" t="n"/>
      <x:c r="AQ163" s="100" t="n"/>
      <x:c r="AR163" s="100" t="n"/>
      <x:c r="AS163" s="100" t="n"/>
      <x:c r="AT163" s="100" t="n"/>
      <x:c r="AU163" s="100" t="n"/>
      <x:c r="AV163" s="100" t="n"/>
      <x:c r="AW163" s="100" t="n"/>
      <x:c r="AX163" s="100" t="n"/>
      <x:c r="AY163" s="100" t="n"/>
      <x:c r="AZ163" s="100" t="n"/>
      <x:c r="BA163" s="100" t="n"/>
      <x:c r="BB163" s="100" t="n"/>
      <x:c r="BC163" s="100" t="n"/>
      <x:c r="BD163" s="100" t="n"/>
      <x:c r="BE163" s="100" t="n"/>
      <x:c r="BF163" s="100" t="n"/>
      <x:c r="BG163" s="100" t="n"/>
      <x:c r="BH163" s="100" t="n"/>
      <x:c r="BI163" s="100" t="n"/>
      <x:c r="BJ163" s="100" t="n"/>
      <x:c r="BK163" s="100" t="n"/>
      <x:c r="BL163" s="100" t="n"/>
      <x:c r="BM163" s="100" t="n"/>
      <x:c r="BN163" s="100" t="n"/>
      <x:c r="BO163" s="100" t="n"/>
      <x:c r="BP163" s="100" t="n"/>
      <x:c r="BQ163" s="100" t="n"/>
      <x:c r="BR163" s="100" t="n"/>
      <x:c r="BS163" s="100" t="n"/>
      <x:c r="BT163" s="100" t="n"/>
      <x:c r="BU163" s="100" t="n"/>
      <x:c r="BV163" s="100" t="n"/>
      <x:c r="BW163" s="100" t="n"/>
      <x:c r="BX163" s="100" t="n"/>
      <x:c r="BY163" s="100" t="n"/>
      <x:c r="BZ163" s="100" t="n"/>
      <x:c r="CA163" s="100" t="n"/>
      <x:c r="CB163" s="100" t="n"/>
      <x:c r="CC163" s="100" t="n"/>
      <x:c r="CD163" s="100" t="n"/>
      <x:c r="CE163" s="100" t="n"/>
      <x:c r="CF163" s="100" t="n"/>
      <x:c r="CG163" s="100" t="n"/>
      <x:c r="CH163" s="100" t="n"/>
      <x:c r="CI163" s="100" t="n"/>
      <x:c r="CJ163" s="100" t="n"/>
      <x:c r="CK163" s="100" t="n"/>
      <x:c r="CL163" s="100" t="n"/>
      <x:c r="CM163" s="100" t="n"/>
      <x:c r="CN163" s="100" t="n"/>
      <x:c r="CO163" s="100" t="n"/>
      <x:c r="CP163" s="100" t="n"/>
      <x:c r="CQ163" s="100" t="n"/>
      <x:c r="CR163" s="100" t="n"/>
      <x:c r="CS163" s="100" t="n"/>
      <x:c r="CT163" s="100" t="n"/>
      <x:c r="CU163" s="100" t="n"/>
      <x:c r="CV163" s="100" t="n"/>
      <x:c r="CW163" s="100" t="n"/>
      <x:c r="CX163" s="100" t="n"/>
      <x:c r="CY163" s="100" t="n"/>
      <x:c r="CZ163" s="100" t="n"/>
      <x:c r="DA163" s="100" t="n"/>
      <x:c r="DB163" s="100" t="n"/>
      <x:c r="DC163" s="100" t="n"/>
      <x:c r="DD163" s="100" t="n"/>
      <x:c r="DE163" s="100" t="n"/>
      <x:c r="DF163" s="100" t="n"/>
      <x:c r="DG163" s="100" t="n"/>
      <x:c r="DH163" s="100" t="n"/>
      <x:c r="DI163" s="100" t="n"/>
      <x:c r="DJ163" s="100" t="n"/>
      <x:c r="DK163" s="100" t="n"/>
      <x:c r="DL163" s="100" t="n"/>
      <x:c r="DM163" s="100" t="n"/>
      <x:c r="DN163" s="100" t="n"/>
      <x:c r="DO163" s="100" t="n"/>
      <x:c r="DP163" s="100" t="n"/>
      <x:c r="DQ163" s="100" t="n"/>
      <x:c r="DR163" s="100" t="n"/>
      <x:c r="DS163" s="100" t="n"/>
      <x:c r="DT163" s="100" t="n"/>
      <x:c r="DU163" s="100" t="n"/>
      <x:c r="DV163" s="100" t="n"/>
      <x:c r="DW163" s="100" t="n"/>
      <x:c r="DX163" s="100" t="n"/>
      <x:c r="DY163" s="100" t="n"/>
      <x:c r="DZ163" s="100" t="n"/>
      <x:c r="EA163" s="100" t="n"/>
      <x:c r="EB163" s="100" t="n"/>
      <x:c r="EC163" s="100" t="n"/>
      <x:c r="ED163" s="100" t="n"/>
      <x:c r="EE163" s="100" t="n"/>
      <x:c r="EF163" s="100" t="n"/>
      <x:c r="EG163" s="100" t="n"/>
      <x:c r="EH163" s="100" t="n"/>
      <x:c r="EI163" s="100" t="n"/>
      <x:c r="EJ163" s="100" t="n"/>
      <x:c r="EK163" s="100" t="n"/>
      <x:c r="EL163" s="100" t="n"/>
      <x:c r="EM163" s="100" t="n"/>
      <x:c r="EN163" s="100" t="n"/>
      <x:c r="EO163" s="100" t="n"/>
      <x:c r="EP163" s="100" t="n"/>
      <x:c r="EQ163" s="100" t="n"/>
      <x:c r="ER163" s="100" t="n"/>
      <x:c r="ES163" s="100" t="n"/>
      <x:c r="ET163" s="100" t="n"/>
      <x:c r="EU163" s="100" t="n"/>
      <x:c r="EV163" s="100" t="n"/>
      <x:c r="EW163" s="100" t="n"/>
      <x:c r="EX163" s="100" t="n"/>
      <x:c r="EY163" s="100" t="n"/>
      <x:c r="EZ163" s="100" t="n"/>
      <x:c r="FA163" s="100" t="n"/>
      <x:c r="FB163" s="100" t="n"/>
      <x:c r="FC163" s="100" t="n"/>
      <x:c r="FD163" s="100" t="n"/>
      <x:c r="FE163" s="100" t="n"/>
      <x:c r="FF163" s="100" t="n"/>
      <x:c r="FG163" s="100" t="n"/>
      <x:c r="FH163" s="100" t="n"/>
      <x:c r="FI163" s="100" t="n"/>
      <x:c r="FJ163" s="100" t="n"/>
      <x:c r="FK163" s="100" t="n"/>
      <x:c r="FL163" s="100" t="n"/>
      <x:c r="FM163" s="100" t="n"/>
      <x:c r="FN163" s="100" t="n"/>
      <x:c r="FO163" s="100" t="n"/>
      <x:c r="FP163" s="100" t="n"/>
      <x:c r="FQ163" s="100" t="n"/>
      <x:c r="FR163" s="100" t="n"/>
      <x:c r="FS163" s="100" t="n"/>
      <x:c r="FT163" s="100" t="n"/>
      <x:c r="FU163" s="100" t="n"/>
      <x:c r="FV163" s="100" t="n"/>
      <x:c r="FW163" s="100" t="n"/>
      <x:c r="FX163" s="100" t="n"/>
      <x:c r="FY163" s="100" t="n"/>
      <x:c r="FZ163" s="100" t="n"/>
      <x:c r="GA163" s="100" t="n"/>
      <x:c r="GB163" s="100" t="n"/>
      <x:c r="GC163" s="100" t="n"/>
      <x:c r="GD163" s="100" t="n"/>
      <x:c r="GE163" s="100" t="n"/>
      <x:c r="GF163" s="100" t="n"/>
    </x:row>
    <x:row r="164" s="27" customFormat="1">
      <x:c r="A164" s="38" t="n"/>
      <x:c r="B164" s="37" t="n"/>
      <x:c r="C164" s="36" t="n">
        <x:f>E164*D$5</x:f>
        <x:v>0</x:v>
      </x:c>
      <x:c r="D164" s="20" t="n"/>
      <x:c r="E164" s="36" t="n">
        <x:f>SUM(G164:HT164)</x:f>
        <x:v>0</x:v>
      </x:c>
      <x:c r="M164" s="100" t="n"/>
      <x:c r="N164" s="100" t="n"/>
      <x:c r="O164" s="100" t="n"/>
      <x:c r="P164" s="100" t="n"/>
      <x:c r="Q164" s="100" t="n"/>
      <x:c r="R164" s="100" t="n"/>
      <x:c r="S164" s="100" t="n"/>
      <x:c r="T164" s="100" t="n"/>
      <x:c r="U164" s="100" t="n"/>
      <x:c r="V164" s="100" t="n"/>
      <x:c r="W164" s="100" t="n"/>
      <x:c r="X164" s="100" t="n"/>
      <x:c r="Y164" s="100" t="n"/>
      <x:c r="Z164" s="100" t="n"/>
      <x:c r="AA164" s="100" t="n"/>
      <x:c r="AB164" s="100" t="n"/>
      <x:c r="AC164" s="100" t="n"/>
      <x:c r="AD164" s="100" t="n"/>
      <x:c r="AE164" s="100" t="n"/>
      <x:c r="AF164" s="100" t="n"/>
      <x:c r="AG164" s="100" t="n"/>
      <x:c r="AH164" s="100" t="n"/>
      <x:c r="AI164" s="100" t="n"/>
      <x:c r="AJ164" s="100" t="n"/>
      <x:c r="AK164" s="100" t="n"/>
      <x:c r="AL164" s="100" t="n"/>
      <x:c r="AM164" s="100" t="n"/>
      <x:c r="AN164" s="100" t="n"/>
      <x:c r="AO164" s="100" t="n"/>
      <x:c r="AP164" s="100" t="n"/>
      <x:c r="AQ164" s="100" t="n"/>
      <x:c r="AR164" s="100" t="n"/>
      <x:c r="AS164" s="100" t="n"/>
      <x:c r="AT164" s="100" t="n"/>
      <x:c r="AU164" s="100" t="n"/>
      <x:c r="AV164" s="100" t="n"/>
      <x:c r="AW164" s="100" t="n"/>
      <x:c r="AX164" s="100" t="n"/>
      <x:c r="AY164" s="100" t="n"/>
      <x:c r="AZ164" s="100" t="n"/>
      <x:c r="BA164" s="100" t="n"/>
      <x:c r="BB164" s="100" t="n"/>
      <x:c r="BC164" s="100" t="n"/>
      <x:c r="BD164" s="100" t="n"/>
      <x:c r="BE164" s="100" t="n"/>
      <x:c r="BF164" s="100" t="n"/>
      <x:c r="BG164" s="100" t="n"/>
      <x:c r="BH164" s="100" t="n"/>
      <x:c r="BI164" s="100" t="n"/>
      <x:c r="BJ164" s="100" t="n"/>
      <x:c r="BK164" s="100" t="n"/>
      <x:c r="BL164" s="100" t="n"/>
      <x:c r="BM164" s="100" t="n"/>
      <x:c r="BN164" s="100" t="n"/>
      <x:c r="BO164" s="100" t="n"/>
      <x:c r="BP164" s="100" t="n"/>
      <x:c r="BQ164" s="100" t="n"/>
      <x:c r="BR164" s="100" t="n"/>
      <x:c r="BS164" s="100" t="n"/>
      <x:c r="BT164" s="100" t="n"/>
      <x:c r="BU164" s="100" t="n"/>
      <x:c r="BV164" s="100" t="n"/>
      <x:c r="BW164" s="100" t="n"/>
      <x:c r="BX164" s="100" t="n"/>
      <x:c r="BY164" s="100" t="n"/>
      <x:c r="BZ164" s="100" t="n"/>
      <x:c r="CA164" s="100" t="n"/>
      <x:c r="CB164" s="100" t="n"/>
      <x:c r="CC164" s="100" t="n"/>
      <x:c r="CD164" s="100" t="n"/>
      <x:c r="CE164" s="100" t="n"/>
      <x:c r="CF164" s="100" t="n"/>
      <x:c r="CG164" s="100" t="n"/>
      <x:c r="CH164" s="100" t="n"/>
      <x:c r="CI164" s="100" t="n"/>
      <x:c r="CJ164" s="100" t="n"/>
      <x:c r="CK164" s="100" t="n"/>
      <x:c r="CL164" s="100" t="n"/>
      <x:c r="CM164" s="100" t="n"/>
      <x:c r="CN164" s="100" t="n"/>
      <x:c r="CO164" s="100" t="n"/>
      <x:c r="CP164" s="100" t="n"/>
      <x:c r="CQ164" s="100" t="n"/>
      <x:c r="CR164" s="100" t="n"/>
      <x:c r="CS164" s="100" t="n"/>
      <x:c r="CT164" s="100" t="n"/>
      <x:c r="CU164" s="100" t="n"/>
      <x:c r="CV164" s="100" t="n"/>
      <x:c r="CW164" s="100" t="n"/>
      <x:c r="CX164" s="100" t="n"/>
      <x:c r="CY164" s="100" t="n"/>
      <x:c r="CZ164" s="100" t="n"/>
      <x:c r="DA164" s="100" t="n"/>
      <x:c r="DB164" s="100" t="n"/>
      <x:c r="DC164" s="100" t="n"/>
      <x:c r="DD164" s="100" t="n"/>
      <x:c r="DE164" s="100" t="n"/>
      <x:c r="DF164" s="100" t="n"/>
      <x:c r="DG164" s="100" t="n"/>
      <x:c r="DH164" s="100" t="n"/>
      <x:c r="DI164" s="100" t="n"/>
      <x:c r="DJ164" s="100" t="n"/>
      <x:c r="DK164" s="100" t="n"/>
      <x:c r="DL164" s="100" t="n"/>
      <x:c r="DM164" s="100" t="n"/>
      <x:c r="DN164" s="100" t="n"/>
      <x:c r="DO164" s="100" t="n"/>
      <x:c r="DP164" s="100" t="n"/>
      <x:c r="DQ164" s="100" t="n"/>
      <x:c r="DR164" s="100" t="n"/>
      <x:c r="DS164" s="100" t="n"/>
      <x:c r="DT164" s="100" t="n"/>
      <x:c r="DU164" s="100" t="n"/>
      <x:c r="DV164" s="100" t="n"/>
      <x:c r="DW164" s="100" t="n"/>
      <x:c r="DX164" s="100" t="n"/>
      <x:c r="DY164" s="100" t="n"/>
      <x:c r="DZ164" s="100" t="n"/>
      <x:c r="EA164" s="100" t="n"/>
      <x:c r="EB164" s="100" t="n"/>
      <x:c r="EC164" s="100" t="n"/>
      <x:c r="ED164" s="100" t="n"/>
      <x:c r="EE164" s="100" t="n"/>
      <x:c r="EF164" s="100" t="n"/>
      <x:c r="EG164" s="100" t="n"/>
      <x:c r="EH164" s="100" t="n"/>
      <x:c r="EI164" s="100" t="n"/>
      <x:c r="EJ164" s="100" t="n"/>
      <x:c r="EK164" s="100" t="n"/>
      <x:c r="EL164" s="100" t="n"/>
      <x:c r="EM164" s="100" t="n"/>
      <x:c r="EN164" s="100" t="n"/>
      <x:c r="EO164" s="100" t="n"/>
      <x:c r="EP164" s="100" t="n"/>
      <x:c r="EQ164" s="100" t="n"/>
      <x:c r="ER164" s="100" t="n"/>
      <x:c r="ES164" s="100" t="n"/>
      <x:c r="ET164" s="100" t="n"/>
      <x:c r="EU164" s="100" t="n"/>
      <x:c r="EV164" s="100" t="n"/>
      <x:c r="EW164" s="100" t="n"/>
      <x:c r="EX164" s="100" t="n"/>
      <x:c r="EY164" s="100" t="n"/>
      <x:c r="EZ164" s="100" t="n"/>
      <x:c r="FA164" s="100" t="n"/>
      <x:c r="FB164" s="100" t="n"/>
      <x:c r="FC164" s="100" t="n"/>
      <x:c r="FD164" s="100" t="n"/>
      <x:c r="FE164" s="100" t="n"/>
      <x:c r="FF164" s="100" t="n"/>
      <x:c r="FG164" s="100" t="n"/>
      <x:c r="FH164" s="100" t="n"/>
      <x:c r="FI164" s="100" t="n"/>
      <x:c r="FJ164" s="100" t="n"/>
      <x:c r="FK164" s="100" t="n"/>
      <x:c r="FL164" s="100" t="n"/>
      <x:c r="FM164" s="100" t="n"/>
      <x:c r="FN164" s="100" t="n"/>
      <x:c r="FO164" s="100" t="n"/>
      <x:c r="FP164" s="100" t="n"/>
      <x:c r="FQ164" s="100" t="n"/>
      <x:c r="FR164" s="100" t="n"/>
      <x:c r="FS164" s="100" t="n"/>
      <x:c r="FT164" s="100" t="n"/>
      <x:c r="FU164" s="100" t="n"/>
      <x:c r="FV164" s="100" t="n"/>
      <x:c r="FW164" s="100" t="n"/>
      <x:c r="FX164" s="100" t="n"/>
      <x:c r="FY164" s="100" t="n"/>
      <x:c r="FZ164" s="100" t="n"/>
      <x:c r="GA164" s="100" t="n"/>
      <x:c r="GB164" s="100" t="n"/>
      <x:c r="GC164" s="100" t="n"/>
      <x:c r="GD164" s="100" t="n"/>
      <x:c r="GE164" s="100" t="n"/>
      <x:c r="GF164" s="100" t="n"/>
    </x:row>
    <x:row r="165" s="27" customFormat="1">
      <x:c r="A165" s="38" t="n"/>
      <x:c r="B165" s="37" t="n"/>
      <x:c r="C165" s="36" t="n">
        <x:f>E165*D$5</x:f>
        <x:v>0</x:v>
      </x:c>
      <x:c r="D165" s="20" t="n"/>
      <x:c r="E165" s="36" t="n">
        <x:f>SUM(G165:HT165)</x:f>
        <x:v>0</x:v>
      </x:c>
      <x:c r="M165" s="100" t="n"/>
      <x:c r="N165" s="100" t="n"/>
      <x:c r="O165" s="100" t="n"/>
      <x:c r="P165" s="100" t="n"/>
      <x:c r="Q165" s="100" t="n"/>
      <x:c r="R165" s="100" t="n"/>
      <x:c r="S165" s="100" t="n"/>
      <x:c r="T165" s="100" t="n"/>
      <x:c r="U165" s="100" t="n"/>
      <x:c r="V165" s="100" t="n"/>
      <x:c r="W165" s="100" t="n"/>
      <x:c r="X165" s="100" t="n"/>
      <x:c r="Y165" s="100" t="n"/>
      <x:c r="Z165" s="100" t="n"/>
      <x:c r="AA165" s="100" t="n"/>
      <x:c r="AB165" s="100" t="n"/>
      <x:c r="AC165" s="100" t="n"/>
      <x:c r="AD165" s="100" t="n"/>
      <x:c r="AE165" s="100" t="n"/>
      <x:c r="AF165" s="100" t="n"/>
      <x:c r="AG165" s="100" t="n"/>
      <x:c r="AH165" s="100" t="n"/>
      <x:c r="AI165" s="100" t="n"/>
      <x:c r="AJ165" s="100" t="n"/>
      <x:c r="AK165" s="100" t="n"/>
      <x:c r="AL165" s="100" t="n"/>
      <x:c r="AM165" s="100" t="n"/>
      <x:c r="AN165" s="100" t="n"/>
      <x:c r="AO165" s="100" t="n"/>
      <x:c r="AP165" s="100" t="n"/>
      <x:c r="AQ165" s="100" t="n"/>
      <x:c r="AR165" s="100" t="n"/>
      <x:c r="AS165" s="100" t="n"/>
      <x:c r="AT165" s="100" t="n"/>
      <x:c r="AU165" s="100" t="n"/>
      <x:c r="AV165" s="100" t="n"/>
      <x:c r="AW165" s="100" t="n"/>
      <x:c r="AX165" s="100" t="n"/>
      <x:c r="AY165" s="100" t="n"/>
      <x:c r="AZ165" s="100" t="n"/>
      <x:c r="BA165" s="100" t="n"/>
      <x:c r="BB165" s="100" t="n"/>
      <x:c r="BC165" s="100" t="n"/>
      <x:c r="BD165" s="100" t="n"/>
      <x:c r="BE165" s="100" t="n"/>
      <x:c r="BF165" s="100" t="n"/>
      <x:c r="BG165" s="100" t="n"/>
      <x:c r="BH165" s="100" t="n"/>
      <x:c r="BI165" s="100" t="n"/>
      <x:c r="BJ165" s="100" t="n"/>
      <x:c r="BK165" s="100" t="n"/>
      <x:c r="BL165" s="100" t="n"/>
      <x:c r="BM165" s="100" t="n"/>
      <x:c r="BN165" s="100" t="n"/>
      <x:c r="BO165" s="100" t="n"/>
      <x:c r="BP165" s="100" t="n"/>
      <x:c r="BQ165" s="100" t="n"/>
      <x:c r="BR165" s="100" t="n"/>
      <x:c r="BS165" s="100" t="n"/>
      <x:c r="BT165" s="100" t="n"/>
      <x:c r="BU165" s="100" t="n"/>
      <x:c r="BV165" s="100" t="n"/>
      <x:c r="BW165" s="100" t="n"/>
      <x:c r="BX165" s="100" t="n"/>
      <x:c r="BY165" s="100" t="n"/>
      <x:c r="BZ165" s="100" t="n"/>
      <x:c r="CA165" s="100" t="n"/>
      <x:c r="CB165" s="100" t="n"/>
      <x:c r="CC165" s="100" t="n"/>
      <x:c r="CD165" s="100" t="n"/>
      <x:c r="CE165" s="100" t="n"/>
      <x:c r="CF165" s="100" t="n"/>
      <x:c r="CG165" s="100" t="n"/>
      <x:c r="CH165" s="100" t="n"/>
      <x:c r="CI165" s="100" t="n"/>
      <x:c r="CJ165" s="100" t="n"/>
      <x:c r="CK165" s="100" t="n"/>
      <x:c r="CL165" s="100" t="n"/>
      <x:c r="CM165" s="100" t="n"/>
      <x:c r="CN165" s="100" t="n"/>
      <x:c r="CO165" s="100" t="n"/>
      <x:c r="CP165" s="100" t="n"/>
      <x:c r="CQ165" s="100" t="n"/>
      <x:c r="CR165" s="100" t="n"/>
      <x:c r="CS165" s="100" t="n"/>
      <x:c r="CT165" s="100" t="n"/>
      <x:c r="CU165" s="100" t="n"/>
      <x:c r="CV165" s="100" t="n"/>
      <x:c r="CW165" s="100" t="n"/>
      <x:c r="CX165" s="100" t="n"/>
      <x:c r="CY165" s="100" t="n"/>
      <x:c r="CZ165" s="100" t="n"/>
      <x:c r="DA165" s="100" t="n"/>
      <x:c r="DB165" s="100" t="n"/>
      <x:c r="DC165" s="100" t="n"/>
      <x:c r="DD165" s="100" t="n"/>
      <x:c r="DE165" s="100" t="n"/>
      <x:c r="DF165" s="100" t="n"/>
      <x:c r="DG165" s="100" t="n"/>
      <x:c r="DH165" s="100" t="n"/>
      <x:c r="DI165" s="100" t="n"/>
      <x:c r="DJ165" s="100" t="n"/>
      <x:c r="DK165" s="100" t="n"/>
      <x:c r="DL165" s="100" t="n"/>
      <x:c r="DM165" s="100" t="n"/>
      <x:c r="DN165" s="100" t="n"/>
      <x:c r="DO165" s="100" t="n"/>
      <x:c r="DP165" s="100" t="n"/>
      <x:c r="DQ165" s="100" t="n"/>
      <x:c r="DR165" s="100" t="n"/>
      <x:c r="DS165" s="100" t="n"/>
      <x:c r="DT165" s="100" t="n"/>
      <x:c r="DU165" s="100" t="n"/>
      <x:c r="DV165" s="100" t="n"/>
      <x:c r="DW165" s="100" t="n"/>
      <x:c r="DX165" s="100" t="n"/>
      <x:c r="DY165" s="100" t="n"/>
      <x:c r="DZ165" s="100" t="n"/>
      <x:c r="EA165" s="100" t="n"/>
      <x:c r="EB165" s="100" t="n"/>
      <x:c r="EC165" s="100" t="n"/>
      <x:c r="ED165" s="100" t="n"/>
      <x:c r="EE165" s="100" t="n"/>
      <x:c r="EF165" s="100" t="n"/>
      <x:c r="EG165" s="100" t="n"/>
      <x:c r="EH165" s="100" t="n"/>
      <x:c r="EI165" s="100" t="n"/>
      <x:c r="EJ165" s="100" t="n"/>
      <x:c r="EK165" s="100" t="n"/>
      <x:c r="EL165" s="100" t="n"/>
      <x:c r="EM165" s="100" t="n"/>
      <x:c r="EN165" s="100" t="n"/>
      <x:c r="EO165" s="100" t="n"/>
      <x:c r="EP165" s="100" t="n"/>
      <x:c r="EQ165" s="100" t="n"/>
      <x:c r="ER165" s="100" t="n"/>
      <x:c r="ES165" s="100" t="n"/>
      <x:c r="ET165" s="100" t="n"/>
      <x:c r="EU165" s="100" t="n"/>
      <x:c r="EV165" s="100" t="n"/>
      <x:c r="EW165" s="100" t="n"/>
      <x:c r="EX165" s="100" t="n"/>
      <x:c r="EY165" s="100" t="n"/>
      <x:c r="EZ165" s="100" t="n"/>
      <x:c r="FA165" s="100" t="n"/>
      <x:c r="FB165" s="100" t="n"/>
      <x:c r="FC165" s="100" t="n"/>
      <x:c r="FD165" s="100" t="n"/>
      <x:c r="FE165" s="100" t="n"/>
      <x:c r="FF165" s="100" t="n"/>
      <x:c r="FG165" s="100" t="n"/>
      <x:c r="FH165" s="100" t="n"/>
      <x:c r="FI165" s="100" t="n"/>
      <x:c r="FJ165" s="100" t="n"/>
      <x:c r="FK165" s="100" t="n"/>
      <x:c r="FL165" s="100" t="n"/>
      <x:c r="FM165" s="100" t="n"/>
      <x:c r="FN165" s="100" t="n"/>
      <x:c r="FO165" s="100" t="n"/>
      <x:c r="FP165" s="100" t="n"/>
      <x:c r="FQ165" s="100" t="n"/>
      <x:c r="FR165" s="100" t="n"/>
      <x:c r="FS165" s="100" t="n"/>
      <x:c r="FT165" s="100" t="n"/>
      <x:c r="FU165" s="100" t="n"/>
      <x:c r="FV165" s="100" t="n"/>
      <x:c r="FW165" s="100" t="n"/>
      <x:c r="FX165" s="100" t="n"/>
      <x:c r="FY165" s="100" t="n"/>
      <x:c r="FZ165" s="100" t="n"/>
      <x:c r="GA165" s="100" t="n"/>
      <x:c r="GB165" s="100" t="n"/>
      <x:c r="GC165" s="100" t="n"/>
      <x:c r="GD165" s="100" t="n"/>
      <x:c r="GE165" s="100" t="n"/>
      <x:c r="GF165" s="100" t="n"/>
    </x:row>
    <x:row r="166" s="27" customFormat="1">
      <x:c r="A166" s="38" t="n"/>
      <x:c r="B166" s="37" t="n"/>
      <x:c r="C166" s="36" t="n">
        <x:f>E166*D$5</x:f>
        <x:v>0</x:v>
      </x:c>
      <x:c r="D166" s="20" t="n"/>
      <x:c r="E166" s="36" t="n">
        <x:f>SUM(G166:HT166)</x:f>
        <x:v>0</x:v>
      </x:c>
      <x:c r="M166" s="100" t="n"/>
      <x:c r="N166" s="100" t="n"/>
      <x:c r="O166" s="100" t="n"/>
      <x:c r="P166" s="100" t="n"/>
      <x:c r="Q166" s="100" t="n"/>
      <x:c r="R166" s="100" t="n"/>
      <x:c r="S166" s="100" t="n"/>
      <x:c r="T166" s="100" t="n"/>
      <x:c r="U166" s="100" t="n"/>
      <x:c r="V166" s="100" t="n"/>
      <x:c r="W166" s="100" t="n"/>
      <x:c r="X166" s="100" t="n"/>
      <x:c r="Y166" s="100" t="n"/>
      <x:c r="Z166" s="100" t="n"/>
      <x:c r="AA166" s="100" t="n"/>
      <x:c r="AB166" s="100" t="n"/>
      <x:c r="AC166" s="100" t="n"/>
      <x:c r="AD166" s="100" t="n"/>
      <x:c r="AE166" s="100" t="n"/>
      <x:c r="AF166" s="100" t="n"/>
      <x:c r="AG166" s="100" t="n"/>
      <x:c r="AH166" s="100" t="n"/>
      <x:c r="AI166" s="100" t="n"/>
      <x:c r="AJ166" s="100" t="n"/>
      <x:c r="AK166" s="100" t="n"/>
      <x:c r="AL166" s="100" t="n"/>
      <x:c r="AM166" s="100" t="n"/>
      <x:c r="AN166" s="100" t="n"/>
      <x:c r="AO166" s="100" t="n"/>
      <x:c r="AP166" s="100" t="n"/>
      <x:c r="AQ166" s="100" t="n"/>
      <x:c r="AR166" s="100" t="n"/>
      <x:c r="AS166" s="100" t="n"/>
      <x:c r="AT166" s="100" t="n"/>
      <x:c r="AU166" s="100" t="n"/>
      <x:c r="AV166" s="100" t="n"/>
      <x:c r="AW166" s="100" t="n"/>
      <x:c r="AX166" s="100" t="n"/>
      <x:c r="AY166" s="100" t="n"/>
      <x:c r="AZ166" s="100" t="n"/>
      <x:c r="BA166" s="100" t="n"/>
      <x:c r="BB166" s="100" t="n"/>
      <x:c r="BC166" s="100" t="n"/>
      <x:c r="BD166" s="100" t="n"/>
      <x:c r="BE166" s="100" t="n"/>
      <x:c r="BF166" s="100" t="n"/>
      <x:c r="BG166" s="100" t="n"/>
      <x:c r="BH166" s="100" t="n"/>
      <x:c r="BI166" s="100" t="n"/>
      <x:c r="BJ166" s="100" t="n"/>
      <x:c r="BK166" s="100" t="n"/>
      <x:c r="BL166" s="100" t="n"/>
      <x:c r="BM166" s="100" t="n"/>
      <x:c r="BN166" s="100" t="n"/>
      <x:c r="BO166" s="100" t="n"/>
      <x:c r="BP166" s="100" t="n"/>
      <x:c r="BQ166" s="100" t="n"/>
      <x:c r="BR166" s="100" t="n"/>
      <x:c r="BS166" s="100" t="n"/>
      <x:c r="BT166" s="100" t="n"/>
      <x:c r="BU166" s="100" t="n"/>
      <x:c r="BV166" s="100" t="n"/>
      <x:c r="BW166" s="100" t="n"/>
      <x:c r="BX166" s="100" t="n"/>
      <x:c r="BY166" s="100" t="n"/>
      <x:c r="BZ166" s="100" t="n"/>
      <x:c r="CA166" s="100" t="n"/>
      <x:c r="CB166" s="100" t="n"/>
      <x:c r="CC166" s="100" t="n"/>
      <x:c r="CD166" s="100" t="n"/>
      <x:c r="CE166" s="100" t="n"/>
      <x:c r="CF166" s="100" t="n"/>
      <x:c r="CG166" s="100" t="n"/>
      <x:c r="CH166" s="100" t="n"/>
      <x:c r="CI166" s="100" t="n"/>
      <x:c r="CJ166" s="100" t="n"/>
      <x:c r="CK166" s="100" t="n"/>
      <x:c r="CL166" s="100" t="n"/>
      <x:c r="CM166" s="100" t="n"/>
      <x:c r="CN166" s="100" t="n"/>
      <x:c r="CO166" s="100" t="n"/>
      <x:c r="CP166" s="100" t="n"/>
      <x:c r="CQ166" s="100" t="n"/>
      <x:c r="CR166" s="100" t="n"/>
      <x:c r="CS166" s="100" t="n"/>
      <x:c r="CT166" s="100" t="n"/>
      <x:c r="CU166" s="100" t="n"/>
      <x:c r="CV166" s="100" t="n"/>
      <x:c r="CW166" s="100" t="n"/>
      <x:c r="CX166" s="100" t="n"/>
      <x:c r="CY166" s="100" t="n"/>
      <x:c r="CZ166" s="100" t="n"/>
      <x:c r="DA166" s="100" t="n"/>
      <x:c r="DB166" s="100" t="n"/>
      <x:c r="DC166" s="100" t="n"/>
      <x:c r="DD166" s="100" t="n"/>
      <x:c r="DE166" s="100" t="n"/>
      <x:c r="DF166" s="100" t="n"/>
      <x:c r="DG166" s="100" t="n"/>
      <x:c r="DH166" s="100" t="n"/>
      <x:c r="DI166" s="100" t="n"/>
      <x:c r="DJ166" s="100" t="n"/>
      <x:c r="DK166" s="100" t="n"/>
      <x:c r="DL166" s="100" t="n"/>
      <x:c r="DM166" s="100" t="n"/>
      <x:c r="DN166" s="100" t="n"/>
      <x:c r="DO166" s="100" t="n"/>
      <x:c r="DP166" s="100" t="n"/>
      <x:c r="DQ166" s="100" t="n"/>
      <x:c r="DR166" s="100" t="n"/>
      <x:c r="DS166" s="100" t="n"/>
      <x:c r="DT166" s="100" t="n"/>
      <x:c r="DU166" s="100" t="n"/>
      <x:c r="DV166" s="100" t="n"/>
      <x:c r="DW166" s="100" t="n"/>
      <x:c r="DX166" s="100" t="n"/>
      <x:c r="DY166" s="100" t="n"/>
      <x:c r="DZ166" s="100" t="n"/>
      <x:c r="EA166" s="100" t="n"/>
      <x:c r="EB166" s="100" t="n"/>
      <x:c r="EC166" s="100" t="n"/>
      <x:c r="ED166" s="100" t="n"/>
      <x:c r="EE166" s="100" t="n"/>
      <x:c r="EF166" s="100" t="n"/>
      <x:c r="EG166" s="100" t="n"/>
      <x:c r="EH166" s="100" t="n"/>
      <x:c r="EI166" s="100" t="n"/>
      <x:c r="EJ166" s="100" t="n"/>
      <x:c r="EK166" s="100" t="n"/>
      <x:c r="EL166" s="100" t="n"/>
      <x:c r="EM166" s="100" t="n"/>
      <x:c r="EN166" s="100" t="n"/>
      <x:c r="EO166" s="100" t="n"/>
      <x:c r="EP166" s="100" t="n"/>
      <x:c r="EQ166" s="100" t="n"/>
      <x:c r="ER166" s="100" t="n"/>
      <x:c r="ES166" s="100" t="n"/>
      <x:c r="ET166" s="100" t="n"/>
      <x:c r="EU166" s="100" t="n"/>
      <x:c r="EV166" s="100" t="n"/>
      <x:c r="EW166" s="100" t="n"/>
      <x:c r="EX166" s="100" t="n"/>
      <x:c r="EY166" s="100" t="n"/>
      <x:c r="EZ166" s="100" t="n"/>
      <x:c r="FA166" s="100" t="n"/>
      <x:c r="FB166" s="100" t="n"/>
      <x:c r="FC166" s="100" t="n"/>
      <x:c r="FD166" s="100" t="n"/>
      <x:c r="FE166" s="100" t="n"/>
      <x:c r="FF166" s="100" t="n"/>
      <x:c r="FG166" s="100" t="n"/>
      <x:c r="FH166" s="100" t="n"/>
      <x:c r="FI166" s="100" t="n"/>
      <x:c r="FJ166" s="100" t="n"/>
      <x:c r="FK166" s="100" t="n"/>
      <x:c r="FL166" s="100" t="n"/>
      <x:c r="FM166" s="100" t="n"/>
      <x:c r="FN166" s="100" t="n"/>
      <x:c r="FO166" s="100" t="n"/>
      <x:c r="FP166" s="100" t="n"/>
      <x:c r="FQ166" s="100" t="n"/>
      <x:c r="FR166" s="100" t="n"/>
      <x:c r="FS166" s="100" t="n"/>
      <x:c r="FT166" s="100" t="n"/>
      <x:c r="FU166" s="100" t="n"/>
      <x:c r="FV166" s="100" t="n"/>
      <x:c r="FW166" s="100" t="n"/>
      <x:c r="FX166" s="100" t="n"/>
      <x:c r="FY166" s="100" t="n"/>
      <x:c r="FZ166" s="100" t="n"/>
      <x:c r="GA166" s="100" t="n"/>
      <x:c r="GB166" s="100" t="n"/>
      <x:c r="GC166" s="100" t="n"/>
      <x:c r="GD166" s="100" t="n"/>
      <x:c r="GE166" s="100" t="n"/>
      <x:c r="GF166" s="100" t="n"/>
    </x:row>
    <x:row r="167" s="27" customFormat="1">
      <x:c r="A167" s="38" t="n"/>
      <x:c r="B167" s="37" t="n"/>
      <x:c r="C167" s="36" t="n">
        <x:f>E167*D$5</x:f>
        <x:v>0</x:v>
      </x:c>
      <x:c r="D167" s="20" t="n"/>
      <x:c r="E167" s="36" t="n">
        <x:f>SUM(G167:HT167)</x:f>
        <x:v>0</x:v>
      </x:c>
      <x:c r="M167" s="100" t="n"/>
      <x:c r="N167" s="100" t="n"/>
      <x:c r="O167" s="100" t="n"/>
      <x:c r="P167" s="100" t="n"/>
      <x:c r="Q167" s="100" t="n"/>
      <x:c r="R167" s="100" t="n"/>
      <x:c r="S167" s="100" t="n"/>
      <x:c r="T167" s="100" t="n"/>
      <x:c r="U167" s="100" t="n"/>
      <x:c r="V167" s="100" t="n"/>
      <x:c r="W167" s="100" t="n"/>
      <x:c r="X167" s="100" t="n"/>
      <x:c r="Y167" s="100" t="n"/>
      <x:c r="Z167" s="100" t="n"/>
      <x:c r="AA167" s="100" t="n"/>
      <x:c r="AB167" s="100" t="n"/>
      <x:c r="AC167" s="100" t="n"/>
      <x:c r="AD167" s="100" t="n"/>
      <x:c r="AE167" s="100" t="n"/>
      <x:c r="AF167" s="100" t="n"/>
      <x:c r="AG167" s="100" t="n"/>
      <x:c r="AH167" s="100" t="n"/>
      <x:c r="AI167" s="100" t="n"/>
      <x:c r="AJ167" s="100" t="n"/>
      <x:c r="AK167" s="100" t="n"/>
      <x:c r="AL167" s="100" t="n"/>
      <x:c r="AM167" s="100" t="n"/>
      <x:c r="AN167" s="100" t="n"/>
      <x:c r="AO167" s="100" t="n"/>
      <x:c r="AP167" s="100" t="n"/>
      <x:c r="AQ167" s="100" t="n"/>
      <x:c r="AR167" s="100" t="n"/>
      <x:c r="AS167" s="100" t="n"/>
      <x:c r="AT167" s="100" t="n"/>
      <x:c r="AU167" s="100" t="n"/>
      <x:c r="AV167" s="100" t="n"/>
      <x:c r="AW167" s="100" t="n"/>
      <x:c r="AX167" s="100" t="n"/>
      <x:c r="AY167" s="100" t="n"/>
      <x:c r="AZ167" s="100" t="n"/>
      <x:c r="BA167" s="100" t="n"/>
      <x:c r="BB167" s="100" t="n"/>
      <x:c r="BC167" s="100" t="n"/>
      <x:c r="BD167" s="100" t="n"/>
      <x:c r="BE167" s="100" t="n"/>
      <x:c r="BF167" s="100" t="n"/>
      <x:c r="BG167" s="100" t="n"/>
      <x:c r="BH167" s="100" t="n"/>
      <x:c r="BI167" s="100" t="n"/>
      <x:c r="BJ167" s="100" t="n"/>
      <x:c r="BK167" s="100" t="n"/>
      <x:c r="BL167" s="100" t="n"/>
      <x:c r="BM167" s="100" t="n"/>
      <x:c r="BN167" s="100" t="n"/>
      <x:c r="BO167" s="100" t="n"/>
      <x:c r="BP167" s="100" t="n"/>
      <x:c r="BQ167" s="100" t="n"/>
      <x:c r="BR167" s="100" t="n"/>
      <x:c r="BS167" s="100" t="n"/>
      <x:c r="BT167" s="100" t="n"/>
      <x:c r="BU167" s="100" t="n"/>
      <x:c r="BV167" s="100" t="n"/>
      <x:c r="BW167" s="100" t="n"/>
      <x:c r="BX167" s="100" t="n"/>
      <x:c r="BY167" s="100" t="n"/>
      <x:c r="BZ167" s="100" t="n"/>
      <x:c r="CA167" s="100" t="n"/>
      <x:c r="CB167" s="100" t="n"/>
      <x:c r="CC167" s="100" t="n"/>
      <x:c r="CD167" s="100" t="n"/>
      <x:c r="CE167" s="100" t="n"/>
      <x:c r="CF167" s="100" t="n"/>
      <x:c r="CG167" s="100" t="n"/>
      <x:c r="CH167" s="100" t="n"/>
      <x:c r="CI167" s="100" t="n"/>
      <x:c r="CJ167" s="100" t="n"/>
      <x:c r="CK167" s="100" t="n"/>
      <x:c r="CL167" s="100" t="n"/>
      <x:c r="CM167" s="100" t="n"/>
      <x:c r="CN167" s="100" t="n"/>
      <x:c r="CO167" s="100" t="n"/>
      <x:c r="CP167" s="100" t="n"/>
      <x:c r="CQ167" s="100" t="n"/>
      <x:c r="CR167" s="100" t="n"/>
      <x:c r="CS167" s="100" t="n"/>
      <x:c r="CT167" s="100" t="n"/>
      <x:c r="CU167" s="100" t="n"/>
      <x:c r="CV167" s="100" t="n"/>
      <x:c r="CW167" s="100" t="n"/>
      <x:c r="CX167" s="100" t="n"/>
      <x:c r="CY167" s="100" t="n"/>
      <x:c r="CZ167" s="100" t="n"/>
      <x:c r="DA167" s="100" t="n"/>
      <x:c r="DB167" s="100" t="n"/>
      <x:c r="DC167" s="100" t="n"/>
      <x:c r="DD167" s="100" t="n"/>
      <x:c r="DE167" s="100" t="n"/>
      <x:c r="DF167" s="100" t="n"/>
      <x:c r="DG167" s="100" t="n"/>
      <x:c r="DH167" s="100" t="n"/>
      <x:c r="DI167" s="100" t="n"/>
      <x:c r="DJ167" s="100" t="n"/>
      <x:c r="DK167" s="100" t="n"/>
      <x:c r="DL167" s="100" t="n"/>
      <x:c r="DM167" s="100" t="n"/>
      <x:c r="DN167" s="100" t="n"/>
      <x:c r="DO167" s="100" t="n"/>
      <x:c r="DP167" s="100" t="n"/>
      <x:c r="DQ167" s="100" t="n"/>
      <x:c r="DR167" s="100" t="n"/>
      <x:c r="DS167" s="100" t="n"/>
      <x:c r="DT167" s="100" t="n"/>
      <x:c r="DU167" s="100" t="n"/>
      <x:c r="DV167" s="100" t="n"/>
      <x:c r="DW167" s="100" t="n"/>
      <x:c r="DX167" s="100" t="n"/>
      <x:c r="DY167" s="100" t="n"/>
      <x:c r="DZ167" s="100" t="n"/>
      <x:c r="EA167" s="100" t="n"/>
      <x:c r="EB167" s="100" t="n"/>
      <x:c r="EC167" s="100" t="n"/>
      <x:c r="ED167" s="100" t="n"/>
      <x:c r="EE167" s="100" t="n"/>
      <x:c r="EF167" s="100" t="n"/>
      <x:c r="EG167" s="100" t="n"/>
      <x:c r="EH167" s="100" t="n"/>
      <x:c r="EI167" s="100" t="n"/>
      <x:c r="EJ167" s="100" t="n"/>
      <x:c r="EK167" s="100" t="n"/>
      <x:c r="EL167" s="100" t="n"/>
      <x:c r="EM167" s="100" t="n"/>
      <x:c r="EN167" s="100" t="n"/>
      <x:c r="EO167" s="100" t="n"/>
      <x:c r="EP167" s="100" t="n"/>
      <x:c r="EQ167" s="100" t="n"/>
      <x:c r="ER167" s="100" t="n"/>
      <x:c r="ES167" s="100" t="n"/>
      <x:c r="ET167" s="100" t="n"/>
      <x:c r="EU167" s="100" t="n"/>
      <x:c r="EV167" s="100" t="n"/>
      <x:c r="EW167" s="100" t="n"/>
      <x:c r="EX167" s="100" t="n"/>
      <x:c r="EY167" s="100" t="n"/>
      <x:c r="EZ167" s="100" t="n"/>
      <x:c r="FA167" s="100" t="n"/>
      <x:c r="FB167" s="100" t="n"/>
      <x:c r="FC167" s="100" t="n"/>
      <x:c r="FD167" s="100" t="n"/>
      <x:c r="FE167" s="100" t="n"/>
      <x:c r="FF167" s="100" t="n"/>
      <x:c r="FG167" s="100" t="n"/>
      <x:c r="FH167" s="100" t="n"/>
      <x:c r="FI167" s="100" t="n"/>
      <x:c r="FJ167" s="100" t="n"/>
      <x:c r="FK167" s="100" t="n"/>
      <x:c r="FL167" s="100" t="n"/>
      <x:c r="FM167" s="100" t="n"/>
      <x:c r="FN167" s="100" t="n"/>
      <x:c r="FO167" s="100" t="n"/>
      <x:c r="FP167" s="100" t="n"/>
      <x:c r="FQ167" s="100" t="n"/>
      <x:c r="FR167" s="100" t="n"/>
      <x:c r="FS167" s="100" t="n"/>
      <x:c r="FT167" s="100" t="n"/>
      <x:c r="FU167" s="100" t="n"/>
      <x:c r="FV167" s="100" t="n"/>
      <x:c r="FW167" s="100" t="n"/>
      <x:c r="FX167" s="100" t="n"/>
      <x:c r="FY167" s="100" t="n"/>
      <x:c r="FZ167" s="100" t="n"/>
      <x:c r="GA167" s="100" t="n"/>
      <x:c r="GB167" s="100" t="n"/>
      <x:c r="GC167" s="100" t="n"/>
      <x:c r="GD167" s="100" t="n"/>
      <x:c r="GE167" s="100" t="n"/>
      <x:c r="GF167" s="100" t="n"/>
    </x:row>
    <x:row r="168" s="27" customFormat="1">
      <x:c r="A168" s="38" t="n"/>
      <x:c r="B168" s="37" t="n"/>
      <x:c r="C168" s="36" t="n">
        <x:f>E168*D$5</x:f>
        <x:v>0</x:v>
      </x:c>
      <x:c r="D168" s="20" t="n"/>
      <x:c r="E168" s="36" t="n">
        <x:f>SUM(G168:HT168)</x:f>
        <x:v>0</x:v>
      </x:c>
      <x:c r="M168" s="100" t="n"/>
      <x:c r="N168" s="100" t="n"/>
      <x:c r="O168" s="100" t="n"/>
      <x:c r="P168" s="100" t="n"/>
      <x:c r="Q168" s="100" t="n"/>
      <x:c r="R168" s="100" t="n"/>
      <x:c r="S168" s="100" t="n"/>
      <x:c r="T168" s="100" t="n"/>
      <x:c r="U168" s="100" t="n"/>
      <x:c r="V168" s="100" t="n"/>
      <x:c r="W168" s="100" t="n"/>
      <x:c r="X168" s="100" t="n"/>
      <x:c r="Y168" s="100" t="n"/>
      <x:c r="Z168" s="100" t="n"/>
      <x:c r="AA168" s="100" t="n"/>
      <x:c r="AB168" s="100" t="n"/>
      <x:c r="AC168" s="100" t="n"/>
      <x:c r="AD168" s="100" t="n"/>
      <x:c r="AE168" s="100" t="n"/>
      <x:c r="AF168" s="100" t="n"/>
      <x:c r="AG168" s="100" t="n"/>
      <x:c r="AH168" s="100" t="n"/>
      <x:c r="AI168" s="100" t="n"/>
      <x:c r="AJ168" s="100" t="n"/>
      <x:c r="AK168" s="100" t="n"/>
      <x:c r="AL168" s="100" t="n"/>
      <x:c r="AM168" s="100" t="n"/>
      <x:c r="AN168" s="100" t="n"/>
      <x:c r="AO168" s="100" t="n"/>
      <x:c r="AP168" s="100" t="n"/>
      <x:c r="AQ168" s="100" t="n"/>
      <x:c r="AR168" s="100" t="n"/>
      <x:c r="AS168" s="100" t="n"/>
      <x:c r="AT168" s="100" t="n"/>
      <x:c r="AU168" s="100" t="n"/>
      <x:c r="AV168" s="100" t="n"/>
      <x:c r="AW168" s="100" t="n"/>
      <x:c r="AX168" s="100" t="n"/>
      <x:c r="AY168" s="100" t="n"/>
      <x:c r="AZ168" s="100" t="n"/>
      <x:c r="BA168" s="100" t="n"/>
      <x:c r="BB168" s="100" t="n"/>
      <x:c r="BC168" s="100" t="n"/>
      <x:c r="BD168" s="100" t="n"/>
      <x:c r="BE168" s="100" t="n"/>
      <x:c r="BF168" s="100" t="n"/>
      <x:c r="BG168" s="100" t="n"/>
      <x:c r="BH168" s="100" t="n"/>
      <x:c r="BI168" s="100" t="n"/>
      <x:c r="BJ168" s="100" t="n"/>
      <x:c r="BK168" s="100" t="n"/>
      <x:c r="BL168" s="100" t="n"/>
      <x:c r="BM168" s="100" t="n"/>
      <x:c r="BN168" s="100" t="n"/>
      <x:c r="BO168" s="100" t="n"/>
      <x:c r="BP168" s="100" t="n"/>
      <x:c r="BQ168" s="100" t="n"/>
      <x:c r="BR168" s="100" t="n"/>
      <x:c r="BS168" s="100" t="n"/>
      <x:c r="BT168" s="100" t="n"/>
      <x:c r="BU168" s="100" t="n"/>
      <x:c r="BV168" s="100" t="n"/>
      <x:c r="BW168" s="100" t="n"/>
      <x:c r="BX168" s="100" t="n"/>
      <x:c r="BY168" s="100" t="n"/>
      <x:c r="BZ168" s="100" t="n"/>
      <x:c r="CA168" s="100" t="n"/>
      <x:c r="CB168" s="100" t="n"/>
      <x:c r="CC168" s="100" t="n"/>
      <x:c r="CD168" s="100" t="n"/>
      <x:c r="CE168" s="100" t="n"/>
      <x:c r="CF168" s="100" t="n"/>
      <x:c r="CG168" s="100" t="n"/>
      <x:c r="CH168" s="100" t="n"/>
      <x:c r="CI168" s="100" t="n"/>
      <x:c r="CJ168" s="100" t="n"/>
      <x:c r="CK168" s="100" t="n"/>
      <x:c r="CL168" s="100" t="n"/>
      <x:c r="CM168" s="100" t="n"/>
      <x:c r="CN168" s="100" t="n"/>
      <x:c r="CO168" s="100" t="n"/>
      <x:c r="CP168" s="100" t="n"/>
      <x:c r="CQ168" s="100" t="n"/>
      <x:c r="CR168" s="100" t="n"/>
      <x:c r="CS168" s="100" t="n"/>
      <x:c r="CT168" s="100" t="n"/>
      <x:c r="CU168" s="100" t="n"/>
      <x:c r="CV168" s="100" t="n"/>
      <x:c r="CW168" s="100" t="n"/>
      <x:c r="CX168" s="100" t="n"/>
      <x:c r="CY168" s="100" t="n"/>
      <x:c r="CZ168" s="100" t="n"/>
      <x:c r="DA168" s="100" t="n"/>
      <x:c r="DB168" s="100" t="n"/>
      <x:c r="DC168" s="100" t="n"/>
      <x:c r="DD168" s="100" t="n"/>
      <x:c r="DE168" s="100" t="n"/>
      <x:c r="DF168" s="100" t="n"/>
      <x:c r="DG168" s="100" t="n"/>
      <x:c r="DH168" s="100" t="n"/>
      <x:c r="DI168" s="100" t="n"/>
      <x:c r="DJ168" s="100" t="n"/>
      <x:c r="DK168" s="100" t="n"/>
      <x:c r="DL168" s="100" t="n"/>
      <x:c r="DM168" s="100" t="n"/>
      <x:c r="DN168" s="100" t="n"/>
      <x:c r="DO168" s="100" t="n"/>
      <x:c r="DP168" s="100" t="n"/>
      <x:c r="DQ168" s="100" t="n"/>
      <x:c r="DR168" s="100" t="n"/>
      <x:c r="DS168" s="100" t="n"/>
      <x:c r="DT168" s="100" t="n"/>
      <x:c r="DU168" s="100" t="n"/>
      <x:c r="DV168" s="100" t="n"/>
      <x:c r="DW168" s="100" t="n"/>
      <x:c r="DX168" s="100" t="n"/>
      <x:c r="DY168" s="100" t="n"/>
      <x:c r="DZ168" s="100" t="n"/>
      <x:c r="EA168" s="100" t="n"/>
      <x:c r="EB168" s="100" t="n"/>
      <x:c r="EC168" s="100" t="n"/>
      <x:c r="ED168" s="100" t="n"/>
      <x:c r="EE168" s="100" t="n"/>
      <x:c r="EF168" s="100" t="n"/>
      <x:c r="EG168" s="100" t="n"/>
      <x:c r="EH168" s="100" t="n"/>
      <x:c r="EI168" s="100" t="n"/>
      <x:c r="EJ168" s="100" t="n"/>
      <x:c r="EK168" s="100" t="n"/>
      <x:c r="EL168" s="100" t="n"/>
      <x:c r="EM168" s="100" t="n"/>
      <x:c r="EN168" s="100" t="n"/>
      <x:c r="EO168" s="100" t="n"/>
      <x:c r="EP168" s="100" t="n"/>
      <x:c r="EQ168" s="100" t="n"/>
      <x:c r="ER168" s="100" t="n"/>
      <x:c r="ES168" s="100" t="n"/>
      <x:c r="ET168" s="100" t="n"/>
      <x:c r="EU168" s="100" t="n"/>
      <x:c r="EV168" s="100" t="n"/>
      <x:c r="EW168" s="100" t="n"/>
      <x:c r="EX168" s="100" t="n"/>
      <x:c r="EY168" s="100" t="n"/>
      <x:c r="EZ168" s="100" t="n"/>
      <x:c r="FA168" s="100" t="n"/>
      <x:c r="FB168" s="100" t="n"/>
      <x:c r="FC168" s="100" t="n"/>
      <x:c r="FD168" s="100" t="n"/>
      <x:c r="FE168" s="100" t="n"/>
      <x:c r="FF168" s="100" t="n"/>
      <x:c r="FG168" s="100" t="n"/>
      <x:c r="FH168" s="100" t="n"/>
      <x:c r="FI168" s="100" t="n"/>
      <x:c r="FJ168" s="100" t="n"/>
      <x:c r="FK168" s="100" t="n"/>
      <x:c r="FL168" s="100" t="n"/>
      <x:c r="FM168" s="100" t="n"/>
      <x:c r="FN168" s="100" t="n"/>
      <x:c r="FO168" s="100" t="n"/>
      <x:c r="FP168" s="100" t="n"/>
      <x:c r="FQ168" s="100" t="n"/>
      <x:c r="FR168" s="100" t="n"/>
      <x:c r="FS168" s="100" t="n"/>
      <x:c r="FT168" s="100" t="n"/>
      <x:c r="FU168" s="100" t="n"/>
      <x:c r="FV168" s="100" t="n"/>
      <x:c r="FW168" s="100" t="n"/>
      <x:c r="FX168" s="100" t="n"/>
      <x:c r="FY168" s="100" t="n"/>
      <x:c r="FZ168" s="100" t="n"/>
      <x:c r="GA168" s="100" t="n"/>
      <x:c r="GB168" s="100" t="n"/>
      <x:c r="GC168" s="100" t="n"/>
      <x:c r="GD168" s="100" t="n"/>
      <x:c r="GE168" s="100" t="n"/>
      <x:c r="GF168" s="100" t="n"/>
    </x:row>
    <x:row r="169" s="27" customFormat="1">
      <x:c r="A169" s="38" t="n"/>
      <x:c r="B169" s="37" t="n"/>
      <x:c r="C169" s="36" t="n">
        <x:f>E169*D$5</x:f>
        <x:v>0</x:v>
      </x:c>
      <x:c r="D169" s="20" t="n"/>
      <x:c r="E169" s="36" t="n">
        <x:f>SUM(G169:HT169)</x:f>
        <x:v>0</x:v>
      </x:c>
      <x:c r="M169" s="100" t="n"/>
      <x:c r="N169" s="100" t="n"/>
      <x:c r="O169" s="100" t="n"/>
      <x:c r="P169" s="100" t="n"/>
      <x:c r="Q169" s="100" t="n"/>
      <x:c r="R169" s="100" t="n"/>
      <x:c r="S169" s="100" t="n"/>
      <x:c r="T169" s="100" t="n"/>
      <x:c r="U169" s="100" t="n"/>
      <x:c r="V169" s="100" t="n"/>
      <x:c r="W169" s="100" t="n"/>
      <x:c r="X169" s="100" t="n"/>
      <x:c r="Y169" s="100" t="n"/>
      <x:c r="Z169" s="100" t="n"/>
      <x:c r="AA169" s="100" t="n"/>
      <x:c r="AB169" s="100" t="n"/>
      <x:c r="AC169" s="100" t="n"/>
      <x:c r="AD169" s="100" t="n"/>
      <x:c r="AE169" s="100" t="n"/>
      <x:c r="AF169" s="100" t="n"/>
      <x:c r="AG169" s="100" t="n"/>
      <x:c r="AH169" s="100" t="n"/>
      <x:c r="AI169" s="100" t="n"/>
      <x:c r="AJ169" s="100" t="n"/>
      <x:c r="AK169" s="100" t="n"/>
      <x:c r="AL169" s="100" t="n"/>
      <x:c r="AM169" s="100" t="n"/>
      <x:c r="AN169" s="100" t="n"/>
      <x:c r="AO169" s="100" t="n"/>
      <x:c r="AP169" s="100" t="n"/>
      <x:c r="AQ169" s="100" t="n"/>
      <x:c r="AR169" s="100" t="n"/>
      <x:c r="AS169" s="100" t="n"/>
      <x:c r="AT169" s="100" t="n"/>
      <x:c r="AU169" s="100" t="n"/>
      <x:c r="AV169" s="100" t="n"/>
      <x:c r="AW169" s="100" t="n"/>
      <x:c r="AX169" s="100" t="n"/>
      <x:c r="AY169" s="100" t="n"/>
      <x:c r="AZ169" s="100" t="n"/>
      <x:c r="BA169" s="100" t="n"/>
      <x:c r="BB169" s="100" t="n"/>
      <x:c r="BC169" s="100" t="n"/>
      <x:c r="BD169" s="100" t="n"/>
      <x:c r="BE169" s="100" t="n"/>
      <x:c r="BF169" s="100" t="n"/>
      <x:c r="BG169" s="100" t="n"/>
      <x:c r="BH169" s="100" t="n"/>
      <x:c r="BI169" s="100" t="n"/>
      <x:c r="BJ169" s="100" t="n"/>
      <x:c r="BK169" s="100" t="n"/>
      <x:c r="BL169" s="100" t="n"/>
      <x:c r="BM169" s="100" t="n"/>
      <x:c r="BN169" s="100" t="n"/>
      <x:c r="BO169" s="100" t="n"/>
      <x:c r="BP169" s="100" t="n"/>
      <x:c r="BQ169" s="100" t="n"/>
      <x:c r="BR169" s="100" t="n"/>
      <x:c r="BS169" s="100" t="n"/>
      <x:c r="BT169" s="100" t="n"/>
      <x:c r="BU169" s="100" t="n"/>
      <x:c r="BV169" s="100" t="n"/>
      <x:c r="BW169" s="100" t="n"/>
      <x:c r="BX169" s="100" t="n"/>
      <x:c r="BY169" s="100" t="n"/>
      <x:c r="BZ169" s="100" t="n"/>
      <x:c r="CA169" s="100" t="n"/>
      <x:c r="CB169" s="100" t="n"/>
      <x:c r="CC169" s="100" t="n"/>
      <x:c r="CD169" s="100" t="n"/>
      <x:c r="CE169" s="100" t="n"/>
      <x:c r="CF169" s="100" t="n"/>
      <x:c r="CG169" s="100" t="n"/>
      <x:c r="CH169" s="100" t="n"/>
      <x:c r="CI169" s="100" t="n"/>
      <x:c r="CJ169" s="100" t="n"/>
      <x:c r="CK169" s="100" t="n"/>
      <x:c r="CL169" s="100" t="n"/>
      <x:c r="CM169" s="100" t="n"/>
      <x:c r="CN169" s="100" t="n"/>
      <x:c r="CO169" s="100" t="n"/>
      <x:c r="CP169" s="100" t="n"/>
      <x:c r="CQ169" s="100" t="n"/>
      <x:c r="CR169" s="100" t="n"/>
      <x:c r="CS169" s="100" t="n"/>
      <x:c r="CT169" s="100" t="n"/>
      <x:c r="CU169" s="100" t="n"/>
      <x:c r="CV169" s="100" t="n"/>
      <x:c r="CW169" s="100" t="n"/>
      <x:c r="CX169" s="100" t="n"/>
      <x:c r="CY169" s="100" t="n"/>
      <x:c r="CZ169" s="100" t="n"/>
      <x:c r="DA169" s="100" t="n"/>
      <x:c r="DB169" s="100" t="n"/>
      <x:c r="DC169" s="100" t="n"/>
      <x:c r="DD169" s="100" t="n"/>
      <x:c r="DE169" s="100" t="n"/>
      <x:c r="DF169" s="100" t="n"/>
      <x:c r="DG169" s="100" t="n"/>
      <x:c r="DH169" s="100" t="n"/>
      <x:c r="DI169" s="100" t="n"/>
      <x:c r="DJ169" s="100" t="n"/>
      <x:c r="DK169" s="100" t="n"/>
      <x:c r="DL169" s="100" t="n"/>
      <x:c r="DM169" s="100" t="n"/>
      <x:c r="DN169" s="100" t="n"/>
      <x:c r="DO169" s="100" t="n"/>
      <x:c r="DP169" s="100" t="n"/>
      <x:c r="DQ169" s="100" t="n"/>
      <x:c r="DR169" s="100" t="n"/>
      <x:c r="DS169" s="100" t="n"/>
      <x:c r="DT169" s="100" t="n"/>
      <x:c r="DU169" s="100" t="n"/>
      <x:c r="DV169" s="100" t="n"/>
      <x:c r="DW169" s="100" t="n"/>
      <x:c r="DX169" s="100" t="n"/>
      <x:c r="DY169" s="100" t="n"/>
      <x:c r="DZ169" s="100" t="n"/>
      <x:c r="EA169" s="100" t="n"/>
      <x:c r="EB169" s="100" t="n"/>
      <x:c r="EC169" s="100" t="n"/>
      <x:c r="ED169" s="100" t="n"/>
      <x:c r="EE169" s="100" t="n"/>
      <x:c r="EF169" s="100" t="n"/>
      <x:c r="EG169" s="100" t="n"/>
      <x:c r="EH169" s="100" t="n"/>
      <x:c r="EI169" s="100" t="n"/>
      <x:c r="EJ169" s="100" t="n"/>
      <x:c r="EK169" s="100" t="n"/>
      <x:c r="EL169" s="100" t="n"/>
      <x:c r="EM169" s="100" t="n"/>
      <x:c r="EN169" s="100" t="n"/>
      <x:c r="EO169" s="100" t="n"/>
      <x:c r="EP169" s="100" t="n"/>
      <x:c r="EQ169" s="100" t="n"/>
      <x:c r="ER169" s="100" t="n"/>
      <x:c r="ES169" s="100" t="n"/>
      <x:c r="ET169" s="100" t="n"/>
      <x:c r="EU169" s="100" t="n"/>
      <x:c r="EV169" s="100" t="n"/>
      <x:c r="EW169" s="100" t="n"/>
      <x:c r="EX169" s="100" t="n"/>
      <x:c r="EY169" s="100" t="n"/>
      <x:c r="EZ169" s="100" t="n"/>
      <x:c r="FA169" s="100" t="n"/>
      <x:c r="FB169" s="100" t="n"/>
      <x:c r="FC169" s="100" t="n"/>
      <x:c r="FD169" s="100" t="n"/>
      <x:c r="FE169" s="100" t="n"/>
      <x:c r="FF169" s="100" t="n"/>
      <x:c r="FG169" s="100" t="n"/>
      <x:c r="FH169" s="100" t="n"/>
      <x:c r="FI169" s="100" t="n"/>
      <x:c r="FJ169" s="100" t="n"/>
      <x:c r="FK169" s="100" t="n"/>
      <x:c r="FL169" s="100" t="n"/>
      <x:c r="FM169" s="100" t="n"/>
      <x:c r="FN169" s="100" t="n"/>
      <x:c r="FO169" s="100" t="n"/>
      <x:c r="FP169" s="100" t="n"/>
      <x:c r="FQ169" s="100" t="n"/>
      <x:c r="FR169" s="100" t="n"/>
      <x:c r="FS169" s="100" t="n"/>
      <x:c r="FT169" s="100" t="n"/>
      <x:c r="FU169" s="100" t="n"/>
      <x:c r="FV169" s="100" t="n"/>
      <x:c r="FW169" s="100" t="n"/>
      <x:c r="FX169" s="100" t="n"/>
      <x:c r="FY169" s="100" t="n"/>
      <x:c r="FZ169" s="100" t="n"/>
      <x:c r="GA169" s="100" t="n"/>
      <x:c r="GB169" s="100" t="n"/>
      <x:c r="GC169" s="100" t="n"/>
      <x:c r="GD169" s="100" t="n"/>
      <x:c r="GE169" s="100" t="n"/>
      <x:c r="GF169" s="100" t="n"/>
    </x:row>
    <x:row r="170" s="27" customFormat="1">
      <x:c r="A170" s="38" t="n"/>
      <x:c r="B170" s="37" t="n"/>
      <x:c r="C170" s="36" t="n">
        <x:f>E170*D$5</x:f>
        <x:v>0</x:v>
      </x:c>
      <x:c r="D170" s="20" t="n"/>
      <x:c r="E170" s="36" t="n">
        <x:f>SUM(G170:HT170)</x:f>
        <x:v>0</x:v>
      </x:c>
      <x:c r="M170" s="100" t="n"/>
      <x:c r="N170" s="100" t="n"/>
      <x:c r="O170" s="100" t="n"/>
      <x:c r="P170" s="100" t="n"/>
      <x:c r="Q170" s="100" t="n"/>
      <x:c r="R170" s="100" t="n"/>
      <x:c r="S170" s="100" t="n"/>
      <x:c r="T170" s="100" t="n"/>
      <x:c r="U170" s="100" t="n"/>
      <x:c r="V170" s="100" t="n"/>
      <x:c r="W170" s="100" t="n"/>
      <x:c r="X170" s="100" t="n"/>
      <x:c r="Y170" s="100" t="n"/>
      <x:c r="Z170" s="100" t="n"/>
      <x:c r="AA170" s="100" t="n"/>
      <x:c r="AB170" s="100" t="n"/>
      <x:c r="AC170" s="100" t="n"/>
      <x:c r="AD170" s="100" t="n"/>
      <x:c r="AE170" s="100" t="n"/>
      <x:c r="AF170" s="100" t="n"/>
      <x:c r="AG170" s="100" t="n"/>
      <x:c r="AH170" s="100" t="n"/>
      <x:c r="AI170" s="100" t="n"/>
      <x:c r="AJ170" s="100" t="n"/>
      <x:c r="AK170" s="100" t="n"/>
      <x:c r="AL170" s="100" t="n"/>
      <x:c r="AM170" s="100" t="n"/>
      <x:c r="AN170" s="100" t="n"/>
      <x:c r="AO170" s="100" t="n"/>
      <x:c r="AP170" s="100" t="n"/>
      <x:c r="AQ170" s="100" t="n"/>
      <x:c r="AR170" s="100" t="n"/>
      <x:c r="AS170" s="100" t="n"/>
      <x:c r="AT170" s="100" t="n"/>
      <x:c r="AU170" s="100" t="n"/>
      <x:c r="AV170" s="100" t="n"/>
      <x:c r="AW170" s="100" t="n"/>
      <x:c r="AX170" s="100" t="n"/>
      <x:c r="AY170" s="100" t="n"/>
      <x:c r="AZ170" s="100" t="n"/>
      <x:c r="BA170" s="100" t="n"/>
      <x:c r="BB170" s="100" t="n"/>
      <x:c r="BC170" s="100" t="n"/>
      <x:c r="BD170" s="100" t="n"/>
      <x:c r="BE170" s="100" t="n"/>
      <x:c r="BF170" s="100" t="n"/>
      <x:c r="BG170" s="100" t="n"/>
      <x:c r="BH170" s="100" t="n"/>
      <x:c r="BI170" s="100" t="n"/>
      <x:c r="BJ170" s="100" t="n"/>
      <x:c r="BK170" s="100" t="n"/>
      <x:c r="BL170" s="100" t="n"/>
      <x:c r="BM170" s="100" t="n"/>
      <x:c r="BN170" s="100" t="n"/>
      <x:c r="BO170" s="100" t="n"/>
      <x:c r="BP170" s="100" t="n"/>
      <x:c r="BQ170" s="100" t="n"/>
      <x:c r="BR170" s="100" t="n"/>
      <x:c r="BS170" s="100" t="n"/>
      <x:c r="BT170" s="100" t="n"/>
      <x:c r="BU170" s="100" t="n"/>
      <x:c r="BV170" s="100" t="n"/>
      <x:c r="BW170" s="100" t="n"/>
      <x:c r="BX170" s="100" t="n"/>
      <x:c r="BY170" s="100" t="n"/>
      <x:c r="BZ170" s="100" t="n"/>
      <x:c r="CA170" s="100" t="n"/>
      <x:c r="CB170" s="100" t="n"/>
      <x:c r="CC170" s="100" t="n"/>
      <x:c r="CD170" s="100" t="n"/>
      <x:c r="CE170" s="100" t="n"/>
      <x:c r="CF170" s="100" t="n"/>
      <x:c r="CG170" s="100" t="n"/>
      <x:c r="CH170" s="100" t="n"/>
      <x:c r="CI170" s="100" t="n"/>
      <x:c r="CJ170" s="100" t="n"/>
      <x:c r="CK170" s="100" t="n"/>
      <x:c r="CL170" s="100" t="n"/>
      <x:c r="CM170" s="100" t="n"/>
      <x:c r="CN170" s="100" t="n"/>
      <x:c r="CO170" s="100" t="n"/>
      <x:c r="CP170" s="100" t="n"/>
      <x:c r="CQ170" s="100" t="n"/>
      <x:c r="CR170" s="100" t="n"/>
      <x:c r="CS170" s="100" t="n"/>
      <x:c r="CT170" s="100" t="n"/>
      <x:c r="CU170" s="100" t="n"/>
      <x:c r="CV170" s="100" t="n"/>
      <x:c r="CW170" s="100" t="n"/>
      <x:c r="CX170" s="100" t="n"/>
      <x:c r="CY170" s="100" t="n"/>
      <x:c r="CZ170" s="100" t="n"/>
      <x:c r="DA170" s="100" t="n"/>
      <x:c r="DB170" s="100" t="n"/>
      <x:c r="DC170" s="100" t="n"/>
      <x:c r="DD170" s="100" t="n"/>
      <x:c r="DE170" s="100" t="n"/>
      <x:c r="DF170" s="100" t="n"/>
      <x:c r="DG170" s="100" t="n"/>
      <x:c r="DH170" s="100" t="n"/>
      <x:c r="DI170" s="100" t="n"/>
      <x:c r="DJ170" s="100" t="n"/>
      <x:c r="DK170" s="100" t="n"/>
      <x:c r="DL170" s="100" t="n"/>
      <x:c r="DM170" s="100" t="n"/>
      <x:c r="DN170" s="100" t="n"/>
      <x:c r="DO170" s="100" t="n"/>
      <x:c r="DP170" s="100" t="n"/>
      <x:c r="DQ170" s="100" t="n"/>
      <x:c r="DR170" s="100" t="n"/>
      <x:c r="DS170" s="100" t="n"/>
      <x:c r="DT170" s="100" t="n"/>
      <x:c r="DU170" s="100" t="n"/>
      <x:c r="DV170" s="100" t="n"/>
      <x:c r="DW170" s="100" t="n"/>
      <x:c r="DX170" s="100" t="n"/>
      <x:c r="DY170" s="100" t="n"/>
      <x:c r="DZ170" s="100" t="n"/>
      <x:c r="EA170" s="100" t="n"/>
      <x:c r="EB170" s="100" t="n"/>
      <x:c r="EC170" s="100" t="n"/>
      <x:c r="ED170" s="100" t="n"/>
      <x:c r="EE170" s="100" t="n"/>
      <x:c r="EF170" s="100" t="n"/>
      <x:c r="EG170" s="100" t="n"/>
      <x:c r="EH170" s="100" t="n"/>
      <x:c r="EI170" s="100" t="n"/>
      <x:c r="EJ170" s="100" t="n"/>
      <x:c r="EK170" s="100" t="n"/>
      <x:c r="EL170" s="100" t="n"/>
      <x:c r="EM170" s="100" t="n"/>
      <x:c r="EN170" s="100" t="n"/>
      <x:c r="EO170" s="100" t="n"/>
      <x:c r="EP170" s="100" t="n"/>
      <x:c r="EQ170" s="100" t="n"/>
      <x:c r="ER170" s="100" t="n"/>
      <x:c r="ES170" s="100" t="n"/>
      <x:c r="ET170" s="100" t="n"/>
      <x:c r="EU170" s="100" t="n"/>
      <x:c r="EV170" s="100" t="n"/>
      <x:c r="EW170" s="100" t="n"/>
      <x:c r="EX170" s="100" t="n"/>
      <x:c r="EY170" s="100" t="n"/>
      <x:c r="EZ170" s="100" t="n"/>
      <x:c r="FA170" s="100" t="n"/>
      <x:c r="FB170" s="100" t="n"/>
      <x:c r="FC170" s="100" t="n"/>
      <x:c r="FD170" s="100" t="n"/>
      <x:c r="FE170" s="100" t="n"/>
      <x:c r="FF170" s="100" t="n"/>
      <x:c r="FG170" s="100" t="n"/>
      <x:c r="FH170" s="100" t="n"/>
      <x:c r="FI170" s="100" t="n"/>
      <x:c r="FJ170" s="100" t="n"/>
      <x:c r="FK170" s="100" t="n"/>
      <x:c r="FL170" s="100" t="n"/>
      <x:c r="FM170" s="100" t="n"/>
      <x:c r="FN170" s="100" t="n"/>
      <x:c r="FO170" s="100" t="n"/>
      <x:c r="FP170" s="100" t="n"/>
      <x:c r="FQ170" s="100" t="n"/>
      <x:c r="FR170" s="100" t="n"/>
      <x:c r="FS170" s="100" t="n"/>
      <x:c r="FT170" s="100" t="n"/>
      <x:c r="FU170" s="100" t="n"/>
      <x:c r="FV170" s="100" t="n"/>
      <x:c r="FW170" s="100" t="n"/>
      <x:c r="FX170" s="100" t="n"/>
      <x:c r="FY170" s="100" t="n"/>
      <x:c r="FZ170" s="100" t="n"/>
      <x:c r="GA170" s="100" t="n"/>
      <x:c r="GB170" s="100" t="n"/>
      <x:c r="GC170" s="100" t="n"/>
      <x:c r="GD170" s="100" t="n"/>
      <x:c r="GE170" s="100" t="n"/>
      <x:c r="GF170" s="100" t="n"/>
    </x:row>
    <x:row r="171" s="27" customFormat="1">
      <x:c r="A171" s="38" t="n"/>
      <x:c r="B171" s="37" t="n"/>
      <x:c r="C171" s="36" t="n">
        <x:f>E171*D$5</x:f>
        <x:v>0</x:v>
      </x:c>
      <x:c r="D171" s="20" t="n"/>
      <x:c r="E171" s="36" t="n">
        <x:f>SUM(G171:HT171)</x:f>
        <x:v>0</x:v>
      </x:c>
      <x:c r="M171" s="100" t="n"/>
      <x:c r="N171" s="100" t="n"/>
      <x:c r="O171" s="100" t="n"/>
      <x:c r="P171" s="100" t="n"/>
      <x:c r="Q171" s="100" t="n"/>
      <x:c r="R171" s="100" t="n"/>
      <x:c r="S171" s="100" t="n"/>
      <x:c r="T171" s="100" t="n"/>
      <x:c r="U171" s="100" t="n"/>
      <x:c r="V171" s="100" t="n"/>
      <x:c r="W171" s="100" t="n"/>
      <x:c r="X171" s="100" t="n"/>
      <x:c r="Y171" s="100" t="n"/>
      <x:c r="Z171" s="100" t="n"/>
      <x:c r="AA171" s="100" t="n"/>
      <x:c r="AB171" s="100" t="n"/>
      <x:c r="AC171" s="100" t="n"/>
      <x:c r="AD171" s="100" t="n"/>
      <x:c r="AE171" s="100" t="n"/>
      <x:c r="AF171" s="100" t="n"/>
      <x:c r="AG171" s="100" t="n"/>
      <x:c r="AH171" s="100" t="n"/>
      <x:c r="AI171" s="100" t="n"/>
      <x:c r="AJ171" s="100" t="n"/>
      <x:c r="AK171" s="100" t="n"/>
      <x:c r="AL171" s="100" t="n"/>
      <x:c r="AM171" s="100" t="n"/>
      <x:c r="AN171" s="100" t="n"/>
      <x:c r="AO171" s="100" t="n"/>
      <x:c r="AP171" s="100" t="n"/>
      <x:c r="AQ171" s="100" t="n"/>
      <x:c r="AR171" s="100" t="n"/>
      <x:c r="AS171" s="100" t="n"/>
      <x:c r="AT171" s="100" t="n"/>
      <x:c r="AU171" s="100" t="n"/>
      <x:c r="AV171" s="100" t="n"/>
      <x:c r="AW171" s="100" t="n"/>
      <x:c r="AX171" s="100" t="n"/>
      <x:c r="AY171" s="100" t="n"/>
      <x:c r="AZ171" s="100" t="n"/>
      <x:c r="BA171" s="100" t="n"/>
      <x:c r="BB171" s="100" t="n"/>
      <x:c r="BC171" s="100" t="n"/>
      <x:c r="BD171" s="100" t="n"/>
      <x:c r="BE171" s="100" t="n"/>
      <x:c r="BF171" s="100" t="n"/>
      <x:c r="BG171" s="100" t="n"/>
      <x:c r="BH171" s="100" t="n"/>
      <x:c r="BI171" s="100" t="n"/>
      <x:c r="BJ171" s="100" t="n"/>
      <x:c r="BK171" s="100" t="n"/>
      <x:c r="BL171" s="100" t="n"/>
      <x:c r="BM171" s="100" t="n"/>
      <x:c r="BN171" s="100" t="n"/>
      <x:c r="BO171" s="100" t="n"/>
      <x:c r="BP171" s="100" t="n"/>
      <x:c r="BQ171" s="100" t="n"/>
      <x:c r="BR171" s="100" t="n"/>
      <x:c r="BS171" s="100" t="n"/>
      <x:c r="BT171" s="100" t="n"/>
      <x:c r="BU171" s="100" t="n"/>
      <x:c r="BV171" s="100" t="n"/>
      <x:c r="BW171" s="100" t="n"/>
      <x:c r="BX171" s="100" t="n"/>
      <x:c r="BY171" s="100" t="n"/>
      <x:c r="BZ171" s="100" t="n"/>
      <x:c r="CA171" s="100" t="n"/>
      <x:c r="CB171" s="100" t="n"/>
      <x:c r="CC171" s="100" t="n"/>
      <x:c r="CD171" s="100" t="n"/>
      <x:c r="CE171" s="100" t="n"/>
      <x:c r="CF171" s="100" t="n"/>
      <x:c r="CG171" s="100" t="n"/>
      <x:c r="CH171" s="100" t="n"/>
      <x:c r="CI171" s="100" t="n"/>
      <x:c r="CJ171" s="100" t="n"/>
      <x:c r="CK171" s="100" t="n"/>
      <x:c r="CL171" s="100" t="n"/>
      <x:c r="CM171" s="100" t="n"/>
      <x:c r="CN171" s="100" t="n"/>
      <x:c r="CO171" s="100" t="n"/>
      <x:c r="CP171" s="100" t="n"/>
      <x:c r="CQ171" s="100" t="n"/>
      <x:c r="CR171" s="100" t="n"/>
      <x:c r="CS171" s="100" t="n"/>
      <x:c r="CT171" s="100" t="n"/>
      <x:c r="CU171" s="100" t="n"/>
      <x:c r="CV171" s="100" t="n"/>
      <x:c r="CW171" s="100" t="n"/>
      <x:c r="CX171" s="100" t="n"/>
      <x:c r="CY171" s="100" t="n"/>
      <x:c r="CZ171" s="100" t="n"/>
      <x:c r="DA171" s="100" t="n"/>
      <x:c r="DB171" s="100" t="n"/>
      <x:c r="DC171" s="100" t="n"/>
      <x:c r="DD171" s="100" t="n"/>
      <x:c r="DE171" s="100" t="n"/>
      <x:c r="DF171" s="100" t="n"/>
      <x:c r="DG171" s="100" t="n"/>
      <x:c r="DH171" s="100" t="n"/>
      <x:c r="DI171" s="100" t="n"/>
      <x:c r="DJ171" s="100" t="n"/>
      <x:c r="DK171" s="100" t="n"/>
      <x:c r="DL171" s="100" t="n"/>
      <x:c r="DM171" s="100" t="n"/>
      <x:c r="DN171" s="100" t="n"/>
      <x:c r="DO171" s="100" t="n"/>
      <x:c r="DP171" s="100" t="n"/>
      <x:c r="DQ171" s="100" t="n"/>
      <x:c r="DR171" s="100" t="n"/>
      <x:c r="DS171" s="100" t="n"/>
      <x:c r="DT171" s="100" t="n"/>
      <x:c r="DU171" s="100" t="n"/>
      <x:c r="DV171" s="100" t="n"/>
      <x:c r="DW171" s="100" t="n"/>
      <x:c r="DX171" s="100" t="n"/>
      <x:c r="DY171" s="100" t="n"/>
      <x:c r="DZ171" s="100" t="n"/>
      <x:c r="EA171" s="100" t="n"/>
      <x:c r="EB171" s="100" t="n"/>
      <x:c r="EC171" s="100" t="n"/>
      <x:c r="ED171" s="100" t="n"/>
      <x:c r="EE171" s="100" t="n"/>
      <x:c r="EF171" s="100" t="n"/>
      <x:c r="EG171" s="100" t="n"/>
      <x:c r="EH171" s="100" t="n"/>
      <x:c r="EI171" s="100" t="n"/>
      <x:c r="EJ171" s="100" t="n"/>
      <x:c r="EK171" s="100" t="n"/>
      <x:c r="EL171" s="100" t="n"/>
      <x:c r="EM171" s="100" t="n"/>
      <x:c r="EN171" s="100" t="n"/>
      <x:c r="EO171" s="100" t="n"/>
      <x:c r="EP171" s="100" t="n"/>
      <x:c r="EQ171" s="100" t="n"/>
      <x:c r="ER171" s="100" t="n"/>
      <x:c r="ES171" s="100" t="n"/>
      <x:c r="ET171" s="100" t="n"/>
      <x:c r="EU171" s="100" t="n"/>
      <x:c r="EV171" s="100" t="n"/>
      <x:c r="EW171" s="100" t="n"/>
      <x:c r="EX171" s="100" t="n"/>
      <x:c r="EY171" s="100" t="n"/>
      <x:c r="EZ171" s="100" t="n"/>
      <x:c r="FA171" s="100" t="n"/>
      <x:c r="FB171" s="100" t="n"/>
      <x:c r="FC171" s="100" t="n"/>
      <x:c r="FD171" s="100" t="n"/>
      <x:c r="FE171" s="100" t="n"/>
      <x:c r="FF171" s="100" t="n"/>
      <x:c r="FG171" s="100" t="n"/>
      <x:c r="FH171" s="100" t="n"/>
      <x:c r="FI171" s="100" t="n"/>
      <x:c r="FJ171" s="100" t="n"/>
      <x:c r="FK171" s="100" t="n"/>
      <x:c r="FL171" s="100" t="n"/>
      <x:c r="FM171" s="100" t="n"/>
      <x:c r="FN171" s="100" t="n"/>
      <x:c r="FO171" s="100" t="n"/>
      <x:c r="FP171" s="100" t="n"/>
      <x:c r="FQ171" s="100" t="n"/>
      <x:c r="FR171" s="100" t="n"/>
      <x:c r="FS171" s="100" t="n"/>
      <x:c r="FT171" s="100" t="n"/>
      <x:c r="FU171" s="100" t="n"/>
      <x:c r="FV171" s="100" t="n"/>
      <x:c r="FW171" s="100" t="n"/>
      <x:c r="FX171" s="100" t="n"/>
      <x:c r="FY171" s="100" t="n"/>
      <x:c r="FZ171" s="100" t="n"/>
      <x:c r="GA171" s="100" t="n"/>
      <x:c r="GB171" s="100" t="n"/>
      <x:c r="GC171" s="100" t="n"/>
      <x:c r="GD171" s="100" t="n"/>
      <x:c r="GE171" s="100" t="n"/>
      <x:c r="GF171" s="100" t="n"/>
    </x:row>
    <x:row r="172" s="27" customFormat="1">
      <x:c r="A172" s="38" t="n"/>
      <x:c r="B172" s="37" t="n"/>
      <x:c r="C172" s="36" t="n">
        <x:f>E172*D$5</x:f>
        <x:v>0</x:v>
      </x:c>
      <x:c r="D172" s="20" t="n"/>
      <x:c r="E172" s="36" t="n">
        <x:f>SUM(G172:HT172)</x:f>
        <x:v>0</x:v>
      </x:c>
      <x:c r="M172" s="100" t="n"/>
      <x:c r="N172" s="100" t="n"/>
      <x:c r="O172" s="100" t="n"/>
      <x:c r="P172" s="100" t="n"/>
      <x:c r="Q172" s="100" t="n"/>
      <x:c r="R172" s="100" t="n"/>
      <x:c r="S172" s="100" t="n"/>
      <x:c r="T172" s="100" t="n"/>
      <x:c r="U172" s="100" t="n"/>
      <x:c r="V172" s="100" t="n"/>
      <x:c r="W172" s="100" t="n"/>
      <x:c r="X172" s="100" t="n"/>
      <x:c r="Y172" s="100" t="n"/>
      <x:c r="Z172" s="100" t="n"/>
      <x:c r="AA172" s="100" t="n"/>
      <x:c r="AB172" s="100" t="n"/>
      <x:c r="AC172" s="100" t="n"/>
      <x:c r="AD172" s="100" t="n"/>
      <x:c r="AE172" s="100" t="n"/>
      <x:c r="AF172" s="100" t="n"/>
      <x:c r="AG172" s="100" t="n"/>
      <x:c r="AH172" s="100" t="n"/>
      <x:c r="AI172" s="100" t="n"/>
      <x:c r="AJ172" s="100" t="n"/>
      <x:c r="AK172" s="100" t="n"/>
      <x:c r="AL172" s="100" t="n"/>
      <x:c r="AM172" s="100" t="n"/>
      <x:c r="AN172" s="100" t="n"/>
      <x:c r="AO172" s="100" t="n"/>
      <x:c r="AP172" s="100" t="n"/>
      <x:c r="AQ172" s="100" t="n"/>
      <x:c r="AR172" s="100" t="n"/>
      <x:c r="AS172" s="100" t="n"/>
      <x:c r="AT172" s="100" t="n"/>
      <x:c r="AU172" s="100" t="n"/>
      <x:c r="AV172" s="100" t="n"/>
      <x:c r="AW172" s="100" t="n"/>
      <x:c r="AX172" s="100" t="n"/>
      <x:c r="AY172" s="100" t="n"/>
      <x:c r="AZ172" s="100" t="n"/>
      <x:c r="BA172" s="100" t="n"/>
      <x:c r="BB172" s="100" t="n"/>
      <x:c r="BC172" s="100" t="n"/>
      <x:c r="BD172" s="100" t="n"/>
      <x:c r="BE172" s="100" t="n"/>
      <x:c r="BF172" s="100" t="n"/>
      <x:c r="BG172" s="100" t="n"/>
      <x:c r="BH172" s="100" t="n"/>
      <x:c r="BI172" s="100" t="n"/>
      <x:c r="BJ172" s="100" t="n"/>
      <x:c r="BK172" s="100" t="n"/>
      <x:c r="BL172" s="100" t="n"/>
      <x:c r="BM172" s="100" t="n"/>
      <x:c r="BN172" s="100" t="n"/>
      <x:c r="BO172" s="100" t="n"/>
      <x:c r="BP172" s="100" t="n"/>
      <x:c r="BQ172" s="100" t="n"/>
      <x:c r="BR172" s="100" t="n"/>
      <x:c r="BS172" s="100" t="n"/>
      <x:c r="BT172" s="100" t="n"/>
      <x:c r="BU172" s="100" t="n"/>
      <x:c r="BV172" s="100" t="n"/>
      <x:c r="BW172" s="100" t="n"/>
      <x:c r="BX172" s="100" t="n"/>
      <x:c r="BY172" s="100" t="n"/>
      <x:c r="BZ172" s="100" t="n"/>
      <x:c r="CA172" s="100" t="n"/>
      <x:c r="CB172" s="100" t="n"/>
      <x:c r="CC172" s="100" t="n"/>
      <x:c r="CD172" s="100" t="n"/>
      <x:c r="CE172" s="100" t="n"/>
      <x:c r="CF172" s="100" t="n"/>
      <x:c r="CG172" s="100" t="n"/>
      <x:c r="CH172" s="100" t="n"/>
      <x:c r="CI172" s="100" t="n"/>
      <x:c r="CJ172" s="100" t="n"/>
      <x:c r="CK172" s="100" t="n"/>
      <x:c r="CL172" s="100" t="n"/>
      <x:c r="CM172" s="100" t="n"/>
      <x:c r="CN172" s="100" t="n"/>
      <x:c r="CO172" s="100" t="n"/>
      <x:c r="CP172" s="100" t="n"/>
      <x:c r="CQ172" s="100" t="n"/>
      <x:c r="CR172" s="100" t="n"/>
      <x:c r="CS172" s="100" t="n"/>
      <x:c r="CT172" s="100" t="n"/>
      <x:c r="CU172" s="100" t="n"/>
      <x:c r="CV172" s="100" t="n"/>
      <x:c r="CW172" s="100" t="n"/>
      <x:c r="CX172" s="100" t="n"/>
      <x:c r="CY172" s="100" t="n"/>
      <x:c r="CZ172" s="100" t="n"/>
      <x:c r="DA172" s="100" t="n"/>
      <x:c r="DB172" s="100" t="n"/>
      <x:c r="DC172" s="100" t="n"/>
      <x:c r="DD172" s="100" t="n"/>
      <x:c r="DE172" s="100" t="n"/>
      <x:c r="DF172" s="100" t="n"/>
      <x:c r="DG172" s="100" t="n"/>
      <x:c r="DH172" s="100" t="n"/>
      <x:c r="DI172" s="100" t="n"/>
      <x:c r="DJ172" s="100" t="n"/>
      <x:c r="DK172" s="100" t="n"/>
      <x:c r="DL172" s="100" t="n"/>
      <x:c r="DM172" s="100" t="n"/>
      <x:c r="DN172" s="100" t="n"/>
      <x:c r="DO172" s="100" t="n"/>
      <x:c r="DP172" s="100" t="n"/>
      <x:c r="DQ172" s="100" t="n"/>
      <x:c r="DR172" s="100" t="n"/>
      <x:c r="DS172" s="100" t="n"/>
      <x:c r="DT172" s="100" t="n"/>
      <x:c r="DU172" s="100" t="n"/>
      <x:c r="DV172" s="100" t="n"/>
      <x:c r="DW172" s="100" t="n"/>
      <x:c r="DX172" s="100" t="n"/>
      <x:c r="DY172" s="100" t="n"/>
      <x:c r="DZ172" s="100" t="n"/>
      <x:c r="EA172" s="100" t="n"/>
      <x:c r="EB172" s="100" t="n"/>
      <x:c r="EC172" s="100" t="n"/>
      <x:c r="ED172" s="100" t="n"/>
      <x:c r="EE172" s="100" t="n"/>
      <x:c r="EF172" s="100" t="n"/>
      <x:c r="EG172" s="100" t="n"/>
      <x:c r="EH172" s="100" t="n"/>
      <x:c r="EI172" s="100" t="n"/>
      <x:c r="EJ172" s="100" t="n"/>
      <x:c r="EK172" s="100" t="n"/>
      <x:c r="EL172" s="100" t="n"/>
      <x:c r="EM172" s="100" t="n"/>
      <x:c r="EN172" s="100" t="n"/>
      <x:c r="EO172" s="100" t="n"/>
      <x:c r="EP172" s="100" t="n"/>
      <x:c r="EQ172" s="100" t="n"/>
      <x:c r="ER172" s="100" t="n"/>
      <x:c r="ES172" s="100" t="n"/>
      <x:c r="ET172" s="100" t="n"/>
      <x:c r="EU172" s="100" t="n"/>
      <x:c r="EV172" s="100" t="n"/>
      <x:c r="EW172" s="100" t="n"/>
      <x:c r="EX172" s="100" t="n"/>
      <x:c r="EY172" s="100" t="n"/>
      <x:c r="EZ172" s="100" t="n"/>
      <x:c r="FA172" s="100" t="n"/>
      <x:c r="FB172" s="100" t="n"/>
      <x:c r="FC172" s="100" t="n"/>
      <x:c r="FD172" s="100" t="n"/>
      <x:c r="FE172" s="100" t="n"/>
      <x:c r="FF172" s="100" t="n"/>
      <x:c r="FG172" s="100" t="n"/>
      <x:c r="FH172" s="100" t="n"/>
      <x:c r="FI172" s="100" t="n"/>
      <x:c r="FJ172" s="100" t="n"/>
      <x:c r="FK172" s="100" t="n"/>
      <x:c r="FL172" s="100" t="n"/>
      <x:c r="FM172" s="100" t="n"/>
      <x:c r="FN172" s="100" t="n"/>
      <x:c r="FO172" s="100" t="n"/>
      <x:c r="FP172" s="100" t="n"/>
      <x:c r="FQ172" s="100" t="n"/>
      <x:c r="FR172" s="100" t="n"/>
      <x:c r="FS172" s="100" t="n"/>
      <x:c r="FT172" s="100" t="n"/>
      <x:c r="FU172" s="100" t="n"/>
      <x:c r="FV172" s="100" t="n"/>
      <x:c r="FW172" s="100" t="n"/>
      <x:c r="FX172" s="100" t="n"/>
      <x:c r="FY172" s="100" t="n"/>
      <x:c r="FZ172" s="100" t="n"/>
      <x:c r="GA172" s="100" t="n"/>
      <x:c r="GB172" s="100" t="n"/>
      <x:c r="GC172" s="100" t="n"/>
      <x:c r="GD172" s="100" t="n"/>
      <x:c r="GE172" s="100" t="n"/>
      <x:c r="GF172" s="100" t="n"/>
    </x:row>
    <x:row r="173" s="27" customFormat="1">
      <x:c r="A173" s="38" t="n"/>
      <x:c r="B173" s="37" t="n"/>
      <x:c r="C173" s="36" t="n">
        <x:f>E173*D$5</x:f>
        <x:v>0</x:v>
      </x:c>
      <x:c r="D173" s="20" t="n"/>
      <x:c r="E173" s="36" t="n">
        <x:f>SUM(G173:HT173)</x:f>
        <x:v>0</x:v>
      </x:c>
      <x:c r="M173" s="100" t="n"/>
      <x:c r="N173" s="100" t="n"/>
      <x:c r="O173" s="100" t="n"/>
      <x:c r="P173" s="100" t="n"/>
      <x:c r="Q173" s="100" t="n"/>
      <x:c r="R173" s="100" t="n"/>
      <x:c r="S173" s="100" t="n"/>
      <x:c r="T173" s="100" t="n"/>
      <x:c r="U173" s="100" t="n"/>
      <x:c r="V173" s="100" t="n"/>
      <x:c r="W173" s="100" t="n"/>
      <x:c r="X173" s="100" t="n"/>
      <x:c r="Y173" s="100" t="n"/>
      <x:c r="Z173" s="100" t="n"/>
      <x:c r="AA173" s="100" t="n"/>
      <x:c r="AB173" s="100" t="n"/>
      <x:c r="AC173" s="100" t="n"/>
      <x:c r="AD173" s="100" t="n"/>
      <x:c r="AE173" s="100" t="n"/>
      <x:c r="AF173" s="100" t="n"/>
      <x:c r="AG173" s="100" t="n"/>
      <x:c r="AH173" s="100" t="n"/>
      <x:c r="AI173" s="100" t="n"/>
      <x:c r="AJ173" s="100" t="n"/>
      <x:c r="AK173" s="100" t="n"/>
      <x:c r="AL173" s="100" t="n"/>
      <x:c r="AM173" s="100" t="n"/>
      <x:c r="AN173" s="100" t="n"/>
      <x:c r="AO173" s="100" t="n"/>
      <x:c r="AP173" s="100" t="n"/>
      <x:c r="AQ173" s="100" t="n"/>
      <x:c r="AR173" s="100" t="n"/>
      <x:c r="AS173" s="100" t="n"/>
      <x:c r="AT173" s="100" t="n"/>
      <x:c r="AU173" s="100" t="n"/>
      <x:c r="AV173" s="100" t="n"/>
      <x:c r="AW173" s="100" t="n"/>
      <x:c r="AX173" s="100" t="n"/>
      <x:c r="AY173" s="100" t="n"/>
      <x:c r="AZ173" s="100" t="n"/>
      <x:c r="BA173" s="100" t="n"/>
      <x:c r="BB173" s="100" t="n"/>
      <x:c r="BC173" s="100" t="n"/>
      <x:c r="BD173" s="100" t="n"/>
      <x:c r="BE173" s="100" t="n"/>
      <x:c r="BF173" s="100" t="n"/>
      <x:c r="BG173" s="100" t="n"/>
      <x:c r="BH173" s="100" t="n"/>
      <x:c r="BI173" s="100" t="n"/>
      <x:c r="BJ173" s="100" t="n"/>
      <x:c r="BK173" s="100" t="n"/>
      <x:c r="BL173" s="100" t="n"/>
      <x:c r="BM173" s="100" t="n"/>
      <x:c r="BN173" s="100" t="n"/>
      <x:c r="BO173" s="100" t="n"/>
      <x:c r="BP173" s="100" t="n"/>
      <x:c r="BQ173" s="100" t="n"/>
      <x:c r="BR173" s="100" t="n"/>
      <x:c r="BS173" s="100" t="n"/>
      <x:c r="BT173" s="100" t="n"/>
      <x:c r="BU173" s="100" t="n"/>
      <x:c r="BV173" s="100" t="n"/>
      <x:c r="BW173" s="100" t="n"/>
      <x:c r="BX173" s="100" t="n"/>
      <x:c r="BY173" s="100" t="n"/>
      <x:c r="BZ173" s="100" t="n"/>
      <x:c r="CA173" s="100" t="n"/>
      <x:c r="CB173" s="100" t="n"/>
      <x:c r="CC173" s="100" t="n"/>
      <x:c r="CD173" s="100" t="n"/>
      <x:c r="CE173" s="100" t="n"/>
      <x:c r="CF173" s="100" t="n"/>
      <x:c r="CG173" s="100" t="n"/>
      <x:c r="CH173" s="100" t="n"/>
      <x:c r="CI173" s="100" t="n"/>
      <x:c r="CJ173" s="100" t="n"/>
      <x:c r="CK173" s="100" t="n"/>
      <x:c r="CL173" s="100" t="n"/>
      <x:c r="CM173" s="100" t="n"/>
      <x:c r="CN173" s="100" t="n"/>
      <x:c r="CO173" s="100" t="n"/>
      <x:c r="CP173" s="100" t="n"/>
      <x:c r="CQ173" s="100" t="n"/>
      <x:c r="CR173" s="100" t="n"/>
      <x:c r="CS173" s="100" t="n"/>
      <x:c r="CT173" s="100" t="n"/>
      <x:c r="CU173" s="100" t="n"/>
      <x:c r="CV173" s="100" t="n"/>
      <x:c r="CW173" s="100" t="n"/>
      <x:c r="CX173" s="100" t="n"/>
      <x:c r="CY173" s="100" t="n"/>
      <x:c r="CZ173" s="100" t="n"/>
      <x:c r="DA173" s="100" t="n"/>
      <x:c r="DB173" s="100" t="n"/>
      <x:c r="DC173" s="100" t="n"/>
      <x:c r="DD173" s="100" t="n"/>
      <x:c r="DE173" s="100" t="n"/>
      <x:c r="DF173" s="100" t="n"/>
      <x:c r="DG173" s="100" t="n"/>
      <x:c r="DH173" s="100" t="n"/>
      <x:c r="DI173" s="100" t="n"/>
      <x:c r="DJ173" s="100" t="n"/>
      <x:c r="DK173" s="100" t="n"/>
      <x:c r="DL173" s="100" t="n"/>
      <x:c r="DM173" s="100" t="n"/>
      <x:c r="DN173" s="100" t="n"/>
      <x:c r="DO173" s="100" t="n"/>
      <x:c r="DP173" s="100" t="n"/>
      <x:c r="DQ173" s="100" t="n"/>
      <x:c r="DR173" s="100" t="n"/>
      <x:c r="DS173" s="100" t="n"/>
      <x:c r="DT173" s="100" t="n"/>
      <x:c r="DU173" s="100" t="n"/>
      <x:c r="DV173" s="100" t="n"/>
      <x:c r="DW173" s="100" t="n"/>
      <x:c r="DX173" s="100" t="n"/>
      <x:c r="DY173" s="100" t="n"/>
      <x:c r="DZ173" s="100" t="n"/>
      <x:c r="EA173" s="100" t="n"/>
      <x:c r="EB173" s="100" t="n"/>
      <x:c r="EC173" s="100" t="n"/>
      <x:c r="ED173" s="100" t="n"/>
      <x:c r="EE173" s="100" t="n"/>
      <x:c r="EF173" s="100" t="n"/>
      <x:c r="EG173" s="100" t="n"/>
      <x:c r="EH173" s="100" t="n"/>
      <x:c r="EI173" s="100" t="n"/>
      <x:c r="EJ173" s="100" t="n"/>
      <x:c r="EK173" s="100" t="n"/>
      <x:c r="EL173" s="100" t="n"/>
      <x:c r="EM173" s="100" t="n"/>
      <x:c r="EN173" s="100" t="n"/>
      <x:c r="EO173" s="100" t="n"/>
      <x:c r="EP173" s="100" t="n"/>
      <x:c r="EQ173" s="100" t="n"/>
      <x:c r="ER173" s="100" t="n"/>
      <x:c r="ES173" s="100" t="n"/>
      <x:c r="ET173" s="100" t="n"/>
      <x:c r="EU173" s="100" t="n"/>
      <x:c r="EV173" s="100" t="n"/>
      <x:c r="EW173" s="100" t="n"/>
      <x:c r="EX173" s="100" t="n"/>
      <x:c r="EY173" s="100" t="n"/>
      <x:c r="EZ173" s="100" t="n"/>
      <x:c r="FA173" s="100" t="n"/>
      <x:c r="FB173" s="100" t="n"/>
      <x:c r="FC173" s="100" t="n"/>
      <x:c r="FD173" s="100" t="n"/>
      <x:c r="FE173" s="100" t="n"/>
      <x:c r="FF173" s="100" t="n"/>
      <x:c r="FG173" s="100" t="n"/>
      <x:c r="FH173" s="100" t="n"/>
      <x:c r="FI173" s="100" t="n"/>
      <x:c r="FJ173" s="100" t="n"/>
      <x:c r="FK173" s="100" t="n"/>
      <x:c r="FL173" s="100" t="n"/>
      <x:c r="FM173" s="100" t="n"/>
      <x:c r="FN173" s="100" t="n"/>
      <x:c r="FO173" s="100" t="n"/>
      <x:c r="FP173" s="100" t="n"/>
      <x:c r="FQ173" s="100" t="n"/>
      <x:c r="FR173" s="100" t="n"/>
      <x:c r="FS173" s="100" t="n"/>
      <x:c r="FT173" s="100" t="n"/>
      <x:c r="FU173" s="100" t="n"/>
      <x:c r="FV173" s="100" t="n"/>
      <x:c r="FW173" s="100" t="n"/>
      <x:c r="FX173" s="100" t="n"/>
      <x:c r="FY173" s="100" t="n"/>
      <x:c r="FZ173" s="100" t="n"/>
      <x:c r="GA173" s="100" t="n"/>
      <x:c r="GB173" s="100" t="n"/>
      <x:c r="GC173" s="100" t="n"/>
      <x:c r="GD173" s="100" t="n"/>
      <x:c r="GE173" s="100" t="n"/>
      <x:c r="GF173" s="100" t="n"/>
    </x:row>
    <x:row r="174" s="27" customFormat="1">
      <x:c r="A174" s="38" t="n"/>
      <x:c r="B174" s="37" t="n"/>
      <x:c r="C174" s="36" t="n">
        <x:f>E174*D$5</x:f>
        <x:v>0</x:v>
      </x:c>
      <x:c r="D174" s="20" t="n"/>
      <x:c r="E174" s="36" t="n">
        <x:f>SUM(G174:HT174)</x:f>
        <x:v>0</x:v>
      </x:c>
      <x:c r="M174" s="100" t="n"/>
      <x:c r="N174" s="100" t="n"/>
      <x:c r="O174" s="100" t="n"/>
      <x:c r="P174" s="100" t="n"/>
      <x:c r="Q174" s="100" t="n"/>
      <x:c r="R174" s="100" t="n"/>
      <x:c r="S174" s="100" t="n"/>
      <x:c r="T174" s="100" t="n"/>
      <x:c r="U174" s="100" t="n"/>
      <x:c r="V174" s="100" t="n"/>
      <x:c r="W174" s="100" t="n"/>
      <x:c r="X174" s="100" t="n"/>
      <x:c r="Y174" s="100" t="n"/>
      <x:c r="Z174" s="100" t="n"/>
      <x:c r="AA174" s="100" t="n"/>
      <x:c r="AB174" s="100" t="n"/>
      <x:c r="AC174" s="100" t="n"/>
      <x:c r="AD174" s="100" t="n"/>
      <x:c r="AE174" s="100" t="n"/>
      <x:c r="AF174" s="100" t="n"/>
      <x:c r="AG174" s="100" t="n"/>
      <x:c r="AH174" s="100" t="n"/>
      <x:c r="AI174" s="100" t="n"/>
      <x:c r="AJ174" s="100" t="n"/>
      <x:c r="AK174" s="100" t="n"/>
      <x:c r="AL174" s="100" t="n"/>
      <x:c r="AM174" s="100" t="n"/>
      <x:c r="AN174" s="100" t="n"/>
      <x:c r="AO174" s="100" t="n"/>
      <x:c r="AP174" s="100" t="n"/>
      <x:c r="AQ174" s="100" t="n"/>
      <x:c r="AR174" s="100" t="n"/>
      <x:c r="AS174" s="100" t="n"/>
      <x:c r="AT174" s="100" t="n"/>
      <x:c r="AU174" s="100" t="n"/>
      <x:c r="AV174" s="100" t="n"/>
      <x:c r="AW174" s="100" t="n"/>
      <x:c r="AX174" s="100" t="n"/>
      <x:c r="AY174" s="100" t="n"/>
      <x:c r="AZ174" s="100" t="n"/>
      <x:c r="BA174" s="100" t="n"/>
      <x:c r="BB174" s="100" t="n"/>
      <x:c r="BC174" s="100" t="n"/>
      <x:c r="BD174" s="100" t="n"/>
      <x:c r="BE174" s="100" t="n"/>
      <x:c r="BF174" s="100" t="n"/>
      <x:c r="BG174" s="100" t="n"/>
      <x:c r="BH174" s="100" t="n"/>
      <x:c r="BI174" s="100" t="n"/>
      <x:c r="BJ174" s="100" t="n"/>
      <x:c r="BK174" s="100" t="n"/>
      <x:c r="BL174" s="100" t="n"/>
      <x:c r="BM174" s="100" t="n"/>
      <x:c r="BN174" s="100" t="n"/>
      <x:c r="BO174" s="100" t="n"/>
      <x:c r="BP174" s="100" t="n"/>
      <x:c r="BQ174" s="100" t="n"/>
      <x:c r="BR174" s="100" t="n"/>
      <x:c r="BS174" s="100" t="n"/>
      <x:c r="BT174" s="100" t="n"/>
      <x:c r="BU174" s="100" t="n"/>
      <x:c r="BV174" s="100" t="n"/>
      <x:c r="BW174" s="100" t="n"/>
      <x:c r="BX174" s="100" t="n"/>
      <x:c r="BY174" s="100" t="n"/>
      <x:c r="BZ174" s="100" t="n"/>
      <x:c r="CA174" s="100" t="n"/>
      <x:c r="CB174" s="100" t="n"/>
      <x:c r="CC174" s="100" t="n"/>
      <x:c r="CD174" s="100" t="n"/>
      <x:c r="CE174" s="100" t="n"/>
      <x:c r="CF174" s="100" t="n"/>
      <x:c r="CG174" s="100" t="n"/>
      <x:c r="CH174" s="100" t="n"/>
      <x:c r="CI174" s="100" t="n"/>
      <x:c r="CJ174" s="100" t="n"/>
      <x:c r="CK174" s="100" t="n"/>
      <x:c r="CL174" s="100" t="n"/>
      <x:c r="CM174" s="100" t="n"/>
      <x:c r="CN174" s="100" t="n"/>
      <x:c r="CO174" s="100" t="n"/>
      <x:c r="CP174" s="100" t="n"/>
      <x:c r="CQ174" s="100" t="n"/>
      <x:c r="CR174" s="100" t="n"/>
      <x:c r="CS174" s="100" t="n"/>
      <x:c r="CT174" s="100" t="n"/>
      <x:c r="CU174" s="100" t="n"/>
      <x:c r="CV174" s="100" t="n"/>
      <x:c r="CW174" s="100" t="n"/>
      <x:c r="CX174" s="100" t="n"/>
      <x:c r="CY174" s="100" t="n"/>
      <x:c r="CZ174" s="100" t="n"/>
      <x:c r="DA174" s="100" t="n"/>
      <x:c r="DB174" s="100" t="n"/>
      <x:c r="DC174" s="100" t="n"/>
      <x:c r="DD174" s="100" t="n"/>
      <x:c r="DE174" s="100" t="n"/>
      <x:c r="DF174" s="100" t="n"/>
      <x:c r="DG174" s="100" t="n"/>
      <x:c r="DH174" s="100" t="n"/>
      <x:c r="DI174" s="100" t="n"/>
      <x:c r="DJ174" s="100" t="n"/>
      <x:c r="DK174" s="100" t="n"/>
      <x:c r="DL174" s="100" t="n"/>
      <x:c r="DM174" s="100" t="n"/>
      <x:c r="DN174" s="100" t="n"/>
      <x:c r="DO174" s="100" t="n"/>
      <x:c r="DP174" s="100" t="n"/>
      <x:c r="DQ174" s="100" t="n"/>
      <x:c r="DR174" s="100" t="n"/>
      <x:c r="DS174" s="100" t="n"/>
      <x:c r="DT174" s="100" t="n"/>
      <x:c r="DU174" s="100" t="n"/>
      <x:c r="DV174" s="100" t="n"/>
      <x:c r="DW174" s="100" t="n"/>
      <x:c r="DX174" s="100" t="n"/>
      <x:c r="DY174" s="100" t="n"/>
      <x:c r="DZ174" s="100" t="n"/>
      <x:c r="EA174" s="100" t="n"/>
      <x:c r="EB174" s="100" t="n"/>
      <x:c r="EC174" s="100" t="n"/>
      <x:c r="ED174" s="100" t="n"/>
      <x:c r="EE174" s="100" t="n"/>
      <x:c r="EF174" s="100" t="n"/>
      <x:c r="EG174" s="100" t="n"/>
      <x:c r="EH174" s="100" t="n"/>
      <x:c r="EI174" s="100" t="n"/>
      <x:c r="EJ174" s="100" t="n"/>
      <x:c r="EK174" s="100" t="n"/>
      <x:c r="EL174" s="100" t="n"/>
      <x:c r="EM174" s="100" t="n"/>
      <x:c r="EN174" s="100" t="n"/>
      <x:c r="EO174" s="100" t="n"/>
      <x:c r="EP174" s="100" t="n"/>
      <x:c r="EQ174" s="100" t="n"/>
      <x:c r="ER174" s="100" t="n"/>
      <x:c r="ES174" s="100" t="n"/>
      <x:c r="ET174" s="100" t="n"/>
      <x:c r="EU174" s="100" t="n"/>
      <x:c r="EV174" s="100" t="n"/>
      <x:c r="EW174" s="100" t="n"/>
      <x:c r="EX174" s="100" t="n"/>
      <x:c r="EY174" s="100" t="n"/>
      <x:c r="EZ174" s="100" t="n"/>
      <x:c r="FA174" s="100" t="n"/>
      <x:c r="FB174" s="100" t="n"/>
      <x:c r="FC174" s="100" t="n"/>
      <x:c r="FD174" s="100" t="n"/>
      <x:c r="FE174" s="100" t="n"/>
      <x:c r="FF174" s="100" t="n"/>
      <x:c r="FG174" s="100" t="n"/>
      <x:c r="FH174" s="100" t="n"/>
      <x:c r="FI174" s="100" t="n"/>
      <x:c r="FJ174" s="100" t="n"/>
      <x:c r="FK174" s="100" t="n"/>
      <x:c r="FL174" s="100" t="n"/>
      <x:c r="FM174" s="100" t="n"/>
      <x:c r="FN174" s="100" t="n"/>
      <x:c r="FO174" s="100" t="n"/>
      <x:c r="FP174" s="100" t="n"/>
      <x:c r="FQ174" s="100" t="n"/>
      <x:c r="FR174" s="100" t="n"/>
      <x:c r="FS174" s="100" t="n"/>
      <x:c r="FT174" s="100" t="n"/>
      <x:c r="FU174" s="100" t="n"/>
      <x:c r="FV174" s="100" t="n"/>
      <x:c r="FW174" s="100" t="n"/>
      <x:c r="FX174" s="100" t="n"/>
      <x:c r="FY174" s="100" t="n"/>
      <x:c r="FZ174" s="100" t="n"/>
      <x:c r="GA174" s="100" t="n"/>
      <x:c r="GB174" s="100" t="n"/>
      <x:c r="GC174" s="100" t="n"/>
      <x:c r="GD174" s="100" t="n"/>
      <x:c r="GE174" s="100" t="n"/>
      <x:c r="GF174" s="100" t="n"/>
    </x:row>
    <x:row r="175" s="27" customFormat="1">
      <x:c r="A175" s="38" t="n"/>
      <x:c r="B175" s="37" t="n"/>
      <x:c r="C175" s="36" t="n">
        <x:f>E175*D$5</x:f>
        <x:v>0</x:v>
      </x:c>
      <x:c r="D175" s="20" t="n"/>
      <x:c r="E175" s="36" t="n">
        <x:f>SUM(G175:HT175)</x:f>
        <x:v>0</x:v>
      </x:c>
      <x:c r="M175" s="100" t="n"/>
      <x:c r="N175" s="100" t="n"/>
      <x:c r="O175" s="100" t="n"/>
      <x:c r="P175" s="100" t="n"/>
      <x:c r="Q175" s="100" t="n"/>
      <x:c r="R175" s="100" t="n"/>
      <x:c r="S175" s="100" t="n"/>
      <x:c r="T175" s="100" t="n"/>
      <x:c r="U175" s="100" t="n"/>
      <x:c r="V175" s="100" t="n"/>
      <x:c r="W175" s="100" t="n"/>
      <x:c r="X175" s="100" t="n"/>
      <x:c r="Y175" s="100" t="n"/>
      <x:c r="Z175" s="100" t="n"/>
      <x:c r="AA175" s="100" t="n"/>
      <x:c r="AB175" s="100" t="n"/>
      <x:c r="AC175" s="100" t="n"/>
      <x:c r="AD175" s="100" t="n"/>
      <x:c r="AE175" s="100" t="n"/>
      <x:c r="AF175" s="100" t="n"/>
      <x:c r="AG175" s="100" t="n"/>
      <x:c r="AH175" s="100" t="n"/>
      <x:c r="AI175" s="100" t="n"/>
      <x:c r="AJ175" s="100" t="n"/>
      <x:c r="AK175" s="100" t="n"/>
      <x:c r="AL175" s="100" t="n"/>
      <x:c r="AM175" s="100" t="n"/>
      <x:c r="AN175" s="100" t="n"/>
      <x:c r="AO175" s="100" t="n"/>
      <x:c r="AP175" s="100" t="n"/>
      <x:c r="AQ175" s="100" t="n"/>
      <x:c r="AR175" s="100" t="n"/>
      <x:c r="AS175" s="100" t="n"/>
      <x:c r="AT175" s="100" t="n"/>
      <x:c r="AU175" s="100" t="n"/>
      <x:c r="AV175" s="100" t="n"/>
      <x:c r="AW175" s="100" t="n"/>
      <x:c r="AX175" s="100" t="n"/>
      <x:c r="AY175" s="100" t="n"/>
      <x:c r="AZ175" s="100" t="n"/>
      <x:c r="BA175" s="100" t="n"/>
      <x:c r="BB175" s="100" t="n"/>
      <x:c r="BC175" s="100" t="n"/>
      <x:c r="BD175" s="100" t="n"/>
      <x:c r="BE175" s="100" t="n"/>
      <x:c r="BF175" s="100" t="n"/>
      <x:c r="BG175" s="100" t="n"/>
      <x:c r="BH175" s="100" t="n"/>
      <x:c r="BI175" s="100" t="n"/>
      <x:c r="BJ175" s="100" t="n"/>
      <x:c r="BK175" s="100" t="n"/>
      <x:c r="BL175" s="100" t="n"/>
      <x:c r="BM175" s="100" t="n"/>
      <x:c r="BN175" s="100" t="n"/>
      <x:c r="BO175" s="100" t="n"/>
      <x:c r="BP175" s="100" t="n"/>
      <x:c r="BQ175" s="100" t="n"/>
      <x:c r="BR175" s="100" t="n"/>
      <x:c r="BS175" s="100" t="n"/>
      <x:c r="BT175" s="100" t="n"/>
      <x:c r="BU175" s="100" t="n"/>
      <x:c r="BV175" s="100" t="n"/>
      <x:c r="BW175" s="100" t="n"/>
      <x:c r="BX175" s="100" t="n"/>
      <x:c r="BY175" s="100" t="n"/>
      <x:c r="BZ175" s="100" t="n"/>
      <x:c r="CA175" s="100" t="n"/>
      <x:c r="CB175" s="100" t="n"/>
      <x:c r="CC175" s="100" t="n"/>
      <x:c r="CD175" s="100" t="n"/>
      <x:c r="CE175" s="100" t="n"/>
      <x:c r="CF175" s="100" t="n"/>
      <x:c r="CG175" s="100" t="n"/>
      <x:c r="CH175" s="100" t="n"/>
      <x:c r="CI175" s="100" t="n"/>
      <x:c r="CJ175" s="100" t="n"/>
      <x:c r="CK175" s="100" t="n"/>
      <x:c r="CL175" s="100" t="n"/>
      <x:c r="CM175" s="100" t="n"/>
      <x:c r="CN175" s="100" t="n"/>
      <x:c r="CO175" s="100" t="n"/>
      <x:c r="CP175" s="100" t="n"/>
      <x:c r="CQ175" s="100" t="n"/>
      <x:c r="CR175" s="100" t="n"/>
      <x:c r="CS175" s="100" t="n"/>
      <x:c r="CT175" s="100" t="n"/>
      <x:c r="CU175" s="100" t="n"/>
      <x:c r="CV175" s="100" t="n"/>
      <x:c r="CW175" s="100" t="n"/>
      <x:c r="CX175" s="100" t="n"/>
      <x:c r="CY175" s="100" t="n"/>
      <x:c r="CZ175" s="100" t="n"/>
      <x:c r="DA175" s="100" t="n"/>
      <x:c r="DB175" s="100" t="n"/>
      <x:c r="DC175" s="100" t="n"/>
      <x:c r="DD175" s="100" t="n"/>
      <x:c r="DE175" s="100" t="n"/>
      <x:c r="DF175" s="100" t="n"/>
      <x:c r="DG175" s="100" t="n"/>
      <x:c r="DH175" s="100" t="n"/>
      <x:c r="DI175" s="100" t="n"/>
      <x:c r="DJ175" s="100" t="n"/>
      <x:c r="DK175" s="100" t="n"/>
      <x:c r="DL175" s="100" t="n"/>
      <x:c r="DM175" s="100" t="n"/>
      <x:c r="DN175" s="100" t="n"/>
      <x:c r="DO175" s="100" t="n"/>
      <x:c r="DP175" s="100" t="n"/>
      <x:c r="DQ175" s="100" t="n"/>
      <x:c r="DR175" s="100" t="n"/>
      <x:c r="DS175" s="100" t="n"/>
      <x:c r="DT175" s="100" t="n"/>
      <x:c r="DU175" s="100" t="n"/>
      <x:c r="DV175" s="100" t="n"/>
      <x:c r="DW175" s="100" t="n"/>
      <x:c r="DX175" s="100" t="n"/>
      <x:c r="DY175" s="100" t="n"/>
      <x:c r="DZ175" s="100" t="n"/>
      <x:c r="EA175" s="100" t="n"/>
      <x:c r="EB175" s="100" t="n"/>
      <x:c r="EC175" s="100" t="n"/>
      <x:c r="ED175" s="100" t="n"/>
      <x:c r="EE175" s="100" t="n"/>
      <x:c r="EF175" s="100" t="n"/>
      <x:c r="EG175" s="100" t="n"/>
      <x:c r="EH175" s="100" t="n"/>
      <x:c r="EI175" s="100" t="n"/>
      <x:c r="EJ175" s="100" t="n"/>
      <x:c r="EK175" s="100" t="n"/>
      <x:c r="EL175" s="100" t="n"/>
      <x:c r="EM175" s="100" t="n"/>
      <x:c r="EN175" s="100" t="n"/>
      <x:c r="EO175" s="100" t="n"/>
      <x:c r="EP175" s="100" t="n"/>
      <x:c r="EQ175" s="100" t="n"/>
      <x:c r="ER175" s="100" t="n"/>
      <x:c r="ES175" s="100" t="n"/>
      <x:c r="ET175" s="100" t="n"/>
      <x:c r="EU175" s="100" t="n"/>
      <x:c r="EV175" s="100" t="n"/>
      <x:c r="EW175" s="100" t="n"/>
      <x:c r="EX175" s="100" t="n"/>
      <x:c r="EY175" s="100" t="n"/>
      <x:c r="EZ175" s="100" t="n"/>
      <x:c r="FA175" s="100" t="n"/>
      <x:c r="FB175" s="100" t="n"/>
      <x:c r="FC175" s="100" t="n"/>
      <x:c r="FD175" s="100" t="n"/>
      <x:c r="FE175" s="100" t="n"/>
      <x:c r="FF175" s="100" t="n"/>
      <x:c r="FG175" s="100" t="n"/>
      <x:c r="FH175" s="100" t="n"/>
      <x:c r="FI175" s="100" t="n"/>
      <x:c r="FJ175" s="100" t="n"/>
      <x:c r="FK175" s="100" t="n"/>
      <x:c r="FL175" s="100" t="n"/>
      <x:c r="FM175" s="100" t="n"/>
      <x:c r="FN175" s="100" t="n"/>
      <x:c r="FO175" s="100" t="n"/>
      <x:c r="FP175" s="100" t="n"/>
      <x:c r="FQ175" s="100" t="n"/>
      <x:c r="FR175" s="100" t="n"/>
      <x:c r="FS175" s="100" t="n"/>
      <x:c r="FT175" s="100" t="n"/>
      <x:c r="FU175" s="100" t="n"/>
      <x:c r="FV175" s="100" t="n"/>
      <x:c r="FW175" s="100" t="n"/>
      <x:c r="FX175" s="100" t="n"/>
      <x:c r="FY175" s="100" t="n"/>
      <x:c r="FZ175" s="100" t="n"/>
      <x:c r="GA175" s="100" t="n"/>
      <x:c r="GB175" s="100" t="n"/>
      <x:c r="GC175" s="100" t="n"/>
      <x:c r="GD175" s="100" t="n"/>
      <x:c r="GE175" s="100" t="n"/>
      <x:c r="GF175" s="100" t="n"/>
    </x:row>
    <x:row r="176" s="27" customFormat="1">
      <x:c r="A176" s="38" t="n"/>
      <x:c r="B176" s="37" t="n"/>
      <x:c r="C176" s="36" t="n">
        <x:f>E176*D$5</x:f>
        <x:v>0</x:v>
      </x:c>
      <x:c r="D176" s="20" t="n"/>
      <x:c r="E176" s="36" t="n">
        <x:f>SUM(G176:HT176)</x:f>
        <x:v>0</x:v>
      </x:c>
      <x:c r="M176" s="100" t="n"/>
      <x:c r="N176" s="100" t="n"/>
      <x:c r="O176" s="100" t="n"/>
      <x:c r="P176" s="100" t="n"/>
      <x:c r="Q176" s="100" t="n"/>
      <x:c r="R176" s="100" t="n"/>
      <x:c r="S176" s="100" t="n"/>
      <x:c r="T176" s="100" t="n"/>
      <x:c r="U176" s="100" t="n"/>
      <x:c r="V176" s="100" t="n"/>
      <x:c r="W176" s="100" t="n"/>
      <x:c r="X176" s="100" t="n"/>
      <x:c r="Y176" s="100" t="n"/>
      <x:c r="Z176" s="100" t="n"/>
      <x:c r="AA176" s="100" t="n"/>
      <x:c r="AB176" s="100" t="n"/>
      <x:c r="AC176" s="100" t="n"/>
      <x:c r="AD176" s="100" t="n"/>
      <x:c r="AE176" s="100" t="n"/>
      <x:c r="AF176" s="100" t="n"/>
      <x:c r="AG176" s="100" t="n"/>
      <x:c r="AH176" s="100" t="n"/>
      <x:c r="AI176" s="100" t="n"/>
      <x:c r="AJ176" s="100" t="n"/>
      <x:c r="AK176" s="100" t="n"/>
      <x:c r="AL176" s="100" t="n"/>
      <x:c r="AM176" s="100" t="n"/>
      <x:c r="AN176" s="100" t="n"/>
      <x:c r="AO176" s="100" t="n"/>
      <x:c r="AP176" s="100" t="n"/>
      <x:c r="AQ176" s="100" t="n"/>
      <x:c r="AR176" s="100" t="n"/>
      <x:c r="AS176" s="100" t="n"/>
      <x:c r="AT176" s="100" t="n"/>
      <x:c r="AU176" s="100" t="n"/>
      <x:c r="AV176" s="100" t="n"/>
      <x:c r="AW176" s="100" t="n"/>
      <x:c r="AX176" s="100" t="n"/>
      <x:c r="AY176" s="100" t="n"/>
      <x:c r="AZ176" s="100" t="n"/>
      <x:c r="BA176" s="100" t="n"/>
      <x:c r="BB176" s="100" t="n"/>
      <x:c r="BC176" s="100" t="n"/>
      <x:c r="BD176" s="100" t="n"/>
      <x:c r="BE176" s="100" t="n"/>
      <x:c r="BF176" s="100" t="n"/>
      <x:c r="BG176" s="100" t="n"/>
      <x:c r="BH176" s="100" t="n"/>
      <x:c r="BI176" s="100" t="n"/>
      <x:c r="BJ176" s="100" t="n"/>
      <x:c r="BK176" s="100" t="n"/>
      <x:c r="BL176" s="100" t="n"/>
      <x:c r="BM176" s="100" t="n"/>
      <x:c r="BN176" s="100" t="n"/>
      <x:c r="BO176" s="100" t="n"/>
      <x:c r="BP176" s="100" t="n"/>
      <x:c r="BQ176" s="100" t="n"/>
      <x:c r="BR176" s="100" t="n"/>
      <x:c r="BS176" s="100" t="n"/>
      <x:c r="BT176" s="100" t="n"/>
      <x:c r="BU176" s="100" t="n"/>
      <x:c r="BV176" s="100" t="n"/>
      <x:c r="BW176" s="100" t="n"/>
      <x:c r="BX176" s="100" t="n"/>
      <x:c r="BY176" s="100" t="n"/>
      <x:c r="BZ176" s="100" t="n"/>
      <x:c r="CA176" s="100" t="n"/>
      <x:c r="CB176" s="100" t="n"/>
      <x:c r="CC176" s="100" t="n"/>
      <x:c r="CD176" s="100" t="n"/>
      <x:c r="CE176" s="100" t="n"/>
      <x:c r="CF176" s="100" t="n"/>
      <x:c r="CG176" s="100" t="n"/>
      <x:c r="CH176" s="100" t="n"/>
      <x:c r="CI176" s="100" t="n"/>
      <x:c r="CJ176" s="100" t="n"/>
      <x:c r="CK176" s="100" t="n"/>
      <x:c r="CL176" s="100" t="n"/>
      <x:c r="CM176" s="100" t="n"/>
      <x:c r="CN176" s="100" t="n"/>
      <x:c r="CO176" s="100" t="n"/>
      <x:c r="CP176" s="100" t="n"/>
      <x:c r="CQ176" s="100" t="n"/>
      <x:c r="CR176" s="100" t="n"/>
      <x:c r="CS176" s="100" t="n"/>
      <x:c r="CT176" s="100" t="n"/>
      <x:c r="CU176" s="100" t="n"/>
      <x:c r="CV176" s="100" t="n"/>
      <x:c r="CW176" s="100" t="n"/>
      <x:c r="CX176" s="100" t="n"/>
      <x:c r="CY176" s="100" t="n"/>
      <x:c r="CZ176" s="100" t="n"/>
      <x:c r="DA176" s="100" t="n"/>
      <x:c r="DB176" s="100" t="n"/>
      <x:c r="DC176" s="100" t="n"/>
      <x:c r="DD176" s="100" t="n"/>
      <x:c r="DE176" s="100" t="n"/>
      <x:c r="DF176" s="100" t="n"/>
      <x:c r="DG176" s="100" t="n"/>
      <x:c r="DH176" s="100" t="n"/>
      <x:c r="DI176" s="100" t="n"/>
      <x:c r="DJ176" s="100" t="n"/>
      <x:c r="DK176" s="100" t="n"/>
      <x:c r="DL176" s="100" t="n"/>
      <x:c r="DM176" s="100" t="n"/>
      <x:c r="DN176" s="100" t="n"/>
      <x:c r="DO176" s="100" t="n"/>
      <x:c r="DP176" s="100" t="n"/>
      <x:c r="DQ176" s="100" t="n"/>
      <x:c r="DR176" s="100" t="n"/>
      <x:c r="DS176" s="100" t="n"/>
      <x:c r="DT176" s="100" t="n"/>
      <x:c r="DU176" s="100" t="n"/>
      <x:c r="DV176" s="100" t="n"/>
      <x:c r="DW176" s="100" t="n"/>
      <x:c r="DX176" s="100" t="n"/>
      <x:c r="DY176" s="100" t="n"/>
      <x:c r="DZ176" s="100" t="n"/>
      <x:c r="EA176" s="100" t="n"/>
      <x:c r="EB176" s="100" t="n"/>
      <x:c r="EC176" s="100" t="n"/>
      <x:c r="ED176" s="100" t="n"/>
      <x:c r="EE176" s="100" t="n"/>
      <x:c r="EF176" s="100" t="n"/>
      <x:c r="EG176" s="100" t="n"/>
      <x:c r="EH176" s="100" t="n"/>
      <x:c r="EI176" s="100" t="n"/>
      <x:c r="EJ176" s="100" t="n"/>
      <x:c r="EK176" s="100" t="n"/>
      <x:c r="EL176" s="100" t="n"/>
      <x:c r="EM176" s="100" t="n"/>
      <x:c r="EN176" s="100" t="n"/>
      <x:c r="EO176" s="100" t="n"/>
      <x:c r="EP176" s="100" t="n"/>
      <x:c r="EQ176" s="100" t="n"/>
      <x:c r="ER176" s="100" t="n"/>
      <x:c r="ES176" s="100" t="n"/>
      <x:c r="ET176" s="100" t="n"/>
      <x:c r="EU176" s="100" t="n"/>
      <x:c r="EV176" s="100" t="n"/>
      <x:c r="EW176" s="100" t="n"/>
      <x:c r="EX176" s="100" t="n"/>
      <x:c r="EY176" s="100" t="n"/>
      <x:c r="EZ176" s="100" t="n"/>
      <x:c r="FA176" s="100" t="n"/>
      <x:c r="FB176" s="100" t="n"/>
      <x:c r="FC176" s="100" t="n"/>
      <x:c r="FD176" s="100" t="n"/>
      <x:c r="FE176" s="100" t="n"/>
      <x:c r="FF176" s="100" t="n"/>
      <x:c r="FG176" s="100" t="n"/>
      <x:c r="FH176" s="100" t="n"/>
      <x:c r="FI176" s="100" t="n"/>
      <x:c r="FJ176" s="100" t="n"/>
      <x:c r="FK176" s="100" t="n"/>
      <x:c r="FL176" s="100" t="n"/>
      <x:c r="FM176" s="100" t="n"/>
      <x:c r="FN176" s="100" t="n"/>
      <x:c r="FO176" s="100" t="n"/>
      <x:c r="FP176" s="100" t="n"/>
      <x:c r="FQ176" s="100" t="n"/>
      <x:c r="FR176" s="100" t="n"/>
      <x:c r="FS176" s="100" t="n"/>
      <x:c r="FT176" s="100" t="n"/>
      <x:c r="FU176" s="100" t="n"/>
      <x:c r="FV176" s="100" t="n"/>
      <x:c r="FW176" s="100" t="n"/>
      <x:c r="FX176" s="100" t="n"/>
      <x:c r="FY176" s="100" t="n"/>
      <x:c r="FZ176" s="100" t="n"/>
      <x:c r="GA176" s="100" t="n"/>
      <x:c r="GB176" s="100" t="n"/>
      <x:c r="GC176" s="100" t="n"/>
      <x:c r="GD176" s="100" t="n"/>
      <x:c r="GE176" s="100" t="n"/>
      <x:c r="GF176" s="100" t="n"/>
    </x:row>
    <x:row r="177" s="27" customFormat="1">
      <x:c r="A177" s="38" t="n"/>
      <x:c r="B177" s="37" t="n"/>
      <x:c r="C177" s="36" t="n">
        <x:f>E177*D$5</x:f>
        <x:v>0</x:v>
      </x:c>
      <x:c r="D177" s="20" t="n"/>
      <x:c r="E177" s="36" t="n">
        <x:f>SUM(G177:HT177)</x:f>
        <x:v>0</x:v>
      </x:c>
      <x:c r="M177" s="100" t="n"/>
      <x:c r="N177" s="100" t="n"/>
      <x:c r="O177" s="100" t="n"/>
      <x:c r="P177" s="100" t="n"/>
      <x:c r="Q177" s="100" t="n"/>
      <x:c r="R177" s="100" t="n"/>
      <x:c r="S177" s="100" t="n"/>
      <x:c r="T177" s="100" t="n"/>
      <x:c r="U177" s="100" t="n"/>
      <x:c r="V177" s="100" t="n"/>
      <x:c r="W177" s="100" t="n"/>
      <x:c r="X177" s="100" t="n"/>
      <x:c r="Y177" s="100" t="n"/>
      <x:c r="Z177" s="100" t="n"/>
      <x:c r="AA177" s="100" t="n"/>
      <x:c r="AB177" s="100" t="n"/>
      <x:c r="AC177" s="100" t="n"/>
      <x:c r="AD177" s="100" t="n"/>
      <x:c r="AE177" s="100" t="n"/>
      <x:c r="AF177" s="100" t="n"/>
      <x:c r="AG177" s="100" t="n"/>
      <x:c r="AH177" s="100" t="n"/>
      <x:c r="AI177" s="100" t="n"/>
      <x:c r="AJ177" s="100" t="n"/>
      <x:c r="AK177" s="100" t="n"/>
      <x:c r="AL177" s="100" t="n"/>
      <x:c r="AM177" s="100" t="n"/>
      <x:c r="AN177" s="100" t="n"/>
      <x:c r="AO177" s="100" t="n"/>
      <x:c r="AP177" s="100" t="n"/>
      <x:c r="AQ177" s="100" t="n"/>
      <x:c r="AR177" s="100" t="n"/>
      <x:c r="AS177" s="100" t="n"/>
      <x:c r="AT177" s="100" t="n"/>
      <x:c r="AU177" s="100" t="n"/>
      <x:c r="AV177" s="100" t="n"/>
      <x:c r="AW177" s="100" t="n"/>
      <x:c r="AX177" s="100" t="n"/>
      <x:c r="AY177" s="100" t="n"/>
      <x:c r="AZ177" s="100" t="n"/>
      <x:c r="BA177" s="100" t="n"/>
      <x:c r="BB177" s="100" t="n"/>
      <x:c r="BC177" s="100" t="n"/>
      <x:c r="BD177" s="100" t="n"/>
      <x:c r="BE177" s="100" t="n"/>
      <x:c r="BF177" s="100" t="n"/>
      <x:c r="BG177" s="100" t="n"/>
      <x:c r="BH177" s="100" t="n"/>
      <x:c r="BI177" s="100" t="n"/>
      <x:c r="BJ177" s="100" t="n"/>
      <x:c r="BK177" s="100" t="n"/>
      <x:c r="BL177" s="100" t="n"/>
      <x:c r="BM177" s="100" t="n"/>
      <x:c r="BN177" s="100" t="n"/>
      <x:c r="BO177" s="100" t="n"/>
      <x:c r="BP177" s="100" t="n"/>
      <x:c r="BQ177" s="100" t="n"/>
      <x:c r="BR177" s="100" t="n"/>
      <x:c r="BS177" s="100" t="n"/>
      <x:c r="BT177" s="100" t="n"/>
      <x:c r="BU177" s="100" t="n"/>
      <x:c r="BV177" s="100" t="n"/>
      <x:c r="BW177" s="100" t="n"/>
      <x:c r="BX177" s="100" t="n"/>
      <x:c r="BY177" s="100" t="n"/>
      <x:c r="BZ177" s="100" t="n"/>
      <x:c r="CA177" s="100" t="n"/>
      <x:c r="CB177" s="100" t="n"/>
      <x:c r="CC177" s="100" t="n"/>
      <x:c r="CD177" s="100" t="n"/>
      <x:c r="CE177" s="100" t="n"/>
      <x:c r="CF177" s="100" t="n"/>
      <x:c r="CG177" s="100" t="n"/>
      <x:c r="CH177" s="100" t="n"/>
      <x:c r="CI177" s="100" t="n"/>
      <x:c r="CJ177" s="100" t="n"/>
      <x:c r="CK177" s="100" t="n"/>
      <x:c r="CL177" s="100" t="n"/>
      <x:c r="CM177" s="100" t="n"/>
      <x:c r="CN177" s="100" t="n"/>
      <x:c r="CO177" s="100" t="n"/>
      <x:c r="CP177" s="100" t="n"/>
      <x:c r="CQ177" s="100" t="n"/>
      <x:c r="CR177" s="100" t="n"/>
      <x:c r="CS177" s="100" t="n"/>
      <x:c r="CT177" s="100" t="n"/>
      <x:c r="CU177" s="100" t="n"/>
      <x:c r="CV177" s="100" t="n"/>
      <x:c r="CW177" s="100" t="n"/>
      <x:c r="CX177" s="100" t="n"/>
      <x:c r="CY177" s="100" t="n"/>
      <x:c r="CZ177" s="100" t="n"/>
      <x:c r="DA177" s="100" t="n"/>
      <x:c r="DB177" s="100" t="n"/>
      <x:c r="DC177" s="100" t="n"/>
      <x:c r="DD177" s="100" t="n"/>
      <x:c r="DE177" s="100" t="n"/>
      <x:c r="DF177" s="100" t="n"/>
      <x:c r="DG177" s="100" t="n"/>
      <x:c r="DH177" s="100" t="n"/>
      <x:c r="DI177" s="100" t="n"/>
      <x:c r="DJ177" s="100" t="n"/>
      <x:c r="DK177" s="100" t="n"/>
      <x:c r="DL177" s="100" t="n"/>
      <x:c r="DM177" s="100" t="n"/>
      <x:c r="DN177" s="100" t="n"/>
      <x:c r="DO177" s="100" t="n"/>
      <x:c r="DP177" s="100" t="n"/>
      <x:c r="DQ177" s="100" t="n"/>
      <x:c r="DR177" s="100" t="n"/>
      <x:c r="DS177" s="100" t="n"/>
      <x:c r="DT177" s="100" t="n"/>
      <x:c r="DU177" s="100" t="n"/>
      <x:c r="DV177" s="100" t="n"/>
      <x:c r="DW177" s="100" t="n"/>
      <x:c r="DX177" s="100" t="n"/>
      <x:c r="DY177" s="100" t="n"/>
      <x:c r="DZ177" s="100" t="n"/>
      <x:c r="EA177" s="100" t="n"/>
      <x:c r="EB177" s="100" t="n"/>
      <x:c r="EC177" s="100" t="n"/>
      <x:c r="ED177" s="100" t="n"/>
      <x:c r="EE177" s="100" t="n"/>
      <x:c r="EF177" s="100" t="n"/>
      <x:c r="EG177" s="100" t="n"/>
      <x:c r="EH177" s="100" t="n"/>
      <x:c r="EI177" s="100" t="n"/>
      <x:c r="EJ177" s="100" t="n"/>
      <x:c r="EK177" s="100" t="n"/>
      <x:c r="EL177" s="100" t="n"/>
      <x:c r="EM177" s="100" t="n"/>
      <x:c r="EN177" s="100" t="n"/>
      <x:c r="EO177" s="100" t="n"/>
      <x:c r="EP177" s="100" t="n"/>
      <x:c r="EQ177" s="100" t="n"/>
      <x:c r="ER177" s="100" t="n"/>
      <x:c r="ES177" s="100" t="n"/>
      <x:c r="ET177" s="100" t="n"/>
      <x:c r="EU177" s="100" t="n"/>
      <x:c r="EV177" s="100" t="n"/>
      <x:c r="EW177" s="100" t="n"/>
      <x:c r="EX177" s="100" t="n"/>
      <x:c r="EY177" s="100" t="n"/>
      <x:c r="EZ177" s="100" t="n"/>
      <x:c r="FA177" s="100" t="n"/>
      <x:c r="FB177" s="100" t="n"/>
      <x:c r="FC177" s="100" t="n"/>
      <x:c r="FD177" s="100" t="n"/>
      <x:c r="FE177" s="100" t="n"/>
      <x:c r="FF177" s="100" t="n"/>
      <x:c r="FG177" s="100" t="n"/>
      <x:c r="FH177" s="100" t="n"/>
      <x:c r="FI177" s="100" t="n"/>
      <x:c r="FJ177" s="100" t="n"/>
      <x:c r="FK177" s="100" t="n"/>
      <x:c r="FL177" s="100" t="n"/>
      <x:c r="FM177" s="100" t="n"/>
      <x:c r="FN177" s="100" t="n"/>
      <x:c r="FO177" s="100" t="n"/>
      <x:c r="FP177" s="100" t="n"/>
      <x:c r="FQ177" s="100" t="n"/>
      <x:c r="FR177" s="100" t="n"/>
      <x:c r="FS177" s="100" t="n"/>
      <x:c r="FT177" s="100" t="n"/>
      <x:c r="FU177" s="100" t="n"/>
      <x:c r="FV177" s="100" t="n"/>
      <x:c r="FW177" s="100" t="n"/>
      <x:c r="FX177" s="100" t="n"/>
      <x:c r="FY177" s="100" t="n"/>
      <x:c r="FZ177" s="100" t="n"/>
      <x:c r="GA177" s="100" t="n"/>
      <x:c r="GB177" s="100" t="n"/>
      <x:c r="GC177" s="100" t="n"/>
      <x:c r="GD177" s="100" t="n"/>
      <x:c r="GE177" s="100" t="n"/>
      <x:c r="GF177" s="100" t="n"/>
    </x:row>
    <x:row r="178" s="27" customFormat="1">
      <x:c r="A178" s="38" t="n"/>
      <x:c r="B178" s="37" t="n"/>
      <x:c r="C178" s="36" t="n">
        <x:f>E178*D$5</x:f>
        <x:v>0</x:v>
      </x:c>
      <x:c r="D178" s="20" t="n"/>
      <x:c r="E178" s="36" t="n">
        <x:f>SUM(G178:HT178)</x:f>
        <x:v>0</x:v>
      </x:c>
      <x:c r="M178" s="100" t="n"/>
      <x:c r="N178" s="100" t="n"/>
      <x:c r="O178" s="100" t="n"/>
      <x:c r="P178" s="100" t="n"/>
      <x:c r="Q178" s="100" t="n"/>
      <x:c r="R178" s="100" t="n"/>
      <x:c r="S178" s="100" t="n"/>
      <x:c r="T178" s="100" t="n"/>
      <x:c r="U178" s="100" t="n"/>
      <x:c r="V178" s="100" t="n"/>
      <x:c r="W178" s="100" t="n"/>
      <x:c r="X178" s="100" t="n"/>
      <x:c r="Y178" s="100" t="n"/>
      <x:c r="Z178" s="100" t="n"/>
      <x:c r="AA178" s="100" t="n"/>
      <x:c r="AB178" s="100" t="n"/>
      <x:c r="AC178" s="100" t="n"/>
      <x:c r="AD178" s="100" t="n"/>
      <x:c r="AE178" s="100" t="n"/>
      <x:c r="AF178" s="100" t="n"/>
      <x:c r="AG178" s="100" t="n"/>
      <x:c r="AH178" s="100" t="n"/>
      <x:c r="AI178" s="100" t="n"/>
      <x:c r="AJ178" s="100" t="n"/>
      <x:c r="AK178" s="100" t="n"/>
      <x:c r="AL178" s="100" t="n"/>
      <x:c r="AM178" s="100" t="n"/>
      <x:c r="AN178" s="100" t="n"/>
      <x:c r="AO178" s="100" t="n"/>
      <x:c r="AP178" s="100" t="n"/>
      <x:c r="AQ178" s="100" t="n"/>
      <x:c r="AR178" s="100" t="n"/>
      <x:c r="AS178" s="100" t="n"/>
      <x:c r="AT178" s="100" t="n"/>
      <x:c r="AU178" s="100" t="n"/>
      <x:c r="AV178" s="100" t="n"/>
      <x:c r="AW178" s="100" t="n"/>
      <x:c r="AX178" s="100" t="n"/>
      <x:c r="AY178" s="100" t="n"/>
      <x:c r="AZ178" s="100" t="n"/>
      <x:c r="BA178" s="100" t="n"/>
      <x:c r="BB178" s="100" t="n"/>
      <x:c r="BC178" s="100" t="n"/>
      <x:c r="BD178" s="100" t="n"/>
      <x:c r="BE178" s="100" t="n"/>
      <x:c r="BF178" s="100" t="n"/>
      <x:c r="BG178" s="100" t="n"/>
      <x:c r="BH178" s="100" t="n"/>
      <x:c r="BI178" s="100" t="n"/>
      <x:c r="BJ178" s="100" t="n"/>
      <x:c r="BK178" s="100" t="n"/>
      <x:c r="BL178" s="100" t="n"/>
      <x:c r="BM178" s="100" t="n"/>
      <x:c r="BN178" s="100" t="n"/>
      <x:c r="BO178" s="100" t="n"/>
      <x:c r="BP178" s="100" t="n"/>
      <x:c r="BQ178" s="100" t="n"/>
      <x:c r="BR178" s="100" t="n"/>
      <x:c r="BS178" s="100" t="n"/>
      <x:c r="BT178" s="100" t="n"/>
      <x:c r="BU178" s="100" t="n"/>
      <x:c r="BV178" s="100" t="n"/>
      <x:c r="BW178" s="100" t="n"/>
      <x:c r="BX178" s="100" t="n"/>
      <x:c r="BY178" s="100" t="n"/>
      <x:c r="BZ178" s="100" t="n"/>
      <x:c r="CA178" s="100" t="n"/>
      <x:c r="CB178" s="100" t="n"/>
      <x:c r="CC178" s="100" t="n"/>
      <x:c r="CD178" s="100" t="n"/>
      <x:c r="CE178" s="100" t="n"/>
      <x:c r="CF178" s="100" t="n"/>
      <x:c r="CG178" s="100" t="n"/>
      <x:c r="CH178" s="100" t="n"/>
      <x:c r="CI178" s="100" t="n"/>
      <x:c r="CJ178" s="100" t="n"/>
      <x:c r="CK178" s="100" t="n"/>
      <x:c r="CL178" s="100" t="n"/>
      <x:c r="CM178" s="100" t="n"/>
      <x:c r="CN178" s="100" t="n"/>
      <x:c r="CO178" s="100" t="n"/>
      <x:c r="CP178" s="100" t="n"/>
      <x:c r="CQ178" s="100" t="n"/>
      <x:c r="CR178" s="100" t="n"/>
      <x:c r="CS178" s="100" t="n"/>
      <x:c r="CT178" s="100" t="n"/>
      <x:c r="CU178" s="100" t="n"/>
      <x:c r="CV178" s="100" t="n"/>
      <x:c r="CW178" s="100" t="n"/>
      <x:c r="CX178" s="100" t="n"/>
      <x:c r="CY178" s="100" t="n"/>
      <x:c r="CZ178" s="100" t="n"/>
      <x:c r="DA178" s="100" t="n"/>
      <x:c r="DB178" s="100" t="n"/>
      <x:c r="DC178" s="100" t="n"/>
      <x:c r="DD178" s="100" t="n"/>
      <x:c r="DE178" s="100" t="n"/>
      <x:c r="DF178" s="100" t="n"/>
      <x:c r="DG178" s="100" t="n"/>
      <x:c r="DH178" s="100" t="n"/>
      <x:c r="DI178" s="100" t="n"/>
      <x:c r="DJ178" s="100" t="n"/>
      <x:c r="DK178" s="100" t="n"/>
      <x:c r="DL178" s="100" t="n"/>
      <x:c r="DM178" s="100" t="n"/>
      <x:c r="DN178" s="100" t="n"/>
      <x:c r="DO178" s="100" t="n"/>
      <x:c r="DP178" s="100" t="n"/>
      <x:c r="DQ178" s="100" t="n"/>
      <x:c r="DR178" s="100" t="n"/>
      <x:c r="DS178" s="100" t="n"/>
      <x:c r="DT178" s="100" t="n"/>
      <x:c r="DU178" s="100" t="n"/>
      <x:c r="DV178" s="100" t="n"/>
      <x:c r="DW178" s="100" t="n"/>
      <x:c r="DX178" s="100" t="n"/>
      <x:c r="DY178" s="100" t="n"/>
      <x:c r="DZ178" s="100" t="n"/>
      <x:c r="EA178" s="100" t="n"/>
      <x:c r="EB178" s="100" t="n"/>
      <x:c r="EC178" s="100" t="n"/>
      <x:c r="ED178" s="100" t="n"/>
      <x:c r="EE178" s="100" t="n"/>
      <x:c r="EF178" s="100" t="n"/>
      <x:c r="EG178" s="100" t="n"/>
      <x:c r="EH178" s="100" t="n"/>
      <x:c r="EI178" s="100" t="n"/>
      <x:c r="EJ178" s="100" t="n"/>
      <x:c r="EK178" s="100" t="n"/>
      <x:c r="EL178" s="100" t="n"/>
      <x:c r="EM178" s="100" t="n"/>
      <x:c r="EN178" s="100" t="n"/>
      <x:c r="EO178" s="100" t="n"/>
      <x:c r="EP178" s="100" t="n"/>
      <x:c r="EQ178" s="100" t="n"/>
      <x:c r="ER178" s="100" t="n"/>
      <x:c r="ES178" s="100" t="n"/>
      <x:c r="ET178" s="100" t="n"/>
      <x:c r="EU178" s="100" t="n"/>
      <x:c r="EV178" s="100" t="n"/>
      <x:c r="EW178" s="100" t="n"/>
      <x:c r="EX178" s="100" t="n"/>
      <x:c r="EY178" s="100" t="n"/>
      <x:c r="EZ178" s="100" t="n"/>
      <x:c r="FA178" s="100" t="n"/>
      <x:c r="FB178" s="100" t="n"/>
      <x:c r="FC178" s="100" t="n"/>
      <x:c r="FD178" s="100" t="n"/>
      <x:c r="FE178" s="100" t="n"/>
      <x:c r="FF178" s="100" t="n"/>
      <x:c r="FG178" s="100" t="n"/>
      <x:c r="FH178" s="100" t="n"/>
      <x:c r="FI178" s="100" t="n"/>
      <x:c r="FJ178" s="100" t="n"/>
      <x:c r="FK178" s="100" t="n"/>
      <x:c r="FL178" s="100" t="n"/>
      <x:c r="FM178" s="100" t="n"/>
      <x:c r="FN178" s="100" t="n"/>
      <x:c r="FO178" s="100" t="n"/>
      <x:c r="FP178" s="100" t="n"/>
      <x:c r="FQ178" s="100" t="n"/>
      <x:c r="FR178" s="100" t="n"/>
      <x:c r="FS178" s="100" t="n"/>
      <x:c r="FT178" s="100" t="n"/>
      <x:c r="FU178" s="100" t="n"/>
      <x:c r="FV178" s="100" t="n"/>
      <x:c r="FW178" s="100" t="n"/>
      <x:c r="FX178" s="100" t="n"/>
      <x:c r="FY178" s="100" t="n"/>
      <x:c r="FZ178" s="100" t="n"/>
      <x:c r="GA178" s="100" t="n"/>
      <x:c r="GB178" s="100" t="n"/>
      <x:c r="GC178" s="100" t="n"/>
      <x:c r="GD178" s="100" t="n"/>
      <x:c r="GE178" s="100" t="n"/>
      <x:c r="GF178" s="100" t="n"/>
    </x:row>
    <x:row r="179" s="27" customFormat="1">
      <x:c r="A179" s="38" t="n"/>
      <x:c r="B179" s="37" t="n"/>
      <x:c r="C179" s="36" t="n">
        <x:f>E179*D$5</x:f>
        <x:v>0</x:v>
      </x:c>
      <x:c r="D179" s="20" t="n"/>
      <x:c r="E179" s="36" t="n">
        <x:f>SUM(G179:HT179)</x:f>
        <x:v>0</x:v>
      </x:c>
      <x:c r="M179" s="100" t="n"/>
      <x:c r="N179" s="100" t="n"/>
      <x:c r="O179" s="100" t="n"/>
      <x:c r="P179" s="100" t="n"/>
      <x:c r="Q179" s="100" t="n"/>
      <x:c r="R179" s="100" t="n"/>
      <x:c r="S179" s="100" t="n"/>
      <x:c r="T179" s="100" t="n"/>
      <x:c r="U179" s="100" t="n"/>
      <x:c r="V179" s="100" t="n"/>
      <x:c r="W179" s="100" t="n"/>
      <x:c r="X179" s="100" t="n"/>
      <x:c r="Y179" s="100" t="n"/>
      <x:c r="Z179" s="100" t="n"/>
      <x:c r="AA179" s="100" t="n"/>
      <x:c r="AB179" s="100" t="n"/>
      <x:c r="AC179" s="100" t="n"/>
      <x:c r="AD179" s="100" t="n"/>
      <x:c r="AE179" s="100" t="n"/>
      <x:c r="AF179" s="100" t="n"/>
      <x:c r="AG179" s="100" t="n"/>
      <x:c r="AH179" s="100" t="n"/>
      <x:c r="AI179" s="100" t="n"/>
      <x:c r="AJ179" s="100" t="n"/>
      <x:c r="AK179" s="100" t="n"/>
      <x:c r="AL179" s="100" t="n"/>
      <x:c r="AM179" s="100" t="n"/>
      <x:c r="AN179" s="100" t="n"/>
      <x:c r="AO179" s="100" t="n"/>
      <x:c r="AP179" s="100" t="n"/>
      <x:c r="AQ179" s="100" t="n"/>
      <x:c r="AR179" s="100" t="n"/>
      <x:c r="AS179" s="100" t="n"/>
      <x:c r="AT179" s="100" t="n"/>
      <x:c r="AU179" s="100" t="n"/>
      <x:c r="AV179" s="100" t="n"/>
      <x:c r="AW179" s="100" t="n"/>
      <x:c r="AX179" s="100" t="n"/>
      <x:c r="AY179" s="100" t="n"/>
      <x:c r="AZ179" s="100" t="n"/>
      <x:c r="BA179" s="100" t="n"/>
      <x:c r="BB179" s="100" t="n"/>
      <x:c r="BC179" s="100" t="n"/>
      <x:c r="BD179" s="100" t="n"/>
      <x:c r="BE179" s="100" t="n"/>
      <x:c r="BF179" s="100" t="n"/>
      <x:c r="BG179" s="100" t="n"/>
      <x:c r="BH179" s="100" t="n"/>
      <x:c r="BI179" s="100" t="n"/>
      <x:c r="BJ179" s="100" t="n"/>
      <x:c r="BK179" s="100" t="n"/>
      <x:c r="BL179" s="100" t="n"/>
      <x:c r="BM179" s="100" t="n"/>
      <x:c r="BN179" s="100" t="n"/>
      <x:c r="BO179" s="100" t="n"/>
      <x:c r="BP179" s="100" t="n"/>
      <x:c r="BQ179" s="100" t="n"/>
      <x:c r="BR179" s="100" t="n"/>
      <x:c r="BS179" s="100" t="n"/>
      <x:c r="BT179" s="100" t="n"/>
      <x:c r="BU179" s="100" t="n"/>
      <x:c r="BV179" s="100" t="n"/>
      <x:c r="BW179" s="100" t="n"/>
      <x:c r="BX179" s="100" t="n"/>
      <x:c r="BY179" s="100" t="n"/>
      <x:c r="BZ179" s="100" t="n"/>
      <x:c r="CA179" s="100" t="n"/>
      <x:c r="CB179" s="100" t="n"/>
      <x:c r="CC179" s="100" t="n"/>
      <x:c r="CD179" s="100" t="n"/>
      <x:c r="CE179" s="100" t="n"/>
      <x:c r="CF179" s="100" t="n"/>
      <x:c r="CG179" s="100" t="n"/>
      <x:c r="CH179" s="100" t="n"/>
      <x:c r="CI179" s="100" t="n"/>
      <x:c r="CJ179" s="100" t="n"/>
      <x:c r="CK179" s="100" t="n"/>
      <x:c r="CL179" s="100" t="n"/>
      <x:c r="CM179" s="100" t="n"/>
      <x:c r="CN179" s="100" t="n"/>
      <x:c r="CO179" s="100" t="n"/>
      <x:c r="CP179" s="100" t="n"/>
      <x:c r="CQ179" s="100" t="n"/>
      <x:c r="CR179" s="100" t="n"/>
      <x:c r="CS179" s="100" t="n"/>
      <x:c r="CT179" s="100" t="n"/>
      <x:c r="CU179" s="100" t="n"/>
      <x:c r="CV179" s="100" t="n"/>
      <x:c r="CW179" s="100" t="n"/>
      <x:c r="CX179" s="100" t="n"/>
      <x:c r="CY179" s="100" t="n"/>
      <x:c r="CZ179" s="100" t="n"/>
      <x:c r="DA179" s="100" t="n"/>
      <x:c r="DB179" s="100" t="n"/>
      <x:c r="DC179" s="100" t="n"/>
      <x:c r="DD179" s="100" t="n"/>
      <x:c r="DE179" s="100" t="n"/>
      <x:c r="DF179" s="100" t="n"/>
      <x:c r="DG179" s="100" t="n"/>
      <x:c r="DH179" s="100" t="n"/>
      <x:c r="DI179" s="100" t="n"/>
      <x:c r="DJ179" s="100" t="n"/>
      <x:c r="DK179" s="100" t="n"/>
      <x:c r="DL179" s="100" t="n"/>
      <x:c r="DM179" s="100" t="n"/>
      <x:c r="DN179" s="100" t="n"/>
      <x:c r="DO179" s="100" t="n"/>
      <x:c r="DP179" s="100" t="n"/>
      <x:c r="DQ179" s="100" t="n"/>
      <x:c r="DR179" s="100" t="n"/>
      <x:c r="DS179" s="100" t="n"/>
      <x:c r="DT179" s="100" t="n"/>
      <x:c r="DU179" s="100" t="n"/>
      <x:c r="DV179" s="100" t="n"/>
      <x:c r="DW179" s="100" t="n"/>
      <x:c r="DX179" s="100" t="n"/>
      <x:c r="DY179" s="100" t="n"/>
      <x:c r="DZ179" s="100" t="n"/>
      <x:c r="EA179" s="100" t="n"/>
      <x:c r="EB179" s="100" t="n"/>
      <x:c r="EC179" s="100" t="n"/>
      <x:c r="ED179" s="100" t="n"/>
      <x:c r="EE179" s="100" t="n"/>
      <x:c r="EF179" s="100" t="n"/>
      <x:c r="EG179" s="100" t="n"/>
      <x:c r="EH179" s="100" t="n"/>
      <x:c r="EI179" s="100" t="n"/>
      <x:c r="EJ179" s="100" t="n"/>
      <x:c r="EK179" s="100" t="n"/>
      <x:c r="EL179" s="100" t="n"/>
      <x:c r="EM179" s="100" t="n"/>
      <x:c r="EN179" s="100" t="n"/>
      <x:c r="EO179" s="100" t="n"/>
      <x:c r="EP179" s="100" t="n"/>
      <x:c r="EQ179" s="100" t="n"/>
      <x:c r="ER179" s="100" t="n"/>
      <x:c r="ES179" s="100" t="n"/>
      <x:c r="ET179" s="100" t="n"/>
      <x:c r="EU179" s="100" t="n"/>
      <x:c r="EV179" s="100" t="n"/>
      <x:c r="EW179" s="100" t="n"/>
      <x:c r="EX179" s="100" t="n"/>
      <x:c r="EY179" s="100" t="n"/>
      <x:c r="EZ179" s="100" t="n"/>
      <x:c r="FA179" s="100" t="n"/>
      <x:c r="FB179" s="100" t="n"/>
      <x:c r="FC179" s="100" t="n"/>
      <x:c r="FD179" s="100" t="n"/>
      <x:c r="FE179" s="100" t="n"/>
      <x:c r="FF179" s="100" t="n"/>
      <x:c r="FG179" s="100" t="n"/>
      <x:c r="FH179" s="100" t="n"/>
      <x:c r="FI179" s="100" t="n"/>
      <x:c r="FJ179" s="100" t="n"/>
      <x:c r="FK179" s="100" t="n"/>
      <x:c r="FL179" s="100" t="n"/>
      <x:c r="FM179" s="100" t="n"/>
      <x:c r="FN179" s="100" t="n"/>
      <x:c r="FO179" s="100" t="n"/>
      <x:c r="FP179" s="100" t="n"/>
      <x:c r="FQ179" s="100" t="n"/>
      <x:c r="FR179" s="100" t="n"/>
      <x:c r="FS179" s="100" t="n"/>
      <x:c r="FT179" s="100" t="n"/>
      <x:c r="FU179" s="100" t="n"/>
      <x:c r="FV179" s="100" t="n"/>
      <x:c r="FW179" s="100" t="n"/>
      <x:c r="FX179" s="100" t="n"/>
      <x:c r="FY179" s="100" t="n"/>
      <x:c r="FZ179" s="100" t="n"/>
      <x:c r="GA179" s="100" t="n"/>
      <x:c r="GB179" s="100" t="n"/>
      <x:c r="GC179" s="100" t="n"/>
      <x:c r="GD179" s="100" t="n"/>
      <x:c r="GE179" s="100" t="n"/>
      <x:c r="GF179" s="100" t="n"/>
    </x:row>
    <x:row r="180" s="27" customFormat="1">
      <x:c r="A180" s="38" t="n"/>
      <x:c r="B180" s="37" t="n"/>
      <x:c r="C180" s="36" t="n">
        <x:f>E180*D$5</x:f>
        <x:v>0</x:v>
      </x:c>
      <x:c r="D180" s="20" t="n"/>
      <x:c r="E180" s="36" t="n">
        <x:f>SUM(G180:HT180)</x:f>
        <x:v>0</x:v>
      </x:c>
      <x:c r="M180" s="100" t="n"/>
      <x:c r="N180" s="100" t="n"/>
      <x:c r="O180" s="100" t="n"/>
      <x:c r="P180" s="100" t="n"/>
      <x:c r="Q180" s="100" t="n"/>
      <x:c r="R180" s="100" t="n"/>
      <x:c r="S180" s="100" t="n"/>
      <x:c r="T180" s="100" t="n"/>
      <x:c r="U180" s="100" t="n"/>
      <x:c r="V180" s="100" t="n"/>
      <x:c r="W180" s="100" t="n"/>
      <x:c r="X180" s="100" t="n"/>
      <x:c r="Y180" s="100" t="n"/>
      <x:c r="Z180" s="100" t="n"/>
      <x:c r="AA180" s="100" t="n"/>
      <x:c r="AB180" s="100" t="n"/>
      <x:c r="AC180" s="100" t="n"/>
      <x:c r="AD180" s="100" t="n"/>
      <x:c r="AE180" s="100" t="n"/>
      <x:c r="AF180" s="100" t="n"/>
      <x:c r="AG180" s="100" t="n"/>
      <x:c r="AH180" s="100" t="n"/>
      <x:c r="AI180" s="100" t="n"/>
      <x:c r="AJ180" s="100" t="n"/>
      <x:c r="AK180" s="100" t="n"/>
      <x:c r="AL180" s="100" t="n"/>
      <x:c r="AM180" s="100" t="n"/>
      <x:c r="AN180" s="100" t="n"/>
      <x:c r="AO180" s="100" t="n"/>
      <x:c r="AP180" s="100" t="n"/>
      <x:c r="AQ180" s="100" t="n"/>
      <x:c r="AR180" s="100" t="n"/>
      <x:c r="AS180" s="100" t="n"/>
      <x:c r="AT180" s="100" t="n"/>
      <x:c r="AU180" s="100" t="n"/>
      <x:c r="AV180" s="100" t="n"/>
      <x:c r="AW180" s="100" t="n"/>
      <x:c r="AX180" s="100" t="n"/>
      <x:c r="AY180" s="100" t="n"/>
      <x:c r="AZ180" s="100" t="n"/>
      <x:c r="BA180" s="100" t="n"/>
      <x:c r="BB180" s="100" t="n"/>
      <x:c r="BC180" s="100" t="n"/>
      <x:c r="BD180" s="100" t="n"/>
      <x:c r="BE180" s="100" t="n"/>
      <x:c r="BF180" s="100" t="n"/>
      <x:c r="BG180" s="100" t="n"/>
      <x:c r="BH180" s="100" t="n"/>
      <x:c r="BI180" s="100" t="n"/>
      <x:c r="BJ180" s="100" t="n"/>
      <x:c r="BK180" s="100" t="n"/>
      <x:c r="BL180" s="100" t="n"/>
      <x:c r="BM180" s="100" t="n"/>
      <x:c r="BN180" s="100" t="n"/>
      <x:c r="BO180" s="100" t="n"/>
      <x:c r="BP180" s="100" t="n"/>
      <x:c r="BQ180" s="100" t="n"/>
      <x:c r="BR180" s="100" t="n"/>
      <x:c r="BS180" s="100" t="n"/>
      <x:c r="BT180" s="100" t="n"/>
      <x:c r="BU180" s="100" t="n"/>
      <x:c r="BV180" s="100" t="n"/>
      <x:c r="BW180" s="100" t="n"/>
      <x:c r="BX180" s="100" t="n"/>
      <x:c r="BY180" s="100" t="n"/>
      <x:c r="BZ180" s="100" t="n"/>
      <x:c r="CA180" s="100" t="n"/>
      <x:c r="CB180" s="100" t="n"/>
      <x:c r="CC180" s="100" t="n"/>
      <x:c r="CD180" s="100" t="n"/>
      <x:c r="CE180" s="100" t="n"/>
      <x:c r="CF180" s="100" t="n"/>
      <x:c r="CG180" s="100" t="n"/>
      <x:c r="CH180" s="100" t="n"/>
      <x:c r="CI180" s="100" t="n"/>
      <x:c r="CJ180" s="100" t="n"/>
      <x:c r="CK180" s="100" t="n"/>
      <x:c r="CL180" s="100" t="n"/>
      <x:c r="CM180" s="100" t="n"/>
      <x:c r="CN180" s="100" t="n"/>
      <x:c r="CO180" s="100" t="n"/>
      <x:c r="CP180" s="100" t="n"/>
      <x:c r="CQ180" s="100" t="n"/>
      <x:c r="CR180" s="100" t="n"/>
      <x:c r="CS180" s="100" t="n"/>
      <x:c r="CT180" s="100" t="n"/>
      <x:c r="CU180" s="100" t="n"/>
      <x:c r="CV180" s="100" t="n"/>
      <x:c r="CW180" s="100" t="n"/>
      <x:c r="CX180" s="100" t="n"/>
      <x:c r="CY180" s="100" t="n"/>
      <x:c r="CZ180" s="100" t="n"/>
      <x:c r="DA180" s="100" t="n"/>
      <x:c r="DB180" s="100" t="n"/>
      <x:c r="DC180" s="100" t="n"/>
      <x:c r="DD180" s="100" t="n"/>
      <x:c r="DE180" s="100" t="n"/>
      <x:c r="DF180" s="100" t="n"/>
      <x:c r="DG180" s="100" t="n"/>
      <x:c r="DH180" s="100" t="n"/>
      <x:c r="DI180" s="100" t="n"/>
      <x:c r="DJ180" s="100" t="n"/>
      <x:c r="DK180" s="100" t="n"/>
      <x:c r="DL180" s="100" t="n"/>
      <x:c r="DM180" s="100" t="n"/>
      <x:c r="DN180" s="100" t="n"/>
      <x:c r="DO180" s="100" t="n"/>
      <x:c r="DP180" s="100" t="n"/>
      <x:c r="DQ180" s="100" t="n"/>
      <x:c r="DR180" s="100" t="n"/>
      <x:c r="DS180" s="100" t="n"/>
      <x:c r="DT180" s="100" t="n"/>
      <x:c r="DU180" s="100" t="n"/>
      <x:c r="DV180" s="100" t="n"/>
      <x:c r="DW180" s="100" t="n"/>
      <x:c r="DX180" s="100" t="n"/>
      <x:c r="DY180" s="100" t="n"/>
      <x:c r="DZ180" s="100" t="n"/>
      <x:c r="EA180" s="100" t="n"/>
      <x:c r="EB180" s="100" t="n"/>
      <x:c r="EC180" s="100" t="n"/>
      <x:c r="ED180" s="100" t="n"/>
      <x:c r="EE180" s="100" t="n"/>
      <x:c r="EF180" s="100" t="n"/>
      <x:c r="EG180" s="100" t="n"/>
      <x:c r="EH180" s="100" t="n"/>
      <x:c r="EI180" s="100" t="n"/>
      <x:c r="EJ180" s="100" t="n"/>
      <x:c r="EK180" s="100" t="n"/>
      <x:c r="EL180" s="100" t="n"/>
      <x:c r="EM180" s="100" t="n"/>
      <x:c r="EN180" s="100" t="n"/>
      <x:c r="EO180" s="100" t="n"/>
      <x:c r="EP180" s="100" t="n"/>
      <x:c r="EQ180" s="100" t="n"/>
      <x:c r="ER180" s="100" t="n"/>
      <x:c r="ES180" s="100" t="n"/>
      <x:c r="ET180" s="100" t="n"/>
      <x:c r="EU180" s="100" t="n"/>
      <x:c r="EV180" s="100" t="n"/>
      <x:c r="EW180" s="100" t="n"/>
      <x:c r="EX180" s="100" t="n"/>
      <x:c r="EY180" s="100" t="n"/>
      <x:c r="EZ180" s="100" t="n"/>
      <x:c r="FA180" s="100" t="n"/>
      <x:c r="FB180" s="100" t="n"/>
      <x:c r="FC180" s="100" t="n"/>
      <x:c r="FD180" s="100" t="n"/>
      <x:c r="FE180" s="100" t="n"/>
      <x:c r="FF180" s="100" t="n"/>
      <x:c r="FG180" s="100" t="n"/>
      <x:c r="FH180" s="100" t="n"/>
      <x:c r="FI180" s="100" t="n"/>
      <x:c r="FJ180" s="100" t="n"/>
      <x:c r="FK180" s="100" t="n"/>
      <x:c r="FL180" s="100" t="n"/>
      <x:c r="FM180" s="100" t="n"/>
      <x:c r="FN180" s="100" t="n"/>
      <x:c r="FO180" s="100" t="n"/>
      <x:c r="FP180" s="100" t="n"/>
      <x:c r="FQ180" s="100" t="n"/>
      <x:c r="FR180" s="100" t="n"/>
      <x:c r="FS180" s="100" t="n"/>
      <x:c r="FT180" s="100" t="n"/>
      <x:c r="FU180" s="100" t="n"/>
      <x:c r="FV180" s="100" t="n"/>
      <x:c r="FW180" s="100" t="n"/>
      <x:c r="FX180" s="100" t="n"/>
      <x:c r="FY180" s="100" t="n"/>
      <x:c r="FZ180" s="100" t="n"/>
      <x:c r="GA180" s="100" t="n"/>
      <x:c r="GB180" s="100" t="n"/>
      <x:c r="GC180" s="100" t="n"/>
      <x:c r="GD180" s="100" t="n"/>
      <x:c r="GE180" s="100" t="n"/>
      <x:c r="GF180" s="100" t="n"/>
    </x:row>
    <x:row r="181" s="27" customFormat="1">
      <x:c r="A181" s="38" t="n"/>
      <x:c r="B181" s="37" t="n"/>
      <x:c r="C181" s="36" t="n">
        <x:f>E181*D$5</x:f>
        <x:v>0</x:v>
      </x:c>
      <x:c r="D181" s="20" t="n"/>
      <x:c r="E181" s="36" t="n">
        <x:f>SUM(G181:HT181)</x:f>
        <x:v>0</x:v>
      </x:c>
      <x:c r="M181" s="100" t="n"/>
      <x:c r="N181" s="100" t="n"/>
      <x:c r="O181" s="100" t="n"/>
      <x:c r="P181" s="100" t="n"/>
      <x:c r="Q181" s="100" t="n"/>
      <x:c r="R181" s="100" t="n"/>
      <x:c r="S181" s="100" t="n"/>
      <x:c r="T181" s="100" t="n"/>
      <x:c r="U181" s="100" t="n"/>
      <x:c r="V181" s="100" t="n"/>
      <x:c r="W181" s="100" t="n"/>
      <x:c r="X181" s="100" t="n"/>
      <x:c r="Y181" s="100" t="n"/>
      <x:c r="Z181" s="100" t="n"/>
      <x:c r="AA181" s="100" t="n"/>
      <x:c r="AB181" s="100" t="n"/>
      <x:c r="AC181" s="100" t="n"/>
      <x:c r="AD181" s="100" t="n"/>
      <x:c r="AE181" s="100" t="n"/>
      <x:c r="AF181" s="100" t="n"/>
      <x:c r="AG181" s="100" t="n"/>
      <x:c r="AH181" s="100" t="n"/>
      <x:c r="AI181" s="100" t="n"/>
      <x:c r="AJ181" s="100" t="n"/>
      <x:c r="AK181" s="100" t="n"/>
      <x:c r="AL181" s="100" t="n"/>
      <x:c r="AM181" s="100" t="n"/>
      <x:c r="AN181" s="100" t="n"/>
      <x:c r="AO181" s="100" t="n"/>
      <x:c r="AP181" s="100" t="n"/>
      <x:c r="AQ181" s="100" t="n"/>
      <x:c r="AR181" s="100" t="n"/>
      <x:c r="AS181" s="100" t="n"/>
      <x:c r="AT181" s="100" t="n"/>
      <x:c r="AU181" s="100" t="n"/>
      <x:c r="AV181" s="100" t="n"/>
      <x:c r="AW181" s="100" t="n"/>
      <x:c r="AX181" s="100" t="n"/>
      <x:c r="AY181" s="100" t="n"/>
      <x:c r="AZ181" s="100" t="n"/>
      <x:c r="BA181" s="100" t="n"/>
      <x:c r="BB181" s="100" t="n"/>
      <x:c r="BC181" s="100" t="n"/>
      <x:c r="BD181" s="100" t="n"/>
      <x:c r="BE181" s="100" t="n"/>
      <x:c r="BF181" s="100" t="n"/>
      <x:c r="BG181" s="100" t="n"/>
      <x:c r="BH181" s="100" t="n"/>
      <x:c r="BI181" s="100" t="n"/>
      <x:c r="BJ181" s="100" t="n"/>
      <x:c r="BK181" s="100" t="n"/>
      <x:c r="BL181" s="100" t="n"/>
      <x:c r="BM181" s="100" t="n"/>
      <x:c r="BN181" s="100" t="n"/>
      <x:c r="BO181" s="100" t="n"/>
      <x:c r="BP181" s="100" t="n"/>
      <x:c r="BQ181" s="100" t="n"/>
      <x:c r="BR181" s="100" t="n"/>
      <x:c r="BS181" s="100" t="n"/>
      <x:c r="BT181" s="100" t="n"/>
      <x:c r="BU181" s="100" t="n"/>
      <x:c r="BV181" s="100" t="n"/>
      <x:c r="BW181" s="100" t="n"/>
      <x:c r="BX181" s="100" t="n"/>
      <x:c r="BY181" s="100" t="n"/>
      <x:c r="BZ181" s="100" t="n"/>
      <x:c r="CA181" s="100" t="n"/>
      <x:c r="CB181" s="100" t="n"/>
      <x:c r="CC181" s="100" t="n"/>
      <x:c r="CD181" s="100" t="n"/>
      <x:c r="CE181" s="100" t="n"/>
      <x:c r="CF181" s="100" t="n"/>
      <x:c r="CG181" s="100" t="n"/>
      <x:c r="CH181" s="100" t="n"/>
      <x:c r="CI181" s="100" t="n"/>
      <x:c r="CJ181" s="100" t="n"/>
      <x:c r="CK181" s="100" t="n"/>
      <x:c r="CL181" s="100" t="n"/>
      <x:c r="CM181" s="100" t="n"/>
      <x:c r="CN181" s="100" t="n"/>
      <x:c r="CO181" s="100" t="n"/>
      <x:c r="CP181" s="100" t="n"/>
      <x:c r="CQ181" s="100" t="n"/>
      <x:c r="CR181" s="100" t="n"/>
      <x:c r="CS181" s="100" t="n"/>
      <x:c r="CT181" s="100" t="n"/>
      <x:c r="CU181" s="100" t="n"/>
      <x:c r="CV181" s="100" t="n"/>
      <x:c r="CW181" s="100" t="n"/>
      <x:c r="CX181" s="100" t="n"/>
      <x:c r="CY181" s="100" t="n"/>
      <x:c r="CZ181" s="100" t="n"/>
      <x:c r="DA181" s="100" t="n"/>
      <x:c r="DB181" s="100" t="n"/>
      <x:c r="DC181" s="100" t="n"/>
      <x:c r="DD181" s="100" t="n"/>
      <x:c r="DE181" s="100" t="n"/>
      <x:c r="DF181" s="100" t="n"/>
      <x:c r="DG181" s="100" t="n"/>
      <x:c r="DH181" s="100" t="n"/>
      <x:c r="DI181" s="100" t="n"/>
      <x:c r="DJ181" s="100" t="n"/>
      <x:c r="DK181" s="100" t="n"/>
      <x:c r="DL181" s="100" t="n"/>
      <x:c r="DM181" s="100" t="n"/>
      <x:c r="DN181" s="100" t="n"/>
      <x:c r="DO181" s="100" t="n"/>
      <x:c r="DP181" s="100" t="n"/>
      <x:c r="DQ181" s="100" t="n"/>
      <x:c r="DR181" s="100" t="n"/>
      <x:c r="DS181" s="100" t="n"/>
      <x:c r="DT181" s="100" t="n"/>
      <x:c r="DU181" s="100" t="n"/>
      <x:c r="DV181" s="100" t="n"/>
      <x:c r="DW181" s="100" t="n"/>
      <x:c r="DX181" s="100" t="n"/>
      <x:c r="DY181" s="100" t="n"/>
      <x:c r="DZ181" s="100" t="n"/>
      <x:c r="EA181" s="100" t="n"/>
      <x:c r="EB181" s="100" t="n"/>
      <x:c r="EC181" s="100" t="n"/>
      <x:c r="ED181" s="100" t="n"/>
      <x:c r="EE181" s="100" t="n"/>
      <x:c r="EF181" s="100" t="n"/>
      <x:c r="EG181" s="100" t="n"/>
      <x:c r="EH181" s="100" t="n"/>
      <x:c r="EI181" s="100" t="n"/>
      <x:c r="EJ181" s="100" t="n"/>
      <x:c r="EK181" s="100" t="n"/>
      <x:c r="EL181" s="100" t="n"/>
      <x:c r="EM181" s="100" t="n"/>
      <x:c r="EN181" s="100" t="n"/>
      <x:c r="EO181" s="100" t="n"/>
      <x:c r="EP181" s="100" t="n"/>
      <x:c r="EQ181" s="100" t="n"/>
      <x:c r="ER181" s="100" t="n"/>
      <x:c r="ES181" s="100" t="n"/>
      <x:c r="ET181" s="100" t="n"/>
      <x:c r="EU181" s="100" t="n"/>
      <x:c r="EV181" s="100" t="n"/>
      <x:c r="EW181" s="100" t="n"/>
      <x:c r="EX181" s="100" t="n"/>
      <x:c r="EY181" s="100" t="n"/>
      <x:c r="EZ181" s="100" t="n"/>
      <x:c r="FA181" s="100" t="n"/>
      <x:c r="FB181" s="100" t="n"/>
      <x:c r="FC181" s="100" t="n"/>
      <x:c r="FD181" s="100" t="n"/>
      <x:c r="FE181" s="100" t="n"/>
      <x:c r="FF181" s="100" t="n"/>
      <x:c r="FG181" s="100" t="n"/>
      <x:c r="FH181" s="100" t="n"/>
      <x:c r="FI181" s="100" t="n"/>
      <x:c r="FJ181" s="100" t="n"/>
      <x:c r="FK181" s="100" t="n"/>
      <x:c r="FL181" s="100" t="n"/>
      <x:c r="FM181" s="100" t="n"/>
      <x:c r="FN181" s="100" t="n"/>
      <x:c r="FO181" s="100" t="n"/>
      <x:c r="FP181" s="100" t="n"/>
      <x:c r="FQ181" s="100" t="n"/>
      <x:c r="FR181" s="100" t="n"/>
      <x:c r="FS181" s="100" t="n"/>
      <x:c r="FT181" s="100" t="n"/>
      <x:c r="FU181" s="100" t="n"/>
      <x:c r="FV181" s="100" t="n"/>
      <x:c r="FW181" s="100" t="n"/>
      <x:c r="FX181" s="100" t="n"/>
      <x:c r="FY181" s="100" t="n"/>
      <x:c r="FZ181" s="100" t="n"/>
      <x:c r="GA181" s="100" t="n"/>
      <x:c r="GB181" s="100" t="n"/>
      <x:c r="GC181" s="100" t="n"/>
      <x:c r="GD181" s="100" t="n"/>
      <x:c r="GE181" s="100" t="n"/>
      <x:c r="GF181" s="100" t="n"/>
    </x:row>
    <x:row r="182" s="27" customFormat="1">
      <x:c r="A182" s="38" t="n"/>
      <x:c r="B182" s="37" t="n"/>
      <x:c r="C182" s="36" t="n">
        <x:f>E182*D$5</x:f>
        <x:v>0</x:v>
      </x:c>
      <x:c r="D182" s="20" t="n"/>
      <x:c r="E182" s="36" t="n">
        <x:f>SUM(G182:HT182)</x:f>
        <x:v>0</x:v>
      </x:c>
      <x:c r="M182" s="100" t="n"/>
      <x:c r="N182" s="100" t="n"/>
      <x:c r="O182" s="100" t="n"/>
      <x:c r="P182" s="100" t="n"/>
      <x:c r="Q182" s="100" t="n"/>
      <x:c r="R182" s="100" t="n"/>
      <x:c r="S182" s="100" t="n"/>
      <x:c r="T182" s="100" t="n"/>
      <x:c r="U182" s="100" t="n"/>
      <x:c r="V182" s="100" t="n"/>
      <x:c r="W182" s="100" t="n"/>
      <x:c r="X182" s="100" t="n"/>
      <x:c r="Y182" s="100" t="n"/>
      <x:c r="Z182" s="100" t="n"/>
      <x:c r="AA182" s="100" t="n"/>
      <x:c r="AB182" s="100" t="n"/>
      <x:c r="AC182" s="100" t="n"/>
      <x:c r="AD182" s="100" t="n"/>
      <x:c r="AE182" s="100" t="n"/>
      <x:c r="AF182" s="100" t="n"/>
      <x:c r="AG182" s="100" t="n"/>
      <x:c r="AH182" s="100" t="n"/>
      <x:c r="AI182" s="100" t="n"/>
      <x:c r="AJ182" s="100" t="n"/>
      <x:c r="AK182" s="100" t="n"/>
      <x:c r="AL182" s="100" t="n"/>
      <x:c r="AM182" s="100" t="n"/>
      <x:c r="AN182" s="100" t="n"/>
      <x:c r="AO182" s="100" t="n"/>
      <x:c r="AP182" s="100" t="n"/>
      <x:c r="AQ182" s="100" t="n"/>
      <x:c r="AR182" s="100" t="n"/>
      <x:c r="AS182" s="100" t="n"/>
      <x:c r="AT182" s="100" t="n"/>
      <x:c r="AU182" s="100" t="n"/>
      <x:c r="AV182" s="100" t="n"/>
      <x:c r="AW182" s="100" t="n"/>
      <x:c r="AX182" s="100" t="n"/>
      <x:c r="AY182" s="100" t="n"/>
      <x:c r="AZ182" s="100" t="n"/>
      <x:c r="BA182" s="100" t="n"/>
      <x:c r="BB182" s="100" t="n"/>
      <x:c r="BC182" s="100" t="n"/>
      <x:c r="BD182" s="100" t="n"/>
      <x:c r="BE182" s="100" t="n"/>
      <x:c r="BF182" s="100" t="n"/>
      <x:c r="BG182" s="100" t="n"/>
      <x:c r="BH182" s="100" t="n"/>
      <x:c r="BI182" s="100" t="n"/>
      <x:c r="BJ182" s="100" t="n"/>
      <x:c r="BK182" s="100" t="n"/>
      <x:c r="BL182" s="100" t="n"/>
      <x:c r="BM182" s="100" t="n"/>
      <x:c r="BN182" s="100" t="n"/>
      <x:c r="BO182" s="100" t="n"/>
      <x:c r="BP182" s="100" t="n"/>
      <x:c r="BQ182" s="100" t="n"/>
      <x:c r="BR182" s="100" t="n"/>
      <x:c r="BS182" s="100" t="n"/>
      <x:c r="BT182" s="100" t="n"/>
      <x:c r="BU182" s="100" t="n"/>
      <x:c r="BV182" s="100" t="n"/>
      <x:c r="BW182" s="100" t="n"/>
      <x:c r="BX182" s="100" t="n"/>
      <x:c r="BY182" s="100" t="n"/>
      <x:c r="BZ182" s="100" t="n"/>
      <x:c r="CA182" s="100" t="n"/>
      <x:c r="CB182" s="100" t="n"/>
      <x:c r="CC182" s="100" t="n"/>
      <x:c r="CD182" s="100" t="n"/>
      <x:c r="CE182" s="100" t="n"/>
      <x:c r="CF182" s="100" t="n"/>
      <x:c r="CG182" s="100" t="n"/>
      <x:c r="CH182" s="100" t="n"/>
      <x:c r="CI182" s="100" t="n"/>
      <x:c r="CJ182" s="100" t="n"/>
      <x:c r="CK182" s="100" t="n"/>
      <x:c r="CL182" s="100" t="n"/>
      <x:c r="CM182" s="100" t="n"/>
      <x:c r="CN182" s="100" t="n"/>
      <x:c r="CO182" s="100" t="n"/>
      <x:c r="CP182" s="100" t="n"/>
      <x:c r="CQ182" s="100" t="n"/>
      <x:c r="CR182" s="100" t="n"/>
      <x:c r="CS182" s="100" t="n"/>
      <x:c r="CT182" s="100" t="n"/>
      <x:c r="CU182" s="100" t="n"/>
      <x:c r="CV182" s="100" t="n"/>
      <x:c r="CW182" s="100" t="n"/>
      <x:c r="CX182" s="100" t="n"/>
      <x:c r="CY182" s="100" t="n"/>
      <x:c r="CZ182" s="100" t="n"/>
      <x:c r="DA182" s="100" t="n"/>
      <x:c r="DB182" s="100" t="n"/>
      <x:c r="DC182" s="100" t="n"/>
      <x:c r="DD182" s="100" t="n"/>
      <x:c r="DE182" s="100" t="n"/>
      <x:c r="DF182" s="100" t="n"/>
      <x:c r="DG182" s="100" t="n"/>
      <x:c r="DH182" s="100" t="n"/>
      <x:c r="DI182" s="100" t="n"/>
      <x:c r="DJ182" s="100" t="n"/>
      <x:c r="DK182" s="100" t="n"/>
      <x:c r="DL182" s="100" t="n"/>
      <x:c r="DM182" s="100" t="n"/>
      <x:c r="DN182" s="100" t="n"/>
      <x:c r="DO182" s="100" t="n"/>
      <x:c r="DP182" s="100" t="n"/>
      <x:c r="DQ182" s="100" t="n"/>
      <x:c r="DR182" s="100" t="n"/>
      <x:c r="DS182" s="100" t="n"/>
      <x:c r="DT182" s="100" t="n"/>
      <x:c r="DU182" s="100" t="n"/>
      <x:c r="DV182" s="100" t="n"/>
      <x:c r="DW182" s="100" t="n"/>
      <x:c r="DX182" s="100" t="n"/>
      <x:c r="DY182" s="100" t="n"/>
      <x:c r="DZ182" s="100" t="n"/>
      <x:c r="EA182" s="100" t="n"/>
      <x:c r="EB182" s="100" t="n"/>
      <x:c r="EC182" s="100" t="n"/>
      <x:c r="ED182" s="100" t="n"/>
      <x:c r="EE182" s="100" t="n"/>
      <x:c r="EF182" s="100" t="n"/>
      <x:c r="EG182" s="100" t="n"/>
      <x:c r="EH182" s="100" t="n"/>
      <x:c r="EI182" s="100" t="n"/>
      <x:c r="EJ182" s="100" t="n"/>
      <x:c r="EK182" s="100" t="n"/>
      <x:c r="EL182" s="100" t="n"/>
      <x:c r="EM182" s="100" t="n"/>
      <x:c r="EN182" s="100" t="n"/>
      <x:c r="EO182" s="100" t="n"/>
      <x:c r="EP182" s="100" t="n"/>
      <x:c r="EQ182" s="100" t="n"/>
      <x:c r="ER182" s="100" t="n"/>
      <x:c r="ES182" s="100" t="n"/>
      <x:c r="ET182" s="100" t="n"/>
      <x:c r="EU182" s="100" t="n"/>
      <x:c r="EV182" s="100" t="n"/>
      <x:c r="EW182" s="100" t="n"/>
      <x:c r="EX182" s="100" t="n"/>
      <x:c r="EY182" s="100" t="n"/>
      <x:c r="EZ182" s="100" t="n"/>
      <x:c r="FA182" s="100" t="n"/>
      <x:c r="FB182" s="100" t="n"/>
      <x:c r="FC182" s="100" t="n"/>
      <x:c r="FD182" s="100" t="n"/>
      <x:c r="FE182" s="100" t="n"/>
      <x:c r="FF182" s="100" t="n"/>
      <x:c r="FG182" s="100" t="n"/>
      <x:c r="FH182" s="100" t="n"/>
      <x:c r="FI182" s="100" t="n"/>
      <x:c r="FJ182" s="100" t="n"/>
      <x:c r="FK182" s="100" t="n"/>
      <x:c r="FL182" s="100" t="n"/>
      <x:c r="FM182" s="100" t="n"/>
      <x:c r="FN182" s="100" t="n"/>
      <x:c r="FO182" s="100" t="n"/>
      <x:c r="FP182" s="100" t="n"/>
      <x:c r="FQ182" s="100" t="n"/>
      <x:c r="FR182" s="100" t="n"/>
      <x:c r="FS182" s="100" t="n"/>
      <x:c r="FT182" s="100" t="n"/>
      <x:c r="FU182" s="100" t="n"/>
      <x:c r="FV182" s="100" t="n"/>
      <x:c r="FW182" s="100" t="n"/>
      <x:c r="FX182" s="100" t="n"/>
      <x:c r="FY182" s="100" t="n"/>
      <x:c r="FZ182" s="100" t="n"/>
      <x:c r="GA182" s="100" t="n"/>
      <x:c r="GB182" s="100" t="n"/>
      <x:c r="GC182" s="100" t="n"/>
      <x:c r="GD182" s="100" t="n"/>
      <x:c r="GE182" s="100" t="n"/>
      <x:c r="GF182" s="100" t="n"/>
    </x:row>
    <x:row r="183" s="27" customFormat="1">
      <x:c r="A183" s="38" t="n"/>
      <x:c r="B183" s="37" t="n"/>
      <x:c r="C183" s="36" t="n">
        <x:f>E183*D$5</x:f>
        <x:v>0</x:v>
      </x:c>
      <x:c r="D183" s="20" t="n"/>
      <x:c r="E183" s="36" t="n">
        <x:f>SUM(G183:HT183)</x:f>
        <x:v>0</x:v>
      </x:c>
      <x:c r="M183" s="100" t="n"/>
      <x:c r="N183" s="100" t="n"/>
      <x:c r="O183" s="100" t="n"/>
      <x:c r="P183" s="100" t="n"/>
      <x:c r="Q183" s="100" t="n"/>
      <x:c r="R183" s="100" t="n"/>
      <x:c r="S183" s="100" t="n"/>
      <x:c r="T183" s="100" t="n"/>
      <x:c r="U183" s="100" t="n"/>
      <x:c r="V183" s="100" t="n"/>
      <x:c r="W183" s="100" t="n"/>
      <x:c r="X183" s="100" t="n"/>
      <x:c r="Y183" s="100" t="n"/>
      <x:c r="Z183" s="100" t="n"/>
      <x:c r="AA183" s="100" t="n"/>
      <x:c r="AB183" s="100" t="n"/>
      <x:c r="AC183" s="100" t="n"/>
      <x:c r="AD183" s="100" t="n"/>
      <x:c r="AE183" s="100" t="n"/>
      <x:c r="AF183" s="100" t="n"/>
      <x:c r="AG183" s="100" t="n"/>
      <x:c r="AH183" s="100" t="n"/>
      <x:c r="AI183" s="100" t="n"/>
      <x:c r="AJ183" s="100" t="n"/>
      <x:c r="AK183" s="100" t="n"/>
      <x:c r="AL183" s="100" t="n"/>
      <x:c r="AM183" s="100" t="n"/>
      <x:c r="AN183" s="100" t="n"/>
      <x:c r="AO183" s="100" t="n"/>
      <x:c r="AP183" s="100" t="n"/>
      <x:c r="AQ183" s="100" t="n"/>
      <x:c r="AR183" s="100" t="n"/>
      <x:c r="AS183" s="100" t="n"/>
      <x:c r="AT183" s="100" t="n"/>
      <x:c r="AU183" s="100" t="n"/>
      <x:c r="AV183" s="100" t="n"/>
      <x:c r="AW183" s="100" t="n"/>
      <x:c r="AX183" s="100" t="n"/>
      <x:c r="AY183" s="100" t="n"/>
      <x:c r="AZ183" s="100" t="n"/>
      <x:c r="BA183" s="100" t="n"/>
      <x:c r="BB183" s="100" t="n"/>
      <x:c r="BC183" s="100" t="n"/>
      <x:c r="BD183" s="100" t="n"/>
      <x:c r="BE183" s="100" t="n"/>
      <x:c r="BF183" s="100" t="n"/>
      <x:c r="BG183" s="100" t="n"/>
      <x:c r="BH183" s="100" t="n"/>
      <x:c r="BI183" s="100" t="n"/>
      <x:c r="BJ183" s="100" t="n"/>
      <x:c r="BK183" s="100" t="n"/>
      <x:c r="BL183" s="100" t="n"/>
      <x:c r="BM183" s="100" t="n"/>
      <x:c r="BN183" s="100" t="n"/>
      <x:c r="BO183" s="100" t="n"/>
      <x:c r="BP183" s="100" t="n"/>
      <x:c r="BQ183" s="100" t="n"/>
      <x:c r="BR183" s="100" t="n"/>
      <x:c r="BS183" s="100" t="n"/>
      <x:c r="BT183" s="100" t="n"/>
      <x:c r="BU183" s="100" t="n"/>
      <x:c r="BV183" s="100" t="n"/>
      <x:c r="BW183" s="100" t="n"/>
      <x:c r="BX183" s="100" t="n"/>
      <x:c r="BY183" s="100" t="n"/>
      <x:c r="BZ183" s="100" t="n"/>
      <x:c r="CA183" s="100" t="n"/>
      <x:c r="CB183" s="100" t="n"/>
      <x:c r="CC183" s="100" t="n"/>
      <x:c r="CD183" s="100" t="n"/>
      <x:c r="CE183" s="100" t="n"/>
      <x:c r="CF183" s="100" t="n"/>
      <x:c r="CG183" s="100" t="n"/>
      <x:c r="CH183" s="100" t="n"/>
      <x:c r="CI183" s="100" t="n"/>
      <x:c r="CJ183" s="100" t="n"/>
      <x:c r="CK183" s="100" t="n"/>
      <x:c r="CL183" s="100" t="n"/>
      <x:c r="CM183" s="100" t="n"/>
      <x:c r="CN183" s="100" t="n"/>
      <x:c r="CO183" s="100" t="n"/>
      <x:c r="CP183" s="100" t="n"/>
      <x:c r="CQ183" s="100" t="n"/>
      <x:c r="CR183" s="100" t="n"/>
      <x:c r="CS183" s="100" t="n"/>
      <x:c r="CT183" s="100" t="n"/>
      <x:c r="CU183" s="100" t="n"/>
      <x:c r="CV183" s="100" t="n"/>
      <x:c r="CW183" s="100" t="n"/>
      <x:c r="CX183" s="100" t="n"/>
      <x:c r="CY183" s="100" t="n"/>
      <x:c r="CZ183" s="100" t="n"/>
      <x:c r="DA183" s="100" t="n"/>
      <x:c r="DB183" s="100" t="n"/>
      <x:c r="DC183" s="100" t="n"/>
      <x:c r="DD183" s="100" t="n"/>
      <x:c r="DE183" s="100" t="n"/>
      <x:c r="DF183" s="100" t="n"/>
      <x:c r="DG183" s="100" t="n"/>
      <x:c r="DH183" s="100" t="n"/>
      <x:c r="DI183" s="100" t="n"/>
      <x:c r="DJ183" s="100" t="n"/>
      <x:c r="DK183" s="100" t="n"/>
      <x:c r="DL183" s="100" t="n"/>
      <x:c r="DM183" s="100" t="n"/>
      <x:c r="DN183" s="100" t="n"/>
      <x:c r="DO183" s="100" t="n"/>
      <x:c r="DP183" s="100" t="n"/>
      <x:c r="DQ183" s="100" t="n"/>
      <x:c r="DR183" s="100" t="n"/>
      <x:c r="DS183" s="100" t="n"/>
      <x:c r="DT183" s="100" t="n"/>
      <x:c r="DU183" s="100" t="n"/>
      <x:c r="DV183" s="100" t="n"/>
      <x:c r="DW183" s="100" t="n"/>
      <x:c r="DX183" s="100" t="n"/>
      <x:c r="DY183" s="100" t="n"/>
      <x:c r="DZ183" s="100" t="n"/>
      <x:c r="EA183" s="100" t="n"/>
      <x:c r="EB183" s="100" t="n"/>
      <x:c r="EC183" s="100" t="n"/>
      <x:c r="ED183" s="100" t="n"/>
      <x:c r="EE183" s="100" t="n"/>
      <x:c r="EF183" s="100" t="n"/>
      <x:c r="EG183" s="100" t="n"/>
      <x:c r="EH183" s="100" t="n"/>
      <x:c r="EI183" s="100" t="n"/>
      <x:c r="EJ183" s="100" t="n"/>
      <x:c r="EK183" s="100" t="n"/>
      <x:c r="EL183" s="100" t="n"/>
      <x:c r="EM183" s="100" t="n"/>
      <x:c r="EN183" s="100" t="n"/>
      <x:c r="EO183" s="100" t="n"/>
      <x:c r="EP183" s="100" t="n"/>
      <x:c r="EQ183" s="100" t="n"/>
      <x:c r="ER183" s="100" t="n"/>
      <x:c r="ES183" s="100" t="n"/>
      <x:c r="ET183" s="100" t="n"/>
      <x:c r="EU183" s="100" t="n"/>
      <x:c r="EV183" s="100" t="n"/>
      <x:c r="EW183" s="100" t="n"/>
      <x:c r="EX183" s="100" t="n"/>
      <x:c r="EY183" s="100" t="n"/>
      <x:c r="EZ183" s="100" t="n"/>
      <x:c r="FA183" s="100" t="n"/>
      <x:c r="FB183" s="100" t="n"/>
      <x:c r="FC183" s="100" t="n"/>
      <x:c r="FD183" s="100" t="n"/>
      <x:c r="FE183" s="100" t="n"/>
      <x:c r="FF183" s="100" t="n"/>
      <x:c r="FG183" s="100" t="n"/>
      <x:c r="FH183" s="100" t="n"/>
      <x:c r="FI183" s="100" t="n"/>
      <x:c r="FJ183" s="100" t="n"/>
      <x:c r="FK183" s="100" t="n"/>
      <x:c r="FL183" s="100" t="n"/>
      <x:c r="FM183" s="100" t="n"/>
      <x:c r="FN183" s="100" t="n"/>
      <x:c r="FO183" s="100" t="n"/>
      <x:c r="FP183" s="100" t="n"/>
      <x:c r="FQ183" s="100" t="n"/>
      <x:c r="FR183" s="100" t="n"/>
      <x:c r="FS183" s="100" t="n"/>
      <x:c r="FT183" s="100" t="n"/>
      <x:c r="FU183" s="100" t="n"/>
      <x:c r="FV183" s="100" t="n"/>
      <x:c r="FW183" s="100" t="n"/>
      <x:c r="FX183" s="100" t="n"/>
      <x:c r="FY183" s="100" t="n"/>
      <x:c r="FZ183" s="100" t="n"/>
      <x:c r="GA183" s="100" t="n"/>
      <x:c r="GB183" s="100" t="n"/>
      <x:c r="GC183" s="100" t="n"/>
      <x:c r="GD183" s="100" t="n"/>
      <x:c r="GE183" s="100" t="n"/>
      <x:c r="GF183" s="100" t="n"/>
    </x:row>
    <x:row r="184" s="27" customFormat="1">
      <x:c r="A184" s="38" t="n"/>
      <x:c r="B184" s="37" t="n"/>
      <x:c r="C184" s="36" t="n">
        <x:f>E184*D$5</x:f>
        <x:v>0</x:v>
      </x:c>
      <x:c r="D184" s="20" t="n"/>
      <x:c r="E184" s="36" t="n">
        <x:f>SUM(G184:HT184)</x:f>
        <x:v>0</x:v>
      </x:c>
      <x:c r="M184" s="100" t="n"/>
      <x:c r="N184" s="100" t="n"/>
      <x:c r="O184" s="100" t="n"/>
      <x:c r="P184" s="100" t="n"/>
      <x:c r="Q184" s="100" t="n"/>
      <x:c r="R184" s="100" t="n"/>
      <x:c r="S184" s="100" t="n"/>
      <x:c r="T184" s="100" t="n"/>
      <x:c r="U184" s="100" t="n"/>
      <x:c r="V184" s="100" t="n"/>
      <x:c r="W184" s="100" t="n"/>
      <x:c r="X184" s="100" t="n"/>
      <x:c r="Y184" s="100" t="n"/>
      <x:c r="Z184" s="100" t="n"/>
      <x:c r="AA184" s="100" t="n"/>
      <x:c r="AB184" s="100" t="n"/>
      <x:c r="AC184" s="100" t="n"/>
      <x:c r="AD184" s="100" t="n"/>
      <x:c r="AE184" s="100" t="n"/>
      <x:c r="AF184" s="100" t="n"/>
      <x:c r="AG184" s="100" t="n"/>
      <x:c r="AH184" s="100" t="n"/>
      <x:c r="AI184" s="100" t="n"/>
      <x:c r="AJ184" s="100" t="n"/>
      <x:c r="AK184" s="100" t="n"/>
      <x:c r="AL184" s="100" t="n"/>
      <x:c r="AM184" s="100" t="n"/>
      <x:c r="AN184" s="100" t="n"/>
      <x:c r="AO184" s="100" t="n"/>
      <x:c r="AP184" s="100" t="n"/>
      <x:c r="AQ184" s="100" t="n"/>
      <x:c r="AR184" s="100" t="n"/>
      <x:c r="AS184" s="100" t="n"/>
      <x:c r="AT184" s="100" t="n"/>
      <x:c r="AU184" s="100" t="n"/>
      <x:c r="AV184" s="100" t="n"/>
      <x:c r="AW184" s="100" t="n"/>
      <x:c r="AX184" s="100" t="n"/>
      <x:c r="AY184" s="100" t="n"/>
      <x:c r="AZ184" s="100" t="n"/>
      <x:c r="BA184" s="100" t="n"/>
      <x:c r="BB184" s="100" t="n"/>
      <x:c r="BC184" s="100" t="n"/>
      <x:c r="BD184" s="100" t="n"/>
      <x:c r="BE184" s="100" t="n"/>
      <x:c r="BF184" s="100" t="n"/>
      <x:c r="BG184" s="100" t="n"/>
      <x:c r="BH184" s="100" t="n"/>
      <x:c r="BI184" s="100" t="n"/>
      <x:c r="BJ184" s="100" t="n"/>
      <x:c r="BK184" s="100" t="n"/>
      <x:c r="BL184" s="100" t="n"/>
      <x:c r="BM184" s="100" t="n"/>
      <x:c r="BN184" s="100" t="n"/>
      <x:c r="BO184" s="100" t="n"/>
      <x:c r="BP184" s="100" t="n"/>
      <x:c r="BQ184" s="100" t="n"/>
      <x:c r="BR184" s="100" t="n"/>
      <x:c r="BS184" s="100" t="n"/>
      <x:c r="BT184" s="100" t="n"/>
      <x:c r="BU184" s="100" t="n"/>
      <x:c r="BV184" s="100" t="n"/>
      <x:c r="BW184" s="100" t="n"/>
      <x:c r="BX184" s="100" t="n"/>
      <x:c r="BY184" s="100" t="n"/>
      <x:c r="BZ184" s="100" t="n"/>
      <x:c r="CA184" s="100" t="n"/>
      <x:c r="CB184" s="100" t="n"/>
      <x:c r="CC184" s="100" t="n"/>
      <x:c r="CD184" s="100" t="n"/>
      <x:c r="CE184" s="100" t="n"/>
      <x:c r="CF184" s="100" t="n"/>
      <x:c r="CG184" s="100" t="n"/>
      <x:c r="CH184" s="100" t="n"/>
      <x:c r="CI184" s="100" t="n"/>
      <x:c r="CJ184" s="100" t="n"/>
      <x:c r="CK184" s="100" t="n"/>
      <x:c r="CL184" s="100" t="n"/>
      <x:c r="CM184" s="100" t="n"/>
      <x:c r="CN184" s="100" t="n"/>
      <x:c r="CO184" s="100" t="n"/>
      <x:c r="CP184" s="100" t="n"/>
      <x:c r="CQ184" s="100" t="n"/>
      <x:c r="CR184" s="100" t="n"/>
      <x:c r="CS184" s="100" t="n"/>
      <x:c r="CT184" s="100" t="n"/>
      <x:c r="CU184" s="100" t="n"/>
      <x:c r="CV184" s="100" t="n"/>
      <x:c r="CW184" s="100" t="n"/>
      <x:c r="CX184" s="100" t="n"/>
      <x:c r="CY184" s="100" t="n"/>
      <x:c r="CZ184" s="100" t="n"/>
      <x:c r="DA184" s="100" t="n"/>
      <x:c r="DB184" s="100" t="n"/>
      <x:c r="DC184" s="100" t="n"/>
      <x:c r="DD184" s="100" t="n"/>
      <x:c r="DE184" s="100" t="n"/>
      <x:c r="DF184" s="100" t="n"/>
      <x:c r="DG184" s="100" t="n"/>
      <x:c r="DH184" s="100" t="n"/>
      <x:c r="DI184" s="100" t="n"/>
      <x:c r="DJ184" s="100" t="n"/>
      <x:c r="DK184" s="100" t="n"/>
      <x:c r="DL184" s="100" t="n"/>
      <x:c r="DM184" s="100" t="n"/>
      <x:c r="DN184" s="100" t="n"/>
      <x:c r="DO184" s="100" t="n"/>
      <x:c r="DP184" s="100" t="n"/>
      <x:c r="DQ184" s="100" t="n"/>
      <x:c r="DR184" s="100" t="n"/>
      <x:c r="DS184" s="100" t="n"/>
      <x:c r="DT184" s="100" t="n"/>
      <x:c r="DU184" s="100" t="n"/>
      <x:c r="DV184" s="100" t="n"/>
      <x:c r="DW184" s="100" t="n"/>
      <x:c r="DX184" s="100" t="n"/>
      <x:c r="DY184" s="100" t="n"/>
      <x:c r="DZ184" s="100" t="n"/>
      <x:c r="EA184" s="100" t="n"/>
      <x:c r="EB184" s="100" t="n"/>
      <x:c r="EC184" s="100" t="n"/>
      <x:c r="ED184" s="100" t="n"/>
      <x:c r="EE184" s="100" t="n"/>
      <x:c r="EF184" s="100" t="n"/>
      <x:c r="EG184" s="100" t="n"/>
      <x:c r="EH184" s="100" t="n"/>
      <x:c r="EI184" s="100" t="n"/>
      <x:c r="EJ184" s="100" t="n"/>
      <x:c r="EK184" s="100" t="n"/>
      <x:c r="EL184" s="100" t="n"/>
      <x:c r="EM184" s="100" t="n"/>
      <x:c r="EN184" s="100" t="n"/>
      <x:c r="EO184" s="100" t="n"/>
      <x:c r="EP184" s="100" t="n"/>
      <x:c r="EQ184" s="100" t="n"/>
      <x:c r="ER184" s="100" t="n"/>
      <x:c r="ES184" s="100" t="n"/>
      <x:c r="ET184" s="100" t="n"/>
      <x:c r="EU184" s="100" t="n"/>
      <x:c r="EV184" s="100" t="n"/>
      <x:c r="EW184" s="100" t="n"/>
      <x:c r="EX184" s="100" t="n"/>
      <x:c r="EY184" s="100" t="n"/>
      <x:c r="EZ184" s="100" t="n"/>
      <x:c r="FA184" s="100" t="n"/>
      <x:c r="FB184" s="100" t="n"/>
      <x:c r="FC184" s="100" t="n"/>
      <x:c r="FD184" s="100" t="n"/>
      <x:c r="FE184" s="100" t="n"/>
      <x:c r="FF184" s="100" t="n"/>
      <x:c r="FG184" s="100" t="n"/>
      <x:c r="FH184" s="100" t="n"/>
      <x:c r="FI184" s="100" t="n"/>
      <x:c r="FJ184" s="100" t="n"/>
      <x:c r="FK184" s="100" t="n"/>
      <x:c r="FL184" s="100" t="n"/>
      <x:c r="FM184" s="100" t="n"/>
      <x:c r="FN184" s="100" t="n"/>
      <x:c r="FO184" s="100" t="n"/>
      <x:c r="FP184" s="100" t="n"/>
      <x:c r="FQ184" s="100" t="n"/>
      <x:c r="FR184" s="100" t="n"/>
      <x:c r="FS184" s="100" t="n"/>
      <x:c r="FT184" s="100" t="n"/>
      <x:c r="FU184" s="100" t="n"/>
      <x:c r="FV184" s="100" t="n"/>
      <x:c r="FW184" s="100" t="n"/>
      <x:c r="FX184" s="100" t="n"/>
      <x:c r="FY184" s="100" t="n"/>
      <x:c r="FZ184" s="100" t="n"/>
      <x:c r="GA184" s="100" t="n"/>
      <x:c r="GB184" s="100" t="n"/>
      <x:c r="GC184" s="100" t="n"/>
      <x:c r="GD184" s="100" t="n"/>
      <x:c r="GE184" s="100" t="n"/>
      <x:c r="GF184" s="100" t="n"/>
    </x:row>
    <x:row r="185" s="27" customFormat="1">
      <x:c r="A185" s="38" t="n"/>
      <x:c r="B185" s="37" t="n"/>
      <x:c r="C185" s="36" t="n">
        <x:f>E185*D$5</x:f>
        <x:v>0</x:v>
      </x:c>
      <x:c r="D185" s="20" t="n"/>
      <x:c r="E185" s="36" t="n">
        <x:f>SUM(G185:HT185)</x:f>
        <x:v>0</x:v>
      </x:c>
      <x:c r="M185" s="100" t="n"/>
      <x:c r="N185" s="100" t="n"/>
      <x:c r="O185" s="100" t="n"/>
      <x:c r="P185" s="100" t="n"/>
      <x:c r="Q185" s="100" t="n"/>
      <x:c r="R185" s="100" t="n"/>
      <x:c r="S185" s="100" t="n"/>
      <x:c r="T185" s="100" t="n"/>
      <x:c r="U185" s="100" t="n"/>
      <x:c r="V185" s="100" t="n"/>
      <x:c r="W185" s="100" t="n"/>
      <x:c r="X185" s="100" t="n"/>
      <x:c r="Y185" s="100" t="n"/>
      <x:c r="Z185" s="100" t="n"/>
      <x:c r="AA185" s="100" t="n"/>
      <x:c r="AB185" s="100" t="n"/>
      <x:c r="AC185" s="100" t="n"/>
      <x:c r="AD185" s="100" t="n"/>
      <x:c r="AE185" s="100" t="n"/>
      <x:c r="AF185" s="100" t="n"/>
      <x:c r="AG185" s="100" t="n"/>
      <x:c r="AH185" s="100" t="n"/>
      <x:c r="AI185" s="100" t="n"/>
      <x:c r="AJ185" s="100" t="n"/>
      <x:c r="AK185" s="100" t="n"/>
      <x:c r="AL185" s="100" t="n"/>
      <x:c r="AM185" s="100" t="n"/>
      <x:c r="AN185" s="100" t="n"/>
      <x:c r="AO185" s="100" t="n"/>
      <x:c r="AP185" s="100" t="n"/>
      <x:c r="AQ185" s="100" t="n"/>
      <x:c r="AR185" s="100" t="n"/>
      <x:c r="AS185" s="100" t="n"/>
      <x:c r="AT185" s="100" t="n"/>
      <x:c r="AU185" s="100" t="n"/>
      <x:c r="AV185" s="100" t="n"/>
      <x:c r="AW185" s="100" t="n"/>
      <x:c r="AX185" s="100" t="n"/>
      <x:c r="AY185" s="100" t="n"/>
      <x:c r="AZ185" s="100" t="n"/>
      <x:c r="BA185" s="100" t="n"/>
      <x:c r="BB185" s="100" t="n"/>
      <x:c r="BC185" s="100" t="n"/>
      <x:c r="BD185" s="100" t="n"/>
      <x:c r="BE185" s="100" t="n"/>
      <x:c r="BF185" s="100" t="n"/>
      <x:c r="BG185" s="100" t="n"/>
      <x:c r="BH185" s="100" t="n"/>
      <x:c r="BI185" s="100" t="n"/>
      <x:c r="BJ185" s="100" t="n"/>
      <x:c r="BK185" s="100" t="n"/>
      <x:c r="BL185" s="100" t="n"/>
      <x:c r="BM185" s="100" t="n"/>
      <x:c r="BN185" s="100" t="n"/>
      <x:c r="BO185" s="100" t="n"/>
      <x:c r="BP185" s="100" t="n"/>
      <x:c r="BQ185" s="100" t="n"/>
      <x:c r="BR185" s="100" t="n"/>
      <x:c r="BS185" s="100" t="n"/>
      <x:c r="BT185" s="100" t="n"/>
      <x:c r="BU185" s="100" t="n"/>
      <x:c r="BV185" s="100" t="n"/>
      <x:c r="BW185" s="100" t="n"/>
      <x:c r="BX185" s="100" t="n"/>
      <x:c r="BY185" s="100" t="n"/>
      <x:c r="BZ185" s="100" t="n"/>
      <x:c r="CA185" s="100" t="n"/>
      <x:c r="CB185" s="100" t="n"/>
      <x:c r="CC185" s="100" t="n"/>
      <x:c r="CD185" s="100" t="n"/>
      <x:c r="CE185" s="100" t="n"/>
      <x:c r="CF185" s="100" t="n"/>
      <x:c r="CG185" s="100" t="n"/>
      <x:c r="CH185" s="100" t="n"/>
      <x:c r="CI185" s="100" t="n"/>
      <x:c r="CJ185" s="100" t="n"/>
      <x:c r="CK185" s="100" t="n"/>
      <x:c r="CL185" s="100" t="n"/>
      <x:c r="CM185" s="100" t="n"/>
      <x:c r="CN185" s="100" t="n"/>
      <x:c r="CO185" s="100" t="n"/>
      <x:c r="CP185" s="100" t="n"/>
      <x:c r="CQ185" s="100" t="n"/>
      <x:c r="CR185" s="100" t="n"/>
      <x:c r="CS185" s="100" t="n"/>
      <x:c r="CT185" s="100" t="n"/>
      <x:c r="CU185" s="100" t="n"/>
      <x:c r="CV185" s="100" t="n"/>
      <x:c r="CW185" s="100" t="n"/>
      <x:c r="CX185" s="100" t="n"/>
      <x:c r="CY185" s="100" t="n"/>
      <x:c r="CZ185" s="100" t="n"/>
      <x:c r="DA185" s="100" t="n"/>
      <x:c r="DB185" s="100" t="n"/>
      <x:c r="DC185" s="100" t="n"/>
      <x:c r="DD185" s="100" t="n"/>
      <x:c r="DE185" s="100" t="n"/>
      <x:c r="DF185" s="100" t="n"/>
      <x:c r="DG185" s="100" t="n"/>
      <x:c r="DH185" s="100" t="n"/>
      <x:c r="DI185" s="100" t="n"/>
      <x:c r="DJ185" s="100" t="n"/>
      <x:c r="DK185" s="100" t="n"/>
      <x:c r="DL185" s="100" t="n"/>
      <x:c r="DM185" s="100" t="n"/>
      <x:c r="DN185" s="100" t="n"/>
      <x:c r="DO185" s="100" t="n"/>
      <x:c r="DP185" s="100" t="n"/>
      <x:c r="DQ185" s="100" t="n"/>
      <x:c r="DR185" s="100" t="n"/>
      <x:c r="DS185" s="100" t="n"/>
      <x:c r="DT185" s="100" t="n"/>
      <x:c r="DU185" s="100" t="n"/>
      <x:c r="DV185" s="100" t="n"/>
      <x:c r="DW185" s="100" t="n"/>
      <x:c r="DX185" s="100" t="n"/>
      <x:c r="DY185" s="100" t="n"/>
      <x:c r="DZ185" s="100" t="n"/>
      <x:c r="EA185" s="100" t="n"/>
      <x:c r="EB185" s="100" t="n"/>
      <x:c r="EC185" s="100" t="n"/>
      <x:c r="ED185" s="100" t="n"/>
      <x:c r="EE185" s="100" t="n"/>
      <x:c r="EF185" s="100" t="n"/>
      <x:c r="EG185" s="100" t="n"/>
      <x:c r="EH185" s="100" t="n"/>
      <x:c r="EI185" s="100" t="n"/>
      <x:c r="EJ185" s="100" t="n"/>
      <x:c r="EK185" s="100" t="n"/>
      <x:c r="EL185" s="100" t="n"/>
      <x:c r="EM185" s="100" t="n"/>
      <x:c r="EN185" s="100" t="n"/>
      <x:c r="EO185" s="100" t="n"/>
      <x:c r="EP185" s="100" t="n"/>
      <x:c r="EQ185" s="100" t="n"/>
      <x:c r="ER185" s="100" t="n"/>
      <x:c r="ES185" s="100" t="n"/>
      <x:c r="ET185" s="100" t="n"/>
      <x:c r="EU185" s="100" t="n"/>
      <x:c r="EV185" s="100" t="n"/>
      <x:c r="EW185" s="100" t="n"/>
      <x:c r="EX185" s="100" t="n"/>
      <x:c r="EY185" s="100" t="n"/>
      <x:c r="EZ185" s="100" t="n"/>
      <x:c r="FA185" s="100" t="n"/>
      <x:c r="FB185" s="100" t="n"/>
      <x:c r="FC185" s="100" t="n"/>
      <x:c r="FD185" s="100" t="n"/>
      <x:c r="FE185" s="100" t="n"/>
      <x:c r="FF185" s="100" t="n"/>
      <x:c r="FG185" s="100" t="n"/>
      <x:c r="FH185" s="100" t="n"/>
      <x:c r="FI185" s="100" t="n"/>
      <x:c r="FJ185" s="100" t="n"/>
      <x:c r="FK185" s="100" t="n"/>
      <x:c r="FL185" s="100" t="n"/>
      <x:c r="FM185" s="100" t="n"/>
      <x:c r="FN185" s="100" t="n"/>
      <x:c r="FO185" s="100" t="n"/>
      <x:c r="FP185" s="100" t="n"/>
      <x:c r="FQ185" s="100" t="n"/>
      <x:c r="FR185" s="100" t="n"/>
      <x:c r="FS185" s="100" t="n"/>
      <x:c r="FT185" s="100" t="n"/>
      <x:c r="FU185" s="100" t="n"/>
      <x:c r="FV185" s="100" t="n"/>
      <x:c r="FW185" s="100" t="n"/>
      <x:c r="FX185" s="100" t="n"/>
      <x:c r="FY185" s="100" t="n"/>
      <x:c r="FZ185" s="100" t="n"/>
      <x:c r="GA185" s="100" t="n"/>
      <x:c r="GB185" s="100" t="n"/>
      <x:c r="GC185" s="100" t="n"/>
      <x:c r="GD185" s="100" t="n"/>
      <x:c r="GE185" s="100" t="n"/>
      <x:c r="GF185" s="100" t="n"/>
    </x:row>
    <x:row r="186" s="27" customFormat="1">
      <x:c r="A186" s="38" t="n"/>
      <x:c r="B186" s="37" t="n"/>
      <x:c r="C186" s="36" t="n">
        <x:f>E186*D$5</x:f>
        <x:v>0</x:v>
      </x:c>
      <x:c r="D186" s="20" t="n"/>
      <x:c r="E186" s="36" t="n">
        <x:f>SUM(G186:HT186)</x:f>
        <x:v>0</x:v>
      </x:c>
      <x:c r="M186" s="100" t="n"/>
      <x:c r="N186" s="100" t="n"/>
      <x:c r="O186" s="100" t="n"/>
      <x:c r="P186" s="100" t="n"/>
      <x:c r="Q186" s="100" t="n"/>
      <x:c r="R186" s="100" t="n"/>
      <x:c r="S186" s="100" t="n"/>
      <x:c r="T186" s="100" t="n"/>
      <x:c r="U186" s="100" t="n"/>
      <x:c r="V186" s="100" t="n"/>
      <x:c r="W186" s="100" t="n"/>
      <x:c r="X186" s="100" t="n"/>
      <x:c r="Y186" s="100" t="n"/>
      <x:c r="Z186" s="100" t="n"/>
      <x:c r="AA186" s="100" t="n"/>
      <x:c r="AB186" s="100" t="n"/>
      <x:c r="AC186" s="100" t="n"/>
      <x:c r="AD186" s="100" t="n"/>
      <x:c r="AE186" s="100" t="n"/>
      <x:c r="AF186" s="100" t="n"/>
      <x:c r="AG186" s="100" t="n"/>
      <x:c r="AH186" s="100" t="n"/>
      <x:c r="AI186" s="100" t="n"/>
      <x:c r="AJ186" s="100" t="n"/>
      <x:c r="AK186" s="100" t="n"/>
      <x:c r="AL186" s="100" t="n"/>
      <x:c r="AM186" s="100" t="n"/>
      <x:c r="AN186" s="100" t="n"/>
      <x:c r="AO186" s="100" t="n"/>
      <x:c r="AP186" s="100" t="n"/>
      <x:c r="AQ186" s="100" t="n"/>
      <x:c r="AR186" s="100" t="n"/>
      <x:c r="AS186" s="100" t="n"/>
      <x:c r="AT186" s="100" t="n"/>
      <x:c r="AU186" s="100" t="n"/>
      <x:c r="AV186" s="100" t="n"/>
      <x:c r="AW186" s="100" t="n"/>
      <x:c r="AX186" s="100" t="n"/>
      <x:c r="AY186" s="100" t="n"/>
      <x:c r="AZ186" s="100" t="n"/>
      <x:c r="BA186" s="100" t="n"/>
      <x:c r="BB186" s="100" t="n"/>
      <x:c r="BC186" s="100" t="n"/>
      <x:c r="BD186" s="100" t="n"/>
      <x:c r="BE186" s="100" t="n"/>
      <x:c r="BF186" s="100" t="n"/>
      <x:c r="BG186" s="100" t="n"/>
      <x:c r="BH186" s="100" t="n"/>
      <x:c r="BI186" s="100" t="n"/>
      <x:c r="BJ186" s="100" t="n"/>
      <x:c r="BK186" s="100" t="n"/>
      <x:c r="BL186" s="100" t="n"/>
      <x:c r="BM186" s="100" t="n"/>
      <x:c r="BN186" s="100" t="n"/>
      <x:c r="BO186" s="100" t="n"/>
      <x:c r="BP186" s="100" t="n"/>
      <x:c r="BQ186" s="100" t="n"/>
      <x:c r="BR186" s="100" t="n"/>
      <x:c r="BS186" s="100" t="n"/>
      <x:c r="BT186" s="100" t="n"/>
      <x:c r="BU186" s="100" t="n"/>
      <x:c r="BV186" s="100" t="n"/>
      <x:c r="BW186" s="100" t="n"/>
      <x:c r="BX186" s="100" t="n"/>
      <x:c r="BY186" s="100" t="n"/>
      <x:c r="BZ186" s="100" t="n"/>
      <x:c r="CA186" s="100" t="n"/>
      <x:c r="CB186" s="100" t="n"/>
      <x:c r="CC186" s="100" t="n"/>
      <x:c r="CD186" s="100" t="n"/>
      <x:c r="CE186" s="100" t="n"/>
      <x:c r="CF186" s="100" t="n"/>
      <x:c r="CG186" s="100" t="n"/>
      <x:c r="CH186" s="100" t="n"/>
      <x:c r="CI186" s="100" t="n"/>
      <x:c r="CJ186" s="100" t="n"/>
      <x:c r="CK186" s="100" t="n"/>
      <x:c r="CL186" s="100" t="n"/>
      <x:c r="CM186" s="100" t="n"/>
      <x:c r="CN186" s="100" t="n"/>
      <x:c r="CO186" s="100" t="n"/>
      <x:c r="CP186" s="100" t="n"/>
      <x:c r="CQ186" s="100" t="n"/>
      <x:c r="CR186" s="100" t="n"/>
      <x:c r="CS186" s="100" t="n"/>
      <x:c r="CT186" s="100" t="n"/>
      <x:c r="CU186" s="100" t="n"/>
      <x:c r="CV186" s="100" t="n"/>
      <x:c r="CW186" s="100" t="n"/>
      <x:c r="CX186" s="100" t="n"/>
      <x:c r="CY186" s="100" t="n"/>
      <x:c r="CZ186" s="100" t="n"/>
      <x:c r="DA186" s="100" t="n"/>
      <x:c r="DB186" s="100" t="n"/>
      <x:c r="DC186" s="100" t="n"/>
      <x:c r="DD186" s="100" t="n"/>
      <x:c r="DE186" s="100" t="n"/>
      <x:c r="DF186" s="100" t="n"/>
      <x:c r="DG186" s="100" t="n"/>
      <x:c r="DH186" s="100" t="n"/>
      <x:c r="DI186" s="100" t="n"/>
      <x:c r="DJ186" s="100" t="n"/>
      <x:c r="DK186" s="100" t="n"/>
      <x:c r="DL186" s="100" t="n"/>
      <x:c r="DM186" s="100" t="n"/>
      <x:c r="DN186" s="100" t="n"/>
      <x:c r="DO186" s="100" t="n"/>
      <x:c r="DP186" s="100" t="n"/>
      <x:c r="DQ186" s="100" t="n"/>
      <x:c r="DR186" s="100" t="n"/>
      <x:c r="DS186" s="100" t="n"/>
      <x:c r="DT186" s="100" t="n"/>
      <x:c r="DU186" s="100" t="n"/>
      <x:c r="DV186" s="100" t="n"/>
      <x:c r="DW186" s="100" t="n"/>
      <x:c r="DX186" s="100" t="n"/>
      <x:c r="DY186" s="100" t="n"/>
      <x:c r="DZ186" s="100" t="n"/>
      <x:c r="EA186" s="100" t="n"/>
      <x:c r="EB186" s="100" t="n"/>
      <x:c r="EC186" s="100" t="n"/>
      <x:c r="ED186" s="100" t="n"/>
      <x:c r="EE186" s="100" t="n"/>
      <x:c r="EF186" s="100" t="n"/>
      <x:c r="EG186" s="100" t="n"/>
      <x:c r="EH186" s="100" t="n"/>
      <x:c r="EI186" s="100" t="n"/>
      <x:c r="EJ186" s="100" t="n"/>
      <x:c r="EK186" s="100" t="n"/>
      <x:c r="EL186" s="100" t="n"/>
      <x:c r="EM186" s="100" t="n"/>
      <x:c r="EN186" s="100" t="n"/>
      <x:c r="EO186" s="100" t="n"/>
      <x:c r="EP186" s="100" t="n"/>
      <x:c r="EQ186" s="100" t="n"/>
      <x:c r="ER186" s="100" t="n"/>
      <x:c r="ES186" s="100" t="n"/>
      <x:c r="ET186" s="100" t="n"/>
      <x:c r="EU186" s="100" t="n"/>
      <x:c r="EV186" s="100" t="n"/>
      <x:c r="EW186" s="100" t="n"/>
      <x:c r="EX186" s="100" t="n"/>
      <x:c r="EY186" s="100" t="n"/>
      <x:c r="EZ186" s="100" t="n"/>
      <x:c r="FA186" s="100" t="n"/>
      <x:c r="FB186" s="100" t="n"/>
      <x:c r="FC186" s="100" t="n"/>
      <x:c r="FD186" s="100" t="n"/>
      <x:c r="FE186" s="100" t="n"/>
      <x:c r="FF186" s="100" t="n"/>
      <x:c r="FG186" s="100" t="n"/>
      <x:c r="FH186" s="100" t="n"/>
      <x:c r="FI186" s="100" t="n"/>
      <x:c r="FJ186" s="100" t="n"/>
      <x:c r="FK186" s="100" t="n"/>
      <x:c r="FL186" s="100" t="n"/>
      <x:c r="FM186" s="100" t="n"/>
      <x:c r="FN186" s="100" t="n"/>
      <x:c r="FO186" s="100" t="n"/>
      <x:c r="FP186" s="100" t="n"/>
      <x:c r="FQ186" s="100" t="n"/>
      <x:c r="FR186" s="100" t="n"/>
      <x:c r="FS186" s="100" t="n"/>
      <x:c r="FT186" s="100" t="n"/>
      <x:c r="FU186" s="100" t="n"/>
      <x:c r="FV186" s="100" t="n"/>
      <x:c r="FW186" s="100" t="n"/>
      <x:c r="FX186" s="100" t="n"/>
      <x:c r="FY186" s="100" t="n"/>
      <x:c r="FZ186" s="100" t="n"/>
      <x:c r="GA186" s="100" t="n"/>
      <x:c r="GB186" s="100" t="n"/>
      <x:c r="GC186" s="100" t="n"/>
      <x:c r="GD186" s="100" t="n"/>
      <x:c r="GE186" s="100" t="n"/>
      <x:c r="GF186" s="100" t="n"/>
    </x:row>
    <x:row r="187" s="27" customFormat="1">
      <x:c r="A187" s="38" t="n"/>
      <x:c r="B187" s="37" t="n"/>
      <x:c r="C187" s="36" t="n">
        <x:f>E187*D$5</x:f>
        <x:v>0</x:v>
      </x:c>
      <x:c r="D187" s="20" t="n"/>
      <x:c r="E187" s="36" t="n">
        <x:f>SUM(G187:HT187)</x:f>
        <x:v>0</x:v>
      </x:c>
      <x:c r="M187" s="100" t="n"/>
      <x:c r="N187" s="100" t="n"/>
      <x:c r="O187" s="100" t="n"/>
      <x:c r="P187" s="100" t="n"/>
      <x:c r="Q187" s="100" t="n"/>
      <x:c r="R187" s="100" t="n"/>
      <x:c r="S187" s="100" t="n"/>
      <x:c r="T187" s="100" t="n"/>
      <x:c r="U187" s="100" t="n"/>
      <x:c r="V187" s="100" t="n"/>
      <x:c r="W187" s="100" t="n"/>
      <x:c r="X187" s="100" t="n"/>
      <x:c r="Y187" s="100" t="n"/>
      <x:c r="Z187" s="100" t="n"/>
      <x:c r="AA187" s="100" t="n"/>
      <x:c r="AB187" s="100" t="n"/>
      <x:c r="AC187" s="100" t="n"/>
      <x:c r="AD187" s="100" t="n"/>
      <x:c r="AE187" s="100" t="n"/>
      <x:c r="AF187" s="100" t="n"/>
      <x:c r="AG187" s="100" t="n"/>
      <x:c r="AH187" s="100" t="n"/>
      <x:c r="AI187" s="100" t="n"/>
      <x:c r="AJ187" s="100" t="n"/>
      <x:c r="AK187" s="100" t="n"/>
      <x:c r="AL187" s="100" t="n"/>
      <x:c r="AM187" s="100" t="n"/>
      <x:c r="AN187" s="100" t="n"/>
      <x:c r="AO187" s="100" t="n"/>
      <x:c r="AP187" s="100" t="n"/>
      <x:c r="AQ187" s="100" t="n"/>
      <x:c r="AR187" s="100" t="n"/>
      <x:c r="AS187" s="100" t="n"/>
      <x:c r="AT187" s="100" t="n"/>
      <x:c r="AU187" s="100" t="n"/>
      <x:c r="AV187" s="100" t="n"/>
      <x:c r="AW187" s="100" t="n"/>
      <x:c r="AX187" s="100" t="n"/>
      <x:c r="AY187" s="100" t="n"/>
      <x:c r="AZ187" s="100" t="n"/>
      <x:c r="BA187" s="100" t="n"/>
      <x:c r="BB187" s="100" t="n"/>
      <x:c r="BC187" s="100" t="n"/>
      <x:c r="BD187" s="100" t="n"/>
      <x:c r="BE187" s="100" t="n"/>
      <x:c r="BF187" s="100" t="n"/>
      <x:c r="BG187" s="100" t="n"/>
      <x:c r="BH187" s="100" t="n"/>
      <x:c r="BI187" s="100" t="n"/>
      <x:c r="BJ187" s="100" t="n"/>
      <x:c r="BK187" s="100" t="n"/>
      <x:c r="BL187" s="100" t="n"/>
      <x:c r="BM187" s="100" t="n"/>
      <x:c r="BN187" s="100" t="n"/>
      <x:c r="BO187" s="100" t="n"/>
      <x:c r="BP187" s="100" t="n"/>
      <x:c r="BQ187" s="100" t="n"/>
      <x:c r="BR187" s="100" t="n"/>
      <x:c r="BS187" s="100" t="n"/>
      <x:c r="BT187" s="100" t="n"/>
      <x:c r="BU187" s="100" t="n"/>
      <x:c r="BV187" s="100" t="n"/>
      <x:c r="BW187" s="100" t="n"/>
      <x:c r="BX187" s="100" t="n"/>
      <x:c r="BY187" s="100" t="n"/>
      <x:c r="BZ187" s="100" t="n"/>
      <x:c r="CA187" s="100" t="n"/>
      <x:c r="CB187" s="100" t="n"/>
      <x:c r="CC187" s="100" t="n"/>
      <x:c r="CD187" s="100" t="n"/>
      <x:c r="CE187" s="100" t="n"/>
      <x:c r="CF187" s="100" t="n"/>
      <x:c r="CG187" s="100" t="n"/>
      <x:c r="CH187" s="100" t="n"/>
      <x:c r="CI187" s="100" t="n"/>
      <x:c r="CJ187" s="100" t="n"/>
      <x:c r="CK187" s="100" t="n"/>
      <x:c r="CL187" s="100" t="n"/>
      <x:c r="CM187" s="100" t="n"/>
      <x:c r="CN187" s="100" t="n"/>
      <x:c r="CO187" s="100" t="n"/>
      <x:c r="CP187" s="100" t="n"/>
      <x:c r="CQ187" s="100" t="n"/>
      <x:c r="CR187" s="100" t="n"/>
      <x:c r="CS187" s="100" t="n"/>
      <x:c r="CT187" s="100" t="n"/>
      <x:c r="CU187" s="100" t="n"/>
      <x:c r="CV187" s="100" t="n"/>
      <x:c r="CW187" s="100" t="n"/>
      <x:c r="CX187" s="100" t="n"/>
      <x:c r="CY187" s="100" t="n"/>
      <x:c r="CZ187" s="100" t="n"/>
      <x:c r="DA187" s="100" t="n"/>
      <x:c r="DB187" s="100" t="n"/>
      <x:c r="DC187" s="100" t="n"/>
      <x:c r="DD187" s="100" t="n"/>
      <x:c r="DE187" s="100" t="n"/>
      <x:c r="DF187" s="100" t="n"/>
      <x:c r="DG187" s="100" t="n"/>
      <x:c r="DH187" s="100" t="n"/>
      <x:c r="DI187" s="100" t="n"/>
      <x:c r="DJ187" s="100" t="n"/>
      <x:c r="DK187" s="100" t="n"/>
      <x:c r="DL187" s="100" t="n"/>
      <x:c r="DM187" s="100" t="n"/>
      <x:c r="DN187" s="100" t="n"/>
      <x:c r="DO187" s="100" t="n"/>
      <x:c r="DP187" s="100" t="n"/>
      <x:c r="DQ187" s="100" t="n"/>
      <x:c r="DR187" s="100" t="n"/>
      <x:c r="DS187" s="100" t="n"/>
      <x:c r="DT187" s="100" t="n"/>
      <x:c r="DU187" s="100" t="n"/>
      <x:c r="DV187" s="100" t="n"/>
      <x:c r="DW187" s="100" t="n"/>
      <x:c r="DX187" s="100" t="n"/>
      <x:c r="DY187" s="100" t="n"/>
      <x:c r="DZ187" s="100" t="n"/>
      <x:c r="EA187" s="100" t="n"/>
      <x:c r="EB187" s="100" t="n"/>
      <x:c r="EC187" s="100" t="n"/>
      <x:c r="ED187" s="100" t="n"/>
      <x:c r="EE187" s="100" t="n"/>
      <x:c r="EF187" s="100" t="n"/>
      <x:c r="EG187" s="100" t="n"/>
      <x:c r="EH187" s="100" t="n"/>
      <x:c r="EI187" s="100" t="n"/>
      <x:c r="EJ187" s="100" t="n"/>
      <x:c r="EK187" s="100" t="n"/>
      <x:c r="EL187" s="100" t="n"/>
      <x:c r="EM187" s="100" t="n"/>
      <x:c r="EN187" s="100" t="n"/>
      <x:c r="EO187" s="100" t="n"/>
      <x:c r="EP187" s="100" t="n"/>
      <x:c r="EQ187" s="100" t="n"/>
      <x:c r="ER187" s="100" t="n"/>
      <x:c r="ES187" s="100" t="n"/>
      <x:c r="ET187" s="100" t="n"/>
      <x:c r="EU187" s="100" t="n"/>
      <x:c r="EV187" s="100" t="n"/>
      <x:c r="EW187" s="100" t="n"/>
      <x:c r="EX187" s="100" t="n"/>
      <x:c r="EY187" s="100" t="n"/>
      <x:c r="EZ187" s="100" t="n"/>
      <x:c r="FA187" s="100" t="n"/>
      <x:c r="FB187" s="100" t="n"/>
      <x:c r="FC187" s="100" t="n"/>
      <x:c r="FD187" s="100" t="n"/>
      <x:c r="FE187" s="100" t="n"/>
      <x:c r="FF187" s="100" t="n"/>
      <x:c r="FG187" s="100" t="n"/>
      <x:c r="FH187" s="100" t="n"/>
      <x:c r="FI187" s="100" t="n"/>
      <x:c r="FJ187" s="100" t="n"/>
      <x:c r="FK187" s="100" t="n"/>
      <x:c r="FL187" s="100" t="n"/>
      <x:c r="FM187" s="100" t="n"/>
      <x:c r="FN187" s="100" t="n"/>
      <x:c r="FO187" s="100" t="n"/>
      <x:c r="FP187" s="100" t="n"/>
      <x:c r="FQ187" s="100" t="n"/>
      <x:c r="FR187" s="100" t="n"/>
      <x:c r="FS187" s="100" t="n"/>
      <x:c r="FT187" s="100" t="n"/>
      <x:c r="FU187" s="100" t="n"/>
      <x:c r="FV187" s="100" t="n"/>
      <x:c r="FW187" s="100" t="n"/>
      <x:c r="FX187" s="100" t="n"/>
      <x:c r="FY187" s="100" t="n"/>
      <x:c r="FZ187" s="100" t="n"/>
      <x:c r="GA187" s="100" t="n"/>
      <x:c r="GB187" s="100" t="n"/>
      <x:c r="GC187" s="100" t="n"/>
      <x:c r="GD187" s="100" t="n"/>
      <x:c r="GE187" s="100" t="n"/>
      <x:c r="GF187" s="100" t="n"/>
    </x:row>
    <x:row r="188" s="27" customFormat="1">
      <x:c r="A188" s="38" t="n"/>
      <x:c r="B188" s="37" t="n"/>
      <x:c r="C188" s="36" t="n">
        <x:f>E188*D$5</x:f>
        <x:v>0</x:v>
      </x:c>
      <x:c r="D188" s="20" t="n"/>
      <x:c r="E188" s="36" t="n">
        <x:f>SUM(G188:HT188)</x:f>
        <x:v>0</x:v>
      </x:c>
      <x:c r="M188" s="100" t="n"/>
      <x:c r="N188" s="100" t="n"/>
      <x:c r="O188" s="100" t="n"/>
      <x:c r="P188" s="100" t="n"/>
      <x:c r="Q188" s="100" t="n"/>
      <x:c r="R188" s="100" t="n"/>
      <x:c r="S188" s="100" t="n"/>
      <x:c r="T188" s="100" t="n"/>
      <x:c r="U188" s="100" t="n"/>
      <x:c r="V188" s="100" t="n"/>
      <x:c r="W188" s="100" t="n"/>
      <x:c r="X188" s="100" t="n"/>
      <x:c r="Y188" s="100" t="n"/>
      <x:c r="Z188" s="100" t="n"/>
      <x:c r="AA188" s="100" t="n"/>
      <x:c r="AB188" s="100" t="n"/>
      <x:c r="AC188" s="100" t="n"/>
      <x:c r="AD188" s="100" t="n"/>
      <x:c r="AE188" s="100" t="n"/>
      <x:c r="AF188" s="100" t="n"/>
      <x:c r="AG188" s="100" t="n"/>
      <x:c r="AH188" s="100" t="n"/>
      <x:c r="AI188" s="100" t="n"/>
      <x:c r="AJ188" s="100" t="n"/>
      <x:c r="AK188" s="100" t="n"/>
      <x:c r="AL188" s="100" t="n"/>
      <x:c r="AM188" s="100" t="n"/>
      <x:c r="AN188" s="100" t="n"/>
      <x:c r="AO188" s="100" t="n"/>
      <x:c r="AP188" s="100" t="n"/>
      <x:c r="AQ188" s="100" t="n"/>
      <x:c r="AR188" s="100" t="n"/>
      <x:c r="AS188" s="100" t="n"/>
      <x:c r="AT188" s="100" t="n"/>
      <x:c r="AU188" s="100" t="n"/>
      <x:c r="AV188" s="100" t="n"/>
      <x:c r="AW188" s="100" t="n"/>
      <x:c r="AX188" s="100" t="n"/>
      <x:c r="AY188" s="100" t="n"/>
      <x:c r="AZ188" s="100" t="n"/>
      <x:c r="BA188" s="100" t="n"/>
      <x:c r="BB188" s="100" t="n"/>
      <x:c r="BC188" s="100" t="n"/>
      <x:c r="BD188" s="100" t="n"/>
      <x:c r="BE188" s="100" t="n"/>
      <x:c r="BF188" s="100" t="n"/>
      <x:c r="BG188" s="100" t="n"/>
      <x:c r="BH188" s="100" t="n"/>
      <x:c r="BI188" s="100" t="n"/>
      <x:c r="BJ188" s="100" t="n"/>
      <x:c r="BK188" s="100" t="n"/>
      <x:c r="BL188" s="100" t="n"/>
      <x:c r="BM188" s="100" t="n"/>
      <x:c r="BN188" s="100" t="n"/>
      <x:c r="BO188" s="100" t="n"/>
      <x:c r="BP188" s="100" t="n"/>
      <x:c r="BQ188" s="100" t="n"/>
      <x:c r="BR188" s="100" t="n"/>
      <x:c r="BS188" s="100" t="n"/>
      <x:c r="BT188" s="100" t="n"/>
      <x:c r="BU188" s="100" t="n"/>
      <x:c r="BV188" s="100" t="n"/>
      <x:c r="BW188" s="100" t="n"/>
      <x:c r="BX188" s="100" t="n"/>
      <x:c r="BY188" s="100" t="n"/>
      <x:c r="BZ188" s="100" t="n"/>
      <x:c r="CA188" s="100" t="n"/>
      <x:c r="CB188" s="100" t="n"/>
      <x:c r="CC188" s="100" t="n"/>
      <x:c r="CD188" s="100" t="n"/>
      <x:c r="CE188" s="100" t="n"/>
      <x:c r="CF188" s="100" t="n"/>
      <x:c r="CG188" s="100" t="n"/>
      <x:c r="CH188" s="100" t="n"/>
      <x:c r="CI188" s="100" t="n"/>
      <x:c r="CJ188" s="100" t="n"/>
      <x:c r="CK188" s="100" t="n"/>
      <x:c r="CL188" s="100" t="n"/>
      <x:c r="CM188" s="100" t="n"/>
      <x:c r="CN188" s="100" t="n"/>
      <x:c r="CO188" s="100" t="n"/>
      <x:c r="CP188" s="100" t="n"/>
      <x:c r="CQ188" s="100" t="n"/>
      <x:c r="CR188" s="100" t="n"/>
      <x:c r="CS188" s="100" t="n"/>
      <x:c r="CT188" s="100" t="n"/>
      <x:c r="CU188" s="100" t="n"/>
      <x:c r="CV188" s="100" t="n"/>
      <x:c r="CW188" s="100" t="n"/>
      <x:c r="CX188" s="100" t="n"/>
      <x:c r="CY188" s="100" t="n"/>
      <x:c r="CZ188" s="100" t="n"/>
      <x:c r="DA188" s="100" t="n"/>
      <x:c r="DB188" s="100" t="n"/>
      <x:c r="DC188" s="100" t="n"/>
      <x:c r="DD188" s="100" t="n"/>
      <x:c r="DE188" s="100" t="n"/>
      <x:c r="DF188" s="100" t="n"/>
      <x:c r="DG188" s="100" t="n"/>
      <x:c r="DH188" s="100" t="n"/>
      <x:c r="DI188" s="100" t="n"/>
      <x:c r="DJ188" s="100" t="n"/>
      <x:c r="DK188" s="100" t="n"/>
      <x:c r="DL188" s="100" t="n"/>
      <x:c r="DM188" s="100" t="n"/>
      <x:c r="DN188" s="100" t="n"/>
      <x:c r="DO188" s="100" t="n"/>
      <x:c r="DP188" s="100" t="n"/>
      <x:c r="DQ188" s="100" t="n"/>
      <x:c r="DR188" s="100" t="n"/>
      <x:c r="DS188" s="100" t="n"/>
      <x:c r="DT188" s="100" t="n"/>
      <x:c r="DU188" s="100" t="n"/>
      <x:c r="DV188" s="100" t="n"/>
      <x:c r="DW188" s="100" t="n"/>
      <x:c r="DX188" s="100" t="n"/>
      <x:c r="DY188" s="100" t="n"/>
      <x:c r="DZ188" s="100" t="n"/>
      <x:c r="EA188" s="100" t="n"/>
      <x:c r="EB188" s="100" t="n"/>
      <x:c r="EC188" s="100" t="n"/>
      <x:c r="ED188" s="100" t="n"/>
      <x:c r="EE188" s="100" t="n"/>
      <x:c r="EF188" s="100" t="n"/>
      <x:c r="EG188" s="100" t="n"/>
      <x:c r="EH188" s="100" t="n"/>
      <x:c r="EI188" s="100" t="n"/>
      <x:c r="EJ188" s="100" t="n"/>
      <x:c r="EK188" s="100" t="n"/>
      <x:c r="EL188" s="100" t="n"/>
      <x:c r="EM188" s="100" t="n"/>
      <x:c r="EN188" s="100" t="n"/>
      <x:c r="EO188" s="100" t="n"/>
      <x:c r="EP188" s="100" t="n"/>
      <x:c r="EQ188" s="100" t="n"/>
      <x:c r="ER188" s="100" t="n"/>
      <x:c r="ES188" s="100" t="n"/>
      <x:c r="ET188" s="100" t="n"/>
      <x:c r="EU188" s="100" t="n"/>
      <x:c r="EV188" s="100" t="n"/>
      <x:c r="EW188" s="100" t="n"/>
      <x:c r="EX188" s="100" t="n"/>
      <x:c r="EY188" s="100" t="n"/>
      <x:c r="EZ188" s="100" t="n"/>
      <x:c r="FA188" s="100" t="n"/>
      <x:c r="FB188" s="100" t="n"/>
      <x:c r="FC188" s="100" t="n"/>
      <x:c r="FD188" s="100" t="n"/>
      <x:c r="FE188" s="100" t="n"/>
      <x:c r="FF188" s="100" t="n"/>
      <x:c r="FG188" s="100" t="n"/>
      <x:c r="FH188" s="100" t="n"/>
      <x:c r="FI188" s="100" t="n"/>
      <x:c r="FJ188" s="100" t="n"/>
      <x:c r="FK188" s="100" t="n"/>
      <x:c r="FL188" s="100" t="n"/>
      <x:c r="FM188" s="100" t="n"/>
      <x:c r="FN188" s="100" t="n"/>
      <x:c r="FO188" s="100" t="n"/>
      <x:c r="FP188" s="100" t="n"/>
      <x:c r="FQ188" s="100" t="n"/>
      <x:c r="FR188" s="100" t="n"/>
      <x:c r="FS188" s="100" t="n"/>
      <x:c r="FT188" s="100" t="n"/>
      <x:c r="FU188" s="100" t="n"/>
      <x:c r="FV188" s="100" t="n"/>
      <x:c r="FW188" s="100" t="n"/>
      <x:c r="FX188" s="100" t="n"/>
      <x:c r="FY188" s="100" t="n"/>
      <x:c r="FZ188" s="100" t="n"/>
      <x:c r="GA188" s="100" t="n"/>
      <x:c r="GB188" s="100" t="n"/>
      <x:c r="GC188" s="100" t="n"/>
      <x:c r="GD188" s="100" t="n"/>
      <x:c r="GE188" s="100" t="n"/>
      <x:c r="GF188" s="100" t="n"/>
    </x:row>
    <x:row r="189" s="27" customFormat="1">
      <x:c r="A189" s="38" t="n"/>
      <x:c r="B189" s="37" t="n"/>
      <x:c r="C189" s="36" t="n">
        <x:f>E189*D$5</x:f>
        <x:v>0</x:v>
      </x:c>
      <x:c r="D189" s="20" t="n"/>
      <x:c r="E189" s="36" t="n">
        <x:f>SUM(G189:HT189)</x:f>
        <x:v>0</x:v>
      </x:c>
      <x:c r="M189" s="100" t="n"/>
      <x:c r="N189" s="100" t="n"/>
      <x:c r="O189" s="100" t="n"/>
      <x:c r="P189" s="100" t="n"/>
      <x:c r="Q189" s="100" t="n"/>
      <x:c r="R189" s="100" t="n"/>
      <x:c r="S189" s="100" t="n"/>
      <x:c r="T189" s="100" t="n"/>
      <x:c r="U189" s="100" t="n"/>
      <x:c r="V189" s="100" t="n"/>
      <x:c r="W189" s="100" t="n"/>
      <x:c r="X189" s="100" t="n"/>
      <x:c r="Y189" s="100" t="n"/>
      <x:c r="Z189" s="100" t="n"/>
      <x:c r="AA189" s="100" t="n"/>
      <x:c r="AB189" s="100" t="n"/>
      <x:c r="AC189" s="100" t="n"/>
      <x:c r="AD189" s="100" t="n"/>
      <x:c r="AE189" s="100" t="n"/>
      <x:c r="AF189" s="100" t="n"/>
      <x:c r="AG189" s="100" t="n"/>
      <x:c r="AH189" s="100" t="n"/>
      <x:c r="AI189" s="100" t="n"/>
      <x:c r="AJ189" s="100" t="n"/>
      <x:c r="AK189" s="100" t="n"/>
      <x:c r="AL189" s="100" t="n"/>
      <x:c r="AM189" s="100" t="n"/>
      <x:c r="AN189" s="100" t="n"/>
      <x:c r="AO189" s="100" t="n"/>
      <x:c r="AP189" s="100" t="n"/>
      <x:c r="AQ189" s="100" t="n"/>
      <x:c r="AR189" s="100" t="n"/>
      <x:c r="AS189" s="100" t="n"/>
      <x:c r="AT189" s="100" t="n"/>
      <x:c r="AU189" s="100" t="n"/>
      <x:c r="AV189" s="100" t="n"/>
      <x:c r="AW189" s="100" t="n"/>
      <x:c r="AX189" s="100" t="n"/>
      <x:c r="AY189" s="100" t="n"/>
      <x:c r="AZ189" s="100" t="n"/>
      <x:c r="BA189" s="100" t="n"/>
      <x:c r="BB189" s="100" t="n"/>
      <x:c r="BC189" s="100" t="n"/>
      <x:c r="BD189" s="100" t="n"/>
      <x:c r="BE189" s="100" t="n"/>
      <x:c r="BF189" s="100" t="n"/>
      <x:c r="BG189" s="100" t="n"/>
      <x:c r="BH189" s="100" t="n"/>
      <x:c r="BI189" s="100" t="n"/>
      <x:c r="BJ189" s="100" t="n"/>
      <x:c r="BK189" s="100" t="n"/>
      <x:c r="BL189" s="100" t="n"/>
      <x:c r="BM189" s="100" t="n"/>
      <x:c r="BN189" s="100" t="n"/>
      <x:c r="BO189" s="100" t="n"/>
      <x:c r="BP189" s="100" t="n"/>
      <x:c r="BQ189" s="100" t="n"/>
      <x:c r="BR189" s="100" t="n"/>
      <x:c r="BS189" s="100" t="n"/>
      <x:c r="BT189" s="100" t="n"/>
      <x:c r="BU189" s="100" t="n"/>
      <x:c r="BV189" s="100" t="n"/>
      <x:c r="BW189" s="100" t="n"/>
      <x:c r="BX189" s="100" t="n"/>
      <x:c r="BY189" s="100" t="n"/>
      <x:c r="BZ189" s="100" t="n"/>
      <x:c r="CA189" s="100" t="n"/>
      <x:c r="CB189" s="100" t="n"/>
      <x:c r="CC189" s="100" t="n"/>
      <x:c r="CD189" s="100" t="n"/>
      <x:c r="CE189" s="100" t="n"/>
      <x:c r="CF189" s="100" t="n"/>
      <x:c r="CG189" s="100" t="n"/>
      <x:c r="CH189" s="100" t="n"/>
      <x:c r="CI189" s="100" t="n"/>
      <x:c r="CJ189" s="100" t="n"/>
      <x:c r="CK189" s="100" t="n"/>
      <x:c r="CL189" s="100" t="n"/>
      <x:c r="CM189" s="100" t="n"/>
      <x:c r="CN189" s="100" t="n"/>
      <x:c r="CO189" s="100" t="n"/>
      <x:c r="CP189" s="100" t="n"/>
      <x:c r="CQ189" s="100" t="n"/>
      <x:c r="CR189" s="100" t="n"/>
      <x:c r="CS189" s="100" t="n"/>
      <x:c r="CT189" s="100" t="n"/>
      <x:c r="CU189" s="100" t="n"/>
      <x:c r="CV189" s="100" t="n"/>
      <x:c r="CW189" s="100" t="n"/>
      <x:c r="CX189" s="100" t="n"/>
      <x:c r="CY189" s="100" t="n"/>
      <x:c r="CZ189" s="100" t="n"/>
      <x:c r="DA189" s="100" t="n"/>
      <x:c r="DB189" s="100" t="n"/>
      <x:c r="DC189" s="100" t="n"/>
      <x:c r="DD189" s="100" t="n"/>
      <x:c r="DE189" s="100" t="n"/>
      <x:c r="DF189" s="100" t="n"/>
      <x:c r="DG189" s="100" t="n"/>
      <x:c r="DH189" s="100" t="n"/>
      <x:c r="DI189" s="100" t="n"/>
      <x:c r="DJ189" s="100" t="n"/>
      <x:c r="DK189" s="100" t="n"/>
      <x:c r="DL189" s="100" t="n"/>
      <x:c r="DM189" s="100" t="n"/>
      <x:c r="DN189" s="100" t="n"/>
      <x:c r="DO189" s="100" t="n"/>
      <x:c r="DP189" s="100" t="n"/>
      <x:c r="DQ189" s="100" t="n"/>
      <x:c r="DR189" s="100" t="n"/>
      <x:c r="DS189" s="100" t="n"/>
      <x:c r="DT189" s="100" t="n"/>
      <x:c r="DU189" s="100" t="n"/>
      <x:c r="DV189" s="100" t="n"/>
      <x:c r="DW189" s="100" t="n"/>
      <x:c r="DX189" s="100" t="n"/>
      <x:c r="DY189" s="100" t="n"/>
      <x:c r="DZ189" s="100" t="n"/>
      <x:c r="EA189" s="100" t="n"/>
      <x:c r="EB189" s="100" t="n"/>
      <x:c r="EC189" s="100" t="n"/>
      <x:c r="ED189" s="100" t="n"/>
      <x:c r="EE189" s="100" t="n"/>
      <x:c r="EF189" s="100" t="n"/>
      <x:c r="EG189" s="100" t="n"/>
      <x:c r="EH189" s="100" t="n"/>
      <x:c r="EI189" s="100" t="n"/>
      <x:c r="EJ189" s="100" t="n"/>
      <x:c r="EK189" s="100" t="n"/>
      <x:c r="EL189" s="100" t="n"/>
      <x:c r="EM189" s="100" t="n"/>
      <x:c r="EN189" s="100" t="n"/>
      <x:c r="EO189" s="100" t="n"/>
      <x:c r="EP189" s="100" t="n"/>
      <x:c r="EQ189" s="100" t="n"/>
      <x:c r="ER189" s="100" t="n"/>
      <x:c r="ES189" s="100" t="n"/>
      <x:c r="ET189" s="100" t="n"/>
      <x:c r="EU189" s="100" t="n"/>
      <x:c r="EV189" s="100" t="n"/>
      <x:c r="EW189" s="100" t="n"/>
      <x:c r="EX189" s="100" t="n"/>
      <x:c r="EY189" s="100" t="n"/>
      <x:c r="EZ189" s="100" t="n"/>
      <x:c r="FA189" s="100" t="n"/>
      <x:c r="FB189" s="100" t="n"/>
      <x:c r="FC189" s="100" t="n"/>
      <x:c r="FD189" s="100" t="n"/>
      <x:c r="FE189" s="100" t="n"/>
      <x:c r="FF189" s="100" t="n"/>
      <x:c r="FG189" s="100" t="n"/>
      <x:c r="FH189" s="100" t="n"/>
      <x:c r="FI189" s="100" t="n"/>
      <x:c r="FJ189" s="100" t="n"/>
      <x:c r="FK189" s="100" t="n"/>
      <x:c r="FL189" s="100" t="n"/>
      <x:c r="FM189" s="100" t="n"/>
      <x:c r="FN189" s="100" t="n"/>
      <x:c r="FO189" s="100" t="n"/>
      <x:c r="FP189" s="100" t="n"/>
      <x:c r="FQ189" s="100" t="n"/>
      <x:c r="FR189" s="100" t="n"/>
      <x:c r="FS189" s="100" t="n"/>
      <x:c r="FT189" s="100" t="n"/>
      <x:c r="FU189" s="100" t="n"/>
      <x:c r="FV189" s="100" t="n"/>
      <x:c r="FW189" s="100" t="n"/>
      <x:c r="FX189" s="100" t="n"/>
      <x:c r="FY189" s="100" t="n"/>
      <x:c r="FZ189" s="100" t="n"/>
      <x:c r="GA189" s="100" t="n"/>
      <x:c r="GB189" s="100" t="n"/>
      <x:c r="GC189" s="100" t="n"/>
      <x:c r="GD189" s="100" t="n"/>
      <x:c r="GE189" s="100" t="n"/>
      <x:c r="GF189" s="100" t="n"/>
    </x:row>
    <x:row r="190" s="27" customFormat="1">
      <x:c r="A190" s="38" t="n"/>
      <x:c r="B190" s="37" t="n"/>
      <x:c r="C190" s="36" t="n">
        <x:f>E190*D$5</x:f>
        <x:v>0</x:v>
      </x:c>
      <x:c r="D190" s="20" t="n"/>
      <x:c r="E190" s="36" t="n">
        <x:f>SUM(G190:HT190)</x:f>
        <x:v>0</x:v>
      </x:c>
      <x:c r="M190" s="100" t="n"/>
      <x:c r="N190" s="100" t="n"/>
      <x:c r="O190" s="100" t="n"/>
      <x:c r="P190" s="100" t="n"/>
      <x:c r="Q190" s="100" t="n"/>
      <x:c r="R190" s="100" t="n"/>
      <x:c r="S190" s="100" t="n"/>
      <x:c r="T190" s="100" t="n"/>
      <x:c r="U190" s="100" t="n"/>
      <x:c r="V190" s="100" t="n"/>
      <x:c r="W190" s="100" t="n"/>
      <x:c r="X190" s="100" t="n"/>
      <x:c r="Y190" s="100" t="n"/>
      <x:c r="Z190" s="100" t="n"/>
      <x:c r="AA190" s="100" t="n"/>
      <x:c r="AB190" s="100" t="n"/>
      <x:c r="AC190" s="100" t="n"/>
      <x:c r="AD190" s="100" t="n"/>
      <x:c r="AE190" s="100" t="n"/>
      <x:c r="AF190" s="100" t="n"/>
      <x:c r="AG190" s="100" t="n"/>
      <x:c r="AH190" s="100" t="n"/>
      <x:c r="AI190" s="100" t="n"/>
      <x:c r="AJ190" s="100" t="n"/>
      <x:c r="AK190" s="100" t="n"/>
      <x:c r="AL190" s="100" t="n"/>
      <x:c r="AM190" s="100" t="n"/>
      <x:c r="AN190" s="100" t="n"/>
      <x:c r="AO190" s="100" t="n"/>
      <x:c r="AP190" s="100" t="n"/>
      <x:c r="AQ190" s="100" t="n"/>
      <x:c r="AR190" s="100" t="n"/>
      <x:c r="AS190" s="100" t="n"/>
      <x:c r="AT190" s="100" t="n"/>
      <x:c r="AU190" s="100" t="n"/>
      <x:c r="AV190" s="100" t="n"/>
      <x:c r="AW190" s="100" t="n"/>
      <x:c r="AX190" s="100" t="n"/>
      <x:c r="AY190" s="100" t="n"/>
      <x:c r="AZ190" s="100" t="n"/>
      <x:c r="BA190" s="100" t="n"/>
      <x:c r="BB190" s="100" t="n"/>
      <x:c r="BC190" s="100" t="n"/>
      <x:c r="BD190" s="100" t="n"/>
      <x:c r="BE190" s="100" t="n"/>
      <x:c r="BF190" s="100" t="n"/>
      <x:c r="BG190" s="100" t="n"/>
      <x:c r="BH190" s="100" t="n"/>
      <x:c r="BI190" s="100" t="n"/>
      <x:c r="BJ190" s="100" t="n"/>
      <x:c r="BK190" s="100" t="n"/>
      <x:c r="BL190" s="100" t="n"/>
      <x:c r="BM190" s="100" t="n"/>
      <x:c r="BN190" s="100" t="n"/>
      <x:c r="BO190" s="100" t="n"/>
      <x:c r="BP190" s="100" t="n"/>
      <x:c r="BQ190" s="100" t="n"/>
      <x:c r="BR190" s="100" t="n"/>
      <x:c r="BS190" s="100" t="n"/>
      <x:c r="BT190" s="100" t="n"/>
      <x:c r="BU190" s="100" t="n"/>
      <x:c r="BV190" s="100" t="n"/>
      <x:c r="BW190" s="100" t="n"/>
      <x:c r="BX190" s="100" t="n"/>
      <x:c r="BY190" s="100" t="n"/>
      <x:c r="BZ190" s="100" t="n"/>
      <x:c r="CA190" s="100" t="n"/>
      <x:c r="CB190" s="100" t="n"/>
      <x:c r="CC190" s="100" t="n"/>
      <x:c r="CD190" s="100" t="n"/>
      <x:c r="CE190" s="100" t="n"/>
      <x:c r="CF190" s="100" t="n"/>
      <x:c r="CG190" s="100" t="n"/>
      <x:c r="CH190" s="100" t="n"/>
      <x:c r="CI190" s="100" t="n"/>
      <x:c r="CJ190" s="100" t="n"/>
      <x:c r="CK190" s="100" t="n"/>
      <x:c r="CL190" s="100" t="n"/>
      <x:c r="CM190" s="100" t="n"/>
      <x:c r="CN190" s="100" t="n"/>
      <x:c r="CO190" s="100" t="n"/>
      <x:c r="CP190" s="100" t="n"/>
      <x:c r="CQ190" s="100" t="n"/>
      <x:c r="CR190" s="100" t="n"/>
      <x:c r="CS190" s="100" t="n"/>
      <x:c r="CT190" s="100" t="n"/>
      <x:c r="CU190" s="100" t="n"/>
      <x:c r="CV190" s="100" t="n"/>
      <x:c r="CW190" s="100" t="n"/>
      <x:c r="CX190" s="100" t="n"/>
      <x:c r="CY190" s="100" t="n"/>
      <x:c r="CZ190" s="100" t="n"/>
      <x:c r="DA190" s="100" t="n"/>
      <x:c r="DB190" s="100" t="n"/>
      <x:c r="DC190" s="100" t="n"/>
      <x:c r="DD190" s="100" t="n"/>
      <x:c r="DE190" s="100" t="n"/>
      <x:c r="DF190" s="100" t="n"/>
      <x:c r="DG190" s="100" t="n"/>
      <x:c r="DH190" s="100" t="n"/>
      <x:c r="DI190" s="100" t="n"/>
      <x:c r="DJ190" s="100" t="n"/>
      <x:c r="DK190" s="100" t="n"/>
      <x:c r="DL190" s="100" t="n"/>
      <x:c r="DM190" s="100" t="n"/>
      <x:c r="DN190" s="100" t="n"/>
      <x:c r="DO190" s="100" t="n"/>
      <x:c r="DP190" s="100" t="n"/>
      <x:c r="DQ190" s="100" t="n"/>
      <x:c r="DR190" s="100" t="n"/>
      <x:c r="DS190" s="100" t="n"/>
      <x:c r="DT190" s="100" t="n"/>
      <x:c r="DU190" s="100" t="n"/>
      <x:c r="DV190" s="100" t="n"/>
      <x:c r="DW190" s="100" t="n"/>
      <x:c r="DX190" s="100" t="n"/>
      <x:c r="DY190" s="100" t="n"/>
      <x:c r="DZ190" s="100" t="n"/>
      <x:c r="EA190" s="100" t="n"/>
      <x:c r="EB190" s="100" t="n"/>
      <x:c r="EC190" s="100" t="n"/>
      <x:c r="ED190" s="100" t="n"/>
      <x:c r="EE190" s="100" t="n"/>
      <x:c r="EF190" s="100" t="n"/>
      <x:c r="EG190" s="100" t="n"/>
      <x:c r="EH190" s="100" t="n"/>
      <x:c r="EI190" s="100" t="n"/>
      <x:c r="EJ190" s="100" t="n"/>
      <x:c r="EK190" s="100" t="n"/>
      <x:c r="EL190" s="100" t="n"/>
      <x:c r="EM190" s="100" t="n"/>
      <x:c r="EN190" s="100" t="n"/>
      <x:c r="EO190" s="100" t="n"/>
      <x:c r="EP190" s="100" t="n"/>
      <x:c r="EQ190" s="100" t="n"/>
      <x:c r="ER190" s="100" t="n"/>
      <x:c r="ES190" s="100" t="n"/>
      <x:c r="ET190" s="100" t="n"/>
      <x:c r="EU190" s="100" t="n"/>
      <x:c r="EV190" s="100" t="n"/>
      <x:c r="EW190" s="100" t="n"/>
      <x:c r="EX190" s="100" t="n"/>
      <x:c r="EY190" s="100" t="n"/>
      <x:c r="EZ190" s="100" t="n"/>
      <x:c r="FA190" s="100" t="n"/>
      <x:c r="FB190" s="100" t="n"/>
      <x:c r="FC190" s="100" t="n"/>
      <x:c r="FD190" s="100" t="n"/>
      <x:c r="FE190" s="100" t="n"/>
      <x:c r="FF190" s="100" t="n"/>
      <x:c r="FG190" s="100" t="n"/>
      <x:c r="FH190" s="100" t="n"/>
      <x:c r="FI190" s="100" t="n"/>
      <x:c r="FJ190" s="100" t="n"/>
      <x:c r="FK190" s="100" t="n"/>
      <x:c r="FL190" s="100" t="n"/>
      <x:c r="FM190" s="100" t="n"/>
      <x:c r="FN190" s="100" t="n"/>
      <x:c r="FO190" s="100" t="n"/>
      <x:c r="FP190" s="100" t="n"/>
      <x:c r="FQ190" s="100" t="n"/>
      <x:c r="FR190" s="100" t="n"/>
      <x:c r="FS190" s="100" t="n"/>
      <x:c r="FT190" s="100" t="n"/>
      <x:c r="FU190" s="100" t="n"/>
      <x:c r="FV190" s="100" t="n"/>
      <x:c r="FW190" s="100" t="n"/>
      <x:c r="FX190" s="100" t="n"/>
      <x:c r="FY190" s="100" t="n"/>
      <x:c r="FZ190" s="100" t="n"/>
      <x:c r="GA190" s="100" t="n"/>
      <x:c r="GB190" s="100" t="n"/>
      <x:c r="GC190" s="100" t="n"/>
      <x:c r="GD190" s="100" t="n"/>
      <x:c r="GE190" s="100" t="n"/>
      <x:c r="GF190" s="100" t="n"/>
    </x:row>
    <x:row r="191" s="27" customFormat="1">
      <x:c r="A191" s="38" t="n"/>
      <x:c r="B191" s="37" t="n"/>
      <x:c r="C191" s="36" t="n">
        <x:f>E191*D$5</x:f>
        <x:v>0</x:v>
      </x:c>
      <x:c r="D191" s="20" t="n"/>
      <x:c r="E191" s="36" t="n">
        <x:f>SUM(G191:HT191)</x:f>
        <x:v>0</x:v>
      </x:c>
      <x:c r="M191" s="100" t="n"/>
      <x:c r="N191" s="100" t="n"/>
      <x:c r="O191" s="100" t="n"/>
      <x:c r="P191" s="100" t="n"/>
      <x:c r="Q191" s="100" t="n"/>
      <x:c r="R191" s="100" t="n"/>
      <x:c r="S191" s="100" t="n"/>
      <x:c r="T191" s="100" t="n"/>
      <x:c r="U191" s="100" t="n"/>
      <x:c r="V191" s="100" t="n"/>
      <x:c r="W191" s="100" t="n"/>
      <x:c r="X191" s="100" t="n"/>
      <x:c r="Y191" s="100" t="n"/>
      <x:c r="Z191" s="100" t="n"/>
      <x:c r="AA191" s="100" t="n"/>
      <x:c r="AB191" s="100" t="n"/>
      <x:c r="AC191" s="100" t="n"/>
      <x:c r="AD191" s="100" t="n"/>
      <x:c r="AE191" s="100" t="n"/>
      <x:c r="AF191" s="100" t="n"/>
      <x:c r="AG191" s="100" t="n"/>
      <x:c r="AH191" s="100" t="n"/>
      <x:c r="AI191" s="100" t="n"/>
      <x:c r="AJ191" s="100" t="n"/>
      <x:c r="AK191" s="100" t="n"/>
      <x:c r="AL191" s="100" t="n"/>
      <x:c r="AM191" s="100" t="n"/>
      <x:c r="AN191" s="100" t="n"/>
      <x:c r="AO191" s="100" t="n"/>
      <x:c r="AP191" s="100" t="n"/>
      <x:c r="AQ191" s="100" t="n"/>
      <x:c r="AR191" s="100" t="n"/>
      <x:c r="AS191" s="100" t="n"/>
      <x:c r="AT191" s="100" t="n"/>
      <x:c r="AU191" s="100" t="n"/>
      <x:c r="AV191" s="100" t="n"/>
      <x:c r="AW191" s="100" t="n"/>
      <x:c r="AX191" s="100" t="n"/>
      <x:c r="AY191" s="100" t="n"/>
      <x:c r="AZ191" s="100" t="n"/>
      <x:c r="BA191" s="100" t="n"/>
      <x:c r="BB191" s="100" t="n"/>
      <x:c r="BC191" s="100" t="n"/>
      <x:c r="BD191" s="100" t="n"/>
      <x:c r="BE191" s="100" t="n"/>
      <x:c r="BF191" s="100" t="n"/>
      <x:c r="BG191" s="100" t="n"/>
      <x:c r="BH191" s="100" t="n"/>
      <x:c r="BI191" s="100" t="n"/>
      <x:c r="BJ191" s="100" t="n"/>
      <x:c r="BK191" s="100" t="n"/>
      <x:c r="BL191" s="100" t="n"/>
      <x:c r="BM191" s="100" t="n"/>
      <x:c r="BN191" s="100" t="n"/>
      <x:c r="BO191" s="100" t="n"/>
      <x:c r="BP191" s="100" t="n"/>
      <x:c r="BQ191" s="100" t="n"/>
      <x:c r="BR191" s="100" t="n"/>
      <x:c r="BS191" s="100" t="n"/>
      <x:c r="BT191" s="100" t="n"/>
      <x:c r="BU191" s="100" t="n"/>
      <x:c r="BV191" s="100" t="n"/>
      <x:c r="BW191" s="100" t="n"/>
      <x:c r="BX191" s="100" t="n"/>
      <x:c r="BY191" s="100" t="n"/>
      <x:c r="BZ191" s="100" t="n"/>
      <x:c r="CA191" s="100" t="n"/>
      <x:c r="CB191" s="100" t="n"/>
      <x:c r="CC191" s="100" t="n"/>
      <x:c r="CD191" s="100" t="n"/>
      <x:c r="CE191" s="100" t="n"/>
      <x:c r="CF191" s="100" t="n"/>
      <x:c r="CG191" s="100" t="n"/>
      <x:c r="CH191" s="100" t="n"/>
      <x:c r="CI191" s="100" t="n"/>
      <x:c r="CJ191" s="100" t="n"/>
      <x:c r="CK191" s="100" t="n"/>
      <x:c r="CL191" s="100" t="n"/>
      <x:c r="CM191" s="100" t="n"/>
      <x:c r="CN191" s="100" t="n"/>
      <x:c r="CO191" s="100" t="n"/>
      <x:c r="CP191" s="100" t="n"/>
      <x:c r="CQ191" s="100" t="n"/>
      <x:c r="CR191" s="100" t="n"/>
      <x:c r="CS191" s="100" t="n"/>
      <x:c r="CT191" s="100" t="n"/>
      <x:c r="CU191" s="100" t="n"/>
      <x:c r="CV191" s="100" t="n"/>
      <x:c r="CW191" s="100" t="n"/>
      <x:c r="CX191" s="100" t="n"/>
      <x:c r="CY191" s="100" t="n"/>
      <x:c r="CZ191" s="100" t="n"/>
      <x:c r="DA191" s="100" t="n"/>
      <x:c r="DB191" s="100" t="n"/>
      <x:c r="DC191" s="100" t="n"/>
      <x:c r="DD191" s="100" t="n"/>
      <x:c r="DE191" s="100" t="n"/>
      <x:c r="DF191" s="100" t="n"/>
      <x:c r="DG191" s="100" t="n"/>
      <x:c r="DH191" s="100" t="n"/>
      <x:c r="DI191" s="100" t="n"/>
      <x:c r="DJ191" s="100" t="n"/>
      <x:c r="DK191" s="100" t="n"/>
      <x:c r="DL191" s="100" t="n"/>
      <x:c r="DM191" s="100" t="n"/>
      <x:c r="DN191" s="100" t="n"/>
      <x:c r="DO191" s="100" t="n"/>
      <x:c r="DP191" s="100" t="n"/>
      <x:c r="DQ191" s="100" t="n"/>
      <x:c r="DR191" s="100" t="n"/>
      <x:c r="DS191" s="100" t="n"/>
      <x:c r="DT191" s="100" t="n"/>
      <x:c r="DU191" s="100" t="n"/>
      <x:c r="DV191" s="100" t="n"/>
      <x:c r="DW191" s="100" t="n"/>
      <x:c r="DX191" s="100" t="n"/>
      <x:c r="DY191" s="100" t="n"/>
      <x:c r="DZ191" s="100" t="n"/>
      <x:c r="EA191" s="100" t="n"/>
      <x:c r="EB191" s="100" t="n"/>
      <x:c r="EC191" s="100" t="n"/>
      <x:c r="ED191" s="100" t="n"/>
      <x:c r="EE191" s="100" t="n"/>
      <x:c r="EF191" s="100" t="n"/>
      <x:c r="EG191" s="100" t="n"/>
      <x:c r="EH191" s="100" t="n"/>
      <x:c r="EI191" s="100" t="n"/>
      <x:c r="EJ191" s="100" t="n"/>
      <x:c r="EK191" s="100" t="n"/>
      <x:c r="EL191" s="100" t="n"/>
      <x:c r="EM191" s="100" t="n"/>
      <x:c r="EN191" s="100" t="n"/>
      <x:c r="EO191" s="100" t="n"/>
      <x:c r="EP191" s="100" t="n"/>
      <x:c r="EQ191" s="100" t="n"/>
      <x:c r="ER191" s="100" t="n"/>
      <x:c r="ES191" s="100" t="n"/>
      <x:c r="ET191" s="100" t="n"/>
      <x:c r="EU191" s="100" t="n"/>
      <x:c r="EV191" s="100" t="n"/>
      <x:c r="EW191" s="100" t="n"/>
      <x:c r="EX191" s="100" t="n"/>
      <x:c r="EY191" s="100" t="n"/>
      <x:c r="EZ191" s="100" t="n"/>
      <x:c r="FA191" s="100" t="n"/>
      <x:c r="FB191" s="100" t="n"/>
      <x:c r="FC191" s="100" t="n"/>
      <x:c r="FD191" s="100" t="n"/>
      <x:c r="FE191" s="100" t="n"/>
      <x:c r="FF191" s="100" t="n"/>
      <x:c r="FG191" s="100" t="n"/>
      <x:c r="FH191" s="100" t="n"/>
      <x:c r="FI191" s="100" t="n"/>
      <x:c r="FJ191" s="100" t="n"/>
      <x:c r="FK191" s="100" t="n"/>
      <x:c r="FL191" s="100" t="n"/>
      <x:c r="FM191" s="100" t="n"/>
      <x:c r="FN191" s="100" t="n"/>
      <x:c r="FO191" s="100" t="n"/>
      <x:c r="FP191" s="100" t="n"/>
      <x:c r="FQ191" s="100" t="n"/>
      <x:c r="FR191" s="100" t="n"/>
      <x:c r="FS191" s="100" t="n"/>
      <x:c r="FT191" s="100" t="n"/>
      <x:c r="FU191" s="100" t="n"/>
      <x:c r="FV191" s="100" t="n"/>
      <x:c r="FW191" s="100" t="n"/>
      <x:c r="FX191" s="100" t="n"/>
      <x:c r="FY191" s="100" t="n"/>
      <x:c r="FZ191" s="100" t="n"/>
      <x:c r="GA191" s="100" t="n"/>
      <x:c r="GB191" s="100" t="n"/>
      <x:c r="GC191" s="100" t="n"/>
      <x:c r="GD191" s="100" t="n"/>
      <x:c r="GE191" s="100" t="n"/>
      <x:c r="GF191" s="100" t="n"/>
    </x:row>
    <x:row r="192" s="27" customFormat="1">
      <x:c r="A192" s="38" t="n"/>
      <x:c r="B192" s="37" t="n"/>
      <x:c r="C192" s="36" t="n">
        <x:f>E192*D$5</x:f>
        <x:v>0</x:v>
      </x:c>
      <x:c r="D192" s="20" t="n"/>
      <x:c r="E192" s="36" t="n">
        <x:f>SUM(G192:HT192)</x:f>
        <x:v>0</x:v>
      </x:c>
      <x:c r="M192" s="100" t="n"/>
      <x:c r="N192" s="100" t="n"/>
      <x:c r="O192" s="100" t="n"/>
      <x:c r="P192" s="100" t="n"/>
      <x:c r="Q192" s="100" t="n"/>
      <x:c r="R192" s="100" t="n"/>
      <x:c r="S192" s="100" t="n"/>
      <x:c r="T192" s="100" t="n"/>
      <x:c r="U192" s="100" t="n"/>
      <x:c r="V192" s="100" t="n"/>
      <x:c r="W192" s="100" t="n"/>
      <x:c r="X192" s="100" t="n"/>
      <x:c r="Y192" s="100" t="n"/>
      <x:c r="Z192" s="100" t="n"/>
      <x:c r="AA192" s="100" t="n"/>
      <x:c r="AB192" s="100" t="n"/>
      <x:c r="AC192" s="100" t="n"/>
      <x:c r="AD192" s="100" t="n"/>
      <x:c r="AE192" s="100" t="n"/>
      <x:c r="AF192" s="100" t="n"/>
      <x:c r="AG192" s="100" t="n"/>
      <x:c r="AH192" s="100" t="n"/>
      <x:c r="AI192" s="100" t="n"/>
      <x:c r="AJ192" s="100" t="n"/>
      <x:c r="AK192" s="100" t="n"/>
      <x:c r="AL192" s="100" t="n"/>
      <x:c r="AM192" s="100" t="n"/>
      <x:c r="AN192" s="100" t="n"/>
      <x:c r="AO192" s="100" t="n"/>
      <x:c r="AP192" s="100" t="n"/>
      <x:c r="AQ192" s="100" t="n"/>
      <x:c r="AR192" s="100" t="n"/>
      <x:c r="AS192" s="100" t="n"/>
      <x:c r="AT192" s="100" t="n"/>
      <x:c r="AU192" s="100" t="n"/>
      <x:c r="AV192" s="100" t="n"/>
      <x:c r="AW192" s="100" t="n"/>
      <x:c r="AX192" s="100" t="n"/>
      <x:c r="AY192" s="100" t="n"/>
      <x:c r="AZ192" s="100" t="n"/>
      <x:c r="BA192" s="100" t="n"/>
      <x:c r="BB192" s="100" t="n"/>
      <x:c r="BC192" s="100" t="n"/>
      <x:c r="BD192" s="100" t="n"/>
      <x:c r="BE192" s="100" t="n"/>
      <x:c r="BF192" s="100" t="n"/>
      <x:c r="BG192" s="100" t="n"/>
      <x:c r="BH192" s="100" t="n"/>
      <x:c r="BI192" s="100" t="n"/>
      <x:c r="BJ192" s="100" t="n"/>
      <x:c r="BK192" s="100" t="n"/>
      <x:c r="BL192" s="100" t="n"/>
      <x:c r="BM192" s="100" t="n"/>
      <x:c r="BN192" s="100" t="n"/>
      <x:c r="BO192" s="100" t="n"/>
      <x:c r="BP192" s="100" t="n"/>
      <x:c r="BQ192" s="100" t="n"/>
      <x:c r="BR192" s="100" t="n"/>
      <x:c r="BS192" s="100" t="n"/>
      <x:c r="BT192" s="100" t="n"/>
      <x:c r="BU192" s="100" t="n"/>
      <x:c r="BV192" s="100" t="n"/>
      <x:c r="BW192" s="100" t="n"/>
      <x:c r="BX192" s="100" t="n"/>
      <x:c r="BY192" s="100" t="n"/>
      <x:c r="BZ192" s="100" t="n"/>
      <x:c r="CA192" s="100" t="n"/>
      <x:c r="CB192" s="100" t="n"/>
      <x:c r="CC192" s="100" t="n"/>
      <x:c r="CD192" s="100" t="n"/>
      <x:c r="CE192" s="100" t="n"/>
      <x:c r="CF192" s="100" t="n"/>
      <x:c r="CG192" s="100" t="n"/>
      <x:c r="CH192" s="100" t="n"/>
      <x:c r="CI192" s="100" t="n"/>
      <x:c r="CJ192" s="100" t="n"/>
      <x:c r="CK192" s="100" t="n"/>
      <x:c r="CL192" s="100" t="n"/>
      <x:c r="CM192" s="100" t="n"/>
      <x:c r="CN192" s="100" t="n"/>
      <x:c r="CO192" s="100" t="n"/>
      <x:c r="CP192" s="100" t="n"/>
      <x:c r="CQ192" s="100" t="n"/>
      <x:c r="CR192" s="100" t="n"/>
      <x:c r="CS192" s="100" t="n"/>
      <x:c r="CT192" s="100" t="n"/>
      <x:c r="CU192" s="100" t="n"/>
      <x:c r="CV192" s="100" t="n"/>
      <x:c r="CW192" s="100" t="n"/>
      <x:c r="CX192" s="100" t="n"/>
      <x:c r="CY192" s="100" t="n"/>
      <x:c r="CZ192" s="100" t="n"/>
      <x:c r="DA192" s="100" t="n"/>
      <x:c r="DB192" s="100" t="n"/>
      <x:c r="DC192" s="100" t="n"/>
      <x:c r="DD192" s="100" t="n"/>
      <x:c r="DE192" s="100" t="n"/>
      <x:c r="DF192" s="100" t="n"/>
      <x:c r="DG192" s="100" t="n"/>
      <x:c r="DH192" s="100" t="n"/>
      <x:c r="DI192" s="100" t="n"/>
      <x:c r="DJ192" s="100" t="n"/>
      <x:c r="DK192" s="100" t="n"/>
      <x:c r="DL192" s="100" t="n"/>
      <x:c r="DM192" s="100" t="n"/>
      <x:c r="DN192" s="100" t="n"/>
      <x:c r="DO192" s="100" t="n"/>
      <x:c r="DP192" s="100" t="n"/>
      <x:c r="DQ192" s="100" t="n"/>
      <x:c r="DR192" s="100" t="n"/>
      <x:c r="DS192" s="100" t="n"/>
      <x:c r="DT192" s="100" t="n"/>
      <x:c r="DU192" s="100" t="n"/>
      <x:c r="DV192" s="100" t="n"/>
      <x:c r="DW192" s="100" t="n"/>
      <x:c r="DX192" s="100" t="n"/>
      <x:c r="DY192" s="100" t="n"/>
      <x:c r="DZ192" s="100" t="n"/>
      <x:c r="EA192" s="100" t="n"/>
      <x:c r="EB192" s="100" t="n"/>
      <x:c r="EC192" s="100" t="n"/>
      <x:c r="ED192" s="100" t="n"/>
      <x:c r="EE192" s="100" t="n"/>
      <x:c r="EF192" s="100" t="n"/>
      <x:c r="EG192" s="100" t="n"/>
      <x:c r="EH192" s="100" t="n"/>
      <x:c r="EI192" s="100" t="n"/>
      <x:c r="EJ192" s="100" t="n"/>
      <x:c r="EK192" s="100" t="n"/>
      <x:c r="EL192" s="100" t="n"/>
      <x:c r="EM192" s="100" t="n"/>
      <x:c r="EN192" s="100" t="n"/>
      <x:c r="EO192" s="100" t="n"/>
      <x:c r="EP192" s="100" t="n"/>
      <x:c r="EQ192" s="100" t="n"/>
      <x:c r="ER192" s="100" t="n"/>
      <x:c r="ES192" s="100" t="n"/>
      <x:c r="ET192" s="100" t="n"/>
      <x:c r="EU192" s="100" t="n"/>
      <x:c r="EV192" s="100" t="n"/>
      <x:c r="EW192" s="100" t="n"/>
      <x:c r="EX192" s="100" t="n"/>
      <x:c r="EY192" s="100" t="n"/>
      <x:c r="EZ192" s="100" t="n"/>
      <x:c r="FA192" s="100" t="n"/>
      <x:c r="FB192" s="100" t="n"/>
      <x:c r="FC192" s="100" t="n"/>
      <x:c r="FD192" s="100" t="n"/>
      <x:c r="FE192" s="100" t="n"/>
      <x:c r="FF192" s="100" t="n"/>
      <x:c r="FG192" s="100" t="n"/>
      <x:c r="FH192" s="100" t="n"/>
      <x:c r="FI192" s="100" t="n"/>
      <x:c r="FJ192" s="100" t="n"/>
      <x:c r="FK192" s="100" t="n"/>
      <x:c r="FL192" s="100" t="n"/>
      <x:c r="FM192" s="100" t="n"/>
      <x:c r="FN192" s="100" t="n"/>
      <x:c r="FO192" s="100" t="n"/>
      <x:c r="FP192" s="100" t="n"/>
      <x:c r="FQ192" s="100" t="n"/>
      <x:c r="FR192" s="100" t="n"/>
      <x:c r="FS192" s="100" t="n"/>
      <x:c r="FT192" s="100" t="n"/>
      <x:c r="FU192" s="100" t="n"/>
      <x:c r="FV192" s="100" t="n"/>
      <x:c r="FW192" s="100" t="n"/>
      <x:c r="FX192" s="100" t="n"/>
      <x:c r="FY192" s="100" t="n"/>
      <x:c r="FZ192" s="100" t="n"/>
      <x:c r="GA192" s="100" t="n"/>
      <x:c r="GB192" s="100" t="n"/>
      <x:c r="GC192" s="100" t="n"/>
      <x:c r="GD192" s="100" t="n"/>
      <x:c r="GE192" s="100" t="n"/>
      <x:c r="GF192" s="100" t="n"/>
    </x:row>
    <x:row r="193" s="27" customFormat="1">
      <x:c r="A193" s="38" t="n"/>
      <x:c r="B193" s="37" t="n"/>
      <x:c r="C193" s="36" t="n">
        <x:f>E193*D$5</x:f>
        <x:v>0</x:v>
      </x:c>
      <x:c r="D193" s="20" t="n"/>
      <x:c r="E193" s="36" t="n">
        <x:f>SUM(G193:HT193)</x:f>
        <x:v>0</x:v>
      </x:c>
      <x:c r="M193" s="100" t="n"/>
      <x:c r="N193" s="100" t="n"/>
      <x:c r="O193" s="100" t="n"/>
      <x:c r="P193" s="100" t="n"/>
      <x:c r="Q193" s="100" t="n"/>
      <x:c r="R193" s="100" t="n"/>
      <x:c r="S193" s="100" t="n"/>
      <x:c r="T193" s="100" t="n"/>
      <x:c r="U193" s="100" t="n"/>
      <x:c r="V193" s="100" t="n"/>
      <x:c r="W193" s="100" t="n"/>
      <x:c r="X193" s="100" t="n"/>
      <x:c r="Y193" s="100" t="n"/>
      <x:c r="Z193" s="100" t="n"/>
      <x:c r="AA193" s="100" t="n"/>
      <x:c r="AB193" s="100" t="n"/>
      <x:c r="AC193" s="100" t="n"/>
      <x:c r="AD193" s="100" t="n"/>
      <x:c r="AE193" s="100" t="n"/>
      <x:c r="AF193" s="100" t="n"/>
      <x:c r="AG193" s="100" t="n"/>
      <x:c r="AH193" s="100" t="n"/>
      <x:c r="AI193" s="100" t="n"/>
      <x:c r="AJ193" s="100" t="n"/>
      <x:c r="AK193" s="100" t="n"/>
      <x:c r="AL193" s="100" t="n"/>
      <x:c r="AM193" s="100" t="n"/>
      <x:c r="AN193" s="100" t="n"/>
      <x:c r="AO193" s="100" t="n"/>
      <x:c r="AP193" s="100" t="n"/>
      <x:c r="AQ193" s="100" t="n"/>
      <x:c r="AR193" s="100" t="n"/>
      <x:c r="AS193" s="100" t="n"/>
      <x:c r="AT193" s="100" t="n"/>
      <x:c r="AU193" s="100" t="n"/>
      <x:c r="AV193" s="100" t="n"/>
      <x:c r="AW193" s="100" t="n"/>
      <x:c r="AX193" s="100" t="n"/>
      <x:c r="AY193" s="100" t="n"/>
      <x:c r="AZ193" s="100" t="n"/>
      <x:c r="BA193" s="100" t="n"/>
      <x:c r="BB193" s="100" t="n"/>
      <x:c r="BC193" s="100" t="n"/>
      <x:c r="BD193" s="100" t="n"/>
      <x:c r="BE193" s="100" t="n"/>
      <x:c r="BF193" s="100" t="n"/>
      <x:c r="BG193" s="100" t="n"/>
      <x:c r="BH193" s="100" t="n"/>
      <x:c r="BI193" s="100" t="n"/>
      <x:c r="BJ193" s="100" t="n"/>
      <x:c r="BK193" s="100" t="n"/>
      <x:c r="BL193" s="100" t="n"/>
      <x:c r="BM193" s="100" t="n"/>
      <x:c r="BN193" s="100" t="n"/>
      <x:c r="BO193" s="100" t="n"/>
      <x:c r="BP193" s="100" t="n"/>
      <x:c r="BQ193" s="100" t="n"/>
      <x:c r="BR193" s="100" t="n"/>
      <x:c r="BS193" s="100" t="n"/>
      <x:c r="BT193" s="100" t="n"/>
      <x:c r="BU193" s="100" t="n"/>
      <x:c r="BV193" s="100" t="n"/>
      <x:c r="BW193" s="100" t="n"/>
      <x:c r="BX193" s="100" t="n"/>
      <x:c r="BY193" s="100" t="n"/>
      <x:c r="BZ193" s="100" t="n"/>
      <x:c r="CA193" s="100" t="n"/>
      <x:c r="CB193" s="100" t="n"/>
      <x:c r="CC193" s="100" t="n"/>
      <x:c r="CD193" s="100" t="n"/>
      <x:c r="CE193" s="100" t="n"/>
      <x:c r="CF193" s="100" t="n"/>
      <x:c r="CG193" s="100" t="n"/>
      <x:c r="CH193" s="100" t="n"/>
      <x:c r="CI193" s="100" t="n"/>
      <x:c r="CJ193" s="100" t="n"/>
      <x:c r="CK193" s="100" t="n"/>
      <x:c r="CL193" s="100" t="n"/>
      <x:c r="CM193" s="100" t="n"/>
      <x:c r="CN193" s="100" t="n"/>
      <x:c r="CO193" s="100" t="n"/>
      <x:c r="CP193" s="100" t="n"/>
      <x:c r="CQ193" s="100" t="n"/>
      <x:c r="CR193" s="100" t="n"/>
      <x:c r="CS193" s="100" t="n"/>
      <x:c r="CT193" s="100" t="n"/>
      <x:c r="CU193" s="100" t="n"/>
      <x:c r="CV193" s="100" t="n"/>
      <x:c r="CW193" s="100" t="n"/>
      <x:c r="CX193" s="100" t="n"/>
      <x:c r="CY193" s="100" t="n"/>
      <x:c r="CZ193" s="100" t="n"/>
      <x:c r="DA193" s="100" t="n"/>
      <x:c r="DB193" s="100" t="n"/>
      <x:c r="DC193" s="100" t="n"/>
      <x:c r="DD193" s="100" t="n"/>
      <x:c r="DE193" s="100" t="n"/>
      <x:c r="DF193" s="100" t="n"/>
      <x:c r="DG193" s="100" t="n"/>
      <x:c r="DH193" s="100" t="n"/>
      <x:c r="DI193" s="100" t="n"/>
      <x:c r="DJ193" s="100" t="n"/>
      <x:c r="DK193" s="100" t="n"/>
      <x:c r="DL193" s="100" t="n"/>
      <x:c r="DM193" s="100" t="n"/>
      <x:c r="DN193" s="100" t="n"/>
      <x:c r="DO193" s="100" t="n"/>
      <x:c r="DP193" s="100" t="n"/>
      <x:c r="DQ193" s="100" t="n"/>
      <x:c r="DR193" s="100" t="n"/>
      <x:c r="DS193" s="100" t="n"/>
      <x:c r="DT193" s="100" t="n"/>
      <x:c r="DU193" s="100" t="n"/>
      <x:c r="DV193" s="100" t="n"/>
      <x:c r="DW193" s="100" t="n"/>
      <x:c r="DX193" s="100" t="n"/>
      <x:c r="DY193" s="100" t="n"/>
      <x:c r="DZ193" s="100" t="n"/>
      <x:c r="EA193" s="100" t="n"/>
      <x:c r="EB193" s="100" t="n"/>
      <x:c r="EC193" s="100" t="n"/>
      <x:c r="ED193" s="100" t="n"/>
      <x:c r="EE193" s="100" t="n"/>
      <x:c r="EF193" s="100" t="n"/>
      <x:c r="EG193" s="100" t="n"/>
      <x:c r="EH193" s="100" t="n"/>
      <x:c r="EI193" s="100" t="n"/>
      <x:c r="EJ193" s="100" t="n"/>
      <x:c r="EK193" s="100" t="n"/>
      <x:c r="EL193" s="100" t="n"/>
      <x:c r="EM193" s="100" t="n"/>
      <x:c r="EN193" s="100" t="n"/>
      <x:c r="EO193" s="100" t="n"/>
      <x:c r="EP193" s="100" t="n"/>
      <x:c r="EQ193" s="100" t="n"/>
      <x:c r="ER193" s="100" t="n"/>
      <x:c r="ES193" s="100" t="n"/>
      <x:c r="ET193" s="100" t="n"/>
      <x:c r="EU193" s="100" t="n"/>
      <x:c r="EV193" s="100" t="n"/>
      <x:c r="EW193" s="100" t="n"/>
      <x:c r="EX193" s="100" t="n"/>
      <x:c r="EY193" s="100" t="n"/>
      <x:c r="EZ193" s="100" t="n"/>
      <x:c r="FA193" s="100" t="n"/>
      <x:c r="FB193" s="100" t="n"/>
      <x:c r="FC193" s="100" t="n"/>
      <x:c r="FD193" s="100" t="n"/>
      <x:c r="FE193" s="100" t="n"/>
      <x:c r="FF193" s="100" t="n"/>
      <x:c r="FG193" s="100" t="n"/>
      <x:c r="FH193" s="100" t="n"/>
      <x:c r="FI193" s="100" t="n"/>
      <x:c r="FJ193" s="100" t="n"/>
      <x:c r="FK193" s="100" t="n"/>
      <x:c r="FL193" s="100" t="n"/>
      <x:c r="FM193" s="100" t="n"/>
      <x:c r="FN193" s="100" t="n"/>
      <x:c r="FO193" s="100" t="n"/>
      <x:c r="FP193" s="100" t="n"/>
      <x:c r="FQ193" s="100" t="n"/>
      <x:c r="FR193" s="100" t="n"/>
      <x:c r="FS193" s="100" t="n"/>
      <x:c r="FT193" s="100" t="n"/>
      <x:c r="FU193" s="100" t="n"/>
      <x:c r="FV193" s="100" t="n"/>
      <x:c r="FW193" s="100" t="n"/>
      <x:c r="FX193" s="100" t="n"/>
      <x:c r="FY193" s="100" t="n"/>
      <x:c r="FZ193" s="100" t="n"/>
      <x:c r="GA193" s="100" t="n"/>
      <x:c r="GB193" s="100" t="n"/>
      <x:c r="GC193" s="100" t="n"/>
      <x:c r="GD193" s="100" t="n"/>
      <x:c r="GE193" s="100" t="n"/>
      <x:c r="GF193" s="100" t="n"/>
    </x:row>
    <x:row r="194" s="27" customFormat="1">
      <x:c r="A194" s="38" t="n"/>
      <x:c r="B194" s="37" t="n"/>
      <x:c r="C194" s="36" t="n">
        <x:f>E194*D$5</x:f>
        <x:v>0</x:v>
      </x:c>
      <x:c r="D194" s="20" t="n"/>
      <x:c r="E194" s="36" t="n">
        <x:f>SUM(G194:HT194)</x:f>
        <x:v>0</x:v>
      </x:c>
      <x:c r="M194" s="100" t="n"/>
      <x:c r="N194" s="100" t="n"/>
      <x:c r="O194" s="100" t="n"/>
      <x:c r="P194" s="100" t="n"/>
      <x:c r="Q194" s="100" t="n"/>
      <x:c r="R194" s="100" t="n"/>
      <x:c r="S194" s="100" t="n"/>
      <x:c r="T194" s="100" t="n"/>
      <x:c r="U194" s="100" t="n"/>
      <x:c r="V194" s="100" t="n"/>
      <x:c r="W194" s="100" t="n"/>
      <x:c r="X194" s="100" t="n"/>
      <x:c r="Y194" s="100" t="n"/>
      <x:c r="Z194" s="100" t="n"/>
      <x:c r="AA194" s="100" t="n"/>
      <x:c r="AB194" s="100" t="n"/>
      <x:c r="AC194" s="100" t="n"/>
      <x:c r="AD194" s="100" t="n"/>
      <x:c r="AE194" s="100" t="n"/>
      <x:c r="AF194" s="100" t="n"/>
      <x:c r="AG194" s="100" t="n"/>
      <x:c r="AH194" s="100" t="n"/>
      <x:c r="AI194" s="100" t="n"/>
      <x:c r="AJ194" s="100" t="n"/>
      <x:c r="AK194" s="100" t="n"/>
      <x:c r="AL194" s="100" t="n"/>
      <x:c r="AM194" s="100" t="n"/>
      <x:c r="AN194" s="100" t="n"/>
      <x:c r="AO194" s="100" t="n"/>
      <x:c r="AP194" s="100" t="n"/>
      <x:c r="AQ194" s="100" t="n"/>
      <x:c r="AR194" s="100" t="n"/>
      <x:c r="AS194" s="100" t="n"/>
      <x:c r="AT194" s="100" t="n"/>
      <x:c r="AU194" s="100" t="n"/>
      <x:c r="AV194" s="100" t="n"/>
      <x:c r="AW194" s="100" t="n"/>
      <x:c r="AX194" s="100" t="n"/>
      <x:c r="AY194" s="100" t="n"/>
      <x:c r="AZ194" s="100" t="n"/>
      <x:c r="BA194" s="100" t="n"/>
      <x:c r="BB194" s="100" t="n"/>
      <x:c r="BC194" s="100" t="n"/>
      <x:c r="BD194" s="100" t="n"/>
      <x:c r="BE194" s="100" t="n"/>
      <x:c r="BF194" s="100" t="n"/>
      <x:c r="BG194" s="100" t="n"/>
      <x:c r="BH194" s="100" t="n"/>
      <x:c r="BI194" s="100" t="n"/>
      <x:c r="BJ194" s="100" t="n"/>
      <x:c r="BK194" s="100" t="n"/>
      <x:c r="BL194" s="100" t="n"/>
      <x:c r="BM194" s="100" t="n"/>
      <x:c r="BN194" s="100" t="n"/>
      <x:c r="BO194" s="100" t="n"/>
      <x:c r="BP194" s="100" t="n"/>
      <x:c r="BQ194" s="100" t="n"/>
      <x:c r="BR194" s="100" t="n"/>
      <x:c r="BS194" s="100" t="n"/>
      <x:c r="BT194" s="100" t="n"/>
      <x:c r="BU194" s="100" t="n"/>
      <x:c r="BV194" s="100" t="n"/>
      <x:c r="BW194" s="100" t="n"/>
      <x:c r="BX194" s="100" t="n"/>
      <x:c r="BY194" s="100" t="n"/>
      <x:c r="BZ194" s="100" t="n"/>
      <x:c r="CA194" s="100" t="n"/>
      <x:c r="CB194" s="100" t="n"/>
      <x:c r="CC194" s="100" t="n"/>
      <x:c r="CD194" s="100" t="n"/>
      <x:c r="CE194" s="100" t="n"/>
      <x:c r="CF194" s="100" t="n"/>
      <x:c r="CG194" s="100" t="n"/>
      <x:c r="CH194" s="100" t="n"/>
      <x:c r="CI194" s="100" t="n"/>
      <x:c r="CJ194" s="100" t="n"/>
      <x:c r="CK194" s="100" t="n"/>
      <x:c r="CL194" s="100" t="n"/>
      <x:c r="CM194" s="100" t="n"/>
      <x:c r="CN194" s="100" t="n"/>
      <x:c r="CO194" s="100" t="n"/>
      <x:c r="CP194" s="100" t="n"/>
      <x:c r="CQ194" s="100" t="n"/>
      <x:c r="CR194" s="100" t="n"/>
      <x:c r="CS194" s="100" t="n"/>
      <x:c r="CT194" s="100" t="n"/>
      <x:c r="CU194" s="100" t="n"/>
      <x:c r="CV194" s="100" t="n"/>
      <x:c r="CW194" s="100" t="n"/>
      <x:c r="CX194" s="100" t="n"/>
      <x:c r="CY194" s="100" t="n"/>
      <x:c r="CZ194" s="100" t="n"/>
      <x:c r="DA194" s="100" t="n"/>
      <x:c r="DB194" s="100" t="n"/>
      <x:c r="DC194" s="100" t="n"/>
      <x:c r="DD194" s="100" t="n"/>
      <x:c r="DE194" s="100" t="n"/>
      <x:c r="DF194" s="100" t="n"/>
      <x:c r="DG194" s="100" t="n"/>
      <x:c r="DH194" s="100" t="n"/>
      <x:c r="DI194" s="100" t="n"/>
      <x:c r="DJ194" s="100" t="n"/>
      <x:c r="DK194" s="100" t="n"/>
      <x:c r="DL194" s="100" t="n"/>
      <x:c r="DM194" s="100" t="n"/>
      <x:c r="DN194" s="100" t="n"/>
      <x:c r="DO194" s="100" t="n"/>
      <x:c r="DP194" s="100" t="n"/>
      <x:c r="DQ194" s="100" t="n"/>
      <x:c r="DR194" s="100" t="n"/>
      <x:c r="DS194" s="100" t="n"/>
      <x:c r="DT194" s="100" t="n"/>
      <x:c r="DU194" s="100" t="n"/>
      <x:c r="DV194" s="100" t="n"/>
      <x:c r="DW194" s="100" t="n"/>
      <x:c r="DX194" s="100" t="n"/>
      <x:c r="DY194" s="100" t="n"/>
      <x:c r="DZ194" s="100" t="n"/>
      <x:c r="EA194" s="100" t="n"/>
      <x:c r="EB194" s="100" t="n"/>
      <x:c r="EC194" s="100" t="n"/>
      <x:c r="ED194" s="100" t="n"/>
      <x:c r="EE194" s="100" t="n"/>
      <x:c r="EF194" s="100" t="n"/>
      <x:c r="EG194" s="100" t="n"/>
      <x:c r="EH194" s="100" t="n"/>
      <x:c r="EI194" s="100" t="n"/>
      <x:c r="EJ194" s="100" t="n"/>
      <x:c r="EK194" s="100" t="n"/>
      <x:c r="EL194" s="100" t="n"/>
      <x:c r="EM194" s="100" t="n"/>
      <x:c r="EN194" s="100" t="n"/>
      <x:c r="EO194" s="100" t="n"/>
      <x:c r="EP194" s="100" t="n"/>
      <x:c r="EQ194" s="100" t="n"/>
      <x:c r="ER194" s="100" t="n"/>
      <x:c r="ES194" s="100" t="n"/>
      <x:c r="ET194" s="100" t="n"/>
      <x:c r="EU194" s="100" t="n"/>
      <x:c r="EV194" s="100" t="n"/>
      <x:c r="EW194" s="100" t="n"/>
      <x:c r="EX194" s="100" t="n"/>
      <x:c r="EY194" s="100" t="n"/>
      <x:c r="EZ194" s="100" t="n"/>
      <x:c r="FA194" s="100" t="n"/>
      <x:c r="FB194" s="100" t="n"/>
      <x:c r="FC194" s="100" t="n"/>
      <x:c r="FD194" s="100" t="n"/>
      <x:c r="FE194" s="100" t="n"/>
      <x:c r="FF194" s="100" t="n"/>
      <x:c r="FG194" s="100" t="n"/>
      <x:c r="FH194" s="100" t="n"/>
      <x:c r="FI194" s="100" t="n"/>
      <x:c r="FJ194" s="100" t="n"/>
      <x:c r="FK194" s="100" t="n"/>
      <x:c r="FL194" s="100" t="n"/>
      <x:c r="FM194" s="100" t="n"/>
      <x:c r="FN194" s="100" t="n"/>
      <x:c r="FO194" s="100" t="n"/>
      <x:c r="FP194" s="100" t="n"/>
      <x:c r="FQ194" s="100" t="n"/>
      <x:c r="FR194" s="100" t="n"/>
      <x:c r="FS194" s="100" t="n"/>
      <x:c r="FT194" s="100" t="n"/>
      <x:c r="FU194" s="100" t="n"/>
      <x:c r="FV194" s="100" t="n"/>
      <x:c r="FW194" s="100" t="n"/>
      <x:c r="FX194" s="100" t="n"/>
      <x:c r="FY194" s="100" t="n"/>
      <x:c r="FZ194" s="100" t="n"/>
      <x:c r="GA194" s="100" t="n"/>
      <x:c r="GB194" s="100" t="n"/>
      <x:c r="GC194" s="100" t="n"/>
      <x:c r="GD194" s="100" t="n"/>
      <x:c r="GE194" s="100" t="n"/>
      <x:c r="GF194" s="100" t="n"/>
    </x:row>
    <x:row r="195" s="27" customFormat="1">
      <x:c r="A195" s="38" t="n"/>
      <x:c r="B195" s="37" t="n"/>
      <x:c r="C195" s="36" t="n">
        <x:f>E195*D$5</x:f>
        <x:v>0</x:v>
      </x:c>
      <x:c r="D195" s="20" t="n"/>
      <x:c r="E195" s="36" t="n">
        <x:f>SUM(G195:HT195)</x:f>
        <x:v>0</x:v>
      </x:c>
      <x:c r="M195" s="100" t="n"/>
      <x:c r="N195" s="100" t="n"/>
      <x:c r="O195" s="100" t="n"/>
      <x:c r="P195" s="100" t="n"/>
      <x:c r="Q195" s="100" t="n"/>
      <x:c r="R195" s="100" t="n"/>
      <x:c r="S195" s="100" t="n"/>
      <x:c r="T195" s="100" t="n"/>
      <x:c r="U195" s="100" t="n"/>
      <x:c r="V195" s="100" t="n"/>
      <x:c r="W195" s="100" t="n"/>
      <x:c r="X195" s="100" t="n"/>
      <x:c r="Y195" s="100" t="n"/>
      <x:c r="Z195" s="100" t="n"/>
      <x:c r="AA195" s="100" t="n"/>
      <x:c r="AB195" s="100" t="n"/>
      <x:c r="AC195" s="100" t="n"/>
      <x:c r="AD195" s="100" t="n"/>
      <x:c r="AE195" s="100" t="n"/>
      <x:c r="AF195" s="100" t="n"/>
      <x:c r="AG195" s="100" t="n"/>
      <x:c r="AH195" s="100" t="n"/>
      <x:c r="AI195" s="100" t="n"/>
      <x:c r="AJ195" s="100" t="n"/>
      <x:c r="AK195" s="100" t="n"/>
      <x:c r="AL195" s="100" t="n"/>
      <x:c r="AM195" s="100" t="n"/>
      <x:c r="AN195" s="100" t="n"/>
      <x:c r="AO195" s="100" t="n"/>
      <x:c r="AP195" s="100" t="n"/>
      <x:c r="AQ195" s="100" t="n"/>
      <x:c r="AR195" s="100" t="n"/>
      <x:c r="AS195" s="100" t="n"/>
      <x:c r="AT195" s="100" t="n"/>
      <x:c r="AU195" s="100" t="n"/>
      <x:c r="AV195" s="100" t="n"/>
      <x:c r="AW195" s="102" t="n"/>
      <x:c r="AX195" s="102" t="n"/>
      <x:c r="AY195" s="102" t="n"/>
      <x:c r="AZ195" s="102" t="n"/>
      <x:c r="BA195" s="100" t="n"/>
      <x:c r="BB195" s="100" t="n"/>
      <x:c r="BC195" s="100" t="n"/>
      <x:c r="BD195" s="100" t="n"/>
      <x:c r="BE195" s="100" t="n"/>
      <x:c r="BF195" s="100" t="n"/>
      <x:c r="BG195" s="100" t="n"/>
      <x:c r="BH195" s="100" t="n"/>
      <x:c r="BI195" s="100" t="n"/>
      <x:c r="BJ195" s="100" t="n"/>
      <x:c r="BK195" s="100" t="n"/>
      <x:c r="BL195" s="100" t="n"/>
      <x:c r="BM195" s="100" t="n"/>
      <x:c r="BN195" s="100" t="n"/>
      <x:c r="BO195" s="100" t="n"/>
      <x:c r="BP195" s="100" t="n"/>
      <x:c r="BQ195" s="100" t="n"/>
      <x:c r="BR195" s="100" t="n"/>
      <x:c r="BS195" s="100" t="n"/>
      <x:c r="BT195" s="100" t="n"/>
      <x:c r="BU195" s="100" t="n"/>
      <x:c r="BV195" s="100" t="n"/>
      <x:c r="BW195" s="100" t="n"/>
      <x:c r="BX195" s="100" t="n"/>
      <x:c r="BY195" s="100" t="n"/>
      <x:c r="BZ195" s="100" t="n"/>
      <x:c r="CA195" s="100" t="n"/>
      <x:c r="CB195" s="100" t="n"/>
      <x:c r="CC195" s="100" t="n"/>
      <x:c r="CD195" s="100" t="n"/>
      <x:c r="CE195" s="100" t="n"/>
      <x:c r="CF195" s="100" t="n"/>
      <x:c r="CG195" s="100" t="n"/>
      <x:c r="CH195" s="100" t="n"/>
      <x:c r="CI195" s="100" t="n"/>
      <x:c r="CJ195" s="100" t="n"/>
      <x:c r="CK195" s="100" t="n"/>
      <x:c r="CL195" s="100" t="n"/>
      <x:c r="CM195" s="100" t="n"/>
      <x:c r="CN195" s="100" t="n"/>
      <x:c r="CO195" s="100" t="n"/>
      <x:c r="CP195" s="100" t="n"/>
      <x:c r="CQ195" s="100" t="n"/>
      <x:c r="CR195" s="100" t="n"/>
      <x:c r="CS195" s="100" t="n"/>
      <x:c r="CT195" s="100" t="n"/>
      <x:c r="CU195" s="100" t="n"/>
      <x:c r="CV195" s="100" t="n"/>
      <x:c r="CW195" s="100" t="n"/>
      <x:c r="CX195" s="100" t="n"/>
      <x:c r="CY195" s="100" t="n"/>
      <x:c r="CZ195" s="100" t="n"/>
      <x:c r="DA195" s="100" t="n"/>
      <x:c r="DB195" s="100" t="n"/>
      <x:c r="DC195" s="100" t="n"/>
      <x:c r="DD195" s="100" t="n"/>
      <x:c r="DE195" s="100" t="n"/>
      <x:c r="DF195" s="100" t="n"/>
      <x:c r="DG195" s="100" t="n"/>
      <x:c r="DH195" s="100" t="n"/>
      <x:c r="DI195" s="100" t="n"/>
      <x:c r="DJ195" s="100" t="n"/>
      <x:c r="DK195" s="100" t="n"/>
      <x:c r="DL195" s="100" t="n"/>
      <x:c r="DM195" s="100" t="n"/>
      <x:c r="DN195" s="100" t="n"/>
      <x:c r="DO195" s="100" t="n"/>
      <x:c r="DP195" s="100" t="n"/>
      <x:c r="DQ195" s="100" t="n"/>
      <x:c r="DR195" s="100" t="n"/>
      <x:c r="DS195" s="100" t="n"/>
      <x:c r="DT195" s="100" t="n"/>
      <x:c r="DU195" s="100" t="n"/>
      <x:c r="DV195" s="100" t="n"/>
      <x:c r="DW195" s="100" t="n"/>
      <x:c r="DX195" s="100" t="n"/>
      <x:c r="DY195" s="100" t="n"/>
      <x:c r="DZ195" s="100" t="n"/>
      <x:c r="EA195" s="100" t="n"/>
      <x:c r="EB195" s="100" t="n"/>
      <x:c r="EC195" s="100" t="n"/>
      <x:c r="ED195" s="100" t="n"/>
      <x:c r="EE195" s="100" t="n"/>
      <x:c r="EF195" s="100" t="n"/>
      <x:c r="EG195" s="100" t="n"/>
      <x:c r="EH195" s="100" t="n"/>
      <x:c r="EI195" s="100" t="n"/>
      <x:c r="EJ195" s="100" t="n"/>
      <x:c r="EK195" s="100" t="n"/>
      <x:c r="EL195" s="100" t="n"/>
      <x:c r="EM195" s="100" t="n"/>
      <x:c r="EN195" s="100" t="n"/>
      <x:c r="EO195" s="100" t="n"/>
      <x:c r="EP195" s="100" t="n"/>
      <x:c r="EQ195" s="100" t="n"/>
      <x:c r="ER195" s="100" t="n"/>
      <x:c r="ES195" s="100" t="n"/>
      <x:c r="ET195" s="100" t="n"/>
      <x:c r="EU195" s="100" t="n"/>
      <x:c r="EV195" s="100" t="n"/>
      <x:c r="EW195" s="100" t="n"/>
      <x:c r="EX195" s="100" t="n"/>
      <x:c r="EY195" s="100" t="n"/>
      <x:c r="EZ195" s="100" t="n"/>
      <x:c r="FA195" s="100" t="n"/>
      <x:c r="FB195" s="100" t="n"/>
      <x:c r="FC195" s="100" t="n"/>
      <x:c r="FD195" s="100" t="n"/>
      <x:c r="FE195" s="100" t="n"/>
      <x:c r="FF195" s="100" t="n"/>
      <x:c r="FG195" s="100" t="n"/>
      <x:c r="FH195" s="100" t="n"/>
      <x:c r="FI195" s="100" t="n"/>
      <x:c r="FJ195" s="100" t="n"/>
      <x:c r="FK195" s="100" t="n"/>
      <x:c r="FL195" s="100" t="n"/>
      <x:c r="FM195" s="100" t="n"/>
      <x:c r="FN195" s="100" t="n"/>
      <x:c r="FO195" s="100" t="n"/>
      <x:c r="FP195" s="100" t="n"/>
      <x:c r="FQ195" s="100" t="n"/>
      <x:c r="FR195" s="100" t="n"/>
      <x:c r="FS195" s="100" t="n"/>
      <x:c r="FT195" s="100" t="n"/>
      <x:c r="FU195" s="100" t="n"/>
      <x:c r="FV195" s="100" t="n"/>
      <x:c r="FW195" s="100" t="n"/>
      <x:c r="FX195" s="100" t="n"/>
      <x:c r="FY195" s="100" t="n"/>
      <x:c r="FZ195" s="100" t="n"/>
      <x:c r="GA195" s="100" t="n"/>
      <x:c r="GB195" s="100" t="n"/>
      <x:c r="GC195" s="100" t="n"/>
      <x:c r="GD195" s="100" t="n"/>
      <x:c r="GE195" s="100" t="n"/>
      <x:c r="GF195" s="100" t="n"/>
    </x:row>
    <x:row r="196" s="27" customFormat="1">
      <x:c r="A196" s="38" t="n"/>
      <x:c r="B196" s="37" t="n"/>
      <x:c r="C196" s="36" t="n">
        <x:f>E196*D$5</x:f>
        <x:v>0</x:v>
      </x:c>
      <x:c r="D196" s="20" t="n"/>
      <x:c r="E196" s="36" t="n">
        <x:f>SUM(G196:HT196)</x:f>
        <x:v>0</x:v>
      </x:c>
      <x:c r="M196" s="100" t="n"/>
      <x:c r="N196" s="100" t="n"/>
      <x:c r="O196" s="100" t="n"/>
      <x:c r="P196" s="100" t="n"/>
      <x:c r="Q196" s="100" t="n"/>
      <x:c r="R196" s="100" t="n"/>
      <x:c r="S196" s="100" t="n"/>
      <x:c r="T196" s="100" t="n"/>
      <x:c r="U196" s="100" t="n"/>
      <x:c r="V196" s="100" t="n"/>
      <x:c r="W196" s="100" t="n"/>
      <x:c r="X196" s="100" t="n"/>
      <x:c r="Y196" s="100" t="n"/>
      <x:c r="Z196" s="100" t="n"/>
      <x:c r="AA196" s="100" t="n"/>
      <x:c r="AB196" s="100" t="n"/>
      <x:c r="AC196" s="100" t="n"/>
      <x:c r="AD196" s="100" t="n"/>
      <x:c r="AE196" s="100" t="n"/>
      <x:c r="AF196" s="100" t="n"/>
      <x:c r="AG196" s="100" t="n"/>
      <x:c r="AH196" s="100" t="n"/>
      <x:c r="AI196" s="100" t="n"/>
      <x:c r="AJ196" s="100" t="n"/>
      <x:c r="AK196" s="100" t="n"/>
      <x:c r="AL196" s="100" t="n"/>
      <x:c r="AM196" s="100" t="n"/>
      <x:c r="AN196" s="100" t="n"/>
      <x:c r="AO196" s="100" t="n"/>
      <x:c r="AP196" s="100" t="n"/>
      <x:c r="AQ196" s="100" t="n"/>
      <x:c r="AR196" s="100" t="n"/>
      <x:c r="AS196" s="100" t="n"/>
      <x:c r="AT196" s="100" t="n"/>
      <x:c r="AU196" s="100" t="n"/>
      <x:c r="AV196" s="100" t="n"/>
      <x:c r="AW196" s="95" t="n"/>
      <x:c r="AX196" s="95" t="n"/>
      <x:c r="AY196" s="95" t="n"/>
      <x:c r="AZ196" s="95" t="n"/>
      <x:c r="BA196" s="100" t="n"/>
      <x:c r="BB196" s="100" t="n"/>
      <x:c r="BC196" s="100" t="n"/>
      <x:c r="BD196" s="100" t="n"/>
      <x:c r="BE196" s="100" t="n"/>
      <x:c r="BF196" s="100" t="n"/>
      <x:c r="BG196" s="100" t="n"/>
      <x:c r="BH196" s="100" t="n"/>
      <x:c r="BI196" s="100" t="n"/>
      <x:c r="BJ196" s="100" t="n"/>
      <x:c r="BK196" s="100" t="n"/>
      <x:c r="BL196" s="100" t="n"/>
      <x:c r="BM196" s="100" t="n"/>
      <x:c r="BN196" s="100" t="n"/>
      <x:c r="BO196" s="100" t="n"/>
      <x:c r="BP196" s="100" t="n"/>
      <x:c r="BQ196" s="100" t="n"/>
      <x:c r="BR196" s="100" t="n"/>
      <x:c r="BS196" s="100" t="n"/>
      <x:c r="BT196" s="100" t="n"/>
      <x:c r="BU196" s="100" t="n"/>
      <x:c r="BV196" s="100" t="n"/>
      <x:c r="BW196" s="100" t="n"/>
      <x:c r="BX196" s="100" t="n"/>
      <x:c r="BY196" s="100" t="n"/>
      <x:c r="BZ196" s="100" t="n"/>
      <x:c r="CA196" s="100" t="n"/>
      <x:c r="CB196" s="100" t="n"/>
      <x:c r="CC196" s="100" t="n"/>
      <x:c r="CD196" s="100" t="n"/>
      <x:c r="CE196" s="100" t="n"/>
      <x:c r="CF196" s="100" t="n"/>
      <x:c r="CG196" s="100" t="n"/>
      <x:c r="CH196" s="100" t="n"/>
      <x:c r="CI196" s="100" t="n"/>
      <x:c r="CJ196" s="100" t="n"/>
      <x:c r="CK196" s="100" t="n"/>
      <x:c r="CL196" s="100" t="n"/>
      <x:c r="CM196" s="100" t="n"/>
      <x:c r="CN196" s="100" t="n"/>
      <x:c r="CO196" s="100" t="n"/>
      <x:c r="CP196" s="100" t="n"/>
      <x:c r="CQ196" s="100" t="n"/>
      <x:c r="CR196" s="100" t="n"/>
      <x:c r="CS196" s="100" t="n"/>
      <x:c r="CT196" s="100" t="n"/>
      <x:c r="CU196" s="100" t="n"/>
      <x:c r="CV196" s="100" t="n"/>
      <x:c r="CW196" s="100" t="n"/>
      <x:c r="CX196" s="100" t="n"/>
      <x:c r="CY196" s="100" t="n"/>
      <x:c r="CZ196" s="100" t="n"/>
      <x:c r="DA196" s="100" t="n"/>
      <x:c r="DB196" s="100" t="n"/>
      <x:c r="DC196" s="100" t="n"/>
      <x:c r="DD196" s="100" t="n"/>
      <x:c r="DE196" s="100" t="n"/>
      <x:c r="DF196" s="100" t="n"/>
      <x:c r="DG196" s="100" t="n"/>
      <x:c r="DH196" s="100" t="n"/>
      <x:c r="DI196" s="100" t="n"/>
      <x:c r="DJ196" s="100" t="n"/>
      <x:c r="DK196" s="100" t="n"/>
      <x:c r="DL196" s="100" t="n"/>
      <x:c r="DM196" s="100" t="n"/>
      <x:c r="DN196" s="100" t="n"/>
      <x:c r="DO196" s="100" t="n"/>
      <x:c r="DP196" s="100" t="n"/>
      <x:c r="DQ196" s="100" t="n"/>
      <x:c r="DR196" s="100" t="n"/>
      <x:c r="DS196" s="100" t="n"/>
      <x:c r="DT196" s="100" t="n"/>
      <x:c r="DU196" s="100" t="n"/>
      <x:c r="DV196" s="100" t="n"/>
      <x:c r="DW196" s="100" t="n"/>
      <x:c r="DX196" s="100" t="n"/>
      <x:c r="DY196" s="100" t="n"/>
      <x:c r="DZ196" s="100" t="n"/>
      <x:c r="EA196" s="100" t="n"/>
      <x:c r="EB196" s="100" t="n"/>
      <x:c r="EC196" s="100" t="n"/>
      <x:c r="ED196" s="100" t="n"/>
      <x:c r="EE196" s="100" t="n"/>
      <x:c r="EF196" s="100" t="n"/>
      <x:c r="EG196" s="100" t="n"/>
      <x:c r="EH196" s="100" t="n"/>
      <x:c r="EI196" s="100" t="n"/>
      <x:c r="EJ196" s="100" t="n"/>
      <x:c r="EK196" s="100" t="n"/>
      <x:c r="EL196" s="100" t="n"/>
      <x:c r="EM196" s="100" t="n"/>
      <x:c r="EN196" s="100" t="n"/>
      <x:c r="EO196" s="100" t="n"/>
      <x:c r="EP196" s="100" t="n"/>
      <x:c r="EQ196" s="100" t="n"/>
      <x:c r="ER196" s="100" t="n"/>
      <x:c r="ES196" s="100" t="n"/>
      <x:c r="ET196" s="100" t="n"/>
      <x:c r="EU196" s="100" t="n"/>
      <x:c r="EV196" s="100" t="n"/>
      <x:c r="EW196" s="100" t="n"/>
      <x:c r="EX196" s="100" t="n"/>
      <x:c r="EY196" s="100" t="n"/>
      <x:c r="EZ196" s="100" t="n"/>
      <x:c r="FA196" s="100" t="n"/>
      <x:c r="FB196" s="100" t="n"/>
      <x:c r="FC196" s="100" t="n"/>
      <x:c r="FD196" s="100" t="n"/>
      <x:c r="FE196" s="100" t="n"/>
      <x:c r="FF196" s="100" t="n"/>
      <x:c r="FG196" s="100" t="n"/>
      <x:c r="FH196" s="100" t="n"/>
      <x:c r="FI196" s="100" t="n"/>
      <x:c r="FJ196" s="100" t="n"/>
      <x:c r="FK196" s="100" t="n"/>
      <x:c r="FL196" s="100" t="n"/>
      <x:c r="FM196" s="100" t="n"/>
      <x:c r="FN196" s="100" t="n"/>
      <x:c r="FO196" s="100" t="n"/>
      <x:c r="FP196" s="100" t="n"/>
      <x:c r="FQ196" s="100" t="n"/>
      <x:c r="FR196" s="100" t="n"/>
      <x:c r="FS196" s="100" t="n"/>
      <x:c r="FT196" s="100" t="n"/>
      <x:c r="FU196" s="100" t="n"/>
      <x:c r="FV196" s="100" t="n"/>
      <x:c r="FW196" s="100" t="n"/>
      <x:c r="FX196" s="100" t="n"/>
      <x:c r="FY196" s="100" t="n"/>
      <x:c r="FZ196" s="100" t="n"/>
      <x:c r="GA196" s="100" t="n"/>
      <x:c r="GB196" s="100" t="n"/>
      <x:c r="GC196" s="100" t="n"/>
      <x:c r="GD196" s="100" t="n"/>
      <x:c r="GE196" s="100" t="n"/>
      <x:c r="GF196" s="100" t="n"/>
    </x:row>
    <x:row r="197" s="27" customFormat="1">
      <x:c r="A197" s="38" t="n"/>
      <x:c r="B197" s="37" t="n"/>
      <x:c r="C197" s="36" t="n">
        <x:f>E197*D$5</x:f>
        <x:v>0</x:v>
      </x:c>
      <x:c r="D197" s="20" t="n"/>
      <x:c r="E197" s="36" t="n">
        <x:f>SUM(G197:HT197)</x:f>
        <x:v>0</x:v>
      </x:c>
      <x:c r="M197" s="100" t="n"/>
      <x:c r="N197" s="100" t="n"/>
      <x:c r="O197" s="100" t="n"/>
      <x:c r="P197" s="100" t="n"/>
      <x:c r="Q197" s="100" t="n"/>
      <x:c r="R197" s="100" t="n"/>
      <x:c r="S197" s="100" t="n"/>
      <x:c r="T197" s="100" t="n"/>
      <x:c r="U197" s="100" t="n"/>
      <x:c r="V197" s="100" t="n"/>
      <x:c r="W197" s="100" t="n"/>
      <x:c r="X197" s="100" t="n"/>
      <x:c r="Y197" s="100" t="n"/>
      <x:c r="Z197" s="100" t="n"/>
      <x:c r="AA197" s="100" t="n"/>
      <x:c r="AB197" s="100" t="n"/>
      <x:c r="AC197" s="100" t="n"/>
      <x:c r="AD197" s="100" t="n"/>
      <x:c r="AE197" s="100" t="n"/>
      <x:c r="AF197" s="100" t="n"/>
      <x:c r="AG197" s="100" t="n"/>
      <x:c r="AH197" s="100" t="n"/>
      <x:c r="AI197" s="100" t="n"/>
      <x:c r="AJ197" s="100" t="n"/>
      <x:c r="AK197" s="100" t="n"/>
      <x:c r="AL197" s="100" t="n"/>
      <x:c r="AM197" s="100" t="n"/>
      <x:c r="AN197" s="100" t="n"/>
      <x:c r="AO197" s="100" t="n"/>
      <x:c r="AP197" s="100" t="n"/>
      <x:c r="AQ197" s="100" t="n"/>
      <x:c r="AR197" s="100" t="n"/>
      <x:c r="AS197" s="100" t="n"/>
      <x:c r="AT197" s="100" t="n"/>
      <x:c r="AU197" s="100" t="n"/>
      <x:c r="AV197" s="100" t="n"/>
      <x:c r="AW197" s="95" t="n"/>
      <x:c r="AX197" s="95" t="n"/>
      <x:c r="AY197" s="95" t="n"/>
      <x:c r="AZ197" s="95" t="n"/>
      <x:c r="BA197" s="100" t="n"/>
      <x:c r="BB197" s="100" t="n"/>
      <x:c r="BC197" s="100" t="n"/>
      <x:c r="BD197" s="100" t="n"/>
      <x:c r="BE197" s="100" t="n"/>
      <x:c r="BF197" s="100" t="n"/>
      <x:c r="BG197" s="100" t="n"/>
      <x:c r="BH197" s="100" t="n"/>
      <x:c r="BI197" s="100" t="n"/>
      <x:c r="BJ197" s="100" t="n"/>
      <x:c r="BK197" s="100" t="n"/>
      <x:c r="BL197" s="100" t="n"/>
      <x:c r="BM197" s="100" t="n"/>
      <x:c r="BN197" s="100" t="n"/>
      <x:c r="BO197" s="100" t="n"/>
      <x:c r="BP197" s="100" t="n"/>
      <x:c r="BQ197" s="100" t="n"/>
      <x:c r="BR197" s="100" t="n"/>
      <x:c r="BS197" s="100" t="n"/>
      <x:c r="BT197" s="100" t="n"/>
      <x:c r="BU197" s="100" t="n"/>
      <x:c r="BV197" s="100" t="n"/>
      <x:c r="BW197" s="100" t="n"/>
      <x:c r="BX197" s="100" t="n"/>
      <x:c r="BY197" s="100" t="n"/>
      <x:c r="BZ197" s="100" t="n"/>
      <x:c r="CA197" s="100" t="n"/>
      <x:c r="CB197" s="100" t="n"/>
      <x:c r="CC197" s="100" t="n"/>
      <x:c r="CD197" s="100" t="n"/>
      <x:c r="CE197" s="100" t="n"/>
      <x:c r="CF197" s="100" t="n"/>
      <x:c r="CG197" s="100" t="n"/>
      <x:c r="CH197" s="100" t="n"/>
      <x:c r="CI197" s="100" t="n"/>
      <x:c r="CJ197" s="100" t="n"/>
      <x:c r="CK197" s="100" t="n"/>
      <x:c r="CL197" s="100" t="n"/>
      <x:c r="CM197" s="100" t="n"/>
      <x:c r="CN197" s="100" t="n"/>
      <x:c r="CO197" s="100" t="n"/>
      <x:c r="CP197" s="100" t="n"/>
      <x:c r="CQ197" s="100" t="n"/>
      <x:c r="CR197" s="100" t="n"/>
      <x:c r="CS197" s="100" t="n"/>
      <x:c r="CT197" s="100" t="n"/>
      <x:c r="CU197" s="100" t="n"/>
      <x:c r="CV197" s="100" t="n"/>
      <x:c r="CW197" s="100" t="n"/>
      <x:c r="CX197" s="100" t="n"/>
      <x:c r="CY197" s="100" t="n"/>
      <x:c r="CZ197" s="100" t="n"/>
      <x:c r="DA197" s="100" t="n"/>
      <x:c r="DB197" s="100" t="n"/>
      <x:c r="DC197" s="100" t="n"/>
      <x:c r="DD197" s="100" t="n"/>
      <x:c r="DE197" s="100" t="n"/>
      <x:c r="DF197" s="100" t="n"/>
      <x:c r="DG197" s="100" t="n"/>
      <x:c r="DH197" s="100" t="n"/>
      <x:c r="DI197" s="100" t="n"/>
      <x:c r="DJ197" s="100" t="n"/>
      <x:c r="DK197" s="100" t="n"/>
      <x:c r="DL197" s="100" t="n"/>
      <x:c r="DM197" s="100" t="n"/>
      <x:c r="DN197" s="100" t="n"/>
      <x:c r="DO197" s="100" t="n"/>
      <x:c r="DP197" s="100" t="n"/>
      <x:c r="DQ197" s="100" t="n"/>
      <x:c r="DR197" s="100" t="n"/>
      <x:c r="DS197" s="100" t="n"/>
      <x:c r="DT197" s="100" t="n"/>
      <x:c r="DU197" s="100" t="n"/>
      <x:c r="DV197" s="100" t="n"/>
      <x:c r="DW197" s="100" t="n"/>
      <x:c r="DX197" s="100" t="n"/>
      <x:c r="DY197" s="100" t="n"/>
      <x:c r="DZ197" s="100" t="n"/>
      <x:c r="EA197" s="100" t="n"/>
      <x:c r="EB197" s="100" t="n"/>
      <x:c r="EC197" s="100" t="n"/>
      <x:c r="ED197" s="100" t="n"/>
      <x:c r="EE197" s="100" t="n"/>
      <x:c r="EF197" s="100" t="n"/>
      <x:c r="EG197" s="100" t="n"/>
      <x:c r="EH197" s="100" t="n"/>
      <x:c r="EI197" s="100" t="n"/>
      <x:c r="EJ197" s="100" t="n"/>
      <x:c r="EK197" s="100" t="n"/>
      <x:c r="EL197" s="100" t="n"/>
      <x:c r="EM197" s="100" t="n"/>
      <x:c r="EN197" s="100" t="n"/>
      <x:c r="EO197" s="100" t="n"/>
      <x:c r="EP197" s="100" t="n"/>
      <x:c r="EQ197" s="100" t="n"/>
      <x:c r="ER197" s="100" t="n"/>
      <x:c r="ES197" s="100" t="n"/>
      <x:c r="ET197" s="100" t="n"/>
      <x:c r="EU197" s="100" t="n"/>
      <x:c r="EV197" s="100" t="n"/>
      <x:c r="EW197" s="100" t="n"/>
      <x:c r="EX197" s="100" t="n"/>
      <x:c r="EY197" s="100" t="n"/>
      <x:c r="EZ197" s="100" t="n"/>
      <x:c r="FA197" s="100" t="n"/>
      <x:c r="FB197" s="100" t="n"/>
      <x:c r="FC197" s="100" t="n"/>
      <x:c r="FD197" s="100" t="n"/>
      <x:c r="FE197" s="100" t="n"/>
      <x:c r="FF197" s="100" t="n"/>
      <x:c r="FG197" s="100" t="n"/>
      <x:c r="FH197" s="100" t="n"/>
      <x:c r="FI197" s="100" t="n"/>
      <x:c r="FJ197" s="100" t="n"/>
      <x:c r="FK197" s="100" t="n"/>
      <x:c r="FL197" s="100" t="n"/>
      <x:c r="FM197" s="100" t="n"/>
      <x:c r="FN197" s="100" t="n"/>
      <x:c r="FO197" s="100" t="n"/>
      <x:c r="FP197" s="100" t="n"/>
      <x:c r="FQ197" s="100" t="n"/>
      <x:c r="FR197" s="100" t="n"/>
      <x:c r="FS197" s="100" t="n"/>
      <x:c r="FT197" s="100" t="n"/>
      <x:c r="FU197" s="100" t="n"/>
      <x:c r="FV197" s="100" t="n"/>
      <x:c r="FW197" s="100" t="n"/>
      <x:c r="FX197" s="100" t="n"/>
      <x:c r="FY197" s="100" t="n"/>
      <x:c r="FZ197" s="100" t="n"/>
      <x:c r="GA197" s="100" t="n"/>
      <x:c r="GB197" s="100" t="n"/>
      <x:c r="GC197" s="100" t="n"/>
      <x:c r="GD197" s="100" t="n"/>
      <x:c r="GE197" s="100" t="n"/>
      <x:c r="GF197" s="100" t="n"/>
    </x:row>
    <x:row r="198" s="27" customFormat="1">
      <x:c r="A198" s="38" t="n"/>
      <x:c r="B198" s="37" t="n"/>
      <x:c r="C198" s="36" t="n">
        <x:f>E198*D$5</x:f>
        <x:v>0</x:v>
      </x:c>
      <x:c r="D198" s="20" t="n"/>
      <x:c r="E198" s="36" t="n">
        <x:f>SUM(G198:HT198)</x:f>
        <x:v>0</x:v>
      </x:c>
      <x:c r="M198" s="100" t="n"/>
      <x:c r="N198" s="100" t="n"/>
      <x:c r="O198" s="100" t="n"/>
      <x:c r="P198" s="100" t="n"/>
      <x:c r="Q198" s="100" t="n"/>
      <x:c r="R198" s="100" t="n"/>
      <x:c r="S198" s="100" t="n"/>
      <x:c r="T198" s="100" t="n"/>
      <x:c r="U198" s="100" t="n"/>
      <x:c r="V198" s="100" t="n"/>
      <x:c r="W198" s="100" t="n"/>
      <x:c r="X198" s="100" t="n"/>
      <x:c r="Y198" s="100" t="n"/>
      <x:c r="Z198" s="100" t="n"/>
      <x:c r="AA198" s="100" t="n"/>
      <x:c r="AB198" s="100" t="n"/>
      <x:c r="AC198" s="100" t="n"/>
      <x:c r="AD198" s="100" t="n"/>
      <x:c r="AE198" s="100" t="n"/>
      <x:c r="AF198" s="100" t="n"/>
      <x:c r="AG198" s="100" t="n"/>
      <x:c r="AH198" s="100" t="n"/>
      <x:c r="AI198" s="100" t="n"/>
      <x:c r="AJ198" s="100" t="n"/>
      <x:c r="AK198" s="100" t="n"/>
      <x:c r="AL198" s="100" t="n"/>
      <x:c r="AM198" s="100" t="n"/>
      <x:c r="AN198" s="100" t="n"/>
      <x:c r="AO198" s="100" t="n"/>
      <x:c r="AP198" s="100" t="n"/>
      <x:c r="AQ198" s="100" t="n"/>
      <x:c r="AR198" s="100" t="n"/>
      <x:c r="AS198" s="100" t="n"/>
      <x:c r="AT198" s="100" t="n"/>
      <x:c r="AU198" s="100" t="n"/>
      <x:c r="AV198" s="100" t="n"/>
      <x:c r="AW198" s="95" t="n"/>
      <x:c r="AX198" s="95" t="n"/>
      <x:c r="AY198" s="95" t="n"/>
      <x:c r="AZ198" s="95" t="n"/>
      <x:c r="BA198" s="100" t="n"/>
      <x:c r="BB198" s="100" t="n"/>
      <x:c r="BC198" s="100" t="n"/>
      <x:c r="BD198" s="100" t="n"/>
      <x:c r="BE198" s="100" t="n"/>
      <x:c r="BF198" s="100" t="n"/>
      <x:c r="BG198" s="100" t="n"/>
      <x:c r="BH198" s="100" t="n"/>
      <x:c r="BI198" s="100" t="n"/>
      <x:c r="BJ198" s="100" t="n"/>
      <x:c r="BK198" s="100" t="n"/>
      <x:c r="BL198" s="100" t="n"/>
      <x:c r="BM198" s="100" t="n"/>
      <x:c r="BN198" s="100" t="n"/>
      <x:c r="BO198" s="100" t="n"/>
      <x:c r="BP198" s="100" t="n"/>
      <x:c r="BQ198" s="100" t="n"/>
      <x:c r="BR198" s="100" t="n"/>
      <x:c r="BS198" s="100" t="n"/>
      <x:c r="BT198" s="100" t="n"/>
      <x:c r="BU198" s="100" t="n"/>
      <x:c r="BV198" s="100" t="n"/>
      <x:c r="BW198" s="100" t="n"/>
      <x:c r="BX198" s="100" t="n"/>
      <x:c r="BY198" s="100" t="n"/>
      <x:c r="BZ198" s="100" t="n"/>
      <x:c r="CA198" s="100" t="n"/>
      <x:c r="CB198" s="100" t="n"/>
      <x:c r="CC198" s="100" t="n"/>
      <x:c r="CD198" s="100" t="n"/>
      <x:c r="CE198" s="100" t="n"/>
      <x:c r="CF198" s="100" t="n"/>
      <x:c r="CG198" s="100" t="n"/>
      <x:c r="CH198" s="100" t="n"/>
      <x:c r="CI198" s="100" t="n"/>
      <x:c r="CJ198" s="100" t="n"/>
      <x:c r="CK198" s="100" t="n"/>
      <x:c r="CL198" s="100" t="n"/>
      <x:c r="CM198" s="100" t="n"/>
      <x:c r="CN198" s="100" t="n"/>
      <x:c r="CO198" s="100" t="n"/>
      <x:c r="CP198" s="100" t="n"/>
      <x:c r="CQ198" s="100" t="n"/>
      <x:c r="CR198" s="100" t="n"/>
      <x:c r="CS198" s="100" t="n"/>
      <x:c r="CT198" s="100" t="n"/>
      <x:c r="CU198" s="100" t="n"/>
      <x:c r="CV198" s="100" t="n"/>
      <x:c r="CW198" s="100" t="n"/>
      <x:c r="CX198" s="100" t="n"/>
      <x:c r="CY198" s="100" t="n"/>
      <x:c r="CZ198" s="100" t="n"/>
      <x:c r="DA198" s="100" t="n"/>
      <x:c r="DB198" s="100" t="n"/>
      <x:c r="DC198" s="100" t="n"/>
      <x:c r="DD198" s="100" t="n"/>
      <x:c r="DE198" s="100" t="n"/>
      <x:c r="DF198" s="100" t="n"/>
      <x:c r="DG198" s="100" t="n"/>
      <x:c r="DH198" s="100" t="n"/>
      <x:c r="DI198" s="100" t="n"/>
      <x:c r="DJ198" s="100" t="n"/>
      <x:c r="DK198" s="100" t="n"/>
      <x:c r="DL198" s="100" t="n"/>
      <x:c r="DM198" s="100" t="n"/>
      <x:c r="DN198" s="100" t="n"/>
      <x:c r="DO198" s="100" t="n"/>
      <x:c r="DP198" s="100" t="n"/>
      <x:c r="DQ198" s="100" t="n"/>
      <x:c r="DR198" s="100" t="n"/>
      <x:c r="DS198" s="100" t="n"/>
      <x:c r="DT198" s="100" t="n"/>
      <x:c r="DU198" s="100" t="n"/>
      <x:c r="DV198" s="100" t="n"/>
      <x:c r="DW198" s="100" t="n"/>
      <x:c r="DX198" s="100" t="n"/>
      <x:c r="DY198" s="100" t="n"/>
      <x:c r="DZ198" s="100" t="n"/>
      <x:c r="EA198" s="100" t="n"/>
      <x:c r="EB198" s="100" t="n"/>
      <x:c r="EC198" s="100" t="n"/>
      <x:c r="ED198" s="100" t="n"/>
      <x:c r="EE198" s="100" t="n"/>
      <x:c r="EF198" s="100" t="n"/>
      <x:c r="EG198" s="100" t="n"/>
      <x:c r="EH198" s="100" t="n"/>
      <x:c r="EI198" s="100" t="n"/>
      <x:c r="EJ198" s="100" t="n"/>
      <x:c r="EK198" s="100" t="n"/>
      <x:c r="EL198" s="100" t="n"/>
      <x:c r="EM198" s="100" t="n"/>
      <x:c r="EN198" s="100" t="n"/>
      <x:c r="EO198" s="100" t="n"/>
      <x:c r="EP198" s="100" t="n"/>
      <x:c r="EQ198" s="100" t="n"/>
      <x:c r="ER198" s="100" t="n"/>
      <x:c r="ES198" s="100" t="n"/>
      <x:c r="ET198" s="100" t="n"/>
      <x:c r="EU198" s="100" t="n"/>
      <x:c r="EV198" s="100" t="n"/>
      <x:c r="EW198" s="100" t="n"/>
      <x:c r="EX198" s="100" t="n"/>
      <x:c r="EY198" s="100" t="n"/>
      <x:c r="EZ198" s="100" t="n"/>
      <x:c r="FA198" s="100" t="n"/>
      <x:c r="FB198" s="100" t="n"/>
      <x:c r="FC198" s="100" t="n"/>
      <x:c r="FD198" s="100" t="n"/>
      <x:c r="FE198" s="100" t="n"/>
      <x:c r="FF198" s="100" t="n"/>
      <x:c r="FG198" s="100" t="n"/>
      <x:c r="FH198" s="100" t="n"/>
      <x:c r="FI198" s="100" t="n"/>
      <x:c r="FJ198" s="100" t="n"/>
      <x:c r="FK198" s="100" t="n"/>
      <x:c r="FL198" s="100" t="n"/>
      <x:c r="FM198" s="100" t="n"/>
      <x:c r="FN198" s="100" t="n"/>
      <x:c r="FO198" s="100" t="n"/>
      <x:c r="FP198" s="100" t="n"/>
      <x:c r="FQ198" s="100" t="n"/>
      <x:c r="FR198" s="100" t="n"/>
      <x:c r="FS198" s="100" t="n"/>
      <x:c r="FT198" s="100" t="n"/>
      <x:c r="FU198" s="100" t="n"/>
      <x:c r="FV198" s="100" t="n"/>
      <x:c r="FW198" s="100" t="n"/>
      <x:c r="FX198" s="100" t="n"/>
      <x:c r="FY198" s="100" t="n"/>
      <x:c r="FZ198" s="100" t="n"/>
      <x:c r="GA198" s="100" t="n"/>
      <x:c r="GB198" s="100" t="n"/>
      <x:c r="GC198" s="100" t="n"/>
      <x:c r="GD198" s="100" t="n"/>
      <x:c r="GE198" s="100" t="n"/>
      <x:c r="GF198" s="100" t="n"/>
    </x:row>
    <x:row r="199" s="27" customFormat="1">
      <x:c r="A199" s="38" t="n"/>
      <x:c r="B199" s="37" t="n"/>
      <x:c r="C199" s="36" t="n">
        <x:f>E199*D$5</x:f>
        <x:v>0</x:v>
      </x:c>
      <x:c r="D199" s="20" t="n"/>
      <x:c r="E199" s="36" t="n">
        <x:f>SUM(G199:HT199)</x:f>
        <x:v>0</x:v>
      </x:c>
      <x:c r="M199" s="100" t="n"/>
      <x:c r="N199" s="100" t="n"/>
      <x:c r="O199" s="100" t="n"/>
      <x:c r="P199" s="100" t="n"/>
      <x:c r="Q199" s="100" t="n"/>
      <x:c r="R199" s="100" t="n"/>
      <x:c r="S199" s="100" t="n"/>
      <x:c r="T199" s="100" t="n"/>
      <x:c r="U199" s="100" t="n"/>
      <x:c r="V199" s="100" t="n"/>
      <x:c r="W199" s="100" t="n"/>
      <x:c r="X199" s="100" t="n"/>
      <x:c r="Y199" s="100" t="n"/>
      <x:c r="Z199" s="100" t="n"/>
      <x:c r="AA199" s="100" t="n"/>
      <x:c r="AB199" s="100" t="n"/>
      <x:c r="AC199" s="100" t="n"/>
      <x:c r="AD199" s="100" t="n"/>
      <x:c r="AE199" s="100" t="n"/>
      <x:c r="AF199" s="100" t="n"/>
      <x:c r="AG199" s="100" t="n"/>
      <x:c r="AH199" s="100" t="n"/>
      <x:c r="AI199" s="100" t="n"/>
      <x:c r="AJ199" s="100" t="n"/>
      <x:c r="AK199" s="100" t="n"/>
      <x:c r="AL199" s="100" t="n"/>
      <x:c r="AM199" s="100" t="n"/>
      <x:c r="AN199" s="100" t="n"/>
      <x:c r="AO199" s="100" t="n"/>
      <x:c r="AP199" s="100" t="n"/>
      <x:c r="AQ199" s="100" t="n"/>
      <x:c r="AR199" s="100" t="n"/>
      <x:c r="AS199" s="100" t="n"/>
      <x:c r="AT199" s="100" t="n"/>
      <x:c r="AU199" s="100" t="n"/>
      <x:c r="AV199" s="100" t="n"/>
      <x:c r="AW199" s="95" t="n"/>
      <x:c r="AX199" s="95" t="n"/>
      <x:c r="AY199" s="95" t="n"/>
      <x:c r="AZ199" s="95" t="n"/>
      <x:c r="BA199" s="100" t="n"/>
      <x:c r="BB199" s="100" t="n"/>
      <x:c r="BC199" s="100" t="n"/>
      <x:c r="BD199" s="100" t="n"/>
      <x:c r="BE199" s="100" t="n"/>
      <x:c r="BF199" s="100" t="n"/>
      <x:c r="BG199" s="100" t="n"/>
      <x:c r="BH199" s="100" t="n"/>
      <x:c r="BI199" s="100" t="n"/>
      <x:c r="BJ199" s="100" t="n"/>
      <x:c r="BK199" s="100" t="n"/>
      <x:c r="BL199" s="100" t="n"/>
      <x:c r="BM199" s="100" t="n"/>
      <x:c r="BN199" s="100" t="n"/>
      <x:c r="BO199" s="100" t="n"/>
      <x:c r="BP199" s="100" t="n"/>
      <x:c r="BQ199" s="100" t="n"/>
      <x:c r="BR199" s="100" t="n"/>
      <x:c r="BS199" s="100" t="n"/>
      <x:c r="BT199" s="100" t="n"/>
      <x:c r="BU199" s="100" t="n"/>
      <x:c r="BV199" s="100" t="n"/>
      <x:c r="BW199" s="100" t="n"/>
      <x:c r="BX199" s="100" t="n"/>
      <x:c r="BY199" s="100" t="n"/>
      <x:c r="BZ199" s="100" t="n"/>
      <x:c r="CA199" s="100" t="n"/>
      <x:c r="CB199" s="100" t="n"/>
      <x:c r="CC199" s="100" t="n"/>
      <x:c r="CD199" s="100" t="n"/>
      <x:c r="CE199" s="100" t="n"/>
      <x:c r="CF199" s="100" t="n"/>
      <x:c r="CG199" s="100" t="n"/>
      <x:c r="CH199" s="100" t="n"/>
      <x:c r="CI199" s="100" t="n"/>
      <x:c r="CJ199" s="100" t="n"/>
      <x:c r="CK199" s="100" t="n"/>
      <x:c r="CL199" s="100" t="n"/>
      <x:c r="CM199" s="100" t="n"/>
      <x:c r="CN199" s="100" t="n"/>
      <x:c r="CO199" s="100" t="n"/>
      <x:c r="CP199" s="100" t="n"/>
      <x:c r="CQ199" s="100" t="n"/>
      <x:c r="CR199" s="100" t="n"/>
      <x:c r="CS199" s="100" t="n"/>
      <x:c r="CT199" s="100" t="n"/>
      <x:c r="CU199" s="100" t="n"/>
      <x:c r="CV199" s="100" t="n"/>
      <x:c r="CW199" s="100" t="n"/>
      <x:c r="CX199" s="100" t="n"/>
      <x:c r="CY199" s="100" t="n"/>
      <x:c r="CZ199" s="100" t="n"/>
      <x:c r="DA199" s="100" t="n"/>
      <x:c r="DB199" s="100" t="n"/>
      <x:c r="DC199" s="100" t="n"/>
      <x:c r="DD199" s="100" t="n"/>
      <x:c r="DE199" s="100" t="n"/>
      <x:c r="DF199" s="100" t="n"/>
      <x:c r="DG199" s="100" t="n"/>
      <x:c r="DH199" s="100" t="n"/>
      <x:c r="DI199" s="100" t="n"/>
      <x:c r="DJ199" s="100" t="n"/>
      <x:c r="DK199" s="100" t="n"/>
      <x:c r="DL199" s="100" t="n"/>
      <x:c r="DM199" s="100" t="n"/>
      <x:c r="DN199" s="100" t="n"/>
      <x:c r="DO199" s="100" t="n"/>
      <x:c r="DP199" s="100" t="n"/>
      <x:c r="DQ199" s="100" t="n"/>
      <x:c r="DR199" s="100" t="n"/>
      <x:c r="DS199" s="100" t="n"/>
      <x:c r="DT199" s="100" t="n"/>
      <x:c r="DU199" s="100" t="n"/>
      <x:c r="DV199" s="100" t="n"/>
      <x:c r="DW199" s="100" t="n"/>
      <x:c r="DX199" s="100" t="n"/>
      <x:c r="DY199" s="100" t="n"/>
      <x:c r="DZ199" s="100" t="n"/>
      <x:c r="EA199" s="100" t="n"/>
      <x:c r="EB199" s="100" t="n"/>
      <x:c r="EC199" s="100" t="n"/>
      <x:c r="ED199" s="100" t="n"/>
      <x:c r="EE199" s="100" t="n"/>
      <x:c r="EF199" s="100" t="n"/>
      <x:c r="EG199" s="100" t="n"/>
      <x:c r="EH199" s="100" t="n"/>
      <x:c r="EI199" s="100" t="n"/>
      <x:c r="EJ199" s="100" t="n"/>
      <x:c r="EK199" s="100" t="n"/>
      <x:c r="EL199" s="100" t="n"/>
      <x:c r="EM199" s="100" t="n"/>
      <x:c r="EN199" s="100" t="n"/>
      <x:c r="EO199" s="100" t="n"/>
      <x:c r="EP199" s="100" t="n"/>
      <x:c r="EQ199" s="100" t="n"/>
      <x:c r="ER199" s="100" t="n"/>
      <x:c r="ES199" s="100" t="n"/>
      <x:c r="ET199" s="100" t="n"/>
      <x:c r="EU199" s="100" t="n"/>
      <x:c r="EV199" s="100" t="n"/>
      <x:c r="EW199" s="100" t="n"/>
      <x:c r="EX199" s="100" t="n"/>
      <x:c r="EY199" s="100" t="n"/>
      <x:c r="EZ199" s="100" t="n"/>
      <x:c r="FA199" s="100" t="n"/>
      <x:c r="FB199" s="100" t="n"/>
      <x:c r="FC199" s="100" t="n"/>
      <x:c r="FD199" s="100" t="n"/>
      <x:c r="FE199" s="100" t="n"/>
      <x:c r="FF199" s="100" t="n"/>
      <x:c r="FG199" s="100" t="n"/>
      <x:c r="FH199" s="100" t="n"/>
      <x:c r="FI199" s="100" t="n"/>
      <x:c r="FJ199" s="100" t="n"/>
      <x:c r="FK199" s="100" t="n"/>
      <x:c r="FL199" s="100" t="n"/>
      <x:c r="FM199" s="100" t="n"/>
      <x:c r="FN199" s="100" t="n"/>
      <x:c r="FO199" s="100" t="n"/>
      <x:c r="FP199" s="100" t="n"/>
      <x:c r="FQ199" s="100" t="n"/>
      <x:c r="FR199" s="100" t="n"/>
      <x:c r="FS199" s="100" t="n"/>
      <x:c r="FT199" s="100" t="n"/>
      <x:c r="FU199" s="100" t="n"/>
      <x:c r="FV199" s="100" t="n"/>
      <x:c r="FW199" s="100" t="n"/>
      <x:c r="FX199" s="100" t="n"/>
      <x:c r="FY199" s="100" t="n"/>
      <x:c r="FZ199" s="100" t="n"/>
      <x:c r="GA199" s="100" t="n"/>
      <x:c r="GB199" s="100" t="n"/>
      <x:c r="GC199" s="100" t="n"/>
      <x:c r="GD199" s="100" t="n"/>
      <x:c r="GE199" s="100" t="n"/>
      <x:c r="GF199" s="100" t="n"/>
    </x:row>
    <x:row r="200" s="27" customFormat="1">
      <x:c r="A200" s="38" t="n"/>
      <x:c r="B200" s="37" t="n"/>
      <x:c r="C200" s="36" t="n">
        <x:f>E200*D$5</x:f>
        <x:v>0</x:v>
      </x:c>
      <x:c r="D200" s="20" t="n"/>
      <x:c r="E200" s="36" t="n">
        <x:f>SUM(G200:HT200)</x:f>
        <x:v>0</x:v>
      </x:c>
      <x:c r="M200" s="100" t="n"/>
      <x:c r="N200" s="100" t="n"/>
      <x:c r="O200" s="100" t="n"/>
      <x:c r="P200" s="100" t="n"/>
      <x:c r="Q200" s="100" t="n"/>
      <x:c r="R200" s="100" t="n"/>
      <x:c r="S200" s="100" t="n"/>
      <x:c r="T200" s="100" t="n"/>
      <x:c r="U200" s="100" t="n"/>
      <x:c r="V200" s="100" t="n"/>
      <x:c r="W200" s="100" t="n"/>
      <x:c r="X200" s="100" t="n"/>
      <x:c r="Y200" s="100" t="n"/>
      <x:c r="Z200" s="100" t="n"/>
      <x:c r="AA200" s="100" t="n"/>
      <x:c r="AB200" s="100" t="n"/>
      <x:c r="AC200" s="100" t="n"/>
      <x:c r="AD200" s="100" t="n"/>
      <x:c r="AE200" s="100" t="n"/>
      <x:c r="AF200" s="100" t="n"/>
      <x:c r="AG200" s="100" t="n"/>
      <x:c r="AH200" s="100" t="n"/>
      <x:c r="AI200" s="100" t="n"/>
      <x:c r="AJ200" s="100" t="n"/>
      <x:c r="AK200" s="100" t="n"/>
      <x:c r="AL200" s="100" t="n"/>
      <x:c r="AM200" s="100" t="n"/>
      <x:c r="AN200" s="100" t="n"/>
      <x:c r="AO200" s="100" t="n"/>
      <x:c r="AP200" s="100" t="n"/>
      <x:c r="AQ200" s="100" t="n"/>
      <x:c r="AR200" s="100" t="n"/>
      <x:c r="AS200" s="100" t="n"/>
      <x:c r="AT200" s="100" t="n"/>
      <x:c r="AU200" s="100" t="n"/>
      <x:c r="AV200" s="100" t="n"/>
      <x:c r="AW200" s="95" t="n"/>
      <x:c r="AX200" s="95" t="n"/>
      <x:c r="AY200" s="95" t="n"/>
      <x:c r="AZ200" s="95" t="n"/>
      <x:c r="BA200" s="100" t="n"/>
      <x:c r="BB200" s="100" t="n"/>
      <x:c r="BC200" s="100" t="n"/>
      <x:c r="BD200" s="100" t="n"/>
      <x:c r="BE200" s="100" t="n"/>
      <x:c r="BF200" s="100" t="n"/>
      <x:c r="BG200" s="100" t="n"/>
      <x:c r="BH200" s="100" t="n"/>
      <x:c r="BI200" s="100" t="n"/>
      <x:c r="BJ200" s="100" t="n"/>
      <x:c r="BK200" s="100" t="n"/>
      <x:c r="BL200" s="100" t="n"/>
      <x:c r="BM200" s="100" t="n"/>
      <x:c r="BN200" s="100" t="n"/>
      <x:c r="BO200" s="100" t="n"/>
      <x:c r="BP200" s="100" t="n"/>
      <x:c r="BQ200" s="100" t="n"/>
      <x:c r="BR200" s="100" t="n"/>
      <x:c r="BS200" s="100" t="n"/>
      <x:c r="BT200" s="100" t="n"/>
      <x:c r="BU200" s="100" t="n"/>
      <x:c r="BV200" s="100" t="n"/>
      <x:c r="BW200" s="100" t="n"/>
      <x:c r="BX200" s="100" t="n"/>
      <x:c r="BY200" s="100" t="n"/>
      <x:c r="BZ200" s="100" t="n"/>
      <x:c r="CA200" s="100" t="n"/>
      <x:c r="CB200" s="100" t="n"/>
      <x:c r="CC200" s="100" t="n"/>
      <x:c r="CD200" s="100" t="n"/>
      <x:c r="CE200" s="100" t="n"/>
      <x:c r="CF200" s="100" t="n"/>
      <x:c r="CG200" s="100" t="n"/>
      <x:c r="CH200" s="100" t="n"/>
      <x:c r="CI200" s="100" t="n"/>
      <x:c r="CJ200" s="100" t="n"/>
      <x:c r="CK200" s="100" t="n"/>
      <x:c r="CL200" s="100" t="n"/>
      <x:c r="CM200" s="100" t="n"/>
      <x:c r="CN200" s="100" t="n"/>
      <x:c r="CO200" s="100" t="n"/>
      <x:c r="CP200" s="100" t="n"/>
      <x:c r="CQ200" s="100" t="n"/>
      <x:c r="CR200" s="100" t="n"/>
      <x:c r="CS200" s="100" t="n"/>
      <x:c r="CT200" s="100" t="n"/>
      <x:c r="CU200" s="100" t="n"/>
      <x:c r="CV200" s="100" t="n"/>
      <x:c r="CW200" s="100" t="n"/>
      <x:c r="CX200" s="100" t="n"/>
      <x:c r="CY200" s="100" t="n"/>
      <x:c r="CZ200" s="100" t="n"/>
      <x:c r="DA200" s="100" t="n"/>
      <x:c r="DB200" s="100" t="n"/>
      <x:c r="DC200" s="100" t="n"/>
      <x:c r="DD200" s="100" t="n"/>
      <x:c r="DE200" s="100" t="n"/>
      <x:c r="DF200" s="100" t="n"/>
      <x:c r="DG200" s="100" t="n"/>
      <x:c r="DH200" s="100" t="n"/>
      <x:c r="DI200" s="100" t="n"/>
      <x:c r="DJ200" s="100" t="n"/>
      <x:c r="DK200" s="100" t="n"/>
      <x:c r="DL200" s="100" t="n"/>
      <x:c r="DM200" s="100" t="n"/>
      <x:c r="DN200" s="100" t="n"/>
      <x:c r="DO200" s="100" t="n"/>
      <x:c r="DP200" s="100" t="n"/>
      <x:c r="DQ200" s="100" t="n"/>
      <x:c r="DR200" s="100" t="n"/>
      <x:c r="DS200" s="100" t="n"/>
      <x:c r="DT200" s="100" t="n"/>
      <x:c r="DU200" s="100" t="n"/>
      <x:c r="DV200" s="100" t="n"/>
      <x:c r="DW200" s="100" t="n"/>
      <x:c r="DX200" s="100" t="n"/>
      <x:c r="DY200" s="100" t="n"/>
      <x:c r="DZ200" s="100" t="n"/>
      <x:c r="EA200" s="100" t="n"/>
      <x:c r="EB200" s="100" t="n"/>
      <x:c r="EC200" s="100" t="n"/>
      <x:c r="ED200" s="100" t="n"/>
      <x:c r="EE200" s="100" t="n"/>
      <x:c r="EF200" s="100" t="n"/>
      <x:c r="EG200" s="100" t="n"/>
      <x:c r="EH200" s="100" t="n"/>
      <x:c r="EI200" s="100" t="n"/>
      <x:c r="EJ200" s="100" t="n"/>
      <x:c r="EK200" s="100" t="n"/>
      <x:c r="EL200" s="100" t="n"/>
      <x:c r="EM200" s="100" t="n"/>
      <x:c r="EN200" s="100" t="n"/>
      <x:c r="EO200" s="100" t="n"/>
      <x:c r="EP200" s="100" t="n"/>
      <x:c r="EQ200" s="100" t="n"/>
      <x:c r="ER200" s="100" t="n"/>
      <x:c r="ES200" s="100" t="n"/>
      <x:c r="ET200" s="100" t="n"/>
      <x:c r="EU200" s="100" t="n"/>
      <x:c r="EV200" s="100" t="n"/>
      <x:c r="EW200" s="100" t="n"/>
      <x:c r="EX200" s="100" t="n"/>
      <x:c r="EY200" s="100" t="n"/>
      <x:c r="EZ200" s="100" t="n"/>
      <x:c r="FA200" s="100" t="n"/>
      <x:c r="FB200" s="100" t="n"/>
      <x:c r="FC200" s="100" t="n"/>
      <x:c r="FD200" s="100" t="n"/>
      <x:c r="FE200" s="100" t="n"/>
      <x:c r="FF200" s="100" t="n"/>
      <x:c r="FG200" s="100" t="n"/>
      <x:c r="FH200" s="100" t="n"/>
      <x:c r="FI200" s="100" t="n"/>
      <x:c r="FJ200" s="100" t="n"/>
      <x:c r="FK200" s="100" t="n"/>
      <x:c r="FL200" s="100" t="n"/>
      <x:c r="FM200" s="100" t="n"/>
      <x:c r="FN200" s="100" t="n"/>
      <x:c r="FO200" s="100" t="n"/>
      <x:c r="FP200" s="100" t="n"/>
      <x:c r="FQ200" s="100" t="n"/>
      <x:c r="FR200" s="100" t="n"/>
      <x:c r="FS200" s="100" t="n"/>
      <x:c r="FT200" s="100" t="n"/>
      <x:c r="FU200" s="100" t="n"/>
      <x:c r="FV200" s="100" t="n"/>
      <x:c r="FW200" s="100" t="n"/>
      <x:c r="FX200" s="100" t="n"/>
      <x:c r="FY200" s="100" t="n"/>
      <x:c r="FZ200" s="100" t="n"/>
      <x:c r="GA200" s="100" t="n"/>
      <x:c r="GB200" s="100" t="n"/>
      <x:c r="GC200" s="100" t="n"/>
      <x:c r="GD200" s="100" t="n"/>
      <x:c r="GE200" s="100" t="n"/>
      <x:c r="GF200" s="100" t="n"/>
    </x:row>
    <x:row r="201" s="27" customFormat="1">
      <x:c r="A201" s="38" t="n"/>
      <x:c r="B201" s="37" t="n"/>
      <x:c r="C201" s="36" t="n">
        <x:f>E201*D$5</x:f>
        <x:v>0</x:v>
      </x:c>
      <x:c r="D201" s="20" t="n"/>
      <x:c r="E201" s="36" t="n">
        <x:f>SUM(G201:HT201)</x:f>
        <x:v>0</x:v>
      </x:c>
      <x:c r="M201" s="100" t="n"/>
      <x:c r="N201" s="100" t="n"/>
      <x:c r="O201" s="100" t="n"/>
      <x:c r="P201" s="100" t="n"/>
      <x:c r="Q201" s="100" t="n"/>
      <x:c r="R201" s="100" t="n"/>
      <x:c r="S201" s="100" t="n"/>
      <x:c r="T201" s="100" t="n"/>
      <x:c r="U201" s="100" t="n"/>
      <x:c r="V201" s="100" t="n"/>
      <x:c r="W201" s="100" t="n"/>
      <x:c r="X201" s="100" t="n"/>
      <x:c r="Y201" s="100" t="n"/>
      <x:c r="Z201" s="100" t="n"/>
      <x:c r="AA201" s="100" t="n"/>
      <x:c r="AB201" s="100" t="n"/>
      <x:c r="AC201" s="100" t="n"/>
      <x:c r="AD201" s="100" t="n"/>
      <x:c r="AE201" s="100" t="n"/>
      <x:c r="AF201" s="100" t="n"/>
      <x:c r="AG201" s="100" t="n"/>
      <x:c r="AH201" s="100" t="n"/>
      <x:c r="AI201" s="100" t="n"/>
      <x:c r="AJ201" s="100" t="n"/>
      <x:c r="AK201" s="100" t="n"/>
      <x:c r="AL201" s="100" t="n"/>
      <x:c r="AM201" s="100" t="n"/>
      <x:c r="AN201" s="100" t="n"/>
      <x:c r="AO201" s="100" t="n"/>
      <x:c r="AP201" s="100" t="n"/>
      <x:c r="AQ201" s="100" t="n"/>
      <x:c r="AR201" s="100" t="n"/>
      <x:c r="AS201" s="100" t="n"/>
      <x:c r="AT201" s="100" t="n"/>
      <x:c r="AU201" s="100" t="n"/>
      <x:c r="AV201" s="102" t="n"/>
      <x:c r="AW201" s="95" t="n"/>
      <x:c r="AX201" s="95" t="n"/>
      <x:c r="AY201" s="95" t="n"/>
      <x:c r="AZ201" s="95" t="n"/>
      <x:c r="BA201" s="100" t="n"/>
      <x:c r="BB201" s="100" t="n"/>
      <x:c r="BC201" s="100" t="n"/>
      <x:c r="BD201" s="100" t="n"/>
      <x:c r="BE201" s="100" t="n"/>
      <x:c r="BF201" s="100" t="n"/>
      <x:c r="BG201" s="100" t="n"/>
      <x:c r="BH201" s="100" t="n"/>
      <x:c r="BI201" s="100" t="n"/>
      <x:c r="BJ201" s="100" t="n"/>
      <x:c r="BK201" s="100" t="n"/>
      <x:c r="BL201" s="100" t="n"/>
      <x:c r="BM201" s="100" t="n"/>
      <x:c r="BN201" s="100" t="n"/>
      <x:c r="BO201" s="100" t="n"/>
      <x:c r="BP201" s="100" t="n"/>
      <x:c r="BQ201" s="100" t="n"/>
      <x:c r="BR201" s="100" t="n"/>
      <x:c r="BS201" s="100" t="n"/>
      <x:c r="BT201" s="100" t="n"/>
      <x:c r="BU201" s="100" t="n"/>
      <x:c r="BV201" s="100" t="n"/>
      <x:c r="BW201" s="100" t="n"/>
      <x:c r="BX201" s="100" t="n"/>
      <x:c r="BY201" s="100" t="n"/>
      <x:c r="BZ201" s="100" t="n"/>
      <x:c r="CA201" s="100" t="n"/>
      <x:c r="CB201" s="100" t="n"/>
      <x:c r="CC201" s="100" t="n"/>
      <x:c r="CD201" s="100" t="n"/>
      <x:c r="CE201" s="100" t="n"/>
      <x:c r="CF201" s="100" t="n"/>
      <x:c r="CG201" s="100" t="n"/>
      <x:c r="CH201" s="100" t="n"/>
      <x:c r="CI201" s="100" t="n"/>
      <x:c r="CJ201" s="100" t="n"/>
      <x:c r="CK201" s="100" t="n"/>
      <x:c r="CL201" s="100" t="n"/>
      <x:c r="CM201" s="100" t="n"/>
      <x:c r="CN201" s="100" t="n"/>
      <x:c r="CO201" s="100" t="n"/>
      <x:c r="CP201" s="100" t="n"/>
      <x:c r="CQ201" s="100" t="n"/>
      <x:c r="CR201" s="100" t="n"/>
      <x:c r="CS201" s="100" t="n"/>
      <x:c r="CT201" s="100" t="n"/>
      <x:c r="CU201" s="100" t="n"/>
      <x:c r="CV201" s="100" t="n"/>
      <x:c r="CW201" s="100" t="n"/>
      <x:c r="CX201" s="100" t="n"/>
      <x:c r="CY201" s="100" t="n"/>
      <x:c r="CZ201" s="100" t="n"/>
      <x:c r="DA201" s="100" t="n"/>
      <x:c r="DB201" s="100" t="n"/>
      <x:c r="DC201" s="100" t="n"/>
      <x:c r="DD201" s="100" t="n"/>
      <x:c r="DE201" s="100" t="n"/>
      <x:c r="DF201" s="100" t="n"/>
      <x:c r="DG201" s="100" t="n"/>
      <x:c r="DH201" s="100" t="n"/>
      <x:c r="DI201" s="100" t="n"/>
      <x:c r="DJ201" s="100" t="n"/>
      <x:c r="DK201" s="100" t="n"/>
      <x:c r="DL201" s="100" t="n"/>
      <x:c r="DM201" s="100" t="n"/>
      <x:c r="DN201" s="100" t="n"/>
      <x:c r="DO201" s="100" t="n"/>
      <x:c r="DP201" s="100" t="n"/>
      <x:c r="DQ201" s="100" t="n"/>
      <x:c r="DR201" s="100" t="n"/>
      <x:c r="DS201" s="100" t="n"/>
      <x:c r="DT201" s="100" t="n"/>
      <x:c r="DU201" s="100" t="n"/>
      <x:c r="DV201" s="100" t="n"/>
      <x:c r="DW201" s="100" t="n"/>
      <x:c r="DX201" s="100" t="n"/>
      <x:c r="DY201" s="100" t="n"/>
      <x:c r="DZ201" s="100" t="n"/>
      <x:c r="EA201" s="100" t="n"/>
      <x:c r="EB201" s="100" t="n"/>
      <x:c r="EC201" s="100" t="n"/>
      <x:c r="ED201" s="100" t="n"/>
      <x:c r="EE201" s="100" t="n"/>
      <x:c r="EF201" s="100" t="n"/>
      <x:c r="EG201" s="100" t="n"/>
      <x:c r="EH201" s="100" t="n"/>
      <x:c r="EI201" s="100" t="n"/>
      <x:c r="EJ201" s="100" t="n"/>
      <x:c r="EK201" s="100" t="n"/>
      <x:c r="EL201" s="100" t="n"/>
      <x:c r="EM201" s="100" t="n"/>
      <x:c r="EN201" s="100" t="n"/>
      <x:c r="EO201" s="100" t="n"/>
      <x:c r="EP201" s="100" t="n"/>
      <x:c r="EQ201" s="100" t="n"/>
      <x:c r="ER201" s="100" t="n"/>
      <x:c r="ES201" s="100" t="n"/>
      <x:c r="ET201" s="100" t="n"/>
      <x:c r="EU201" s="100" t="n"/>
      <x:c r="EV201" s="100" t="n"/>
      <x:c r="EW201" s="100" t="n"/>
      <x:c r="EX201" s="100" t="n"/>
      <x:c r="EY201" s="100" t="n"/>
      <x:c r="EZ201" s="100" t="n"/>
      <x:c r="FA201" s="100" t="n"/>
      <x:c r="FB201" s="100" t="n"/>
      <x:c r="FC201" s="100" t="n"/>
      <x:c r="FD201" s="100" t="n"/>
      <x:c r="FE201" s="100" t="n"/>
      <x:c r="FF201" s="100" t="n"/>
      <x:c r="FG201" s="100" t="n"/>
      <x:c r="FH201" s="100" t="n"/>
      <x:c r="FI201" s="100" t="n"/>
      <x:c r="FJ201" s="100" t="n"/>
      <x:c r="FK201" s="100" t="n"/>
      <x:c r="FL201" s="100" t="n"/>
      <x:c r="FM201" s="100" t="n"/>
      <x:c r="FN201" s="100" t="n"/>
      <x:c r="FO201" s="100" t="n"/>
      <x:c r="FP201" s="100" t="n"/>
      <x:c r="FQ201" s="100" t="n"/>
      <x:c r="FR201" s="100" t="n"/>
      <x:c r="FS201" s="100" t="n"/>
      <x:c r="FT201" s="100" t="n"/>
      <x:c r="FU201" s="100" t="n"/>
      <x:c r="FV201" s="100" t="n"/>
      <x:c r="FW201" s="100" t="n"/>
      <x:c r="FX201" s="100" t="n"/>
      <x:c r="FY201" s="100" t="n"/>
      <x:c r="FZ201" s="100" t="n"/>
      <x:c r="GA201" s="100" t="n"/>
      <x:c r="GB201" s="100" t="n"/>
      <x:c r="GC201" s="100" t="n"/>
      <x:c r="GD201" s="100" t="n"/>
      <x:c r="GE201" s="100" t="n"/>
      <x:c r="GF201" s="100" t="n"/>
    </x:row>
    <x:row r="202" s="27" customFormat="1">
      <x:c r="A202" s="38" t="n"/>
      <x:c r="B202" s="37" t="n"/>
      <x:c r="C202" s="36" t="n">
        <x:f>E202*D$5</x:f>
        <x:v>0</x:v>
      </x:c>
      <x:c r="D202" s="20" t="n"/>
      <x:c r="E202" s="36" t="n">
        <x:f>SUM(G202:HT202)</x:f>
        <x:v>0</x:v>
      </x:c>
      <x:c r="M202" s="100" t="n"/>
      <x:c r="N202" s="100" t="n"/>
      <x:c r="O202" s="100" t="n"/>
      <x:c r="P202" s="100" t="n"/>
      <x:c r="Q202" s="100" t="n"/>
      <x:c r="R202" s="100" t="n"/>
      <x:c r="S202" s="100" t="n"/>
      <x:c r="T202" s="100" t="n"/>
      <x:c r="U202" s="100" t="n"/>
      <x:c r="V202" s="100" t="n"/>
      <x:c r="W202" s="100" t="n"/>
      <x:c r="X202" s="100" t="n"/>
      <x:c r="Y202" s="100" t="n"/>
      <x:c r="Z202" s="100" t="n"/>
      <x:c r="AA202" s="100" t="n"/>
      <x:c r="AB202" s="100" t="n"/>
      <x:c r="AC202" s="100" t="n"/>
      <x:c r="AD202" s="100" t="n"/>
      <x:c r="AE202" s="100" t="n"/>
      <x:c r="AF202" s="100" t="n"/>
      <x:c r="AG202" s="100" t="n"/>
      <x:c r="AH202" s="100" t="n"/>
      <x:c r="AI202" s="100" t="n"/>
      <x:c r="AJ202" s="100" t="n"/>
      <x:c r="AK202" s="100" t="n"/>
      <x:c r="AL202" s="100" t="n"/>
      <x:c r="AM202" s="100" t="n"/>
      <x:c r="AN202" s="100" t="n"/>
      <x:c r="AO202" s="100" t="n"/>
      <x:c r="AP202" s="100" t="n"/>
      <x:c r="AQ202" s="100" t="n"/>
      <x:c r="AR202" s="100" t="n"/>
      <x:c r="AS202" s="100" t="n"/>
      <x:c r="AT202" s="100" t="n"/>
      <x:c r="AU202" s="100" t="n"/>
      <x:c r="AV202" s="95" t="n"/>
      <x:c r="AW202" s="95" t="n"/>
      <x:c r="AX202" s="95" t="n"/>
      <x:c r="AY202" s="95" t="n"/>
      <x:c r="AZ202" s="95" t="n"/>
      <x:c r="BA202" s="100" t="n"/>
      <x:c r="BB202" s="100" t="n"/>
      <x:c r="BC202" s="100" t="n"/>
      <x:c r="BD202" s="102" t="n"/>
      <x:c r="BE202" s="100" t="n"/>
      <x:c r="BF202" s="100" t="n"/>
      <x:c r="BG202" s="100" t="n"/>
      <x:c r="BH202" s="100" t="n"/>
      <x:c r="BI202" s="100" t="n"/>
      <x:c r="BJ202" s="100" t="n"/>
      <x:c r="BK202" s="100" t="n"/>
      <x:c r="BL202" s="100" t="n"/>
      <x:c r="BM202" s="100" t="n"/>
      <x:c r="BN202" s="100" t="n"/>
      <x:c r="BO202" s="100" t="n"/>
      <x:c r="BP202" s="100" t="n"/>
      <x:c r="BQ202" s="100" t="n"/>
      <x:c r="BR202" s="100" t="n"/>
      <x:c r="BS202" s="100" t="n"/>
      <x:c r="BT202" s="100" t="n"/>
      <x:c r="BU202" s="100" t="n"/>
      <x:c r="BV202" s="100" t="n"/>
      <x:c r="BW202" s="100" t="n"/>
      <x:c r="BX202" s="100" t="n"/>
      <x:c r="BY202" s="100" t="n"/>
      <x:c r="BZ202" s="100" t="n"/>
      <x:c r="CA202" s="100" t="n"/>
      <x:c r="CB202" s="100" t="n"/>
      <x:c r="CC202" s="100" t="n"/>
      <x:c r="CD202" s="100" t="n"/>
      <x:c r="CE202" s="100" t="n"/>
      <x:c r="CF202" s="100" t="n"/>
      <x:c r="CG202" s="100" t="n"/>
      <x:c r="CH202" s="100" t="n"/>
      <x:c r="CI202" s="100" t="n"/>
      <x:c r="CJ202" s="100" t="n"/>
      <x:c r="CK202" s="100" t="n"/>
      <x:c r="CL202" s="100" t="n"/>
      <x:c r="CM202" s="100" t="n"/>
      <x:c r="CN202" s="100" t="n"/>
      <x:c r="CO202" s="100" t="n"/>
      <x:c r="CP202" s="100" t="n"/>
      <x:c r="CQ202" s="100" t="n"/>
      <x:c r="CR202" s="100" t="n"/>
      <x:c r="CS202" s="100" t="n"/>
      <x:c r="CT202" s="100" t="n"/>
      <x:c r="CU202" s="100" t="n"/>
      <x:c r="CV202" s="100" t="n"/>
      <x:c r="CW202" s="100" t="n"/>
      <x:c r="CX202" s="100" t="n"/>
      <x:c r="CY202" s="100" t="n"/>
      <x:c r="CZ202" s="100" t="n"/>
      <x:c r="DA202" s="100" t="n"/>
      <x:c r="DB202" s="100" t="n"/>
      <x:c r="DC202" s="100" t="n"/>
      <x:c r="DD202" s="100" t="n"/>
      <x:c r="DE202" s="100" t="n"/>
      <x:c r="DF202" s="100" t="n"/>
      <x:c r="DG202" s="100" t="n"/>
      <x:c r="DH202" s="100" t="n"/>
      <x:c r="DI202" s="100" t="n"/>
      <x:c r="DJ202" s="100" t="n"/>
      <x:c r="DK202" s="100" t="n"/>
      <x:c r="DL202" s="100" t="n"/>
      <x:c r="DM202" s="100" t="n"/>
      <x:c r="DN202" s="100" t="n"/>
      <x:c r="DO202" s="100" t="n"/>
      <x:c r="DP202" s="100" t="n"/>
      <x:c r="DQ202" s="100" t="n"/>
      <x:c r="DR202" s="100" t="n"/>
      <x:c r="DS202" s="100" t="n"/>
      <x:c r="DT202" s="100" t="n"/>
      <x:c r="DU202" s="100" t="n"/>
      <x:c r="DV202" s="100" t="n"/>
      <x:c r="DW202" s="100" t="n"/>
      <x:c r="DX202" s="100" t="n"/>
      <x:c r="DY202" s="100" t="n"/>
      <x:c r="DZ202" s="100" t="n"/>
      <x:c r="EA202" s="100" t="n"/>
      <x:c r="EB202" s="100" t="n"/>
      <x:c r="EC202" s="100" t="n"/>
      <x:c r="ED202" s="100" t="n"/>
      <x:c r="EE202" s="100" t="n"/>
      <x:c r="EF202" s="100" t="n"/>
      <x:c r="EG202" s="100" t="n"/>
      <x:c r="EH202" s="100" t="n"/>
      <x:c r="EI202" s="100" t="n"/>
      <x:c r="EJ202" s="100" t="n"/>
      <x:c r="EK202" s="100" t="n"/>
      <x:c r="EL202" s="100" t="n"/>
      <x:c r="EM202" s="100" t="n"/>
      <x:c r="EN202" s="100" t="n"/>
      <x:c r="EO202" s="100" t="n"/>
      <x:c r="EP202" s="100" t="n"/>
      <x:c r="EQ202" s="100" t="n"/>
      <x:c r="ER202" s="100" t="n"/>
      <x:c r="ES202" s="100" t="n"/>
      <x:c r="ET202" s="100" t="n"/>
      <x:c r="EU202" s="100" t="n"/>
      <x:c r="EV202" s="100" t="n"/>
      <x:c r="EW202" s="100" t="n"/>
      <x:c r="EX202" s="100" t="n"/>
      <x:c r="EY202" s="100" t="n"/>
      <x:c r="EZ202" s="100" t="n"/>
      <x:c r="FA202" s="100" t="n"/>
      <x:c r="FB202" s="100" t="n"/>
      <x:c r="FC202" s="100" t="n"/>
      <x:c r="FD202" s="100" t="n"/>
      <x:c r="FE202" s="100" t="n"/>
      <x:c r="FF202" s="100" t="n"/>
      <x:c r="FG202" s="100" t="n"/>
      <x:c r="FH202" s="100" t="n"/>
      <x:c r="FI202" s="100" t="n"/>
      <x:c r="FJ202" s="100" t="n"/>
      <x:c r="FK202" s="100" t="n"/>
      <x:c r="FL202" s="100" t="n"/>
      <x:c r="FM202" s="100" t="n"/>
      <x:c r="FN202" s="100" t="n"/>
      <x:c r="FO202" s="100" t="n"/>
      <x:c r="FP202" s="100" t="n"/>
      <x:c r="FQ202" s="100" t="n"/>
      <x:c r="FR202" s="100" t="n"/>
      <x:c r="FS202" s="100" t="n"/>
      <x:c r="FT202" s="100" t="n"/>
      <x:c r="FU202" s="100" t="n"/>
      <x:c r="FV202" s="100" t="n"/>
      <x:c r="FW202" s="100" t="n"/>
      <x:c r="FX202" s="100" t="n"/>
      <x:c r="FY202" s="100" t="n"/>
      <x:c r="FZ202" s="100" t="n"/>
      <x:c r="GA202" s="100" t="n"/>
      <x:c r="GB202" s="100" t="n"/>
      <x:c r="GC202" s="100" t="n"/>
      <x:c r="GD202" s="100" t="n"/>
      <x:c r="GE202" s="100" t="n"/>
      <x:c r="GF202" s="100" t="n"/>
    </x:row>
    <x:row r="203" s="27" customFormat="1">
      <x:c r="A203" s="38" t="n"/>
      <x:c r="B203" s="37" t="n"/>
      <x:c r="C203" s="36" t="n">
        <x:f>E203*D$5</x:f>
        <x:v>0</x:v>
      </x:c>
      <x:c r="D203" s="20" t="n"/>
      <x:c r="E203" s="36" t="n">
        <x:f>SUM(G203:HT203)</x:f>
        <x:v>0</x:v>
      </x:c>
      <x:c r="M203" s="100" t="n"/>
      <x:c r="N203" s="100" t="n"/>
      <x:c r="O203" s="100" t="n"/>
      <x:c r="P203" s="100" t="n"/>
      <x:c r="Q203" s="100" t="n"/>
      <x:c r="R203" s="100" t="n"/>
      <x:c r="S203" s="100" t="n"/>
      <x:c r="T203" s="100" t="n"/>
      <x:c r="U203" s="100" t="n"/>
      <x:c r="V203" s="100" t="n"/>
      <x:c r="W203" s="100" t="n"/>
      <x:c r="X203" s="100" t="n"/>
      <x:c r="Y203" s="100" t="n"/>
      <x:c r="Z203" s="100" t="n"/>
      <x:c r="AA203" s="100" t="n"/>
      <x:c r="AB203" s="100" t="n"/>
      <x:c r="AC203" s="100" t="n"/>
      <x:c r="AD203" s="100" t="n"/>
      <x:c r="AE203" s="100" t="n"/>
      <x:c r="AF203" s="100" t="n"/>
      <x:c r="AG203" s="100" t="n"/>
      <x:c r="AH203" s="100" t="n"/>
      <x:c r="AI203" s="100" t="n"/>
      <x:c r="AJ203" s="100" t="n"/>
      <x:c r="AK203" s="100" t="n"/>
      <x:c r="AL203" s="100" t="n"/>
      <x:c r="AM203" s="100" t="n"/>
      <x:c r="AN203" s="100" t="n"/>
      <x:c r="AO203" s="100" t="n"/>
      <x:c r="AP203" s="100" t="n"/>
      <x:c r="AQ203" s="100" t="n"/>
      <x:c r="AR203" s="100" t="n"/>
      <x:c r="AS203" s="100" t="n"/>
      <x:c r="AT203" s="100" t="n"/>
      <x:c r="AU203" s="100" t="n"/>
      <x:c r="AV203" s="95" t="n"/>
      <x:c r="AW203" s="95" t="n"/>
      <x:c r="AX203" s="95" t="n"/>
      <x:c r="AY203" s="95" t="n"/>
      <x:c r="AZ203" s="95" t="n"/>
      <x:c r="BA203" s="100" t="n"/>
      <x:c r="BB203" s="100" t="n"/>
      <x:c r="BC203" s="100" t="n"/>
      <x:c r="BD203" s="95" t="n"/>
      <x:c r="BE203" s="100" t="n"/>
      <x:c r="BF203" s="100" t="n"/>
      <x:c r="BG203" s="100" t="n"/>
      <x:c r="BH203" s="100" t="n"/>
      <x:c r="BI203" s="100" t="n"/>
      <x:c r="BJ203" s="100" t="n"/>
      <x:c r="BK203" s="100" t="n"/>
      <x:c r="BL203" s="100" t="n"/>
      <x:c r="BM203" s="100" t="n"/>
      <x:c r="BN203" s="100" t="n"/>
      <x:c r="BO203" s="100" t="n"/>
      <x:c r="BP203" s="100" t="n"/>
      <x:c r="BQ203" s="100" t="n"/>
      <x:c r="BR203" s="100" t="n"/>
      <x:c r="BS203" s="100" t="n"/>
      <x:c r="BT203" s="100" t="n"/>
      <x:c r="BU203" s="100" t="n"/>
      <x:c r="BV203" s="100" t="n"/>
      <x:c r="BW203" s="100" t="n"/>
      <x:c r="BX203" s="100" t="n"/>
      <x:c r="BY203" s="100" t="n"/>
      <x:c r="BZ203" s="100" t="n"/>
      <x:c r="CA203" s="100" t="n"/>
      <x:c r="CB203" s="100" t="n"/>
      <x:c r="CC203" s="100" t="n"/>
      <x:c r="CD203" s="100" t="n"/>
      <x:c r="CE203" s="100" t="n"/>
      <x:c r="CF203" s="100" t="n"/>
      <x:c r="CG203" s="100" t="n"/>
      <x:c r="CH203" s="100" t="n"/>
      <x:c r="CI203" s="100" t="n"/>
      <x:c r="CJ203" s="100" t="n"/>
      <x:c r="CK203" s="100" t="n"/>
      <x:c r="CL203" s="100" t="n"/>
      <x:c r="CM203" s="100" t="n"/>
      <x:c r="CN203" s="100" t="n"/>
      <x:c r="CO203" s="100" t="n"/>
      <x:c r="CP203" s="100" t="n"/>
      <x:c r="CQ203" s="100" t="n"/>
      <x:c r="CR203" s="100" t="n"/>
      <x:c r="CS203" s="100" t="n"/>
      <x:c r="CT203" s="100" t="n"/>
      <x:c r="CU203" s="100" t="n"/>
      <x:c r="CV203" s="100" t="n"/>
      <x:c r="CW203" s="100" t="n"/>
      <x:c r="CX203" s="100" t="n"/>
      <x:c r="CY203" s="100" t="n"/>
      <x:c r="CZ203" s="100" t="n"/>
      <x:c r="DA203" s="100" t="n"/>
      <x:c r="DB203" s="100" t="n"/>
      <x:c r="DC203" s="100" t="n"/>
      <x:c r="DD203" s="100" t="n"/>
      <x:c r="DE203" s="100" t="n"/>
      <x:c r="DF203" s="100" t="n"/>
      <x:c r="DG203" s="100" t="n"/>
      <x:c r="DH203" s="100" t="n"/>
      <x:c r="DI203" s="100" t="n"/>
      <x:c r="DJ203" s="100" t="n"/>
      <x:c r="DK203" s="100" t="n"/>
      <x:c r="DL203" s="100" t="n"/>
      <x:c r="DM203" s="100" t="n"/>
      <x:c r="DN203" s="100" t="n"/>
      <x:c r="DO203" s="100" t="n"/>
      <x:c r="DP203" s="100" t="n"/>
      <x:c r="DQ203" s="100" t="n"/>
      <x:c r="DR203" s="100" t="n"/>
      <x:c r="DS203" s="100" t="n"/>
      <x:c r="DT203" s="100" t="n"/>
      <x:c r="DU203" s="100" t="n"/>
      <x:c r="DV203" s="100" t="n"/>
      <x:c r="DW203" s="100" t="n"/>
      <x:c r="DX203" s="100" t="n"/>
      <x:c r="DY203" s="100" t="n"/>
      <x:c r="DZ203" s="100" t="n"/>
      <x:c r="EA203" s="100" t="n"/>
      <x:c r="EB203" s="100" t="n"/>
      <x:c r="EC203" s="100" t="n"/>
      <x:c r="ED203" s="100" t="n"/>
      <x:c r="EE203" s="100" t="n"/>
      <x:c r="EF203" s="100" t="n"/>
      <x:c r="EG203" s="100" t="n"/>
      <x:c r="EH203" s="100" t="n"/>
      <x:c r="EI203" s="100" t="n"/>
      <x:c r="EJ203" s="100" t="n"/>
      <x:c r="EK203" s="100" t="n"/>
      <x:c r="EL203" s="100" t="n"/>
      <x:c r="EM203" s="100" t="n"/>
      <x:c r="EN203" s="100" t="n"/>
      <x:c r="EO203" s="100" t="n"/>
      <x:c r="EP203" s="100" t="n"/>
      <x:c r="EQ203" s="100" t="n"/>
      <x:c r="ER203" s="100" t="n"/>
      <x:c r="ES203" s="100" t="n"/>
      <x:c r="ET203" s="100" t="n"/>
      <x:c r="EU203" s="100" t="n"/>
      <x:c r="EV203" s="100" t="n"/>
      <x:c r="EW203" s="100" t="n"/>
      <x:c r="EX203" s="100" t="n"/>
      <x:c r="EY203" s="100" t="n"/>
      <x:c r="EZ203" s="100" t="n"/>
      <x:c r="FA203" s="100" t="n"/>
      <x:c r="FB203" s="100" t="n"/>
      <x:c r="FC203" s="100" t="n"/>
      <x:c r="FD203" s="100" t="n"/>
      <x:c r="FE203" s="100" t="n"/>
      <x:c r="FF203" s="100" t="n"/>
      <x:c r="FG203" s="100" t="n"/>
      <x:c r="FH203" s="100" t="n"/>
      <x:c r="FI203" s="100" t="n"/>
      <x:c r="FJ203" s="100" t="n"/>
      <x:c r="FK203" s="100" t="n"/>
      <x:c r="FL203" s="100" t="n"/>
      <x:c r="FM203" s="100" t="n"/>
      <x:c r="FN203" s="100" t="n"/>
      <x:c r="FO203" s="100" t="n"/>
      <x:c r="FP203" s="100" t="n"/>
      <x:c r="FQ203" s="100" t="n"/>
      <x:c r="FR203" s="100" t="n"/>
      <x:c r="FS203" s="100" t="n"/>
      <x:c r="FT203" s="100" t="n"/>
      <x:c r="FU203" s="100" t="n"/>
      <x:c r="FV203" s="100" t="n"/>
      <x:c r="FW203" s="100" t="n"/>
      <x:c r="FX203" s="100" t="n"/>
      <x:c r="FY203" s="100" t="n"/>
      <x:c r="FZ203" s="100" t="n"/>
      <x:c r="GA203" s="100" t="n"/>
      <x:c r="GB203" s="100" t="n"/>
      <x:c r="GC203" s="100" t="n"/>
      <x:c r="GD203" s="100" t="n"/>
      <x:c r="GE203" s="100" t="n"/>
      <x:c r="GF203" s="100" t="n"/>
    </x:row>
    <x:row r="204" s="27" customFormat="1">
      <x:c r="A204" s="38" t="n"/>
      <x:c r="B204" s="37" t="n"/>
      <x:c r="C204" s="36" t="n">
        <x:f>E204*D$5</x:f>
        <x:v>0</x:v>
      </x:c>
      <x:c r="D204" s="20" t="n"/>
      <x:c r="E204" s="36" t="n">
        <x:f>SUM(G204:HT204)</x:f>
        <x:v>0</x:v>
      </x:c>
      <x:c r="M204" s="100" t="n"/>
      <x:c r="N204" s="100" t="n"/>
      <x:c r="O204" s="100" t="n"/>
      <x:c r="P204" s="100" t="n"/>
      <x:c r="Q204" s="100" t="n"/>
      <x:c r="R204" s="100" t="n"/>
      <x:c r="S204" s="100" t="n"/>
      <x:c r="T204" s="100" t="n"/>
      <x:c r="U204" s="100" t="n"/>
      <x:c r="V204" s="100" t="n"/>
      <x:c r="W204" s="100" t="n"/>
      <x:c r="X204" s="100" t="n"/>
      <x:c r="Y204" s="100" t="n"/>
      <x:c r="Z204" s="100" t="n"/>
      <x:c r="AA204" s="100" t="n"/>
      <x:c r="AB204" s="100" t="n"/>
      <x:c r="AC204" s="100" t="n"/>
      <x:c r="AD204" s="100" t="n"/>
      <x:c r="AE204" s="100" t="n"/>
      <x:c r="AF204" s="100" t="n"/>
      <x:c r="AG204" s="100" t="n"/>
      <x:c r="AH204" s="100" t="n"/>
      <x:c r="AI204" s="100" t="n"/>
      <x:c r="AJ204" s="100" t="n"/>
      <x:c r="AK204" s="100" t="n"/>
      <x:c r="AL204" s="100" t="n"/>
      <x:c r="AM204" s="100" t="n"/>
      <x:c r="AN204" s="100" t="n"/>
      <x:c r="AO204" s="100" t="n"/>
      <x:c r="AP204" s="100" t="n"/>
      <x:c r="AQ204" s="100" t="n"/>
      <x:c r="AR204" s="100" t="n"/>
      <x:c r="AS204" s="100" t="n"/>
      <x:c r="AT204" s="100" t="n"/>
      <x:c r="AU204" s="100" t="n"/>
      <x:c r="AV204" s="95" t="n"/>
      <x:c r="AW204" s="95" t="n"/>
      <x:c r="AX204" s="95" t="n"/>
      <x:c r="AY204" s="95" t="n"/>
      <x:c r="AZ204" s="95" t="n"/>
      <x:c r="BA204" s="100" t="n"/>
      <x:c r="BB204" s="100" t="n"/>
      <x:c r="BC204" s="100" t="n"/>
      <x:c r="BD204" s="95" t="n"/>
      <x:c r="BE204" s="100" t="n"/>
      <x:c r="BF204" s="100" t="n"/>
      <x:c r="BG204" s="100" t="n"/>
      <x:c r="BH204" s="100" t="n"/>
      <x:c r="BI204" s="100" t="n"/>
      <x:c r="BJ204" s="100" t="n"/>
      <x:c r="BK204" s="100" t="n"/>
      <x:c r="BL204" s="100" t="n"/>
      <x:c r="BM204" s="100" t="n"/>
      <x:c r="BN204" s="100" t="n"/>
      <x:c r="BO204" s="100" t="n"/>
      <x:c r="BP204" s="100" t="n"/>
      <x:c r="BQ204" s="100" t="n"/>
      <x:c r="BR204" s="100" t="n"/>
      <x:c r="BS204" s="100" t="n"/>
      <x:c r="BT204" s="100" t="n"/>
      <x:c r="BU204" s="100" t="n"/>
      <x:c r="BV204" s="100" t="n"/>
      <x:c r="BW204" s="100" t="n"/>
      <x:c r="BX204" s="100" t="n"/>
      <x:c r="BY204" s="100" t="n"/>
      <x:c r="BZ204" s="100" t="n"/>
      <x:c r="CA204" s="100" t="n"/>
      <x:c r="CB204" s="100" t="n"/>
      <x:c r="CC204" s="100" t="n"/>
      <x:c r="CD204" s="100" t="n"/>
      <x:c r="CE204" s="100" t="n"/>
      <x:c r="CF204" s="100" t="n"/>
      <x:c r="CG204" s="100" t="n"/>
      <x:c r="CH204" s="100" t="n"/>
      <x:c r="CI204" s="100" t="n"/>
      <x:c r="CJ204" s="100" t="n"/>
      <x:c r="CK204" s="100" t="n"/>
      <x:c r="CL204" s="100" t="n"/>
      <x:c r="CM204" s="100" t="n"/>
      <x:c r="CN204" s="100" t="n"/>
      <x:c r="CO204" s="100" t="n"/>
      <x:c r="CP204" s="100" t="n"/>
      <x:c r="CQ204" s="100" t="n"/>
      <x:c r="CR204" s="100" t="n"/>
      <x:c r="CS204" s="100" t="n"/>
      <x:c r="CT204" s="100" t="n"/>
      <x:c r="CU204" s="100" t="n"/>
      <x:c r="CV204" s="100" t="n"/>
      <x:c r="CW204" s="100" t="n"/>
      <x:c r="CX204" s="100" t="n"/>
      <x:c r="CY204" s="100" t="n"/>
      <x:c r="CZ204" s="100" t="n"/>
      <x:c r="DA204" s="100" t="n"/>
      <x:c r="DB204" s="100" t="n"/>
      <x:c r="DC204" s="100" t="n"/>
      <x:c r="DD204" s="100" t="n"/>
      <x:c r="DE204" s="100" t="n"/>
      <x:c r="DF204" s="100" t="n"/>
      <x:c r="DG204" s="100" t="n"/>
      <x:c r="DH204" s="100" t="n"/>
      <x:c r="DI204" s="100" t="n"/>
      <x:c r="DJ204" s="100" t="n"/>
      <x:c r="DK204" s="100" t="n"/>
      <x:c r="DL204" s="100" t="n"/>
      <x:c r="DM204" s="100" t="n"/>
      <x:c r="DN204" s="100" t="n"/>
      <x:c r="DO204" s="100" t="n"/>
      <x:c r="DP204" s="100" t="n"/>
      <x:c r="DQ204" s="100" t="n"/>
      <x:c r="DR204" s="100" t="n"/>
      <x:c r="DS204" s="100" t="n"/>
      <x:c r="DT204" s="100" t="n"/>
      <x:c r="DU204" s="100" t="n"/>
      <x:c r="DV204" s="100" t="n"/>
      <x:c r="DW204" s="100" t="n"/>
      <x:c r="DX204" s="100" t="n"/>
      <x:c r="DY204" s="100" t="n"/>
      <x:c r="DZ204" s="100" t="n"/>
      <x:c r="EA204" s="100" t="n"/>
      <x:c r="EB204" s="100" t="n"/>
      <x:c r="EC204" s="100" t="n"/>
      <x:c r="ED204" s="100" t="n"/>
      <x:c r="EE204" s="100" t="n"/>
      <x:c r="EF204" s="100" t="n"/>
      <x:c r="EG204" s="100" t="n"/>
      <x:c r="EH204" s="100" t="n"/>
      <x:c r="EI204" s="100" t="n"/>
      <x:c r="EJ204" s="100" t="n"/>
      <x:c r="EK204" s="100" t="n"/>
      <x:c r="EL204" s="100" t="n"/>
      <x:c r="EM204" s="100" t="n"/>
      <x:c r="EN204" s="100" t="n"/>
      <x:c r="EO204" s="100" t="n"/>
      <x:c r="EP204" s="100" t="n"/>
      <x:c r="EQ204" s="100" t="n"/>
      <x:c r="ER204" s="100" t="n"/>
      <x:c r="ES204" s="100" t="n"/>
      <x:c r="ET204" s="100" t="n"/>
      <x:c r="EU204" s="100" t="n"/>
      <x:c r="EV204" s="100" t="n"/>
      <x:c r="EW204" s="100" t="n"/>
      <x:c r="EX204" s="100" t="n"/>
      <x:c r="EY204" s="100" t="n"/>
      <x:c r="EZ204" s="100" t="n"/>
      <x:c r="FA204" s="100" t="n"/>
      <x:c r="FB204" s="100" t="n"/>
      <x:c r="FC204" s="100" t="n"/>
      <x:c r="FD204" s="100" t="n"/>
      <x:c r="FE204" s="100" t="n"/>
      <x:c r="FF204" s="100" t="n"/>
      <x:c r="FG204" s="100" t="n"/>
      <x:c r="FH204" s="100" t="n"/>
      <x:c r="FI204" s="100" t="n"/>
      <x:c r="FJ204" s="100" t="n"/>
      <x:c r="FK204" s="100" t="n"/>
      <x:c r="FL204" s="100" t="n"/>
      <x:c r="FM204" s="100" t="n"/>
      <x:c r="FN204" s="100" t="n"/>
      <x:c r="FO204" s="100" t="n"/>
      <x:c r="FP204" s="100" t="n"/>
      <x:c r="FQ204" s="100" t="n"/>
      <x:c r="FR204" s="100" t="n"/>
      <x:c r="FS204" s="100" t="n"/>
      <x:c r="FT204" s="100" t="n"/>
      <x:c r="FU204" s="100" t="n"/>
      <x:c r="FV204" s="100" t="n"/>
      <x:c r="FW204" s="100" t="n"/>
      <x:c r="FX204" s="100" t="n"/>
      <x:c r="FY204" s="100" t="n"/>
      <x:c r="FZ204" s="100" t="n"/>
      <x:c r="GA204" s="100" t="n"/>
      <x:c r="GB204" s="100" t="n"/>
      <x:c r="GC204" s="100" t="n"/>
      <x:c r="GD204" s="100" t="n"/>
      <x:c r="GE204" s="100" t="n"/>
      <x:c r="GF204" s="100" t="n"/>
    </x:row>
    <x:row r="205" s="27" customFormat="1">
      <x:c r="A205" s="38" t="n"/>
      <x:c r="B205" s="37" t="n"/>
      <x:c r="C205" s="36" t="n">
        <x:f>E205*D$5</x:f>
        <x:v>0</x:v>
      </x:c>
      <x:c r="D205" s="20" t="n"/>
      <x:c r="E205" s="36" t="n">
        <x:f>SUM(G205:HT205)</x:f>
        <x:v>0</x:v>
      </x:c>
      <x:c r="M205" s="100" t="n"/>
      <x:c r="N205" s="100" t="n"/>
      <x:c r="O205" s="100" t="n"/>
      <x:c r="P205" s="100" t="n"/>
      <x:c r="Q205" s="100" t="n"/>
      <x:c r="R205" s="100" t="n"/>
      <x:c r="S205" s="100" t="n"/>
      <x:c r="T205" s="100" t="n"/>
      <x:c r="U205" s="100" t="n"/>
      <x:c r="V205" s="100" t="n"/>
      <x:c r="W205" s="100" t="n"/>
      <x:c r="X205" s="100" t="n"/>
      <x:c r="Y205" s="100" t="n"/>
      <x:c r="Z205" s="100" t="n"/>
      <x:c r="AA205" s="100" t="n"/>
      <x:c r="AB205" s="100" t="n"/>
      <x:c r="AC205" s="100" t="n"/>
      <x:c r="AD205" s="100" t="n"/>
      <x:c r="AE205" s="100" t="n"/>
      <x:c r="AF205" s="100" t="n"/>
      <x:c r="AG205" s="100" t="n"/>
      <x:c r="AH205" s="100" t="n"/>
      <x:c r="AI205" s="100" t="n"/>
      <x:c r="AJ205" s="100" t="n"/>
      <x:c r="AK205" s="100" t="n"/>
      <x:c r="AL205" s="100" t="n"/>
      <x:c r="AM205" s="100" t="n"/>
      <x:c r="AN205" s="100" t="n"/>
      <x:c r="AO205" s="100" t="n"/>
      <x:c r="AP205" s="100" t="n"/>
      <x:c r="AQ205" s="100" t="n"/>
      <x:c r="AR205" s="100" t="n"/>
      <x:c r="AS205" s="102" t="n"/>
      <x:c r="AT205" s="100" t="n"/>
      <x:c r="AU205" s="100" t="n"/>
      <x:c r="AV205" s="95" t="n"/>
      <x:c r="AW205" s="95" t="n"/>
      <x:c r="AX205" s="95" t="n"/>
      <x:c r="AY205" s="95" t="n"/>
      <x:c r="AZ205" s="95" t="n"/>
      <x:c r="BA205" s="100" t="n"/>
      <x:c r="BB205" s="100" t="n"/>
      <x:c r="BC205" s="100" t="n"/>
      <x:c r="BD205" s="95" t="n"/>
      <x:c r="BE205" s="100" t="n"/>
      <x:c r="BF205" s="100" t="n"/>
      <x:c r="BG205" s="100" t="n"/>
      <x:c r="BH205" s="100" t="n"/>
      <x:c r="BI205" s="100" t="n"/>
      <x:c r="BJ205" s="100" t="n"/>
      <x:c r="BK205" s="100" t="n"/>
      <x:c r="BL205" s="100" t="n"/>
      <x:c r="BM205" s="100" t="n"/>
      <x:c r="BN205" s="100" t="n"/>
      <x:c r="BO205" s="100" t="n"/>
      <x:c r="BP205" s="100" t="n"/>
      <x:c r="BQ205" s="100" t="n"/>
      <x:c r="BR205" s="100" t="n"/>
      <x:c r="BS205" s="100" t="n"/>
      <x:c r="BT205" s="100" t="n"/>
      <x:c r="BU205" s="100" t="n"/>
      <x:c r="BV205" s="100" t="n"/>
      <x:c r="BW205" s="100" t="n"/>
      <x:c r="BX205" s="100" t="n"/>
      <x:c r="BY205" s="100" t="n"/>
      <x:c r="BZ205" s="100" t="n"/>
      <x:c r="CA205" s="100" t="n"/>
      <x:c r="CB205" s="100" t="n"/>
      <x:c r="CC205" s="100" t="n"/>
      <x:c r="CD205" s="100" t="n"/>
      <x:c r="CE205" s="100" t="n"/>
      <x:c r="CF205" s="100" t="n"/>
      <x:c r="CG205" s="100" t="n"/>
      <x:c r="CH205" s="100" t="n"/>
      <x:c r="CI205" s="100" t="n"/>
      <x:c r="CJ205" s="100" t="n"/>
      <x:c r="CK205" s="100" t="n"/>
      <x:c r="CL205" s="100" t="n"/>
      <x:c r="CM205" s="100" t="n"/>
      <x:c r="CN205" s="100" t="n"/>
      <x:c r="CO205" s="100" t="n"/>
      <x:c r="CP205" s="100" t="n"/>
      <x:c r="CQ205" s="100" t="n"/>
      <x:c r="CR205" s="100" t="n"/>
      <x:c r="CS205" s="100" t="n"/>
      <x:c r="CT205" s="100" t="n"/>
      <x:c r="CU205" s="100" t="n"/>
      <x:c r="CV205" s="100" t="n"/>
      <x:c r="CW205" s="100" t="n"/>
      <x:c r="CX205" s="100" t="n"/>
      <x:c r="CY205" s="100" t="n"/>
      <x:c r="CZ205" s="100" t="n"/>
      <x:c r="DA205" s="100" t="n"/>
      <x:c r="DB205" s="100" t="n"/>
      <x:c r="DC205" s="100" t="n"/>
      <x:c r="DD205" s="100" t="n"/>
      <x:c r="DE205" s="100" t="n"/>
      <x:c r="DF205" s="100" t="n"/>
      <x:c r="DG205" s="100" t="n"/>
      <x:c r="DH205" s="100" t="n"/>
      <x:c r="DI205" s="100" t="n"/>
      <x:c r="DJ205" s="100" t="n"/>
      <x:c r="DK205" s="100" t="n"/>
      <x:c r="DL205" s="100" t="n"/>
      <x:c r="DM205" s="100" t="n"/>
      <x:c r="DN205" s="100" t="n"/>
      <x:c r="DO205" s="100" t="n"/>
      <x:c r="DP205" s="100" t="n"/>
      <x:c r="DQ205" s="100" t="n"/>
      <x:c r="DR205" s="100" t="n"/>
      <x:c r="DS205" s="100" t="n"/>
      <x:c r="DT205" s="100" t="n"/>
      <x:c r="DU205" s="100" t="n"/>
      <x:c r="DV205" s="100" t="n"/>
      <x:c r="DW205" s="100" t="n"/>
      <x:c r="DX205" s="100" t="n"/>
      <x:c r="DY205" s="100" t="n"/>
      <x:c r="DZ205" s="100" t="n"/>
      <x:c r="EA205" s="100" t="n"/>
      <x:c r="EB205" s="100" t="n"/>
      <x:c r="EC205" s="100" t="n"/>
      <x:c r="ED205" s="100" t="n"/>
      <x:c r="EE205" s="100" t="n"/>
      <x:c r="EF205" s="100" t="n"/>
      <x:c r="EG205" s="100" t="n"/>
      <x:c r="EH205" s="100" t="n"/>
      <x:c r="EI205" s="100" t="n"/>
      <x:c r="EJ205" s="100" t="n"/>
      <x:c r="EK205" s="100" t="n"/>
      <x:c r="EL205" s="100" t="n"/>
      <x:c r="EM205" s="100" t="n"/>
      <x:c r="EN205" s="100" t="n"/>
      <x:c r="EO205" s="100" t="n"/>
      <x:c r="EP205" s="100" t="n"/>
      <x:c r="EQ205" s="100" t="n"/>
      <x:c r="ER205" s="100" t="n"/>
      <x:c r="ES205" s="100" t="n"/>
      <x:c r="ET205" s="100" t="n"/>
      <x:c r="EU205" s="100" t="n"/>
      <x:c r="EV205" s="100" t="n"/>
      <x:c r="EW205" s="100" t="n"/>
      <x:c r="EX205" s="100" t="n"/>
      <x:c r="EY205" s="100" t="n"/>
      <x:c r="EZ205" s="100" t="n"/>
      <x:c r="FA205" s="100" t="n"/>
      <x:c r="FB205" s="100" t="n"/>
      <x:c r="FC205" s="100" t="n"/>
      <x:c r="FD205" s="100" t="n"/>
      <x:c r="FE205" s="100" t="n"/>
      <x:c r="FF205" s="100" t="n"/>
      <x:c r="FG205" s="100" t="n"/>
      <x:c r="FH205" s="100" t="n"/>
      <x:c r="FI205" s="100" t="n"/>
      <x:c r="FJ205" s="100" t="n"/>
      <x:c r="FK205" s="100" t="n"/>
      <x:c r="FL205" s="100" t="n"/>
      <x:c r="FM205" s="100" t="n"/>
      <x:c r="FN205" s="100" t="n"/>
      <x:c r="FO205" s="100" t="n"/>
      <x:c r="FP205" s="100" t="n"/>
      <x:c r="FQ205" s="100" t="n"/>
      <x:c r="FR205" s="100" t="n"/>
      <x:c r="FS205" s="100" t="n"/>
      <x:c r="FT205" s="100" t="n"/>
      <x:c r="FU205" s="100" t="n"/>
      <x:c r="FV205" s="100" t="n"/>
      <x:c r="FW205" s="100" t="n"/>
      <x:c r="FX205" s="100" t="n"/>
      <x:c r="FY205" s="100" t="n"/>
      <x:c r="FZ205" s="100" t="n"/>
      <x:c r="GA205" s="100" t="n"/>
      <x:c r="GB205" s="100" t="n"/>
      <x:c r="GC205" s="100" t="n"/>
      <x:c r="GD205" s="100" t="n"/>
      <x:c r="GE205" s="100" t="n"/>
      <x:c r="GF205" s="100" t="n"/>
    </x:row>
    <x:row r="206" s="29" customFormat="1">
      <x:c r="A206" s="34" t="n"/>
      <x:c r="B206" s="33" t="n"/>
      <x:c r="C206" s="32" t="n"/>
      <x:c r="D206" s="31" t="n"/>
      <x:c r="E206" s="30" t="n"/>
      <x:c r="M206" s="102" t="n"/>
      <x:c r="N206" s="102" t="n"/>
      <x:c r="O206" s="102" t="n"/>
      <x:c r="P206" s="102" t="n"/>
      <x:c r="Q206" s="102" t="n"/>
      <x:c r="R206" s="102" t="n"/>
      <x:c r="S206" s="102" t="n"/>
      <x:c r="T206" s="102" t="n"/>
      <x:c r="U206" s="102" t="n"/>
      <x:c r="V206" s="102" t="n"/>
      <x:c r="W206" s="102" t="n"/>
      <x:c r="X206" s="102" t="n"/>
      <x:c r="Y206" s="102" t="n"/>
      <x:c r="Z206" s="102" t="n"/>
      <x:c r="AA206" s="102" t="n"/>
      <x:c r="AB206" s="102" t="n"/>
      <x:c r="AC206" s="102" t="n"/>
      <x:c r="AD206" s="102" t="n"/>
      <x:c r="AE206" s="102" t="n"/>
      <x:c r="AF206" s="102" t="n"/>
      <x:c r="AG206" s="102" t="n"/>
      <x:c r="AH206" s="102" t="n"/>
      <x:c r="AI206" s="102" t="n"/>
      <x:c r="AJ206" s="102" t="n"/>
      <x:c r="AK206" s="102" t="n"/>
      <x:c r="AL206" s="102" t="n"/>
      <x:c r="AM206" s="102" t="n"/>
      <x:c r="AN206" s="102" t="n"/>
      <x:c r="AO206" s="102" t="n"/>
      <x:c r="AP206" s="102" t="n"/>
      <x:c r="AQ206" s="102" t="n"/>
      <x:c r="AR206" s="102" t="n"/>
      <x:c r="AS206" s="95" t="n"/>
      <x:c r="AT206" s="102" t="n"/>
      <x:c r="AU206" s="102" t="n"/>
      <x:c r="AV206" s="95" t="n"/>
      <x:c r="AW206" s="95" t="n"/>
      <x:c r="AX206" s="95" t="n"/>
      <x:c r="AY206" s="95" t="n"/>
      <x:c r="AZ206" s="95" t="n"/>
      <x:c r="BA206" s="102" t="n"/>
      <x:c r="BB206" s="102" t="n"/>
      <x:c r="BC206" s="102" t="n"/>
      <x:c r="BD206" s="95" t="n"/>
      <x:c r="BE206" s="102" t="n"/>
      <x:c r="BF206" s="102" t="n"/>
      <x:c r="BG206" s="102" t="n"/>
      <x:c r="BH206" s="102" t="n"/>
      <x:c r="BI206" s="102" t="n"/>
      <x:c r="BJ206" s="102" t="n"/>
      <x:c r="BK206" s="102" t="n"/>
      <x:c r="BL206" s="102" t="n"/>
      <x:c r="BM206" s="102" t="n"/>
      <x:c r="BN206" s="102" t="n"/>
      <x:c r="BO206" s="102" t="n"/>
      <x:c r="BP206" s="102" t="n"/>
      <x:c r="BQ206" s="102" t="n"/>
      <x:c r="BR206" s="102" t="n"/>
      <x:c r="BS206" s="102" t="n"/>
      <x:c r="BT206" s="102" t="n"/>
      <x:c r="BU206" s="102" t="n"/>
      <x:c r="BV206" s="102" t="n"/>
      <x:c r="BW206" s="102" t="n"/>
      <x:c r="BX206" s="102" t="n"/>
      <x:c r="BY206" s="102" t="n"/>
      <x:c r="BZ206" s="102" t="n"/>
      <x:c r="CA206" s="102" t="n"/>
      <x:c r="CB206" s="102" t="n"/>
      <x:c r="CC206" s="102" t="n"/>
      <x:c r="CD206" s="102" t="n"/>
      <x:c r="CE206" s="102" t="n"/>
      <x:c r="CF206" s="102" t="n"/>
      <x:c r="CG206" s="102" t="n"/>
      <x:c r="CH206" s="102" t="n"/>
      <x:c r="CI206" s="102" t="n"/>
      <x:c r="CJ206" s="102" t="n"/>
      <x:c r="CK206" s="102" t="n"/>
      <x:c r="CL206" s="102" t="n"/>
      <x:c r="CM206" s="102" t="n"/>
      <x:c r="CN206" s="102" t="n"/>
      <x:c r="CO206" s="102" t="n"/>
      <x:c r="CP206" s="102" t="n"/>
      <x:c r="CQ206" s="102" t="n"/>
      <x:c r="CR206" s="102" t="n"/>
      <x:c r="CS206" s="102" t="n"/>
      <x:c r="CT206" s="102" t="n"/>
      <x:c r="CU206" s="102" t="n"/>
      <x:c r="CV206" s="102" t="n"/>
      <x:c r="CW206" s="102" t="n"/>
      <x:c r="CX206" s="102" t="n"/>
      <x:c r="CY206" s="102" t="n"/>
      <x:c r="CZ206" s="102" t="n"/>
      <x:c r="DA206" s="102" t="n"/>
      <x:c r="DB206" s="102" t="n"/>
      <x:c r="DC206" s="102" t="n"/>
      <x:c r="DD206" s="102" t="n"/>
      <x:c r="DE206" s="102" t="n"/>
      <x:c r="DF206" s="102" t="n"/>
      <x:c r="DG206" s="102" t="n"/>
      <x:c r="DH206" s="102" t="n"/>
      <x:c r="DI206" s="102" t="n"/>
      <x:c r="DJ206" s="102" t="n"/>
      <x:c r="DK206" s="102" t="n"/>
      <x:c r="DL206" s="102" t="n"/>
      <x:c r="DM206" s="102" t="n"/>
      <x:c r="DN206" s="102" t="n"/>
      <x:c r="DO206" s="102" t="n"/>
      <x:c r="DP206" s="102" t="n"/>
      <x:c r="DQ206" s="102" t="n"/>
      <x:c r="DR206" s="102" t="n"/>
      <x:c r="DS206" s="102" t="n"/>
      <x:c r="DT206" s="102" t="n"/>
      <x:c r="DU206" s="102" t="n"/>
      <x:c r="DV206" s="102" t="n"/>
      <x:c r="DW206" s="102" t="n"/>
      <x:c r="DX206" s="102" t="n"/>
      <x:c r="DY206" s="102" t="n"/>
      <x:c r="DZ206" s="102" t="n"/>
      <x:c r="EA206" s="102" t="n"/>
      <x:c r="EB206" s="102" t="n"/>
      <x:c r="EC206" s="102" t="n"/>
      <x:c r="ED206" s="102" t="n"/>
      <x:c r="EE206" s="102" t="n"/>
      <x:c r="EF206" s="102" t="n"/>
      <x:c r="EG206" s="102" t="n"/>
      <x:c r="EH206" s="102" t="n"/>
      <x:c r="EI206" s="102" t="n"/>
      <x:c r="EJ206" s="102" t="n"/>
      <x:c r="EK206" s="102" t="n"/>
      <x:c r="EL206" s="102" t="n"/>
      <x:c r="EM206" s="102" t="n"/>
      <x:c r="EN206" s="102" t="n"/>
      <x:c r="EO206" s="102" t="n"/>
      <x:c r="EP206" s="102" t="n"/>
      <x:c r="EQ206" s="102" t="n"/>
      <x:c r="ER206" s="102" t="n"/>
      <x:c r="ES206" s="102" t="n"/>
      <x:c r="ET206" s="102" t="n"/>
      <x:c r="EU206" s="102" t="n"/>
      <x:c r="EV206" s="102" t="n"/>
      <x:c r="EW206" s="102" t="n"/>
      <x:c r="EX206" s="102" t="n"/>
      <x:c r="EY206" s="102" t="n"/>
      <x:c r="EZ206" s="102" t="n"/>
      <x:c r="FA206" s="102" t="n"/>
      <x:c r="FB206" s="102" t="n"/>
      <x:c r="FC206" s="102" t="n"/>
      <x:c r="FD206" s="102" t="n"/>
      <x:c r="FE206" s="102" t="n"/>
      <x:c r="FF206" s="102" t="n"/>
      <x:c r="FG206" s="102" t="n"/>
      <x:c r="FH206" s="102" t="n"/>
      <x:c r="FI206" s="102" t="n"/>
      <x:c r="FJ206" s="102" t="n"/>
      <x:c r="FK206" s="102" t="n"/>
      <x:c r="FL206" s="102" t="n"/>
      <x:c r="FM206" s="102" t="n"/>
      <x:c r="FN206" s="102" t="n"/>
      <x:c r="FO206" s="102" t="n"/>
      <x:c r="FP206" s="102" t="n"/>
      <x:c r="FQ206" s="102" t="n"/>
      <x:c r="FR206" s="102" t="n"/>
      <x:c r="FS206" s="102" t="n"/>
      <x:c r="FT206" s="102" t="n"/>
      <x:c r="FU206" s="102" t="n"/>
      <x:c r="FV206" s="102" t="n"/>
      <x:c r="FW206" s="102" t="n"/>
      <x:c r="FX206" s="102" t="n"/>
      <x:c r="FY206" s="102" t="n"/>
      <x:c r="FZ206" s="102" t="n"/>
      <x:c r="GA206" s="102" t="n"/>
      <x:c r="GB206" s="102" t="n"/>
      <x:c r="GC206" s="102" t="n"/>
      <x:c r="GD206" s="102" t="n"/>
      <x:c r="GE206" s="102" t="n"/>
      <x:c r="GF206" s="102" t="n"/>
    </x:row>
    <x:row r="207" s="26" customFormat="1">
      <x:c r="A207" s="25" t="n"/>
      <x:c r="B207" s="24" t="n"/>
      <x:c r="C207" s="23" t="n"/>
      <x:c r="D207" s="22" t="n"/>
      <x:c r="E207" s="21" t="n"/>
      <x:c r="M207" s="95" t="n"/>
      <x:c r="N207" s="95" t="n"/>
      <x:c r="O207" s="95" t="n"/>
      <x:c r="P207" s="95" t="n"/>
      <x:c r="Q207" s="95" t="n"/>
      <x:c r="R207" s="95" t="n"/>
      <x:c r="S207" s="95" t="n"/>
      <x:c r="T207" s="95" t="n"/>
      <x:c r="U207" s="95" t="n"/>
      <x:c r="V207" s="95" t="n"/>
      <x:c r="W207" s="95" t="n"/>
      <x:c r="X207" s="95" t="n"/>
      <x:c r="Y207" s="95" t="n"/>
      <x:c r="Z207" s="95" t="n"/>
      <x:c r="AA207" s="95" t="n"/>
      <x:c r="AB207" s="95" t="n"/>
      <x:c r="AC207" s="95" t="n"/>
      <x:c r="AD207" s="95" t="n"/>
      <x:c r="AE207" s="95" t="n"/>
      <x:c r="AF207" s="95" t="n"/>
      <x:c r="AG207" s="95" t="n"/>
      <x:c r="AH207" s="95" t="n"/>
      <x:c r="AI207" s="95" t="n"/>
      <x:c r="AJ207" s="95" t="n"/>
      <x:c r="AK207" s="95" t="n"/>
      <x:c r="AL207" s="95" t="n"/>
      <x:c r="AM207" s="95" t="n"/>
      <x:c r="AN207" s="95" t="n"/>
      <x:c r="AO207" s="95" t="n"/>
      <x:c r="AP207" s="95" t="n"/>
      <x:c r="AQ207" s="95" t="n"/>
      <x:c r="AR207" s="95" t="n"/>
      <x:c r="AS207" s="95" t="n"/>
      <x:c r="AT207" s="95" t="n"/>
      <x:c r="AU207" s="95" t="n"/>
      <x:c r="AV207" s="95" t="n"/>
      <x:c r="AW207" s="95" t="n"/>
      <x:c r="AX207" s="95" t="n"/>
      <x:c r="AY207" s="95" t="n"/>
      <x:c r="AZ207" s="95" t="n"/>
      <x:c r="BA207" s="95" t="n"/>
      <x:c r="BB207" s="95" t="n"/>
      <x:c r="BC207" s="95" t="n"/>
      <x:c r="BD207" s="95" t="n"/>
      <x:c r="BE207" s="95" t="n"/>
      <x:c r="BF207" s="95" t="n"/>
      <x:c r="BG207" s="95" t="n"/>
      <x:c r="BH207" s="95" t="n"/>
      <x:c r="BI207" s="95" t="n"/>
      <x:c r="BJ207" s="95" t="n"/>
      <x:c r="BK207" s="95" t="n"/>
      <x:c r="BL207" s="95" t="n"/>
      <x:c r="BM207" s="95" t="n"/>
      <x:c r="BN207" s="95" t="n"/>
      <x:c r="BO207" s="95" t="n"/>
      <x:c r="BP207" s="95" t="n"/>
      <x:c r="BQ207" s="95" t="n"/>
      <x:c r="BR207" s="95" t="n"/>
      <x:c r="BS207" s="95" t="n"/>
      <x:c r="BT207" s="95" t="n"/>
      <x:c r="BU207" s="95" t="n"/>
      <x:c r="BV207" s="95" t="n"/>
      <x:c r="BW207" s="95" t="n"/>
      <x:c r="BX207" s="95" t="n"/>
      <x:c r="BY207" s="95" t="n"/>
      <x:c r="BZ207" s="95" t="n"/>
      <x:c r="CA207" s="95" t="n"/>
      <x:c r="CB207" s="95" t="n"/>
      <x:c r="CC207" s="95" t="n"/>
      <x:c r="CD207" s="95" t="n"/>
      <x:c r="CE207" s="95" t="n"/>
      <x:c r="CF207" s="95" t="n"/>
      <x:c r="CG207" s="95" t="n"/>
      <x:c r="CH207" s="95" t="n"/>
      <x:c r="CI207" s="95" t="n"/>
      <x:c r="CJ207" s="95" t="n"/>
      <x:c r="CK207" s="95" t="n"/>
      <x:c r="CL207" s="95" t="n"/>
      <x:c r="CM207" s="95" t="n"/>
      <x:c r="CN207" s="95" t="n"/>
      <x:c r="CO207" s="95" t="n"/>
      <x:c r="CP207" s="95" t="n"/>
      <x:c r="CQ207" s="95" t="n"/>
      <x:c r="CR207" s="95" t="n"/>
      <x:c r="CS207" s="95" t="n"/>
      <x:c r="CT207" s="95" t="n"/>
      <x:c r="CU207" s="95" t="n"/>
      <x:c r="CV207" s="95" t="n"/>
      <x:c r="CW207" s="95" t="n"/>
      <x:c r="CX207" s="95" t="n"/>
      <x:c r="CY207" s="95" t="n"/>
      <x:c r="CZ207" s="95" t="n"/>
      <x:c r="DA207" s="95" t="n"/>
      <x:c r="DB207" s="95" t="n"/>
      <x:c r="DC207" s="95" t="n"/>
      <x:c r="DD207" s="95" t="n"/>
      <x:c r="DE207" s="95" t="n"/>
      <x:c r="DF207" s="95" t="n"/>
      <x:c r="DG207" s="95" t="n"/>
      <x:c r="DH207" s="95" t="n"/>
      <x:c r="DI207" s="95" t="n"/>
      <x:c r="DJ207" s="95" t="n"/>
      <x:c r="DK207" s="95" t="n"/>
      <x:c r="DL207" s="95" t="n"/>
      <x:c r="DM207" s="95" t="n"/>
      <x:c r="DN207" s="95" t="n"/>
      <x:c r="DO207" s="95" t="n"/>
      <x:c r="DP207" s="95" t="n"/>
      <x:c r="DQ207" s="95" t="n"/>
      <x:c r="DR207" s="95" t="n"/>
      <x:c r="DS207" s="95" t="n"/>
      <x:c r="DT207" s="95" t="n"/>
      <x:c r="DU207" s="95" t="n"/>
      <x:c r="DV207" s="95" t="n"/>
      <x:c r="DW207" s="95" t="n"/>
      <x:c r="DX207" s="95" t="n"/>
      <x:c r="DY207" s="95" t="n"/>
      <x:c r="DZ207" s="95" t="n"/>
      <x:c r="EA207" s="95" t="n"/>
      <x:c r="EB207" s="95" t="n"/>
      <x:c r="EC207" s="95" t="n"/>
      <x:c r="ED207" s="95" t="n"/>
      <x:c r="EE207" s="95" t="n"/>
      <x:c r="EF207" s="95" t="n"/>
      <x:c r="EG207" s="95" t="n"/>
      <x:c r="EH207" s="95" t="n"/>
      <x:c r="EI207" s="95" t="n"/>
      <x:c r="EJ207" s="95" t="n"/>
      <x:c r="EK207" s="95" t="n"/>
      <x:c r="EL207" s="95" t="n"/>
      <x:c r="EM207" s="95" t="n"/>
      <x:c r="EN207" s="95" t="n"/>
      <x:c r="EO207" s="95" t="n"/>
      <x:c r="EP207" s="95" t="n"/>
      <x:c r="EQ207" s="95" t="n"/>
      <x:c r="ER207" s="95" t="n"/>
      <x:c r="ES207" s="95" t="n"/>
      <x:c r="ET207" s="95" t="n"/>
      <x:c r="EU207" s="95" t="n"/>
      <x:c r="EV207" s="95" t="n"/>
      <x:c r="EW207" s="95" t="n"/>
      <x:c r="EX207" s="95" t="n"/>
      <x:c r="EY207" s="95" t="n"/>
      <x:c r="EZ207" s="95" t="n"/>
      <x:c r="FA207" s="95" t="n"/>
      <x:c r="FB207" s="95" t="n"/>
      <x:c r="FC207" s="95" t="n"/>
      <x:c r="FD207" s="95" t="n"/>
      <x:c r="FE207" s="95" t="n"/>
      <x:c r="FF207" s="95" t="n"/>
      <x:c r="FG207" s="95" t="n"/>
      <x:c r="FH207" s="95" t="n"/>
      <x:c r="FI207" s="95" t="n"/>
      <x:c r="FJ207" s="95" t="n"/>
      <x:c r="FK207" s="95" t="n"/>
      <x:c r="FL207" s="95" t="n"/>
      <x:c r="FM207" s="95" t="n"/>
      <x:c r="FN207" s="95" t="n"/>
      <x:c r="FO207" s="95" t="n"/>
      <x:c r="FP207" s="95" t="n"/>
      <x:c r="FQ207" s="95" t="n"/>
      <x:c r="FR207" s="95" t="n"/>
      <x:c r="FS207" s="95" t="n"/>
      <x:c r="FT207" s="95" t="n"/>
      <x:c r="FU207" s="95" t="n"/>
      <x:c r="FV207" s="95" t="n"/>
      <x:c r="FW207" s="95" t="n"/>
      <x:c r="FX207" s="95" t="n"/>
      <x:c r="FY207" s="95" t="n"/>
      <x:c r="FZ207" s="95" t="n"/>
      <x:c r="GA207" s="95" t="n"/>
      <x:c r="GB207" s="95" t="n"/>
      <x:c r="GC207" s="95" t="n"/>
      <x:c r="GD207" s="95" t="n"/>
      <x:c r="GE207" s="95" t="n"/>
      <x:c r="GF207" s="95" t="n"/>
    </x:row>
    <x:row r="208">
      <x:c r="A208" s="25" t="n"/>
      <x:c r="B208" s="24" t="n"/>
      <x:c r="C208" s="23" t="n"/>
      <x:c r="D208" s="22" t="n"/>
      <x:c r="E208" s="21" t="n"/>
    </x:row>
  </x:sheetData>
  <x:mergeCells>
    <x:mergeCell ref="CG7:CG8"/>
    <x:mergeCell ref="EX7:EX8"/>
    <x:mergeCell ref="EZ7:EZ8"/>
    <x:mergeCell ref="DH7:DH8"/>
    <x:mergeCell ref="BR7:BR8"/>
    <x:mergeCell ref="BA7:BA8"/>
    <x:mergeCell ref="BC7:BC8"/>
    <x:mergeCell ref="DT7:DT8"/>
    <x:mergeCell ref="M7:M8"/>
    <x:mergeCell ref="DV7:DV8"/>
    <x:mergeCell ref="FD7:FD8"/>
    <x:mergeCell ref="FV7:FV8"/>
    <x:mergeCell ref="BO7:BO8"/>
    <x:mergeCell ref="FX7:FX8"/>
    <x:mergeCell ref="CI7:CI8"/>
    <x:mergeCell ref="DS7:DS8"/>
    <x:mergeCell ref="E1:F1"/>
    <x:mergeCell ref="P7:P8"/>
    <x:mergeCell ref="AM7:AM8"/>
    <x:mergeCell ref="FF7:FF8"/>
    <x:mergeCell ref="CA7:CA8"/>
    <x:mergeCell ref="T7:T8"/>
    <x:mergeCell ref="V7:V8"/>
    <x:mergeCell ref="CM7:CM8"/>
    <x:mergeCell ref="AN7:AN8"/>
    <x:mergeCell ref="AF7:AF8"/>
    <x:mergeCell ref="AP7:AP8"/>
    <x:mergeCell ref="EO7:EO8"/>
    <x:mergeCell ref="DG7:DG8"/>
    <x:mergeCell ref="AH7:AH8"/>
    <x:mergeCell ref="EQ7:EQ8"/>
    <x:mergeCell ref="D2:D4"/>
    <x:mergeCell ref="FI7:FI8"/>
    <x:mergeCell ref="CJ7:CJ8"/>
    <x:mergeCell ref="BB7:BB8"/>
    <x:mergeCell ref="FA7:FA8"/>
    <x:mergeCell ref="BD7:BD8"/>
    <x:mergeCell ref="FC7:FC8"/>
    <x:mergeCell ref="EN7:EN8"/>
    <x:mergeCell ref="AT7:AT8"/>
    <x:mergeCell ref="DK7:DK8"/>
    <x:mergeCell ref="AV7:AV8"/>
    <x:mergeCell ref="CP7:CP8"/>
    <x:mergeCell ref="DM7:DM8"/>
    <x:mergeCell ref="C6:C7"/>
    <x:mergeCell ref="BF7:BF8"/>
    <x:mergeCell ref="FO7:FO8"/>
    <x:mergeCell ref="BH7:BH8"/>
    <x:mergeCell ref="E3:F3"/>
    <x:mergeCell ref="FQ7:FQ8"/>
    <x:mergeCell ref="DY7:DY8"/>
    <x:mergeCell ref="EA7:EA8"/>
    <x:mergeCell ref="DJ7:DJ8"/>
    <x:mergeCell ref="GA7:GA8"/>
    <x:mergeCell ref="BT7:BT8"/>
    <x:mergeCell ref="GC7:GC8"/>
    <x:mergeCell ref="B3:C3"/>
    <x:mergeCell ref="A2:A6"/>
    <x:mergeCell ref="E5:F5"/>
    <x:mergeCell ref="G7:G8"/>
    <x:mergeCell ref="DP7:DP8"/>
    <x:mergeCell ref="I7:I8"/>
    <x:mergeCell ref="BI7:BI8"/>
    <x:mergeCell ref="S7:S8"/>
    <x:mergeCell ref="EB7:EB8"/>
    <x:mergeCell ref="U7:U8"/>
    <x:mergeCell ref="FL7:FL8"/>
    <x:mergeCell ref="W7:W8"/>
    <x:mergeCell ref="E4:F4"/>
    <x:mergeCell ref="BW7:BW8"/>
    <x:mergeCell ref="CT7:CT8"/>
    <x:mergeCell ref="B2:C2"/>
    <x:mergeCell ref="CF7:CF8"/>
    <x:mergeCell ref="EF7:EF8"/>
    <x:mergeCell ref="AI7:AI8"/>
    <x:mergeCell ref="Y7:Y8"/>
    <x:mergeCell ref="EH7:EH8"/>
    <x:mergeCell ref="CZ7:CZ8"/>
    <x:mergeCell ref="AA7:AA8"/>
    <x:mergeCell ref="CR7:CR8"/>
    <x:mergeCell ref="AS7:AS8"/>
    <x:mergeCell ref="CC7:CC8"/>
    <x:mergeCell ref="AU7:AU8"/>
    <x:mergeCell ref="ET7:ET8"/>
    <x:mergeCell ref="F6:F8"/>
    <x:mergeCell ref="EV7:EV8"/>
    <x:mergeCell ref="CW7:CW8"/>
    <x:mergeCell ref="FN7:FN8"/>
    <x:mergeCell ref="CO7:CO8"/>
    <x:mergeCell ref="FP7:FP8"/>
    <x:mergeCell ref="DI7:DI8"/>
    <x:mergeCell ref="AY7:AY8"/>
    <x:mergeCell ref="AD7:AD8"/>
    <x:mergeCell ref="CU7:CU8"/>
    <x:mergeCell ref="DR7:DR8"/>
    <x:mergeCell ref="FR7:FR8"/>
    <x:mergeCell ref="BK7:BK8"/>
    <x:mergeCell ref="FT7:FT8"/>
    <x:mergeCell ref="GD7:GD8"/>
    <x:mergeCell ref="DO7:DO8"/>
    <x:mergeCell ref="GF7:GF8"/>
    <x:mergeCell ref="BQ7:BQ8"/>
    <x:mergeCell ref="DA7:DA8"/>
    <x:mergeCell ref="L7:L8"/>
    <x:mergeCell ref="DU7:DU8"/>
    <x:mergeCell ref="N7:N8"/>
    <x:mergeCell ref="BN7:BN8"/>
    <x:mergeCell ref="BP7:BP8"/>
    <x:mergeCell ref="EG7:EG8"/>
    <x:mergeCell ref="BZ7:BZ8"/>
    <x:mergeCell ref="CB7:CB8"/>
    <x:mergeCell ref="R7:R8"/>
    <x:mergeCell ref="CE7:CE8"/>
    <x:mergeCell ref="AJ7:AJ8"/>
    <x:mergeCell ref="CK7:CK8"/>
    <x:mergeCell ref="AL7:AL8"/>
    <x:mergeCell ref="EK7:EK8"/>
    <x:mergeCell ref="DC7:DC8"/>
    <x:mergeCell ref="EM7:EM8"/>
    <x:mergeCell ref="CN7:CN8"/>
    <x:mergeCell ref="FE7:FE8"/>
    <x:mergeCell ref="AX7:AX8"/>
    <x:mergeCell ref="FG7:FG8"/>
    <x:mergeCell ref="EW7:EW8"/>
    <x:mergeCell ref="EY7:EY8"/>
    <x:mergeCell ref="DB7:DB8"/>
    <x:mergeCell ref="CL7:CL8"/>
    <x:mergeCell ref="AG7:AG8"/>
    <x:mergeCell ref="EP7:EP8"/>
    <x:mergeCell ref="FW7:FW8"/>
    <x:mergeCell ref="FB7:FB8"/>
    <x:mergeCell ref="FY7:FY8"/>
    <x:mergeCell ref="DL7:DL8"/>
    <x:mergeCell ref="DD7:DD8"/>
    <x:mergeCell ref="BV7:BV8"/>
    <x:mergeCell ref="BE7:BE8"/>
    <x:mergeCell ref="DF7:DF8"/>
    <x:mergeCell ref="BG7:BG8"/>
    <x:mergeCell ref="O7:O8"/>
    <x:mergeCell ref="DX7:DX8"/>
    <x:mergeCell ref="Q7:Q8"/>
    <x:mergeCell ref="FH7:FH8"/>
    <x:mergeCell ref="DZ7:DZ8"/>
    <x:mergeCell ref="FZ7:FZ8"/>
    <x:mergeCell ref="BS7:BS8"/>
    <x:mergeCell ref="GB7:GB8"/>
    <x:mergeCell ref="EJ7:EJ8"/>
    <x:mergeCell ref="BU7:BU8"/>
    <x:mergeCell ref="DW7:DW8"/>
    <x:mergeCell ref="AR7:AR8"/>
    <x:mergeCell ref="B5:C5"/>
    <x:mergeCell ref="EI7:EI8"/>
    <x:mergeCell ref="ED7:ED8"/>
    <x:mergeCell ref="AO7:AO8"/>
    <x:mergeCell ref="D6:D7"/>
    <x:mergeCell ref="AQ7:AQ8"/>
    <x:mergeCell ref="BY7:BY8"/>
    <x:mergeCell ref="B6:B8"/>
    <x:mergeCell ref="B4:C4"/>
    <x:mergeCell ref="ER7:ER8"/>
    <x:mergeCell ref="CS7:CS8"/>
    <x:mergeCell ref="FJ7:FJ8"/>
    <x:mergeCell ref="DE7:DE8"/>
    <x:mergeCell ref="X7:X8"/>
    <x:mergeCell ref="Z7:Z8"/>
    <x:mergeCell ref="CQ7:CQ8"/>
    <x:mergeCell ref="ES7:ES8"/>
    <x:mergeCell ref="EU7:EU8"/>
    <x:mergeCell ref="BM7:BM8"/>
    <x:mergeCell ref="AZ7:AZ8"/>
    <x:mergeCell ref="H7:H8"/>
    <x:mergeCell ref="DQ7:DQ8"/>
    <x:mergeCell ref="J7:J8"/>
    <x:mergeCell ref="E6:E7"/>
    <x:mergeCell ref="BJ7:BJ8"/>
    <x:mergeCell ref="AB7:AB8"/>
    <x:mergeCell ref="FS7:FS8"/>
    <x:mergeCell ref="BL7:BL8"/>
    <x:mergeCell ref="FK7:FK8"/>
    <x:mergeCell ref="FU7:FU8"/>
    <x:mergeCell ref="EC7:EC8"/>
    <x:mergeCell ref="FM7:FM8"/>
    <x:mergeCell ref="EE7:EE8"/>
    <x:mergeCell ref="DN7:DN8"/>
    <x:mergeCell ref="GE7:GE8"/>
    <x:mergeCell ref="CD7:CD8"/>
    <x:mergeCell ref="BX7:BX8"/>
    <x:mergeCell ref="E2:F2"/>
    <x:mergeCell ref="K7:K8"/>
    <x:mergeCell ref="CY7:CY8"/>
    <x:mergeCell ref="CX7:CX8"/>
    <x:mergeCell ref="CH7:CH8"/>
    <x:mergeCell ref="AK7:AK8"/>
    <x:mergeCell ref="AC7:AC8"/>
    <x:mergeCell ref="EL7:EL8"/>
    <x:mergeCell ref="AE7:AE8"/>
    <x:mergeCell ref="CV7:CV8"/>
    <x:mergeCell ref="AW7:AW8"/>
  </x:mergeCells>
  <x:pageMargins left="0.7" right="0.7" top="0.75" bottom="0.75" header="0.3" footer="0.3"/>
</x:worksheet>
</file>

<file path=xl/worksheets/sheet7.xml><?xml version="1.0" encoding="utf-8"?>
<x:worksheet xmlns:x="http://schemas.openxmlformats.org/spreadsheetml/2006/main">
  <x:sheetFormatPr baseColWidth="8" defaultColWidth="14.42578125" defaultRowHeight="12.75"/>
  <x:cols>
    <x:col min="1" max="1" width="19.85546875" style="19" customWidth="1"/>
    <x:col min="2" max="2" width="7.7109375" style="18" customWidth="1"/>
    <x:col min="3" max="3" width="12.5703125" style="17" customWidth="1"/>
    <x:col min="4" max="4" width="49.7109375" style="16" customWidth="1"/>
    <x:col min="5" max="5" width="12.5703125" style="15" customWidth="1"/>
    <x:col min="6" max="6" width="6.85546875" style="13" customWidth="1"/>
    <x:col min="7" max="7" width="13" style="13" customWidth="1"/>
    <x:col min="8" max="16" width="13" style="81" customWidth="1"/>
    <x:col min="17" max="17" width="13" style="95" customWidth="1"/>
    <x:col min="18" max="25" width="13" style="81" customWidth="1"/>
    <x:col min="26" max="32" width="13" style="95" customWidth="1"/>
    <x:col min="33" max="33" width="13" style="81" customWidth="1"/>
    <x:col min="34" max="34" width="13" style="95" customWidth="1"/>
    <x:col min="35" max="35" width="13" style="81" customWidth="1"/>
    <x:col min="36" max="36" width="13" style="95" customWidth="1"/>
    <x:col min="37" max="156" width="13" style="81" customWidth="1"/>
    <x:col min="157" max="183" width="13" style="13" customWidth="1"/>
    <x:col min="184" max="184" width="13" style="14" customWidth="1"/>
    <x:col min="185" max="187" width="13" style="13" customWidth="1"/>
    <x:col min="188" max="16384" width="14.42578125" style="13" customWidth="1"/>
  </x:cols>
  <x:sheetData>
    <x:row r="1" s="569" customFormat="1" ht="13.5" customHeight="1">
      <x:c r="E1" s="477" t="inlineStr">
        <x:is>
          <x:t xml:space="preserve">Instrument</x:t>
        </x:is>
      </x:c>
      <x:c r="F1" s="592" t="n"/>
      <x:c r="G1" s="63" t="inlineStr">
        <x:is>
          <x:t xml:space="preserve"/>
        </x:is>
      </x:c>
      <x:c r="H1" s="95" t="inlineStr">
        <x:is>
          <x:t xml:space="preserve">PAT</x:t>
        </x:is>
      </x:c>
      <x:c r="I1" s="95" t="inlineStr">
        <x:is>
          <x:t xml:space="preserve">DEED</x:t>
        </x:is>
      </x:c>
      <x:c r="J1" s="95" t="inlineStr">
        <x:is>
          <x:t xml:space="preserve">DEED</x:t>
        </x:is>
      </x:c>
      <x:c r="K1" s="95" t="inlineStr">
        <x:is>
          <x:t xml:space="preserve">DEED</x:t>
        </x:is>
      </x:c>
      <x:c r="L1" s="95" t="inlineStr">
        <x:is>
          <x:t xml:space="preserve">WD</x:t>
        </x:is>
      </x:c>
      <x:c r="M1" s="95" t="inlineStr">
        <x:is>
          <x:t xml:space="preserve">MD</x:t>
        </x:is>
      </x:c>
      <x:c r="N1" s="95" t="inlineStr">
        <x:is>
          <x:t xml:space="preserve">MD</x:t>
        </x:is>
      </x:c>
      <x:c r="O1" s="95" t="inlineStr">
        <x:is>
          <x:t xml:space="preserve">MD</x:t>
        </x:is>
      </x:c>
      <x:c r="P1" s="95" t="inlineStr">
        <x:is>
          <x:t xml:space="preserve">MD</x:t>
        </x:is>
      </x:c>
      <x:c r="Q1" s="95" t="inlineStr">
        <x:is>
          <x:t xml:space="preserve">MD</x:t>
        </x:is>
      </x:c>
      <x:c r="R1" s="95" t="inlineStr">
        <x:is>
          <x:t xml:space="preserve">MD</x:t>
        </x:is>
      </x:c>
      <x:c r="S1" s="95" t="inlineStr">
        <x:is>
          <x:t xml:space="preserve">MD</x:t>
        </x:is>
      </x:c>
      <x:c r="T1" s="95" t="inlineStr">
        <x:is>
          <x:t xml:space="preserve">MD</x:t>
        </x:is>
      </x:c>
      <x:c r="U1" s="95" t="inlineStr">
        <x:is>
          <x:t xml:space="preserve">MD</x:t>
        </x:is>
      </x:c>
      <x:c r="V1" s="95" t="inlineStr">
        <x:is>
          <x:t xml:space="preserve">TA</x:t>
        </x:is>
      </x:c>
      <x:c r="W1" s="95" t="inlineStr">
        <x:is>
          <x:t xml:space="preserve">MD</x:t>
        </x:is>
      </x:c>
      <x:c r="X1" s="95" t="inlineStr">
        <x:is>
          <x:t xml:space="preserve">MD</x:t>
        </x:is>
      </x:c>
      <x:c r="Y1" s="95" t="inlineStr">
        <x:is>
          <x:t xml:space="preserve">MD</x:t>
        </x:is>
      </x:c>
      <x:c r="Z1" s="95" t="inlineStr">
        <x:is>
          <x:t xml:space="preserve">TA</x:t>
        </x:is>
      </x:c>
      <x:c r="AA1" s="95" t="inlineStr">
        <x:is>
          <x:t xml:space="preserve">MD</x:t>
        </x:is>
      </x:c>
      <x:c r="AB1" s="95" t="inlineStr">
        <x:is>
          <x:t xml:space="preserve">MD</x:t>
        </x:is>
      </x:c>
      <x:c r="AC1" s="95" t="inlineStr">
        <x:is>
          <x:t xml:space="preserve">MD</x:t>
        </x:is>
      </x:c>
      <x:c r="AD1" s="95" t="inlineStr">
        <x:is>
          <x:t xml:space="preserve">MD</x:t>
        </x:is>
      </x:c>
      <x:c r="AE1" s="95" t="inlineStr">
        <x:is>
          <x:t xml:space="preserve">MD</x:t>
        </x:is>
      </x:c>
      <x:c r="AF1" s="95" t="inlineStr">
        <x:is>
          <x:t xml:space="preserve">MD</x:t>
        </x:is>
      </x:c>
      <x:c r="AG1" s="95" t="inlineStr">
        <x:is>
          <x:t xml:space="preserve">MD</x:t>
        </x:is>
      </x:c>
      <x:c r="AH1" s="95" t="inlineStr">
        <x:is>
          <x:t xml:space="preserve">MD</x:t>
        </x:is>
      </x:c>
      <x:c r="AI1" s="95" t="inlineStr">
        <x:is>
          <x:t xml:space="preserve">MD</x:t>
        </x:is>
      </x:c>
      <x:c r="AJ1" s="116" t="inlineStr">
        <x:is>
          <x:t xml:space="preserve">MD</x:t>
        </x:is>
      </x:c>
      <x:c r="AK1" s="81" t="inlineStr">
        <x:is>
          <x:t xml:space="preserve">MD</x:t>
        </x:is>
      </x:c>
      <x:c r="AL1" s="81" t="inlineStr">
        <x:is>
          <x:t xml:space="preserve">MD</x:t>
        </x:is>
      </x:c>
      <x:c r="AM1" s="81" t="inlineStr">
        <x:is>
          <x:t xml:space="preserve">MD</x:t>
        </x:is>
      </x:c>
      <x:c r="AN1" s="81" t="inlineStr">
        <x:is>
          <x:t xml:space="preserve">MD</x:t>
        </x:is>
      </x:c>
      <x:c r="AO1" s="81" t="inlineStr">
        <x:is>
          <x:t xml:space="preserve">MD</x:t>
        </x:is>
      </x:c>
      <x:c r="AP1" s="81" t="inlineStr">
        <x:is>
          <x:t xml:space="preserve">MD</x:t>
        </x:is>
      </x:c>
      <x:c r="AQ1" s="81" t="inlineStr">
        <x:is>
          <x:t xml:space="preserve">MD</x:t>
        </x:is>
      </x:c>
      <x:c r="AR1" s="81" t="inlineStr">
        <x:is>
          <x:t xml:space="preserve">MD</x:t>
        </x:is>
      </x:c>
      <x:c r="AS1" s="81" t="inlineStr">
        <x:is>
          <x:t xml:space="preserve">MD</x:t>
        </x:is>
      </x:c>
      <x:c r="AT1" s="81" t="inlineStr">
        <x:is>
          <x:t xml:space="preserve">MD</x:t>
        </x:is>
      </x:c>
      <x:c r="AU1" s="81" t="inlineStr">
        <x:is>
          <x:t xml:space="preserve">MD</x:t>
        </x:is>
      </x:c>
      <x:c r="AV1" s="81" t="inlineStr">
        <x:is>
          <x:t xml:space="preserve">MD</x:t>
        </x:is>
      </x:c>
      <x:c r="AW1" s="81" t="inlineStr">
        <x:is>
          <x:t xml:space="preserve">MD</x:t>
        </x:is>
      </x:c>
      <x:c r="AX1" s="81" t="inlineStr">
        <x:is>
          <x:t xml:space="preserve">MD</x:t>
        </x:is>
      </x:c>
      <x:c r="AY1" s="81" t="inlineStr">
        <x:is>
          <x:t xml:space="preserve">MD</x:t>
        </x:is>
      </x:c>
      <x:c r="AZ1" s="81" t="inlineStr">
        <x:is>
          <x:t xml:space="preserve">MD</x:t>
        </x:is>
      </x:c>
      <x:c r="BA1" s="81" t="inlineStr">
        <x:is>
          <x:t xml:space="preserve">MD</x:t>
        </x:is>
      </x:c>
      <x:c r="BB1" s="81" t="inlineStr">
        <x:is>
          <x:t xml:space="preserve">MD</x:t>
        </x:is>
      </x:c>
      <x:c r="BC1" s="81" t="inlineStr">
        <x:is>
          <x:t xml:space="preserve">MD</x:t>
        </x:is>
      </x:c>
      <x:c r="BD1" s="81" t="inlineStr">
        <x:is>
          <x:t xml:space="preserve">MD</x:t>
        </x:is>
      </x:c>
      <x:c r="BE1" s="81" t="inlineStr">
        <x:is>
          <x:t xml:space="preserve">MD</x:t>
        </x:is>
      </x:c>
      <x:c r="BF1" s="81" t="inlineStr">
        <x:is>
          <x:t xml:space="preserve">MD</x:t>
        </x:is>
      </x:c>
      <x:c r="BG1" s="81" t="inlineStr">
        <x:is>
          <x:t xml:space="preserve">MD</x:t>
        </x:is>
      </x:c>
      <x:c r="BH1" s="81" t="inlineStr">
        <x:is>
          <x:t xml:space="preserve">MD</x:t>
        </x:is>
      </x:c>
      <x:c r="BI1" s="81" t="inlineStr">
        <x:is>
          <x:t xml:space="preserve">MD</x:t>
        </x:is>
      </x:c>
      <x:c r="BJ1" s="81" t="inlineStr">
        <x:is>
          <x:t xml:space="preserve">MD</x:t>
        </x:is>
      </x:c>
      <x:c r="BK1" s="81" t="inlineStr">
        <x:is>
          <x:t xml:space="preserve">MD</x:t>
        </x:is>
      </x:c>
      <x:c r="BL1" s="81" t="inlineStr">
        <x:is>
          <x:t xml:space="preserve">DECREE</x:t>
        </x:is>
      </x:c>
      <x:c r="BM1" s="81" t="inlineStr">
        <x:is>
          <x:t xml:space="preserve">MD</x:t>
        </x:is>
      </x:c>
      <x:c r="BN1" s="81" t="inlineStr">
        <x:is>
          <x:t xml:space="preserve">MD</x:t>
        </x:is>
      </x:c>
      <x:c r="BO1" s="81" t="inlineStr">
        <x:is>
          <x:t xml:space="preserve">MD</x:t>
        </x:is>
      </x:c>
      <x:c r="BP1" s="81" t="inlineStr">
        <x:is>
          <x:t xml:space="preserve">MD</x:t>
        </x:is>
      </x:c>
      <x:c r="BQ1" s="81" t="inlineStr">
        <x:is>
          <x:t xml:space="preserve">MD</x:t>
        </x:is>
      </x:c>
      <x:c r="BR1" s="81" t="inlineStr">
        <x:is>
          <x:t xml:space="preserve">MD</x:t>
        </x:is>
      </x:c>
      <x:c r="BS1" s="81" t="inlineStr">
        <x:is>
          <x:t xml:space="preserve">MD</x:t>
        </x:is>
      </x:c>
      <x:c r="BT1" s="81" t="inlineStr">
        <x:is>
          <x:t xml:space="preserve">MD</x:t>
        </x:is>
      </x:c>
      <x:c r="BU1" s="81" t="inlineStr">
        <x:is>
          <x:t xml:space="preserve">MD</x:t>
        </x:is>
      </x:c>
      <x:c r="BV1" s="81" t="inlineStr">
        <x:is>
          <x:t xml:space="preserve">MD</x:t>
        </x:is>
      </x:c>
      <x:c r="BW1" s="81" t="inlineStr">
        <x:is>
          <x:t xml:space="preserve">MD</x:t>
        </x:is>
      </x:c>
      <x:c r="BX1" s="81" t="inlineStr">
        <x:is>
          <x:t xml:space="preserve">DECREE</x:t>
        </x:is>
      </x:c>
      <x:c r="BY1" s="81" t="inlineStr">
        <x:is>
          <x:t xml:space="preserve">MD</x:t>
        </x:is>
      </x:c>
      <x:c r="BZ1" s="81" t="inlineStr">
        <x:is>
          <x:t xml:space="preserve">MD</x:t>
        </x:is>
      </x:c>
      <x:c r="CA1" s="81" t="inlineStr">
        <x:is>
          <x:t xml:space="preserve">MD</x:t>
        </x:is>
      </x:c>
      <x:c r="CB1" s="81" t="inlineStr">
        <x:is>
          <x:t xml:space="preserve">QCD</x:t>
        </x:is>
      </x:c>
      <x:c r="CC1" s="81" t="inlineStr">
        <x:is>
          <x:t xml:space="preserve">MD</x:t>
        </x:is>
      </x:c>
      <x:c r="CD1" s="81" t="inlineStr">
        <x:is>
          <x:t xml:space="preserve">MD</x:t>
        </x:is>
      </x:c>
      <x:c r="CE1" s="81" t="inlineStr">
        <x:is>
          <x:t xml:space="preserve">MD</x:t>
        </x:is>
      </x:c>
      <x:c r="CF1" s="81" t="inlineStr">
        <x:is>
          <x:t xml:space="preserve">MD</x:t>
        </x:is>
      </x:c>
      <x:c r="CG1" s="81" t="inlineStr">
        <x:is>
          <x:t xml:space="preserve">MD</x:t>
        </x:is>
      </x:c>
      <x:c r="CH1" s="81" t="inlineStr">
        <x:is>
          <x:t xml:space="preserve">MD</x:t>
        </x:is>
      </x:c>
      <x:c r="CI1" s="81" t="inlineStr">
        <x:is>
          <x:t xml:space="preserve">MD</x:t>
        </x:is>
      </x:c>
      <x:c r="CJ1" s="81" t="inlineStr">
        <x:is>
          <x:t xml:space="preserve">MD</x:t>
        </x:is>
      </x:c>
      <x:c r="CK1" s="81" t="inlineStr">
        <x:is>
          <x:t xml:space="preserve">MD</x:t>
        </x:is>
      </x:c>
      <x:c r="CL1" s="81" t="inlineStr">
        <x:is>
          <x:t xml:space="preserve">MD</x:t>
        </x:is>
      </x:c>
      <x:c r="CM1" s="81" t="inlineStr">
        <x:is>
          <x:t xml:space="preserve">DECREE</x:t>
        </x:is>
      </x:c>
      <x:c r="CN1" s="81" t="inlineStr">
        <x:is>
          <x:t xml:space="preserve">QCD</x:t>
        </x:is>
      </x:c>
      <x:c r="CO1" s="81" t="inlineStr">
        <x:is>
          <x:t xml:space="preserve">QCD</x:t>
        </x:is>
      </x:c>
      <x:c r="CP1" s="81" t="inlineStr">
        <x:is>
          <x:t xml:space="preserve">QCD</x:t>
        </x:is>
      </x:c>
      <x:c r="CQ1" s="81" t="inlineStr">
        <x:is>
          <x:t xml:space="preserve">QCD</x:t>
        </x:is>
      </x:c>
      <x:c r="CR1" s="81" t="inlineStr">
        <x:is>
          <x:t xml:space="preserve">MD</x:t>
        </x:is>
      </x:c>
      <x:c r="CS1" s="81" t="inlineStr">
        <x:is>
          <x:t xml:space="preserve">MD</x:t>
        </x:is>
      </x:c>
      <x:c r="CT1" s="81" t="inlineStr">
        <x:is>
          <x:t xml:space="preserve">QCD</x:t>
        </x:is>
      </x:c>
      <x:c r="CU1" s="81" t="inlineStr">
        <x:is>
          <x:t xml:space="preserve">MD</x:t>
        </x:is>
      </x:c>
      <x:c r="CV1" s="81" t="inlineStr">
        <x:is>
          <x:t xml:space="preserve">MD</x:t>
        </x:is>
      </x:c>
      <x:c r="CW1" s="81" t="inlineStr">
        <x:is>
          <x:t xml:space="preserve">MD</x:t>
        </x:is>
      </x:c>
      <x:c r="CX1" s="81" t="inlineStr">
        <x:is>
          <x:t xml:space="preserve">MD</x:t>
        </x:is>
      </x:c>
      <x:c r="CY1" s="81" t="inlineStr">
        <x:is>
          <x:t xml:space="preserve">MD</x:t>
        </x:is>
      </x:c>
      <x:c r="CZ1" s="81" t="inlineStr">
        <x:is>
          <x:t xml:space="preserve">MD</x:t>
        </x:is>
      </x:c>
      <x:c r="DA1" s="81" t="inlineStr">
        <x:is>
          <x:t xml:space="preserve">QCD</x:t>
        </x:is>
      </x:c>
      <x:c r="DB1" s="81" t="inlineStr">
        <x:is>
          <x:t xml:space="preserve">QCD</x:t>
        </x:is>
      </x:c>
      <x:c r="DC1" s="81" t="inlineStr">
        <x:is>
          <x:t xml:space="preserve">MD</x:t>
        </x:is>
      </x:c>
      <x:c r="DD1" s="81" t="inlineStr">
        <x:is>
          <x:t xml:space="preserve">MD</x:t>
        </x:is>
      </x:c>
      <x:c r="DE1" s="81" t="inlineStr">
        <x:is>
          <x:t xml:space="preserve">MD</x:t>
        </x:is>
      </x:c>
      <x:c r="DF1" s="81" t="inlineStr">
        <x:is>
          <x:t xml:space="preserve">MD</x:t>
        </x:is>
      </x:c>
      <x:c r="DG1" s="81" t="inlineStr">
        <x:is>
          <x:t xml:space="preserve">QCD</x:t>
        </x:is>
      </x:c>
      <x:c r="DH1" s="81" t="inlineStr">
        <x:is>
          <x:t xml:space="preserve">MD</x:t>
        </x:is>
      </x:c>
      <x:c r="DI1" s="81" t="inlineStr">
        <x:is>
          <x:t xml:space="preserve">CONV</x:t>
        </x:is>
      </x:c>
      <x:c r="DJ1" s="81" t="inlineStr">
        <x:is>
          <x:t xml:space="preserve">MD</x:t>
        </x:is>
      </x:c>
      <x:c r="DK1" s="81" t="inlineStr">
        <x:is>
          <x:t xml:space="preserve">MD</x:t>
        </x:is>
      </x:c>
      <x:c r="DL1" s="81" t="inlineStr">
        <x:is>
          <x:t xml:space="preserve">MD</x:t>
        </x:is>
      </x:c>
      <x:c r="DM1" s="81" t="inlineStr">
        <x:is>
          <x:t xml:space="preserve">MD</x:t>
        </x:is>
      </x:c>
      <x:c r="DN1" s="81" t="inlineStr">
        <x:is>
          <x:t xml:space="preserve">MD</x:t>
        </x:is>
      </x:c>
      <x:c r="DO1" s="81" t="inlineStr">
        <x:is>
          <x:t xml:space="preserve">MD</x:t>
        </x:is>
      </x:c>
      <x:c r="DP1" s="81" t="inlineStr">
        <x:is>
          <x:t xml:space="preserve">MD</x:t>
        </x:is>
      </x:c>
      <x:c r="DQ1" s="81" t="inlineStr">
        <x:is>
          <x:t xml:space="preserve">MD</x:t>
        </x:is>
      </x:c>
      <x:c r="DR1" s="81" t="inlineStr">
        <x:is>
          <x:t xml:space="preserve">MD</x:t>
        </x:is>
      </x:c>
      <x:c r="DS1" s="81" t="inlineStr">
        <x:is>
          <x:t xml:space="preserve">MD</x:t>
        </x:is>
      </x:c>
      <x:c r="DT1" s="81" t="inlineStr">
        <x:is>
          <x:t xml:space="preserve">DECREE</x:t>
        </x:is>
      </x:c>
      <x:c r="DU1" s="81" t="inlineStr">
        <x:is>
          <x:t xml:space="preserve">MD</x:t>
        </x:is>
      </x:c>
      <x:c r="DV1" s="81" t="inlineStr">
        <x:is>
          <x:t xml:space="preserve">MD</x:t>
        </x:is>
      </x:c>
      <x:c r="DW1" s="81" t="inlineStr">
        <x:is>
          <x:t xml:space="preserve">QCD</x:t>
        </x:is>
      </x:c>
      <x:c r="DX1" s="81" t="inlineStr">
        <x:is>
          <x:t xml:space="preserve">MD</x:t>
        </x:is>
      </x:c>
      <x:c r="DY1" s="81" t="inlineStr">
        <x:is>
          <x:t xml:space="preserve">MD</x:t>
        </x:is>
      </x:c>
      <x:c r="DZ1" s="81" t="inlineStr">
        <x:is>
          <x:t xml:space="preserve">MD</x:t>
        </x:is>
      </x:c>
      <x:c r="EA1" s="81" t="inlineStr">
        <x:is>
          <x:t xml:space="preserve">MD</x:t>
        </x:is>
      </x:c>
      <x:c r="EB1" s="81" t="inlineStr">
        <x:is>
          <x:t xml:space="preserve">DEED</x:t>
        </x:is>
      </x:c>
      <x:c r="EC1" s="81" t="inlineStr">
        <x:is>
          <x:t xml:space="preserve">MD</x:t>
        </x:is>
      </x:c>
      <x:c r="ED1" s="81" t="inlineStr">
        <x:is>
          <x:t xml:space="preserve">MD</x:t>
        </x:is>
      </x:c>
      <x:c r="EE1" s="81" t="inlineStr">
        <x:is>
          <x:t xml:space="preserve">MD</x:t>
        </x:is>
      </x:c>
      <x:c r="EF1" s="81" t="inlineStr">
        <x:is>
          <x:t xml:space="preserve">MD</x:t>
        </x:is>
      </x:c>
      <x:c r="EG1" s="81" t="inlineStr">
        <x:is>
          <x:t xml:space="preserve">MD</x:t>
        </x:is>
      </x:c>
      <x:c r="EH1" s="81" t="inlineStr">
        <x:is>
          <x:t xml:space="preserve">MD</x:t>
        </x:is>
      </x:c>
      <x:c r="EI1" s="81" t="inlineStr">
        <x:is>
          <x:t xml:space="preserve">MD</x:t>
        </x:is>
      </x:c>
      <x:c r="EJ1" s="81" t="inlineStr">
        <x:is>
          <x:t xml:space="preserve">DECREE</x:t>
        </x:is>
      </x:c>
      <x:c r="EK1" s="81" t="inlineStr">
        <x:is>
          <x:t xml:space="preserve">MD</x:t>
        </x:is>
      </x:c>
      <x:c r="EL1" s="81" t="inlineStr">
        <x:is>
          <x:t xml:space="preserve">MD</x:t>
        </x:is>
      </x:c>
      <x:c r="EM1" s="81" t="inlineStr">
        <x:is>
          <x:t xml:space="preserve">MD</x:t>
        </x:is>
      </x:c>
      <x:c r="EN1" s="81" t="inlineStr">
        <x:is>
          <x:t xml:space="preserve">MD</x:t>
        </x:is>
      </x:c>
      <x:c r="EO1" s="81" t="inlineStr">
        <x:is>
          <x:t xml:space="preserve">DECREE</x:t>
        </x:is>
      </x:c>
      <x:c r="EP1" s="81" t="inlineStr">
        <x:is>
          <x:t xml:space="preserve">QCD</x:t>
        </x:is>
      </x:c>
      <x:c r="EQ1" s="81" t="inlineStr">
        <x:is>
          <x:t xml:space="preserve">QCD</x:t>
        </x:is>
      </x:c>
      <x:c r="ER1" s="81" t="inlineStr">
        <x:is>
          <x:t xml:space="preserve">MD</x:t>
        </x:is>
      </x:c>
      <x:c r="ES1" s="81" t="inlineStr">
        <x:is>
          <x:t xml:space="preserve">MD</x:t>
        </x:is>
      </x:c>
      <x:c r="ET1" s="81" t="inlineStr">
        <x:is>
          <x:t xml:space="preserve">QCD</x:t>
        </x:is>
      </x:c>
      <x:c r="EU1" s="81" t="inlineStr">
        <x:is>
          <x:t xml:space="preserve">MD</x:t>
        </x:is>
      </x:c>
      <x:c r="EV1" s="81" t="inlineStr">
        <x:is>
          <x:t xml:space="preserve">MD</x:t>
        </x:is>
      </x:c>
      <x:c r="EW1" s="81" t="inlineStr">
        <x:is>
          <x:t xml:space="preserve">MD</x:t>
        </x:is>
      </x:c>
      <x:c r="EX1" s="81" t="inlineStr">
        <x:is>
          <x:t xml:space="preserve">MD</x:t>
        </x:is>
      </x:c>
      <x:c r="EY1" s="81" t="inlineStr">
        <x:is>
          <x:t xml:space="preserve">MD</x:t>
        </x:is>
      </x:c>
      <x:c r="EZ1" s="81" t="inlineStr">
        <x:is>
          <x:t xml:space="preserve">DECREE</x:t>
        </x:is>
      </x:c>
    </x:row>
    <x:row r="2" s="62" customFormat="1" ht="12.75" customHeight="1">
      <x:c r="A2" s="614" t="inlineStr">
        <x:is>
          <x:t xml:space="preserve">2</x:t>
        </x:is>
      </x:c>
      <x:c r="B2" s="615" t="inlineStr">
        <x:is>
          <x:t xml:space="preserve">TRACT</x:t>
        </x:is>
      </x:c>
      <x:c r="C2" s="593" t="n"/>
      <x:c r="D2" s="643" t="inlineStr">
        <x:is>
          <x:t xml:space="preserve">SW/4 NE/4, W/2 SE/4, SE/4 SE/4, containing 160 acres</x:t>
        </x:is>
      </x:c>
      <x:c r="E2" s="617" t="inlineStr">
        <x:is>
          <x:t xml:space="preserve">Image Number</x:t>
        </x:is>
      </x:c>
      <x:c r="F2" s="618" t="n"/>
      <x:c r="G2" s="63" t="n"/>
      <x:c r="H2" s="96" t="inlineStr">
        <x:is>
          <x:t xml:space="preserve">I-1907-002036</x:t>
        </x:is>
      </x:c>
      <x:c r="I2" s="96" t="inlineStr">
        <x:is>
          <x:t xml:space="preserve">1907-000709</x:t>
        </x:is>
      </x:c>
      <x:c r="J2" s="96" t="inlineStr">
        <x:is>
          <x:t xml:space="preserve">1908-000607</x:t>
        </x:is>
      </x:c>
      <x:c r="K2" s="96" t="inlineStr">
        <x:is>
          <x:t xml:space="preserve">1919-000971</x:t>
        </x:is>
      </x:c>
      <x:c r="L2" s="96" t="inlineStr">
        <x:is>
          <x:t xml:space="preserve">1949-000814</x:t>
        </x:is>
      </x:c>
      <x:c r="M2" s="96" t="inlineStr">
        <x:is>
          <x:t xml:space="preserve">1978-002576</x:t>
        </x:is>
      </x:c>
      <x:c r="N2" s="96" t="inlineStr">
        <x:is>
          <x:t xml:space="preserve">1978-002579</x:t>
        </x:is>
      </x:c>
      <x:c r="O2" s="96" t="inlineStr">
        <x:is>
          <x:t xml:space="preserve">1978-002580</x:t>
        </x:is>
      </x:c>
      <x:c r="P2" s="96" t="inlineStr">
        <x:is>
          <x:t xml:space="preserve">1978-002581</x:t>
        </x:is>
      </x:c>
      <x:c r="Q2" s="96" t="inlineStr">
        <x:is>
          <x:t xml:space="preserve">1978-002582</x:t>
        </x:is>
      </x:c>
      <x:c r="R2" s="96" t="inlineStr">
        <x:is>
          <x:t xml:space="preserve">1978-002583</x:t>
        </x:is>
      </x:c>
      <x:c r="S2" s="96" t="inlineStr">
        <x:is>
          <x:t xml:space="preserve">1978-002585</x:t>
        </x:is>
      </x:c>
      <x:c r="T2" s="96" t="inlineStr">
        <x:is>
          <x:t xml:space="preserve">1978-002584</x:t>
        </x:is>
      </x:c>
      <x:c r="U2" s="96" t="inlineStr">
        <x:is>
          <x:t xml:space="preserve">1979-004881</x:t>
        </x:is>
      </x:c>
      <x:c r="V2" s="96" t="inlineStr">
        <x:is>
          <x:t xml:space="preserve">1979-006593</x:t>
        </x:is>
      </x:c>
      <x:c r="W2" s="96" t="inlineStr">
        <x:is>
          <x:t xml:space="preserve">1982-011142</x:t>
        </x:is>
      </x:c>
      <x:c r="X2" s="96" t="inlineStr">
        <x:is>
          <x:t xml:space="preserve">1982-011143</x:t>
        </x:is>
      </x:c>
      <x:c r="Y2" s="96" t="inlineStr">
        <x:is>
          <x:t xml:space="preserve">1982-011144</x:t>
        </x:is>
      </x:c>
      <x:c r="Z2" s="96" t="inlineStr">
        <x:is>
          <x:t xml:space="preserve">1983-001668</x:t>
        </x:is>
      </x:c>
      <x:c r="AA2" s="96" t="inlineStr">
        <x:is>
          <x:t xml:space="preserve">1983-001669</x:t>
        </x:is>
      </x:c>
      <x:c r="AB2" s="96" t="inlineStr">
        <x:is>
          <x:t xml:space="preserve">1983-001670</x:t>
        </x:is>
      </x:c>
      <x:c r="AC2" s="96" t="inlineStr">
        <x:is>
          <x:t xml:space="preserve">1983-002348</x:t>
        </x:is>
      </x:c>
      <x:c r="AD2" s="96" t="inlineStr">
        <x:is>
          <x:t xml:space="preserve">1983-002349</x:t>
        </x:is>
      </x:c>
      <x:c r="AE2" s="96" t="inlineStr">
        <x:is>
          <x:t xml:space="preserve">1983-002350</x:t>
        </x:is>
      </x:c>
      <x:c r="AF2" s="96" t="inlineStr">
        <x:is>
          <x:t xml:space="preserve">1983-002351</x:t>
        </x:is>
      </x:c>
      <x:c r="AG2" s="96" t="inlineStr">
        <x:is>
          <x:t xml:space="preserve">1983-002352</x:t>
        </x:is>
      </x:c>
      <x:c r="AH2" s="96" t="inlineStr">
        <x:is>
          <x:t xml:space="preserve">1984-003786</x:t>
        </x:is>
      </x:c>
      <x:c r="AI2" s="96" t="inlineStr">
        <x:is>
          <x:t xml:space="preserve">1985-006556</x:t>
        </x:is>
      </x:c>
      <x:c r="AJ2" s="118" t="inlineStr">
        <x:is>
          <x:t xml:space="preserve">1985-000060</x:t>
        </x:is>
      </x:c>
      <x:c r="AK2" s="59" t="inlineStr">
        <x:is>
          <x:t xml:space="preserve">1985-000061</x:t>
        </x:is>
      </x:c>
      <x:c r="AL2" s="59" t="inlineStr">
        <x:is>
          <x:t xml:space="preserve">1986-003428</x:t>
        </x:is>
      </x:c>
      <x:c r="AM2" s="59" t="inlineStr">
        <x:is>
          <x:t xml:space="preserve">1986-004476</x:t>
        </x:is>
      </x:c>
      <x:c r="AN2" s="59" t="inlineStr">
        <x:is>
          <x:t xml:space="preserve">1986-005223</x:t>
        </x:is>
      </x:c>
      <x:c r="AO2" s="59" t="inlineStr">
        <x:is>
          <x:t xml:space="preserve">1987-002610</x:t>
        </x:is>
      </x:c>
      <x:c r="AP2" s="59" t="inlineStr">
        <x:is>
          <x:t xml:space="preserve">1987-005625</x:t>
        </x:is>
      </x:c>
      <x:c r="AQ2" s="59" t="inlineStr">
        <x:is>
          <x:t xml:space="preserve">1987-006731</x:t>
        </x:is>
      </x:c>
      <x:c r="AR2" s="59" t="inlineStr">
        <x:is>
          <x:t xml:space="preserve">1987-006732</x:t>
        </x:is>
      </x:c>
      <x:c r="AS2" s="59" t="inlineStr">
        <x:is>
          <x:t xml:space="preserve">1987-007680</x:t>
        </x:is>
      </x:c>
      <x:c r="AT2" s="59" t="inlineStr">
        <x:is>
          <x:t xml:space="preserve">1988-004480</x:t>
        </x:is>
      </x:c>
      <x:c r="AU2" s="59" t="inlineStr">
        <x:is>
          <x:t xml:space="preserve">1988-004481</x:t>
        </x:is>
      </x:c>
      <x:c r="AV2" s="59" t="inlineStr">
        <x:is>
          <x:t xml:space="preserve">1988-004482</x:t>
        </x:is>
      </x:c>
      <x:c r="AW2" s="59" t="inlineStr">
        <x:is>
          <x:t xml:space="preserve">1988-004483</x:t>
        </x:is>
      </x:c>
      <x:c r="AX2" s="59" t="inlineStr">
        <x:is>
          <x:t xml:space="preserve">1988-006565</x:t>
        </x:is>
      </x:c>
      <x:c r="AY2" s="59" t="inlineStr">
        <x:is>
          <x:t xml:space="preserve">1989-002320</x:t>
        </x:is>
      </x:c>
      <x:c r="AZ2" s="59" t="inlineStr">
        <x:is>
          <x:t xml:space="preserve">1989-002321</x:t>
        </x:is>
      </x:c>
      <x:c r="BA2" s="59" t="inlineStr">
        <x:is>
          <x:t xml:space="preserve">1989-002322</x:t>
        </x:is>
      </x:c>
      <x:c r="BB2" s="59" t="inlineStr">
        <x:is>
          <x:t xml:space="preserve">1989-002323</x:t>
        </x:is>
      </x:c>
      <x:c r="BC2" s="59" t="inlineStr">
        <x:is>
          <x:t xml:space="preserve">1989-004248</x:t>
        </x:is>
      </x:c>
      <x:c r="BD2" s="59" t="inlineStr">
        <x:is>
          <x:t xml:space="preserve">1989-004249</x:t>
        </x:is>
      </x:c>
      <x:c r="BE2" s="59" t="inlineStr">
        <x:is>
          <x:t xml:space="preserve">1989-004250</x:t>
        </x:is>
      </x:c>
      <x:c r="BF2" s="59" t="inlineStr">
        <x:is>
          <x:t xml:space="preserve">1989-004251</x:t>
        </x:is>
      </x:c>
      <x:c r="BG2" s="59" t="inlineStr">
        <x:is>
          <x:t xml:space="preserve">1989-004252</x:t>
        </x:is>
      </x:c>
      <x:c r="BH2" s="59" t="inlineStr">
        <x:is>
          <x:t xml:space="preserve">1989-004253</x:t>
        </x:is>
      </x:c>
      <x:c r="BI2" s="59" t="inlineStr">
        <x:is>
          <x:t xml:space="preserve">1989-004254</x:t>
        </x:is>
      </x:c>
      <x:c r="BJ2" s="59" t="inlineStr">
        <x:is>
          <x:t xml:space="preserve">1989-004255</x:t>
        </x:is>
      </x:c>
      <x:c r="BK2" s="59" t="inlineStr">
        <x:is>
          <x:t xml:space="preserve">1989-004256</x:t>
        </x:is>
      </x:c>
      <x:c r="BL2" s="59" t="inlineStr">
        <x:is>
          <x:t xml:space="preserve">1989-005656</x:t>
        </x:is>
      </x:c>
      <x:c r="BM2" s="59" t="inlineStr">
        <x:is>
          <x:t xml:space="preserve">1989-007000</x:t>
        </x:is>
      </x:c>
      <x:c r="BN2" s="59" t="inlineStr">
        <x:is>
          <x:t xml:space="preserve">1989-007001</x:t>
        </x:is>
      </x:c>
      <x:c r="BO2" s="59" t="inlineStr">
        <x:is>
          <x:t xml:space="preserve">1990-000905</x:t>
        </x:is>
      </x:c>
      <x:c r="BP2" s="59" t="inlineStr">
        <x:is>
          <x:t xml:space="preserve">1990-000906</x:t>
        </x:is>
      </x:c>
      <x:c r="BQ2" s="59" t="inlineStr">
        <x:is>
          <x:t xml:space="preserve">1990-000907</x:t>
        </x:is>
      </x:c>
      <x:c r="BR2" s="59" t="inlineStr">
        <x:is>
          <x:t xml:space="preserve">1990-000908</x:t>
        </x:is>
      </x:c>
      <x:c r="BS2" s="59" t="inlineStr">
        <x:is>
          <x:t xml:space="preserve">1990-000909</x:t>
        </x:is>
      </x:c>
      <x:c r="BT2" s="59" t="inlineStr">
        <x:is>
          <x:t xml:space="preserve">1990-000910</x:t>
        </x:is>
      </x:c>
      <x:c r="BU2" s="59" t="inlineStr">
        <x:is>
          <x:t xml:space="preserve">1990-000911</x:t>
        </x:is>
      </x:c>
      <x:c r="BV2" s="59" t="inlineStr">
        <x:is>
          <x:t xml:space="preserve">1990-000912</x:t>
        </x:is>
      </x:c>
      <x:c r="BW2" s="59" t="inlineStr">
        <x:is>
          <x:t xml:space="preserve">1990-000913</x:t>
        </x:is>
      </x:c>
      <x:c r="BX2" s="59" t="inlineStr">
        <x:is>
          <x:t xml:space="preserve">1990-001592</x:t>
        </x:is>
      </x:c>
      <x:c r="BY2" s="59" t="inlineStr">
        <x:is>
          <x:t xml:space="preserve">1990-001689</x:t>
        </x:is>
      </x:c>
      <x:c r="BZ2" s="59" t="inlineStr">
        <x:is>
          <x:t xml:space="preserve">1990-001690</x:t>
        </x:is>
      </x:c>
      <x:c r="CA2" s="59" t="inlineStr">
        <x:is>
          <x:t xml:space="preserve">1990-001750</x:t>
        </x:is>
      </x:c>
      <x:c r="CB2" s="59" t="inlineStr">
        <x:is>
          <x:t xml:space="preserve">1990-005848</x:t>
        </x:is>
      </x:c>
      <x:c r="CC2" s="59" t="inlineStr">
        <x:is>
          <x:t xml:space="preserve">1991-000858</x:t>
        </x:is>
      </x:c>
      <x:c r="CD2" s="59" t="inlineStr">
        <x:is>
          <x:t xml:space="preserve">1991-005340</x:t>
        </x:is>
      </x:c>
      <x:c r="CE2" s="59" t="inlineStr">
        <x:is>
          <x:t xml:space="preserve">1992-001861</x:t>
        </x:is>
      </x:c>
      <x:c r="CF2" s="59" t="inlineStr">
        <x:is>
          <x:t xml:space="preserve">1992-001862</x:t>
        </x:is>
      </x:c>
      <x:c r="CG2" s="59" t="inlineStr">
        <x:is>
          <x:t xml:space="preserve">1992-001863</x:t>
        </x:is>
      </x:c>
      <x:c r="CH2" s="59" t="inlineStr">
        <x:is>
          <x:t xml:space="preserve">1992-001865</x:t>
        </x:is>
      </x:c>
      <x:c r="CI2" s="59" t="inlineStr">
        <x:is>
          <x:t xml:space="preserve">1992-001866</x:t>
        </x:is>
      </x:c>
      <x:c r="CJ2" s="59" t="inlineStr">
        <x:is>
          <x:t xml:space="preserve">1992-001867</x:t>
        </x:is>
      </x:c>
      <x:c r="CK2" s="59" t="inlineStr">
        <x:is>
          <x:t xml:space="preserve">1992-003494</x:t>
        </x:is>
      </x:c>
      <x:c r="CL2" s="59" t="inlineStr">
        <x:is>
          <x:t xml:space="preserve">1995-000396</x:t>
        </x:is>
      </x:c>
      <x:c r="CM2" s="59" t="inlineStr">
        <x:is>
          <x:t xml:space="preserve">1995-001954</x:t>
        </x:is>
      </x:c>
      <x:c r="CN2" s="59" t="inlineStr">
        <x:is>
          <x:t xml:space="preserve">1997-006370</x:t>
        </x:is>
      </x:c>
      <x:c r="CO2" s="59" t="inlineStr">
        <x:is>
          <x:t xml:space="preserve">1997-005183</x:t>
        </x:is>
      </x:c>
      <x:c r="CP2" s="59" t="inlineStr">
        <x:is>
          <x:t xml:space="preserve">1998-000584</x:t>
        </x:is>
      </x:c>
      <x:c r="CQ2" s="59" t="inlineStr">
        <x:is>
          <x:t xml:space="preserve">1998-000907</x:t>
        </x:is>
      </x:c>
      <x:c r="CR2" s="59" t="inlineStr">
        <x:is>
          <x:t xml:space="preserve">1999-002219</x:t>
        </x:is>
      </x:c>
      <x:c r="CS2" s="59" t="inlineStr">
        <x:is>
          <x:t xml:space="preserve">1999-002220</x:t>
        </x:is>
      </x:c>
      <x:c r="CT2" s="59" t="inlineStr">
        <x:is>
          <x:t xml:space="preserve">1999-002739</x:t>
        </x:is>
      </x:c>
      <x:c r="CU2" s="59" t="inlineStr">
        <x:is>
          <x:t xml:space="preserve">1999-003363</x:t>
        </x:is>
      </x:c>
      <x:c r="CV2" s="59" t="inlineStr">
        <x:is>
          <x:t xml:space="preserve">1999-003364</x:t>
        </x:is>
      </x:c>
      <x:c r="CW2" s="59" t="inlineStr">
        <x:is>
          <x:t xml:space="preserve">1999-003365</x:t>
        </x:is>
      </x:c>
      <x:c r="CX2" s="59" t="inlineStr">
        <x:is>
          <x:t xml:space="preserve">1999-003366</x:t>
        </x:is>
      </x:c>
      <x:c r="CY2" s="59" t="inlineStr">
        <x:is>
          <x:t xml:space="preserve">1999-003367</x:t>
        </x:is>
      </x:c>
      <x:c r="CZ2" s="59" t="inlineStr">
        <x:is>
          <x:t xml:space="preserve">1999-003368</x:t>
        </x:is>
      </x:c>
      <x:c r="DA2" s="59" t="inlineStr">
        <x:is>
          <x:t xml:space="preserve">2000-010180</x:t>
        </x:is>
      </x:c>
      <x:c r="DB2" s="59" t="inlineStr">
        <x:is>
          <x:t xml:space="preserve">2001-000619</x:t>
        </x:is>
      </x:c>
      <x:c r="DC2" s="59" t="inlineStr">
        <x:is>
          <x:t xml:space="preserve">2001-000103</x:t>
        </x:is>
      </x:c>
      <x:c r="DD2" s="59" t="inlineStr">
        <x:is>
          <x:t xml:space="preserve">2001-000921</x:t>
        </x:is>
      </x:c>
      <x:c r="DE2" s="59" t="inlineStr">
        <x:is>
          <x:t xml:space="preserve">2001-000926</x:t>
        </x:is>
      </x:c>
      <x:c r="DF2" s="59" t="inlineStr">
        <x:is>
          <x:t xml:space="preserve">2001-000927</x:t>
        </x:is>
      </x:c>
      <x:c r="DG2" s="59" t="inlineStr">
        <x:is>
          <x:t xml:space="preserve">2001-001092</x:t>
        </x:is>
      </x:c>
      <x:c r="DH2" s="59" t="inlineStr">
        <x:is>
          <x:t xml:space="preserve">2002-004378</x:t>
        </x:is>
      </x:c>
      <x:c r="DI2" s="59" t="inlineStr">
        <x:is>
          <x:t xml:space="preserve">2005-000347</x:t>
        </x:is>
      </x:c>
      <x:c r="DJ2" s="59" t="inlineStr">
        <x:is>
          <x:t xml:space="preserve">2005-001909</x:t>
        </x:is>
      </x:c>
      <x:c r="DK2" s="59" t="inlineStr">
        <x:is>
          <x:t xml:space="preserve">2005-003389</x:t>
        </x:is>
      </x:c>
      <x:c r="DL2" s="59" t="inlineStr">
        <x:is>
          <x:t xml:space="preserve">2005-007540</x:t>
        </x:is>
      </x:c>
      <x:c r="DM2" s="59" t="inlineStr">
        <x:is>
          <x:t xml:space="preserve">2005-007117</x:t>
        </x:is>
      </x:c>
      <x:c r="DN2" s="59" t="inlineStr">
        <x:is>
          <x:t xml:space="preserve">2005-007116</x:t>
        </x:is>
      </x:c>
      <x:c r="DO2" s="59" t="inlineStr">
        <x:is>
          <x:t xml:space="preserve">2005-007119</x:t>
        </x:is>
      </x:c>
      <x:c r="DP2" s="59" t="inlineStr">
        <x:is>
          <x:t xml:space="preserve">2005-007120</x:t>
        </x:is>
      </x:c>
      <x:c r="DQ2" s="59" t="inlineStr">
        <x:is>
          <x:t xml:space="preserve">2005-007541</x:t>
        </x:is>
      </x:c>
      <x:c r="DR2" s="59" t="inlineStr">
        <x:is>
          <x:t xml:space="preserve">2006-003765</x:t>
        </x:is>
      </x:c>
      <x:c r="DS2" s="59" t="inlineStr">
        <x:is>
          <x:t xml:space="preserve">2007-001374</x:t>
        </x:is>
      </x:c>
      <x:c r="DT2" s="59" t="inlineStr">
        <x:is>
          <x:t xml:space="preserve">2007-005167</x:t>
        </x:is>
      </x:c>
      <x:c r="DU2" s="59" t="inlineStr">
        <x:is>
          <x:t xml:space="preserve">2008-007325</x:t>
        </x:is>
      </x:c>
      <x:c r="DV2" s="59" t="inlineStr">
        <x:is>
          <x:t xml:space="preserve">2009-000895</x:t>
        </x:is>
      </x:c>
      <x:c r="DW2" s="59" t="inlineStr">
        <x:is>
          <x:t xml:space="preserve">2010-002337</x:t>
        </x:is>
      </x:c>
      <x:c r="DX2" s="59" t="inlineStr">
        <x:is>
          <x:t xml:space="preserve">2010-005993</x:t>
        </x:is>
      </x:c>
      <x:c r="DY2" s="59" t="inlineStr">
        <x:is>
          <x:t xml:space="preserve">2010-007125</x:t>
        </x:is>
      </x:c>
      <x:c r="DZ2" s="59" t="inlineStr">
        <x:is>
          <x:t xml:space="preserve">2010-008922</x:t>
        </x:is>
      </x:c>
      <x:c r="EA2" s="59" t="inlineStr">
        <x:is>
          <x:t xml:space="preserve">2011-003023</x:t>
        </x:is>
      </x:c>
      <x:c r="EB2" s="59" t="inlineStr">
        <x:is>
          <x:t xml:space="preserve">2011-007728</x:t>
        </x:is>
      </x:c>
      <x:c r="EC2" s="59" t="inlineStr">
        <x:is>
          <x:t xml:space="preserve">2011-007729</x:t>
        </x:is>
      </x:c>
      <x:c r="ED2" s="59" t="inlineStr">
        <x:is>
          <x:t xml:space="preserve">2011-008134</x:t>
        </x:is>
      </x:c>
      <x:c r="EE2" s="59" t="inlineStr">
        <x:is>
          <x:t xml:space="preserve">2013-006083</x:t>
        </x:is>
      </x:c>
      <x:c r="EF2" s="59" t="inlineStr">
        <x:is>
          <x:t xml:space="preserve">2012-002930</x:t>
        </x:is>
      </x:c>
      <x:c r="EG2" s="59" t="inlineStr">
        <x:is>
          <x:t xml:space="preserve">2012-004060</x:t>
        </x:is>
      </x:c>
      <x:c r="EH2" s="59" t="inlineStr">
        <x:is>
          <x:t xml:space="preserve">2013-006585</x:t>
        </x:is>
      </x:c>
      <x:c r="EI2" s="59" t="inlineStr">
        <x:is>
          <x:t xml:space="preserve">2014-002935</x:t>
        </x:is>
      </x:c>
      <x:c r="EJ2" s="59" t="inlineStr">
        <x:is>
          <x:t xml:space="preserve">2014-004286</x:t>
        </x:is>
      </x:c>
      <x:c r="EK2" s="59" t="inlineStr">
        <x:is>
          <x:t xml:space="preserve">2015-000877</x:t>
        </x:is>
      </x:c>
      <x:c r="EL2" s="59" t="inlineStr">
        <x:is>
          <x:t xml:space="preserve">2015-002791</x:t>
        </x:is>
      </x:c>
      <x:c r="EM2" s="59" t="inlineStr">
        <x:is>
          <x:t xml:space="preserve">2015-003284</x:t>
        </x:is>
      </x:c>
      <x:c r="EN2" s="59" t="inlineStr">
        <x:is>
          <x:t xml:space="preserve">2019-001747</x:t>
        </x:is>
      </x:c>
      <x:c r="EO2" s="59" t="inlineStr">
        <x:is>
          <x:t xml:space="preserve">2026-002877</x:t>
        </x:is>
      </x:c>
      <x:c r="EP2" s="59" t="inlineStr">
        <x:is>
          <x:t xml:space="preserve">2020-001374</x:t>
        </x:is>
      </x:c>
      <x:c r="EQ2" s="59" t="inlineStr">
        <x:is>
          <x:t xml:space="preserve">2020-001650</x:t>
        </x:is>
      </x:c>
      <x:c r="ER2" s="59" t="inlineStr">
        <x:is>
          <x:t xml:space="preserve">2021-001774</x:t>
        </x:is>
      </x:c>
      <x:c r="ES2" s="59" t="inlineStr">
        <x:is>
          <x:t xml:space="preserve">2023-002269</x:t>
        </x:is>
      </x:c>
      <x:c r="ET2" s="59" t="inlineStr">
        <x:is>
          <x:t xml:space="preserve">2025-001343</x:t>
        </x:is>
      </x:c>
      <x:c r="EU2" s="59" t="inlineStr">
        <x:is>
          <x:t xml:space="preserve">2025-002463</x:t>
        </x:is>
      </x:c>
      <x:c r="EV2" s="59" t="inlineStr">
        <x:is>
          <x:t xml:space="preserve">2025-002464</x:t>
        </x:is>
      </x:c>
      <x:c r="EW2" s="59" t="inlineStr">
        <x:is>
          <x:t xml:space="preserve">2025-005448</x:t>
        </x:is>
      </x:c>
      <x:c r="EX2" s="59" t="inlineStr">
        <x:is>
          <x:t xml:space="preserve">2025-005451</x:t>
        </x:is>
      </x:c>
      <x:c r="EY2" s="59" t="inlineStr">
        <x:is>
          <x:t xml:space="preserve">2026-000691</x:t>
        </x:is>
      </x:c>
      <x:c r="EZ2" s="59" t="inlineStr">
        <x:is>
          <x:t xml:space="preserve">2026-003315</x:t>
        </x:is>
      </x:c>
      <x:c r="FA2" s="59" t="n"/>
      <x:c r="FB2" s="59" t="n"/>
      <x:c r="FC2" s="59" t="n"/>
      <x:c r="FD2" s="59" t="n"/>
      <x:c r="FE2" s="59" t="n"/>
      <x:c r="FF2" s="59" t="n"/>
      <x:c r="FG2" s="59" t="n"/>
      <x:c r="FH2" s="59" t="n"/>
      <x:c r="FI2" s="59" t="n"/>
      <x:c r="FJ2" s="59" t="n"/>
      <x:c r="FK2" s="59" t="n"/>
      <x:c r="FL2" s="59" t="n"/>
      <x:c r="FM2" s="59" t="n"/>
      <x:c r="FN2" s="59" t="n"/>
      <x:c r="FO2" s="59" t="n"/>
      <x:c r="FP2" s="59" t="n"/>
      <x:c r="FQ2" s="59" t="n"/>
      <x:c r="FR2" s="59" t="n"/>
      <x:c r="FS2" s="59" t="n"/>
      <x:c r="FT2" s="59" t="n"/>
      <x:c r="FU2" s="59" t="n"/>
      <x:c r="FV2" s="59" t="n"/>
      <x:c r="FW2" s="59" t="n"/>
      <x:c r="FX2" s="59" t="n"/>
      <x:c r="FY2" s="59" t="n"/>
      <x:c r="FZ2" s="59" t="n"/>
      <x:c r="GA2" s="59" t="n"/>
    </x:row>
    <x:row r="3" s="62" customFormat="1" ht="23.100000381469727" customHeight="1">
      <x:c r="A3" s="619" t="n"/>
      <x:c r="B3" s="620" t="inlineStr">
        <x:is>
          <x:t xml:space="preserve">DESCRIPTION</x:t>
        </x:is>
      </x:c>
      <x:c r="C3" s="593" t="n"/>
      <x:c r="D3" s="621" t="n"/>
      <x:c r="E3" s="622" t="inlineStr">
        <x:is>
          <x:t xml:space="preserve">Book / Page </x:t>
        </x:is>
      </x:c>
      <x:c r="F3" s="618" t="n"/>
      <x:c r="G3" s="63" t="n"/>
      <x:c r="H3" s="107" t="inlineStr">
        <x:is>
          <x:t xml:space="preserve">FR2/199</x:t>
        </x:is>
      </x:c>
      <x:c r="I3" s="107" t="inlineStr">
        <x:is>
          <x:t xml:space="preserve">D9/303</x:t>
        </x:is>
      </x:c>
      <x:c r="J3" s="107" t="inlineStr">
        <x:is>
          <x:t xml:space="preserve">D11/448</x:t>
        </x:is>
      </x:c>
      <x:c r="K3" s="107" t="inlineStr">
        <x:is>
          <x:t xml:space="preserve">D29/382</x:t>
        </x:is>
      </x:c>
      <x:c r="L3" s="107" t="inlineStr">
        <x:is>
          <x:t xml:space="preserve">D59/251</x:t>
        </x:is>
      </x:c>
      <x:c r="M3" s="107" t="inlineStr">
        <x:is>
          <x:t xml:space="preserve">237/367</x:t>
        </x:is>
      </x:c>
      <x:c r="N3" s="107" t="inlineStr">
        <x:is>
          <x:t xml:space="preserve">237/370</x:t>
        </x:is>
      </x:c>
      <x:c r="O3" s="107" t="inlineStr">
        <x:is>
          <x:t xml:space="preserve">237/371</x:t>
        </x:is>
      </x:c>
      <x:c r="P3" s="107" t="inlineStr">
        <x:is>
          <x:t xml:space="preserve">237/372</x:t>
        </x:is>
      </x:c>
      <x:c r="Q3" s="107" t="inlineStr">
        <x:is>
          <x:t xml:space="preserve">237/373</x:t>
        </x:is>
      </x:c>
      <x:c r="R3" s="107" t="inlineStr">
        <x:is>
          <x:t xml:space="preserve">237/374</x:t>
        </x:is>
      </x:c>
      <x:c r="S3" s="107" t="inlineStr">
        <x:is>
          <x:t xml:space="preserve">237/376</x:t>
        </x:is>
      </x:c>
      <x:c r="T3" s="107" t="inlineStr">
        <x:is>
          <x:t xml:space="preserve">237/375</x:t>
        </x:is>
      </x:c>
      <x:c r="U3" s="107" t="inlineStr">
        <x:is>
          <x:t xml:space="preserve">274/566</x:t>
        </x:is>
      </x:c>
      <x:c r="V3" s="107" t="inlineStr">
        <x:is>
          <x:t xml:space="preserve">280/42</x:t>
        </x:is>
      </x:c>
      <x:c r="W3" s="96" t="inlineStr">
        <x:is>
          <x:t xml:space="preserve">480/70</x:t>
        </x:is>
      </x:c>
      <x:c r="X3" s="96" t="inlineStr">
        <x:is>
          <x:t xml:space="preserve">480/71</x:t>
        </x:is>
      </x:c>
      <x:c r="Y3" s="107" t="inlineStr">
        <x:is>
          <x:t xml:space="preserve">480/72</x:t>
        </x:is>
      </x:c>
      <x:c r="Z3" s="107" t="inlineStr">
        <x:is>
          <x:t xml:space="preserve">512/61</x:t>
        </x:is>
      </x:c>
      <x:c r="AA3" s="107" t="inlineStr">
        <x:is>
          <x:t xml:space="preserve">512/65</x:t>
        </x:is>
      </x:c>
      <x:c r="AB3" s="107" t="inlineStr">
        <x:is>
          <x:t xml:space="preserve">512/66</x:t>
        </x:is>
      </x:c>
      <x:c r="AC3" s="107" t="inlineStr">
        <x:is>
          <x:t xml:space="preserve">517/134</x:t>
        </x:is>
      </x:c>
      <x:c r="AD3" s="107" t="inlineStr">
        <x:is>
          <x:t xml:space="preserve">517/135</x:t>
        </x:is>
      </x:c>
      <x:c r="AE3" s="107" t="inlineStr">
        <x:is>
          <x:t xml:space="preserve">517/136</x:t>
        </x:is>
      </x:c>
      <x:c r="AF3" s="107" t="inlineStr">
        <x:is>
          <x:t xml:space="preserve">517/137</x:t>
        </x:is>
      </x:c>
      <x:c r="AG3" s="96" t="inlineStr">
        <x:is>
          <x:t xml:space="preserve">517/138</x:t>
        </x:is>
      </x:c>
      <x:c r="AH3" s="108" t="inlineStr">
        <x:is>
          <x:t xml:space="preserve">611/58</x:t>
        </x:is>
      </x:c>
      <x:c r="AI3" s="96" t="inlineStr">
        <x:is>
          <x:t xml:space="preserve">751/68</x:t>
        </x:is>
      </x:c>
      <x:c r="AJ3" s="118" t="inlineStr">
        <x:is>
          <x:t xml:space="preserve">583/234</x:t>
        </x:is>
      </x:c>
      <x:c r="AK3" s="8" t="inlineStr">
        <x:is>
          <x:t xml:space="preserve">583/236</x:t>
        </x:is>
      </x:c>
      <x:c r="AL3" s="8" t="inlineStr">
        <x:is>
          <x:t xml:space="preserve">815/191</x:t>
        </x:is>
      </x:c>
      <x:c r="AM3" s="8" t="inlineStr">
        <x:is>
          <x:t xml:space="preserve">829/7</x:t>
        </x:is>
      </x:c>
      <x:c r="AN3" s="8" t="inlineStr">
        <x:is>
          <x:t xml:space="preserve">837/199</x:t>
        </x:is>
      </x:c>
      <x:c r="AO3" s="8" t="inlineStr">
        <x:is>
          <x:t xml:space="preserve">883/168</x:t>
        </x:is>
      </x:c>
      <x:c r="AP3" s="8" t="inlineStr">
        <x:is>
          <x:t xml:space="preserve">913/261</x:t>
        </x:is>
      </x:c>
      <x:c r="AQ3" s="8" t="inlineStr">
        <x:is>
          <x:t xml:space="preserve">924/138</x:t>
        </x:is>
      </x:c>
      <x:c r="AR3" s="7" t="inlineStr">
        <x:is>
          <x:t xml:space="preserve">924/139</x:t>
        </x:is>
      </x:c>
      <x:c r="AS3" s="8" t="inlineStr">
        <x:is>
          <x:t xml:space="preserve">933/226</x:t>
        </x:is>
      </x:c>
      <x:c r="AT3" s="8" t="inlineStr">
        <x:is>
          <x:t xml:space="preserve">984/181</x:t>
        </x:is>
      </x:c>
      <x:c r="AU3" s="59" t="inlineStr">
        <x:is>
          <x:t xml:space="preserve">984/183</x:t>
        </x:is>
      </x:c>
      <x:c r="AV3" s="59" t="inlineStr">
        <x:is>
          <x:t xml:space="preserve">984/185</x:t>
        </x:is>
      </x:c>
      <x:c r="AW3" s="59" t="inlineStr">
        <x:is>
          <x:t xml:space="preserve">984/187</x:t>
        </x:is>
      </x:c>
      <x:c r="AX3" s="59" t="inlineStr">
        <x:is>
          <x:t xml:space="preserve">1009/25</x:t>
        </x:is>
      </x:c>
      <x:c r="AY3" s="59" t="inlineStr">
        <x:is>
          <x:t xml:space="preserve">1049/289</x:t>
        </x:is>
      </x:c>
      <x:c r="AZ3" s="59" t="inlineStr">
        <x:is>
          <x:t xml:space="preserve">1049/291</x:t>
        </x:is>
      </x:c>
      <x:c r="BA3" s="59" t="inlineStr">
        <x:is>
          <x:t xml:space="preserve">1049/293</x:t>
        </x:is>
      </x:c>
      <x:c r="BB3" s="59" t="inlineStr">
        <x:is>
          <x:t xml:space="preserve">1049/295</x:t>
        </x:is>
      </x:c>
      <x:c r="BC3" s="59" t="inlineStr">
        <x:is>
          <x:t xml:space="preserve">1070/182</x:t>
        </x:is>
      </x:c>
      <x:c r="BD3" s="59" t="inlineStr">
        <x:is>
          <x:t xml:space="preserve">1070/185</x:t>
        </x:is>
      </x:c>
      <x:c r="BE3" s="59" t="inlineStr">
        <x:is>
          <x:t xml:space="preserve">1070/188</x:t>
        </x:is>
      </x:c>
      <x:c r="BF3" s="59" t="inlineStr">
        <x:is>
          <x:t xml:space="preserve">1070/191</x:t>
        </x:is>
      </x:c>
      <x:c r="BG3" s="59" t="inlineStr">
        <x:is>
          <x:t xml:space="preserve">1070/194</x:t>
        </x:is>
      </x:c>
      <x:c r="BH3" s="59" t="inlineStr">
        <x:is>
          <x:t xml:space="preserve">1070/197</x:t>
        </x:is>
      </x:c>
      <x:c r="BI3" s="59" t="inlineStr">
        <x:is>
          <x:t xml:space="preserve">1070/200</x:t>
        </x:is>
      </x:c>
      <x:c r="BJ3" s="59" t="inlineStr">
        <x:is>
          <x:t xml:space="preserve">1070/203</x:t>
        </x:is>
      </x:c>
      <x:c r="BK3" s="59" t="inlineStr">
        <x:is>
          <x:t xml:space="preserve">1070/206</x:t>
        </x:is>
      </x:c>
      <x:c r="BL3" s="59" t="inlineStr">
        <x:is>
          <x:t xml:space="preserve">1088/5</x:t>
        </x:is>
      </x:c>
      <x:c r="BM3" s="59" t="inlineStr">
        <x:is>
          <x:t xml:space="preserve">1104/87</x:t>
        </x:is>
      </x:c>
      <x:c r="BN3" s="59" t="inlineStr">
        <x:is>
          <x:t xml:space="preserve">1104/90</x:t>
        </x:is>
      </x:c>
      <x:c r="BO3" s="59" t="inlineStr">
        <x:is>
          <x:t xml:space="preserve">1114/222</x:t>
        </x:is>
      </x:c>
      <x:c r="BP3" s="59" t="inlineStr">
        <x:is>
          <x:t xml:space="preserve">1114/225</x:t>
        </x:is>
      </x:c>
      <x:c r="BQ3" s="59" t="inlineStr">
        <x:is>
          <x:t xml:space="preserve">1114/228</x:t>
        </x:is>
      </x:c>
      <x:c r="BR3" s="59" t="inlineStr">
        <x:is>
          <x:t xml:space="preserve">1114/231</x:t>
        </x:is>
      </x:c>
      <x:c r="BS3" s="59" t="inlineStr">
        <x:is>
          <x:t xml:space="preserve">1114/234</x:t>
        </x:is>
      </x:c>
      <x:c r="BT3" s="59" t="inlineStr">
        <x:is>
          <x:t xml:space="preserve">1114/237</x:t>
        </x:is>
      </x:c>
      <x:c r="BU3" s="59" t="inlineStr">
        <x:is>
          <x:t xml:space="preserve">1114/240</x:t>
        </x:is>
      </x:c>
      <x:c r="BV3" s="59" t="inlineStr">
        <x:is>
          <x:t xml:space="preserve">1114/243</x:t>
        </x:is>
      </x:c>
      <x:c r="BW3" s="59" t="inlineStr">
        <x:is>
          <x:t xml:space="preserve">1114/246</x:t>
        </x:is>
      </x:c>
      <x:c r="BX3" s="59" t="inlineStr">
        <x:is>
          <x:t xml:space="preserve">1122/69</x:t>
        </x:is>
      </x:c>
      <x:c r="BY3" s="59" t="inlineStr">
        <x:is>
          <x:t xml:space="preserve">1122/274</x:t>
        </x:is>
      </x:c>
      <x:c r="BZ3" s="59" t="inlineStr">
        <x:is>
          <x:t xml:space="preserve">1122/277</x:t>
        </x:is>
      </x:c>
      <x:c r="CA3" s="59" t="inlineStr">
        <x:is>
          <x:t xml:space="preserve">1123/100</x:t>
        </x:is>
      </x:c>
      <x:c r="CB3" s="59" t="inlineStr">
        <x:is>
          <x:t xml:space="preserve">1167/200</x:t>
        </x:is>
      </x:c>
      <x:c r="CC3" s="59" t="inlineStr">
        <x:is>
          <x:t xml:space="preserve">1194/257</x:t>
        </x:is>
      </x:c>
      <x:c r="CD3" s="59" t="inlineStr">
        <x:is>
          <x:t xml:space="preserve">1249/161</x:t>
        </x:is>
      </x:c>
      <x:c r="CE3" s="59" t="inlineStr">
        <x:is>
          <x:t xml:space="preserve">1276/267</x:t>
        </x:is>
      </x:c>
      <x:c r="CF3" s="59" t="inlineStr">
        <x:is>
          <x:t xml:space="preserve">1276/270</x:t>
        </x:is>
      </x:c>
      <x:c r="CG3" s="59" t="inlineStr">
        <x:is>
          <x:t xml:space="preserve">1276/273</x:t>
        </x:is>
      </x:c>
      <x:c r="CH3" s="59" t="inlineStr">
        <x:is>
          <x:t xml:space="preserve">1276/279</x:t>
        </x:is>
      </x:c>
      <x:c r="CI3" s="59" t="inlineStr">
        <x:is>
          <x:t xml:space="preserve">1276/282</x:t>
        </x:is>
      </x:c>
      <x:c r="CJ3" s="59" t="inlineStr">
        <x:is>
          <x:t xml:space="preserve">1276/285</x:t>
        </x:is>
      </x:c>
      <x:c r="CK3" s="59" t="inlineStr">
        <x:is>
          <x:t xml:space="preserve">1296/141</x:t>
        </x:is>
      </x:c>
      <x:c r="CL3" s="59" t="inlineStr">
        <x:is>
          <x:t xml:space="preserve">1470/59</x:t>
        </x:is>
      </x:c>
      <x:c r="CM3" s="59" t="inlineStr">
        <x:is>
          <x:t xml:space="preserve">1479/191</x:t>
        </x:is>
      </x:c>
      <x:c r="CN3" s="59" t="inlineStr">
        <x:is>
          <x:t xml:space="preserve">1510/566</x:t>
        </x:is>
      </x:c>
      <x:c r="CO3" s="59" t="inlineStr">
        <x:is>
          <x:t xml:space="preserve">1511/32</x:t>
        </x:is>
      </x:c>
      <x:c r="CP3" s="59" t="inlineStr">
        <x:is>
          <x:t xml:space="preserve">1564/310</x:t>
        </x:is>
      </x:c>
      <x:c r="CQ3" s="59" t="inlineStr">
        <x:is>
          <x:t xml:space="preserve">1567/245</x:t>
        </x:is>
      </x:c>
      <x:c r="CR3" s="59" t="inlineStr">
        <x:is>
          <x:t xml:space="preserve">1576/219</x:t>
        </x:is>
      </x:c>
      <x:c r="CS3" s="59" t="inlineStr">
        <x:is>
          <x:t xml:space="preserve">1576/222</x:t>
        </x:is>
      </x:c>
      <x:c r="CT3" s="59" t="inlineStr">
        <x:is>
          <x:t xml:space="preserve">1579/358</x:t>
        </x:is>
      </x:c>
      <x:c r="CU3" s="59" t="inlineStr">
        <x:is>
          <x:t xml:space="preserve">1583/391</x:t>
        </x:is>
      </x:c>
      <x:c r="CV3" s="59" t="inlineStr">
        <x:is>
          <x:t xml:space="preserve">1583/398</x:t>
        </x:is>
      </x:c>
      <x:c r="CW3" s="59" t="inlineStr">
        <x:is>
          <x:t xml:space="preserve">1583/405</x:t>
        </x:is>
      </x:c>
      <x:c r="CX3" s="59" t="inlineStr">
        <x:is>
          <x:t xml:space="preserve">1583/412</x:t>
        </x:is>
      </x:c>
      <x:c r="CY3" s="59" t="inlineStr">
        <x:is>
          <x:t xml:space="preserve">1583/419</x:t>
        </x:is>
      </x:c>
      <x:c r="CZ3" s="59" t="inlineStr">
        <x:is>
          <x:t xml:space="preserve">1583/426</x:t>
        </x:is>
      </x:c>
      <x:c r="DA3" s="59" t="inlineStr">
        <x:is>
          <x:t xml:space="preserve">1625/440</x:t>
        </x:is>
      </x:c>
      <x:c r="DB3" s="59" t="inlineStr">
        <x:is>
          <x:t xml:space="preserve">1634/367</x:t>
        </x:is>
      </x:c>
      <x:c r="DC3" s="59" t="inlineStr">
        <x:is>
          <x:t xml:space="preserve">1631/416</x:t>
        </x:is>
      </x:c>
      <x:c r="DD3" s="59" t="inlineStr">
        <x:is>
          <x:t xml:space="preserve">1636/544</x:t>
        </x:is>
      </x:c>
      <x:c r="DE3" s="59" t="inlineStr">
        <x:is>
          <x:t xml:space="preserve">1636/554</x:t>
        </x:is>
      </x:c>
      <x:c r="DF3" s="59" t="inlineStr">
        <x:is>
          <x:t xml:space="preserve">1636/556</x:t>
        </x:is>
      </x:c>
      <x:c r="DG3" s="59" t="inlineStr">
        <x:is>
          <x:t xml:space="preserve">1637/476</x:t>
        </x:is>
      </x:c>
      <x:c r="DH3" s="59" t="inlineStr">
        <x:is>
          <x:t xml:space="preserve">1694/156</x:t>
        </x:is>
      </x:c>
      <x:c r="DI3" s="59" t="inlineStr">
        <x:is>
          <x:t xml:space="preserve">1775/296</x:t>
        </x:is>
      </x:c>
      <x:c r="DJ3" s="59" t="inlineStr">
        <x:is>
          <x:t xml:space="preserve">1783/306</x:t>
        </x:is>
      </x:c>
      <x:c r="DK3" s="59" t="inlineStr">
        <x:is>
          <x:t xml:space="preserve">1790/386</x:t>
        </x:is>
      </x:c>
      <x:c r="DL3" s="59" t="inlineStr">
        <x:is>
          <x:t xml:space="preserve">1812/120</x:t>
        </x:is>
      </x:c>
      <x:c r="DM3" s="59" t="inlineStr">
        <x:is>
          <x:t xml:space="preserve">1810/16</x:t>
        </x:is>
      </x:c>
      <x:c r="DN3" s="59" t="inlineStr">
        <x:is>
          <x:t xml:space="preserve">1810/15</x:t>
        </x:is>
      </x:c>
      <x:c r="DO3" s="59" t="inlineStr">
        <x:is>
          <x:t xml:space="preserve">1810/18</x:t>
        </x:is>
      </x:c>
      <x:c r="DP3" s="59" t="inlineStr">
        <x:is>
          <x:t xml:space="preserve">1810/19</x:t>
        </x:is>
      </x:c>
      <x:c r="DQ3" s="59" t="inlineStr">
        <x:is>
          <x:t xml:space="preserve">1812/121</x:t>
        </x:is>
      </x:c>
      <x:c r="DR3" s="59" t="inlineStr">
        <x:is>
          <x:t xml:space="preserve">1838/136</x:t>
        </x:is>
      </x:c>
      <x:c r="DS3" s="59" t="inlineStr">
        <x:is>
          <x:t xml:space="preserve">1869/351</x:t>
        </x:is>
      </x:c>
      <x:c r="DT3" s="59" t="inlineStr">
        <x:is>
          <x:t xml:space="preserve">1892/567</x:t>
        </x:is>
      </x:c>
      <x:c r="DU3" s="59" t="inlineStr">
        <x:is>
          <x:t xml:space="preserve">1941/550</x:t>
        </x:is>
      </x:c>
      <x:c r="DV3" s="59" t="inlineStr">
        <x:is>
          <x:t xml:space="preserve">1949/217</x:t>
        </x:is>
      </x:c>
      <x:c r="DW3" s="59" t="inlineStr">
        <x:is>
          <x:t xml:space="preserve">2002/576</x:t>
        </x:is>
      </x:c>
      <x:c r="DX3" s="59" t="inlineStr">
        <x:is>
          <x:t xml:space="preserve">2022/493</x:t>
        </x:is>
      </x:c>
      <x:c r="DY3" s="59" t="inlineStr">
        <x:is>
          <x:t xml:space="preserve">2031/5</x:t>
        </x:is>
      </x:c>
      <x:c r="DZ3" s="59" t="inlineStr">
        <x:is>
          <x:t xml:space="preserve">2041/379</x:t>
        </x:is>
      </x:c>
      <x:c r="EA3" s="59" t="inlineStr">
        <x:is>
          <x:t xml:space="preserve">2074/536</x:t>
        </x:is>
      </x:c>
      <x:c r="EB3" s="59" t="inlineStr">
        <x:is>
          <x:t xml:space="preserve">2104/239</x:t>
        </x:is>
      </x:c>
      <x:c r="EC3" s="59" t="inlineStr">
        <x:is>
          <x:t xml:space="preserve">2104/242</x:t>
        </x:is>
      </x:c>
      <x:c r="ED3" s="59" t="inlineStr">
        <x:is>
          <x:t xml:space="preserve">2106/387</x:t>
        </x:is>
      </x:c>
      <x:c r="EE3" s="59" t="inlineStr">
        <x:is>
          <x:t xml:space="preserve">2219/516</x:t>
        </x:is>
      </x:c>
      <x:c r="EF3" s="59" t="inlineStr">
        <x:is>
          <x:t xml:space="preserve">2131/599</x:t>
        </x:is>
      </x:c>
      <x:c r="EG3" s="59" t="inlineStr">
        <x:is>
          <x:t xml:space="preserve">2141/3</x:t>
        </x:is>
      </x:c>
      <x:c r="EH3" s="59" t="inlineStr">
        <x:is>
          <x:t xml:space="preserve">2224/382</x:t>
        </x:is>
      </x:c>
      <x:c r="EI3" s="59" t="inlineStr">
        <x:is>
          <x:t xml:space="preserve">2251/22</x:t>
        </x:is>
      </x:c>
      <x:c r="EJ3" s="59" t="inlineStr">
        <x:is>
          <x:t xml:space="preserve">2259/397</x:t>
        </x:is>
      </x:c>
      <x:c r="EK3" s="59" t="inlineStr">
        <x:is>
          <x:t xml:space="preserve">2290/178</x:t>
        </x:is>
      </x:c>
      <x:c r="EL3" s="59" t="inlineStr">
        <x:is>
          <x:t xml:space="preserve">2309/236</x:t>
        </x:is>
      </x:c>
      <x:c r="EM3" s="59" t="inlineStr">
        <x:is>
          <x:t xml:space="preserve">2315/42</x:t>
        </x:is>
      </x:c>
      <x:c r="EN3" s="59" t="inlineStr">
        <x:is>
          <x:t xml:space="preserve">2425/225</x:t>
        </x:is>
      </x:c>
      <x:c r="EO3" s="59" t="inlineStr">
        <x:is>
          <x:t xml:space="preserve">2700/395</x:t>
        </x:is>
      </x:c>
      <x:c r="EP3" s="59" t="inlineStr">
        <x:is>
          <x:t xml:space="preserve">2450/598</x:t>
        </x:is>
      </x:c>
      <x:c r="EQ3" s="59" t="inlineStr">
        <x:is>
          <x:t xml:space="preserve">2453/219</x:t>
        </x:is>
      </x:c>
      <x:c r="ER3" s="59" t="inlineStr">
        <x:is>
          <x:t xml:space="preserve">2481/287</x:t>
        </x:is>
      </x:c>
      <x:c r="ES3" s="59" t="inlineStr">
        <x:is>
          <x:t xml:space="preserve">2529/217</x:t>
        </x:is>
      </x:c>
      <x:c r="ET3" s="59" t="inlineStr">
        <x:is>
          <x:t xml:space="preserve">2617/228</x:t>
        </x:is>
      </x:c>
      <x:c r="EU3" s="59" t="inlineStr">
        <x:is>
          <x:t xml:space="preserve">2625/231</x:t>
        </x:is>
      </x:c>
      <x:c r="EV3" s="59" t="inlineStr">
        <x:is>
          <x:t xml:space="preserve">2625/233</x:t>
        </x:is>
      </x:c>
      <x:c r="EW3" s="59" t="inlineStr">
        <x:is>
          <x:t xml:space="preserve">2649/286</x:t>
        </x:is>
      </x:c>
      <x:c r="EX3" s="59" t="inlineStr">
        <x:is>
          <x:t xml:space="preserve">2649/298</x:t>
        </x:is>
      </x:c>
      <x:c r="EY3" s="59" t="inlineStr">
        <x:is>
          <x:t xml:space="preserve">2682/183</x:t>
        </x:is>
      </x:c>
      <x:c r="EZ3" s="59" t="inlineStr">
        <x:is>
          <x:t xml:space="preserve">2704/142</x:t>
        </x:is>
      </x:c>
      <x:c r="FA3" s="59" t="n"/>
      <x:c r="FB3" s="59" t="n"/>
      <x:c r="FC3" s="59" t="n"/>
      <x:c r="FD3" s="59" t="n"/>
      <x:c r="FE3" s="59" t="n"/>
      <x:c r="FF3" s="59" t="n"/>
      <x:c r="FG3" s="59" t="n"/>
      <x:c r="FH3" s="59" t="n"/>
      <x:c r="FI3" s="59" t="n"/>
      <x:c r="FJ3" s="59" t="n"/>
      <x:c r="FK3" s="59" t="n"/>
      <x:c r="FL3" s="59" t="n"/>
      <x:c r="FM3" s="59" t="n"/>
      <x:c r="FN3" s="59" t="n"/>
      <x:c r="FO3" s="59" t="n"/>
      <x:c r="FP3" s="59" t="n"/>
      <x:c r="FQ3" s="59" t="n"/>
      <x:c r="FR3" s="59" t="n"/>
      <x:c r="FS3" s="59" t="n"/>
      <x:c r="FT3" s="59" t="n"/>
      <x:c r="FU3" s="59" t="n"/>
      <x:c r="FV3" s="59" t="n"/>
      <x:c r="FW3" s="59" t="n"/>
      <x:c r="FX3" s="59" t="n"/>
      <x:c r="FY3" s="59" t="n"/>
      <x:c r="FZ3" s="59" t="n"/>
      <x:c r="GA3" s="59" t="n"/>
    </x:row>
    <x:row r="4" s="62" customFormat="1" ht="12.75" customHeight="1">
      <x:c r="A4" s="619" t="n"/>
      <x:c r="B4" s="623" t="n"/>
      <x:c r="C4" s="593" t="n"/>
      <x:c r="D4" s="644" t="n"/>
      <x:c r="E4" s="491" t="inlineStr">
        <x:is>
          <x:t xml:space="preserve">Date </x:t>
        </x:is>
      </x:c>
      <x:c r="F4" s="618" t="n"/>
      <x:c r="G4" s="60" t="n"/>
      <x:c r="H4" s="108" t="inlineStr">
        <x:is>
          <x:t xml:space="preserve">12/8/1906</x:t>
        </x:is>
      </x:c>
      <x:c r="I4" s="108" t="n">
        <x:v>2592</x:v>
      </x:c>
      <x:c r="J4" s="108" t="n">
        <x:v>3073</x:v>
      </x:c>
      <x:c r="K4" s="108" t="n">
        <x:v>7303</x:v>
      </x:c>
      <x:c r="L4" s="108" t="n">
        <x:v>17950</x:v>
      </x:c>
      <x:c r="M4" s="108" t="n">
        <x:v>28583</x:v>
      </x:c>
      <x:c r="N4" s="108" t="n">
        <x:v>28583</x:v>
      </x:c>
      <x:c r="O4" s="108" t="n">
        <x:v>28583</x:v>
      </x:c>
      <x:c r="P4" s="108" t="n">
        <x:v>28583</x:v>
      </x:c>
      <x:c r="Q4" s="108" t="n">
        <x:v>28583</x:v>
      </x:c>
      <x:c r="R4" s="108" t="n">
        <x:v>28583</x:v>
      </x:c>
      <x:c r="S4" s="108" t="n">
        <x:v>28583</x:v>
      </x:c>
      <x:c r="T4" s="108" t="n">
        <x:v>28584</x:v>
      </x:c>
      <x:c r="U4" s="108" t="n">
        <x:v>29094</x:v>
      </x:c>
      <x:c r="V4" s="108" t="n">
        <x:v>29172</x:v>
      </x:c>
      <x:c r="W4" s="97" t="n">
        <x:v>30250</x:v>
      </x:c>
      <x:c r="X4" s="97" t="n">
        <x:v>30250</x:v>
      </x:c>
      <x:c r="Y4" s="108" t="n">
        <x:v>30250</x:v>
      </x:c>
      <x:c r="Z4" s="108" t="n">
        <x:v>30369</x:v>
      </x:c>
      <x:c r="AA4" s="108" t="n">
        <x:v>30369</x:v>
      </x:c>
      <x:c r="AB4" s="108" t="n">
        <x:v>30369</x:v>
      </x:c>
      <x:c r="AC4" s="108" t="n">
        <x:v>30388</x:v>
      </x:c>
      <x:c r="AD4" s="108" t="n">
        <x:v>30388</x:v>
      </x:c>
      <x:c r="AE4" s="108" t="n">
        <x:v>30388</x:v>
      </x:c>
      <x:c r="AF4" s="108" t="n">
        <x:v>30388</x:v>
      </x:c>
      <x:c r="AG4" s="97" t="n">
        <x:v>30388</x:v>
      </x:c>
      <x:c r="AH4" s="108" t="n">
        <x:v>30791</x:v>
      </x:c>
      <x:c r="AI4" s="97" t="n">
        <x:v>31308</x:v>
      </x:c>
      <x:c r="AJ4" s="120" t="n">
        <x:v>31408</x:v>
      </x:c>
      <x:c r="AK4" s="5" t="n">
        <x:v>31408</x:v>
      </x:c>
      <x:c r="AL4" s="5" t="n">
        <x:v>31582</x:v>
      </x:c>
      <x:c r="AM4" s="5" t="n">
        <x:v>31657</x:v>
      </x:c>
      <x:c r="AN4" s="5" t="n">
        <x:v>31684</x:v>
      </x:c>
      <x:c r="AO4" s="5" t="n">
        <x:v>31917</x:v>
      </x:c>
      <x:c r="AP4" s="5" t="n">
        <x:v>32031</x:v>
      </x:c>
      <x:c r="AQ4" s="5" t="n">
        <x:v>32072</x:v>
      </x:c>
      <x:c r="AR4" s="5" t="n">
        <x:v>32072</x:v>
      </x:c>
      <x:c r="AS4" s="5" t="n">
        <x:v>32118</x:v>
      </x:c>
      <x:c r="AT4" s="5" t="n">
        <x:v>32344</x:v>
      </x:c>
      <x:c r="AU4" s="58" t="n">
        <x:v>32344</x:v>
      </x:c>
      <x:c r="AV4" s="58" t="n">
        <x:v>32344</x:v>
      </x:c>
      <x:c r="AW4" s="58" t="n">
        <x:v>32344</x:v>
      </x:c>
      <x:c r="AX4" s="58" t="n">
        <x:v>32449</x:v>
      </x:c>
      <x:c r="AY4" s="58" t="n">
        <x:v>32612</x:v>
      </x:c>
      <x:c r="AZ4" s="58" t="n">
        <x:v>32612</x:v>
      </x:c>
      <x:c r="BA4" s="58" t="n">
        <x:v>32612</x:v>
      </x:c>
      <x:c r="BB4" s="58" t="n">
        <x:v>32612</x:v>
      </x:c>
      <x:c r="BC4" s="58" t="n">
        <x:v>32706</x:v>
      </x:c>
      <x:c r="BD4" s="58" t="n">
        <x:v>32706</x:v>
      </x:c>
      <x:c r="BE4" s="58" t="n">
        <x:v>32706</x:v>
      </x:c>
      <x:c r="BF4" s="58" t="n">
        <x:v>32706</x:v>
      </x:c>
      <x:c r="BG4" s="58" t="n">
        <x:v>32706</x:v>
      </x:c>
      <x:c r="BH4" s="58" t="n">
        <x:v>32706</x:v>
      </x:c>
      <x:c r="BI4" s="58" t="n">
        <x:v>32706</x:v>
      </x:c>
      <x:c r="BJ4" s="58" t="n">
        <x:v>32706</x:v>
      </x:c>
      <x:c r="BK4" s="58" t="n">
        <x:v>32706</x:v>
      </x:c>
      <x:c r="BL4" s="58" t="n">
        <x:v>32794</x:v>
      </x:c>
      <x:c r="BM4" s="58" t="n">
        <x:v>32869</x:v>
      </x:c>
      <x:c r="BN4" s="58" t="n">
        <x:v>32869</x:v>
      </x:c>
      <x:c r="BO4" s="58" t="n">
        <x:v>32920</x:v>
      </x:c>
      <x:c r="BP4" s="58" t="n">
        <x:v>32920</x:v>
      </x:c>
      <x:c r="BQ4" s="58" t="n">
        <x:v>32920</x:v>
      </x:c>
      <x:c r="BR4" s="58" t="n">
        <x:v>32920</x:v>
      </x:c>
      <x:c r="BS4" s="58" t="n">
        <x:v>32920</x:v>
      </x:c>
      <x:c r="BT4" s="58" t="n">
        <x:v>32920</x:v>
      </x:c>
      <x:c r="BU4" s="58" t="n">
        <x:v>32920</x:v>
      </x:c>
      <x:c r="BV4" s="58" t="n">
        <x:v>32920</x:v>
      </x:c>
      <x:c r="BW4" s="58" t="n">
        <x:v>32920</x:v>
      </x:c>
      <x:c r="BX4" s="58" t="n">
        <x:v>32952</x:v>
      </x:c>
      <x:c r="BY4" s="58" t="n">
        <x:v>32957</x:v>
      </x:c>
      <x:c r="BZ4" s="58" t="n">
        <x:v>32957</x:v>
      </x:c>
      <x:c r="CA4" s="58" t="n">
        <x:v>32960</x:v>
      </x:c>
      <x:c r="CB4" s="58" t="n">
        <x:v>33158</x:v>
      </x:c>
      <x:c r="CC4" s="58" t="n">
        <x:v>33277</x:v>
      </x:c>
      <x:c r="CD4" s="58" t="n">
        <x:v>33574</x:v>
      </x:c>
      <x:c r="CE4" s="58" t="n">
        <x:v>33750</x:v>
      </x:c>
      <x:c r="CF4" s="58" t="n">
        <x:v>33750</x:v>
      </x:c>
      <x:c r="CG4" s="58" t="n">
        <x:v>33750</x:v>
      </x:c>
      <x:c r="CH4" s="58" t="n">
        <x:v>33750</x:v>
      </x:c>
      <x:c r="CI4" s="58" t="n">
        <x:v>33750</x:v>
      </x:c>
      <x:c r="CJ4" s="58" t="n">
        <x:v>33750</x:v>
      </x:c>
      <x:c r="CK4" s="58" t="n">
        <x:v>33868</x:v>
      </x:c>
      <x:c r="CL4" s="58" t="n">
        <x:v>34920</x:v>
      </x:c>
      <x:c r="CM4" s="58" t="n">
        <x:v>35038</x:v>
      </x:c>
      <x:c r="CN4" s="58" t="n">
        <x:v>35430</x:v>
      </x:c>
      <x:c r="CO4" s="58" t="n">
        <x:v>35432</x:v>
      </x:c>
      <x:c r="CP4" s="58" t="n">
        <x:v>36026</x:v>
      </x:c>
      <x:c r="CQ4" s="58" t="n">
        <x:v>36043</x:v>
      </x:c>
      <x:c r="CR4" s="58" t="n">
        <x:v>36175</x:v>
      </x:c>
      <x:c r="CS4" s="58" t="n">
        <x:v>36175</x:v>
      </x:c>
      <x:c r="CT4" s="58" t="n">
        <x:v>36215</x:v>
      </x:c>
      <x:c r="CU4" s="58" t="n">
        <x:v>36270</x:v>
      </x:c>
      <x:c r="CV4" s="58" t="n">
        <x:v>36270</x:v>
      </x:c>
      <x:c r="CW4" s="58" t="n">
        <x:v>36270</x:v>
      </x:c>
      <x:c r="CX4" s="58" t="n">
        <x:v>36270</x:v>
      </x:c>
      <x:c r="CY4" s="58" t="n">
        <x:v>36270</x:v>
      </x:c>
      <x:c r="CZ4" s="58" t="n">
        <x:v>36270</x:v>
      </x:c>
      <x:c r="DA4" s="58" t="n">
        <x:v>36802</x:v>
      </x:c>
      <x:c r="DB4" s="58" t="n">
        <x:v>36881</x:v>
      </x:c>
      <x:c r="DC4" s="58" t="n">
        <x:v>36896</x:v>
      </x:c>
      <x:c r="DD4" s="58" t="n">
        <x:v>36921</x:v>
      </x:c>
      <x:c r="DE4" s="58" t="n">
        <x:v>36921</x:v>
      </x:c>
      <x:c r="DF4" s="58" t="n">
        <x:v>36921</x:v>
      </x:c>
      <x:c r="DG4" s="58" t="n">
        <x:v>36955</x:v>
      </x:c>
      <x:c r="DH4" s="58" t="n">
        <x:v>37536</x:v>
      </x:c>
      <x:c r="DI4" s="58" t="n">
        <x:v>38338</x:v>
      </x:c>
      <x:c r="DJ4" s="58" t="n">
        <x:v>38446</x:v>
      </x:c>
      <x:c r="DK4" s="58" t="n">
        <x:v>38483</x:v>
      </x:c>
      <x:c r="DL4" s="58" t="n">
        <x:v>38608</x:v>
      </x:c>
      <x:c r="DM4" s="58" t="n">
        <x:v>38624</x:v>
      </x:c>
      <x:c r="DN4" s="58" t="n">
        <x:v>38625</x:v>
      </x:c>
      <x:c r="DO4" s="58" t="n">
        <x:v>38626</x:v>
      </x:c>
      <x:c r="DP4" s="58" t="n">
        <x:v>38626</x:v>
      </x:c>
      <x:c r="DQ4" s="58" t="n">
        <x:v>38655</x:v>
      </x:c>
      <x:c r="DR4" s="58" t="n">
        <x:v>38855</x:v>
      </x:c>
      <x:c r="DS4" s="58" t="n">
        <x:v>39160</x:v>
      </x:c>
      <x:c r="DT4" s="58" t="n">
        <x:v>39400</x:v>
      </x:c>
      <x:c r="DU4" s="58" t="n">
        <x:v>39751</x:v>
      </x:c>
      <x:c r="DV4" s="58" t="n">
        <x:v>39871</x:v>
      </x:c>
      <x:c r="DW4" s="58" t="n">
        <x:v>40067</x:v>
      </x:c>
      <x:c r="DX4" s="58" t="n">
        <x:v>40333</x:v>
      </x:c>
      <x:c r="DY4" s="58" t="n">
        <x:v>40357</x:v>
      </x:c>
      <x:c r="DZ4" s="58" t="n">
        <x:v>40416</x:v>
      </x:c>
      <x:c r="EA4" s="58" t="n">
        <x:v>40661</x:v>
      </x:c>
      <x:c r="EB4" s="58" t="n">
        <x:v>40839</x:v>
      </x:c>
      <x:c r="EC4" s="58" t="n">
        <x:v>40839</x:v>
      </x:c>
      <x:c r="ED4" s="58" t="n">
        <x:v>40876</x:v>
      </x:c>
      <x:c r="EE4" s="58" t="n">
        <x:v>40876</x:v>
      </x:c>
      <x:c r="EF4" s="58" t="n">
        <x:v>41011</x:v>
      </x:c>
      <x:c r="EG4" s="58" t="n">
        <x:v>41059</x:v>
      </x:c>
      <x:c r="EH4" s="58" t="n">
        <x:v>41486</x:v>
      </x:c>
      <x:c r="EI4" s="58" t="n">
        <x:v>41734</x:v>
      </x:c>
      <x:c r="EJ4" s="58" t="n">
        <x:v>41821</x:v>
      </x:c>
      <x:c r="EK4" s="58" t="n">
        <x:v>42061</x:v>
      </x:c>
      <x:c r="EL4" s="58" t="n">
        <x:v>42242</x:v>
      </x:c>
      <x:c r="EM4" s="58" t="n">
        <x:v>42305</x:v>
      </x:c>
      <x:c r="EN4" s="58" t="n">
        <x:v>43423</x:v>
      </x:c>
      <x:c r="EO4" s="58" t="n">
        <x:v>43500</x:v>
      </x:c>
      <x:c r="EP4" s="58" t="n">
        <x:v>44071</x:v>
      </x:c>
      <x:c r="EQ4" s="58" t="n">
        <x:v>44126</x:v>
      </x:c>
      <x:c r="ER4" s="58" t="n">
        <x:v>44489</x:v>
      </x:c>
      <x:c r="ES4" s="58" t="n">
        <x:v>45061</x:v>
      </x:c>
      <x:c r="ET4" s="58" t="n">
        <x:v>45726</x:v>
      </x:c>
      <x:c r="EU4" s="58" t="n">
        <x:v>45747</x:v>
      </x:c>
      <x:c r="EV4" s="58" t="n">
        <x:v>45747</x:v>
      </x:c>
      <x:c r="EW4" s="58" t="n">
        <x:v>45896</x:v>
      </x:c>
      <x:c r="EX4" s="58" t="n">
        <x:v>45897</x:v>
      </x:c>
      <x:c r="EY4" s="58" t="n">
        <x:v>45971</x:v>
      </x:c>
      <x:c r="EZ4" s="58" t="n">
        <x:v>46175</x:v>
      </x:c>
      <x:c r="FA4" s="58" t="n"/>
      <x:c r="FB4" s="58" t="n"/>
      <x:c r="FC4" s="58" t="n"/>
      <x:c r="FD4" s="58" t="n"/>
      <x:c r="FE4" s="58" t="n"/>
      <x:c r="FF4" s="58" t="n"/>
      <x:c r="FG4" s="58" t="n"/>
      <x:c r="FH4" s="58" t="n"/>
      <x:c r="FI4" s="58" t="n"/>
      <x:c r="FJ4" s="58" t="n"/>
      <x:c r="FK4" s="58" t="n"/>
      <x:c r="FL4" s="58" t="n"/>
      <x:c r="FM4" s="58" t="n"/>
      <x:c r="FN4" s="58" t="n"/>
      <x:c r="FO4" s="58" t="n"/>
      <x:c r="FP4" s="58" t="n"/>
      <x:c r="FQ4" s="58" t="n"/>
      <x:c r="FR4" s="58" t="n"/>
      <x:c r="FS4" s="58" t="n"/>
      <x:c r="FT4" s="58" t="n"/>
      <x:c r="FU4" s="58" t="n"/>
      <x:c r="FV4" s="58" t="n"/>
      <x:c r="FW4" s="58" t="n"/>
      <x:c r="FX4" s="58" t="n"/>
      <x:c r="FY4" s="58" t="n"/>
      <x:c r="FZ4" s="58" t="n"/>
      <x:c r="GA4" s="58" t="n"/>
    </x:row>
    <x:row r="5" s="57" customFormat="1" ht="27.75" customHeight="1">
      <x:c r="A5" s="619" t="n"/>
      <x:c r="B5" s="625" t="inlineStr">
        <x:is>
          <x:t xml:space="preserve">TRACT ACRES</x:t>
        </x:is>
      </x:c>
      <x:c r="C5" s="626" t="n"/>
      <x:c r="D5" s="65" t="n">
        <x:v>160</x:v>
      </x:c>
      <x:c r="E5" s="627" t="inlineStr">
        <x:is>
          <x:t xml:space="preserve">Conveyance </x:t>
        </x:is>
      </x:c>
      <x:c r="F5" s="628" t="n"/>
      <x:c r="G5" s="60" t="n"/>
      <x:c r="H5" s="96" t="inlineStr">
        <x:is>
          <x:t xml:space="preserve">ARTI</x:t>
        </x:is>
      </x:c>
      <x:c r="I5" s="96" t="inlineStr">
        <x:is>
          <x:t xml:space="preserve">ARTI</x:t>
        </x:is>
      </x:c>
      <x:c r="J5" s="96" t="inlineStr">
        <x:is>
          <x:t xml:space="preserve">ARTI</x:t>
        </x:is>
      </x:c>
      <x:c r="K5" s="96" t="inlineStr">
        <x:is>
          <x:t xml:space="preserve">ARTI</x:t>
        </x:is>
      </x:c>
      <x:c r="L5" s="96" t="inlineStr">
        <x:is>
          <x:t xml:space="preserve">UND 1/2</x:t>
        </x:is>
      </x:c>
      <x:c r="M5" s="96" t="inlineStr">
        <x:is>
          <x:t xml:space="preserve">UND 40/791.47</x:t>
        </x:is>
      </x:c>
      <x:c r="N5" s="96" t="inlineStr">
        <x:is>
          <x:t xml:space="preserve">UND 40/791.47</x:t>
        </x:is>
      </x:c>
      <x:c r="O5" s="96" t="inlineStr">
        <x:is>
          <x:t xml:space="preserve">UND 40/791.47</x:t>
        </x:is>
      </x:c>
      <x:c r="P5" s="96" t="inlineStr">
        <x:is>
          <x:t xml:space="preserve">UND 40/791.47</x:t>
        </x:is>
      </x:c>
      <x:c r="Q5" s="96" t="inlineStr">
        <x:is>
          <x:t xml:space="preserve">UND 40/791.47</x:t>
        </x:is>
      </x:c>
      <x:c r="R5" s="96" t="inlineStr">
        <x:is>
          <x:t xml:space="preserve">UND 40/791.47</x:t>
        </x:is>
      </x:c>
      <x:c r="S5" s="96" t="inlineStr">
        <x:is>
          <x:t xml:space="preserve">UND 40/791.47</x:t>
        </x:is>
      </x:c>
      <x:c r="T5" s="96" t="inlineStr">
        <x:is>
          <x:t xml:space="preserve">UND 40/791.47</x:t>
        </x:is>
      </x:c>
      <x:c r="U5" s="96" t="inlineStr">
        <x:is>
          <x:t xml:space="preserve">UND 10/791.47</x:t>
        </x:is>
      </x:c>
      <x:c r="V5" s="96" t="inlineStr">
        <x:is>
          <x:t xml:space="preserve">UND 40/791.47</x:t>
        </x:is>
      </x:c>
      <x:c r="W5" s="96" t="inlineStr">
        <x:is>
          <x:t xml:space="preserve">UND 1/791.47</x:t>
        </x:is>
      </x:c>
      <x:c r="X5" s="96" t="inlineStr">
        <x:is>
          <x:t xml:space="preserve">UND 1/791.47</x:t>
        </x:is>
      </x:c>
      <x:c r="Y5" s="96" t="inlineStr">
        <x:is>
          <x:t xml:space="preserve">UND 1/791.47</x:t>
        </x:is>
      </x:c>
      <x:c r="Z5" s="96" t="inlineStr">
        <x:is>
          <x:t xml:space="preserve">ARTI</x:t>
        </x:is>
      </x:c>
      <x:c r="AA5" s="96" t="inlineStr">
        <x:is>
          <x:t xml:space="preserve">UND 3/791.47</x:t>
        </x:is>
      </x:c>
      <x:c r="AB5" s="96" t="inlineStr">
        <x:is>
          <x:t xml:space="preserve">UND 3/791.47</x:t>
        </x:is>
      </x:c>
      <x:c r="AC5" s="96" t="inlineStr">
        <x:is>
          <x:t xml:space="preserve">UND 1/791.47</x:t>
        </x:is>
      </x:c>
      <x:c r="AD5" s="96" t="inlineStr">
        <x:is>
          <x:t xml:space="preserve">UND 1/791.47</x:t>
        </x:is>
      </x:c>
      <x:c r="AE5" s="96" t="inlineStr">
        <x:is>
          <x:t xml:space="preserve">UND 1/791.47</x:t>
        </x:is>
      </x:c>
      <x:c r="AF5" s="96" t="inlineStr">
        <x:is>
          <x:t xml:space="preserve">UND 1/791.47</x:t>
        </x:is>
      </x:c>
      <x:c r="AG5" s="96" t="inlineStr">
        <x:is>
          <x:t xml:space="preserve">UND 2/791.47</x:t>
        </x:is>
      </x:c>
      <x:c r="AH5" s="96" t="inlineStr">
        <x:is>
          <x:t xml:space="preserve">UND 1/791.47</x:t>
        </x:is>
      </x:c>
      <x:c r="AI5" s="96" t="inlineStr">
        <x:is>
          <x:t xml:space="preserve">UND 1/791.47</x:t>
        </x:is>
      </x:c>
      <x:c r="AJ5" s="118" t="inlineStr">
        <x:is>
          <x:t xml:space="preserve">UND 2/791.47</x:t>
        </x:is>
      </x:c>
      <x:c r="AK5" s="59" t="inlineStr">
        <x:is>
          <x:t xml:space="preserve">UND 1/791.47</x:t>
        </x:is>
      </x:c>
      <x:c r="AL5" s="59" t="inlineStr">
        <x:is>
          <x:t xml:space="preserve">UND 2/791.47</x:t>
        </x:is>
      </x:c>
      <x:c r="AM5" s="59" t="inlineStr">
        <x:is>
          <x:t xml:space="preserve">UND 3/791.47</x:t>
        </x:is>
      </x:c>
      <x:c r="AN5" s="59" t="inlineStr">
        <x:is>
          <x:t xml:space="preserve">UND 5/791.47</x:t>
        </x:is>
      </x:c>
      <x:c r="AO5" s="59" t="inlineStr">
        <x:is>
          <x:t xml:space="preserve">UND 2/791.47</x:t>
        </x:is>
      </x:c>
      <x:c r="AP5" s="59" t="inlineStr">
        <x:is>
          <x:t xml:space="preserve">UND 1/791.47</x:t>
        </x:is>
      </x:c>
      <x:c r="AQ5" s="59" t="inlineStr">
        <x:is>
          <x:t xml:space="preserve">UND 6/791.47</x:t>
        </x:is>
      </x:c>
      <x:c r="AR5" s="59" t="inlineStr">
        <x:is>
          <x:t xml:space="preserve">UND 1/791.47</x:t>
        </x:is>
      </x:c>
      <x:c r="AS5" s="59" t="inlineStr">
        <x:is>
          <x:t xml:space="preserve">UND 3/791.47</x:t>
        </x:is>
      </x:c>
      <x:c r="AT5" s="59" t="inlineStr">
        <x:is>
          <x:t xml:space="preserve">UND 2/791.47</x:t>
        </x:is>
      </x:c>
      <x:c r="AU5" s="59" t="inlineStr">
        <x:is>
          <x:t xml:space="preserve">UND 2/791.47</x:t>
        </x:is>
      </x:c>
      <x:c r="AV5" s="59" t="inlineStr">
        <x:is>
          <x:t xml:space="preserve">UND 2/791.47</x:t>
        </x:is>
      </x:c>
      <x:c r="AW5" s="59" t="inlineStr">
        <x:is>
          <x:t xml:space="preserve">UND 2/791.47</x:t>
        </x:is>
      </x:c>
      <x:c r="AX5" s="59" t="inlineStr">
        <x:is>
          <x:t xml:space="preserve">ARTI</x:t>
        </x:is>
      </x:c>
      <x:c r="AY5" s="59" t="inlineStr">
        <x:is>
          <x:t xml:space="preserve">UND 3/791.47</x:t>
        </x:is>
      </x:c>
      <x:c r="AZ5" s="59" t="inlineStr">
        <x:is>
          <x:t xml:space="preserve">UND 3/791.47</x:t>
        </x:is>
      </x:c>
      <x:c r="BA5" s="59" t="inlineStr">
        <x:is>
          <x:t xml:space="preserve">UND 3/791.47</x:t>
        </x:is>
      </x:c>
      <x:c r="BB5" s="59" t="inlineStr">
        <x:is>
          <x:t xml:space="preserve">UND 3/791.47</x:t>
        </x:is>
      </x:c>
      <x:c r="BC5" s="59" t="inlineStr">
        <x:is>
          <x:t xml:space="preserve">8.79309 NMA</x:t>
        </x:is>
      </x:c>
      <x:c r="BD5" s="59" t="inlineStr">
        <x:is>
          <x:t xml:space="preserve">UND 43.496666/791.47</x:t>
        </x:is>
      </x:c>
      <x:c r="BE5" s="59" t="inlineStr">
        <x:is>
          <x:t xml:space="preserve">UND 43.496666/791.47</x:t>
        </x:is>
      </x:c>
      <x:c r="BF5" s="59" t="inlineStr">
        <x:is>
          <x:t xml:space="preserve">UND 43.496666/791.47</x:t>
        </x:is>
      </x:c>
      <x:c r="BG5" s="59" t="inlineStr">
        <x:is>
          <x:t xml:space="preserve">UND 43.496666/791.47</x:t>
        </x:is>
      </x:c>
      <x:c r="BH5" s="59" t="inlineStr">
        <x:is>
          <x:t xml:space="preserve">UND 43.496666/791.47</x:t>
        </x:is>
      </x:c>
      <x:c r="BI5" s="59" t="inlineStr">
        <x:is>
          <x:t xml:space="preserve">UND 43.496666/791.47</x:t>
        </x:is>
      </x:c>
      <x:c r="BJ5" s="59" t="inlineStr">
        <x:is>
          <x:t xml:space="preserve">UND 43.496666/791.47</x:t>
        </x:is>
      </x:c>
      <x:c r="BK5" s="59" t="inlineStr">
        <x:is>
          <x:t xml:space="preserve">UND 43.496666/791.47</x:t>
        </x:is>
      </x:c>
      <x:c r="BL5" s="59" t="inlineStr">
        <x:is>
          <x:t xml:space="preserve">ARTI</x:t>
        </x:is>
      </x:c>
      <x:c r="BM5" s="59" t="inlineStr">
        <x:is>
          <x:t xml:space="preserve">UND 2/160</x:t>
        </x:is>
      </x:c>
      <x:c r="BN5" s="59" t="inlineStr">
        <x:is>
          <x:t xml:space="preserve">2/160</x:t>
        </x:is>
      </x:c>
      <x:c r="BO5" s="59" t="inlineStr">
        <x:is>
          <x:t xml:space="preserve">UND 3.33333/791.47</x:t>
        </x:is>
      </x:c>
      <x:c r="BP5" s="59" t="inlineStr">
        <x:is>
          <x:t xml:space="preserve">UND 3.33333/791.47</x:t>
        </x:is>
      </x:c>
      <x:c r="BQ5" s="59" t="inlineStr">
        <x:is>
          <x:t xml:space="preserve">UND 3.33333/791.47</x:t>
        </x:is>
      </x:c>
      <x:c r="BR5" s="59" t="inlineStr">
        <x:is>
          <x:t xml:space="preserve">UND 3.33333/791.47</x:t>
        </x:is>
      </x:c>
      <x:c r="BS5" s="59" t="inlineStr">
        <x:is>
          <x:t xml:space="preserve">UND 3.33333/791.47</x:t>
        </x:is>
      </x:c>
      <x:c r="BT5" s="59" t="inlineStr">
        <x:is>
          <x:t xml:space="preserve">UND 3.33333/791.47</x:t>
        </x:is>
      </x:c>
      <x:c r="BU5" s="59" t="inlineStr">
        <x:is>
          <x:t xml:space="preserve">UND 3.33333/791.47</x:t>
        </x:is>
      </x:c>
      <x:c r="BV5" s="59" t="inlineStr">
        <x:is>
          <x:t xml:space="preserve">UND 3.33333/791.47</x:t>
        </x:is>
      </x:c>
      <x:c r="BW5" s="59" t="inlineStr">
        <x:is>
          <x:t xml:space="preserve">UND 3.33333/791.47</x:t>
        </x:is>
      </x:c>
      <x:c r="BX5" s="59" t="inlineStr">
        <x:is>
          <x:t xml:space="preserve">ARTI</x:t>
        </x:is>
      </x:c>
      <x:c r="BY5" s="59" t="inlineStr">
        <x:is>
          <x:t xml:space="preserve">2/160</x:t>
        </x:is>
      </x:c>
      <x:c r="BZ5" s="59" t="inlineStr">
        <x:is>
          <x:t xml:space="preserve">2/160</x:t>
        </x:is>
      </x:c>
      <x:c r="CA5" s="59" t="inlineStr">
        <x:is>
          <x:t xml:space="preserve">ARTI</x:t>
        </x:is>
      </x:c>
      <x:c r="CB5" s="59" t="inlineStr">
        <x:is>
          <x:t xml:space="preserve">ARTI</x:t>
        </x:is>
      </x:c>
      <x:c r="CC5" s="59" t="inlineStr">
        <x:is>
          <x:t xml:space="preserve">ARTI</x:t>
        </x:is>
      </x:c>
      <x:c r="CD5" s="59" t="inlineStr">
        <x:is>
          <x:t xml:space="preserve">ARTI</x:t>
        </x:is>
      </x:c>
      <x:c r="CE5" s="59" t="inlineStr">
        <x:is>
          <x:t xml:space="preserve">UND 4.8329635/791.47</x:t>
        </x:is>
      </x:c>
      <x:c r="CF5" s="59" t="inlineStr">
        <x:is>
          <x:t xml:space="preserve">UND 4.8329635/791.47</x:t>
        </x:is>
      </x:c>
      <x:c r="CG5" s="59" t="inlineStr">
        <x:is>
          <x:t xml:space="preserve">UND 4.8329635/791.47</x:t>
        </x:is>
      </x:c>
      <x:c r="CH5" s="59" t="inlineStr">
        <x:is>
          <x:t xml:space="preserve">UND 4.8329635/791.47</x:t>
        </x:is>
      </x:c>
      <x:c r="CI5" s="59" t="inlineStr">
        <x:is>
          <x:t xml:space="preserve">UND 4.8329635/791.47</x:t>
        </x:is>
      </x:c>
      <x:c r="CJ5" s="59" t="inlineStr">
        <x:is>
          <x:t xml:space="preserve">UND 4.8329635/791.47</x:t>
        </x:is>
      </x:c>
      <x:c r="CK5" s="59" t="inlineStr">
        <x:is>
          <x:t xml:space="preserve">UND 5/791.47</x:t>
        </x:is>
      </x:c>
      <x:c r="CL5" s="59" t="inlineStr">
        <x:is>
          <x:t xml:space="preserve">ARTI</x:t>
        </x:is>
      </x:c>
      <x:c r="CM5" s="59" t="inlineStr">
        <x:is>
          <x:t xml:space="preserve">ARTI</x:t>
        </x:is>
      </x:c>
      <x:c r="CN5" s="59" t="inlineStr">
        <x:is>
          <x:t xml:space="preserve">ARTI</x:t>
        </x:is>
      </x:c>
      <x:c r="CO5" s="59" t="inlineStr">
        <x:is>
          <x:t xml:space="preserve">ARTI</x:t>
        </x:is>
      </x:c>
      <x:c r="CP5" s="59" t="inlineStr">
        <x:is>
          <x:t xml:space="preserve">ARTI</x:t>
        </x:is>
      </x:c>
      <x:c r="CQ5" s="59" t="inlineStr">
        <x:is>
          <x:t xml:space="preserve">ARTI</x:t>
        </x:is>
      </x:c>
      <x:c r="CR5" s="59" t="inlineStr">
        <x:is>
          <x:t xml:space="preserve">1.212933 NMA</x:t>
        </x:is>
      </x:c>
      <x:c r="CS5" s="59" t="inlineStr">
        <x:is>
          <x:t xml:space="preserve">0.202155 NMA</x:t>
        </x:is>
      </x:c>
      <x:c r="CT5" s="59" t="inlineStr">
        <x:is>
          <x:t xml:space="preserve">ARTI</x:t>
        </x:is>
      </x:c>
      <x:c r="CU5" s="59" t="inlineStr">
        <x:is>
          <x:t xml:space="preserve">2.316271 NMA</x:t>
        </x:is>
      </x:c>
      <x:c r="CV5" s="59" t="inlineStr">
        <x:is>
          <x:t xml:space="preserve">1.158136 NMA</x:t>
        </x:is>
      </x:c>
      <x:c r="CW5" s="59" t="inlineStr">
        <x:is>
          <x:t xml:space="preserve">4.632543 NMA</x:t>
        </x:is>
      </x:c>
      <x:c r="CX5" s="59" t="inlineStr">
        <x:is>
          <x:t xml:space="preserve">4.632543 NMA</x:t>
        </x:is>
      </x:c>
      <x:c r="CY5" s="59" t="inlineStr">
        <x:is>
          <x:t xml:space="preserve">5.790678 NMA</x:t>
        </x:is>
      </x:c>
      <x:c r="CZ5" s="59" t="inlineStr">
        <x:is>
          <x:t xml:space="preserve">0.97701 NMA</x:t>
        </x:is>
      </x:c>
      <x:c r="DA5" s="59" t="inlineStr">
        <x:is>
          <x:t xml:space="preserve">ARTI</x:t>
        </x:is>
      </x:c>
      <x:c r="DB5" s="59" t="inlineStr">
        <x:is>
          <x:t xml:space="preserve">ARTI</x:t>
        </x:is>
      </x:c>
      <x:c r="DC5" s="59" t="inlineStr">
        <x:is>
          <x:t xml:space="preserve">ARTI</x:t>
        </x:is>
      </x:c>
      <x:c r="DD5" s="59" t="inlineStr">
        <x:is>
          <x:t xml:space="preserve">0.673851 NMA</x:t>
        </x:is>
      </x:c>
      <x:c r="DE5" s="59" t="inlineStr">
        <x:is>
          <x:t xml:space="preserve">ARTI</x:t>
        </x:is>
      </x:c>
      <x:c r="DF5" s="59" t="inlineStr">
        <x:is>
          <x:t xml:space="preserve">ARTI</x:t>
        </x:is>
      </x:c>
      <x:c r="DG5" s="59" t="inlineStr">
        <x:is>
          <x:t xml:space="preserve">ARTI</x:t>
        </x:is>
      </x:c>
      <x:c r="DH5" s="59" t="inlineStr">
        <x:is>
          <x:t xml:space="preserve">8.793091 NMA</x:t>
        </x:is>
      </x:c>
      <x:c r="DI5" s="59" t="inlineStr">
        <x:is>
          <x:t xml:space="preserve">ARTI</x:t>
        </x:is>
      </x:c>
      <x:c r="DJ5" s="59" t="inlineStr">
        <x:is>
          <x:t xml:space="preserve">ARTI</x:t>
        </x:is>
      </x:c>
      <x:c r="DK5" s="59" t="inlineStr">
        <x:is>
          <x:t xml:space="preserve">0.404311 NMA</x:t>
        </x:is>
      </x:c>
      <x:c r="DL5" s="59" t="inlineStr">
        <x:is>
          <x:t xml:space="preserve">ARTI</x:t>
        </x:is>
      </x:c>
      <x:c r="DM5" s="59" t="inlineStr">
        <x:is>
          <x:t xml:space="preserve">Interest not stated — confirm from image.</x:t>
        </x:is>
      </x:c>
      <x:c r="DN5" s="59" t="inlineStr">
        <x:is>
          <x:t xml:space="preserve">Interest not stated — confirm from image.</x:t>
        </x:is>
      </x:c>
      <x:c r="DO5" s="59" t="inlineStr">
        <x:is>
          <x:t xml:space="preserve">Interest not stated — confirm from image.</x:t>
        </x:is>
      </x:c>
      <x:c r="DP5" s="59" t="inlineStr">
        <x:is>
          <x:t xml:space="preserve">Interest not stated — confirm from image.</x:t>
        </x:is>
      </x:c>
      <x:c r="DQ5" s="59" t="inlineStr">
        <x:is>
          <x:t xml:space="preserve">2.754558 NMA</x:t>
        </x:is>
      </x:c>
      <x:c r="DR5" s="59" t="inlineStr">
        <x:is>
          <x:t xml:space="preserve">ARTI</x:t>
        </x:is>
      </x:c>
      <x:c r="DS5" s="59" t="inlineStr">
        <x:is>
          <x:t xml:space="preserve">ARTI</x:t>
        </x:is>
      </x:c>
      <x:c r="DT5" s="59" t="inlineStr">
        <x:is>
          <x:t xml:space="preserve">ARTI</x:t>
        </x:is>
      </x:c>
      <x:c r="DU5" s="59" t="inlineStr">
        <x:is>
          <x:t xml:space="preserve">ARTI</x:t>
        </x:is>
      </x:c>
      <x:c r="DV5" s="59" t="inlineStr">
        <x:is>
          <x:t xml:space="preserve">4.632543 NMA</x:t>
        </x:is>
      </x:c>
      <x:c r="DW5" s="59" t="inlineStr">
        <x:is>
          <x:t xml:space="preserve">ARTI</x:t>
        </x:is>
      </x:c>
      <x:c r="DX5" s="59" t="inlineStr">
        <x:is>
          <x:t xml:space="preserve">ARTI</x:t>
        </x:is>
      </x:c>
      <x:c r="DY5" s="59" t="inlineStr">
        <x:is>
          <x:t xml:space="preserve">ARTI</x:t>
        </x:is>
      </x:c>
      <x:c r="DZ5" s="59" t="inlineStr">
        <x:is>
          <x:t xml:space="preserve">ARTI</x:t>
        </x:is>
      </x:c>
      <x:c r="EA5" s="59" t="inlineStr">
        <x:is>
          <x:t xml:space="preserve">ARTI</x:t>
        </x:is>
      </x:c>
      <x:c r="EB5" s="59" t="inlineStr">
        <x:is>
          <x:t xml:space="preserve">ARTI</x:t>
        </x:is>
      </x:c>
      <x:c r="EC5" s="59" t="inlineStr">
        <x:is>
          <x:t xml:space="preserve">ARTI</x:t>
        </x:is>
      </x:c>
      <x:c r="ED5" s="59" t="inlineStr">
        <x:is>
          <x:t xml:space="preserve">0.252694 NMA</x:t>
        </x:is>
      </x:c>
      <x:c r="EE5" s="59" t="inlineStr">
        <x:is>
          <x:t xml:space="preserve">0.202155 NMA</x:t>
        </x:is>
      </x:c>
      <x:c r="EF5" s="59" t="inlineStr">
        <x:is>
          <x:t xml:space="preserve">3 NMA</x:t>
        </x:is>
      </x:c>
      <x:c r="EG5" s="59" t="inlineStr">
        <x:is>
          <x:t xml:space="preserve">ARTI</x:t>
        </x:is>
      </x:c>
      <x:c r="EH5" s="59" t="inlineStr">
        <x:is>
          <x:t xml:space="preserve">Interest not stated — confirm from image.</x:t>
        </x:is>
      </x:c>
      <x:c r="EI5" s="59" t="inlineStr">
        <x:is>
          <x:t xml:space="preserve">4.632543 NMA</x:t>
        </x:is>
      </x:c>
      <x:c r="EJ5" s="59" t="inlineStr">
        <x:is>
          <x:t xml:space="preserve">ARTI</x:t>
        </x:is>
      </x:c>
      <x:c r="EK5" s="59" t="inlineStr">
        <x:is>
          <x:t xml:space="preserve">ARTI</x:t>
        </x:is>
      </x:c>
      <x:c r="EL5" s="59" t="inlineStr">
        <x:is>
          <x:t xml:space="preserve">6.948814 NMA</x:t>
        </x:is>
      </x:c>
      <x:c r="EM5" s="59" t="inlineStr">
        <x:is>
          <x:t xml:space="preserve">3600 NMA</x:t>
        </x:is>
      </x:c>
      <x:c r="EN5" s="59" t="inlineStr">
        <x:is>
          <x:t xml:space="preserve">ARTI</x:t>
        </x:is>
      </x:c>
      <x:c r="EO5" s="59" t="inlineStr">
        <x:is>
          <x:t xml:space="preserve">ARTI</x:t>
        </x:is>
      </x:c>
      <x:c r="EP5" s="59" t="inlineStr">
        <x:is>
          <x:t xml:space="preserve">ARTI</x:t>
        </x:is>
      </x:c>
      <x:c r="EQ5" s="59" t="inlineStr">
        <x:is>
          <x:t xml:space="preserve">ARTI</x:t>
        </x:is>
      </x:c>
      <x:c r="ER5" s="59" t="inlineStr">
        <x:is>
          <x:t xml:space="preserve">3600 NMA</x:t>
        </x:is>
      </x:c>
      <x:c r="ES5" s="59" t="inlineStr">
        <x:is>
          <x:t xml:space="preserve">ARTI</x:t>
        </x:is>
      </x:c>
      <x:c r="ET5" s="59" t="inlineStr">
        <x:is>
          <x:t xml:space="preserve">ARTI</x:t>
        </x:is>
      </x:c>
      <x:c r="EU5" s="59" t="inlineStr">
        <x:is>
          <x:t xml:space="preserve">Interest not stated — confirm from image.</x:t>
        </x:is>
      </x:c>
      <x:c r="EV5" s="59" t="inlineStr">
        <x:is>
          <x:t xml:space="preserve">Interest not stated — confirm from image.</x:t>
        </x:is>
      </x:c>
      <x:c r="EW5" s="59" t="inlineStr">
        <x:is>
          <x:t xml:space="preserve">ARTI</x:t>
        </x:is>
      </x:c>
      <x:c r="EX5" s="59" t="inlineStr">
        <x:is>
          <x:t xml:space="preserve">ARTI</x:t>
        </x:is>
      </x:c>
      <x:c r="EY5" s="59" t="inlineStr">
        <x:is>
          <x:t xml:space="preserve">ARTI</x:t>
        </x:is>
      </x:c>
      <x:c r="EZ5" s="59" t="inlineStr">
        <x:is>
          <x:t xml:space="preserve">ARTI</x:t>
        </x:is>
      </x:c>
      <x:c r="FA5" s="59" t="n"/>
      <x:c r="FB5" s="59" t="n"/>
      <x:c r="FC5" s="59" t="n"/>
      <x:c r="FD5" s="59" t="n"/>
      <x:c r="FE5" s="59" t="n"/>
      <x:c r="FF5" s="59" t="n"/>
      <x:c r="FG5" s="59" t="n"/>
      <x:c r="FH5" s="59" t="n"/>
      <x:c r="FI5" s="59" t="n"/>
      <x:c r="FJ5" s="59" t="n"/>
      <x:c r="FK5" s="59" t="n"/>
      <x:c r="FL5" s="59" t="n"/>
      <x:c r="FM5" s="59" t="n"/>
      <x:c r="FN5" s="59" t="n"/>
      <x:c r="FO5" s="59" t="n"/>
      <x:c r="FP5" s="59" t="n"/>
      <x:c r="FQ5" s="59" t="n"/>
      <x:c r="FR5" s="59" t="n"/>
      <x:c r="FS5" s="59" t="n"/>
      <x:c r="FT5" s="59" t="n"/>
      <x:c r="FU5" s="59" t="n"/>
      <x:c r="FV5" s="59" t="n"/>
      <x:c r="FW5" s="59" t="n"/>
      <x:c r="FX5" s="59" t="n"/>
      <x:c r="FY5" s="59" t="n"/>
      <x:c r="FZ5" s="59" t="n"/>
      <x:c r="GA5" s="59" t="n"/>
    </x:row>
    <x:row r="6" s="55" customFormat="1" ht="14.25" customHeight="1">
      <x:c r="A6" s="629" t="n"/>
      <x:c r="B6" s="630" t="inlineStr">
        <x:is>
          <x:t xml:space="preserve">BASE OGL</x:t>
        </x:is>
      </x:c>
      <x:c r="C6" s="631" t="n">
        <x:v>160</x:v>
      </x:c>
      <x:c r="D6" s="632" t="inlineStr">
        <x:is>
          <x:t xml:space="preserve">Tract 2</x:t>
        </x:is>
      </x:c>
      <x:c r="E6" s="645" t="n">
        <x:f>ROUND(SUBTOTAL(9,E9:E204),10)</x:f>
        <x:v>0.9999999995</x:v>
      </x:c>
      <x:c r="F6" s="633" t="inlineStr">
        <x:is>
          <x:t xml:space="preserve">SURFACE</x:t>
        </x:is>
      </x:c>
      <x:c r="G6" s="64" t="n"/>
      <x:c r="H6" s="64" t="str">
        <x:f>IF(ABS(H7)&lt;0.000000001,"","RECHECK")</x:f>
      </x:c>
      <x:c r="I6" s="64" t="str">
        <x:f>IF(ABS(I7)&lt;0.000000001,"","RECHECK")</x:f>
      </x:c>
      <x:c r="J6" s="64" t="str">
        <x:f>IF(ABS(J7)&lt;0.000000001,"","RECHECK")</x:f>
      </x:c>
      <x:c r="K6" s="64" t="str">
        <x:f>IF(ABS(K7)&lt;0.000000001,"","RECHECK")</x:f>
      </x:c>
      <x:c r="L6" s="64" t="str">
        <x:f>IF(ABS(L7)&lt;0.000000001,"","RECHECK")</x:f>
      </x:c>
      <x:c r="M6" s="64" t="str">
        <x:f>IF(ABS(M7)&lt;0.000000001,"","RECHECK")</x:f>
      </x:c>
      <x:c r="N6" s="64" t="str">
        <x:f>IF(ABS(N7)&lt;0.000000001,"","RECHECK")</x:f>
      </x:c>
      <x:c r="O6" s="64" t="str">
        <x:f>IF(ABS(O7)&lt;0.000000001,"","RECHECK")</x:f>
      </x:c>
      <x:c r="P6" s="64" t="str">
        <x:f>IF(ABS(P7)&lt;0.000000001,"","RECHECK")</x:f>
      </x:c>
      <x:c r="Q6" s="98" t="str">
        <x:f>IF(ABS(Q7)&lt;0.000000001,"","RECHECK")</x:f>
      </x:c>
      <x:c r="R6" s="64" t="str">
        <x:f>IF(ABS(R7)&lt;0.000000001,"","RECHECK")</x:f>
      </x:c>
      <x:c r="S6" s="64" t="str">
        <x:f>IF(ABS(S7)&lt;0.000000001,"","RECHECK")</x:f>
      </x:c>
      <x:c r="T6" s="64" t="str">
        <x:f>IF(ABS(T7)&lt;0.000000001,"","RECHECK")</x:f>
      </x:c>
      <x:c r="U6" s="64" t="str">
        <x:f>IF(ABS(U7)&lt;0.000000001,"","RECHECK")</x:f>
      </x:c>
      <x:c r="V6" s="64" t="str">
        <x:f>IF(ABS(V7)&lt;0.000000001,"","RECHECK")</x:f>
      </x:c>
      <x:c r="W6" s="64" t="str">
        <x:f>IF(ABS(W7)&lt;0.000000001,"","RECHECK")</x:f>
      </x:c>
      <x:c r="X6" s="64" t="str">
        <x:f>IF(ABS(X7)&lt;0.000000001,"","RECHECK")</x:f>
      </x:c>
      <x:c r="Y6" s="64" t="str">
        <x:f>IF(ABS(Y7)&lt;0.000000001,"","RECHECK")</x:f>
      </x:c>
      <x:c r="Z6" s="98" t="str">
        <x:f>IF(ABS(Z7)&lt;0.000000001,"","RECHECK")</x:f>
      </x:c>
      <x:c r="AA6" s="98" t="str">
        <x:f>IF(ABS(AA7)&lt;0.000000001,"","RECHECK")</x:f>
      </x:c>
      <x:c r="AB6" s="98" t="str">
        <x:f>IF(ABS(AB7)&lt;0.000000001,"","RECHECK")</x:f>
      </x:c>
      <x:c r="AC6" s="98" t="str">
        <x:f>IF(ABS(AC7)&lt;0.000000001,"","RECHECK")</x:f>
      </x:c>
      <x:c r="AD6" s="98" t="str">
        <x:f>IF(ABS(AD7)&lt;0.000000001,"","RECHECK")</x:f>
      </x:c>
      <x:c r="AE6" s="98" t="str">
        <x:f>IF(ABS(AE7)&lt;0.000000001,"","RECHECK")</x:f>
      </x:c>
      <x:c r="AF6" s="98" t="str">
        <x:f>IF(ABS(AF7)&lt;0.000000001,"","RECHECK")</x:f>
      </x:c>
      <x:c r="AG6" s="64" t="str">
        <x:f>IF(ABS(AG7)&lt;0.000000001,"","RECHECK")</x:f>
      </x:c>
      <x:c r="AH6" s="98" t="str">
        <x:f>IF(ABS(AH7)&lt;0.000000001,"","RECHECK")</x:f>
      </x:c>
      <x:c r="AI6" s="64" t="str">
        <x:f>IF(ABS(AI7)&lt;0.000000001,"","RECHECK")</x:f>
      </x:c>
      <x:c r="AJ6" s="98" t="str">
        <x:f>IF(ABS(AJ7)&lt;0.000000001,"","RECHECK")</x:f>
      </x:c>
      <x:c r="AK6" s="64" t="str">
        <x:f>IF(ABS(AK7)&lt;0.000000001,"","RECHECK")</x:f>
      </x:c>
      <x:c r="AL6" s="64" t="str">
        <x:f>IF(ABS(AL7)&lt;0.000000001,"","RECHECK")</x:f>
      </x:c>
      <x:c r="AM6" s="64" t="str">
        <x:f>IF(ABS(AM7)&lt;0.000000001,"","RECHECK")</x:f>
      </x:c>
      <x:c r="AN6" s="64" t="str">
        <x:f>IF(ABS(AN7)&lt;0.000000001,"","RECHECK")</x:f>
      </x:c>
      <x:c r="AO6" s="64" t="str">
        <x:f>IF(ABS(AO7)&lt;0.000000001,"","RECHECK")</x:f>
      </x:c>
      <x:c r="AP6" s="64" t="str">
        <x:f>IF(ABS(AP7)&lt;0.000000001,"","RECHECK")</x:f>
      </x:c>
      <x:c r="AQ6" s="64" t="str">
        <x:f>IF(ABS(AQ7)&lt;0.000000001,"","RECHECK")</x:f>
      </x:c>
      <x:c r="AR6" s="64" t="str">
        <x:f>IF(ABS(AR7)&lt;0.000000001,"","RECHECK")</x:f>
      </x:c>
      <x:c r="AS6" s="64" t="str">
        <x:f>IF(ABS(AS7)&lt;0.000000001,"","RECHECK")</x:f>
      </x:c>
      <x:c r="AT6" s="64" t="str">
        <x:f>IF(ABS(AT7)&lt;0.000000001,"","RECHECK")</x:f>
      </x:c>
      <x:c r="AU6" s="64" t="str">
        <x:f>IF(ABS(AU7)&lt;0.000000001,"","RECHECK")</x:f>
      </x:c>
      <x:c r="AV6" s="64" t="str">
        <x:f>IF(ABS(AV7)&lt;0.000000001,"","RECHECK")</x:f>
      </x:c>
      <x:c r="AW6" s="64" t="str">
        <x:f>IF(ABS(AW7)&lt;0.000000001,"","RECHECK")</x:f>
      </x:c>
      <x:c r="AX6" s="64" t="str">
        <x:f>IF(ABS(AX7)&lt;0.000000001,"","RECHECK")</x:f>
      </x:c>
      <x:c r="AY6" s="64" t="str">
        <x:f>IF(ABS(AY7)&lt;0.000000001,"","RECHECK")</x:f>
      </x:c>
      <x:c r="AZ6" s="64" t="str">
        <x:f>IF(ABS(AZ7)&lt;0.000000001,"","RECHECK")</x:f>
      </x:c>
      <x:c r="BA6" s="64" t="str">
        <x:f>IF(ABS(BA7)&lt;0.000000001,"","RECHECK")</x:f>
      </x:c>
      <x:c r="BB6" s="64" t="str">
        <x:f>IF(ABS(BB7)&lt;0.000000001,"","RECHECK")</x:f>
      </x:c>
      <x:c r="BC6" s="64" t="str">
        <x:f>IF(ABS(BC7)&lt;0.000000001,"","RECHECK")</x:f>
      </x:c>
      <x:c r="BD6" s="64" t="str">
        <x:f>IF(ABS(BD7)&lt;0.000000001,"","RECHECK")</x:f>
      </x:c>
      <x:c r="BE6" s="64" t="str">
        <x:f>IF(ABS(BE7)&lt;0.000000001,"","RECHECK")</x:f>
      </x:c>
      <x:c r="BF6" s="64" t="str">
        <x:f>IF(ABS(BF7)&lt;0.000000001,"","RECHECK")</x:f>
      </x:c>
      <x:c r="BG6" s="64" t="str">
        <x:f>IF(ABS(BG7)&lt;0.000000001,"","RECHECK")</x:f>
      </x:c>
      <x:c r="BH6" s="64" t="str">
        <x:f>IF(ABS(BH7)&lt;0.000000001,"","RECHECK")</x:f>
      </x:c>
      <x:c r="BI6" s="64" t="str">
        <x:f>IF(ABS(BI7)&lt;0.000000001,"","RECHECK")</x:f>
      </x:c>
      <x:c r="BJ6" s="64" t="str">
        <x:f>IF(ABS(BJ7)&lt;0.000000001,"","RECHECK")</x:f>
      </x:c>
      <x:c r="BK6" s="64" t="str">
        <x:f>IF(ABS(BK7)&lt;0.000000001,"","RECHECK")</x:f>
      </x:c>
      <x:c r="BL6" s="64" t="str">
        <x:f>IF(ABS(BL7)&lt;0.000000001,"","RECHECK")</x:f>
      </x:c>
      <x:c r="BM6" s="64" t="str">
        <x:f>IF(ABS(BM7)&lt;0.000000001,"","RECHECK")</x:f>
      </x:c>
      <x:c r="BN6" s="64" t="str">
        <x:f>IF(ABS(BN7)&lt;0.000000001,"","RECHECK")</x:f>
      </x:c>
      <x:c r="BO6" s="64" t="str">
        <x:f>IF(ABS(BO7)&lt;0.000000001,"","RECHECK")</x:f>
      </x:c>
      <x:c r="BP6" s="64" t="str">
        <x:f>IF(ABS(BP7)&lt;0.000000001,"","RECHECK")</x:f>
      </x:c>
      <x:c r="BQ6" s="64" t="str">
        <x:f>IF(ABS(BQ7)&lt;0.000000001,"","RECHECK")</x:f>
      </x:c>
      <x:c r="BR6" s="64" t="str">
        <x:f>IF(ABS(BR7)&lt;0.000000001,"","RECHECK")</x:f>
      </x:c>
      <x:c r="BS6" s="64" t="str">
        <x:f>IF(ABS(BS7)&lt;0.000000001,"","RECHECK")</x:f>
      </x:c>
      <x:c r="BT6" s="64" t="str">
        <x:f>IF(ABS(BT7)&lt;0.000000001,"","RECHECK")</x:f>
      </x:c>
      <x:c r="BU6" s="64" t="str">
        <x:f>IF(ABS(BU7)&lt;0.000000001,"","RECHECK")</x:f>
      </x:c>
      <x:c r="BV6" s="64" t="str">
        <x:f>IF(ABS(BV7)&lt;0.000000001,"","RECHECK")</x:f>
      </x:c>
      <x:c r="BW6" s="64" t="str">
        <x:f>IF(ABS(BW7)&lt;0.000000001,"","RECHECK")</x:f>
      </x:c>
      <x:c r="BX6" s="64" t="str">
        <x:f>IF(ABS(BX7)&lt;0.000000001,"","RECHECK")</x:f>
      </x:c>
      <x:c r="BY6" s="64" t="str">
        <x:f>IF(ABS(BY7)&lt;0.000000001,"","RECHECK")</x:f>
      </x:c>
      <x:c r="BZ6" s="64" t="str">
        <x:f>IF(ABS(BZ7)&lt;0.000000001,"","RECHECK")</x:f>
      </x:c>
      <x:c r="CA6" s="64" t="str">
        <x:f>IF(ABS(CA7)&lt;0.000000001,"","RECHECK")</x:f>
      </x:c>
      <x:c r="CB6" s="64" t="str">
        <x:f>IF(ABS(CB7)&lt;0.000000001,"","RECHECK")</x:f>
      </x:c>
      <x:c r="CC6" s="64" t="str">
        <x:f>IF(ABS(CC7)&lt;0.000000001,"","RECHECK")</x:f>
      </x:c>
      <x:c r="CD6" s="64" t="str">
        <x:f>IF(ABS(CD7)&lt;0.000000001,"","RECHECK")</x:f>
      </x:c>
      <x:c r="CE6" s="64" t="str">
        <x:f>IF(ABS(CE7)&lt;0.000000001,"","RECHECK")</x:f>
      </x:c>
      <x:c r="CF6" s="64" t="str">
        <x:f>IF(ABS(CF7)&lt;0.000000001,"","RECHECK")</x:f>
      </x:c>
      <x:c r="CG6" s="64" t="str">
        <x:f>IF(ABS(CG7)&lt;0.000000001,"","RECHECK")</x:f>
      </x:c>
      <x:c r="CH6" s="64" t="str">
        <x:f>IF(ABS(CH7)&lt;0.000000001,"","RECHECK")</x:f>
      </x:c>
      <x:c r="CI6" s="64" t="str">
        <x:f>IF(ABS(CI7)&lt;0.000000001,"","RECHECK")</x:f>
      </x:c>
      <x:c r="CJ6" s="64" t="str">
        <x:f>IF(ABS(CJ7)&lt;0.000000001,"","RECHECK")</x:f>
      </x:c>
      <x:c r="CK6" s="64" t="str">
        <x:f>IF(ABS(CK7)&lt;0.000000001,"","RECHECK")</x:f>
      </x:c>
      <x:c r="CL6" s="64" t="str">
        <x:f>IF(ABS(CL7)&lt;0.000000001,"","RECHECK")</x:f>
      </x:c>
      <x:c r="CM6" s="64" t="str">
        <x:f>IF(ABS(CM7)&lt;0.000000001,"","RECHECK")</x:f>
      </x:c>
      <x:c r="CN6" s="64" t="str">
        <x:f>IF(ABS(CN7)&lt;0.000000001,"","RECHECK")</x:f>
      </x:c>
      <x:c r="CO6" s="64" t="str">
        <x:f>IF(ABS(CO7)&lt;0.000000001,"","RECHECK")</x:f>
      </x:c>
      <x:c r="CP6" s="64" t="str">
        <x:f>IF(ABS(CP7)&lt;0.000000001,"","RECHECK")</x:f>
      </x:c>
      <x:c r="CQ6" s="64" t="str">
        <x:f>IF(ABS(CQ7)&lt;0.000000001,"","RECHECK")</x:f>
      </x:c>
      <x:c r="CR6" s="64" t="str">
        <x:f>IF(ABS(CR7)&lt;0.000000001,"","RECHECK")</x:f>
      </x:c>
      <x:c r="CS6" s="64" t="str">
        <x:f>IF(ABS(CS7)&lt;0.000000001,"","RECHECK")</x:f>
      </x:c>
      <x:c r="CT6" s="64" t="str">
        <x:f>IF(ABS(CT7)&lt;0.000000001,"","RECHECK")</x:f>
      </x:c>
      <x:c r="CU6" s="64" t="str">
        <x:f>IF(ABS(CU7)&lt;0.000000001,"","RECHECK")</x:f>
      </x:c>
      <x:c r="CV6" s="64" t="str">
        <x:f>IF(ABS(CV7)&lt;0.000000001,"","RECHECK")</x:f>
      </x:c>
      <x:c r="CW6" s="64" t="str">
        <x:f>IF(ABS(CW7)&lt;0.000000001,"","RECHECK")</x:f>
      </x:c>
      <x:c r="CX6" s="64" t="str">
        <x:f>IF(ABS(CX7)&lt;0.000000001,"","RECHECK")</x:f>
      </x:c>
      <x:c r="CY6" s="64" t="str">
        <x:f>IF(ABS(CY7)&lt;0.000000001,"","RECHECK")</x:f>
      </x:c>
      <x:c r="CZ6" s="64" t="str">
        <x:f>IF(ABS(CZ7)&lt;0.000000001,"","RECHECK")</x:f>
      </x:c>
      <x:c r="DA6" s="64" t="str">
        <x:f>IF(ABS(DA7)&lt;0.000000001,"","RECHECK")</x:f>
      </x:c>
      <x:c r="DB6" s="64" t="str">
        <x:f>IF(ABS(DB7)&lt;0.000000001,"","RECHECK")</x:f>
      </x:c>
      <x:c r="DC6" s="64" t="str">
        <x:f>IF(ABS(DC7)&lt;0.000000001,"","RECHECK")</x:f>
      </x:c>
      <x:c r="DD6" s="64" t="str">
        <x:f>IF(ABS(DD7)&lt;0.000000001,"","RECHECK")</x:f>
      </x:c>
      <x:c r="DE6" s="64" t="str">
        <x:f>IF(ABS(DE7)&lt;0.000000001,"","RECHECK")</x:f>
      </x:c>
      <x:c r="DF6" s="64" t="str">
        <x:f>IF(ABS(DF7)&lt;0.000000001,"","RECHECK")</x:f>
      </x:c>
      <x:c r="DG6" s="64" t="str">
        <x:f>IF(ABS(DG7)&lt;0.000000001,"","RECHECK")</x:f>
      </x:c>
      <x:c r="DH6" s="64" t="str">
        <x:f>IF(ABS(DH7)&lt;0.000000001,"","RECHECK")</x:f>
      </x:c>
      <x:c r="DI6" s="64" t="str">
        <x:f>IF(ABS(DI7)&lt;0.000000001,"","RECHECK")</x:f>
      </x:c>
      <x:c r="DJ6" s="64" t="str">
        <x:f>IF(ABS(DJ7)&lt;0.000000001,"","RECHECK")</x:f>
      </x:c>
      <x:c r="DK6" s="64" t="str">
        <x:f>IF(ABS(DK7)&lt;0.000000001,"","RECHECK")</x:f>
      </x:c>
      <x:c r="DL6" s="64" t="str">
        <x:f>IF(ABS(DL7)&lt;0.000000001,"","RECHECK")</x:f>
      </x:c>
      <x:c r="DM6" s="64" t="str">
        <x:f>IF(ABS(DM7)&lt;0.000000001,"","RECHECK")</x:f>
      </x:c>
      <x:c r="DN6" s="64" t="str">
        <x:f>IF(ABS(DN7)&lt;0.000000001,"","RECHECK")</x:f>
      </x:c>
      <x:c r="DO6" s="64" t="str">
        <x:f>IF(ABS(DO7)&lt;0.000000001,"","RECHECK")</x:f>
      </x:c>
      <x:c r="DP6" s="64" t="str">
        <x:f>IF(ABS(DP7)&lt;0.000000001,"","RECHECK")</x:f>
      </x:c>
      <x:c r="DQ6" s="64" t="str">
        <x:f>IF(ABS(DQ7)&lt;0.000000001,"","RECHECK")</x:f>
      </x:c>
      <x:c r="DR6" s="64" t="str">
        <x:f>IF(ABS(DR7)&lt;0.000000001,"","RECHECK")</x:f>
      </x:c>
      <x:c r="DS6" s="64" t="str">
        <x:f>IF(ABS(DS7)&lt;0.000000001,"","RECHECK")</x:f>
      </x:c>
      <x:c r="DT6" s="64" t="str">
        <x:f>IF(ABS(DT7)&lt;0.000000001,"","RECHECK")</x:f>
      </x:c>
      <x:c r="DU6" s="64" t="str">
        <x:f>IF(ABS(DU7)&lt;0.000000001,"","RECHECK")</x:f>
      </x:c>
      <x:c r="DV6" s="64" t="str">
        <x:f>IF(ABS(DV7)&lt;0.000000001,"","RECHECK")</x:f>
      </x:c>
      <x:c r="DW6" s="64" t="str">
        <x:f>IF(ABS(DW7)&lt;0.000000001,"","RECHECK")</x:f>
      </x:c>
      <x:c r="DX6" s="64" t="str">
        <x:f>IF(ABS(DX7)&lt;0.000000001,"","RECHECK")</x:f>
      </x:c>
      <x:c r="DY6" s="64" t="str">
        <x:f>IF(ABS(DY7)&lt;0.000000001,"","RECHECK")</x:f>
      </x:c>
      <x:c r="DZ6" s="64" t="str">
        <x:f>IF(ABS(DZ7)&lt;0.000000001,"","RECHECK")</x:f>
      </x:c>
      <x:c r="EA6" s="64" t="str">
        <x:f>IF(ABS(EA7)&lt;0.000000001,"","RECHECK")</x:f>
      </x:c>
      <x:c r="EB6" s="64" t="str">
        <x:f>IF(ABS(EB7)&lt;0.000000001,"","RECHECK")</x:f>
      </x:c>
      <x:c r="EC6" s="64" t="str">
        <x:f>IF(ABS(EC7)&lt;0.000000001,"","RECHECK")</x:f>
      </x:c>
      <x:c r="ED6" s="64" t="str">
        <x:f>IF(ABS(ED7)&lt;0.000000001,"","RECHECK")</x:f>
      </x:c>
      <x:c r="EE6" s="64" t="str">
        <x:f>IF(ABS(EE7)&lt;0.000000001,"","RECHECK")</x:f>
      </x:c>
      <x:c r="EF6" s="64" t="str">
        <x:f>IF(ABS(EF7)&lt;0.000000001,"","RECHECK")</x:f>
      </x:c>
      <x:c r="EG6" s="64" t="str">
        <x:f>IF(ABS(EG7)&lt;0.000000001,"","RECHECK")</x:f>
      </x:c>
      <x:c r="EH6" s="64" t="str">
        <x:f>IF(ABS(EH7)&lt;0.000000001,"","RECHECK")</x:f>
      </x:c>
      <x:c r="EI6" s="64" t="str">
        <x:f>IF(ABS(EI7)&lt;0.000000001,"","RECHECK")</x:f>
      </x:c>
      <x:c r="EJ6" s="64" t="str">
        <x:f>IF(ABS(EJ7)&lt;0.000000001,"","RECHECK")</x:f>
      </x:c>
      <x:c r="EK6" s="64" t="str">
        <x:f>IF(ABS(EK7)&lt;0.000000001,"","RECHECK")</x:f>
      </x:c>
      <x:c r="EL6" s="64" t="str">
        <x:f>IF(ABS(EL7)&lt;0.000000001,"","RECHECK")</x:f>
      </x:c>
      <x:c r="EM6" s="64" t="str">
        <x:f>IF(ABS(EM7)&lt;0.000000001,"","RECHECK")</x:f>
      </x:c>
      <x:c r="EN6" s="64" t="str">
        <x:f>IF(ABS(EN7)&lt;0.000000001,"","RECHECK")</x:f>
      </x:c>
      <x:c r="EO6" s="64" t="str">
        <x:f>IF(ABS(EO7)&lt;0.000000001,"","RECHECK")</x:f>
      </x:c>
      <x:c r="EP6" s="64" t="str">
        <x:f>IF(ABS(EP7)&lt;0.000000001,"","RECHECK")</x:f>
      </x:c>
      <x:c r="EQ6" s="64" t="str">
        <x:f>IF(ABS(EQ7)&lt;0.000000001,"","RECHECK")</x:f>
      </x:c>
      <x:c r="ER6" s="64" t="str">
        <x:f>IF(ABS(ER7)&lt;0.000000001,"","RECHECK")</x:f>
      </x:c>
      <x:c r="ES6" s="64" t="str">
        <x:f>IF(ABS(ES7)&lt;0.000000001,"","RECHECK")</x:f>
      </x:c>
      <x:c r="ET6" s="64" t="str">
        <x:f>IF(ABS(ET7)&lt;0.000000001,"","RECHECK")</x:f>
      </x:c>
      <x:c r="EU6" s="64" t="str">
        <x:f>IF(ABS(EU7)&lt;0.000000001,"","RECHECK")</x:f>
      </x:c>
      <x:c r="EV6" s="64" t="str">
        <x:f>IF(ABS(EV7)&lt;0.000000001,"","RECHECK")</x:f>
      </x:c>
      <x:c r="EW6" s="64" t="str">
        <x:f>IF(ABS(EW7)&lt;0.000000001,"","RECHECK")</x:f>
      </x:c>
      <x:c r="EX6" s="64" t="str">
        <x:f>IF(ABS(EX7)&lt;0.000000001,"","RECHECK")</x:f>
      </x:c>
      <x:c r="EY6" s="64" t="str">
        <x:f>IF(ABS(EY7)&lt;0.000000001,"","RECHECK")</x:f>
      </x:c>
      <x:c r="EZ6" s="64" t="str">
        <x:f>IF(ABS(EZ7)&lt;0.000000001,"","RECHECK")</x:f>
      </x:c>
      <x:c r="FA6" s="64" t="str">
        <x:f>IF(ABS(FA7)&lt;0.000000001,"","RECHECK")</x:f>
      </x:c>
      <x:c r="FB6" s="64" t="str">
        <x:f>IF(ABS(FB7)&lt;0.000000001,"","RECHECK")</x:f>
      </x:c>
      <x:c r="FC6" s="64" t="str">
        <x:f>IF(ABS(FC7)&lt;0.000000001,"","RECHECK")</x:f>
      </x:c>
      <x:c r="FD6" s="64" t="str">
        <x:f>IF(ABS(FD7)&lt;0.000000001,"","RECHECK")</x:f>
      </x:c>
      <x:c r="FE6" s="64" t="str">
        <x:f>IF(ABS(FE7)&lt;0.000000001,"","RECHECK")</x:f>
      </x:c>
      <x:c r="FF6" s="64" t="str">
        <x:f>IF(ABS(FF7)&lt;0.000000001,"","RECHECK")</x:f>
      </x:c>
      <x:c r="FG6" s="64" t="str">
        <x:f>IF(ABS(FG7)&lt;0.000000001,"","RECHECK")</x:f>
      </x:c>
      <x:c r="FH6" s="64" t="str">
        <x:f>IF(ABS(FH7)&lt;0.000000001,"","RECHECK")</x:f>
      </x:c>
      <x:c r="FI6" s="64" t="str">
        <x:f>IF(ABS(FI7)&lt;0.000000001,"","RECHECK")</x:f>
      </x:c>
      <x:c r="FJ6" s="64" t="str">
        <x:f>IF(ABS(FJ7)&lt;0.000000001,"","RECHECK")</x:f>
      </x:c>
      <x:c r="FK6" s="64" t="str">
        <x:f>IF(ABS(FK7)&lt;0.000000001,"","RECHECK")</x:f>
      </x:c>
      <x:c r="FL6" s="64" t="str">
        <x:f>IF(ABS(FL7)&lt;0.000000001,"","RECHECK")</x:f>
      </x:c>
      <x:c r="FM6" s="64" t="str">
        <x:f>IF(ABS(FM7)&lt;0.000000001,"","RECHECK")</x:f>
      </x:c>
      <x:c r="FN6" s="64" t="str">
        <x:f>IF(ABS(FN7)&lt;0.000000001,"","RECHECK")</x:f>
      </x:c>
      <x:c r="FO6" s="64" t="str">
        <x:f>IF(ABS(FO7)&lt;0.000000001,"","RECHECK")</x:f>
      </x:c>
      <x:c r="FP6" s="64" t="str">
        <x:f>IF(ABS(FP7)&lt;0.000000001,"","RECHECK")</x:f>
      </x:c>
      <x:c r="FQ6" s="64" t="str">
        <x:f>IF(ABS(FQ7)&lt;0.000000001,"","RECHECK")</x:f>
      </x:c>
      <x:c r="FR6" s="64" t="str">
        <x:f>IF(ABS(FR7)&lt;0.000000001,"","RECHECK")</x:f>
      </x:c>
      <x:c r="FS6" s="64" t="str">
        <x:f>IF(ABS(FS7)&lt;0.000000001,"","RECHECK")</x:f>
      </x:c>
      <x:c r="FT6" s="64" t="str">
        <x:f>IF(ABS(FT7)&lt;0.000000001,"","RECHECK")</x:f>
      </x:c>
      <x:c r="FU6" s="64" t="str">
        <x:f>IF(ABS(FU7)&lt;0.000000001,"","RECHECK")</x:f>
      </x:c>
      <x:c r="FV6" s="64" t="str">
        <x:f>IF(ABS(FV7)&lt;0.000000001,"","RECHECK")</x:f>
      </x:c>
      <x:c r="FW6" s="64" t="str">
        <x:f>IF(ABS(FW7)&lt;0.000000001,"","RECHECK")</x:f>
      </x:c>
      <x:c r="FX6" s="64" t="str">
        <x:f>IF(ABS(FX7)&lt;0.000000001,"","RECHECK")</x:f>
      </x:c>
      <x:c r="FY6" s="64" t="str">
        <x:f>IF(ABS(FY7)&lt;0.000000001,"","RECHECK")</x:f>
      </x:c>
      <x:c r="FZ6" s="64" t="str">
        <x:f>IF(ABS(FZ7)&lt;0.000000001,"","RECHECK")</x:f>
      </x:c>
      <x:c r="GA6" s="64" t="str">
        <x:f>IF(ABS(GA7)&lt;0.000000001,"","RECHECK")</x:f>
      </x:c>
    </x:row>
    <x:row r="7" s="53" customFormat="1" ht="14.25" customHeight="1">
      <x:c r="A7" s="54" t="n"/>
      <x:c r="B7" s="593" t="n"/>
      <x:c r="C7" s="634" t="n"/>
      <x:c r="D7" s="634" t="n"/>
      <x:c r="E7" s="634" t="n"/>
      <x:c r="F7" s="635" t="n"/>
      <x:c r="G7" s="638" t="n">
        <x:f>SUBTOTAL(9,G10:G206)</x:f>
        <x:v>1</x:v>
      </x:c>
      <x:c r="H7" s="638" t="n">
        <x:f>SUBTOTAL(9,H10:H206)</x:f>
        <x:v>0</x:v>
      </x:c>
      <x:c r="I7" s="638" t="n">
        <x:f>SUBTOTAL(9,I10:I206)</x:f>
        <x:v>0</x:v>
      </x:c>
      <x:c r="J7" s="638" t="n">
        <x:f>SUBTOTAL(9,J10:J205)</x:f>
        <x:v>0</x:v>
      </x:c>
      <x:c r="K7" s="638" t="n">
        <x:f>SUBTOTAL(9,K10:K205)</x:f>
        <x:v>0</x:v>
      </x:c>
      <x:c r="L7" s="638" t="n">
        <x:f>SUBTOTAL(9,L10:L205)</x:f>
        <x:v>0</x:v>
      </x:c>
      <x:c r="M7" s="638" t="n">
        <x:f>SUBTOTAL(9,M10:M205)</x:f>
        <x:v>6.938893903907228e-18</x:v>
      </x:c>
      <x:c r="N7" s="638" t="n">
        <x:f>SUBTOTAL(9,N10:N205)</x:f>
        <x:v>6.938893903907228e-18</x:v>
      </x:c>
      <x:c r="O7" s="638" t="n">
        <x:f>SUBTOTAL(9,O10:O205)</x:f>
        <x:v>6.938893903907228e-18</x:v>
      </x:c>
      <x:c r="P7" s="638" t="n">
        <x:f>SUBTOTAL(9,P10:P205)</x:f>
        <x:v>6.938893903907228e-18</x:v>
      </x:c>
      <x:c r="Q7" s="638" t="n">
        <x:f>SUBTOTAL(9,Q10:Q206)</x:f>
        <x:v>6.938893903907228e-18</x:v>
      </x:c>
      <x:c r="R7" s="638" t="n">
        <x:f>SUBTOTAL(9,R10:R205)</x:f>
        <x:v>6.938893903907228e-18</x:v>
      </x:c>
      <x:c r="S7" s="638" t="n">
        <x:f>SUBTOTAL(9,S10:S205)</x:f>
        <x:v>6.938893903907228e-18</x:v>
      </x:c>
      <x:c r="T7" s="638" t="n">
        <x:f>SUBTOTAL(9,T10:T205)</x:f>
        <x:v>6.938893903907228e-18</x:v>
      </x:c>
      <x:c r="U7" s="638" t="n">
        <x:f>SUBTOTAL(9,U10:U205)</x:f>
        <x:v>0</x:v>
      </x:c>
      <x:c r="V7" s="638" t="n">
        <x:f>SUBTOTAL(9,V10:V205)</x:f>
        <x:v>0</x:v>
      </x:c>
      <x:c r="W7" s="638" t="n">
        <x:f>SUBTOTAL(9,W10:W205)</x:f>
        <x:v>0</x:v>
      </x:c>
      <x:c r="X7" s="638" t="n">
        <x:f>SUBTOTAL(9,X10:X205)</x:f>
        <x:v>0</x:v>
      </x:c>
      <x:c r="Y7" s="638" t="n">
        <x:f>SUBTOTAL(9,Y10:Y205)</x:f>
        <x:v>0</x:v>
      </x:c>
      <x:c r="Z7" s="638" t="n">
        <x:f>SUBTOTAL(9,Z10:Z206)</x:f>
        <x:v>0</x:v>
      </x:c>
      <x:c r="AA7" s="638" t="n">
        <x:f>SUBTOTAL(9,AA10:AA206)</x:f>
        <x:v>0</x:v>
      </x:c>
      <x:c r="AB7" s="638" t="n">
        <x:f>SUBTOTAL(9,AB10:AB206)</x:f>
        <x:v>0</x:v>
      </x:c>
      <x:c r="AC7" s="638" t="n">
        <x:f>SUBTOTAL(9,AC10:AC206)</x:f>
        <x:v>0</x:v>
      </x:c>
      <x:c r="AD7" s="638" t="n">
        <x:f>SUBTOTAL(9,AD10:AD206)</x:f>
        <x:v>-4.5449887820306345e-10</x:v>
      </x:c>
      <x:c r="AE7" s="638" t="n">
        <x:f>SUBTOTAL(9,AE10:AE206)</x:f>
        <x:v>0</x:v>
      </x:c>
      <x:c r="AF7" s="638" t="n">
        <x:f>SUBTOTAL(9,AF10:AF206)</x:f>
        <x:v>0</x:v>
      </x:c>
      <x:c r="AG7" s="638" t="n">
        <x:f>SUBTOTAL(9,AG10:AG205)</x:f>
        <x:v>0</x:v>
      </x:c>
      <x:c r="AH7" s="638" t="n">
        <x:f>SUBTOTAL(9,AH10:AH206)</x:f>
        <x:v>0</x:v>
      </x:c>
      <x:c r="AI7" s="638" t="n">
        <x:f>SUBTOTAL(9,AI10:AI205)</x:f>
        <x:v>0</x:v>
      </x:c>
      <x:c r="AJ7" s="638" t="n">
        <x:f>SUBTOTAL(9,AJ10:AJ205)</x:f>
        <x:v>0</x:v>
      </x:c>
      <x:c r="AK7" s="638" t="n">
        <x:f>SUBTOTAL(9,AK10:AK205)</x:f>
        <x:v>0</x:v>
      </x:c>
      <x:c r="AL7" s="638" t="n">
        <x:f>SUBTOTAL(9,AL10:AL205)</x:f>
        <x:v>0</x:v>
      </x:c>
      <x:c r="AM7" s="638" t="n">
        <x:f>SUBTOTAL(9,AM10:AM205)</x:f>
        <x:v>0</x:v>
      </x:c>
      <x:c r="AN7" s="638" t="n">
        <x:f>SUBTOTAL(9,AN10:AN205)</x:f>
        <x:v>0</x:v>
      </x:c>
      <x:c r="AO7" s="638" t="n">
        <x:f>SUBTOTAL(9,AO10:AO205)</x:f>
        <x:v>0</x:v>
      </x:c>
      <x:c r="AP7" s="638" t="n">
        <x:f>SUBTOTAL(9,AP10:AP205)</x:f>
        <x:v>0</x:v>
      </x:c>
      <x:c r="AQ7" s="638" t="n">
        <x:f>SUBTOTAL(9,AQ10:AQ205)</x:f>
        <x:v>0</x:v>
      </x:c>
      <x:c r="AR7" s="638" t="n">
        <x:f>SUBTOTAL(9,AR10:AR205)</x:f>
        <x:v>0</x:v>
      </x:c>
      <x:c r="AS7" s="638" t="n">
        <x:f>SUBTOTAL(9,AS10:AS205)</x:f>
        <x:v>4.336808689942018e-19</x:v>
      </x:c>
      <x:c r="AT7" s="638" t="n">
        <x:f>SUBTOTAL(9,AT10:AT205)</x:f>
        <x:v>0</x:v>
      </x:c>
      <x:c r="AU7" s="638" t="n">
        <x:f>SUBTOTAL(9,AU10:AU205)</x:f>
        <x:v>0</x:v>
      </x:c>
      <x:c r="AV7" s="638" t="n">
        <x:f>SUBTOTAL(9,AV10:AV205)</x:f>
        <x:v>0</x:v>
      </x:c>
      <x:c r="AW7" s="638" t="n">
        <x:f>SUBTOTAL(9,AW10:AW205)</x:f>
        <x:v>0</x:v>
      </x:c>
      <x:c r="AX7" s="638" t="n">
        <x:f>SUBTOTAL(9,AX10:AX205)</x:f>
        <x:v>0</x:v>
      </x:c>
      <x:c r="AY7" s="638" t="n">
        <x:f>SUBTOTAL(9,AY10:AY205)</x:f>
        <x:v>0</x:v>
      </x:c>
      <x:c r="AZ7" s="638" t="n">
        <x:f>SUBTOTAL(9,AZ10:AZ205)</x:f>
        <x:v>0</x:v>
      </x:c>
      <x:c r="BA7" s="638" t="n">
        <x:f>SUBTOTAL(9,BA10:BA205)</x:f>
        <x:v>0</x:v>
      </x:c>
      <x:c r="BB7" s="638" t="n">
        <x:f>SUBTOTAL(9,BB10:BB205)</x:f>
        <x:v>0</x:v>
      </x:c>
      <x:c r="BC7" s="638" t="n">
        <x:f>SUBTOTAL(9,BC10:BC205)</x:f>
        <x:v>0</x:v>
      </x:c>
      <x:c r="BD7" s="638" t="n">
        <x:f>SUBTOTAL(9,BD10:BD205)</x:f>
        <x:v>4.163336342344337e-17</x:v>
      </x:c>
      <x:c r="BE7" s="638" t="n">
        <x:f>SUBTOTAL(9,BE10:BE205)</x:f>
        <x:v>0</x:v>
      </x:c>
      <x:c r="BF7" s="638" t="n">
        <x:f>SUBTOTAL(9,BF10:BF205)</x:f>
        <x:v>0</x:v>
      </x:c>
      <x:c r="BG7" s="638" t="n">
        <x:f>SUBTOTAL(9,BG10:BG205)</x:f>
        <x:v>0</x:v>
      </x:c>
      <x:c r="BH7" s="638" t="n">
        <x:f>SUBTOTAL(9,BH10:BH205)</x:f>
        <x:v>0</x:v>
      </x:c>
      <x:c r="BI7" s="638" t="n">
        <x:f>SUBTOTAL(9,BI10:BI205)</x:f>
        <x:v>0</x:v>
      </x:c>
      <x:c r="BJ7" s="638" t="n">
        <x:f>SUBTOTAL(9,BJ10:BJ205)</x:f>
        <x:v>0</x:v>
      </x:c>
      <x:c r="BK7" s="638" t="n">
        <x:f>SUBTOTAL(9,BK10:BK205)</x:f>
        <x:v>0</x:v>
      </x:c>
      <x:c r="BL7" s="638" t="n">
        <x:f>SUBTOTAL(9,BL10:BL205)</x:f>
        <x:v>0</x:v>
      </x:c>
      <x:c r="BM7" s="638" t="n">
        <x:f>SUBTOTAL(9,BM10:BM205)</x:f>
        <x:v>0</x:v>
      </x:c>
      <x:c r="BN7" s="638" t="n">
        <x:f>SUBTOTAL(9,BN10:BN205)</x:f>
        <x:v>0</x:v>
      </x:c>
      <x:c r="BO7" s="638" t="n">
        <x:f>SUBTOTAL(9,BO10:BO205)</x:f>
        <x:v>0</x:v>
      </x:c>
      <x:c r="BP7" s="638" t="n">
        <x:f>SUBTOTAL(9,BP10:BP205)</x:f>
        <x:v>0</x:v>
      </x:c>
      <x:c r="BQ7" s="638" t="n">
        <x:f>SUBTOTAL(9,BQ10:BQ205)</x:f>
        <x:v>0</x:v>
      </x:c>
      <x:c r="BR7" s="638" t="n">
        <x:f>SUBTOTAL(9,BR10:BR205)</x:f>
        <x:v>0</x:v>
      </x:c>
      <x:c r="BS7" s="638" t="n">
        <x:f>SUBTOTAL(9,BS10:BS205)</x:f>
        <x:v>0</x:v>
      </x:c>
      <x:c r="BT7" s="638" t="n">
        <x:f>SUBTOTAL(9,BT10:BT205)</x:f>
        <x:v>0</x:v>
      </x:c>
      <x:c r="BU7" s="638" t="n">
        <x:f>SUBTOTAL(9,BU10:BU205)</x:f>
        <x:v>0</x:v>
      </x:c>
      <x:c r="BV7" s="638" t="n">
        <x:f>SUBTOTAL(9,BV10:BV205)</x:f>
        <x:v>0</x:v>
      </x:c>
      <x:c r="BW7" s="638" t="n">
        <x:f>SUBTOTAL(9,BW10:BW205)</x:f>
        <x:v>0</x:v>
      </x:c>
      <x:c r="BX7" s="638" t="n">
        <x:f>SUBTOTAL(9,BX10:BX205)</x:f>
        <x:v>0</x:v>
      </x:c>
      <x:c r="BY7" s="638" t="n">
        <x:f>SUBTOTAL(9,BY10:BY205)</x:f>
        <x:v>0</x:v>
      </x:c>
      <x:c r="BZ7" s="638" t="n">
        <x:f>SUBTOTAL(9,BZ10:BZ205)</x:f>
        <x:v>0</x:v>
      </x:c>
      <x:c r="CA7" s="638" t="n">
        <x:f>SUBTOTAL(9,CA10:CA205)</x:f>
        <x:v>0</x:v>
      </x:c>
      <x:c r="CB7" s="638" t="n">
        <x:f>SUBTOTAL(9,CB10:CB205)</x:f>
        <x:v>0</x:v>
      </x:c>
      <x:c r="CC7" s="638" t="n">
        <x:f>SUBTOTAL(9,CC10:CC205)</x:f>
        <x:v>0</x:v>
      </x:c>
      <x:c r="CD7" s="638" t="n">
        <x:f>SUBTOTAL(9,CD10:CD205)</x:f>
        <x:v>0</x:v>
      </x:c>
      <x:c r="CE7" s="638" t="n">
        <x:f>SUBTOTAL(9,CE10:CE205)</x:f>
        <x:v>0</x:v>
      </x:c>
      <x:c r="CF7" s="638" t="n">
        <x:f>SUBTOTAL(9,CF10:CF205)</x:f>
        <x:v>0</x:v>
      </x:c>
      <x:c r="CG7" s="638" t="n">
        <x:f>SUBTOTAL(9,CG10:CG205)</x:f>
        <x:v>0</x:v>
      </x:c>
      <x:c r="CH7" s="638" t="n">
        <x:f>SUBTOTAL(9,CH10:CH205)</x:f>
        <x:v>0</x:v>
      </x:c>
      <x:c r="CI7" s="638" t="n">
        <x:f>SUBTOTAL(9,CI10:CI205)</x:f>
        <x:v>0</x:v>
      </x:c>
      <x:c r="CJ7" s="638" t="n">
        <x:f>SUBTOTAL(9,CJ10:CJ205)</x:f>
        <x:v>0</x:v>
      </x:c>
      <x:c r="CK7" s="638" t="n">
        <x:f>SUBTOTAL(9,CK10:CK205)</x:f>
        <x:v>0</x:v>
      </x:c>
      <x:c r="CL7" s="638" t="n">
        <x:f>SUBTOTAL(9,CL10:CL205)</x:f>
        <x:v>0</x:v>
      </x:c>
      <x:c r="CM7" s="638" t="n">
        <x:f>SUBTOTAL(9,CM10:CM205)</x:f>
        <x:v>-2.168404344971009e-18</x:v>
      </x:c>
      <x:c r="CN7" s="638" t="n">
        <x:f>SUBTOTAL(9,CN10:CN205)</x:f>
        <x:v>0</x:v>
      </x:c>
      <x:c r="CO7" s="638" t="n">
        <x:f>SUBTOTAL(9,CO10:CO205)</x:f>
        <x:v>0</x:v>
      </x:c>
      <x:c r="CP7" s="638" t="n">
        <x:f>SUBTOTAL(9,CP10:CP205)</x:f>
        <x:v>8.673617379884035e-19</x:v>
      </x:c>
      <x:c r="CQ7" s="638" t="n">
        <x:f>SUBTOTAL(9,CQ10:CQ205)</x:f>
        <x:v>0</x:v>
      </x:c>
      <x:c r="CR7" s="638" t="n">
        <x:f>SUBTOTAL(9,CR10:CR205)</x:f>
        <x:v>0</x:v>
      </x:c>
      <x:c r="CS7" s="638" t="n">
        <x:f>SUBTOTAL(9,CS10:CS205)</x:f>
        <x:v>0</x:v>
      </x:c>
      <x:c r="CT7" s="638" t="n">
        <x:f>SUBTOTAL(9,CT10:CT205)</x:f>
        <x:v>0</x:v>
      </x:c>
      <x:c r="CU7" s="638" t="n">
        <x:f>SUBTOTAL(9,CU10:CU205)</x:f>
        <x:v>0</x:v>
      </x:c>
      <x:c r="CV7" s="638" t="n">
        <x:f>SUBTOTAL(9,CV10:CV205)</x:f>
        <x:v>0</x:v>
      </x:c>
      <x:c r="CW7" s="638" t="n">
        <x:f>SUBTOTAL(9,CW10:CW205)</x:f>
        <x:v>0</x:v>
      </x:c>
      <x:c r="CX7" s="638" t="n">
        <x:f>SUBTOTAL(9,CX10:CX205)</x:f>
        <x:v>0</x:v>
      </x:c>
      <x:c r="CY7" s="638" t="n">
        <x:f>SUBTOTAL(9,CY10:CY205)</x:f>
        <x:v>0</x:v>
      </x:c>
      <x:c r="CZ7" s="638" t="n">
        <x:f>SUBTOTAL(9,CZ10:CZ205)</x:f>
        <x:v>0</x:v>
      </x:c>
      <x:c r="DA7" s="638" t="n">
        <x:f>SUBTOTAL(9,DA10:DA205)</x:f>
        <x:v>0</x:v>
      </x:c>
      <x:c r="DB7" s="638" t="n">
        <x:f>SUBTOTAL(9,DB10:DB205)</x:f>
        <x:v>0</x:v>
      </x:c>
      <x:c r="DC7" s="638" t="n">
        <x:f>SUBTOTAL(9,DC10:DC205)</x:f>
        <x:v>-2.0816681711721685e-17</x:v>
      </x:c>
      <x:c r="DD7" s="638" t="n">
        <x:f>SUBTOTAL(9,DD10:DD205)</x:f>
        <x:v>0</x:v>
      </x:c>
      <x:c r="DE7" s="638" t="n">
        <x:f>SUBTOTAL(9,DE10:DE205)</x:f>
        <x:v>0</x:v>
      </x:c>
      <x:c r="DF7" s="638" t="n">
        <x:f>SUBTOTAL(9,DF10:DF205)</x:f>
        <x:v>0</x:v>
      </x:c>
      <x:c r="DG7" s="638" t="n">
        <x:f>SUBTOTAL(9,DG10:DG205)</x:f>
        <x:v>0</x:v>
      </x:c>
      <x:c r="DH7" s="638" t="n">
        <x:f>SUBTOTAL(9,DH10:DH205)</x:f>
        <x:v>-6.938893903907228e-18</x:v>
      </x:c>
      <x:c r="DI7" s="638" t="n">
        <x:f>SUBTOTAL(9,DI10:DI205)</x:f>
        <x:v>0</x:v>
      </x:c>
      <x:c r="DJ7" s="638" t="n">
        <x:f>SUBTOTAL(9,DJ10:DJ205)</x:f>
        <x:v>0</x:v>
      </x:c>
      <x:c r="DK7" s="638" t="n">
        <x:f>SUBTOTAL(9,DK10:DK205)</x:f>
        <x:v>0</x:v>
      </x:c>
      <x:c r="DL7" s="638" t="n">
        <x:f>SUBTOTAL(9,DL10:DL205)</x:f>
        <x:v>0</x:v>
      </x:c>
      <x:c r="DM7" s="638" t="n">
        <x:f>SUBTOTAL(9,DM10:DM205)</x:f>
        <x:v>0</x:v>
      </x:c>
      <x:c r="DN7" s="638" t="n">
        <x:f>SUBTOTAL(9,DN10:DN205)</x:f>
        <x:v>0</x:v>
      </x:c>
      <x:c r="DO7" s="638" t="n">
        <x:f>SUBTOTAL(9,DO10:DO205)</x:f>
        <x:v>0</x:v>
      </x:c>
      <x:c r="DP7" s="638" t="n">
        <x:f>SUBTOTAL(9,DP10:DP205)</x:f>
        <x:v>0</x:v>
      </x:c>
      <x:c r="DQ7" s="638" t="n">
        <x:f>SUBTOTAL(9,DQ10:DQ205)</x:f>
        <x:v>0</x:v>
      </x:c>
      <x:c r="DR7" s="638" t="n">
        <x:f>SUBTOTAL(9,DR10:DR205)</x:f>
        <x:v>-6.245004513516506e-17</x:v>
      </x:c>
      <x:c r="DS7" s="638" t="n">
        <x:f>SUBTOTAL(9,DS10:DS205)</x:f>
        <x:v>0</x:v>
      </x:c>
      <x:c r="DT7" s="638" t="n">
        <x:f>SUBTOTAL(9,DT10:DT205)</x:f>
        <x:v>-1.3877787807814457e-17</x:v>
      </x:c>
      <x:c r="DU7" s="638" t="n">
        <x:f>SUBTOTAL(9,DU10:DU205)</x:f>
        <x:v>0</x:v>
      </x:c>
      <x:c r="DV7" s="638" t="n">
        <x:f>SUBTOTAL(9,DV10:DV205)</x:f>
        <x:v>0</x:v>
      </x:c>
      <x:c r="DW7" s="638" t="n">
        <x:f>SUBTOTAL(9,DW10:DW205)</x:f>
        <x:v>0</x:v>
      </x:c>
      <x:c r="DX7" s="638" t="n">
        <x:f>SUBTOTAL(9,DX10:DX205)</x:f>
        <x:v>0</x:v>
      </x:c>
      <x:c r="DY7" s="638" t="n">
        <x:f>SUBTOTAL(9,DY10:DY205)</x:f>
        <x:v>0</x:v>
      </x:c>
      <x:c r="DZ7" s="638" t="n">
        <x:f>SUBTOTAL(9,DZ10:DZ205)</x:f>
        <x:v>0</x:v>
      </x:c>
      <x:c r="EA7" s="638" t="n">
        <x:f>SUBTOTAL(9,EA10:EA205)</x:f>
        <x:v>3.9898639947466563e-17</x:v>
      </x:c>
      <x:c r="EB7" s="638" t="n">
        <x:f>SUBTOTAL(9,EB10:EB205)</x:f>
        <x:v>0</x:v>
      </x:c>
      <x:c r="EC7" s="638" t="n">
        <x:f>SUBTOTAL(9,EC10:EC205)</x:f>
        <x:v>-5.811323644522304e-16</x:v>
      </x:c>
      <x:c r="ED7" s="638" t="n">
        <x:f>SUBTOTAL(9,ED10:ED205)</x:f>
        <x:v>8.673617379884035e-19</x:v>
      </x:c>
      <x:c r="EE7" s="638" t="n">
        <x:f>SUBTOTAL(9,EE10:EE205)</x:f>
        <x:v>0</x:v>
      </x:c>
      <x:c r="EF7" s="638" t="n">
        <x:f>SUBTOTAL(9,EF10:EF205)</x:f>
        <x:v>0</x:v>
      </x:c>
      <x:c r="EG7" s="638" t="n">
        <x:f>SUBTOTAL(9,EG10:EG205)</x:f>
        <x:v>0</x:v>
      </x:c>
      <x:c r="EH7" s="638" t="n">
        <x:f>SUBTOTAL(9,EH10:EH205)</x:f>
        <x:v>0</x:v>
      </x:c>
      <x:c r="EI7" s="638" t="n">
        <x:f>SUBTOTAL(9,EI10:EI205)</x:f>
        <x:v>0</x:v>
      </x:c>
      <x:c r="EJ7" s="638" t="n">
        <x:f>SUBTOTAL(9,EJ10:EJ205)</x:f>
        <x:v>1.0842021724855044e-19</x:v>
      </x:c>
      <x:c r="EK7" s="638" t="n">
        <x:f>SUBTOTAL(9,EK10:EK205)</x:f>
        <x:v>0</x:v>
      </x:c>
      <x:c r="EL7" s="638" t="n">
        <x:f>SUBTOTAL(9,EL10:EL205)</x:f>
        <x:v>0</x:v>
      </x:c>
      <x:c r="EM7" s="638" t="n">
        <x:f>SUBTOTAL(9,EM10:EM205)</x:f>
        <x:v>0</x:v>
      </x:c>
      <x:c r="EN7" s="638" t="n">
        <x:f>SUBTOTAL(9,EN10:EN205)</x:f>
        <x:v>0</x:v>
      </x:c>
      <x:c r="EO7" s="638" t="n">
        <x:f>SUBTOTAL(9,EO10:EO205)</x:f>
        <x:v>0</x:v>
      </x:c>
      <x:c r="EP7" s="638" t="n">
        <x:f>SUBTOTAL(9,EP10:EP205)</x:f>
        <x:v>0</x:v>
      </x:c>
      <x:c r="EQ7" s="638" t="n">
        <x:f>SUBTOTAL(9,EQ10:EQ205)</x:f>
        <x:v>3.9898639947466563e-17</x:v>
      </x:c>
      <x:c r="ER7" s="638" t="n">
        <x:f>SUBTOTAL(9,ER10:ER205)</x:f>
        <x:v>0</x:v>
      </x:c>
      <x:c r="ES7" s="638" t="n">
        <x:f>SUBTOTAL(9,ES10:ES205)</x:f>
        <x:v>0</x:v>
      </x:c>
      <x:c r="ET7" s="638" t="n">
        <x:f>SUBTOTAL(9,ET10:ET205)</x:f>
        <x:v>0</x:v>
      </x:c>
      <x:c r="EU7" s="638" t="n">
        <x:f>SUBTOTAL(9,EU10:EU205)</x:f>
        <x:v>0</x:v>
      </x:c>
      <x:c r="EV7" s="638" t="n">
        <x:f>SUBTOTAL(9,EV10:EV205)</x:f>
        <x:v>0</x:v>
      </x:c>
      <x:c r="EW7" s="638" t="n">
        <x:f>SUBTOTAL(9,EW10:EW205)</x:f>
        <x:v>0</x:v>
      </x:c>
      <x:c r="EX7" s="638" t="n">
        <x:f>SUBTOTAL(9,EX10:EX205)</x:f>
        <x:v>-1.734723475976807e-18</x:v>
      </x:c>
      <x:c r="EY7" s="638" t="n">
        <x:f>SUBTOTAL(9,EY10:EY205)</x:f>
        <x:v>0</x:v>
      </x:c>
      <x:c r="EZ7" s="638" t="n">
        <x:f>SUBTOTAL(9,EZ10:EZ205)</x:f>
        <x:v>0</x:v>
      </x:c>
      <x:c r="FA7" s="637" t="n">
        <x:f>SUBTOTAL(9,FA10:FA205)</x:f>
        <x:v>0</x:v>
      </x:c>
      <x:c r="FB7" s="637" t="n">
        <x:f>SUBTOTAL(9,FB10:FB205)</x:f>
        <x:v>0</x:v>
      </x:c>
      <x:c r="FC7" s="637" t="n">
        <x:f>SUBTOTAL(9,FC10:FC205)</x:f>
        <x:v>0</x:v>
      </x:c>
      <x:c r="FD7" s="637" t="n">
        <x:f>SUBTOTAL(9,FD10:FD205)</x:f>
        <x:v>0</x:v>
      </x:c>
      <x:c r="FE7" s="637" t="n">
        <x:f>SUBTOTAL(9,FE10:FE205)</x:f>
        <x:v>0</x:v>
      </x:c>
      <x:c r="FF7" s="637" t="n">
        <x:f>SUBTOTAL(9,FF10:FF205)</x:f>
        <x:v>0</x:v>
      </x:c>
      <x:c r="FG7" s="637" t="n">
        <x:f>SUBTOTAL(9,FG10:FG205)</x:f>
        <x:v>0</x:v>
      </x:c>
      <x:c r="FH7" s="637" t="n">
        <x:f>SUBTOTAL(9,FH10:FH205)</x:f>
        <x:v>0</x:v>
      </x:c>
      <x:c r="FI7" s="637" t="n">
        <x:f>SUBTOTAL(9,FI10:FI205)</x:f>
        <x:v>0</x:v>
      </x:c>
      <x:c r="FJ7" s="637" t="n">
        <x:f>SUBTOTAL(9,FJ10:FJ205)</x:f>
        <x:v>0</x:v>
      </x:c>
      <x:c r="FK7" s="637" t="n">
        <x:f>SUBTOTAL(9,FK10:FK205)</x:f>
        <x:v>0</x:v>
      </x:c>
      <x:c r="FL7" s="637" t="n">
        <x:f>SUBTOTAL(9,FL10:FL205)</x:f>
        <x:v>0</x:v>
      </x:c>
      <x:c r="FM7" s="637" t="n">
        <x:f>SUBTOTAL(9,FM10:FM205)</x:f>
        <x:v>0</x:v>
      </x:c>
      <x:c r="FN7" s="637" t="n">
        <x:f>SUBTOTAL(9,FN10:FN205)</x:f>
        <x:v>0</x:v>
      </x:c>
      <x:c r="FO7" s="637" t="n">
        <x:f>SUBTOTAL(9,FO10:FO205)</x:f>
        <x:v>0</x:v>
      </x:c>
      <x:c r="FP7" s="637" t="n">
        <x:f>SUBTOTAL(9,FP10:FP205)</x:f>
        <x:v>0</x:v>
      </x:c>
      <x:c r="FQ7" s="637" t="n">
        <x:f>SUBTOTAL(9,FQ10:FQ205)</x:f>
        <x:v>0</x:v>
      </x:c>
      <x:c r="FR7" s="637" t="n">
        <x:f>SUBTOTAL(9,FR10:FR205)</x:f>
        <x:v>0</x:v>
      </x:c>
      <x:c r="FS7" s="637" t="n">
        <x:f>SUBTOTAL(9,FS10:FS205)</x:f>
        <x:v>0</x:v>
      </x:c>
      <x:c r="FT7" s="637" t="n">
        <x:f>SUBTOTAL(9,FT10:FT205)</x:f>
        <x:v>0</x:v>
      </x:c>
      <x:c r="FU7" s="637" t="n">
        <x:f>SUBTOTAL(9,FU10:FU205)</x:f>
        <x:v>0</x:v>
      </x:c>
      <x:c r="FV7" s="637" t="n">
        <x:f>SUBTOTAL(9,FV10:FV205)</x:f>
        <x:v>0</x:v>
      </x:c>
      <x:c r="FW7" s="637" t="n">
        <x:f>SUBTOTAL(9,FW10:FW205)</x:f>
        <x:v>0</x:v>
      </x:c>
      <x:c r="FX7" s="637" t="n">
        <x:f>SUBTOTAL(9,FX10:FX205)</x:f>
        <x:v>0</x:v>
      </x:c>
      <x:c r="FY7" s="637" t="n">
        <x:f>SUBTOTAL(9,FY10:FY205)</x:f>
        <x:v>0</x:v>
      </x:c>
      <x:c r="FZ7" s="637" t="n">
        <x:f>SUBTOTAL(9,FZ10:FZ205)</x:f>
        <x:v>0</x:v>
      </x:c>
      <x:c r="GA7" s="637" t="n">
        <x:f>SUBTOTAL(9,GA10:GA205)</x:f>
        <x:v>0</x:v>
      </x:c>
    </x:row>
    <x:row r="8" s="26" customFormat="1" ht="14.25" customHeight="1">
      <x:c r="A8" s="52" t="inlineStr">
        <x:is>
          <x:t xml:space="preserve">NOTES</x:t>
        </x:is>
      </x:c>
      <x:c r="B8" s="639" t="n"/>
      <x:c r="C8" s="51" t="inlineStr">
        <x:is>
          <x:t xml:space="preserve">NET ACRES</x:t>
        </x:is>
      </x:c>
      <x:c r="D8" s="50" t="inlineStr">
        <x:is>
          <x:t xml:space="preserve">OWNERS</x:t>
        </x:is>
      </x:c>
      <x:c r="E8" s="49" t="inlineStr">
        <x:is>
          <x:t xml:space="preserve">TOTAL </x:t>
        </x:is>
      </x:c>
      <x:c r="F8" s="640" t="n"/>
      <x:c r="G8" s="642" t="n"/>
      <x:c r="H8" s="642" t="n"/>
      <x:c r="I8" s="642" t="n"/>
      <x:c r="J8" s="642" t="n"/>
      <x:c r="K8" s="642" t="n"/>
      <x:c r="L8" s="642" t="n"/>
      <x:c r="M8" s="642" t="n"/>
      <x:c r="N8" s="642" t="n"/>
      <x:c r="O8" s="642" t="n"/>
      <x:c r="P8" s="642" t="n"/>
      <x:c r="Q8" s="642" t="n"/>
      <x:c r="R8" s="642" t="n"/>
      <x:c r="S8" s="642" t="n"/>
      <x:c r="T8" s="642" t="n"/>
      <x:c r="U8" s="642" t="n"/>
      <x:c r="V8" s="642" t="n"/>
      <x:c r="W8" s="642" t="n"/>
      <x:c r="X8" s="642" t="n"/>
      <x:c r="Y8" s="642" t="n"/>
      <x:c r="Z8" s="642" t="n"/>
      <x:c r="AA8" s="642" t="n"/>
      <x:c r="AB8" s="642" t="n"/>
      <x:c r="AC8" s="642" t="n"/>
      <x:c r="AD8" s="642" t="n"/>
      <x:c r="AE8" s="642" t="n"/>
      <x:c r="AF8" s="642" t="n"/>
      <x:c r="AG8" s="642" t="n"/>
      <x:c r="AH8" s="642" t="n"/>
      <x:c r="AI8" s="642" t="n"/>
      <x:c r="AJ8" s="642" t="n"/>
      <x:c r="AK8" s="642" t="n"/>
      <x:c r="AL8" s="642" t="n"/>
      <x:c r="AM8" s="642" t="n"/>
      <x:c r="AN8" s="642" t="n"/>
      <x:c r="AO8" s="642" t="n"/>
      <x:c r="AP8" s="642" t="n"/>
      <x:c r="AQ8" s="642" t="n"/>
      <x:c r="AR8" s="642" t="n"/>
      <x:c r="AS8" s="642" t="n"/>
      <x:c r="AT8" s="642" t="n"/>
      <x:c r="AU8" s="642" t="n"/>
      <x:c r="AV8" s="642" t="n"/>
      <x:c r="AW8" s="642" t="n"/>
      <x:c r="AX8" s="642" t="n"/>
      <x:c r="AY8" s="642" t="n"/>
      <x:c r="AZ8" s="642" t="n"/>
      <x:c r="BA8" s="642" t="n"/>
      <x:c r="BB8" s="642" t="n"/>
      <x:c r="BC8" s="642" t="n"/>
      <x:c r="BD8" s="642" t="n"/>
      <x:c r="BE8" s="642" t="n"/>
      <x:c r="BF8" s="642" t="n"/>
      <x:c r="BG8" s="642" t="n"/>
      <x:c r="BH8" s="642" t="n"/>
      <x:c r="BI8" s="642" t="n"/>
      <x:c r="BJ8" s="642" t="n"/>
      <x:c r="BK8" s="642" t="n"/>
      <x:c r="BL8" s="642" t="n"/>
      <x:c r="BM8" s="642" t="n"/>
      <x:c r="BN8" s="642" t="n"/>
      <x:c r="BO8" s="642" t="n"/>
      <x:c r="BP8" s="642" t="n"/>
      <x:c r="BQ8" s="642" t="n"/>
      <x:c r="BR8" s="642" t="n"/>
      <x:c r="BS8" s="642" t="n"/>
      <x:c r="BT8" s="642" t="n"/>
      <x:c r="BU8" s="642" t="n"/>
      <x:c r="BV8" s="642" t="n"/>
      <x:c r="BW8" s="642" t="n"/>
      <x:c r="BX8" s="642" t="n"/>
      <x:c r="BY8" s="642" t="n"/>
      <x:c r="BZ8" s="642" t="n"/>
      <x:c r="CA8" s="642" t="n"/>
      <x:c r="CB8" s="642" t="n"/>
      <x:c r="CC8" s="642" t="n"/>
      <x:c r="CD8" s="642" t="n"/>
      <x:c r="CE8" s="642" t="n"/>
      <x:c r="CF8" s="642" t="n"/>
      <x:c r="CG8" s="642" t="n"/>
      <x:c r="CH8" s="642" t="n"/>
      <x:c r="CI8" s="642" t="n"/>
      <x:c r="CJ8" s="642" t="n"/>
      <x:c r="CK8" s="642" t="n"/>
      <x:c r="CL8" s="642" t="n"/>
      <x:c r="CM8" s="642" t="n"/>
      <x:c r="CN8" s="642" t="n"/>
      <x:c r="CO8" s="642" t="n"/>
      <x:c r="CP8" s="642" t="n"/>
      <x:c r="CQ8" s="642" t="n"/>
      <x:c r="CR8" s="642" t="n"/>
      <x:c r="CS8" s="642" t="n"/>
      <x:c r="CT8" s="642" t="n"/>
      <x:c r="CU8" s="642" t="n"/>
      <x:c r="CV8" s="642" t="n"/>
      <x:c r="CW8" s="642" t="n"/>
      <x:c r="CX8" s="642" t="n"/>
      <x:c r="CY8" s="642" t="n"/>
      <x:c r="CZ8" s="642" t="n"/>
      <x:c r="DA8" s="642" t="n"/>
      <x:c r="DB8" s="642" t="n"/>
      <x:c r="DC8" s="642" t="n"/>
      <x:c r="DD8" s="642" t="n"/>
      <x:c r="DE8" s="642" t="n"/>
      <x:c r="DF8" s="642" t="n"/>
      <x:c r="DG8" s="642" t="n"/>
      <x:c r="DH8" s="642" t="n"/>
      <x:c r="DI8" s="642" t="n"/>
      <x:c r="DJ8" s="642" t="n"/>
      <x:c r="DK8" s="642" t="n"/>
      <x:c r="DL8" s="642" t="n"/>
      <x:c r="DM8" s="642" t="n"/>
      <x:c r="DN8" s="642" t="n"/>
      <x:c r="DO8" s="642" t="n"/>
      <x:c r="DP8" s="642" t="n"/>
      <x:c r="DQ8" s="642" t="n"/>
      <x:c r="DR8" s="642" t="n"/>
      <x:c r="DS8" s="642" t="n"/>
      <x:c r="DT8" s="642" t="n"/>
      <x:c r="DU8" s="642" t="n"/>
      <x:c r="DV8" s="642" t="n"/>
      <x:c r="DW8" s="642" t="n"/>
      <x:c r="DX8" s="642" t="n"/>
      <x:c r="DY8" s="642" t="n"/>
      <x:c r="DZ8" s="642" t="n"/>
      <x:c r="EA8" s="642" t="n"/>
      <x:c r="EB8" s="642" t="n"/>
      <x:c r="EC8" s="642" t="n"/>
      <x:c r="ED8" s="642" t="n"/>
      <x:c r="EE8" s="642" t="n"/>
      <x:c r="EF8" s="642" t="n"/>
      <x:c r="EG8" s="642" t="n"/>
      <x:c r="EH8" s="642" t="n"/>
      <x:c r="EI8" s="642" t="n"/>
      <x:c r="EJ8" s="642" t="n"/>
      <x:c r="EK8" s="642" t="n"/>
      <x:c r="EL8" s="642" t="n"/>
      <x:c r="EM8" s="642" t="n"/>
      <x:c r="EN8" s="642" t="n"/>
      <x:c r="EO8" s="642" t="n"/>
      <x:c r="EP8" s="642" t="n"/>
      <x:c r="EQ8" s="642" t="n"/>
      <x:c r="ER8" s="642" t="n"/>
      <x:c r="ES8" s="642" t="n"/>
      <x:c r="ET8" s="642" t="n"/>
      <x:c r="EU8" s="642" t="n"/>
      <x:c r="EV8" s="642" t="n"/>
      <x:c r="EW8" s="642" t="n"/>
      <x:c r="EX8" s="642" t="n"/>
      <x:c r="EY8" s="642" t="n"/>
      <x:c r="EZ8" s="642" t="n"/>
      <x:c r="FA8" s="642" t="n"/>
      <x:c r="FB8" s="642" t="n"/>
      <x:c r="FC8" s="642" t="n"/>
      <x:c r="FD8" s="642" t="n"/>
      <x:c r="FE8" s="642" t="n"/>
      <x:c r="FF8" s="642" t="n"/>
      <x:c r="FG8" s="642" t="n"/>
      <x:c r="FH8" s="642" t="n"/>
      <x:c r="FI8" s="642" t="n"/>
      <x:c r="FJ8" s="642" t="n"/>
      <x:c r="FK8" s="642" t="n"/>
      <x:c r="FL8" s="642" t="n"/>
      <x:c r="FM8" s="642" t="n"/>
      <x:c r="FN8" s="642" t="n"/>
      <x:c r="FO8" s="642" t="n"/>
      <x:c r="FP8" s="642" t="n"/>
      <x:c r="FQ8" s="642" t="n"/>
      <x:c r="FR8" s="642" t="n"/>
      <x:c r="FS8" s="642" t="n"/>
      <x:c r="FT8" s="642" t="n"/>
      <x:c r="FU8" s="642" t="n"/>
      <x:c r="FV8" s="642" t="n"/>
      <x:c r="FW8" s="642" t="n"/>
      <x:c r="FX8" s="642" t="n"/>
      <x:c r="FY8" s="642" t="n"/>
      <x:c r="FZ8" s="642" t="n"/>
      <x:c r="GA8" s="642" t="n"/>
    </x:row>
    <x:row r="9" s="40" customFormat="1" ht="12.75" customHeight="1">
      <x:c r="A9" s="48" t="n"/>
      <x:c r="B9" s="47" t="n"/>
      <x:c r="C9" s="45" t="n"/>
      <x:c r="D9" s="46" t="n"/>
      <x:c r="E9" s="45" t="n"/>
      <x:c r="F9" s="44" t="n"/>
      <x:c r="G9" s="43" t="n"/>
      <x:c r="H9" s="295" t="n"/>
      <x:c r="I9" s="296" t="n"/>
      <x:c r="J9" s="296" t="n"/>
      <x:c r="K9" s="296" t="n"/>
      <x:c r="L9" s="296" t="n"/>
      <x:c r="M9" s="296" t="n"/>
      <x:c r="N9" s="296" t="n"/>
      <x:c r="O9" s="296" t="n"/>
      <x:c r="P9" s="296" t="n"/>
      <x:c r="Q9" s="99" t="n"/>
      <x:c r="R9" s="296" t="n"/>
      <x:c r="S9" s="296" t="n"/>
      <x:c r="T9" s="296" t="n"/>
      <x:c r="U9" s="296" t="n"/>
      <x:c r="V9" s="296" t="n"/>
      <x:c r="W9" s="296" t="n"/>
      <x:c r="X9" s="296" t="n"/>
      <x:c r="Y9" s="296" t="n"/>
      <x:c r="Z9" s="99" t="n"/>
      <x:c r="AA9" s="99" t="n"/>
      <x:c r="AB9" s="99" t="n"/>
      <x:c r="AC9" s="99" t="n"/>
      <x:c r="AD9" s="99" t="n"/>
      <x:c r="AE9" s="99" t="n"/>
      <x:c r="AF9" s="99" t="n"/>
      <x:c r="AG9" s="296" t="n"/>
      <x:c r="AH9" s="99" t="n"/>
      <x:c r="AI9" s="296" t="n"/>
      <x:c r="AJ9" s="99" t="n"/>
      <x:c r="AK9" s="296" t="n"/>
      <x:c r="AL9" s="296" t="n"/>
      <x:c r="AM9" s="296" t="n"/>
      <x:c r="AN9" s="296" t="n"/>
      <x:c r="AO9" s="296" t="n"/>
      <x:c r="AP9" s="296" t="n"/>
      <x:c r="AQ9" s="296" t="n"/>
      <x:c r="AR9" s="296" t="n"/>
      <x:c r="AS9" s="296" t="n"/>
      <x:c r="AT9" s="296" t="n"/>
      <x:c r="AU9" s="296" t="n"/>
      <x:c r="AV9" s="296" t="n"/>
      <x:c r="AW9" s="296" t="n"/>
      <x:c r="AX9" s="296" t="n"/>
      <x:c r="AY9" s="296" t="n"/>
      <x:c r="AZ9" s="296" t="n"/>
      <x:c r="BA9" s="296" t="n"/>
      <x:c r="BB9" s="296" t="n"/>
      <x:c r="BC9" s="296" t="n"/>
      <x:c r="BD9" s="296" t="n"/>
      <x:c r="BE9" s="296" t="n"/>
      <x:c r="BF9" s="296" t="n"/>
      <x:c r="BG9" s="296" t="n"/>
      <x:c r="BH9" s="296" t="n"/>
      <x:c r="BI9" s="296" t="n"/>
      <x:c r="BJ9" s="296" t="n"/>
      <x:c r="BK9" s="296" t="n"/>
      <x:c r="BL9" s="296" t="n"/>
      <x:c r="BM9" s="296" t="n"/>
      <x:c r="BN9" s="296" t="n"/>
      <x:c r="BO9" s="296" t="n"/>
      <x:c r="BP9" s="296" t="n"/>
      <x:c r="BQ9" s="296" t="n"/>
      <x:c r="BR9" s="296" t="n"/>
      <x:c r="BS9" s="296" t="n"/>
      <x:c r="BT9" s="296" t="n"/>
      <x:c r="BU9" s="296" t="n"/>
      <x:c r="BV9" s="296" t="n"/>
      <x:c r="BW9" s="296" t="n"/>
      <x:c r="BX9" s="296" t="n"/>
      <x:c r="BY9" s="296" t="n"/>
      <x:c r="BZ9" s="296" t="n"/>
      <x:c r="CA9" s="296" t="n"/>
      <x:c r="CB9" s="296" t="n"/>
      <x:c r="CC9" s="296" t="n"/>
      <x:c r="CD9" s="296" t="n"/>
      <x:c r="CE9" s="296" t="n"/>
      <x:c r="CF9" s="296" t="n"/>
      <x:c r="CG9" s="296" t="n"/>
      <x:c r="CH9" s="296" t="n"/>
      <x:c r="CI9" s="296" t="n"/>
      <x:c r="CJ9" s="296" t="n"/>
      <x:c r="CK9" s="296" t="n"/>
      <x:c r="CL9" s="296" t="n"/>
      <x:c r="CM9" s="296" t="n"/>
      <x:c r="CN9" s="296" t="n"/>
      <x:c r="CO9" s="296" t="n"/>
      <x:c r="CP9" s="296" t="n"/>
      <x:c r="CQ9" s="296" t="n"/>
      <x:c r="CR9" s="296" t="n"/>
      <x:c r="CS9" s="296" t="n"/>
      <x:c r="CT9" s="296" t="n"/>
      <x:c r="CU9" s="296" t="n"/>
      <x:c r="CV9" s="296" t="n"/>
      <x:c r="CW9" s="296" t="n"/>
      <x:c r="CX9" s="296" t="n"/>
      <x:c r="CY9" s="296" t="n"/>
      <x:c r="CZ9" s="296" t="n"/>
      <x:c r="DA9" s="296" t="n"/>
      <x:c r="DB9" s="296" t="n"/>
      <x:c r="DC9" s="296" t="n"/>
      <x:c r="DD9" s="296" t="n"/>
      <x:c r="DE9" s="296" t="n"/>
      <x:c r="DF9" s="296" t="n"/>
      <x:c r="DG9" s="296" t="n"/>
      <x:c r="DH9" s="296" t="n"/>
      <x:c r="DI9" s="296" t="n"/>
      <x:c r="DJ9" s="296" t="n"/>
      <x:c r="DK9" s="296" t="n"/>
      <x:c r="DL9" s="296" t="n"/>
      <x:c r="DM9" s="296" t="n"/>
      <x:c r="DN9" s="296" t="n"/>
      <x:c r="DO9" s="296" t="n"/>
      <x:c r="DP9" s="296" t="n"/>
      <x:c r="DQ9" s="296" t="n"/>
      <x:c r="DR9" s="296" t="n"/>
      <x:c r="DS9" s="296" t="n"/>
      <x:c r="DT9" s="296" t="n"/>
      <x:c r="DU9" s="296" t="n"/>
      <x:c r="DV9" s="296" t="n"/>
      <x:c r="DW9" s="296" t="n"/>
      <x:c r="DX9" s="296" t="n"/>
      <x:c r="DY9" s="296" t="n"/>
      <x:c r="DZ9" s="296" t="n"/>
      <x:c r="EA9" s="296" t="n"/>
      <x:c r="EB9" s="296" t="n"/>
      <x:c r="EC9" s="296" t="n"/>
      <x:c r="ED9" s="296" t="n"/>
      <x:c r="EE9" s="296" t="n"/>
      <x:c r="EF9" s="296" t="n"/>
      <x:c r="EG9" s="296" t="n"/>
      <x:c r="EH9" s="296" t="n"/>
      <x:c r="EI9" s="296" t="n"/>
      <x:c r="EJ9" s="296" t="n"/>
      <x:c r="EK9" s="296" t="n"/>
      <x:c r="EL9" s="296" t="n"/>
      <x:c r="EM9" s="296" t="n"/>
      <x:c r="EN9" s="296" t="n"/>
      <x:c r="EO9" s="296" t="n"/>
      <x:c r="EP9" s="296" t="n"/>
      <x:c r="EQ9" s="296" t="n"/>
      <x:c r="ER9" s="296" t="n"/>
      <x:c r="ES9" s="296" t="n"/>
      <x:c r="ET9" s="296" t="n"/>
      <x:c r="EU9" s="296" t="n"/>
      <x:c r="EV9" s="296" t="n"/>
      <x:c r="EW9" s="296" t="n"/>
      <x:c r="EX9" s="296" t="n"/>
      <x:c r="EY9" s="296" t="n"/>
      <x:c r="EZ9" s="296" t="n"/>
      <x:c r="FA9" s="41" t="n"/>
      <x:c r="FB9" s="41" t="n"/>
      <x:c r="FC9" s="41" t="n"/>
      <x:c r="FD9" s="41" t="n"/>
      <x:c r="FE9" s="41" t="n"/>
      <x:c r="FF9" s="41" t="n"/>
      <x:c r="FG9" s="41" t="n"/>
      <x:c r="FH9" s="41" t="n"/>
      <x:c r="FI9" s="41" t="n"/>
      <x:c r="FJ9" s="41" t="n"/>
      <x:c r="FK9" s="41" t="n"/>
      <x:c r="FL9" s="41" t="n"/>
      <x:c r="FM9" s="41" t="n"/>
      <x:c r="FN9" s="41" t="n"/>
      <x:c r="FO9" s="41" t="n"/>
      <x:c r="FP9" s="41" t="n"/>
      <x:c r="FQ9" s="41" t="n"/>
      <x:c r="FR9" s="41" t="n"/>
      <x:c r="FS9" s="41" t="n"/>
      <x:c r="FT9" s="41" t="n"/>
      <x:c r="FU9" s="41" t="n"/>
      <x:c r="FV9" s="41" t="n"/>
      <x:c r="FW9" s="41" t="n"/>
      <x:c r="FX9" s="41" t="n"/>
      <x:c r="FY9" s="41" t="n"/>
      <x:c r="FZ9" s="41" t="n"/>
      <x:c r="GA9" s="41" t="n"/>
    </x:row>
    <x:row r="10" s="27" customFormat="1">
      <x:c r="A10" s="125" t="n"/>
      <x:c r="B10" s="39" t="n"/>
      <x:c r="C10" s="36" t="n">
        <x:f>E10*D$5</x:f>
        <x:v>0</x:v>
      </x:c>
      <x:c r="D10" s="103" t="inlineStr">
        <x:is>
          <x:t xml:space="preserve">United States of America</x:t>
        </x:is>
      </x:c>
      <x:c r="E10" s="36" t="n">
        <x:f>SUM(G10:HS10)</x:f>
        <x:v>0</x:v>
      </x:c>
      <x:c r="F10" s="126" t="inlineStr">
        <x:is>
          <x:t xml:space="preserve"/>
        </x:is>
      </x:c>
      <x:c r="G10" s="297" t="n">
        <x:v>1</x:v>
      </x:c>
      <x:c r="H10" s="298" t="n">
        <x:v>-1</x:v>
      </x:c>
      <x:c r="I10" s="297" t="n"/>
      <x:c r="J10" s="297" t="n"/>
      <x:c r="K10" s="297" t="n"/>
      <x:c r="L10" s="297" t="n"/>
      <x:c r="M10" s="297" t="n"/>
      <x:c r="N10" s="297" t="n"/>
      <x:c r="O10" s="297" t="n"/>
      <x:c r="P10" s="123" t="n"/>
      <x:c r="Q10" s="297" t="n"/>
      <x:c r="R10" s="297" t="n"/>
      <x:c r="S10" s="297" t="n"/>
      <x:c r="T10" s="297" t="n"/>
      <x:c r="U10" s="297" t="n"/>
      <x:c r="V10" s="297" t="n"/>
      <x:c r="W10" s="297" t="n"/>
      <x:c r="X10" s="297" t="n"/>
      <x:c r="Y10" s="123" t="n"/>
      <x:c r="Z10" s="123" t="n"/>
      <x:c r="AA10" s="123" t="n"/>
      <x:c r="AB10" s="123" t="n"/>
      <x:c r="AC10" s="123" t="n"/>
      <x:c r="AD10" s="123" t="n"/>
      <x:c r="AE10" s="123" t="n"/>
      <x:c r="AF10" s="297" t="n"/>
      <x:c r="AG10" s="123" t="n"/>
      <x:c r="AH10" s="297" t="n"/>
      <x:c r="AI10" s="123" t="n"/>
      <x:c r="AJ10" s="297" t="n"/>
      <x:c r="AK10" s="297" t="n"/>
      <x:c r="AL10" s="297" t="n"/>
      <x:c r="AM10" s="297" t="n"/>
      <x:c r="AN10" s="297" t="n"/>
      <x:c r="AO10" s="297" t="n"/>
      <x:c r="AP10" s="297" t="n"/>
      <x:c r="AQ10" s="297" t="n"/>
      <x:c r="AR10" s="299" t="n"/>
      <x:c r="AS10" s="299" t="n"/>
      <x:c r="AT10" s="299" t="n"/>
      <x:c r="AU10" s="299" t="n"/>
      <x:c r="AV10" s="299" t="n"/>
      <x:c r="AW10" s="299" t="n"/>
      <x:c r="AX10" s="299" t="n"/>
      <x:c r="AY10" s="299" t="n"/>
      <x:c r="AZ10" s="299" t="n"/>
      <x:c r="BA10" s="299" t="n"/>
      <x:c r="BB10" s="299" t="n"/>
      <x:c r="BC10" s="299" t="n"/>
      <x:c r="BD10" s="299" t="n"/>
      <x:c r="BE10" s="299" t="n"/>
      <x:c r="BF10" s="299" t="n"/>
      <x:c r="BG10" s="299" t="n"/>
      <x:c r="BH10" s="299" t="n"/>
      <x:c r="BI10" s="299" t="n"/>
      <x:c r="BJ10" s="299" t="n"/>
      <x:c r="BK10" s="299" t="n"/>
      <x:c r="BL10" s="299" t="n"/>
      <x:c r="BM10" s="299" t="n"/>
      <x:c r="BN10" s="299" t="n"/>
      <x:c r="BO10" s="299" t="n"/>
      <x:c r="BP10" s="299" t="n"/>
      <x:c r="BQ10" s="299" t="n"/>
      <x:c r="BR10" s="299" t="n"/>
      <x:c r="BS10" s="299" t="n"/>
      <x:c r="BT10" s="299" t="n"/>
      <x:c r="BU10" s="299" t="n"/>
      <x:c r="BV10" s="299" t="n"/>
      <x:c r="BW10" s="299" t="n"/>
      <x:c r="BX10" s="299" t="n"/>
      <x:c r="BY10" s="299" t="n"/>
      <x:c r="BZ10" s="299" t="n"/>
      <x:c r="CA10" s="299" t="n"/>
      <x:c r="CB10" s="299" t="n"/>
      <x:c r="CC10" s="299" t="n"/>
      <x:c r="CD10" s="299" t="n"/>
      <x:c r="CE10" s="299" t="n"/>
      <x:c r="CF10" s="299" t="n"/>
      <x:c r="CG10" s="299" t="n"/>
      <x:c r="CH10" s="299" t="n"/>
      <x:c r="CI10" s="299" t="n"/>
      <x:c r="CJ10" s="299" t="n"/>
      <x:c r="CK10" s="299" t="n"/>
      <x:c r="CL10" s="299" t="n"/>
      <x:c r="CM10" s="299" t="n"/>
      <x:c r="CN10" s="299" t="n"/>
      <x:c r="CO10" s="299" t="n"/>
      <x:c r="CP10" s="299" t="n"/>
      <x:c r="CQ10" s="299" t="n"/>
      <x:c r="CR10" s="299" t="n"/>
      <x:c r="CS10" s="299" t="n"/>
      <x:c r="CT10" s="299" t="n"/>
      <x:c r="CU10" s="299" t="n"/>
      <x:c r="CV10" s="299" t="n"/>
      <x:c r="CW10" s="299" t="n"/>
      <x:c r="CX10" s="299" t="n"/>
      <x:c r="CY10" s="299" t="n"/>
      <x:c r="CZ10" s="299" t="n"/>
      <x:c r="DA10" s="299" t="n"/>
      <x:c r="DB10" s="299" t="n"/>
      <x:c r="DC10" s="299" t="n"/>
      <x:c r="DD10" s="299" t="n"/>
      <x:c r="DE10" s="299" t="n"/>
      <x:c r="DF10" s="299" t="n"/>
      <x:c r="DG10" s="299" t="n"/>
      <x:c r="DH10" s="299" t="n"/>
      <x:c r="DI10" s="299" t="n"/>
      <x:c r="DJ10" s="299" t="n"/>
      <x:c r="DK10" s="299" t="n"/>
      <x:c r="DL10" s="299" t="n"/>
      <x:c r="DM10" s="299" t="n"/>
      <x:c r="DN10" s="299" t="n"/>
      <x:c r="DO10" s="299" t="n"/>
      <x:c r="DP10" s="299" t="n"/>
      <x:c r="DQ10" s="299" t="n"/>
      <x:c r="DR10" s="299" t="n"/>
      <x:c r="DS10" s="299" t="n"/>
      <x:c r="DT10" s="299" t="n"/>
      <x:c r="DU10" s="299" t="n"/>
      <x:c r="DV10" s="299" t="n"/>
      <x:c r="DW10" s="299" t="n"/>
      <x:c r="DX10" s="299" t="n"/>
      <x:c r="DY10" s="299" t="n"/>
      <x:c r="DZ10" s="299" t="n"/>
      <x:c r="EA10" s="299" t="n"/>
      <x:c r="EB10" s="299" t="n"/>
      <x:c r="EC10" s="299" t="n"/>
      <x:c r="ED10" s="299" t="n"/>
      <x:c r="EE10" s="299" t="n"/>
      <x:c r="EF10" s="299" t="n"/>
      <x:c r="EG10" s="299" t="n"/>
      <x:c r="EH10" s="299" t="n"/>
      <x:c r="EI10" s="299" t="n"/>
      <x:c r="EJ10" s="299" t="n"/>
      <x:c r="EK10" s="299" t="n"/>
      <x:c r="EL10" s="299" t="n"/>
      <x:c r="EM10" s="299" t="n"/>
      <x:c r="EN10" s="299" t="n"/>
      <x:c r="EO10" s="299" t="n"/>
      <x:c r="EP10" s="299" t="n"/>
      <x:c r="EQ10" s="299" t="n"/>
      <x:c r="ER10" s="299" t="n"/>
      <x:c r="ES10" s="299" t="n"/>
      <x:c r="ET10" s="299" t="n"/>
      <x:c r="EU10" s="299" t="n"/>
      <x:c r="EV10" s="299" t="n"/>
      <x:c r="EW10" s="299" t="n"/>
      <x:c r="EX10" s="299" t="n"/>
      <x:c r="EY10" s="299" t="n"/>
      <x:c r="EZ10" s="28" t="n"/>
      <x:c r="FA10" s="28" t="n"/>
      <x:c r="FB10" s="28" t="n"/>
      <x:c r="FC10" s="28" t="n"/>
      <x:c r="FD10" s="28" t="n"/>
      <x:c r="FE10" s="28" t="n"/>
      <x:c r="FF10" s="28" t="n"/>
      <x:c r="FG10" s="28" t="n"/>
      <x:c r="FH10" s="28" t="n"/>
      <x:c r="FI10" s="28" t="n"/>
      <x:c r="FJ10" s="28" t="n"/>
      <x:c r="FK10" s="28" t="n"/>
      <x:c r="FL10" s="28" t="n"/>
      <x:c r="FM10" s="28" t="n"/>
      <x:c r="FN10" s="28" t="n"/>
      <x:c r="FO10" s="28" t="n"/>
      <x:c r="FP10" s="28" t="n"/>
      <x:c r="FQ10" s="28" t="n"/>
      <x:c r="FR10" s="28" t="n"/>
      <x:c r="FS10" s="28" t="n"/>
      <x:c r="FT10" s="28" t="n"/>
      <x:c r="FU10" s="28" t="n"/>
      <x:c r="FV10" s="28" t="n"/>
      <x:c r="FW10" s="28" t="n"/>
      <x:c r="FX10" s="28" t="n"/>
      <x:c r="FY10" s="28" t="n"/>
      <x:c r="FZ10" s="28" t="n"/>
    </x:row>
    <x:row r="11" s="27" customFormat="1">
      <x:c r="A11" s="66" t="n"/>
      <x:c r="B11" s="39" t="n"/>
      <x:c r="C11" s="86" t="n">
        <x:f>E11*D$5</x:f>
        <x:v>0</x:v>
      </x:c>
      <x:c r="D11" s="103" t="inlineStr">
        <x:is>
          <x:t xml:space="preserve">Charles T. Kennett and Sadie N. Kennett, HW</x:t>
        </x:is>
      </x:c>
      <x:c r="E11" s="86" t="n">
        <x:f>SUM(G11:HS11)</x:f>
        <x:v>0</x:v>
      </x:c>
      <x:c r="F11" s="126" t="inlineStr">
        <x:is>
          <x:t xml:space="preserve"/>
        </x:is>
      </x:c>
      <x:c r="G11" s="297" t="n"/>
      <x:c r="H11" s="297" t="n">
        <x:v>1</x:v>
      </x:c>
      <x:c r="I11" s="297" t="n">
        <x:v>-1</x:v>
      </x:c>
      <x:c r="J11" s="297" t="n"/>
      <x:c r="K11" s="297" t="n"/>
      <x:c r="L11" s="297" t="n"/>
      <x:c r="M11" s="297" t="n"/>
      <x:c r="N11" s="297" t="n"/>
      <x:c r="O11" s="297" t="n"/>
      <x:c r="P11" s="123" t="n"/>
      <x:c r="Q11" s="297" t="n"/>
      <x:c r="R11" s="297" t="n"/>
      <x:c r="S11" s="297" t="n"/>
      <x:c r="T11" s="297" t="n"/>
      <x:c r="U11" s="297" t="n"/>
      <x:c r="V11" s="297" t="n"/>
      <x:c r="W11" s="297" t="n"/>
      <x:c r="X11" s="297" t="n"/>
      <x:c r="Y11" s="124" t="n"/>
      <x:c r="Z11" s="123" t="n"/>
      <x:c r="AA11" s="123" t="n"/>
      <x:c r="AB11" s="123" t="n"/>
      <x:c r="AC11" s="123" t="n"/>
      <x:c r="AD11" s="123" t="n"/>
      <x:c r="AE11" s="123" t="n"/>
      <x:c r="AF11" s="297" t="n"/>
      <x:c r="AG11" s="123" t="n"/>
      <x:c r="AH11" s="297" t="n"/>
      <x:c r="AI11" s="123" t="n"/>
      <x:c r="AJ11" s="297" t="n"/>
      <x:c r="AK11" s="297" t="n"/>
      <x:c r="AL11" s="297" t="n"/>
      <x:c r="AM11" s="297" t="n"/>
      <x:c r="AN11" s="297" t="n"/>
      <x:c r="AO11" s="297" t="n"/>
      <x:c r="AP11" s="297" t="n"/>
      <x:c r="AQ11" s="297" t="n"/>
      <x:c r="AR11" s="299" t="n"/>
      <x:c r="AS11" s="299" t="n"/>
      <x:c r="AT11" s="299" t="n"/>
      <x:c r="AU11" s="299" t="n"/>
      <x:c r="AV11" s="299" t="n"/>
      <x:c r="AW11" s="299" t="n"/>
      <x:c r="AX11" s="299" t="n"/>
      <x:c r="AY11" s="299" t="n"/>
      <x:c r="AZ11" s="299" t="n"/>
      <x:c r="BA11" s="299" t="n"/>
      <x:c r="BB11" s="299" t="n"/>
      <x:c r="BC11" s="299" t="n"/>
      <x:c r="BD11" s="299" t="n"/>
      <x:c r="BE11" s="299" t="n"/>
      <x:c r="BF11" s="299" t="n"/>
      <x:c r="BG11" s="299" t="n"/>
      <x:c r="BH11" s="299" t="n"/>
      <x:c r="BI11" s="299" t="n"/>
      <x:c r="BJ11" s="299" t="n"/>
      <x:c r="BK11" s="299" t="n"/>
      <x:c r="BL11" s="299" t="n"/>
      <x:c r="BM11" s="299" t="n"/>
      <x:c r="BN11" s="299" t="n"/>
      <x:c r="BO11" s="299" t="n"/>
      <x:c r="BP11" s="299" t="n"/>
      <x:c r="BQ11" s="299" t="n"/>
      <x:c r="BR11" s="299" t="n"/>
      <x:c r="BS11" s="299" t="n"/>
      <x:c r="BT11" s="299" t="n"/>
      <x:c r="BU11" s="299" t="n"/>
      <x:c r="BV11" s="299" t="n"/>
      <x:c r="BW11" s="299" t="n"/>
      <x:c r="BX11" s="299" t="n"/>
      <x:c r="BY11" s="299" t="n"/>
      <x:c r="BZ11" s="299" t="n"/>
      <x:c r="CA11" s="299" t="n"/>
      <x:c r="CB11" s="299" t="n"/>
      <x:c r="CC11" s="299" t="n"/>
      <x:c r="CD11" s="299" t="n"/>
      <x:c r="CE11" s="299" t="n"/>
      <x:c r="CF11" s="299" t="n"/>
      <x:c r="CG11" s="299" t="n"/>
      <x:c r="CH11" s="299" t="n"/>
      <x:c r="CI11" s="299" t="n"/>
      <x:c r="CJ11" s="299" t="n"/>
      <x:c r="CK11" s="299" t="n"/>
      <x:c r="CL11" s="299" t="n"/>
      <x:c r="CM11" s="299" t="n"/>
      <x:c r="CN11" s="299" t="n"/>
      <x:c r="CO11" s="299" t="n"/>
      <x:c r="CP11" s="299" t="n"/>
      <x:c r="CQ11" s="299" t="n"/>
      <x:c r="CR11" s="299" t="n"/>
      <x:c r="CS11" s="299" t="n"/>
      <x:c r="CT11" s="299" t="n"/>
      <x:c r="CU11" s="299" t="n"/>
      <x:c r="CV11" s="299" t="n"/>
      <x:c r="CW11" s="299" t="n"/>
      <x:c r="CX11" s="299" t="n"/>
      <x:c r="CY11" s="299" t="n"/>
      <x:c r="CZ11" s="299" t="n"/>
      <x:c r="DA11" s="299" t="n"/>
      <x:c r="DB11" s="299" t="n"/>
      <x:c r="DC11" s="299" t="n"/>
      <x:c r="DD11" s="299" t="n"/>
      <x:c r="DE11" s="299" t="n"/>
      <x:c r="DF11" s="299" t="n"/>
      <x:c r="DG11" s="299" t="n"/>
      <x:c r="DH11" s="299" t="n"/>
      <x:c r="DI11" s="299" t="n"/>
      <x:c r="DJ11" s="299" t="n"/>
      <x:c r="DK11" s="299" t="n"/>
      <x:c r="DL11" s="299" t="n"/>
      <x:c r="DM11" s="299" t="n"/>
      <x:c r="DN11" s="299" t="n"/>
      <x:c r="DO11" s="299" t="n"/>
      <x:c r="DP11" s="299" t="n"/>
      <x:c r="DQ11" s="299" t="n"/>
      <x:c r="DR11" s="299" t="n"/>
      <x:c r="DS11" s="299" t="n"/>
      <x:c r="DT11" s="299" t="n"/>
      <x:c r="DU11" s="299" t="n"/>
      <x:c r="DV11" s="299" t="n"/>
      <x:c r="DW11" s="299" t="n"/>
      <x:c r="DX11" s="299" t="n"/>
      <x:c r="DY11" s="299" t="n"/>
      <x:c r="DZ11" s="299" t="n"/>
      <x:c r="EA11" s="299" t="n"/>
      <x:c r="EB11" s="299" t="n"/>
      <x:c r="EC11" s="299" t="n"/>
      <x:c r="ED11" s="299" t="n"/>
      <x:c r="EE11" s="299" t="n"/>
      <x:c r="EF11" s="299" t="n"/>
      <x:c r="EG11" s="299" t="n"/>
      <x:c r="EH11" s="299" t="n"/>
      <x:c r="EI11" s="299" t="n"/>
      <x:c r="EJ11" s="299" t="n"/>
      <x:c r="EK11" s="299" t="n"/>
      <x:c r="EL11" s="299" t="n"/>
      <x:c r="EM11" s="299" t="n"/>
      <x:c r="EN11" s="299" t="n"/>
      <x:c r="EO11" s="299" t="n"/>
      <x:c r="EP11" s="299" t="n"/>
      <x:c r="EQ11" s="299" t="n"/>
      <x:c r="ER11" s="299" t="n"/>
      <x:c r="ES11" s="299" t="n"/>
      <x:c r="ET11" s="299" t="n"/>
      <x:c r="EU11" s="299" t="n"/>
      <x:c r="EV11" s="299" t="n"/>
      <x:c r="EW11" s="299" t="n"/>
      <x:c r="EX11" s="299" t="n"/>
      <x:c r="EY11" s="299" t="n"/>
      <x:c r="EZ11" s="28" t="n"/>
      <x:c r="FA11" s="28" t="n"/>
      <x:c r="FB11" s="28" t="n"/>
      <x:c r="FC11" s="28" t="n"/>
      <x:c r="FD11" s="28" t="n"/>
      <x:c r="FE11" s="28" t="n"/>
      <x:c r="FF11" s="28" t="n"/>
      <x:c r="FG11" s="28" t="n"/>
      <x:c r="FH11" s="28" t="n"/>
      <x:c r="FI11" s="28" t="n"/>
      <x:c r="FJ11" s="28" t="n"/>
      <x:c r="FK11" s="28" t="n"/>
      <x:c r="FL11" s="28" t="n"/>
      <x:c r="FM11" s="28" t="n"/>
      <x:c r="FN11" s="28" t="n"/>
      <x:c r="FO11" s="28" t="n"/>
      <x:c r="FP11" s="28" t="n"/>
      <x:c r="FQ11" s="28" t="n"/>
      <x:c r="FR11" s="28" t="n"/>
      <x:c r="FS11" s="28" t="n"/>
      <x:c r="FT11" s="28" t="n"/>
      <x:c r="FU11" s="28" t="n"/>
      <x:c r="FV11" s="28" t="n"/>
      <x:c r="FW11" s="28" t="n"/>
      <x:c r="FX11" s="28" t="n"/>
      <x:c r="FY11" s="28" t="n"/>
      <x:c r="FZ11" s="28" t="n"/>
    </x:row>
    <x:row r="12" s="27" customFormat="1">
      <x:c r="A12" s="66" t="n"/>
      <x:c r="B12" s="39" t="n"/>
      <x:c r="C12" s="86" t="n">
        <x:f>E12*D$5</x:f>
        <x:v>0</x:v>
      </x:c>
      <x:c r="D12" s="103" t="inlineStr">
        <x:is>
          <x:t xml:space="preserve">John G. Lancaster</x:t>
        </x:is>
      </x:c>
      <x:c r="E12" s="86" t="n">
        <x:f>SUM(G12:HS12)</x:f>
        <x:v>0</x:v>
      </x:c>
      <x:c r="F12" s="126" t="inlineStr">
        <x:is>
          <x:t xml:space="preserve"/>
        </x:is>
      </x:c>
      <x:c r="G12" s="297" t="n"/>
      <x:c r="H12" s="297" t="n"/>
      <x:c r="I12" s="297" t="n">
        <x:v>1</x:v>
      </x:c>
      <x:c r="J12" s="297" t="n">
        <x:v>-1</x:v>
      </x:c>
      <x:c r="K12" s="297" t="n"/>
      <x:c r="L12" s="297" t="n"/>
      <x:c r="M12" s="297" t="n"/>
      <x:c r="N12" s="297" t="n"/>
      <x:c r="O12" s="297" t="n"/>
      <x:c r="P12" s="123" t="n"/>
      <x:c r="Q12" s="297" t="n"/>
      <x:c r="R12" s="297" t="n"/>
      <x:c r="S12" s="297" t="n"/>
      <x:c r="T12" s="297" t="n"/>
      <x:c r="U12" s="297" t="n"/>
      <x:c r="V12" s="297" t="n"/>
      <x:c r="W12" s="297" t="n"/>
      <x:c r="X12" s="297" t="n"/>
      <x:c r="Y12" s="124" t="n"/>
      <x:c r="Z12" s="123" t="n"/>
      <x:c r="AA12" s="123" t="n"/>
      <x:c r="AB12" s="123" t="n"/>
      <x:c r="AC12" s="123" t="n"/>
      <x:c r="AD12" s="123" t="n"/>
      <x:c r="AE12" s="123" t="n"/>
      <x:c r="AF12" s="297" t="n"/>
      <x:c r="AG12" s="124" t="n"/>
      <x:c r="AH12" s="297" t="n"/>
      <x:c r="AI12" s="123" t="n"/>
      <x:c r="AJ12" s="297" t="n"/>
      <x:c r="AK12" s="297" t="n"/>
      <x:c r="AL12" s="297" t="n"/>
      <x:c r="AM12" s="297" t="n"/>
      <x:c r="AN12" s="297" t="n"/>
      <x:c r="AO12" s="297" t="n"/>
      <x:c r="AP12" s="297" t="n"/>
      <x:c r="AQ12" s="297" t="n"/>
      <x:c r="AR12" s="299" t="n"/>
      <x:c r="AS12" s="299" t="n"/>
      <x:c r="AT12" s="299" t="n"/>
      <x:c r="AU12" s="299" t="n"/>
      <x:c r="AV12" s="299" t="n"/>
      <x:c r="AW12" s="299" t="n"/>
      <x:c r="AX12" s="299" t="n"/>
      <x:c r="AY12" s="299" t="n"/>
      <x:c r="AZ12" s="299" t="n"/>
      <x:c r="BA12" s="299" t="n"/>
      <x:c r="BB12" s="299" t="n"/>
      <x:c r="BC12" s="299" t="n"/>
      <x:c r="BD12" s="299" t="n"/>
      <x:c r="BE12" s="299" t="n"/>
      <x:c r="BF12" s="299" t="n"/>
      <x:c r="BG12" s="299" t="n"/>
      <x:c r="BH12" s="299" t="n"/>
      <x:c r="BI12" s="299" t="n"/>
      <x:c r="BJ12" s="299" t="n"/>
      <x:c r="BK12" s="299" t="n"/>
      <x:c r="BL12" s="299" t="n"/>
      <x:c r="BM12" s="299" t="n"/>
      <x:c r="BN12" s="299" t="n"/>
      <x:c r="BO12" s="299" t="n"/>
      <x:c r="BP12" s="299" t="n"/>
      <x:c r="BQ12" s="299" t="n"/>
      <x:c r="BR12" s="299" t="n"/>
      <x:c r="BS12" s="299" t="n"/>
      <x:c r="BT12" s="299" t="n"/>
      <x:c r="BU12" s="299" t="n"/>
      <x:c r="BV12" s="299" t="n"/>
      <x:c r="BW12" s="299" t="n"/>
      <x:c r="BX12" s="299" t="n"/>
      <x:c r="BY12" s="299" t="n"/>
      <x:c r="BZ12" s="299" t="n"/>
      <x:c r="CA12" s="299" t="n"/>
      <x:c r="CB12" s="299" t="n"/>
      <x:c r="CC12" s="299" t="n"/>
      <x:c r="CD12" s="299" t="n"/>
      <x:c r="CE12" s="299" t="n"/>
      <x:c r="CF12" s="299" t="n"/>
      <x:c r="CG12" s="299" t="n"/>
      <x:c r="CH12" s="299" t="n"/>
      <x:c r="CI12" s="299" t="n"/>
      <x:c r="CJ12" s="299" t="n"/>
      <x:c r="CK12" s="299" t="n"/>
      <x:c r="CL12" s="299" t="n"/>
      <x:c r="CM12" s="299" t="n"/>
      <x:c r="CN12" s="299" t="n"/>
      <x:c r="CO12" s="299" t="n"/>
      <x:c r="CP12" s="299" t="n"/>
      <x:c r="CQ12" s="299" t="n"/>
      <x:c r="CR12" s="299" t="n"/>
      <x:c r="CS12" s="299" t="n"/>
      <x:c r="CT12" s="299" t="n"/>
      <x:c r="CU12" s="299" t="n"/>
      <x:c r="CV12" s="299" t="n"/>
      <x:c r="CW12" s="299" t="n"/>
      <x:c r="CX12" s="299" t="n"/>
      <x:c r="CY12" s="299" t="n"/>
      <x:c r="CZ12" s="299" t="n"/>
      <x:c r="DA12" s="299" t="n"/>
      <x:c r="DB12" s="299" t="n"/>
      <x:c r="DC12" s="299" t="n"/>
      <x:c r="DD12" s="299" t="n"/>
      <x:c r="DE12" s="299" t="n"/>
      <x:c r="DF12" s="299" t="n"/>
      <x:c r="DG12" s="299" t="n"/>
      <x:c r="DH12" s="299" t="n"/>
      <x:c r="DI12" s="299" t="n"/>
      <x:c r="DJ12" s="299" t="n"/>
      <x:c r="DK12" s="299" t="n"/>
      <x:c r="DL12" s="299" t="n"/>
      <x:c r="DM12" s="299" t="n"/>
      <x:c r="DN12" s="299" t="n"/>
      <x:c r="DO12" s="299" t="n"/>
      <x:c r="DP12" s="299" t="n"/>
      <x:c r="DQ12" s="299" t="n"/>
      <x:c r="DR12" s="299" t="n"/>
      <x:c r="DS12" s="299" t="n"/>
      <x:c r="DT12" s="299" t="n"/>
      <x:c r="DU12" s="299" t="n"/>
      <x:c r="DV12" s="299" t="n"/>
      <x:c r="DW12" s="299" t="n"/>
      <x:c r="DX12" s="299" t="n"/>
      <x:c r="DY12" s="299" t="n"/>
      <x:c r="DZ12" s="299" t="n"/>
      <x:c r="EA12" s="299" t="n"/>
      <x:c r="EB12" s="299" t="n"/>
      <x:c r="EC12" s="299" t="n"/>
      <x:c r="ED12" s="299" t="n"/>
      <x:c r="EE12" s="299" t="n"/>
      <x:c r="EF12" s="299" t="n"/>
      <x:c r="EG12" s="299" t="n"/>
      <x:c r="EH12" s="299" t="n"/>
      <x:c r="EI12" s="299" t="n"/>
      <x:c r="EJ12" s="299" t="n"/>
      <x:c r="EK12" s="299" t="n"/>
      <x:c r="EL12" s="299" t="n"/>
      <x:c r="EM12" s="299" t="n"/>
      <x:c r="EN12" s="299" t="n"/>
      <x:c r="EO12" s="299" t="n"/>
      <x:c r="EP12" s="299" t="n"/>
      <x:c r="EQ12" s="299" t="n"/>
      <x:c r="ER12" s="299" t="n"/>
      <x:c r="ES12" s="299" t="n"/>
      <x:c r="ET12" s="299" t="n"/>
      <x:c r="EU12" s="299" t="n"/>
      <x:c r="EV12" s="299" t="n"/>
      <x:c r="EW12" s="299" t="n"/>
      <x:c r="EX12" s="299" t="n"/>
      <x:c r="EY12" s="299" t="n"/>
      <x:c r="EZ12" s="28" t="n"/>
      <x:c r="FA12" s="28" t="n"/>
      <x:c r="FB12" s="28" t="n"/>
      <x:c r="FC12" s="28" t="n"/>
      <x:c r="FD12" s="28" t="n"/>
      <x:c r="FE12" s="28" t="n"/>
      <x:c r="FF12" s="28" t="n"/>
      <x:c r="FG12" s="28" t="n"/>
      <x:c r="FH12" s="28" t="n"/>
      <x:c r="FI12" s="28" t="n"/>
      <x:c r="FJ12" s="28" t="n"/>
      <x:c r="FK12" s="28" t="n"/>
      <x:c r="FL12" s="28" t="n"/>
      <x:c r="FM12" s="28" t="n"/>
      <x:c r="FN12" s="28" t="n"/>
      <x:c r="FO12" s="28" t="n"/>
      <x:c r="FP12" s="28" t="n"/>
      <x:c r="FQ12" s="28" t="n"/>
      <x:c r="FR12" s="28" t="n"/>
      <x:c r="FS12" s="28" t="n"/>
      <x:c r="FT12" s="28" t="n"/>
      <x:c r="FU12" s="28" t="n"/>
      <x:c r="FV12" s="28" t="n"/>
      <x:c r="FW12" s="28" t="n"/>
      <x:c r="FX12" s="28" t="n"/>
      <x:c r="FY12" s="28" t="n"/>
      <x:c r="FZ12" s="28" t="n"/>
    </x:row>
    <x:row r="13" s="27" customFormat="1">
      <x:c r="A13" s="122" t="n"/>
      <x:c r="B13" s="127" t="n"/>
      <x:c r="C13" s="86" t="n">
        <x:f>E13*D$5</x:f>
        <x:v>0</x:v>
      </x:c>
      <x:c r="D13" s="103" t="inlineStr">
        <x:is>
          <x:t xml:space="preserve">Eugene S. Repass</x:t>
        </x:is>
      </x:c>
      <x:c r="E13" s="86" t="n">
        <x:f>SUM(G13:HS13)</x:f>
        <x:v>0</x:v>
      </x:c>
      <x:c r="F13" s="126" t="inlineStr">
        <x:is>
          <x:t xml:space="preserve"/>
        </x:is>
      </x:c>
      <x:c r="G13" s="298" t="n"/>
      <x:c r="H13" s="297" t="n"/>
      <x:c r="I13" s="297" t="n"/>
      <x:c r="J13" s="297" t="n">
        <x:v>1</x:v>
      </x:c>
      <x:c r="K13" s="297" t="n">
        <x:v>-1</x:v>
      </x:c>
      <x:c r="L13" s="297" t="n"/>
      <x:c r="M13" s="297" t="n"/>
      <x:c r="N13" s="297" t="n"/>
      <x:c r="O13" s="297" t="n"/>
      <x:c r="P13" s="123" t="n"/>
      <x:c r="Q13" s="297" t="n"/>
      <x:c r="R13" s="297" t="n"/>
      <x:c r="S13" s="297" t="n"/>
      <x:c r="T13" s="297" t="n"/>
      <x:c r="U13" s="297" t="n"/>
      <x:c r="V13" s="297" t="n"/>
      <x:c r="W13" s="297" t="n"/>
      <x:c r="X13" s="297" t="n"/>
      <x:c r="Y13" s="123" t="n"/>
      <x:c r="Z13" s="123" t="n"/>
      <x:c r="AA13" s="124" t="n"/>
      <x:c r="AB13" s="123" t="n"/>
      <x:c r="AC13" s="123" t="n"/>
      <x:c r="AD13" s="123" t="n"/>
      <x:c r="AE13" s="123" t="n"/>
      <x:c r="AF13" s="297" t="n"/>
      <x:c r="AG13" s="123" t="n"/>
      <x:c r="AH13" s="297" t="n"/>
      <x:c r="AI13" s="123" t="n"/>
      <x:c r="AJ13" s="297" t="n"/>
      <x:c r="AK13" s="297" t="n"/>
      <x:c r="AL13" s="297" t="n"/>
      <x:c r="AM13" s="297" t="n"/>
      <x:c r="AN13" s="297" t="n"/>
      <x:c r="AO13" s="297" t="n"/>
      <x:c r="AP13" s="297" t="n"/>
      <x:c r="AQ13" s="297" t="n"/>
      <x:c r="AR13" s="299" t="n"/>
      <x:c r="AS13" s="299" t="n"/>
      <x:c r="AT13" s="299" t="n"/>
      <x:c r="AU13" s="299" t="n"/>
      <x:c r="AV13" s="299" t="n"/>
      <x:c r="AW13" s="299" t="n"/>
      <x:c r="AX13" s="299" t="n"/>
      <x:c r="AY13" s="299" t="n"/>
      <x:c r="AZ13" s="299" t="n"/>
      <x:c r="BA13" s="299" t="n"/>
      <x:c r="BB13" s="299" t="n"/>
      <x:c r="BC13" s="299" t="n"/>
      <x:c r="BD13" s="299" t="n"/>
      <x:c r="BE13" s="299" t="n"/>
      <x:c r="BF13" s="299" t="n"/>
      <x:c r="BG13" s="299" t="n"/>
      <x:c r="BH13" s="299" t="n"/>
      <x:c r="BI13" s="299" t="n"/>
      <x:c r="BJ13" s="299" t="n"/>
      <x:c r="BK13" s="299" t="n"/>
      <x:c r="BL13" s="299" t="n"/>
      <x:c r="BM13" s="299" t="n"/>
      <x:c r="BN13" s="299" t="n"/>
      <x:c r="BO13" s="299" t="n"/>
      <x:c r="BP13" s="299" t="n"/>
      <x:c r="BQ13" s="299" t="n"/>
      <x:c r="BR13" s="299" t="n"/>
      <x:c r="BS13" s="299" t="n"/>
      <x:c r="BT13" s="299" t="n"/>
      <x:c r="BU13" s="299" t="n"/>
      <x:c r="BV13" s="299" t="n"/>
      <x:c r="BW13" s="299" t="n"/>
      <x:c r="BX13" s="299" t="n"/>
      <x:c r="BY13" s="299" t="n"/>
      <x:c r="BZ13" s="299" t="n"/>
      <x:c r="CA13" s="299" t="n"/>
      <x:c r="CB13" s="299" t="n"/>
      <x:c r="CC13" s="299" t="n"/>
      <x:c r="CD13" s="299" t="n"/>
      <x:c r="CE13" s="299" t="n"/>
      <x:c r="CF13" s="299" t="n"/>
      <x:c r="CG13" s="299" t="n"/>
      <x:c r="CH13" s="299" t="n"/>
      <x:c r="CI13" s="299" t="n"/>
      <x:c r="CJ13" s="299" t="n"/>
      <x:c r="CK13" s="299" t="n"/>
      <x:c r="CL13" s="299" t="n"/>
      <x:c r="CM13" s="299" t="n"/>
      <x:c r="CN13" s="299" t="n"/>
      <x:c r="CO13" s="299" t="n"/>
      <x:c r="CP13" s="299" t="n"/>
      <x:c r="CQ13" s="299" t="n"/>
      <x:c r="CR13" s="299" t="n"/>
      <x:c r="CS13" s="299" t="n"/>
      <x:c r="CT13" s="299" t="n"/>
      <x:c r="CU13" s="299" t="n"/>
      <x:c r="CV13" s="299" t="n"/>
      <x:c r="CW13" s="299" t="n"/>
      <x:c r="CX13" s="299" t="n"/>
      <x:c r="CY13" s="299" t="n"/>
      <x:c r="CZ13" s="299" t="n"/>
      <x:c r="DA13" s="299" t="n"/>
      <x:c r="DB13" s="299" t="n"/>
      <x:c r="DC13" s="299" t="n"/>
      <x:c r="DD13" s="299" t="n"/>
      <x:c r="DE13" s="299" t="n"/>
      <x:c r="DF13" s="299" t="n"/>
      <x:c r="DG13" s="299" t="n"/>
      <x:c r="DH13" s="299" t="n"/>
      <x:c r="DI13" s="299" t="n"/>
      <x:c r="DJ13" s="299" t="n"/>
      <x:c r="DK13" s="299" t="n"/>
      <x:c r="DL13" s="299" t="n"/>
      <x:c r="DM13" s="299" t="n"/>
      <x:c r="DN13" s="299" t="n"/>
      <x:c r="DO13" s="299" t="n"/>
      <x:c r="DP13" s="299" t="n"/>
      <x:c r="DQ13" s="299" t="n"/>
      <x:c r="DR13" s="299" t="n"/>
      <x:c r="DS13" s="299" t="n"/>
      <x:c r="DT13" s="299" t="n"/>
      <x:c r="DU13" s="299" t="n"/>
      <x:c r="DV13" s="299" t="n"/>
      <x:c r="DW13" s="299" t="n"/>
      <x:c r="DX13" s="299" t="n"/>
      <x:c r="DY13" s="299" t="n"/>
      <x:c r="DZ13" s="299" t="n"/>
      <x:c r="EA13" s="299" t="n"/>
      <x:c r="EB13" s="299" t="n"/>
      <x:c r="EC13" s="299" t="n"/>
      <x:c r="ED13" s="299" t="n"/>
      <x:c r="EE13" s="299" t="n"/>
      <x:c r="EF13" s="299" t="n"/>
      <x:c r="EG13" s="299" t="n"/>
      <x:c r="EH13" s="299" t="n"/>
      <x:c r="EI13" s="299" t="n"/>
      <x:c r="EJ13" s="299" t="n"/>
      <x:c r="EK13" s="299" t="n"/>
      <x:c r="EL13" s="299" t="n"/>
      <x:c r="EM13" s="299" t="n"/>
      <x:c r="EN13" s="299" t="n"/>
      <x:c r="EO13" s="299" t="n"/>
      <x:c r="EP13" s="299" t="n"/>
      <x:c r="EQ13" s="299" t="n"/>
      <x:c r="ER13" s="299" t="n"/>
      <x:c r="ES13" s="299" t="n"/>
      <x:c r="ET13" s="299" t="n"/>
      <x:c r="EU13" s="299" t="n"/>
      <x:c r="EV13" s="299" t="n"/>
      <x:c r="EW13" s="299" t="n"/>
      <x:c r="EX13" s="299" t="n"/>
      <x:c r="EY13" s="299" t="n"/>
      <x:c r="EZ13" s="28" t="n"/>
      <x:c r="FA13" s="28" t="n"/>
      <x:c r="FB13" s="28" t="n"/>
      <x:c r="FC13" s="28" t="n"/>
      <x:c r="FD13" s="28" t="n"/>
      <x:c r="FE13" s="28" t="n"/>
      <x:c r="FF13" s="28" t="n"/>
      <x:c r="FG13" s="28" t="n"/>
      <x:c r="FH13" s="28" t="n"/>
      <x:c r="FI13" s="28" t="n"/>
      <x:c r="FJ13" s="28" t="n"/>
      <x:c r="FK13" s="28" t="n"/>
      <x:c r="FL13" s="28" t="n"/>
      <x:c r="FM13" s="28" t="n"/>
      <x:c r="FN13" s="28" t="n"/>
      <x:c r="FO13" s="28" t="n"/>
      <x:c r="FP13" s="28" t="n"/>
      <x:c r="FQ13" s="28" t="n"/>
      <x:c r="FR13" s="28" t="n"/>
      <x:c r="FS13" s="28" t="n"/>
      <x:c r="FT13" s="28" t="n"/>
      <x:c r="FU13" s="28" t="n"/>
      <x:c r="FV13" s="28" t="n"/>
      <x:c r="FW13" s="28" t="n"/>
      <x:c r="FX13" s="28" t="n"/>
      <x:c r="FY13" s="28" t="n"/>
      <x:c r="FZ13" s="28" t="n"/>
    </x:row>
    <x:row r="14" s="27" customFormat="1">
      <x:c r="A14" s="39" t="n"/>
      <x:c r="B14" s="39" t="n"/>
      <x:c r="C14" s="36" t="n">
        <x:f>E14*D$5</x:f>
        <x:v>16.17243983979181</x:v>
      </x:c>
      <x:c r="D14" s="4" t="inlineStr">
        <x:is>
          <x:t xml:space="preserve">William C. Bain</x:t>
        </x:is>
      </x:c>
      <x:c r="E14" s="36" t="n">
        <x:f>SUM(G14:HS14)</x:f>
        <x:v>0.10107774899869881</x:v>
      </x:c>
      <x:c r="F14" s="126" t="inlineStr">
        <x:is>
          <x:t xml:space="preserve"/>
        </x:is>
      </x:c>
      <x:c r="G14" s="297" t="n"/>
      <x:c r="H14" s="297" t="n"/>
      <x:c r="I14" s="297" t="n"/>
      <x:c r="J14" s="300" t="n"/>
      <x:c r="K14" s="123" t="n">
        <x:v>1</x:v>
      </x:c>
      <x:c r="L14" s="123" t="n"/>
      <x:c r="M14" s="301" t="n">
        <x:v>-0.050538870708934</x:v>
      </x:c>
      <x:c r="N14" s="297" t="n">
        <x:v>-0.050538870708934</x:v>
      </x:c>
      <x:c r="O14" s="297" t="n">
        <x:v>-0.050538870708934</x:v>
      </x:c>
      <x:c r="P14" s="123" t="n">
        <x:v>-0.050538870708934</x:v>
      </x:c>
      <x:c r="Q14" s="297" t="n">
        <x:v>-0.050538870708934</x:v>
      </x:c>
      <x:c r="R14" s="297" t="n">
        <x:v>-0.050538870708934</x:v>
      </x:c>
      <x:c r="S14" s="297" t="n">
        <x:v>-0.050538870708934</x:v>
      </x:c>
      <x:c r="T14" s="297" t="n">
        <x:v>-0.050538870708934</x:v>
      </x:c>
      <x:c r="U14" s="297" t="n"/>
      <x:c r="V14" s="297" t="n"/>
      <x:c r="W14" s="297" t="n"/>
      <x:c r="X14" s="297" t="n"/>
      <x:c r="Y14" s="123" t="n"/>
      <x:c r="Z14" s="123" t="n"/>
      <x:c r="AA14" s="124" t="n"/>
      <x:c r="AB14" s="298" t="n"/>
      <x:c r="AC14" s="298" t="n"/>
      <x:c r="AD14" s="298" t="n"/>
      <x:c r="AE14" s="298" t="n"/>
      <x:c r="AF14" s="297" t="n"/>
      <x:c r="AG14" s="123" t="n"/>
      <x:c r="AH14" s="297" t="n"/>
      <x:c r="AI14" s="123" t="n"/>
      <x:c r="AJ14" s="297" t="n"/>
      <x:c r="AK14" s="297" t="n"/>
      <x:c r="AL14" s="297" t="n"/>
      <x:c r="AM14" s="297" t="n"/>
      <x:c r="AN14" s="297" t="n"/>
      <x:c r="AO14" s="297" t="n"/>
      <x:c r="AP14" s="297" t="n"/>
      <x:c r="AQ14" s="297" t="n"/>
      <x:c r="AR14" s="299" t="n"/>
      <x:c r="AS14" s="299" t="n"/>
      <x:c r="AT14" s="299" t="n"/>
      <x:c r="AU14" s="299" t="n"/>
      <x:c r="AV14" s="299" t="n"/>
      <x:c r="AW14" s="299" t="n"/>
      <x:c r="AX14" s="299" t="n"/>
      <x:c r="AY14" s="299" t="n"/>
      <x:c r="AZ14" s="299" t="n"/>
      <x:c r="BA14" s="299" t="n"/>
      <x:c r="BB14" s="299" t="n"/>
      <x:c r="BC14" s="299" t="n">
        <x:v>-0.0549568094810921</x:v>
      </x:c>
      <x:c r="BD14" s="299" t="n">
        <x:v>-0.0549568094810921</x:v>
      </x:c>
      <x:c r="BE14" s="299" t="n">
        <x:v>-0.0549568094810921</x:v>
      </x:c>
      <x:c r="BF14" s="299" t="n">
        <x:v>-0.0549568094810921</x:v>
      </x:c>
      <x:c r="BG14" s="299" t="n">
        <x:v>-0.0549568094810921</x:v>
      </x:c>
      <x:c r="BH14" s="299" t="n">
        <x:v>-0.0549568094810921</x:v>
      </x:c>
      <x:c r="BI14" s="299" t="n">
        <x:v>-0.0549568094810921</x:v>
      </x:c>
      <x:c r="BJ14" s="299" t="n">
        <x:v>-0.0549568094810921</x:v>
      </x:c>
      <x:c r="BK14" s="299" t="n">
        <x:v>-0.0549568094810921</x:v>
      </x:c>
      <x:c r="BL14" s="299" t="n"/>
      <x:c r="BM14" s="299" t="n"/>
      <x:c r="BN14" s="299" t="n"/>
      <x:c r="BO14" s="299" t="n"/>
      <x:c r="BP14" s="299" t="n"/>
      <x:c r="BQ14" s="299" t="n"/>
      <x:c r="BR14" s="299" t="n"/>
      <x:c r="BS14" s="299" t="n"/>
      <x:c r="BT14" s="299" t="n"/>
      <x:c r="BU14" s="299" t="n"/>
      <x:c r="BV14" s="299" t="n"/>
      <x:c r="BW14" s="299" t="n"/>
      <x:c r="BX14" s="299" t="n"/>
      <x:c r="BY14" s="299" t="n"/>
      <x:c r="BZ14" s="299" t="n"/>
      <x:c r="CA14" s="299" t="n"/>
      <x:c r="CB14" s="299" t="n"/>
      <x:c r="CC14" s="299" t="n"/>
      <x:c r="CD14" s="299" t="n"/>
      <x:c r="CE14" s="299" t="n"/>
      <x:c r="CF14" s="299" t="n"/>
      <x:c r="CG14" s="299" t="n"/>
      <x:c r="CH14" s="299" t="n"/>
      <x:c r="CI14" s="299" t="n"/>
      <x:c r="CJ14" s="299" t="n"/>
      <x:c r="CK14" s="299" t="n"/>
      <x:c r="CL14" s="299" t="n"/>
      <x:c r="CM14" s="299" t="n"/>
      <x:c r="CN14" s="299" t="n"/>
      <x:c r="CO14" s="299" t="n"/>
      <x:c r="CP14" s="299" t="n"/>
      <x:c r="CQ14" s="299" t="n"/>
      <x:c r="CR14" s="299" t="n"/>
      <x:c r="CS14" s="299" t="n"/>
      <x:c r="CT14" s="299" t="n"/>
      <x:c r="CU14" s="299" t="n"/>
      <x:c r="CV14" s="299" t="n"/>
      <x:c r="CW14" s="299" t="n"/>
      <x:c r="CX14" s="299" t="n"/>
      <x:c r="CY14" s="299" t="n"/>
      <x:c r="CZ14" s="299" t="n"/>
      <x:c r="DA14" s="299" t="n"/>
      <x:c r="DB14" s="299" t="n"/>
      <x:c r="DC14" s="299" t="n"/>
      <x:c r="DD14" s="299" t="n"/>
      <x:c r="DE14" s="299" t="n"/>
      <x:c r="DF14" s="299" t="n"/>
      <x:c r="DG14" s="299" t="n"/>
      <x:c r="DH14" s="299" t="n"/>
      <x:c r="DI14" s="299" t="n"/>
      <x:c r="DJ14" s="299" t="n"/>
      <x:c r="DK14" s="299" t="n"/>
      <x:c r="DL14" s="299" t="n"/>
      <x:c r="DM14" s="299" t="n"/>
      <x:c r="DN14" s="299" t="n"/>
      <x:c r="DO14" s="299" t="n"/>
      <x:c r="DP14" s="299" t="n"/>
      <x:c r="DQ14" s="299" t="n"/>
      <x:c r="DR14" s="299" t="n"/>
      <x:c r="DS14" s="299" t="n"/>
      <x:c r="DT14" s="299" t="n"/>
      <x:c r="DU14" s="299" t="n"/>
      <x:c r="DV14" s="299" t="n"/>
      <x:c r="DW14" s="299" t="n"/>
      <x:c r="DX14" s="299" t="n"/>
      <x:c r="DY14" s="299" t="n"/>
      <x:c r="DZ14" s="299" t="n"/>
      <x:c r="EA14" s="299" t="n"/>
      <x:c r="EB14" s="299" t="n"/>
      <x:c r="EC14" s="299" t="n"/>
      <x:c r="ED14" s="299" t="n"/>
      <x:c r="EE14" s="299" t="n"/>
      <x:c r="EF14" s="299" t="n"/>
      <x:c r="EG14" s="299" t="n"/>
      <x:c r="EH14" s="299" t="n"/>
      <x:c r="EI14" s="299" t="n"/>
      <x:c r="EJ14" s="299" t="n"/>
      <x:c r="EK14" s="299" t="n"/>
      <x:c r="EL14" s="299" t="n"/>
      <x:c r="EM14" s="299" t="n"/>
      <x:c r="EN14" s="299" t="n"/>
      <x:c r="EO14" s="299" t="n"/>
      <x:c r="EP14" s="299" t="n"/>
      <x:c r="EQ14" s="299" t="n"/>
      <x:c r="ER14" s="299" t="n"/>
      <x:c r="ES14" s="299" t="n"/>
      <x:c r="ET14" s="299" t="n"/>
      <x:c r="EU14" s="299" t="n"/>
      <x:c r="EV14" s="299" t="n"/>
      <x:c r="EW14" s="299" t="n"/>
      <x:c r="EX14" s="299" t="n"/>
      <x:c r="EY14" s="299" t="n"/>
      <x:c r="EZ14" s="28" t="n"/>
      <x:c r="FA14" s="28" t="n"/>
      <x:c r="FB14" s="28" t="n"/>
      <x:c r="FC14" s="28" t="n"/>
      <x:c r="FD14" s="28" t="n"/>
      <x:c r="FE14" s="28" t="n"/>
      <x:c r="FF14" s="28" t="n"/>
      <x:c r="FG14" s="28" t="n"/>
      <x:c r="FH14" s="28" t="n"/>
      <x:c r="FI14" s="28" t="n"/>
      <x:c r="FJ14" s="28" t="n"/>
      <x:c r="FK14" s="28" t="n"/>
      <x:c r="FL14" s="28" t="n"/>
      <x:c r="FM14" s="28" t="n"/>
      <x:c r="FN14" s="28" t="n"/>
      <x:c r="FO14" s="28" t="n"/>
      <x:c r="FP14" s="28" t="n"/>
      <x:c r="FQ14" s="28" t="n"/>
      <x:c r="FR14" s="28" t="n"/>
      <x:c r="FS14" s="28" t="n"/>
      <x:c r="FT14" s="28" t="n"/>
      <x:c r="FU14" s="28" t="n"/>
      <x:c r="FV14" s="28" t="n"/>
      <x:c r="FW14" s="28" t="n"/>
      <x:c r="FX14" s="28" t="n"/>
      <x:c r="FY14" s="28" t="n"/>
      <x:c r="FZ14" s="28" t="n"/>
    </x:row>
    <x:row r="15" s="27" customFormat="1">
      <x:c r="A15" s="125" t="n"/>
      <x:c r="B15" s="39" t="n"/>
      <x:c r="C15" s="36" t="n">
        <x:f>E15*D$5</x:f>
        <x:v>0</x:v>
      </x:c>
      <x:c r="D15" s="104" t="inlineStr">
        <x:is>
          <x:t xml:space="preserve">Marvin G. Mitchell and Carrie Lou Mitchell, HW, JTWROS</x:t>
        </x:is>
      </x:c>
      <x:c r="E15" s="36" t="n">
        <x:f>SUM(G15:HS15)</x:f>
        <x:v>0</x:v>
      </x:c>
      <x:c r="F15" s="126" t="inlineStr">
        <x:is>
          <x:t xml:space="preserve"/>
        </x:is>
      </x:c>
      <x:c r="G15" s="298" t="n"/>
      <x:c r="H15" s="297" t="n"/>
      <x:c r="I15" s="297" t="n"/>
      <x:c r="J15" s="300" t="n"/>
      <x:c r="K15" s="300" t="n"/>
      <x:c r="L15" s="123" t="n">
        <x:v>0</x:v>
      </x:c>
      <x:c r="M15" s="301" t="n"/>
      <x:c r="N15" s="297" t="n"/>
      <x:c r="O15" s="297" t="n"/>
      <x:c r="P15" s="297" t="n"/>
      <x:c r="Q15" s="297" t="n"/>
      <x:c r="R15" s="297" t="n"/>
      <x:c r="S15" s="297" t="n"/>
      <x:c r="T15" s="297" t="n"/>
      <x:c r="U15" s="297" t="n"/>
      <x:c r="V15" s="297" t="n"/>
      <x:c r="W15" s="297" t="n"/>
      <x:c r="X15" s="297" t="n"/>
      <x:c r="Y15" s="123" t="n"/>
      <x:c r="Z15" s="123" t="n"/>
      <x:c r="AA15" s="123" t="n"/>
      <x:c r="AB15" s="298" t="n"/>
      <x:c r="AC15" s="298" t="n"/>
      <x:c r="AD15" s="298" t="n"/>
      <x:c r="AE15" s="298" t="n"/>
      <x:c r="AF15" s="297" t="n"/>
      <x:c r="AG15" s="123" t="n"/>
      <x:c r="AH15" s="297" t="n"/>
      <x:c r="AI15" s="123" t="n"/>
      <x:c r="AJ15" s="297" t="n"/>
      <x:c r="AK15" s="297" t="n"/>
      <x:c r="AL15" s="297" t="n"/>
      <x:c r="AM15" s="297" t="n"/>
      <x:c r="AN15" s="297" t="n"/>
      <x:c r="AO15" s="297" t="n"/>
      <x:c r="AP15" s="297" t="n"/>
      <x:c r="AQ15" s="297" t="n"/>
      <x:c r="AR15" s="299" t="n"/>
      <x:c r="AS15" s="299" t="n"/>
      <x:c r="AT15" s="299" t="n"/>
      <x:c r="AU15" s="299" t="n"/>
      <x:c r="AV15" s="299" t="n"/>
      <x:c r="AW15" s="299" t="n"/>
      <x:c r="AX15" s="299" t="n"/>
      <x:c r="AY15" s="299" t="n"/>
      <x:c r="AZ15" s="299" t="n"/>
      <x:c r="BA15" s="299" t="n"/>
      <x:c r="BB15" s="299" t="n"/>
      <x:c r="BC15" s="299" t="n"/>
      <x:c r="BD15" s="299" t="n"/>
      <x:c r="BE15" s="299" t="n"/>
      <x:c r="BF15" s="299" t="n"/>
      <x:c r="BG15" s="299" t="n"/>
      <x:c r="BH15" s="299" t="n"/>
      <x:c r="BI15" s="299" t="n"/>
      <x:c r="BJ15" s="299" t="n"/>
      <x:c r="BK15" s="299" t="n"/>
      <x:c r="BL15" s="299" t="n"/>
      <x:c r="BM15" s="299" t="n"/>
      <x:c r="BN15" s="299" t="n"/>
      <x:c r="BO15" s="299" t="n"/>
      <x:c r="BP15" s="299" t="n"/>
      <x:c r="BQ15" s="299" t="n"/>
      <x:c r="BR15" s="299" t="n"/>
      <x:c r="BS15" s="299" t="n"/>
      <x:c r="BT15" s="299" t="n"/>
      <x:c r="BU15" s="299" t="n"/>
      <x:c r="BV15" s="299" t="n"/>
      <x:c r="BW15" s="299" t="n"/>
      <x:c r="BX15" s="299" t="n"/>
      <x:c r="BY15" s="299" t="n"/>
      <x:c r="BZ15" s="299" t="n"/>
      <x:c r="CA15" s="299" t="n"/>
      <x:c r="CB15" s="299" t="n"/>
      <x:c r="CC15" s="299" t="n"/>
      <x:c r="CD15" s="299" t="n"/>
      <x:c r="CE15" s="299" t="n"/>
      <x:c r="CF15" s="299" t="n"/>
      <x:c r="CG15" s="299" t="n"/>
      <x:c r="CH15" s="299" t="n"/>
      <x:c r="CI15" s="299" t="n"/>
      <x:c r="CJ15" s="299" t="n"/>
      <x:c r="CK15" s="299" t="n"/>
      <x:c r="CL15" s="299" t="n"/>
      <x:c r="CM15" s="299" t="n"/>
      <x:c r="CN15" s="299" t="n"/>
      <x:c r="CO15" s="299" t="n"/>
      <x:c r="CP15" s="299" t="n"/>
      <x:c r="CQ15" s="299" t="n"/>
      <x:c r="CR15" s="299" t="n"/>
      <x:c r="CS15" s="299" t="n"/>
      <x:c r="CT15" s="299" t="n"/>
      <x:c r="CU15" s="299" t="n"/>
      <x:c r="CV15" s="299" t="n"/>
      <x:c r="CW15" s="299" t="n"/>
      <x:c r="CX15" s="299" t="n"/>
      <x:c r="CY15" s="299" t="n"/>
      <x:c r="CZ15" s="299" t="n"/>
      <x:c r="DA15" s="299" t="n"/>
      <x:c r="DB15" s="299" t="n"/>
      <x:c r="DC15" s="299" t="n"/>
      <x:c r="DD15" s="299" t="n"/>
      <x:c r="DE15" s="299" t="n"/>
      <x:c r="DF15" s="299" t="n"/>
      <x:c r="DG15" s="299" t="n"/>
      <x:c r="DH15" s="299" t="n"/>
      <x:c r="DI15" s="299" t="n"/>
      <x:c r="DJ15" s="299" t="n"/>
      <x:c r="DK15" s="299" t="n"/>
      <x:c r="DL15" s="299" t="n"/>
      <x:c r="DM15" s="299" t="n"/>
      <x:c r="DN15" s="299" t="n"/>
      <x:c r="DO15" s="299" t="n"/>
      <x:c r="DP15" s="299" t="n"/>
      <x:c r="DQ15" s="299" t="n"/>
      <x:c r="DR15" s="299" t="n"/>
      <x:c r="DS15" s="299" t="n"/>
      <x:c r="DT15" s="299" t="n"/>
      <x:c r="DU15" s="299" t="n"/>
      <x:c r="DV15" s="299" t="n"/>
      <x:c r="DW15" s="299" t="n"/>
      <x:c r="DX15" s="299" t="n"/>
      <x:c r="DY15" s="299" t="n"/>
      <x:c r="DZ15" s="299" t="n"/>
      <x:c r="EA15" s="299" t="n"/>
      <x:c r="EB15" s="299" t="n"/>
      <x:c r="EC15" s="299" t="n"/>
      <x:c r="ED15" s="299" t="n"/>
      <x:c r="EE15" s="299" t="n"/>
      <x:c r="EF15" s="299" t="n"/>
      <x:c r="EG15" s="299" t="n"/>
      <x:c r="EH15" s="299" t="n"/>
      <x:c r="EI15" s="299" t="n"/>
      <x:c r="EJ15" s="299" t="n"/>
      <x:c r="EK15" s="299" t="n"/>
      <x:c r="EL15" s="299" t="n"/>
      <x:c r="EM15" s="299" t="n"/>
      <x:c r="EN15" s="299" t="n"/>
      <x:c r="EO15" s="299" t="n"/>
      <x:c r="EP15" s="299" t="n"/>
      <x:c r="EQ15" s="299" t="n"/>
      <x:c r="ER15" s="299" t="n"/>
      <x:c r="ES15" s="299" t="n"/>
      <x:c r="ET15" s="299" t="n"/>
      <x:c r="EU15" s="299" t="n"/>
      <x:c r="EV15" s="299" t="n"/>
      <x:c r="EW15" s="299" t="n"/>
      <x:c r="EX15" s="299" t="n"/>
      <x:c r="EY15" s="299" t="n"/>
      <x:c r="EZ15" s="28" t="n"/>
      <x:c r="FA15" s="28" t="n"/>
      <x:c r="FB15" s="28" t="n"/>
      <x:c r="FC15" s="28" t="n"/>
      <x:c r="FD15" s="28" t="n"/>
      <x:c r="FE15" s="28" t="n"/>
      <x:c r="FF15" s="28" t="n"/>
      <x:c r="FG15" s="28" t="n"/>
      <x:c r="FH15" s="28" t="n"/>
      <x:c r="FI15" s="28" t="n"/>
      <x:c r="FJ15" s="28" t="n"/>
      <x:c r="FK15" s="28" t="n"/>
      <x:c r="FL15" s="28" t="n"/>
      <x:c r="FM15" s="28" t="n"/>
      <x:c r="FN15" s="28" t="n"/>
      <x:c r="FO15" s="28" t="n"/>
      <x:c r="FP15" s="28" t="n"/>
      <x:c r="FQ15" s="28" t="n"/>
      <x:c r="FR15" s="28" t="n"/>
      <x:c r="FS15" s="28" t="n"/>
      <x:c r="FT15" s="28" t="n"/>
      <x:c r="FU15" s="28" t="n"/>
      <x:c r="FV15" s="28" t="n"/>
      <x:c r="FW15" s="28" t="n"/>
      <x:c r="FX15" s="28" t="n"/>
      <x:c r="FY15" s="28" t="n"/>
      <x:c r="FZ15" s="28" t="n"/>
    </x:row>
    <x:row r="16" s="27" customFormat="1">
      <x:c r="A16" s="125" t="n"/>
      <x:c r="B16" s="39" t="n"/>
      <x:c r="C16" s="36" t="n">
        <x:f>E16*D$5</x:f>
        <x:v>-6.661338147750939e-15</x:v>
      </x:c>
      <x:c r="D16" s="331" t="inlineStr">
        <x:is>
          <x:t xml:space="preserve">Hazel A. Hamilton</x:t>
        </x:is>
      </x:c>
      <x:c r="E16" s="36" t="n">
        <x:f>SUM(G16:HS16)</x:f>
        <x:v>-4.163336342344337e-17</x:v>
      </x:c>
      <x:c r="F16" s="126" t="inlineStr">
        <x:is>
          <x:t xml:space="preserve"/>
        </x:is>
      </x:c>
      <x:c r="G16" s="298" t="n"/>
      <x:c r="H16" s="297" t="n"/>
      <x:c r="I16" s="297" t="n"/>
      <x:c r="J16" s="300" t="n"/>
      <x:c r="K16" s="300" t="n"/>
      <x:c r="L16" s="123" t="n"/>
      <x:c r="M16" s="301" t="n">
        <x:v>0.05053887070893401</x:v>
      </x:c>
      <x:c r="N16" s="297" t="n"/>
      <x:c r="O16" s="301" t="n"/>
      <x:c r="P16" s="123" t="n"/>
      <x:c r="Q16" s="297" t="n"/>
      <x:c r="R16" s="297" t="n"/>
      <x:c r="S16" s="297" t="n"/>
      <x:c r="T16" s="297" t="n"/>
      <x:c r="U16" s="297" t="n"/>
      <x:c r="V16" s="298" t="n"/>
      <x:c r="W16" s="297" t="n"/>
      <x:c r="X16" s="297" t="n"/>
      <x:c r="Y16" s="123" t="n"/>
      <x:c r="Z16" s="123" t="n">
        <x:v>-0.050538870708934</x:v>
      </x:c>
      <x:c r="AA16" s="123" t="n"/>
      <x:c r="AB16" s="298" t="n"/>
      <x:c r="AC16" s="298" t="n"/>
      <x:c r="AD16" s="298" t="n"/>
      <x:c r="AE16" s="298" t="n"/>
      <x:c r="AF16" s="297" t="n"/>
      <x:c r="AG16" s="123" t="n"/>
      <x:c r="AH16" s="297" t="n"/>
      <x:c r="AI16" s="123" t="n"/>
      <x:c r="AJ16" s="297" t="n"/>
      <x:c r="AK16" s="297" t="n"/>
      <x:c r="AL16" s="297" t="n"/>
      <x:c r="AM16" s="297" t="n"/>
      <x:c r="AN16" s="297" t="n"/>
      <x:c r="AO16" s="297" t="n"/>
      <x:c r="AP16" s="297" t="n"/>
      <x:c r="AQ16" s="297" t="n"/>
      <x:c r="AR16" s="299" t="n"/>
      <x:c r="AS16" s="299" t="n"/>
      <x:c r="AT16" s="299" t="n"/>
      <x:c r="AU16" s="299" t="n"/>
      <x:c r="AV16" s="299" t="n"/>
      <x:c r="AW16" s="299" t="n"/>
      <x:c r="AX16" s="299" t="n"/>
      <x:c r="AY16" s="299" t="n"/>
      <x:c r="AZ16" s="299" t="n"/>
      <x:c r="BA16" s="299" t="n"/>
      <x:c r="BB16" s="299" t="n"/>
      <x:c r="BC16" s="299" t="n"/>
      <x:c r="BD16" s="299" t="n"/>
      <x:c r="BE16" s="299" t="n"/>
      <x:c r="BF16" s="299" t="n"/>
      <x:c r="BG16" s="299" t="n"/>
      <x:c r="BH16" s="299" t="n">
        <x:v>0.0549568094810921</x:v>
      </x:c>
      <x:c r="BI16" s="299" t="n"/>
      <x:c r="BJ16" s="299" t="n"/>
      <x:c r="BK16" s="299" t="n"/>
      <x:c r="BL16" s="299" t="n"/>
      <x:c r="BM16" s="299" t="n"/>
      <x:c r="BN16" s="299" t="n"/>
      <x:c r="BO16" s="299" t="n"/>
      <x:c r="BP16" s="299" t="n"/>
      <x:c r="BQ16" s="299" t="n"/>
      <x:c r="BR16" s="299" t="n"/>
      <x:c r="BS16" s="299" t="n">
        <x:v>0.004211568347505275</x:v>
      </x:c>
      <x:c r="BT16" s="299" t="n"/>
      <x:c r="BU16" s="299" t="n"/>
      <x:c r="BV16" s="299" t="n"/>
      <x:c r="BW16" s="299" t="n"/>
      <x:c r="BX16" s="299" t="n"/>
      <x:c r="BY16" s="299" t="n"/>
      <x:c r="BZ16" s="299" t="n"/>
      <x:c r="CA16" s="299" t="n">
        <x:v>-0.00421156834750528</x:v>
      </x:c>
      <x:c r="CB16" s="299" t="n"/>
      <x:c r="CC16" s="299" t="n"/>
      <x:c r="CD16" s="299" t="n"/>
      <x:c r="CE16" s="299" t="n"/>
      <x:c r="CF16" s="299" t="n"/>
      <x:c r="CG16" s="299" t="n"/>
      <x:c r="CH16" s="299" t="n"/>
      <x:c r="CI16" s="299" t="n"/>
      <x:c r="CJ16" s="299" t="n"/>
      <x:c r="CK16" s="299" t="n"/>
      <x:c r="CL16" s="299" t="n"/>
      <x:c r="CM16" s="299" t="n"/>
      <x:c r="CN16" s="299" t="n"/>
      <x:c r="CO16" s="299" t="n"/>
      <x:c r="CP16" s="299" t="n"/>
      <x:c r="CQ16" s="299" t="n"/>
      <x:c r="CR16" s="299" t="n"/>
      <x:c r="CS16" s="299" t="n"/>
      <x:c r="CT16" s="299" t="n"/>
      <x:c r="CU16" s="299" t="n"/>
      <x:c r="CV16" s="299" t="n"/>
      <x:c r="CW16" s="299" t="n"/>
      <x:c r="CX16" s="299" t="n"/>
      <x:c r="CY16" s="299" t="n"/>
      <x:c r="CZ16" s="299" t="n"/>
      <x:c r="DA16" s="299" t="n"/>
      <x:c r="DB16" s="299" t="n"/>
      <x:c r="DC16" s="299" t="n"/>
      <x:c r="DD16" s="299" t="n"/>
      <x:c r="DE16" s="299" t="n"/>
      <x:c r="DF16" s="299" t="n"/>
      <x:c r="DG16" s="299" t="n"/>
      <x:c r="DH16" s="299" t="n">
        <x:f>-(43.496666/791.47)</x:f>
        <x:v>-0.05495680948109214</x:v>
      </x:c>
      <x:c r="DI16" s="299" t="n"/>
      <x:c r="DJ16" s="299" t="n"/>
      <x:c r="DK16" s="299" t="n"/>
      <x:c r="DL16" s="299" t="n"/>
      <x:c r="DM16" s="299" t="n"/>
      <x:c r="DN16" s="299" t="n"/>
      <x:c r="DO16" s="299" t="n"/>
      <x:c r="DP16" s="299" t="n"/>
      <x:c r="DQ16" s="299" t="n"/>
      <x:c r="DR16" s="299" t="n"/>
      <x:c r="DS16" s="299" t="n"/>
      <x:c r="DT16" s="299" t="n"/>
      <x:c r="DU16" s="299" t="n"/>
      <x:c r="DV16" s="299" t="n"/>
      <x:c r="DW16" s="299" t="n"/>
      <x:c r="DX16" s="299" t="n"/>
      <x:c r="DY16" s="299" t="n"/>
      <x:c r="DZ16" s="299" t="n"/>
      <x:c r="EA16" s="299" t="n"/>
      <x:c r="EB16" s="299" t="n"/>
      <x:c r="EC16" s="299" t="n"/>
      <x:c r="ED16" s="299" t="n"/>
      <x:c r="EE16" s="299" t="n"/>
      <x:c r="EF16" s="299" t="n"/>
      <x:c r="EG16" s="299" t="n"/>
      <x:c r="EH16" s="299" t="n"/>
      <x:c r="EI16" s="299" t="n"/>
      <x:c r="EJ16" s="299" t="n"/>
      <x:c r="EK16" s="299" t="n"/>
      <x:c r="EL16" s="299" t="n"/>
      <x:c r="EM16" s="299" t="n"/>
      <x:c r="EN16" s="299" t="n"/>
      <x:c r="EO16" s="299" t="n"/>
      <x:c r="EP16" s="299" t="n"/>
      <x:c r="EQ16" s="299" t="n"/>
      <x:c r="ER16" s="299" t="n"/>
      <x:c r="ES16" s="299" t="n"/>
      <x:c r="ET16" s="299" t="n"/>
      <x:c r="EU16" s="299" t="n"/>
      <x:c r="EV16" s="299" t="n"/>
      <x:c r="EW16" s="299" t="n"/>
      <x:c r="EX16" s="299" t="n"/>
      <x:c r="EY16" s="299" t="n"/>
      <x:c r="EZ16" s="28" t="n"/>
      <x:c r="FA16" s="28" t="n"/>
      <x:c r="FB16" s="28" t="n"/>
      <x:c r="FC16" s="28" t="n"/>
      <x:c r="FD16" s="28" t="n"/>
      <x:c r="FE16" s="28" t="n"/>
      <x:c r="FF16" s="28" t="n"/>
      <x:c r="FG16" s="28" t="n"/>
      <x:c r="FH16" s="28" t="n"/>
      <x:c r="FI16" s="28" t="n"/>
      <x:c r="FJ16" s="28" t="n"/>
      <x:c r="FK16" s="28" t="n"/>
      <x:c r="FL16" s="28" t="n"/>
      <x:c r="FM16" s="28" t="n"/>
      <x:c r="FN16" s="28" t="n"/>
      <x:c r="FO16" s="28" t="n"/>
      <x:c r="FP16" s="28" t="n"/>
      <x:c r="FQ16" s="28" t="n"/>
      <x:c r="FR16" s="28" t="n"/>
      <x:c r="FS16" s="28" t="n"/>
      <x:c r="FT16" s="28" t="n"/>
      <x:c r="FU16" s="28" t="n"/>
      <x:c r="FV16" s="28" t="n"/>
      <x:c r="FW16" s="28" t="n"/>
      <x:c r="FX16" s="28" t="n"/>
      <x:c r="FY16" s="28" t="n"/>
      <x:c r="FZ16" s="28" t="n"/>
    </x:row>
    <x:row r="17" s="27" customFormat="1">
      <x:c r="A17" s="125" t="n"/>
      <x:c r="B17" s="39" t="n"/>
      <x:c r="C17" s="36" t="n">
        <x:f>E17*D$5</x:f>
        <x:v>17.553159766005024</x:v>
      </x:c>
      <x:c r="D17" s="4" t="inlineStr">
        <x:is>
          <x:t xml:space="preserve">Opal L. Fuchs</x:t>
        </x:is>
      </x:c>
      <x:c r="E17" s="36" t="n">
        <x:f>SUM(G17:HS17)</x:f>
        <x:v>0.10970724853753139</x:v>
      </x:c>
      <x:c r="F17" s="126" t="inlineStr">
        <x:is>
          <x:t xml:space="preserve"/>
        </x:is>
      </x:c>
      <x:c r="G17" s="298" t="n"/>
      <x:c r="H17" s="297" t="n"/>
      <x:c r="I17" s="297" t="n"/>
      <x:c r="J17" s="300" t="n"/>
      <x:c r="K17" s="300" t="n"/>
      <x:c r="L17" s="123" t="n"/>
      <x:c r="M17" s="301" t="n"/>
      <x:c r="N17" s="297" t="n">
        <x:v>0.05053887070893401</x:v>
      </x:c>
      <x:c r="O17" s="297" t="n"/>
      <x:c r="P17" s="123" t="n"/>
      <x:c r="Q17" s="297" t="n"/>
      <x:c r="R17" s="297" t="n"/>
      <x:c r="S17" s="297" t="n"/>
      <x:c r="T17" s="297" t="n"/>
      <x:c r="U17" s="297" t="n"/>
      <x:c r="V17" s="297" t="n"/>
      <x:c r="W17" s="297" t="n"/>
      <x:c r="X17" s="297" t="n"/>
      <x:c r="Y17" s="123" t="n"/>
      <x:c r="Z17" s="123" t="n"/>
      <x:c r="AA17" s="123" t="n"/>
      <x:c r="AB17" s="298" t="n"/>
      <x:c r="AC17" s="298" t="n"/>
      <x:c r="AD17" s="298" t="n"/>
      <x:c r="AE17" s="298" t="n"/>
      <x:c r="AF17" s="297" t="n"/>
      <x:c r="AG17" s="123" t="n"/>
      <x:c r="AH17" s="297" t="n"/>
      <x:c r="AI17" s="123" t="n"/>
      <x:c r="AJ17" s="297" t="n"/>
      <x:c r="AK17" s="297" t="n"/>
      <x:c r="AL17" s="297" t="n"/>
      <x:c r="AM17" s="297" t="n"/>
      <x:c r="AN17" s="297" t="n"/>
      <x:c r="AO17" s="297" t="n"/>
      <x:c r="AP17" s="297" t="n"/>
      <x:c r="AQ17" s="297" t="n"/>
      <x:c r="AR17" s="299" t="n"/>
      <x:c r="AS17" s="299" t="n"/>
      <x:c r="AT17" s="299" t="n"/>
      <x:c r="AU17" s="299" t="n"/>
      <x:c r="AV17" s="299" t="n"/>
      <x:c r="AW17" s="299" t="n"/>
      <x:c r="AX17" s="299" t="n"/>
      <x:c r="AY17" s="299" t="n"/>
      <x:c r="AZ17" s="299" t="n"/>
      <x:c r="BA17" s="299" t="n"/>
      <x:c r="BB17" s="299" t="n"/>
      <x:c r="BC17" s="299" t="n"/>
      <x:c r="BD17" s="299" t="n"/>
      <x:c r="BE17" s="299" t="n"/>
      <x:c r="BF17" s="299" t="n"/>
      <x:c r="BG17" s="299" t="n"/>
      <x:c r="BH17" s="299" t="n"/>
      <x:c r="BI17" s="299" t="n">
        <x:v>0.0549568094810921</x:v>
      </x:c>
      <x:c r="BJ17" s="299" t="n"/>
      <x:c r="BK17" s="299" t="n"/>
      <x:c r="BL17" s="299" t="n"/>
      <x:c r="BM17" s="299" t="n"/>
      <x:c r="BN17" s="299" t="n"/>
      <x:c r="BO17" s="299" t="n"/>
      <x:c r="BP17" s="299" t="n"/>
      <x:c r="BQ17" s="299" t="n">
        <x:v>0.004211568347505275</x:v>
      </x:c>
      <x:c r="BR17" s="299" t="n"/>
      <x:c r="BS17" s="299" t="n"/>
      <x:c r="BT17" s="299" t="n"/>
      <x:c r="BU17" s="299" t="n"/>
      <x:c r="BV17" s="299" t="n"/>
      <x:c r="BW17" s="299" t="n"/>
      <x:c r="BX17" s="299" t="n"/>
      <x:c r="BY17" s="299" t="n"/>
      <x:c r="BZ17" s="299" t="n"/>
      <x:c r="CA17" s="299" t="n"/>
      <x:c r="CB17" s="299" t="n"/>
      <x:c r="CC17" s="299" t="n"/>
      <x:c r="CD17" s="299" t="n"/>
      <x:c r="CE17" s="299" t="n"/>
      <x:c r="CF17" s="299" t="n"/>
      <x:c r="CG17" s="299" t="n"/>
      <x:c r="CH17" s="299" t="n"/>
      <x:c r="CI17" s="299" t="n"/>
      <x:c r="CJ17" s="299" t="n"/>
      <x:c r="CK17" s="299" t="n"/>
      <x:c r="CL17" s="299" t="n"/>
      <x:c r="CM17" s="299" t="n"/>
      <x:c r="CN17" s="299" t="n"/>
      <x:c r="CO17" s="299" t="n"/>
      <x:c r="CP17" s="299" t="n"/>
      <x:c r="CQ17" s="299" t="n"/>
      <x:c r="CR17" s="299" t="n"/>
      <x:c r="CS17" s="299" t="n"/>
      <x:c r="CT17" s="299" t="n"/>
      <x:c r="CU17" s="299" t="n"/>
      <x:c r="CV17" s="299" t="n"/>
      <x:c r="CW17" s="299" t="n"/>
      <x:c r="CX17" s="299" t="n"/>
      <x:c r="CY17" s="299" t="n"/>
      <x:c r="CZ17" s="299" t="n"/>
      <x:c r="DA17" s="299" t="n"/>
      <x:c r="DB17" s="299" t="n"/>
      <x:c r="DC17" s="299" t="n"/>
      <x:c r="DD17" s="299" t="n"/>
      <x:c r="DE17" s="299" t="n"/>
      <x:c r="DF17" s="299" t="n"/>
      <x:c r="DG17" s="299" t="n"/>
      <x:c r="DH17" s="299" t="n"/>
      <x:c r="DI17" s="299" t="n"/>
      <x:c r="DJ17" s="299" t="n"/>
      <x:c r="DK17" s="299" t="n"/>
      <x:c r="DL17" s="299" t="n"/>
      <x:c r="DM17" s="299" t="n"/>
      <x:c r="DN17" s="299" t="n"/>
      <x:c r="DO17" s="299" t="n"/>
      <x:c r="DP17" s="299" t="n"/>
      <x:c r="DQ17" s="299" t="n"/>
      <x:c r="DR17" s="299" t="n"/>
      <x:c r="DS17" s="299" t="n"/>
      <x:c r="DT17" s="299" t="n"/>
      <x:c r="DU17" s="299" t="n"/>
      <x:c r="DV17" s="299" t="n"/>
      <x:c r="DW17" s="299" t="n"/>
      <x:c r="DX17" s="299" t="n"/>
      <x:c r="DY17" s="299" t="n"/>
      <x:c r="DZ17" s="299" t="n"/>
      <x:c r="EA17" s="299" t="n"/>
      <x:c r="EB17" s="299" t="n"/>
      <x:c r="EC17" s="299" t="n"/>
      <x:c r="ED17" s="299" t="n"/>
      <x:c r="EE17" s="299" t="n"/>
      <x:c r="EF17" s="299" t="n"/>
      <x:c r="EG17" s="299" t="n"/>
      <x:c r="EH17" s="299" t="n"/>
      <x:c r="EI17" s="299" t="n"/>
      <x:c r="EJ17" s="299" t="n"/>
      <x:c r="EK17" s="299" t="n"/>
      <x:c r="EL17" s="299" t="n"/>
      <x:c r="EM17" s="299" t="n"/>
      <x:c r="EN17" s="299" t="n"/>
      <x:c r="EO17" s="299" t="n"/>
      <x:c r="EP17" s="299" t="n"/>
      <x:c r="EQ17" s="299" t="n"/>
      <x:c r="ER17" s="299" t="n"/>
      <x:c r="ES17" s="299" t="n"/>
      <x:c r="ET17" s="299" t="n"/>
      <x:c r="EU17" s="299" t="n"/>
      <x:c r="EV17" s="299" t="n"/>
      <x:c r="EW17" s="299" t="n"/>
      <x:c r="EX17" s="299" t="n"/>
      <x:c r="EY17" s="299" t="n"/>
      <x:c r="EZ17" s="28" t="n"/>
      <x:c r="FA17" s="28" t="n"/>
      <x:c r="FB17" s="28" t="n"/>
      <x:c r="FC17" s="28" t="n"/>
      <x:c r="FD17" s="28" t="n"/>
      <x:c r="FE17" s="28" t="n"/>
      <x:c r="FF17" s="28" t="n"/>
      <x:c r="FG17" s="28" t="n"/>
      <x:c r="FH17" s="28" t="n"/>
      <x:c r="FI17" s="28" t="n"/>
      <x:c r="FJ17" s="28" t="n"/>
      <x:c r="FK17" s="28" t="n"/>
      <x:c r="FL17" s="28" t="n"/>
      <x:c r="FM17" s="28" t="n"/>
      <x:c r="FN17" s="28" t="n"/>
      <x:c r="FO17" s="28" t="n"/>
      <x:c r="FP17" s="28" t="n"/>
      <x:c r="FQ17" s="28" t="n"/>
      <x:c r="FR17" s="28" t="n"/>
      <x:c r="FS17" s="28" t="n"/>
      <x:c r="FT17" s="28" t="n"/>
      <x:c r="FU17" s="28" t="n"/>
      <x:c r="FV17" s="28" t="n"/>
      <x:c r="FW17" s="28" t="n"/>
      <x:c r="FX17" s="28" t="n"/>
      <x:c r="FY17" s="28" t="n"/>
      <x:c r="FZ17" s="28" t="n"/>
    </x:row>
    <x:row r="18" s="27" customFormat="1">
      <x:c r="A18" s="125" t="n"/>
      <x:c r="B18" s="39" t="n"/>
      <x:c r="C18" s="36" t="n">
        <x:f>E18*D$5</x:f>
        <x:v>8.086219313429442</x:v>
      </x:c>
      <x:c r="D18" s="4" t="inlineStr">
        <x:is>
          <x:t xml:space="preserve">Carl L. Bain</x:t>
        </x:is>
      </x:c>
      <x:c r="E18" s="36" t="n">
        <x:f>SUM(G18:HS18)</x:f>
        <x:v>0.05053887070893401</x:v>
      </x:c>
      <x:c r="F18" s="126" t="inlineStr">
        <x:is>
          <x:t xml:space="preserve"/>
        </x:is>
      </x:c>
      <x:c r="G18" s="297" t="n"/>
      <x:c r="H18" s="297" t="n"/>
      <x:c r="I18" s="297" t="n"/>
      <x:c r="J18" s="300" t="n"/>
      <x:c r="K18" s="300" t="n"/>
      <x:c r="L18" s="123" t="n"/>
      <x:c r="M18" s="301" t="n"/>
      <x:c r="N18" s="301" t="n"/>
      <x:c r="O18" s="297" t="n">
        <x:v>0.05053887070893401</x:v>
      </x:c>
      <x:c r="P18" s="123" t="n"/>
      <x:c r="Q18" s="297" t="n"/>
      <x:c r="R18" s="297" t="n"/>
      <x:c r="S18" s="297" t="n"/>
      <x:c r="T18" s="297" t="n"/>
      <x:c r="U18" s="297" t="n"/>
      <x:c r="V18" s="297" t="n"/>
      <x:c r="W18" s="297" t="n"/>
      <x:c r="X18" s="297" t="n"/>
      <x:c r="Y18" s="123" t="n"/>
      <x:c r="Z18" s="123" t="n"/>
      <x:c r="AA18" s="123" t="n"/>
      <x:c r="AB18" s="298" t="n"/>
      <x:c r="AC18" s="298" t="n"/>
      <x:c r="AD18" s="298" t="n"/>
      <x:c r="AE18" s="298" t="n"/>
      <x:c r="AF18" s="297" t="n"/>
      <x:c r="AG18" s="124" t="n"/>
      <x:c r="AH18" s="297" t="n"/>
      <x:c r="AI18" s="123" t="n"/>
      <x:c r="AJ18" s="297" t="n"/>
      <x:c r="AK18" s="297" t="n"/>
      <x:c r="AL18" s="297" t="n"/>
      <x:c r="AM18" s="297" t="n"/>
      <x:c r="AN18" s="297" t="n"/>
      <x:c r="AO18" s="297" t="n"/>
      <x:c r="AP18" s="297" t="n"/>
      <x:c r="AQ18" s="297" t="n"/>
      <x:c r="AR18" s="299" t="n"/>
      <x:c r="AS18" s="299" t="n"/>
      <x:c r="AT18" s="299" t="n"/>
      <x:c r="AU18" s="299" t="n"/>
      <x:c r="AV18" s="299" t="n"/>
      <x:c r="AW18" s="299" t="n"/>
      <x:c r="AX18" s="299" t="n"/>
      <x:c r="AY18" s="299" t="n"/>
      <x:c r="AZ18" s="299" t="n"/>
      <x:c r="BA18" s="299" t="n"/>
      <x:c r="BB18" s="299" t="n"/>
      <x:c r="BC18" s="299" t="n"/>
      <x:c r="BD18" s="299" t="n"/>
      <x:c r="BE18" s="299" t="n"/>
      <x:c r="BF18" s="299" t="n"/>
      <x:c r="BG18" s="299" t="n"/>
      <x:c r="BH18" s="299" t="n"/>
      <x:c r="BI18" s="299" t="n"/>
      <x:c r="BJ18" s="299" t="n"/>
      <x:c r="BK18" s="299" t="n"/>
      <x:c r="BL18" s="299" t="n"/>
      <x:c r="BM18" s="299" t="n"/>
      <x:c r="BN18" s="299" t="n"/>
      <x:c r="BO18" s="299" t="n"/>
      <x:c r="BP18" s="299" t="n"/>
      <x:c r="BQ18" s="299" t="n"/>
      <x:c r="BR18" s="299" t="n"/>
      <x:c r="BS18" s="299" t="n"/>
      <x:c r="BT18" s="299" t="n"/>
      <x:c r="BU18" s="299" t="n"/>
      <x:c r="BV18" s="299" t="n"/>
      <x:c r="BW18" s="299" t="n"/>
      <x:c r="BX18" s="299" t="n"/>
      <x:c r="BY18" s="299" t="n"/>
      <x:c r="BZ18" s="299" t="n"/>
      <x:c r="CA18" s="299" t="n"/>
      <x:c r="CB18" s="299" t="n"/>
      <x:c r="CC18" s="299" t="n"/>
      <x:c r="CD18" s="299" t="n"/>
      <x:c r="CE18" s="299" t="n"/>
      <x:c r="CF18" s="299" t="n"/>
      <x:c r="CG18" s="299" t="n"/>
      <x:c r="CH18" s="299" t="n"/>
      <x:c r="CI18" s="299" t="n"/>
      <x:c r="CJ18" s="299" t="n"/>
      <x:c r="CK18" s="299" t="n"/>
      <x:c r="CL18" s="299" t="n"/>
      <x:c r="CM18" s="299" t="n"/>
      <x:c r="CN18" s="299" t="n"/>
      <x:c r="CO18" s="299" t="n"/>
      <x:c r="CP18" s="299" t="n"/>
      <x:c r="CQ18" s="299" t="n"/>
      <x:c r="CR18" s="299" t="n"/>
      <x:c r="CS18" s="299" t="n"/>
      <x:c r="CT18" s="299" t="n"/>
      <x:c r="CU18" s="299" t="n"/>
      <x:c r="CV18" s="299" t="n"/>
      <x:c r="CW18" s="299" t="n"/>
      <x:c r="CX18" s="299" t="n"/>
      <x:c r="CY18" s="299" t="n"/>
      <x:c r="CZ18" s="299" t="n"/>
      <x:c r="DA18" s="299" t="n"/>
      <x:c r="DB18" s="299" t="n"/>
      <x:c r="DC18" s="299" t="n"/>
      <x:c r="DD18" s="299" t="n"/>
      <x:c r="DE18" s="299" t="n"/>
      <x:c r="DF18" s="299" t="n"/>
      <x:c r="DG18" s="299" t="n"/>
      <x:c r="DH18" s="299" t="n"/>
      <x:c r="DI18" s="299" t="n"/>
      <x:c r="DJ18" s="299" t="n"/>
      <x:c r="DK18" s="299" t="n"/>
      <x:c r="DL18" s="299" t="n"/>
      <x:c r="DM18" s="299" t="n"/>
      <x:c r="DN18" s="299" t="n"/>
      <x:c r="DO18" s="299" t="n"/>
      <x:c r="DP18" s="299" t="n"/>
      <x:c r="DQ18" s="299" t="n"/>
      <x:c r="DR18" s="299" t="n"/>
      <x:c r="DS18" s="299" t="n"/>
      <x:c r="DT18" s="299" t="n"/>
      <x:c r="DU18" s="299" t="n"/>
      <x:c r="DV18" s="299" t="n"/>
      <x:c r="DW18" s="299" t="n"/>
      <x:c r="DX18" s="299" t="n"/>
      <x:c r="DY18" s="299" t="n"/>
      <x:c r="DZ18" s="299" t="n"/>
      <x:c r="EA18" s="299" t="n"/>
      <x:c r="EB18" s="299" t="n"/>
      <x:c r="EC18" s="299" t="n"/>
      <x:c r="ED18" s="299" t="n"/>
      <x:c r="EE18" s="299" t="n"/>
      <x:c r="EF18" s="299" t="n"/>
      <x:c r="EG18" s="299" t="n"/>
      <x:c r="EH18" s="299" t="n"/>
      <x:c r="EI18" s="299" t="n"/>
      <x:c r="EJ18" s="299" t="n"/>
      <x:c r="EK18" s="299" t="n"/>
      <x:c r="EL18" s="299" t="n"/>
      <x:c r="EM18" s="299" t="n"/>
      <x:c r="EN18" s="299" t="n"/>
      <x:c r="EO18" s="299" t="n"/>
      <x:c r="EP18" s="299" t="n"/>
      <x:c r="EQ18" s="299" t="n"/>
      <x:c r="ER18" s="299" t="n"/>
      <x:c r="ES18" s="299" t="n"/>
      <x:c r="ET18" s="299" t="n"/>
      <x:c r="EU18" s="299" t="n"/>
      <x:c r="EV18" s="299" t="n"/>
      <x:c r="EW18" s="299" t="n"/>
      <x:c r="EX18" s="299" t="n"/>
      <x:c r="EY18" s="299" t="n"/>
      <x:c r="EZ18" s="28" t="n"/>
      <x:c r="FA18" s="28" t="n"/>
      <x:c r="FB18" s="28" t="n"/>
      <x:c r="FC18" s="28" t="n"/>
      <x:c r="FD18" s="28" t="n"/>
      <x:c r="FE18" s="28" t="n"/>
      <x:c r="FF18" s="28" t="n"/>
      <x:c r="FG18" s="28" t="n"/>
      <x:c r="FH18" s="28" t="n"/>
      <x:c r="FI18" s="28" t="n"/>
      <x:c r="FJ18" s="28" t="n"/>
      <x:c r="FK18" s="28" t="n"/>
      <x:c r="FL18" s="28" t="n"/>
      <x:c r="FM18" s="28" t="n"/>
      <x:c r="FN18" s="28" t="n"/>
      <x:c r="FO18" s="28" t="n"/>
      <x:c r="FP18" s="28" t="n"/>
      <x:c r="FQ18" s="28" t="n"/>
      <x:c r="FR18" s="28" t="n"/>
      <x:c r="FS18" s="28" t="n"/>
      <x:c r="FT18" s="28" t="n"/>
      <x:c r="FU18" s="28" t="n"/>
      <x:c r="FV18" s="28" t="n"/>
      <x:c r="FW18" s="28" t="n"/>
      <x:c r="FX18" s="28" t="n"/>
      <x:c r="FY18" s="28" t="n"/>
      <x:c r="FZ18" s="28" t="n"/>
    </x:row>
    <x:row r="19" s="27" customFormat="1">
      <x:c r="A19" s="125" t="n"/>
      <x:c r="B19" s="39" t="n"/>
      <x:c r="C19" s="36" t="n">
        <x:f>E19*D$5</x:f>
        <x:v>2.7755575615628914e-16</x:v>
      </x:c>
      <x:c r="D19" s="103" t="inlineStr">
        <x:is>
          <x:t xml:space="preserve">Dow C. Bain</x:t>
        </x:is>
      </x:c>
      <x:c r="E19" s="36" t="n">
        <x:f>SUM(G19:HS19)</x:f>
        <x:v>1.734723475976807e-18</x:v>
      </x:c>
      <x:c r="F19" s="126" t="inlineStr">
        <x:is>
          <x:t xml:space="preserve"/>
        </x:is>
      </x:c>
      <x:c r="G19" s="297" t="n"/>
      <x:c r="H19" s="297" t="n"/>
      <x:c r="I19" s="297" t="n"/>
      <x:c r="J19" s="297" t="n"/>
      <x:c r="K19" s="297" t="n"/>
      <x:c r="L19" s="297" t="n"/>
      <x:c r="M19" s="297" t="n"/>
      <x:c r="N19" s="301" t="n"/>
      <x:c r="O19" s="297" t="n"/>
      <x:c r="P19" s="297" t="n">
        <x:v>0.05053887070893401</x:v>
      </x:c>
      <x:c r="Q19" s="301" t="n"/>
      <x:c r="R19" s="301" t="n"/>
      <x:c r="S19" s="297" t="n"/>
      <x:c r="T19" s="297" t="n"/>
      <x:c r="U19" s="297" t="n"/>
      <x:c r="V19" s="297" t="n"/>
      <x:c r="W19" s="297" t="n"/>
      <x:c r="X19" s="297" t="n"/>
      <x:c r="Y19" s="123" t="n"/>
      <x:c r="Z19" s="297" t="n"/>
      <x:c r="AA19" s="123" t="n"/>
      <x:c r="AB19" s="298" t="n"/>
      <x:c r="AC19" s="298" t="n"/>
      <x:c r="AD19" s="298" t="n"/>
      <x:c r="AE19" s="298" t="n"/>
      <x:c r="AF19" s="297" t="n"/>
      <x:c r="AG19" s="123" t="n"/>
      <x:c r="AH19" s="297" t="n"/>
      <x:c r="AI19" s="123" t="n"/>
      <x:c r="AJ19" s="123" t="n"/>
      <x:c r="AK19" s="297" t="n"/>
      <x:c r="AL19" s="298" t="n"/>
      <x:c r="AM19" s="297" t="n"/>
      <x:c r="AN19" s="297" t="n"/>
      <x:c r="AO19" s="297" t="n"/>
      <x:c r="AP19" s="297" t="n"/>
      <x:c r="AQ19" s="297" t="n"/>
      <x:c r="AR19" s="299" t="n"/>
      <x:c r="AS19" s="299" t="n"/>
      <x:c r="AT19" s="299" t="n"/>
      <x:c r="AU19" s="299" t="n"/>
      <x:c r="AV19" s="299" t="n"/>
      <x:c r="AW19" s="299" t="n"/>
      <x:c r="AX19" s="299" t="n">
        <x:v>-0.050538870708934</x:v>
      </x:c>
      <x:c r="AY19" s="299" t="n"/>
      <x:c r="AZ19" s="299" t="n"/>
      <x:c r="BA19" s="299" t="n"/>
      <x:c r="BB19" s="299" t="n"/>
      <x:c r="BC19" s="299" t="n"/>
      <x:c r="BD19" s="299" t="n"/>
      <x:c r="BE19" s="299" t="n"/>
      <x:c r="BF19" s="299" t="n"/>
      <x:c r="BG19" s="299" t="n"/>
      <x:c r="BH19" s="299" t="n"/>
      <x:c r="BI19" s="299" t="n"/>
      <x:c r="BJ19" s="299" t="n"/>
      <x:c r="BK19" s="299" t="n"/>
      <x:c r="BL19" s="299" t="n"/>
      <x:c r="BM19" s="299" t="n"/>
      <x:c r="BN19" s="299" t="n"/>
      <x:c r="BO19" s="299" t="n"/>
      <x:c r="BP19" s="299" t="n"/>
      <x:c r="BQ19" s="299" t="n"/>
      <x:c r="BR19" s="299" t="n"/>
      <x:c r="BS19" s="299" t="n"/>
      <x:c r="BT19" s="299" t="n">
        <x:v>0.004211568347505275</x:v>
      </x:c>
      <x:c r="BU19" s="299" t="n"/>
      <x:c r="BV19" s="299" t="n"/>
      <x:c r="BW19" s="299" t="n"/>
      <x:c r="BX19" s="299" t="n"/>
      <x:c r="BY19" s="299" t="n"/>
      <x:c r="BZ19" s="299" t="n"/>
      <x:c r="CA19" s="299" t="n"/>
      <x:c r="CB19" s="299" t="n"/>
      <x:c r="CC19" s="299" t="n"/>
      <x:c r="CD19" s="299" t="n"/>
      <x:c r="CE19" s="299" t="n"/>
      <x:c r="CF19" s="299" t="n"/>
      <x:c r="CG19" s="299" t="n"/>
      <x:c r="CH19" s="299" t="n"/>
      <x:c r="CI19" s="299" t="n"/>
      <x:c r="CJ19" s="299" t="n"/>
      <x:c r="CK19" s="299" t="n"/>
      <x:c r="CL19" s="299" t="n"/>
      <x:c r="CM19" s="299" t="n"/>
      <x:c r="CN19" s="299" t="n"/>
      <x:c r="CO19" s="299" t="n"/>
      <x:c r="CP19" s="299" t="n"/>
      <x:c r="CQ19" s="299" t="n"/>
      <x:c r="CR19" s="299" t="n"/>
      <x:c r="CS19" s="299" t="n"/>
      <x:c r="CT19" s="299" t="n"/>
      <x:c r="CU19" s="299" t="n"/>
      <x:c r="CV19" s="299" t="n"/>
      <x:c r="CW19" s="299" t="n"/>
      <x:c r="CX19" s="299" t="n"/>
      <x:c r="CY19" s="299" t="n"/>
      <x:c r="CZ19" s="299" t="n"/>
      <x:c r="DA19" s="299" t="n"/>
      <x:c r="DB19" s="299" t="n"/>
      <x:c r="DC19" s="299" t="n"/>
      <x:c r="DD19" s="299" t="n">
        <x:v>-0.00421156834750528</x:v>
      </x:c>
      <x:c r="DE19" s="299" t="n"/>
      <x:c r="DF19" s="299" t="n"/>
      <x:c r="DG19" s="299" t="n"/>
      <x:c r="DH19" s="299" t="n"/>
      <x:c r="DI19" s="299" t="n"/>
      <x:c r="DJ19" s="299" t="n"/>
      <x:c r="DK19" s="299" t="n"/>
      <x:c r="DL19" s="299" t="n"/>
      <x:c r="DM19" s="299" t="n"/>
      <x:c r="DN19" s="299" t="n"/>
      <x:c r="DO19" s="299" t="n"/>
      <x:c r="DP19" s="299" t="n"/>
      <x:c r="DQ19" s="299" t="n"/>
      <x:c r="DR19" s="299" t="n"/>
      <x:c r="DS19" s="299" t="n"/>
      <x:c r="DT19" s="299" t="n"/>
      <x:c r="DU19" s="299" t="n"/>
      <x:c r="DV19" s="299" t="n"/>
      <x:c r="DW19" s="299" t="n"/>
      <x:c r="DX19" s="299" t="n"/>
      <x:c r="DY19" s="299" t="n"/>
      <x:c r="DZ19" s="299" t="n"/>
      <x:c r="EA19" s="299" t="n"/>
      <x:c r="EB19" s="299" t="n"/>
      <x:c r="EC19" s="299" t="n"/>
      <x:c r="ED19" s="299" t="n"/>
      <x:c r="EE19" s="299" t="n"/>
      <x:c r="EF19" s="299" t="n"/>
      <x:c r="EG19" s="299" t="n"/>
      <x:c r="EH19" s="299" t="n"/>
      <x:c r="EI19" s="299" t="n"/>
      <x:c r="EJ19" s="299" t="n"/>
      <x:c r="EK19" s="299" t="n"/>
      <x:c r="EL19" s="299" t="n"/>
      <x:c r="EM19" s="299" t="n"/>
      <x:c r="EN19" s="299" t="n"/>
      <x:c r="EO19" s="299" t="n"/>
      <x:c r="EP19" s="299" t="n"/>
      <x:c r="EQ19" s="299" t="n"/>
      <x:c r="ER19" s="299" t="n"/>
      <x:c r="ES19" s="299" t="n"/>
      <x:c r="ET19" s="299" t="n"/>
      <x:c r="EU19" s="299" t="n"/>
      <x:c r="EV19" s="299" t="n"/>
      <x:c r="EW19" s="299" t="n"/>
      <x:c r="EX19" s="299" t="n"/>
      <x:c r="EY19" s="299" t="n"/>
      <x:c r="EZ19" s="28" t="n"/>
      <x:c r="FA19" s="28" t="n"/>
      <x:c r="FB19" s="28" t="n"/>
      <x:c r="FC19" s="28" t="n"/>
      <x:c r="FD19" s="28" t="n"/>
      <x:c r="FE19" s="28" t="n"/>
      <x:c r="FF19" s="28" t="n"/>
      <x:c r="FG19" s="28" t="n"/>
      <x:c r="FH19" s="28" t="n"/>
      <x:c r="FI19" s="28" t="n"/>
      <x:c r="FJ19" s="28" t="n"/>
      <x:c r="FK19" s="28" t="n"/>
      <x:c r="FL19" s="28" t="n"/>
      <x:c r="FM19" s="28" t="n"/>
      <x:c r="FN19" s="28" t="n"/>
      <x:c r="FO19" s="28" t="n"/>
      <x:c r="FP19" s="28" t="n"/>
      <x:c r="FQ19" s="28" t="n"/>
      <x:c r="FR19" s="28" t="n"/>
      <x:c r="FS19" s="28" t="n"/>
      <x:c r="FT19" s="28" t="n"/>
      <x:c r="FU19" s="28" t="n"/>
      <x:c r="FV19" s="28" t="n"/>
    </x:row>
    <x:row r="20" s="27" customFormat="1">
      <x:c r="A20" s="125" t="n"/>
      <x:c r="B20" s="39" t="n"/>
      <x:c r="C20" s="86" t="n">
        <x:f>E20*D$5</x:f>
        <x:v>0</x:v>
      </x:c>
      <x:c r="D20" s="103" t="inlineStr">
        <x:is>
          <x:t xml:space="preserve">Wilda E. Jensen</x:t>
        </x:is>
      </x:c>
      <x:c r="E20" s="86" t="n">
        <x:f>SUM(G20:HS20)</x:f>
        <x:v>0</x:v>
      </x:c>
      <x:c r="F20" s="126" t="inlineStr">
        <x:is>
          <x:t xml:space="preserve"/>
        </x:is>
      </x:c>
      <x:c r="G20" s="297" t="n"/>
      <x:c r="H20" s="297" t="n"/>
      <x:c r="I20" s="297" t="n"/>
      <x:c r="J20" s="297" t="n"/>
      <x:c r="K20" s="297" t="n"/>
      <x:c r="L20" s="297" t="n"/>
      <x:c r="M20" s="297" t="n"/>
      <x:c r="N20" s="301" t="n"/>
      <x:c r="O20" s="297" t="n"/>
      <x:c r="P20" s="297" t="n"/>
      <x:c r="Q20" s="297" t="n">
        <x:v>0.05053887070893401</x:v>
      </x:c>
      <x:c r="R20" s="301" t="n"/>
      <x:c r="S20" s="297" t="n"/>
      <x:c r="T20" s="297" t="n"/>
      <x:c r="U20" s="297" t="n"/>
      <x:c r="V20" s="297" t="n"/>
      <x:c r="W20" s="297" t="n"/>
      <x:c r="X20" s="297" t="n"/>
      <x:c r="Y20" s="123" t="n"/>
      <x:c r="Z20" s="297" t="n"/>
      <x:c r="AA20" s="123" t="n"/>
      <x:c r="AB20" s="123" t="n"/>
      <x:c r="AC20" s="123" t="n"/>
      <x:c r="AD20" s="123" t="n"/>
      <x:c r="AE20" s="123" t="n"/>
      <x:c r="AF20" s="297" t="n"/>
      <x:c r="AG20" s="123" t="n"/>
      <x:c r="AH20" s="297" t="n"/>
      <x:c r="AI20" s="123" t="n"/>
      <x:c r="AJ20" s="123" t="n"/>
      <x:c r="AK20" s="297" t="n"/>
      <x:c r="AL20" s="297" t="n"/>
      <x:c r="AM20" s="297" t="n"/>
      <x:c r="AN20" s="297" t="n"/>
      <x:c r="AO20" s="297" t="n"/>
      <x:c r="AP20" s="297" t="n"/>
      <x:c r="AQ20" s="297" t="n"/>
      <x:c r="AR20" s="299" t="n"/>
      <x:c r="AS20" s="299" t="n"/>
      <x:c r="AT20" s="299" t="n"/>
      <x:c r="AU20" s="299" t="n"/>
      <x:c r="AV20" s="299" t="n"/>
      <x:c r="AW20" s="299" t="n"/>
      <x:c r="AX20" s="299" t="n"/>
      <x:c r="AY20" s="299" t="n"/>
      <x:c r="AZ20" s="299" t="n"/>
      <x:c r="BA20" s="299" t="n"/>
      <x:c r="BB20" s="299" t="n"/>
      <x:c r="BC20" s="299" t="n"/>
      <x:c r="BD20" s="299" t="n"/>
      <x:c r="BE20" s="299" t="n"/>
      <x:c r="BF20" s="299" t="n"/>
      <x:c r="BG20" s="299" t="n"/>
      <x:c r="BH20" s="299" t="n"/>
      <x:c r="BI20" s="299" t="n"/>
      <x:c r="BJ20" s="299" t="n">
        <x:v>0.0549568094810921</x:v>
      </x:c>
      <x:c r="BK20" s="299" t="n"/>
      <x:c r="BL20" s="299" t="n"/>
      <x:c r="BM20" s="299" t="n">
        <x:v>-0.0125</x:v>
      </x:c>
      <x:c r="BN20" s="299" t="n">
        <x:v>-0.0125</x:v>
      </x:c>
      <x:c r="BO20" s="299" t="n"/>
      <x:c r="BP20" s="299" t="n"/>
      <x:c r="BQ20" s="299" t="n"/>
      <x:c r="BR20" s="299" t="n">
        <x:v>0.004211568347505275</x:v>
      </x:c>
      <x:c r="BS20" s="299" t="n"/>
      <x:c r="BT20" s="299" t="n"/>
      <x:c r="BU20" s="299" t="n"/>
      <x:c r="BV20" s="299" t="n"/>
      <x:c r="BW20" s="299" t="n"/>
      <x:c r="BX20" s="299" t="n"/>
      <x:c r="BY20" s="299" t="n">
        <x:v>-0.0125</x:v>
      </x:c>
      <x:c r="BZ20" s="299" t="n">
        <x:v>-0.0125</x:v>
      </x:c>
      <x:c r="CA20" s="299" t="n"/>
      <x:c r="CB20" s="299" t="n"/>
      <x:c r="CC20" s="299" t="n"/>
      <x:c r="CD20" s="299" t="n"/>
      <x:c r="CE20" s="299" t="n"/>
      <x:c r="CF20" s="299" t="n">
        <x:v>0.00610631293668743</x:v>
      </x:c>
      <x:c r="CG20" s="299" t="n"/>
      <x:c r="CH20" s="299" t="n"/>
      <x:c r="CI20" s="299" t="n"/>
      <x:c r="CJ20" s="299" t="n"/>
      <x:c r="CK20" s="299" t="n"/>
      <x:c r="CL20" s="299" t="n"/>
      <x:c r="CM20" s="299" t="n"/>
      <x:c r="CN20" s="299" t="n"/>
      <x:c r="CO20" s="299" t="n"/>
      <x:c r="CP20" s="299" t="n"/>
      <x:c r="CQ20" s="299" t="n"/>
      <x:c r="CR20" s="299" t="n"/>
      <x:c r="CS20" s="299" t="n"/>
      <x:c r="CT20" s="299" t="n"/>
      <x:c r="CU20" s="299" t="n"/>
      <x:c r="CV20" s="299" t="n"/>
      <x:c r="CW20" s="299" t="n"/>
      <x:c r="CX20" s="299" t="n"/>
      <x:c r="CY20" s="299" t="n"/>
      <x:c r="CZ20" s="299" t="n"/>
      <x:c r="DA20" s="299" t="n"/>
      <x:c r="DB20" s="299" t="n"/>
      <x:c r="DC20" s="299" t="n"/>
      <x:c r="DD20" s="299" t="n"/>
      <x:c r="DE20" s="299" t="n"/>
      <x:c r="DF20" s="299" t="n"/>
      <x:c r="DG20" s="299" t="n"/>
      <x:c r="DH20" s="299" t="n"/>
      <x:c r="DI20" s="299" t="n"/>
      <x:c r="DJ20" s="299" t="n"/>
      <x:c r="DK20" s="299" t="n"/>
      <x:c r="DL20" s="299" t="n"/>
      <x:c r="DM20" s="299" t="n"/>
      <x:c r="DN20" s="299" t="n"/>
      <x:c r="DO20" s="299" t="n"/>
      <x:c r="DP20" s="299" t="n"/>
      <x:c r="DQ20" s="299" t="n"/>
      <x:c r="DR20" s="299" t="n"/>
      <x:c r="DS20" s="299" t="n"/>
      <x:c r="DT20" s="299" t="n"/>
      <x:c r="DU20" s="299" t="n"/>
      <x:c r="DV20" s="299" t="n"/>
      <x:c r="DW20" s="299" t="n"/>
      <x:c r="DX20" s="299" t="n">
        <x:f>-(SUM(Q20,BJ20,BR20,CF20)+SUM(BM20:BN20)+SUM(BY20:BZ20))</x:f>
        <x:v>-0.06581356147421882</x:v>
      </x:c>
      <x:c r="DY20" s="299" t="n"/>
      <x:c r="DZ20" s="299" t="n"/>
      <x:c r="EA20" s="299" t="n"/>
      <x:c r="EB20" s="299" t="n"/>
      <x:c r="EC20" s="299" t="n"/>
      <x:c r="ED20" s="299" t="n"/>
      <x:c r="EE20" s="299" t="n"/>
      <x:c r="EF20" s="299" t="n"/>
      <x:c r="EG20" s="299" t="n"/>
      <x:c r="EH20" s="299" t="n"/>
      <x:c r="EI20" s="299" t="n"/>
      <x:c r="EJ20" s="299" t="n"/>
      <x:c r="EK20" s="299" t="n"/>
      <x:c r="EL20" s="299" t="n"/>
      <x:c r="EM20" s="299" t="n"/>
      <x:c r="EN20" s="299" t="n"/>
      <x:c r="EO20" s="299" t="n"/>
      <x:c r="EP20" s="299" t="n"/>
      <x:c r="EQ20" s="299" t="n"/>
      <x:c r="ER20" s="299" t="n"/>
      <x:c r="ES20" s="299" t="n"/>
      <x:c r="ET20" s="299" t="n"/>
      <x:c r="EU20" s="299" t="n"/>
      <x:c r="EV20" s="299" t="n"/>
      <x:c r="EW20" s="299" t="n"/>
      <x:c r="EX20" s="299" t="n"/>
      <x:c r="EY20" s="299" t="n"/>
      <x:c r="EZ20" s="28" t="n"/>
      <x:c r="FA20" s="28" t="n"/>
      <x:c r="FB20" s="28" t="n"/>
      <x:c r="FC20" s="28" t="n"/>
      <x:c r="FD20" s="28" t="n"/>
      <x:c r="FE20" s="28" t="n"/>
      <x:c r="FF20" s="28" t="n"/>
      <x:c r="FG20" s="28" t="n"/>
      <x:c r="FH20" s="28" t="n"/>
      <x:c r="FI20" s="28" t="n"/>
      <x:c r="FJ20" s="28" t="n"/>
      <x:c r="FK20" s="28" t="n"/>
      <x:c r="FL20" s="28" t="n"/>
      <x:c r="FM20" s="28" t="n"/>
      <x:c r="FN20" s="28" t="n"/>
      <x:c r="FO20" s="28" t="n"/>
      <x:c r="FP20" s="28" t="n"/>
      <x:c r="FQ20" s="28" t="n"/>
      <x:c r="FR20" s="28" t="n"/>
      <x:c r="FS20" s="28" t="n"/>
      <x:c r="FT20" s="28" t="n"/>
      <x:c r="FU20" s="28" t="n"/>
      <x:c r="FV20" s="28" t="n"/>
    </x:row>
    <x:row r="21" s="27" customFormat="1" ht="24" customHeight="1">
      <x:c r="A21" s="125" t="n"/>
      <x:c r="B21" s="39" t="n"/>
      <x:c r="C21" s="36" t="n">
        <x:f>E21*D$5</x:f>
        <x:v>0.00003976600502220151</x:v>
      </x:c>
      <x:c r="D21" s="4" t="inlineStr">
        <x:is>
          <x:t xml:space="preserve">William C. Bain, Jr. (presumed to be a/k/a William Cobal Bain, Jr.</x:t>
        </x:is>
      </x:c>
      <x:c r="E21" s="36" t="n">
        <x:f>SUM(G21:HS21)</x:f>
        <x:v>2.4853753138875945e-7</x:v>
      </x:c>
      <x:c r="F21" s="126" t="inlineStr">
        <x:is>
          <x:t xml:space="preserve"/>
        </x:is>
      </x:c>
      <x:c r="G21" s="297" t="n"/>
      <x:c r="H21" s="297" t="n"/>
      <x:c r="I21" s="297" t="n"/>
      <x:c r="J21" s="297" t="n"/>
      <x:c r="K21" s="297" t="n"/>
      <x:c r="L21" s="297" t="n"/>
      <x:c r="M21" s="297" t="n"/>
      <x:c r="N21" s="297" t="n"/>
      <x:c r="O21" s="301" t="n"/>
      <x:c r="P21" s="123" t="n"/>
      <x:c r="Q21" s="297" t="n"/>
      <x:c r="R21" s="297" t="n">
        <x:v>0.05053887070893401</x:v>
      </x:c>
      <x:c r="S21" s="297" t="n"/>
      <x:c r="T21" s="297" t="n"/>
      <x:c r="U21" s="297" t="n"/>
      <x:c r="V21" s="297" t="n"/>
      <x:c r="W21" s="297" t="n"/>
      <x:c r="X21" s="297" t="n"/>
      <x:c r="Y21" s="123" t="n"/>
      <x:c r="Z21" s="123" t="n"/>
      <x:c r="AA21" s="123" t="n"/>
      <x:c r="AB21" s="123" t="n"/>
      <x:c r="AC21" s="123" t="n"/>
      <x:c r="AD21" s="123" t="n"/>
      <x:c r="AE21" s="123" t="n"/>
      <x:c r="AF21" s="297" t="n"/>
      <x:c r="AG21" s="123" t="n"/>
      <x:c r="AH21" s="297" t="n"/>
      <x:c r="AI21" s="123" t="n"/>
      <x:c r="AJ21" s="297" t="n"/>
      <x:c r="AK21" s="297" t="n"/>
      <x:c r="AL21" s="297" t="n"/>
      <x:c r="AM21" s="297" t="n"/>
      <x:c r="AN21" s="297" t="n"/>
      <x:c r="AO21" s="297" t="n"/>
      <x:c r="AP21" s="297" t="n"/>
      <x:c r="AQ21" s="297" t="n"/>
      <x:c r="AR21" s="299" t="n"/>
      <x:c r="AS21" s="299" t="n"/>
      <x:c r="AT21" s="299" t="n"/>
      <x:c r="AU21" s="299" t="n"/>
      <x:c r="AV21" s="299" t="n"/>
      <x:c r="AW21" s="299" t="n"/>
      <x:c r="AX21" s="299" t="n"/>
      <x:c r="AY21" s="299" t="n"/>
      <x:c r="AZ21" s="299" t="n"/>
      <x:c r="BA21" s="299" t="n"/>
      <x:c r="BB21" s="299" t="n"/>
      <x:c r="BC21" s="299" t="n"/>
      <x:c r="BD21" s="299" t="n"/>
      <x:c r="BE21" s="299" t="n"/>
      <x:c r="BF21" s="299" t="n">
        <x:v>0.0549568094810921</x:v>
      </x:c>
      <x:c r="BG21" s="299" t="n"/>
      <x:c r="BH21" s="299" t="n"/>
      <x:c r="BI21" s="299" t="n"/>
      <x:c r="BJ21" s="299" t="n"/>
      <x:c r="BK21" s="299" t="n">
        <x:v>0</x:v>
      </x:c>
      <x:c r="BL21" s="299" t="n"/>
      <x:c r="BM21" s="299" t="n"/>
      <x:c r="BN21" s="299" t="n"/>
      <x:c r="BO21" s="299" t="n"/>
      <x:c r="BP21" s="299" t="n">
        <x:v>0.004211568347505275</x:v>
      </x:c>
      <x:c r="BQ21" s="299" t="n"/>
      <x:c r="BR21" s="299" t="n"/>
      <x:c r="BS21" s="299" t="n"/>
      <x:c r="BT21" s="299" t="n"/>
      <x:c r="BU21" s="299" t="n"/>
      <x:c r="BV21" s="299" t="n"/>
      <x:c r="BW21" s="299" t="n"/>
      <x:c r="BX21" s="299" t="n"/>
      <x:c r="BY21" s="299" t="n"/>
      <x:c r="BZ21" s="299" t="n"/>
      <x:c r="CA21" s="299" t="n"/>
      <x:c r="CB21" s="299" t="n"/>
      <x:c r="CC21" s="299" t="n"/>
      <x:c r="CD21" s="299" t="n"/>
      <x:c r="CE21" s="299" t="n"/>
      <x:c r="CF21" s="299" t="n"/>
      <x:c r="CG21" s="299" t="n"/>
      <x:c r="CH21" s="299" t="n"/>
      <x:c r="CI21" s="299" t="n"/>
      <x:c r="CJ21" s="299" t="n"/>
      <x:c r="CK21" s="299" t="n"/>
      <x:c r="CL21" s="299" t="n"/>
      <x:c r="CM21" s="299" t="n"/>
      <x:c r="CN21" s="299" t="n"/>
      <x:c r="CO21" s="299" t="n"/>
      <x:c r="CP21" s="299" t="n"/>
      <x:c r="CQ21" s="299" t="n"/>
      <x:c r="CR21" s="299" t="n"/>
      <x:c r="CS21" s="299" t="n"/>
      <x:c r="CT21" s="299" t="n"/>
      <x:c r="CU21" s="299" t="n"/>
      <x:c r="CV21" s="299" t="n"/>
      <x:c r="CW21" s="299" t="n"/>
      <x:c r="CX21" s="299" t="n"/>
      <x:c r="CY21" s="299" t="n"/>
      <x:c r="CZ21" s="299" t="n"/>
      <x:c r="DA21" s="299" t="n"/>
      <x:c r="DB21" s="299" t="n"/>
      <x:c r="DC21" s="299" t="n">
        <x:v>-0.109707</x:v>
      </x:c>
      <x:c r="DD21" s="299" t="n"/>
      <x:c r="DE21" s="299" t="n"/>
      <x:c r="DF21" s="299" t="n"/>
      <x:c r="DG21" s="299" t="n"/>
      <x:c r="DH21" s="299" t="n"/>
      <x:c r="DI21" s="299" t="n"/>
      <x:c r="DJ21" s="299" t="n"/>
      <x:c r="DK21" s="299" t="n"/>
      <x:c r="DL21" s="299" t="n"/>
      <x:c r="DM21" s="299" t="n"/>
      <x:c r="DN21" s="299" t="n"/>
      <x:c r="DO21" s="299" t="n"/>
      <x:c r="DP21" s="299" t="n"/>
      <x:c r="DQ21" s="299" t="n"/>
      <x:c r="DR21" s="299" t="n"/>
      <x:c r="DS21" s="299" t="n"/>
      <x:c r="DT21" s="299" t="n"/>
      <x:c r="DU21" s="299" t="n"/>
      <x:c r="DV21" s="299" t="n"/>
      <x:c r="DW21" s="299" t="n"/>
      <x:c r="DX21" s="299" t="n"/>
      <x:c r="DY21" s="299" t="n"/>
      <x:c r="DZ21" s="299" t="n"/>
      <x:c r="EA21" s="299" t="n"/>
      <x:c r="EB21" s="299" t="n"/>
      <x:c r="EC21" s="299" t="n"/>
      <x:c r="ED21" s="299" t="n"/>
      <x:c r="EE21" s="299" t="n"/>
      <x:c r="EF21" s="299" t="n"/>
      <x:c r="EG21" s="299" t="n"/>
      <x:c r="EH21" s="299" t="n"/>
      <x:c r="EI21" s="299" t="n"/>
      <x:c r="EJ21" s="299" t="n"/>
      <x:c r="EK21" s="299" t="n"/>
      <x:c r="EL21" s="299" t="n"/>
      <x:c r="EM21" s="299" t="n"/>
      <x:c r="EN21" s="299" t="n"/>
      <x:c r="EO21" s="299" t="n"/>
      <x:c r="EP21" s="299" t="n"/>
      <x:c r="EQ21" s="299" t="n"/>
      <x:c r="ER21" s="299" t="n"/>
      <x:c r="ES21" s="299" t="n"/>
      <x:c r="ET21" s="299" t="n"/>
      <x:c r="EU21" s="299" t="n"/>
      <x:c r="EV21" s="299" t="n"/>
      <x:c r="EW21" s="299" t="n"/>
      <x:c r="EX21" s="299" t="n"/>
      <x:c r="EY21" s="299" t="n"/>
      <x:c r="EZ21" s="28" t="n"/>
      <x:c r="FA21" s="28" t="n"/>
      <x:c r="FB21" s="28" t="n"/>
      <x:c r="FC21" s="28" t="n"/>
      <x:c r="FD21" s="28" t="n"/>
      <x:c r="FE21" s="28" t="n"/>
      <x:c r="FF21" s="28" t="n"/>
      <x:c r="FG21" s="28" t="n"/>
      <x:c r="FH21" s="28" t="n"/>
      <x:c r="FI21" s="28" t="n"/>
      <x:c r="FJ21" s="28" t="n"/>
      <x:c r="FK21" s="28" t="n"/>
      <x:c r="FL21" s="28" t="n"/>
      <x:c r="FM21" s="28" t="n"/>
      <x:c r="FN21" s="28" t="n"/>
      <x:c r="FO21" s="28" t="n"/>
      <x:c r="FP21" s="28" t="n"/>
      <x:c r="FQ21" s="28" t="n"/>
      <x:c r="FR21" s="28" t="n"/>
      <x:c r="FS21" s="28" t="n"/>
      <x:c r="FT21" s="28" t="n"/>
      <x:c r="FU21" s="28" t="n"/>
      <x:c r="FV21" s="28" t="n"/>
      <x:c r="FW21" s="28" t="n"/>
      <x:c r="FX21" s="28" t="n"/>
      <x:c r="FY21" s="28" t="n"/>
      <x:c r="FZ21" s="28" t="n"/>
    </x:row>
    <x:row r="22" s="27" customFormat="1">
      <x:c r="A22" s="125" t="n"/>
      <x:c r="B22" s="39" t="n"/>
      <x:c r="C22" s="86" t="n">
        <x:f>E22*D$5</x:f>
        <x:v>0.6065210749617722</x:v>
      </x:c>
      <x:c r="D22" s="332" t="inlineStr">
        <x:is>
          <x:t xml:space="preserve">Billy W. Bain (presumed to be a/k/a Billy Wayne Bain)</x:t>
        </x:is>
      </x:c>
      <x:c r="E22" s="86" t="n">
        <x:f>SUM(G22:HS22)</x:f>
        <x:v>0.0037907567185110763</x:v>
      </x:c>
      <x:c r="F22" s="126" t="inlineStr">
        <x:is>
          <x:t xml:space="preserve"/>
        </x:is>
      </x:c>
      <x:c r="G22" s="298" t="n"/>
      <x:c r="H22" s="297" t="n"/>
      <x:c r="I22" s="297" t="n"/>
      <x:c r="J22" s="297" t="n"/>
      <x:c r="K22" s="297" t="n"/>
      <x:c r="L22" s="297" t="n"/>
      <x:c r="M22" s="297" t="n"/>
      <x:c r="N22" s="297" t="n"/>
      <x:c r="O22" s="301" t="n"/>
      <x:c r="P22" s="301" t="n"/>
      <x:c r="Q22" s="297" t="n"/>
      <x:c r="R22" s="297" t="n"/>
      <x:c r="S22" s="297" t="n">
        <x:v>0.05053887070893401</x:v>
      </x:c>
      <x:c r="T22" s="297" t="n"/>
      <x:c r="U22" s="297" t="n"/>
      <x:c r="V22" s="297" t="n"/>
      <x:c r="W22" s="297" t="n">
        <x:v>-0.00126347176772335</x:v>
      </x:c>
      <x:c r="X22" s="297" t="n">
        <x:v>-0.00126347176772335</x:v>
      </x:c>
      <x:c r="Y22" s="123" t="n">
        <x:v>-0.00126347176772335</x:v>
      </x:c>
      <x:c r="Z22" s="123" t="n"/>
      <x:c r="AA22" s="123" t="n"/>
      <x:c r="AB22" s="123" t="n">
        <x:v>-0.00379041530317005</x:v>
      </x:c>
      <x:c r="AC22" s="123" t="n"/>
      <x:c r="AD22" s="123" t="n"/>
      <x:c r="AE22" s="123" t="n"/>
      <x:c r="AF22" s="297" t="n"/>
      <x:c r="AG22" s="123" t="n"/>
      <x:c r="AH22" s="298" t="n"/>
      <x:c r="AI22" s="123" t="n">
        <x:v>-0.00126347176772335</x:v>
      </x:c>
      <x:c r="AJ22" s="297" t="n"/>
      <x:c r="AK22" s="297" t="n">
        <x:v>-0.00126347176772335</x:v>
      </x:c>
      <x:c r="AL22" s="297" t="n">
        <x:v>-0.0025269435354467</x:v>
      </x:c>
      <x:c r="AM22" s="297" t="n">
        <x:v>-0.00379041530317005</x:v>
      </x:c>
      <x:c r="AN22" s="297" t="n">
        <x:v>-0.006317358838616751</x:v>
      </x:c>
      <x:c r="AO22" s="297" t="n">
        <x:v>-0.0025269435354467</x:v>
      </x:c>
      <x:c r="AP22" s="297" t="n">
        <x:v>-0.00126347176772335</x:v>
      </x:c>
      <x:c r="AQ22" s="297" t="n"/>
      <x:c r="AR22" s="299" t="n"/>
      <x:c r="AS22" s="299" t="n">
        <x:f>3/791.47</x:f>
        <x:v>0.0037904153031700504</x:v>
      </x:c>
      <x:c r="AT22" s="299" t="n"/>
      <x:c r="AU22" s="299" t="n"/>
      <x:c r="AV22" s="299" t="n"/>
      <x:c r="AW22" s="299" t="n"/>
      <x:c r="AX22" s="299" t="n"/>
      <x:c r="AY22" s="299" t="n"/>
      <x:c r="AZ22" s="299" t="n"/>
      <x:c r="BA22" s="299" t="n"/>
      <x:c r="BB22" s="299" t="n"/>
      <x:c r="BC22" s="299" t="n">
        <x:v>0.0549568094810921</x:v>
      </x:c>
      <x:c r="BD22" s="299" t="n"/>
      <x:c r="BE22" s="299" t="n"/>
      <x:c r="BF22" s="299" t="n"/>
      <x:c r="BG22" s="299" t="n"/>
      <x:c r="BH22" s="299" t="n"/>
      <x:c r="BI22" s="299" t="n"/>
      <x:c r="BJ22" s="299" t="n"/>
      <x:c r="BK22" s="299" t="n"/>
      <x:c r="BL22" s="299" t="n"/>
      <x:c r="BM22" s="299" t="n"/>
      <x:c r="BN22" s="299" t="n"/>
      <x:c r="BO22" s="299" t="n"/>
      <x:c r="BP22" s="299" t="n"/>
      <x:c r="BQ22" s="299" t="n"/>
      <x:c r="BR22" s="299" t="n"/>
      <x:c r="BS22" s="299" t="n"/>
      <x:c r="BT22" s="299" t="n"/>
      <x:c r="BU22" s="299" t="n">
        <x:v>0.004211568347505275</x:v>
      </x:c>
      <x:c r="BV22" s="299" t="n"/>
      <x:c r="BW22" s="299" t="n"/>
      <x:c r="BX22" s="299" t="n"/>
      <x:c r="BY22" s="299" t="n"/>
      <x:c r="BZ22" s="299" t="n"/>
      <x:c r="CA22" s="299" t="n"/>
      <x:c r="CB22" s="299" t="n"/>
      <x:c r="CC22" s="299" t="n"/>
      <x:c r="CD22" s="299" t="n"/>
      <x:c r="CE22" s="299" t="n"/>
      <x:c r="CF22" s="299" t="n"/>
      <x:c r="CG22" s="299" t="n"/>
      <x:c r="CH22" s="299" t="n"/>
      <x:c r="CI22" s="299" t="n"/>
      <x:c r="CJ22" s="299" t="n"/>
      <x:c r="CK22" s="299" t="n"/>
      <x:c r="CL22" s="299" t="n"/>
      <x:c r="CM22" s="299" t="n"/>
      <x:c r="CN22" s="299" t="n"/>
      <x:c r="CO22" s="299" t="n"/>
      <x:c r="CP22" s="299" t="n"/>
      <x:c r="CQ22" s="299" t="n"/>
      <x:c r="CR22" s="299" t="n"/>
      <x:c r="CS22" s="299" t="n"/>
      <x:c r="CT22" s="299" t="n"/>
      <x:c r="CU22" s="299" t="n"/>
      <x:c r="CV22" s="299" t="n"/>
      <x:c r="CW22" s="299" t="n"/>
      <x:c r="CX22" s="299" t="n"/>
      <x:c r="CY22" s="299" t="n"/>
      <x:c r="CZ22" s="299" t="n"/>
      <x:c r="DA22" s="299" t="n"/>
      <x:c r="DB22" s="299" t="n"/>
      <x:c r="DC22" s="299" t="n"/>
      <x:c r="DD22" s="299" t="n"/>
      <x:c r="DE22" s="299" t="n"/>
      <x:c r="DF22" s="299" t="n"/>
      <x:c r="DG22" s="299" t="n"/>
      <x:c r="DH22" s="299" t="n"/>
      <x:c r="DI22" s="299" t="n"/>
      <x:c r="DJ22" s="299" t="n"/>
      <x:c r="DK22" s="299" t="n"/>
      <x:c r="DL22" s="299" t="n"/>
      <x:c r="DM22" s="299" t="n"/>
      <x:c r="DN22" s="299" t="n"/>
      <x:c r="DO22" s="299" t="n"/>
      <x:c r="DP22" s="299" t="n"/>
      <x:c r="DQ22" s="299" t="n"/>
      <x:c r="DR22" s="299" t="n"/>
      <x:c r="DS22" s="299" t="n"/>
      <x:c r="DT22" s="299" t="n">
        <x:v>-0.083174</x:v>
      </x:c>
      <x:c r="DU22" s="299" t="n"/>
      <x:c r="DV22" s="299" t="n"/>
      <x:c r="DW22" s="299" t="n"/>
      <x:c r="DX22" s="299" t="n"/>
      <x:c r="DY22" s="299" t="n"/>
      <x:c r="DZ22" s="299" t="n"/>
      <x:c r="EA22" s="299" t="n"/>
      <x:c r="EB22" s="299" t="n"/>
      <x:c r="EC22" s="299" t="n"/>
      <x:c r="ED22" s="299" t="n"/>
      <x:c r="EE22" s="299" t="n"/>
      <x:c r="EF22" s="299" t="n"/>
      <x:c r="EG22" s="299" t="n"/>
      <x:c r="EH22" s="299" t="n"/>
      <x:c r="EI22" s="299" t="n"/>
      <x:c r="EJ22" s="299" t="n"/>
      <x:c r="EK22" s="299" t="n"/>
      <x:c r="EL22" s="299" t="n"/>
      <x:c r="EM22" s="299" t="n"/>
      <x:c r="EN22" s="299" t="n"/>
      <x:c r="EO22" s="299" t="n"/>
      <x:c r="EP22" s="299" t="n"/>
      <x:c r="EQ22" s="299" t="n"/>
      <x:c r="ER22" s="299" t="n"/>
      <x:c r="ES22" s="299" t="n"/>
      <x:c r="ET22" s="299" t="n"/>
      <x:c r="EU22" s="299" t="n"/>
      <x:c r="EV22" s="299" t="n"/>
      <x:c r="EW22" s="299" t="n"/>
      <x:c r="EX22" s="299" t="n"/>
      <x:c r="EY22" s="299" t="n"/>
      <x:c r="EZ22" s="28" t="n"/>
      <x:c r="FA22" s="28" t="n"/>
      <x:c r="FB22" s="28" t="n"/>
      <x:c r="FC22" s="28" t="n"/>
      <x:c r="FD22" s="28" t="n"/>
      <x:c r="FE22" s="28" t="n"/>
      <x:c r="FF22" s="28" t="n"/>
      <x:c r="FG22" s="28" t="n"/>
      <x:c r="FH22" s="28" t="n"/>
      <x:c r="FI22" s="28" t="n"/>
      <x:c r="FJ22" s="28" t="n"/>
      <x:c r="FK22" s="28" t="n"/>
      <x:c r="FL22" s="28" t="n"/>
      <x:c r="FM22" s="28" t="n"/>
      <x:c r="FN22" s="28" t="n"/>
      <x:c r="FO22" s="28" t="n"/>
      <x:c r="FP22" s="28" t="n"/>
      <x:c r="FQ22" s="28" t="n"/>
      <x:c r="FR22" s="28" t="n"/>
      <x:c r="FS22" s="28" t="n"/>
      <x:c r="FT22" s="28" t="n"/>
      <x:c r="FU22" s="28" t="n"/>
      <x:c r="FV22" s="28" t="n"/>
      <x:c r="FW22" s="28" t="n"/>
      <x:c r="FX22" s="28" t="n"/>
      <x:c r="FY22" s="28" t="n"/>
      <x:c r="FZ22" s="28" t="n"/>
    </x:row>
    <x:row r="23" s="27" customFormat="1">
      <x:c r="A23" s="125" t="n"/>
      <x:c r="B23" s="39" t="n"/>
      <x:c r="C23" s="86" t="n">
        <x:f>E23*D$5</x:f>
        <x:v>15.90214855901044</x:v>
      </x:c>
      <x:c r="D23" s="4" t="inlineStr">
        <x:is>
          <x:t xml:space="preserve">Juanita M. Wolff</x:t>
        </x:is>
      </x:c>
      <x:c r="E23" s="86" t="n">
        <x:f>SUM(G23:HS23)</x:f>
        <x:v>0.09938842849381525</x:v>
      </x:c>
      <x:c r="F23" s="126" t="inlineStr">
        <x:is>
          <x:t xml:space="preserve"/>
        </x:is>
      </x:c>
      <x:c r="G23" s="297" t="n"/>
      <x:c r="H23" s="297" t="n"/>
      <x:c r="I23" s="297" t="n"/>
      <x:c r="J23" s="297" t="n"/>
      <x:c r="K23" s="297" t="n"/>
      <x:c r="L23" s="297" t="n"/>
      <x:c r="M23" s="297" t="n"/>
      <x:c r="N23" s="301" t="n"/>
      <x:c r="O23" s="301" t="n"/>
      <x:c r="P23" s="301" t="n"/>
      <x:c r="Q23" s="297" t="n"/>
      <x:c r="R23" s="297" t="n"/>
      <x:c r="S23" s="297" t="n"/>
      <x:c r="T23" s="297" t="n">
        <x:v>0.05053887070893401</x:v>
      </x:c>
      <x:c r="U23" s="297" t="n">
        <x:v>-0.0126347176772335</x:v>
      </x:c>
      <x:c r="V23" s="297" t="n"/>
      <x:c r="W23" s="297" t="n"/>
      <x:c r="X23" s="297" t="n"/>
      <x:c r="Y23" s="123" t="n"/>
      <x:c r="Z23" s="123" t="n"/>
      <x:c r="AA23" s="123" t="n"/>
      <x:c r="AB23" s="123" t="n"/>
      <x:c r="AC23" s="123" t="n"/>
      <x:c r="AD23" s="123" t="n"/>
      <x:c r="AE23" s="123" t="n"/>
      <x:c r="AF23" s="297" t="n"/>
      <x:c r="AG23" s="123" t="n"/>
      <x:c r="AH23" s="297" t="n">
        <x:v>-0.00126347176772335</x:v>
      </x:c>
      <x:c r="AI23" s="123" t="n"/>
      <x:c r="AJ23" s="297" t="n">
        <x:v>-0.0025269435354467</x:v>
      </x:c>
      <x:c r="AK23" s="297" t="n"/>
      <x:c r="AL23" s="297" t="n"/>
      <x:c r="AM23" s="298" t="n"/>
      <x:c r="AN23" s="297" t="n"/>
      <x:c r="AO23" s="297" t="n"/>
      <x:c r="AP23" s="297" t="n"/>
      <x:c r="AQ23" s="297" t="n"/>
      <x:c r="AR23" s="299" t="n"/>
      <x:c r="AS23" s="299" t="n"/>
      <x:c r="AT23" s="299" t="n"/>
      <x:c r="AU23" s="299" t="n"/>
      <x:c r="AV23" s="299" t="n"/>
      <x:c r="AW23" s="299" t="n"/>
      <x:c r="AX23" s="299" t="n"/>
      <x:c r="AY23" s="299" t="n"/>
      <x:c r="AZ23" s="299" t="n"/>
      <x:c r="BA23" s="299" t="n"/>
      <x:c r="BB23" s="299" t="n"/>
      <x:c r="BC23" s="299" t="n"/>
      <x:c r="BD23" s="299" t="n"/>
      <x:c r="BE23" s="299" t="n"/>
      <x:c r="BF23" s="299" t="n"/>
      <x:c r="BG23" s="299" t="n">
        <x:v>0.0549568094810921</x:v>
      </x:c>
      <x:c r="BH23" s="299" t="n"/>
      <x:c r="BI23" s="299" t="n"/>
      <x:c r="BJ23" s="299" t="n"/>
      <x:c r="BK23" s="299" t="n"/>
      <x:c r="BL23" s="299" t="n"/>
      <x:c r="BM23" s="299" t="n"/>
      <x:c r="BN23" s="299" t="n"/>
      <x:c r="BO23" s="299" t="n">
        <x:v>0.004211568347505275</x:v>
      </x:c>
      <x:c r="BP23" s="299" t="n"/>
      <x:c r="BQ23" s="299" t="n"/>
      <x:c r="BR23" s="299" t="n"/>
      <x:c r="BS23" s="299" t="n"/>
      <x:c r="BT23" s="299" t="n"/>
      <x:c r="BU23" s="299" t="n"/>
      <x:c r="BV23" s="299" t="n"/>
      <x:c r="BW23" s="299" t="n"/>
      <x:c r="BX23" s="299" t="n"/>
      <x:c r="BY23" s="299" t="n"/>
      <x:c r="BZ23" s="299" t="n"/>
      <x:c r="CA23" s="299" t="n"/>
      <x:c r="CB23" s="299" t="n"/>
      <x:c r="CC23" s="299" t="n"/>
      <x:c r="CD23" s="299" t="n"/>
      <x:c r="CE23" s="299" t="n"/>
      <x:c r="CF23" s="299" t="n"/>
      <x:c r="CG23" s="299" t="n"/>
      <x:c r="CH23" s="299" t="n"/>
      <x:c r="CI23" s="299" t="n"/>
      <x:c r="CJ23" s="299" t="n">
        <x:v>0.00610631293668743</x:v>
      </x:c>
      <x:c r="CK23" s="299" t="n"/>
      <x:c r="CL23" s="299" t="n"/>
      <x:c r="CM23" s="299" t="n"/>
      <x:c r="CN23" s="299" t="n"/>
      <x:c r="CO23" s="299" t="n"/>
      <x:c r="CP23" s="299" t="n"/>
      <x:c r="CQ23" s="299" t="n"/>
      <x:c r="CR23" s="299" t="n"/>
      <x:c r="CS23" s="299" t="n"/>
      <x:c r="CT23" s="299" t="n"/>
      <x:c r="CU23" s="299" t="n"/>
      <x:c r="CV23" s="299" t="n"/>
      <x:c r="CW23" s="299" t="n"/>
      <x:c r="CX23" s="299" t="n"/>
      <x:c r="CY23" s="299" t="n"/>
      <x:c r="CZ23" s="299" t="n"/>
      <x:c r="DA23" s="299" t="n"/>
      <x:c r="DB23" s="299" t="n"/>
      <x:c r="DC23" s="299" t="n"/>
      <x:c r="DD23" s="299" t="n"/>
      <x:c r="DE23" s="299" t="n"/>
      <x:c r="DF23" s="299" t="n"/>
      <x:c r="DG23" s="299" t="n"/>
      <x:c r="DH23" s="299" t="n"/>
      <x:c r="DI23" s="299" t="n"/>
      <x:c r="DJ23" s="299" t="n"/>
      <x:c r="DK23" s="299" t="n"/>
      <x:c r="DL23" s="299" t="n"/>
      <x:c r="DM23" s="299" t="n"/>
      <x:c r="DN23" s="299" t="n"/>
      <x:c r="DO23" s="299" t="n"/>
      <x:c r="DP23" s="299" t="n"/>
      <x:c r="DQ23" s="299" t="n"/>
      <x:c r="DR23" s="299" t="n"/>
      <x:c r="DS23" s="299" t="n"/>
      <x:c r="DT23" s="299" t="n"/>
      <x:c r="DU23" s="299" t="n"/>
      <x:c r="DV23" s="299" t="n"/>
      <x:c r="DW23" s="299" t="n"/>
      <x:c r="DX23" s="299" t="n"/>
      <x:c r="DY23" s="299" t="n"/>
      <x:c r="DZ23" s="299" t="n"/>
      <x:c r="EA23" s="299" t="n"/>
      <x:c r="EB23" s="299" t="n"/>
      <x:c r="EC23" s="299" t="n"/>
      <x:c r="ED23" s="299" t="n"/>
      <x:c r="EE23" s="299" t="n"/>
      <x:c r="EF23" s="299" t="n"/>
      <x:c r="EG23" s="299" t="n"/>
      <x:c r="EH23" s="299" t="n"/>
      <x:c r="EI23" s="299" t="n"/>
      <x:c r="EJ23" s="299" t="n"/>
      <x:c r="EK23" s="299" t="n"/>
      <x:c r="EL23" s="299" t="n"/>
      <x:c r="EM23" s="299" t="n"/>
      <x:c r="EN23" s="299" t="n"/>
      <x:c r="EO23" s="299" t="n"/>
      <x:c r="EP23" s="299" t="n"/>
      <x:c r="EQ23" s="299" t="n"/>
      <x:c r="ER23" s="299" t="n"/>
      <x:c r="ES23" s="299" t="n"/>
      <x:c r="ET23" s="299" t="n"/>
      <x:c r="EU23" s="299" t="n"/>
      <x:c r="EV23" s="299" t="n"/>
      <x:c r="EW23" s="299" t="n"/>
      <x:c r="EX23" s="299" t="n"/>
      <x:c r="EY23" s="299" t="n"/>
      <x:c r="EZ23" s="28" t="n"/>
      <x:c r="FA23" s="28" t="n"/>
      <x:c r="FB23" s="28" t="n"/>
      <x:c r="FC23" s="28" t="n"/>
      <x:c r="FD23" s="28" t="n"/>
      <x:c r="FE23" s="28" t="n"/>
      <x:c r="FF23" s="28" t="n"/>
      <x:c r="FG23" s="28" t="n"/>
      <x:c r="FH23" s="28" t="n"/>
      <x:c r="FI23" s="28" t="n"/>
      <x:c r="FJ23" s="28" t="n"/>
      <x:c r="FK23" s="28" t="n"/>
      <x:c r="FL23" s="28" t="n"/>
      <x:c r="FM23" s="28" t="n"/>
      <x:c r="FN23" s="28" t="n"/>
      <x:c r="FO23" s="28" t="n"/>
      <x:c r="FP23" s="28" t="n"/>
      <x:c r="FQ23" s="28" t="n"/>
      <x:c r="FR23" s="28" t="n"/>
      <x:c r="FS23" s="28" t="n"/>
      <x:c r="FT23" s="28" t="n"/>
      <x:c r="FU23" s="28" t="n"/>
      <x:c r="FV23" s="28" t="n"/>
      <x:c r="FW23" s="28" t="n"/>
      <x:c r="FX23" s="28" t="n"/>
      <x:c r="FY23" s="28" t="n"/>
      <x:c r="FZ23" s="28" t="n"/>
    </x:row>
    <x:row r="24" s="27" customFormat="1" ht="36" customHeight="1">
      <x:c r="A24" s="125" t="inlineStr">
        <x:is>
          <x:t xml:space="preserve">Presumed to merged with and into Alpine Investments, Inc.</x:t>
        </x:is>
      </x:c>
      <x:c r="B24" s="39" t="n"/>
      <x:c r="C24" s="86" t="n">
        <x:f>E24*D$5</x:f>
        <x:v>0</x:v>
      </x:c>
      <x:c r="D24" s="103" t="inlineStr">
        <x:is>
          <x:t xml:space="preserve">Alpine Oil &amp; Royalty Company Incorporated</x:t>
        </x:is>
      </x:c>
      <x:c r="E24" s="86" t="n">
        <x:f>SUM(G24:HS24)</x:f>
        <x:v>0</x:v>
      </x:c>
      <x:c r="F24" s="126" t="inlineStr">
        <x:is>
          <x:t xml:space="preserve"/>
        </x:is>
      </x:c>
      <x:c r="G24" s="297" t="n"/>
      <x:c r="H24" s="297" t="n"/>
      <x:c r="I24" s="297" t="n"/>
      <x:c r="J24" s="297" t="n"/>
      <x:c r="K24" s="297" t="n"/>
      <x:c r="L24" s="297" t="n"/>
      <x:c r="M24" s="297" t="n"/>
      <x:c r="N24" s="301" t="n"/>
      <x:c r="O24" s="301" t="n"/>
      <x:c r="P24" s="301" t="n"/>
      <x:c r="Q24" s="297" t="n"/>
      <x:c r="R24" s="297" t="n"/>
      <x:c r="S24" s="297" t="n"/>
      <x:c r="T24" s="297" t="n"/>
      <x:c r="U24" s="297" t="n">
        <x:v>0.0126347176772335</x:v>
      </x:c>
      <x:c r="V24" s="297" t="n"/>
      <x:c r="W24" s="297" t="n"/>
      <x:c r="X24" s="297" t="n"/>
      <x:c r="Y24" s="123" t="n"/>
      <x:c r="Z24" s="123" t="n"/>
      <x:c r="AA24" s="123" t="n"/>
      <x:c r="AB24" s="123" t="n"/>
      <x:c r="AC24" s="123" t="n"/>
      <x:c r="AD24" s="123" t="n"/>
      <x:c r="AE24" s="123" t="n"/>
      <x:c r="AF24" s="297" t="n"/>
      <x:c r="AG24" s="123" t="n"/>
      <x:c r="AH24" s="298" t="n"/>
      <x:c r="AI24" s="123" t="n"/>
      <x:c r="AJ24" s="297" t="n"/>
      <x:c r="AK24" s="297" t="n"/>
      <x:c r="AL24" s="297" t="n"/>
      <x:c r="AM24" s="298" t="n"/>
      <x:c r="AN24" s="297" t="n"/>
      <x:c r="AO24" s="297" t="n"/>
      <x:c r="AP24" s="297" t="n"/>
      <x:c r="AQ24" s="297" t="n"/>
      <x:c r="AR24" s="299" t="n"/>
      <x:c r="AS24" s="299" t="n"/>
      <x:c r="AT24" s="299" t="n"/>
      <x:c r="AU24" s="299" t="n"/>
      <x:c r="AV24" s="299" t="n"/>
      <x:c r="AW24" s="299" t="n"/>
      <x:c r="AX24" s="299" t="n"/>
      <x:c r="AY24" s="299" t="n"/>
      <x:c r="AZ24" s="299" t="n"/>
      <x:c r="BA24" s="299" t="n"/>
      <x:c r="BB24" s="299" t="n"/>
      <x:c r="BC24" s="299" t="n"/>
      <x:c r="BD24" s="299" t="n"/>
      <x:c r="BE24" s="299" t="n"/>
      <x:c r="BF24" s="299" t="n"/>
      <x:c r="BG24" s="299" t="n"/>
      <x:c r="BH24" s="299" t="n"/>
      <x:c r="BI24" s="299" t="n"/>
      <x:c r="BJ24" s="299" t="n"/>
      <x:c r="BK24" s="299" t="n"/>
      <x:c r="BL24" s="299" t="n"/>
      <x:c r="BM24" s="299" t="n"/>
      <x:c r="BN24" s="299" t="n"/>
      <x:c r="BO24" s="299" t="n"/>
      <x:c r="BP24" s="299" t="n"/>
      <x:c r="BQ24" s="299" t="n"/>
      <x:c r="BR24" s="299" t="n"/>
      <x:c r="BS24" s="299" t="n"/>
      <x:c r="BT24" s="299" t="n"/>
      <x:c r="BU24" s="299" t="n"/>
      <x:c r="BV24" s="299" t="n"/>
      <x:c r="BW24" s="299" t="n"/>
      <x:c r="BX24" s="299" t="n"/>
      <x:c r="BY24" s="299" t="n"/>
      <x:c r="BZ24" s="299" t="n"/>
      <x:c r="CA24" s="299" t="n"/>
      <x:c r="CB24" s="299" t="n"/>
      <x:c r="CC24" s="299" t="n">
        <x:v>-0.0126347176772335</x:v>
      </x:c>
      <x:c r="CD24" s="299" t="n">
        <x:v>0</x:v>
      </x:c>
      <x:c r="CE24" s="299" t="n"/>
      <x:c r="CF24" s="299" t="n"/>
      <x:c r="CG24" s="299" t="n"/>
      <x:c r="CH24" s="299" t="n"/>
      <x:c r="CI24" s="299" t="n"/>
      <x:c r="CJ24" s="299" t="n"/>
      <x:c r="CK24" s="299" t="n"/>
      <x:c r="CL24" s="299" t="n">
        <x:v>0</x:v>
      </x:c>
      <x:c r="CM24" s="299" t="n"/>
      <x:c r="CN24" s="299" t="n"/>
      <x:c r="CO24" s="299" t="n"/>
      <x:c r="CP24" s="299" t="n"/>
      <x:c r="CQ24" s="299" t="n"/>
      <x:c r="CR24" s="299" t="n"/>
      <x:c r="CS24" s="299" t="n"/>
      <x:c r="CT24" s="299" t="n"/>
      <x:c r="CU24" s="299" t="n"/>
      <x:c r="CV24" s="299" t="n"/>
      <x:c r="CW24" s="299" t="n"/>
      <x:c r="CX24" s="299" t="n"/>
      <x:c r="CY24" s="299" t="n"/>
      <x:c r="CZ24" s="299" t="n"/>
      <x:c r="DA24" s="299" t="n"/>
      <x:c r="DB24" s="299" t="n"/>
      <x:c r="DC24" s="299" t="n"/>
      <x:c r="DD24" s="299" t="n"/>
      <x:c r="DE24" s="299" t="n"/>
      <x:c r="DF24" s="299" t="n"/>
      <x:c r="DG24" s="299" t="n"/>
      <x:c r="DH24" s="299" t="n"/>
      <x:c r="DI24" s="299" t="n"/>
      <x:c r="DJ24" s="299" t="n"/>
      <x:c r="DK24" s="299" t="n"/>
      <x:c r="DL24" s="299" t="n"/>
      <x:c r="DM24" s="299" t="n"/>
      <x:c r="DN24" s="299" t="n"/>
      <x:c r="DO24" s="299" t="n"/>
      <x:c r="DP24" s="299" t="n"/>
      <x:c r="DQ24" s="299" t="n"/>
      <x:c r="DR24" s="299" t="n"/>
      <x:c r="DS24" s="299" t="n"/>
      <x:c r="DT24" s="299" t="n"/>
      <x:c r="DU24" s="299" t="n"/>
      <x:c r="DV24" s="299" t="n"/>
      <x:c r="DW24" s="299" t="n"/>
      <x:c r="DX24" s="299" t="n"/>
      <x:c r="DY24" s="299" t="n"/>
      <x:c r="DZ24" s="299" t="n"/>
      <x:c r="EA24" s="299" t="n"/>
      <x:c r="EB24" s="299" t="n"/>
      <x:c r="EC24" s="299" t="n"/>
      <x:c r="ED24" s="299" t="n"/>
      <x:c r="EE24" s="299" t="n"/>
      <x:c r="EF24" s="299" t="n"/>
      <x:c r="EG24" s="299" t="n"/>
      <x:c r="EH24" s="299" t="n"/>
      <x:c r="EI24" s="299" t="n"/>
      <x:c r="EJ24" s="299" t="n"/>
      <x:c r="EK24" s="299" t="n"/>
      <x:c r="EL24" s="299" t="n"/>
      <x:c r="EM24" s="299" t="n"/>
      <x:c r="EN24" s="299" t="n"/>
      <x:c r="EO24" s="299" t="n"/>
      <x:c r="EP24" s="299" t="n"/>
      <x:c r="EQ24" s="299" t="n"/>
      <x:c r="ER24" s="299" t="n"/>
      <x:c r="ES24" s="299" t="n"/>
      <x:c r="ET24" s="299" t="n"/>
      <x:c r="EU24" s="299" t="n"/>
      <x:c r="EV24" s="299" t="n"/>
      <x:c r="EW24" s="299" t="n"/>
      <x:c r="EX24" s="299" t="n"/>
      <x:c r="EY24" s="299" t="n"/>
      <x:c r="EZ24" s="28" t="n"/>
      <x:c r="FA24" s="28" t="n"/>
      <x:c r="FB24" s="28" t="n"/>
      <x:c r="FC24" s="28" t="n"/>
      <x:c r="FD24" s="28" t="n"/>
      <x:c r="FE24" s="28" t="n"/>
      <x:c r="FF24" s="28" t="n"/>
      <x:c r="FG24" s="28" t="n"/>
      <x:c r="FH24" s="28" t="n"/>
      <x:c r="FI24" s="28" t="n"/>
      <x:c r="FJ24" s="28" t="n"/>
      <x:c r="FK24" s="28" t="n"/>
      <x:c r="FL24" s="28" t="n"/>
      <x:c r="FM24" s="28" t="n"/>
      <x:c r="FN24" s="28" t="n"/>
      <x:c r="FO24" s="28" t="n"/>
      <x:c r="FP24" s="28" t="n"/>
      <x:c r="FQ24" s="28" t="n"/>
      <x:c r="FR24" s="28" t="n"/>
      <x:c r="FS24" s="28" t="n"/>
      <x:c r="FT24" s="28" t="n"/>
      <x:c r="FU24" s="28" t="n"/>
      <x:c r="FV24" s="28" t="n"/>
      <x:c r="FW24" s="28" t="n"/>
      <x:c r="FX24" s="28" t="n"/>
      <x:c r="FY24" s="28" t="n"/>
      <x:c r="FZ24" s="28" t="n"/>
    </x:row>
    <x:row r="25" s="27" customFormat="1">
      <x:c r="A25" s="125" t="n"/>
      <x:c r="B25" s="39" t="n"/>
      <x:c r="C25" s="86" t="n">
        <x:f>E25*D$5</x:f>
        <x:v>0</x:v>
      </x:c>
      <x:c r="D25" s="523" t="inlineStr">
        <x:is>
          <x:t xml:space="preserve">Myron V. Slobin</x:t>
        </x:is>
      </x:c>
      <x:c r="E25" s="86" t="n">
        <x:f>SUM(G25:HS25)</x:f>
        <x:v>0</x:v>
      </x:c>
      <x:c r="F25" s="126" t="inlineStr">
        <x:is>
          <x:t xml:space="preserve"/>
        </x:is>
      </x:c>
      <x:c r="G25" s="297" t="n"/>
      <x:c r="H25" s="297" t="n"/>
      <x:c r="I25" s="297" t="n"/>
      <x:c r="J25" s="297" t="n"/>
      <x:c r="K25" s="297" t="n"/>
      <x:c r="L25" s="297" t="n"/>
      <x:c r="M25" s="297" t="n"/>
      <x:c r="N25" s="297" t="n"/>
      <x:c r="O25" s="297" t="n"/>
      <x:c r="P25" s="123" t="n"/>
      <x:c r="Q25" s="301" t="n"/>
      <x:c r="R25" s="297" t="n"/>
      <x:c r="S25" s="297" t="n"/>
      <x:c r="T25" s="297" t="n"/>
      <x:c r="U25" s="297" t="n"/>
      <x:c r="V25" s="297" t="n"/>
      <x:c r="W25" s="297" t="n">
        <x:v>0.00126347176772335</x:v>
      </x:c>
      <x:c r="X25" s="297" t="n"/>
      <x:c r="Y25" s="123" t="n"/>
      <x:c r="Z25" s="123" t="n"/>
      <x:c r="AA25" s="123" t="n"/>
      <x:c r="AB25" s="123" t="n"/>
      <x:c r="AC25" s="123" t="n"/>
      <x:c r="AD25" s="6" t="n"/>
      <x:c r="AE25" s="123" t="n"/>
      <x:c r="AF25" s="297" t="n"/>
      <x:c r="AG25" s="123" t="n"/>
      <x:c r="AH25" s="297" t="n"/>
      <x:c r="AI25" s="123" t="n"/>
      <x:c r="AJ25" s="297" t="n"/>
      <x:c r="AK25" s="297" t="n"/>
      <x:c r="AL25" s="297" t="n"/>
      <x:c r="AM25" s="298" t="n"/>
      <x:c r="AN25" s="297" t="n"/>
      <x:c r="AO25" s="297" t="n"/>
      <x:c r="AP25" s="297" t="n"/>
      <x:c r="AQ25" s="297" t="n">
        <x:v>-0.007580830606340101</x:v>
      </x:c>
      <x:c r="AR25" s="299" t="n">
        <x:v>-0.00126347176772335</x:v>
      </x:c>
      <x:c r="AS25" s="299" t="n"/>
      <x:c r="AT25" s="299" t="n"/>
      <x:c r="AU25" s="299" t="n"/>
      <x:c r="AV25" s="299" t="n"/>
      <x:c r="AW25" s="299" t="n"/>
      <x:c r="AX25" s="299" t="n"/>
      <x:c r="AY25" s="299" t="n"/>
      <x:c r="AZ25" s="299" t="n"/>
      <x:c r="BA25" s="299" t="n"/>
      <x:c r="BB25" s="299" t="n"/>
      <x:c r="BC25" s="299" t="n"/>
      <x:c r="BD25" s="299" t="n"/>
      <x:c r="BE25" s="299" t="n"/>
      <x:c r="BF25" s="299" t="n"/>
      <x:c r="BG25" s="299" t="n"/>
      <x:c r="BH25" s="299" t="n"/>
      <x:c r="BI25" s="299" t="n"/>
      <x:c r="BJ25" s="299" t="n"/>
      <x:c r="BK25" s="299" t="n"/>
      <x:c r="BL25" s="299" t="n"/>
      <x:c r="BM25" s="299" t="n"/>
      <x:c r="BN25" s="299" t="n"/>
      <x:c r="BO25" s="299" t="n"/>
      <x:c r="BP25" s="299" t="n"/>
      <x:c r="BQ25" s="299" t="n"/>
      <x:c r="BR25" s="299" t="n"/>
      <x:c r="BS25" s="299" t="n"/>
      <x:c r="BT25" s="299" t="n"/>
      <x:c r="BU25" s="299" t="n"/>
      <x:c r="BV25" s="299" t="n"/>
      <x:c r="BW25" s="299" t="n"/>
      <x:c r="BX25" s="299" t="n"/>
      <x:c r="BY25" s="299" t="n"/>
      <x:c r="BZ25" s="299" t="n"/>
      <x:c r="CA25" s="299" t="n"/>
      <x:c r="CB25" s="299" t="n"/>
      <x:c r="CC25" s="299" t="n"/>
      <x:c r="CD25" s="299" t="n"/>
      <x:c r="CE25" s="299" t="n"/>
      <x:c r="CF25" s="299" t="n"/>
      <x:c r="CG25" s="299" t="n"/>
      <x:c r="CH25" s="299" t="n"/>
      <x:c r="CI25" s="299" t="n"/>
      <x:c r="CJ25" s="299" t="n"/>
      <x:c r="CK25" s="299" t="n"/>
      <x:c r="CL25" s="299" t="n"/>
      <x:c r="CM25" s="299" t="n"/>
      <x:c r="CN25" s="299" t="n"/>
      <x:c r="CO25" s="299" t="n"/>
      <x:c r="CP25" s="299" t="n"/>
      <x:c r="CQ25" s="299" t="n"/>
      <x:c r="CR25" s="299" t="n">
        <x:v>0.0075808306063401</x:v>
      </x:c>
      <x:c r="CS25" s="299" t="n">
        <x:v>0.00126347176772335</x:v>
      </x:c>
      <x:c r="CT25" s="299" t="n"/>
      <x:c r="CU25" s="299" t="n"/>
      <x:c r="CV25" s="299" t="n"/>
      <x:c r="CW25" s="299" t="n"/>
      <x:c r="CX25" s="299" t="n"/>
      <x:c r="CY25" s="299" t="n"/>
      <x:c r="CZ25" s="299" t="n"/>
      <x:c r="DA25" s="299" t="n"/>
      <x:c r="DB25" s="299" t="n"/>
      <x:c r="DC25" s="299" t="n"/>
      <x:c r="DD25" s="299" t="n"/>
      <x:c r="DE25" s="299" t="n"/>
      <x:c r="DF25" s="299" t="n"/>
      <x:c r="DG25" s="299" t="n"/>
      <x:c r="DH25" s="299" t="n"/>
      <x:c r="DI25" s="299" t="n"/>
      <x:c r="DJ25" s="299" t="n"/>
      <x:c r="DK25" s="299" t="n"/>
      <x:c r="DL25" s="299" t="n"/>
      <x:c r="DM25" s="299" t="n"/>
      <x:c r="DN25" s="299" t="n"/>
      <x:c r="DO25" s="299" t="n"/>
      <x:c r="DP25" s="299" t="n"/>
      <x:c r="DQ25" s="299" t="n"/>
      <x:c r="DR25" s="299" t="n"/>
      <x:c r="DS25" s="299" t="n"/>
      <x:c r="DT25" s="299" t="n"/>
      <x:c r="DU25" s="299" t="n"/>
      <x:c r="DV25" s="299" t="n"/>
      <x:c r="DW25" s="299" t="n"/>
      <x:c r="DX25" s="299" t="n"/>
      <x:c r="DY25" s="299" t="n"/>
      <x:c r="DZ25" s="299" t="n"/>
      <x:c r="EA25" s="299" t="n"/>
      <x:c r="EB25" s="299" t="n"/>
      <x:c r="EC25" s="299" t="n"/>
      <x:c r="ED25" s="299" t="n">
        <x:f>-SUM(G25:EC25)</x:f>
        <x:v>-0.001263471767723349</x:v>
      </x:c>
      <x:c r="EE25" s="299" t="n"/>
      <x:c r="EF25" s="299" t="n"/>
      <x:c r="EG25" s="299" t="n"/>
      <x:c r="EH25" s="299" t="n"/>
      <x:c r="EI25" s="299" t="n"/>
      <x:c r="EJ25" s="299" t="n"/>
      <x:c r="EK25" s="299" t="n"/>
      <x:c r="EL25" s="299" t="n"/>
      <x:c r="EM25" s="299" t="n"/>
      <x:c r="EN25" s="299" t="n"/>
      <x:c r="EO25" s="299" t="n"/>
      <x:c r="EP25" s="299" t="n"/>
      <x:c r="EQ25" s="299" t="n"/>
      <x:c r="ER25" s="299" t="n"/>
      <x:c r="ES25" s="299" t="n"/>
      <x:c r="ET25" s="299" t="n"/>
      <x:c r="EU25" s="299" t="n"/>
      <x:c r="EV25" s="299" t="n"/>
      <x:c r="EW25" s="299" t="n"/>
      <x:c r="EX25" s="299" t="n"/>
      <x:c r="EY25" s="299" t="n"/>
      <x:c r="EZ25" s="28" t="n"/>
      <x:c r="FA25" s="28" t="n"/>
      <x:c r="FB25" s="28" t="n"/>
      <x:c r="FC25" s="28" t="n"/>
      <x:c r="FD25" s="28" t="n"/>
      <x:c r="FE25" s="28" t="n"/>
      <x:c r="FF25" s="28" t="n"/>
      <x:c r="FG25" s="28" t="n"/>
      <x:c r="FH25" s="28" t="n"/>
      <x:c r="FI25" s="28" t="n"/>
      <x:c r="FJ25" s="28" t="n"/>
      <x:c r="FK25" s="28" t="n"/>
      <x:c r="FL25" s="28" t="n"/>
      <x:c r="FM25" s="28" t="n"/>
      <x:c r="FN25" s="28" t="n"/>
      <x:c r="FO25" s="28" t="n"/>
      <x:c r="FP25" s="28" t="n"/>
      <x:c r="FQ25" s="28" t="n"/>
      <x:c r="FR25" s="28" t="n"/>
      <x:c r="FS25" s="28" t="n"/>
      <x:c r="FT25" s="28" t="n"/>
      <x:c r="FU25" s="28" t="n"/>
      <x:c r="FV25" s="28" t="n"/>
      <x:c r="FW25" s="28" t="n"/>
      <x:c r="FX25" s="28" t="n"/>
      <x:c r="FY25" s="28" t="n"/>
      <x:c r="FZ25" s="28" t="n"/>
    </x:row>
    <x:row r="26" s="27" customFormat="1">
      <x:c r="A26" s="125" t="n"/>
      <x:c r="B26" s="39" t="n"/>
      <x:c r="C26" s="86" t="n">
        <x:f>E26*D$5</x:f>
        <x:v>0.00007548283573598213</x:v>
      </x:c>
      <x:c r="D26" s="334" t="inlineStr">
        <x:is>
          <x:t xml:space="preserve">Gregory J. Winneke</x:t>
        </x:is>
      </x:c>
      <x:c r="E26" s="86" t="n">
        <x:f>SUM(G26:HS26)</x:f>
        <x:v>4.7176772334988834e-7</x:v>
      </x:c>
      <x:c r="F26" s="126" t="inlineStr">
        <x:is>
          <x:t xml:space="preserve"/>
        </x:is>
      </x:c>
      <x:c r="G26" s="297" t="n"/>
      <x:c r="H26" s="297" t="n"/>
      <x:c r="I26" s="297" t="n"/>
      <x:c r="J26" s="297" t="n"/>
      <x:c r="K26" s="297" t="n"/>
      <x:c r="L26" s="297" t="n"/>
      <x:c r="M26" s="297" t="n"/>
      <x:c r="N26" s="297" t="n"/>
      <x:c r="O26" s="297" t="n"/>
      <x:c r="P26" s="123" t="n"/>
      <x:c r="Q26" s="301" t="n"/>
      <x:c r="R26" s="297" t="n"/>
      <x:c r="S26" s="297" t="n"/>
      <x:c r="T26" s="297" t="n"/>
      <x:c r="U26" s="297" t="n"/>
      <x:c r="V26" s="297" t="n"/>
      <x:c r="W26" s="297" t="n"/>
      <x:c r="X26" s="297" t="n">
        <x:v>0.00126347176772335</x:v>
      </x:c>
      <x:c r="Y26" s="123" t="n"/>
      <x:c r="Z26" s="123" t="n"/>
      <x:c r="AA26" s="123" t="n"/>
      <x:c r="AB26" s="123" t="n"/>
      <x:c r="AC26" s="123" t="n"/>
      <x:c r="AD26" s="5" t="n"/>
      <x:c r="AE26" s="123" t="n"/>
      <x:c r="AF26" s="297" t="n"/>
      <x:c r="AG26" s="123" t="n"/>
      <x:c r="AH26" s="297" t="n"/>
      <x:c r="AI26" s="123" t="n"/>
      <x:c r="AJ26" s="297" t="n"/>
      <x:c r="AK26" s="297" t="n"/>
      <x:c r="AL26" s="297" t="n"/>
      <x:c r="AM26" s="298" t="n"/>
      <x:c r="AN26" s="297" t="n"/>
      <x:c r="AO26" s="297" t="n"/>
      <x:c r="AP26" s="297" t="n"/>
      <x:c r="AQ26" s="297" t="n"/>
      <x:c r="AR26" s="299" t="n"/>
      <x:c r="AS26" s="299" t="n"/>
      <x:c r="AT26" s="299" t="n"/>
      <x:c r="AU26" s="299" t="n"/>
      <x:c r="AV26" s="299" t="n"/>
      <x:c r="AW26" s="299" t="n"/>
      <x:c r="AX26" s="299" t="n"/>
      <x:c r="AY26" s="299" t="n"/>
      <x:c r="AZ26" s="299" t="n"/>
      <x:c r="BA26" s="299" t="n"/>
      <x:c r="BB26" s="299" t="n"/>
      <x:c r="BC26" s="299" t="n"/>
      <x:c r="BD26" s="299" t="n"/>
      <x:c r="BE26" s="299" t="n"/>
      <x:c r="BF26" s="299" t="n"/>
      <x:c r="BG26" s="299" t="n"/>
      <x:c r="BH26" s="299" t="n"/>
      <x:c r="BI26" s="299" t="n"/>
      <x:c r="BJ26" s="299" t="n"/>
      <x:c r="BK26" s="299" t="n"/>
      <x:c r="BL26" s="299" t="n"/>
      <x:c r="BM26" s="299" t="n"/>
      <x:c r="BN26" s="299" t="n"/>
      <x:c r="BO26" s="299" t="n"/>
      <x:c r="BP26" s="299" t="n"/>
      <x:c r="BQ26" s="299" t="n"/>
      <x:c r="BR26" s="299" t="n"/>
      <x:c r="BS26" s="299" t="n"/>
      <x:c r="BT26" s="299" t="n"/>
      <x:c r="BU26" s="299" t="n"/>
      <x:c r="BV26" s="299" t="n"/>
      <x:c r="BW26" s="299" t="n"/>
      <x:c r="BX26" s="299" t="n"/>
      <x:c r="BY26" s="299" t="n"/>
      <x:c r="BZ26" s="299" t="n"/>
      <x:c r="CA26" s="299" t="n"/>
      <x:c r="CB26" s="299" t="n"/>
      <x:c r="CC26" s="299" t="n"/>
      <x:c r="CD26" s="299" t="n"/>
      <x:c r="CE26" s="299" t="n"/>
      <x:c r="CF26" s="299" t="n"/>
      <x:c r="CG26" s="299" t="n"/>
      <x:c r="CH26" s="299" t="n"/>
      <x:c r="CI26" s="299" t="n"/>
      <x:c r="CJ26" s="299" t="n"/>
      <x:c r="CK26" s="299" t="n"/>
      <x:c r="CL26" s="299" t="n"/>
      <x:c r="CM26" s="299" t="n"/>
      <x:c r="CN26" s="299" t="n"/>
      <x:c r="CO26" s="299" t="n"/>
      <x:c r="CP26" s="299" t="n"/>
      <x:c r="CQ26" s="299" t="n"/>
      <x:c r="CR26" s="299" t="n"/>
      <x:c r="CS26" s="299" t="n"/>
      <x:c r="CT26" s="299" t="n"/>
      <x:c r="CU26" s="299" t="n"/>
      <x:c r="CV26" s="299" t="n"/>
      <x:c r="CW26" s="299" t="n"/>
      <x:c r="CX26" s="299" t="n"/>
      <x:c r="CY26" s="299" t="n"/>
      <x:c r="CZ26" s="299" t="n"/>
      <x:c r="DA26" s="299" t="n"/>
      <x:c r="DB26" s="299" t="n"/>
      <x:c r="DC26" s="299" t="n"/>
      <x:c r="DD26" s="299" t="n"/>
      <x:c r="DE26" s="299" t="n"/>
      <x:c r="DF26" s="299" t="n"/>
      <x:c r="DG26" s="299" t="n"/>
      <x:c r="DH26" s="299" t="n"/>
      <x:c r="DI26" s="299" t="n"/>
      <x:c r="DJ26" s="299" t="n"/>
      <x:c r="DK26" s="299" t="n"/>
      <x:c r="DL26" s="299" t="n"/>
      <x:c r="DM26" s="299" t="n"/>
      <x:c r="DN26" s="299" t="n"/>
      <x:c r="DO26" s="299" t="n"/>
      <x:c r="DP26" s="299" t="n"/>
      <x:c r="DQ26" s="299" t="n"/>
      <x:c r="DR26" s="299" t="n"/>
      <x:c r="DS26" s="299" t="n"/>
      <x:c r="DT26" s="299" t="n"/>
      <x:c r="DU26" s="299" t="n"/>
      <x:c r="DV26" s="299" t="n"/>
      <x:c r="DW26" s="299" t="n"/>
      <x:c r="DX26" s="299" t="n"/>
      <x:c r="DY26" s="299" t="n"/>
      <x:c r="DZ26" s="299" t="n"/>
      <x:c r="EA26" s="299" t="n"/>
      <x:c r="EB26" s="299" t="n"/>
      <x:c r="EC26" s="299" t="n"/>
      <x:c r="ED26" s="299" t="n"/>
      <x:c r="EE26" s="299" t="n"/>
      <x:c r="EF26" s="299" t="n"/>
      <x:c r="EG26" s="299" t="n"/>
      <x:c r="EH26" s="299" t="n"/>
      <x:c r="EI26" s="299" t="n"/>
      <x:c r="EJ26" s="299" t="n"/>
      <x:c r="EK26" s="299" t="n"/>
      <x:c r="EL26" s="299" t="n"/>
      <x:c r="EM26" s="299" t="n"/>
      <x:c r="EN26" s="299" t="n">
        <x:v>0.001263</x:v>
      </x:c>
      <x:c r="EO26" s="299" t="n"/>
      <x:c r="EP26" s="299" t="n"/>
      <x:c r="EQ26" s="299" t="n"/>
      <x:c r="ER26" s="299" t="n"/>
      <x:c r="ES26" s="299" t="n">
        <x:v>-0.002526</x:v>
      </x:c>
      <x:c r="ET26" s="299" t="n"/>
      <x:c r="EU26" s="299" t="n"/>
      <x:c r="EV26" s="299" t="n"/>
      <x:c r="EW26" s="299" t="n"/>
      <x:c r="EX26" s="299" t="n"/>
      <x:c r="EY26" s="299" t="n"/>
      <x:c r="EZ26" s="28" t="n"/>
      <x:c r="FA26" s="28" t="n"/>
      <x:c r="FB26" s="28" t="n"/>
      <x:c r="FC26" s="28" t="n"/>
      <x:c r="FD26" s="28" t="n"/>
      <x:c r="FE26" s="28" t="n"/>
      <x:c r="FF26" s="28" t="n"/>
      <x:c r="FG26" s="28" t="n"/>
      <x:c r="FH26" s="28" t="n"/>
      <x:c r="FI26" s="28" t="n"/>
      <x:c r="FJ26" s="28" t="n"/>
      <x:c r="FK26" s="28" t="n"/>
      <x:c r="FL26" s="28" t="n"/>
      <x:c r="FM26" s="28" t="n"/>
      <x:c r="FN26" s="28" t="n"/>
      <x:c r="FO26" s="28" t="n"/>
      <x:c r="FP26" s="28" t="n"/>
      <x:c r="FQ26" s="28" t="n"/>
      <x:c r="FR26" s="28" t="n"/>
      <x:c r="FS26" s="28" t="n"/>
      <x:c r="FT26" s="28" t="n"/>
      <x:c r="FU26" s="28" t="n"/>
      <x:c r="FV26" s="28" t="n"/>
      <x:c r="FW26" s="28" t="n"/>
      <x:c r="FX26" s="28" t="n"/>
      <x:c r="FY26" s="28" t="n"/>
      <x:c r="FZ26" s="28" t="n"/>
    </x:row>
    <x:row r="27" s="27" customFormat="1">
      <x:c r="A27" s="125" t="n"/>
      <x:c r="B27" s="39" t="n"/>
      <x:c r="C27" s="36" t="n">
        <x:f>E27*D$5</x:f>
        <x:v>0.00007548283573598213</x:v>
      </x:c>
      <x:c r="D27" s="523" t="inlineStr">
        <x:is>
          <x:t xml:space="preserve">Lyle T. Ibeling</x:t>
        </x:is>
      </x:c>
      <x:c r="E27" s="36" t="n">
        <x:f>SUM(G27:HS27)</x:f>
        <x:v>4.7176772334988834e-7</x:v>
      </x:c>
      <x:c r="F27" s="126" t="inlineStr">
        <x:is>
          <x:t xml:space="preserve"/>
        </x:is>
      </x:c>
      <x:c r="G27" s="297" t="n"/>
      <x:c r="H27" s="297" t="n"/>
      <x:c r="I27" s="297" t="n"/>
      <x:c r="J27" s="297" t="n"/>
      <x:c r="K27" s="297" t="n"/>
      <x:c r="L27" s="297" t="n"/>
      <x:c r="M27" s="297" t="n"/>
      <x:c r="N27" s="297" t="n"/>
      <x:c r="O27" s="297" t="n"/>
      <x:c r="P27" s="123" t="n"/>
      <x:c r="Q27" s="301" t="n"/>
      <x:c r="R27" s="297" t="n"/>
      <x:c r="S27" s="297" t="n"/>
      <x:c r="T27" s="297" t="n"/>
      <x:c r="U27" s="297" t="n"/>
      <x:c r="V27" s="297" t="n"/>
      <x:c r="W27" s="297" t="n"/>
      <x:c r="X27" s="297" t="n"/>
      <x:c r="Y27" s="123" t="n">
        <x:v>0.00126347176772335</x:v>
      </x:c>
      <x:c r="Z27" s="123" t="n"/>
      <x:c r="AA27" s="123" t="n"/>
      <x:c r="AB27" s="123" t="n"/>
      <x:c r="AC27" s="123" t="n"/>
      <x:c r="AD27" s="5" t="n"/>
      <x:c r="AE27" s="123" t="n"/>
      <x:c r="AF27" s="297" t="n"/>
      <x:c r="AG27" s="123" t="n"/>
      <x:c r="AH27" s="297" t="n"/>
      <x:c r="AI27" s="123" t="n"/>
      <x:c r="AJ27" s="297" t="n"/>
      <x:c r="AK27" s="297" t="n"/>
      <x:c r="AL27" s="297" t="n"/>
      <x:c r="AM27" s="298" t="n"/>
      <x:c r="AN27" s="297" t="n"/>
      <x:c r="AO27" s="297" t="n"/>
      <x:c r="AP27" s="297" t="n"/>
      <x:c r="AQ27" s="297" t="n"/>
      <x:c r="AR27" s="299" t="n"/>
      <x:c r="AS27" s="299" t="n"/>
      <x:c r="AT27" s="299" t="n"/>
      <x:c r="AU27" s="299" t="n"/>
      <x:c r="AV27" s="299" t="n"/>
      <x:c r="AW27" s="299" t="n"/>
      <x:c r="AX27" s="299" t="n"/>
      <x:c r="AY27" s="299" t="n"/>
      <x:c r="AZ27" s="299" t="n"/>
      <x:c r="BA27" s="299" t="n"/>
      <x:c r="BB27" s="299" t="n"/>
      <x:c r="BC27" s="299" t="n"/>
      <x:c r="BD27" s="299" t="n"/>
      <x:c r="BE27" s="299" t="n"/>
      <x:c r="BF27" s="299" t="n"/>
      <x:c r="BG27" s="299" t="n"/>
      <x:c r="BH27" s="299" t="n"/>
      <x:c r="BI27" s="299" t="n"/>
      <x:c r="BJ27" s="299" t="n"/>
      <x:c r="BK27" s="299" t="n"/>
      <x:c r="BL27" s="299" t="n"/>
      <x:c r="BM27" s="299" t="n"/>
      <x:c r="BN27" s="299" t="n"/>
      <x:c r="BO27" s="299" t="n"/>
      <x:c r="BP27" s="299" t="n"/>
      <x:c r="BQ27" s="299" t="n"/>
      <x:c r="BR27" s="299" t="n"/>
      <x:c r="BS27" s="299" t="n"/>
      <x:c r="BT27" s="299" t="n"/>
      <x:c r="BU27" s="299" t="n"/>
      <x:c r="BV27" s="299" t="n"/>
      <x:c r="BW27" s="299" t="n"/>
      <x:c r="BX27" s="299" t="n"/>
      <x:c r="BY27" s="299" t="n"/>
      <x:c r="BZ27" s="299" t="n"/>
      <x:c r="CA27" s="299" t="n"/>
      <x:c r="CB27" s="299" t="n"/>
      <x:c r="CC27" s="299" t="n"/>
      <x:c r="CD27" s="299" t="n"/>
      <x:c r="CE27" s="299" t="n"/>
      <x:c r="CF27" s="299" t="n"/>
      <x:c r="CG27" s="299" t="n"/>
      <x:c r="CH27" s="299" t="n"/>
      <x:c r="CI27" s="299" t="n"/>
      <x:c r="CJ27" s="299" t="n"/>
      <x:c r="CK27" s="299" t="n"/>
      <x:c r="CL27" s="299" t="n"/>
      <x:c r="CM27" s="299" t="n"/>
      <x:c r="CN27" s="299" t="n"/>
      <x:c r="CO27" s="299" t="n"/>
      <x:c r="CP27" s="299" t="n"/>
      <x:c r="CQ27" s="299" t="n"/>
      <x:c r="CR27" s="299" t="n"/>
      <x:c r="CS27" s="299" t="n"/>
      <x:c r="CT27" s="299" t="n"/>
      <x:c r="CU27" s="299" t="n"/>
      <x:c r="CV27" s="299" t="n"/>
      <x:c r="CW27" s="299" t="n"/>
      <x:c r="CX27" s="299" t="n"/>
      <x:c r="CY27" s="299" t="n"/>
      <x:c r="CZ27" s="299" t="n"/>
      <x:c r="DA27" s="299" t="n"/>
      <x:c r="DB27" s="299" t="n"/>
      <x:c r="DC27" s="299" t="n"/>
      <x:c r="DD27" s="299" t="n"/>
      <x:c r="DE27" s="299" t="n"/>
      <x:c r="DF27" s="299" t="n"/>
      <x:c r="DG27" s="299" t="n"/>
      <x:c r="DH27" s="299" t="n"/>
      <x:c r="DI27" s="299" t="n"/>
      <x:c r="DJ27" s="299" t="n"/>
      <x:c r="DK27" s="299" t="n"/>
      <x:c r="DL27" s="299" t="n"/>
      <x:c r="DM27" s="299" t="n"/>
      <x:c r="DN27" s="299" t="n"/>
      <x:c r="DO27" s="299" t="n"/>
      <x:c r="DP27" s="299" t="n"/>
      <x:c r="DQ27" s="299" t="n"/>
      <x:c r="DR27" s="299" t="n"/>
      <x:c r="DS27" s="299" t="n"/>
      <x:c r="DT27" s="299" t="n"/>
      <x:c r="DU27" s="299" t="n"/>
      <x:c r="DV27" s="299" t="n"/>
      <x:c r="DW27" s="299" t="n"/>
      <x:c r="DX27" s="299" t="n"/>
      <x:c r="DY27" s="299" t="n"/>
      <x:c r="DZ27" s="299" t="n"/>
      <x:c r="EA27" s="299" t="n"/>
      <x:c r="EB27" s="299" t="n"/>
      <x:c r="EC27" s="299" t="n"/>
      <x:c r="ED27" s="299" t="n"/>
      <x:c r="EE27" s="299" t="n"/>
      <x:c r="EF27" s="299" t="n"/>
      <x:c r="EG27" s="299" t="n"/>
      <x:c r="EH27" s="299" t="n"/>
      <x:c r="EI27" s="299" t="n"/>
      <x:c r="EJ27" s="299" t="n">
        <x:v>-0.001263</x:v>
      </x:c>
      <x:c r="EK27" s="299" t="n"/>
      <x:c r="EL27" s="299" t="n"/>
      <x:c r="EM27" s="299" t="n"/>
      <x:c r="EN27" s="299" t="n"/>
      <x:c r="EO27" s="299" t="n"/>
      <x:c r="EP27" s="299" t="n"/>
      <x:c r="EQ27" s="299" t="n"/>
      <x:c r="ER27" s="299" t="n"/>
      <x:c r="ES27" s="299" t="n"/>
      <x:c r="ET27" s="299" t="n"/>
      <x:c r="EU27" s="299" t="n"/>
      <x:c r="EV27" s="299" t="n"/>
      <x:c r="EW27" s="299" t="n"/>
      <x:c r="EX27" s="299" t="n"/>
      <x:c r="EY27" s="299" t="n"/>
      <x:c r="EZ27" s="28" t="n"/>
      <x:c r="FA27" s="28" t="n"/>
      <x:c r="FB27" s="28" t="n"/>
      <x:c r="FC27" s="28" t="n"/>
      <x:c r="FD27" s="28" t="n"/>
      <x:c r="FE27" s="28" t="n"/>
      <x:c r="FF27" s="28" t="n"/>
      <x:c r="FG27" s="28" t="n"/>
      <x:c r="FH27" s="28" t="n"/>
      <x:c r="FI27" s="28" t="n"/>
      <x:c r="FJ27" s="28" t="n"/>
      <x:c r="FK27" s="28" t="n"/>
      <x:c r="FL27" s="28" t="n"/>
      <x:c r="FM27" s="28" t="n"/>
      <x:c r="FN27" s="28" t="n"/>
      <x:c r="FO27" s="28" t="n"/>
      <x:c r="FP27" s="28" t="n"/>
      <x:c r="FQ27" s="28" t="n"/>
      <x:c r="FR27" s="28" t="n"/>
      <x:c r="FS27" s="28" t="n"/>
      <x:c r="FT27" s="28" t="n"/>
      <x:c r="FU27" s="28" t="n"/>
      <x:c r="FV27" s="28" t="n"/>
      <x:c r="FW27" s="28" t="n"/>
      <x:c r="FX27" s="28" t="n"/>
      <x:c r="FY27" s="28" t="n"/>
      <x:c r="FZ27" s="28" t="n"/>
    </x:row>
    <x:row r="28" s="27" customFormat="1" ht="72" customHeight="1">
      <x:c r="A28" s="125" t="inlineStr">
        <x:is>
          <x:t xml:space="preserve">Presumed to be the same as William Cobal Bain and Billy Wayne Bain, Co-Trustes of the Will of W. M. Bain for the Benefit of Crystal Pallo</x:t>
        </x:is>
      </x:c>
      <x:c r="B28" s="39" t="n"/>
      <x:c r="C28" s="36" t="n">
        <x:f>E28*D$5</x:f>
        <x:v>1.617692445702298</x:v>
      </x:c>
      <x:c r="D28" s="523" t="inlineStr">
        <x:is>
          <x:t xml:space="preserve">Billy Wayne Bain, Trustee</x:t>
        </x:is>
      </x:c>
      <x:c r="E28" s="36" t="n">
        <x:f>SUM(G28:HS28)</x:f>
        <x:v>0.010110577785639363</x:v>
      </x:c>
      <x:c r="F28" s="126" t="inlineStr">
        <x:is>
          <x:t xml:space="preserve"/>
        </x:is>
      </x:c>
      <x:c r="G28" s="297" t="n"/>
      <x:c r="H28" s="297" t="n"/>
      <x:c r="I28" s="297" t="n"/>
      <x:c r="J28" s="297" t="n"/>
      <x:c r="K28" s="297" t="n"/>
      <x:c r="L28" s="297" t="n"/>
      <x:c r="M28" s="297" t="n"/>
      <x:c r="N28" s="297" t="n"/>
      <x:c r="O28" s="297" t="n"/>
      <x:c r="P28" s="123" t="n"/>
      <x:c r="Q28" s="297" t="n"/>
      <x:c r="R28" s="301" t="n"/>
      <x:c r="S28" s="301" t="n"/>
      <x:c r="T28" s="301" t="n"/>
      <x:c r="U28" s="301" t="n"/>
      <x:c r="V28" s="301" t="n"/>
      <x:c r="W28" s="297" t="n"/>
      <x:c r="X28" s="297" t="n"/>
      <x:c r="Y28" s="123" t="n"/>
      <x:c r="Z28" s="123" t="n">
        <x:v>0.050538870708934</x:v>
      </x:c>
      <x:c r="AA28" s="123" t="n">
        <x:v>-0.00379041530317005</x:v>
      </x:c>
      <x:c r="AB28" s="123" t="n"/>
      <x:c r="AC28" s="123" t="n"/>
      <x:c r="AD28" s="5" t="n"/>
      <x:c r="AE28" s="123" t="n"/>
      <x:c r="AF28" s="297" t="n"/>
      <x:c r="AG28" s="123" t="n"/>
      <x:c r="AH28" s="297" t="n"/>
      <x:c r="AI28" s="123" t="n"/>
      <x:c r="AJ28" s="297" t="n"/>
      <x:c r="AK28" s="297" t="n"/>
      <x:c r="AL28" s="297" t="n"/>
      <x:c r="AM28" s="298" t="n"/>
      <x:c r="AN28" s="297" t="n"/>
      <x:c r="AO28" s="297" t="n"/>
      <x:c r="AP28" s="297" t="n"/>
      <x:c r="AQ28" s="297" t="n"/>
      <x:c r="AR28" s="299" t="n"/>
      <x:c r="AS28" s="299" t="n"/>
      <x:c r="AT28" s="299" t="n"/>
      <x:c r="AU28" s="299" t="n"/>
      <x:c r="AV28" s="299" t="n"/>
      <x:c r="AW28" s="299" t="n"/>
      <x:c r="AX28" s="299" t="n"/>
      <x:c r="AY28" s="299" t="n"/>
      <x:c r="AZ28" s="299" t="n"/>
      <x:c r="BA28" s="299" t="n"/>
      <x:c r="BB28" s="299" t="n"/>
      <x:c r="BC28" s="299" t="n"/>
      <x:c r="BD28" s="299" t="n"/>
      <x:c r="BE28" s="299" t="n"/>
      <x:c r="BF28" s="299" t="n"/>
      <x:c r="BG28" s="299" t="n"/>
      <x:c r="BH28" s="299" t="n"/>
      <x:c r="BI28" s="299" t="n"/>
      <x:c r="BJ28" s="299" t="n"/>
      <x:c r="BK28" s="299" t="n"/>
      <x:c r="BL28" s="299" t="n"/>
      <x:c r="BM28" s="299" t="n"/>
      <x:c r="BN28" s="299" t="n"/>
      <x:c r="BO28" s="299" t="n"/>
      <x:c r="BP28" s="299" t="n"/>
      <x:c r="BQ28" s="299" t="n"/>
      <x:c r="BR28" s="299" t="n"/>
      <x:c r="BS28" s="299" t="n"/>
      <x:c r="BT28" s="299" t="n"/>
      <x:c r="BU28" s="299" t="n"/>
      <x:c r="BV28" s="299" t="n"/>
      <x:c r="BW28" s="299" t="n"/>
      <x:c r="BX28" s="299" t="n"/>
      <x:c r="BY28" s="299" t="n"/>
      <x:c r="BZ28" s="299" t="n"/>
      <x:c r="CA28" s="299" t="n"/>
      <x:c r="CB28" s="299" t="n"/>
      <x:c r="CC28" s="299" t="n"/>
      <x:c r="CD28" s="299" t="n"/>
      <x:c r="CE28" s="299" t="n">
        <x:v>-0.00610631293668743</x:v>
      </x:c>
      <x:c r="CF28" s="299" t="n">
        <x:v>-0.00610631293668743</x:v>
      </x:c>
      <x:c r="CG28" s="299" t="n">
        <x:v>-0.00610631293668743</x:v>
      </x:c>
      <x:c r="CH28" s="299" t="n">
        <x:v>-0.00610631293668743</x:v>
      </x:c>
      <x:c r="CI28" s="299" t="n">
        <x:v>-0.00610631293668743</x:v>
      </x:c>
      <x:c r="CJ28" s="299" t="n">
        <x:v>-0.00610631293668743</x:v>
      </x:c>
      <x:c r="CK28" s="299" t="n"/>
      <x:c r="CL28" s="299" t="n"/>
      <x:c r="CM28" s="299" t="n"/>
      <x:c r="CN28" s="299" t="n"/>
      <x:c r="CO28" s="299" t="n"/>
      <x:c r="CP28" s="299" t="n"/>
      <x:c r="CQ28" s="299" t="n"/>
      <x:c r="CR28" s="299" t="n"/>
      <x:c r="CS28" s="299" t="n"/>
      <x:c r="CT28" s="299" t="n"/>
      <x:c r="CU28" s="299" t="n"/>
      <x:c r="CV28" s="299" t="n"/>
      <x:c r="CW28" s="299" t="n"/>
      <x:c r="CX28" s="299" t="n"/>
      <x:c r="CY28" s="299" t="n"/>
      <x:c r="CZ28" s="299" t="n"/>
      <x:c r="DA28" s="299" t="n"/>
      <x:c r="DB28" s="299" t="n"/>
      <x:c r="DC28" s="299" t="n"/>
      <x:c r="DD28" s="299" t="n"/>
      <x:c r="DE28" s="299" t="n"/>
      <x:c r="DF28" s="299" t="n"/>
      <x:c r="DG28" s="299" t="n"/>
      <x:c r="DH28" s="299" t="n"/>
      <x:c r="DI28" s="299" t="n"/>
      <x:c r="DJ28" s="299" t="n"/>
      <x:c r="DK28" s="299" t="n"/>
      <x:c r="DL28" s="299" t="n"/>
      <x:c r="DM28" s="299" t="n"/>
      <x:c r="DN28" s="299" t="n"/>
      <x:c r="DO28" s="299" t="n"/>
      <x:c r="DP28" s="299" t="n"/>
      <x:c r="DQ28" s="299" t="n"/>
      <x:c r="DR28" s="299" t="n"/>
      <x:c r="DS28" s="299" t="n"/>
      <x:c r="DT28" s="299" t="n"/>
      <x:c r="DU28" s="299" t="n"/>
      <x:c r="DV28" s="299" t="n"/>
      <x:c r="DW28" s="299" t="n"/>
      <x:c r="DX28" s="299" t="n"/>
      <x:c r="DY28" s="299" t="n"/>
      <x:c r="DZ28" s="299" t="n"/>
      <x:c r="EA28" s="299" t="n"/>
      <x:c r="EB28" s="299" t="n"/>
      <x:c r="EC28" s="299" t="n"/>
      <x:c r="ED28" s="299" t="n"/>
      <x:c r="EE28" s="299" t="n"/>
      <x:c r="EF28" s="299" t="n"/>
      <x:c r="EG28" s="299" t="n"/>
      <x:c r="EH28" s="299" t="n"/>
      <x:c r="EI28" s="299" t="n"/>
      <x:c r="EJ28" s="299" t="n"/>
      <x:c r="EK28" s="299" t="n"/>
      <x:c r="EL28" s="299" t="n"/>
      <x:c r="EM28" s="299" t="n"/>
      <x:c r="EN28" s="299" t="n"/>
      <x:c r="EO28" s="299" t="n"/>
      <x:c r="EP28" s="299" t="n"/>
      <x:c r="EQ28" s="299" t="n"/>
      <x:c r="ER28" s="299" t="n"/>
      <x:c r="ES28" s="299" t="n"/>
      <x:c r="ET28" s="299" t="n"/>
      <x:c r="EU28" s="299" t="n"/>
      <x:c r="EV28" s="299" t="n"/>
      <x:c r="EW28" s="299" t="n"/>
      <x:c r="EX28" s="299" t="n"/>
      <x:c r="EY28" s="299" t="n"/>
      <x:c r="EZ28" s="28" t="n"/>
      <x:c r="FA28" s="28" t="n"/>
      <x:c r="FB28" s="28" t="n"/>
      <x:c r="FC28" s="28" t="n"/>
      <x:c r="FD28" s="28" t="n"/>
      <x:c r="FE28" s="28" t="n"/>
      <x:c r="FF28" s="28" t="n"/>
      <x:c r="FG28" s="28" t="n"/>
      <x:c r="FH28" s="28" t="n"/>
      <x:c r="FI28" s="28" t="n"/>
      <x:c r="FJ28" s="28" t="n"/>
      <x:c r="FK28" s="28" t="n"/>
      <x:c r="FL28" s="28" t="n"/>
      <x:c r="FM28" s="28" t="n"/>
      <x:c r="FN28" s="28" t="n"/>
      <x:c r="FO28" s="28" t="n"/>
      <x:c r="FP28" s="28" t="n"/>
      <x:c r="FQ28" s="28" t="n"/>
      <x:c r="FR28" s="28" t="n"/>
      <x:c r="FS28" s="28" t="n"/>
      <x:c r="FT28" s="28" t="n"/>
      <x:c r="FU28" s="28" t="n"/>
      <x:c r="FV28" s="28" t="n"/>
      <x:c r="FW28" s="28" t="n"/>
      <x:c r="FX28" s="28" t="n"/>
      <x:c r="FY28" s="28" t="n"/>
      <x:c r="FZ28" s="28" t="n"/>
    </x:row>
    <x:row r="29" s="27" customFormat="1">
      <x:c r="A29" s="125" t="n"/>
      <x:c r="B29" s="39" t="n"/>
      <x:c r="C29" s="86" t="n">
        <x:f>E29*D$5</x:f>
        <x:v>-7.271982037371227e-8</x:v>
      </x:c>
      <x:c r="D29" s="103" t="inlineStr">
        <x:is>
          <x:t xml:space="preserve">O. K. Oil Venture</x:t>
        </x:is>
      </x:c>
      <x:c r="E29" s="86" t="n">
        <x:f>SUM(G29:HS29)</x:f>
        <x:v>-4.544988773357017e-10</x:v>
      </x:c>
      <x:c r="F29" s="126" t="inlineStr">
        <x:is>
          <x:t xml:space="preserve"/>
        </x:is>
      </x:c>
      <x:c r="G29" s="297" t="n"/>
      <x:c r="H29" s="297" t="n"/>
      <x:c r="I29" s="297" t="n"/>
      <x:c r="J29" s="297" t="n"/>
      <x:c r="K29" s="297" t="n"/>
      <x:c r="L29" s="297" t="n"/>
      <x:c r="M29" s="297" t="n"/>
      <x:c r="N29" s="123" t="n"/>
      <x:c r="O29" s="297" t="n"/>
      <x:c r="P29" s="123" t="n"/>
      <x:c r="Q29" s="301" t="n"/>
      <x:c r="R29" s="301" t="n"/>
      <x:c r="S29" s="301" t="n"/>
      <x:c r="T29" s="297" t="n"/>
      <x:c r="U29" s="297" t="n"/>
      <x:c r="V29" s="297" t="n"/>
      <x:c r="W29" s="297" t="n"/>
      <x:c r="X29" s="297" t="n"/>
      <x:c r="Y29" s="123" t="n"/>
      <x:c r="Z29" s="123" t="n"/>
      <x:c r="AA29" s="123" t="n">
        <x:v>0.00379041530317005</x:v>
      </x:c>
      <x:c r="AB29" s="123" t="n">
        <x:v>0.00379041530317005</x:v>
      </x:c>
      <x:c r="AC29" s="123" t="n">
        <x:v>-0.00126347176772335</x:v>
      </x:c>
      <x:c r="AD29" s="5" t="n">
        <x:v>-0.001263472222222228</x:v>
      </x:c>
      <x:c r="AE29" s="123" t="n">
        <x:v>-0.00126347176772335</x:v>
      </x:c>
      <x:c r="AF29" s="297" t="n">
        <x:v>-0.00126347176772335</x:v>
      </x:c>
      <x:c r="AG29" s="123" t="n">
        <x:v>-0.0025269435354467</x:v>
      </x:c>
      <x:c r="AH29" s="297" t="n"/>
      <x:c r="AI29" s="123" t="n"/>
      <x:c r="AJ29" s="297" t="n"/>
      <x:c r="AK29" s="297" t="n"/>
      <x:c r="AL29" s="297" t="n"/>
      <x:c r="AM29" s="297" t="n"/>
      <x:c r="AN29" s="297" t="n"/>
      <x:c r="AO29" s="297" t="n"/>
      <x:c r="AP29" s="297" t="n"/>
      <x:c r="AQ29" s="297" t="n"/>
      <x:c r="AR29" s="299" t="n"/>
      <x:c r="AS29" s="299" t="n"/>
      <x:c r="AT29" s="302" t="n"/>
      <x:c r="AU29" s="302" t="n"/>
      <x:c r="AV29" s="302" t="n"/>
      <x:c r="AW29" s="302" t="n"/>
      <x:c r="AX29" s="302" t="n"/>
      <x:c r="AY29" s="302" t="n"/>
      <x:c r="AZ29" s="302" t="n"/>
      <x:c r="BA29" s="302" t="n"/>
      <x:c r="BB29" s="302" t="n"/>
      <x:c r="BC29" s="302" t="n"/>
      <x:c r="BD29" s="302" t="n"/>
      <x:c r="BE29" s="302" t="n"/>
      <x:c r="BF29" s="302" t="n"/>
      <x:c r="BG29" s="302" t="n"/>
      <x:c r="BH29" s="302" t="n"/>
      <x:c r="BI29" s="302" t="n"/>
      <x:c r="BJ29" s="302" t="n"/>
      <x:c r="BK29" s="302" t="n"/>
      <x:c r="BL29" s="302" t="n"/>
      <x:c r="BM29" s="302" t="n"/>
      <x:c r="BN29" s="302" t="n"/>
      <x:c r="BO29" s="302" t="n"/>
      <x:c r="BP29" s="302" t="n"/>
      <x:c r="BQ29" s="302" t="n"/>
      <x:c r="BR29" s="302" t="n"/>
      <x:c r="BS29" s="302" t="n"/>
      <x:c r="BT29" s="302" t="n"/>
      <x:c r="BU29" s="302" t="n"/>
      <x:c r="BV29" s="302" t="n"/>
      <x:c r="BW29" s="302" t="n"/>
      <x:c r="BX29" s="302" t="n"/>
      <x:c r="BY29" s="302" t="n"/>
      <x:c r="BZ29" s="302" t="n"/>
      <x:c r="CA29" s="302" t="n"/>
      <x:c r="CB29" s="302" t="n"/>
      <x:c r="CC29" s="302" t="n"/>
      <x:c r="CD29" s="302" t="n"/>
      <x:c r="CE29" s="302" t="n"/>
      <x:c r="CF29" s="302" t="n"/>
      <x:c r="CG29" s="302" t="n"/>
      <x:c r="CH29" s="302" t="n"/>
      <x:c r="CI29" s="302" t="n"/>
      <x:c r="CJ29" s="302" t="n"/>
      <x:c r="CK29" s="302" t="n"/>
      <x:c r="CL29" s="302" t="n"/>
      <x:c r="CM29" s="302" t="n"/>
      <x:c r="CN29" s="302" t="n"/>
      <x:c r="CO29" s="302" t="n"/>
      <x:c r="CP29" s="302" t="n"/>
      <x:c r="CQ29" s="302" t="n"/>
      <x:c r="CR29" s="302" t="n"/>
      <x:c r="CS29" s="302" t="n"/>
      <x:c r="CT29" s="302" t="n"/>
      <x:c r="CU29" s="302" t="n"/>
      <x:c r="CV29" s="302" t="n"/>
      <x:c r="CW29" s="302" t="n"/>
      <x:c r="CX29" s="302" t="n"/>
      <x:c r="CY29" s="302" t="n"/>
      <x:c r="CZ29" s="302" t="n"/>
      <x:c r="DA29" s="302" t="n"/>
      <x:c r="DB29" s="302" t="n"/>
      <x:c r="DC29" s="302" t="n"/>
      <x:c r="DD29" s="302" t="n"/>
      <x:c r="DE29" s="302" t="n"/>
      <x:c r="DF29" s="302" t="n"/>
      <x:c r="DG29" s="302" t="n"/>
      <x:c r="DH29" s="302" t="n"/>
      <x:c r="DI29" s="302" t="n"/>
      <x:c r="DJ29" s="302" t="n"/>
      <x:c r="DK29" s="302" t="n"/>
      <x:c r="DL29" s="302" t="n"/>
      <x:c r="DM29" s="302" t="n"/>
      <x:c r="DN29" s="302" t="n"/>
      <x:c r="DO29" s="302" t="n"/>
      <x:c r="DP29" s="302" t="n"/>
      <x:c r="DQ29" s="302" t="n"/>
      <x:c r="DR29" s="302" t="n"/>
      <x:c r="DS29" s="302" t="n"/>
      <x:c r="DT29" s="302" t="n"/>
      <x:c r="DU29" s="302" t="n"/>
      <x:c r="DV29" s="302" t="n"/>
      <x:c r="DW29" s="302" t="n"/>
      <x:c r="DX29" s="302" t="n"/>
      <x:c r="DY29" s="302" t="n"/>
      <x:c r="DZ29" s="302" t="n"/>
      <x:c r="EA29" s="302" t="n"/>
      <x:c r="EB29" s="302" t="n"/>
      <x:c r="EC29" s="302" t="n"/>
      <x:c r="ED29" s="302" t="n"/>
      <x:c r="EE29" s="302" t="n"/>
      <x:c r="EF29" s="302" t="n"/>
      <x:c r="EG29" s="302" t="n"/>
      <x:c r="EH29" s="302" t="n"/>
      <x:c r="EI29" s="302" t="n"/>
      <x:c r="EJ29" s="302" t="n"/>
      <x:c r="EK29" s="302" t="n"/>
      <x:c r="EL29" s="302" t="n"/>
      <x:c r="EM29" s="302" t="n"/>
      <x:c r="EN29" s="302" t="n"/>
      <x:c r="EO29" s="302" t="n"/>
      <x:c r="EP29" s="302" t="n"/>
      <x:c r="EQ29" s="302" t="n"/>
      <x:c r="ER29" s="302" t="n"/>
      <x:c r="ES29" s="302" t="n"/>
      <x:c r="ET29" s="302" t="n"/>
      <x:c r="EU29" s="302" t="n"/>
      <x:c r="EV29" s="302" t="n"/>
      <x:c r="EW29" s="302" t="n"/>
      <x:c r="EX29" s="302" t="n"/>
      <x:c r="EY29" s="302" t="n"/>
    </x:row>
    <x:row r="30" s="27" customFormat="1">
      <x:c r="A30" s="125" t="n"/>
      <x:c r="B30" s="39" t="n"/>
      <x:c r="C30" s="36" t="n">
        <x:f>E30*D$5</x:f>
        <x:v>0.00007548283573598213</x:v>
      </x:c>
      <x:c r="D30" s="4" t="inlineStr">
        <x:is>
          <x:t xml:space="preserve">Jonathan E. Jensen</x:t>
        </x:is>
      </x:c>
      <x:c r="E30" s="36" t="n">
        <x:f>SUM(G30:HS30)</x:f>
        <x:v>4.7176772334988834e-7</x:v>
      </x:c>
      <x:c r="F30" s="126" t="inlineStr">
        <x:is>
          <x:t xml:space="preserve"/>
        </x:is>
      </x:c>
      <x:c r="G30" s="297" t="n"/>
      <x:c r="H30" s="297" t="n"/>
      <x:c r="I30" s="297" t="n"/>
      <x:c r="J30" s="297" t="n"/>
      <x:c r="K30" s="297" t="n"/>
      <x:c r="L30" s="297" t="n"/>
      <x:c r="M30" s="297" t="n"/>
      <x:c r="N30" s="123" t="n"/>
      <x:c r="O30" s="297" t="n"/>
      <x:c r="P30" s="123" t="n"/>
      <x:c r="Q30" s="301" t="n"/>
      <x:c r="R30" s="301" t="n"/>
      <x:c r="S30" s="297" t="n"/>
      <x:c r="T30" s="301" t="n"/>
      <x:c r="U30" s="297" t="n"/>
      <x:c r="V30" s="297" t="n"/>
      <x:c r="W30" s="297" t="n"/>
      <x:c r="X30" s="297" t="n"/>
      <x:c r="Y30" s="123" t="n"/>
      <x:c r="Z30" s="123" t="n"/>
      <x:c r="AA30" s="123" t="n"/>
      <x:c r="AB30" s="123" t="n"/>
      <x:c r="AC30" s="123" t="n">
        <x:v>0.00126347176772335</x:v>
      </x:c>
      <x:c r="AD30" s="118" t="n"/>
      <x:c r="AE30" s="123" t="n"/>
      <x:c r="AF30" s="297" t="n"/>
      <x:c r="AG30" s="123" t="n"/>
      <x:c r="AH30" s="297" t="n"/>
      <x:c r="AI30" s="123" t="n"/>
      <x:c r="AJ30" s="297" t="n"/>
      <x:c r="AK30" s="297" t="n"/>
      <x:c r="AL30" s="297" t="n"/>
      <x:c r="AM30" s="297" t="n"/>
      <x:c r="AN30" s="297" t="n"/>
      <x:c r="AO30" s="297" t="n"/>
      <x:c r="AP30" s="297" t="n"/>
      <x:c r="AQ30" s="297" t="n"/>
      <x:c r="AR30" s="299" t="n"/>
      <x:c r="AS30" s="299" t="n"/>
      <x:c r="AT30" s="302" t="n"/>
      <x:c r="AU30" s="302" t="n"/>
      <x:c r="AV30" s="302" t="n"/>
      <x:c r="AW30" s="302" t="n"/>
      <x:c r="AX30" s="302" t="n"/>
      <x:c r="AY30" s="302" t="n"/>
      <x:c r="AZ30" s="302" t="n"/>
      <x:c r="BA30" s="302" t="n"/>
      <x:c r="BB30" s="302" t="n"/>
      <x:c r="BC30" s="302" t="n"/>
      <x:c r="BD30" s="302" t="n"/>
      <x:c r="BE30" s="302" t="n"/>
      <x:c r="BF30" s="302" t="n"/>
      <x:c r="BG30" s="302" t="n"/>
      <x:c r="BH30" s="302" t="n"/>
      <x:c r="BI30" s="302" t="n"/>
      <x:c r="BJ30" s="302" t="n"/>
      <x:c r="BK30" s="302" t="n"/>
      <x:c r="BL30" s="302" t="n"/>
      <x:c r="BM30" s="302" t="n"/>
      <x:c r="BN30" s="302" t="n"/>
      <x:c r="BO30" s="302" t="n"/>
      <x:c r="BP30" s="302" t="n"/>
      <x:c r="BQ30" s="302" t="n"/>
      <x:c r="BR30" s="302" t="n"/>
      <x:c r="BS30" s="302" t="n"/>
      <x:c r="BT30" s="302" t="n"/>
      <x:c r="BU30" s="302" t="n"/>
      <x:c r="BV30" s="302" t="n"/>
      <x:c r="BW30" s="302" t="n"/>
      <x:c r="BX30" s="302" t="n"/>
      <x:c r="BY30" s="302" t="n"/>
      <x:c r="BZ30" s="302" t="n"/>
      <x:c r="CA30" s="302" t="n"/>
      <x:c r="CB30" s="302" t="n"/>
      <x:c r="CC30" s="302" t="n"/>
      <x:c r="CD30" s="302" t="n"/>
      <x:c r="CE30" s="302" t="n"/>
      <x:c r="CF30" s="302" t="n"/>
      <x:c r="CG30" s="302" t="n"/>
      <x:c r="CH30" s="302" t="n"/>
      <x:c r="CI30" s="302" t="n"/>
      <x:c r="CJ30" s="302" t="n"/>
      <x:c r="CK30" s="302" t="n"/>
      <x:c r="CL30" s="302" t="n"/>
      <x:c r="CM30" s="302" t="n"/>
      <x:c r="CN30" s="302" t="n"/>
      <x:c r="CO30" s="302" t="n"/>
      <x:c r="CP30" s="302" t="n"/>
      <x:c r="CQ30" s="302" t="n"/>
      <x:c r="CR30" s="302" t="n"/>
      <x:c r="CS30" s="302" t="n"/>
      <x:c r="CT30" s="302" t="n"/>
      <x:c r="CU30" s="302" t="n"/>
      <x:c r="CV30" s="302" t="n"/>
      <x:c r="CW30" s="302" t="n"/>
      <x:c r="CX30" s="302" t="n"/>
      <x:c r="CY30" s="302" t="n"/>
      <x:c r="CZ30" s="302" t="n"/>
      <x:c r="DA30" s="302" t="n"/>
      <x:c r="DB30" s="302" t="n"/>
      <x:c r="DC30" s="302" t="n"/>
      <x:c r="DD30" s="302" t="n"/>
      <x:c r="DE30" s="302" t="n"/>
      <x:c r="DF30" s="302" t="n"/>
      <x:c r="DG30" s="302" t="n"/>
      <x:c r="DH30" s="302" t="n"/>
      <x:c r="DI30" s="302" t="n"/>
      <x:c r="DJ30" s="302" t="n"/>
      <x:c r="DK30" s="302" t="n"/>
      <x:c r="DL30" s="302" t="n"/>
      <x:c r="DM30" s="302" t="n"/>
      <x:c r="DN30" s="302" t="n"/>
      <x:c r="DO30" s="302" t="n"/>
      <x:c r="DP30" s="302" t="n"/>
      <x:c r="DQ30" s="302" t="n"/>
      <x:c r="DR30" s="302" t="n"/>
      <x:c r="DS30" s="302" t="n"/>
      <x:c r="DT30" s="302" t="n"/>
      <x:c r="DU30" s="302" t="n"/>
      <x:c r="DV30" s="302" t="n"/>
      <x:c r="DW30" s="302" t="n"/>
      <x:c r="DX30" s="302" t="n"/>
      <x:c r="DY30" s="302" t="n"/>
      <x:c r="DZ30" s="302" t="n"/>
      <x:c r="EA30" s="302" t="n"/>
      <x:c r="EB30" s="302" t="n"/>
      <x:c r="EC30" s="302" t="n"/>
      <x:c r="ED30" s="302" t="n"/>
      <x:c r="EE30" s="302" t="n"/>
      <x:c r="EF30" s="302" t="n"/>
      <x:c r="EG30" s="302" t="n"/>
      <x:c r="EH30" s="302" t="n"/>
      <x:c r="EI30" s="302" t="n"/>
      <x:c r="EJ30" s="302" t="n"/>
      <x:c r="EK30" s="302" t="n"/>
      <x:c r="EL30" s="302" t="n"/>
      <x:c r="EM30" s="302" t="n"/>
      <x:c r="EN30" s="302" t="n">
        <x:v>-0.001263</x:v>
      </x:c>
      <x:c r="EO30" s="302" t="n"/>
      <x:c r="EP30" s="302" t="n"/>
      <x:c r="EQ30" s="302" t="n"/>
      <x:c r="ER30" s="302" t="n"/>
      <x:c r="ES30" s="302" t="n"/>
      <x:c r="ET30" s="302" t="n"/>
      <x:c r="EU30" s="302" t="n"/>
      <x:c r="EV30" s="302" t="n"/>
      <x:c r="EW30" s="302" t="n"/>
      <x:c r="EX30" s="302" t="n"/>
      <x:c r="EY30" s="302" t="n"/>
    </x:row>
    <x:row r="31" s="27" customFormat="1">
      <x:c r="A31" s="125" t="n"/>
      <x:c r="B31" s="39" t="n"/>
      <x:c r="C31" s="86" t="n">
        <x:f>E31*D$5</x:f>
        <x:v>0.20215548283573598</x:v>
      </x:c>
      <x:c r="D31" s="523" t="inlineStr">
        <x:is>
          <x:t xml:space="preserve">John R. Bringle</x:t>
        </x:is>
      </x:c>
      <x:c r="E31" s="86" t="n">
        <x:f>SUM(G31:HS31)</x:f>
        <x:v>0.00126347176772335</x:v>
      </x:c>
      <x:c r="F31" s="126" t="inlineStr">
        <x:is>
          <x:t xml:space="preserve"/>
        </x:is>
      </x:c>
      <x:c r="G31" s="297" t="n"/>
      <x:c r="H31" s="297" t="n"/>
      <x:c r="I31" s="297" t="n"/>
      <x:c r="J31" s="297" t="n"/>
      <x:c r="K31" s="297" t="n"/>
      <x:c r="L31" s="297" t="n"/>
      <x:c r="M31" s="297" t="n"/>
      <x:c r="N31" s="123" t="n"/>
      <x:c r="O31" s="297" t="n"/>
      <x:c r="P31" s="123" t="n"/>
      <x:c r="Q31" s="301" t="n"/>
      <x:c r="R31" s="301" t="n"/>
      <x:c r="S31" s="297" t="n"/>
      <x:c r="T31" s="297" t="n"/>
      <x:c r="U31" s="301" t="n"/>
      <x:c r="V31" s="297" t="n"/>
      <x:c r="W31" s="297" t="n"/>
      <x:c r="X31" s="297" t="n"/>
      <x:c r="Y31" s="123" t="n"/>
      <x:c r="Z31" s="123" t="n"/>
      <x:c r="AA31" s="123" t="n"/>
      <x:c r="AB31" s="123" t="n"/>
      <x:c r="AC31" s="123" t="n"/>
      <x:c r="AD31" s="118" t="n">
        <x:v>0.00126347176772335</x:v>
      </x:c>
      <x:c r="AE31" s="123" t="n"/>
      <x:c r="AF31" s="297" t="n"/>
      <x:c r="AG31" s="123" t="n"/>
      <x:c r="AH31" s="297" t="n"/>
      <x:c r="AI31" s="123" t="n"/>
      <x:c r="AJ31" s="297" t="n"/>
      <x:c r="AK31" s="297" t="n"/>
      <x:c r="AL31" s="297" t="n"/>
      <x:c r="AM31" s="297" t="n"/>
      <x:c r="AN31" s="297" t="n"/>
      <x:c r="AO31" s="297" t="n"/>
      <x:c r="AP31" s="297" t="n"/>
      <x:c r="AQ31" s="297" t="n"/>
      <x:c r="AR31" s="299" t="n"/>
      <x:c r="AS31" s="299" t="n"/>
      <x:c r="AT31" s="302" t="n"/>
      <x:c r="AU31" s="302" t="n"/>
      <x:c r="AV31" s="302" t="n"/>
      <x:c r="AW31" s="302" t="n"/>
      <x:c r="AX31" s="302" t="n"/>
      <x:c r="AY31" s="302" t="n"/>
      <x:c r="AZ31" s="302" t="n"/>
      <x:c r="BA31" s="302" t="n"/>
      <x:c r="BB31" s="302" t="n"/>
      <x:c r="BC31" s="302" t="n"/>
      <x:c r="BD31" s="302" t="n"/>
      <x:c r="BE31" s="302" t="n"/>
      <x:c r="BF31" s="302" t="n"/>
      <x:c r="BG31" s="302" t="n"/>
      <x:c r="BH31" s="302" t="n"/>
      <x:c r="BI31" s="302" t="n"/>
      <x:c r="BJ31" s="302" t="n"/>
      <x:c r="BK31" s="302" t="n"/>
      <x:c r="BL31" s="302" t="n"/>
      <x:c r="BM31" s="302" t="n"/>
      <x:c r="BN31" s="302" t="n"/>
      <x:c r="BO31" s="302" t="n"/>
      <x:c r="BP31" s="302" t="n"/>
      <x:c r="BQ31" s="302" t="n"/>
      <x:c r="BR31" s="302" t="n"/>
      <x:c r="BS31" s="302" t="n"/>
      <x:c r="BT31" s="302" t="n"/>
      <x:c r="BU31" s="302" t="n"/>
      <x:c r="BV31" s="302" t="n"/>
      <x:c r="BW31" s="302" t="n"/>
      <x:c r="BX31" s="302" t="n"/>
      <x:c r="BY31" s="302" t="n"/>
      <x:c r="BZ31" s="302" t="n"/>
      <x:c r="CA31" s="302" t="n"/>
      <x:c r="CB31" s="302" t="n"/>
      <x:c r="CC31" s="302" t="n"/>
      <x:c r="CD31" s="302" t="n"/>
      <x:c r="CE31" s="302" t="n"/>
      <x:c r="CF31" s="302" t="n"/>
      <x:c r="CG31" s="302" t="n"/>
      <x:c r="CH31" s="302" t="n"/>
      <x:c r="CI31" s="302" t="n"/>
      <x:c r="CJ31" s="302" t="n"/>
      <x:c r="CK31" s="302" t="n"/>
      <x:c r="CL31" s="302" t="n"/>
      <x:c r="CM31" s="302" t="n"/>
      <x:c r="CN31" s="302" t="n"/>
      <x:c r="CO31" s="302" t="n"/>
      <x:c r="CP31" s="302" t="n"/>
      <x:c r="CQ31" s="302" t="n"/>
      <x:c r="CR31" s="302" t="n"/>
      <x:c r="CS31" s="302" t="n"/>
      <x:c r="CT31" s="302" t="n"/>
      <x:c r="CU31" s="302" t="n"/>
      <x:c r="CV31" s="302" t="n"/>
      <x:c r="CW31" s="302" t="n"/>
      <x:c r="CX31" s="302" t="n"/>
      <x:c r="CY31" s="302" t="n"/>
      <x:c r="CZ31" s="302" t="n"/>
      <x:c r="DA31" s="302" t="n"/>
      <x:c r="DB31" s="302" t="n"/>
      <x:c r="DC31" s="302" t="n"/>
      <x:c r="DD31" s="302" t="n"/>
      <x:c r="DE31" s="302" t="n"/>
      <x:c r="DF31" s="302" t="n"/>
      <x:c r="DG31" s="302" t="n"/>
      <x:c r="DH31" s="302" t="n"/>
      <x:c r="DI31" s="302" t="n"/>
      <x:c r="DJ31" s="302" t="n"/>
      <x:c r="DK31" s="302" t="n"/>
      <x:c r="DL31" s="302" t="n"/>
      <x:c r="DM31" s="302" t="n"/>
      <x:c r="DN31" s="302" t="n"/>
      <x:c r="DO31" s="302" t="n"/>
      <x:c r="DP31" s="302" t="n"/>
      <x:c r="DQ31" s="302" t="n"/>
      <x:c r="DR31" s="302" t="n"/>
      <x:c r="DS31" s="302" t="n"/>
      <x:c r="DT31" s="302" t="n"/>
      <x:c r="DU31" s="302" t="n"/>
      <x:c r="DV31" s="302" t="n"/>
      <x:c r="DW31" s="302" t="n"/>
      <x:c r="DX31" s="302" t="n"/>
      <x:c r="DY31" s="302" t="n"/>
      <x:c r="DZ31" s="302" t="n"/>
      <x:c r="EA31" s="302" t="n"/>
      <x:c r="EB31" s="302" t="n"/>
      <x:c r="EC31" s="302" t="n"/>
      <x:c r="ED31" s="302" t="n"/>
      <x:c r="EE31" s="302" t="n"/>
      <x:c r="EF31" s="302" t="n"/>
      <x:c r="EG31" s="302" t="n"/>
      <x:c r="EH31" s="302" t="n"/>
      <x:c r="EI31" s="302" t="n"/>
      <x:c r="EJ31" s="302" t="n"/>
      <x:c r="EK31" s="302" t="n"/>
      <x:c r="EL31" s="302" t="n"/>
      <x:c r="EM31" s="302" t="n"/>
      <x:c r="EN31" s="302" t="n"/>
      <x:c r="EO31" s="302" t="n"/>
      <x:c r="EP31" s="302" t="n"/>
      <x:c r="EQ31" s="302" t="n"/>
      <x:c r="ER31" s="302" t="n"/>
      <x:c r="ES31" s="302" t="n"/>
      <x:c r="ET31" s="302" t="n"/>
      <x:c r="EU31" s="302" t="n"/>
      <x:c r="EV31" s="302" t="n"/>
      <x:c r="EW31" s="302" t="n"/>
      <x:c r="EX31" s="302" t="n"/>
      <x:c r="EY31" s="302" t="n"/>
    </x:row>
    <x:row r="32" s="27" customFormat="1">
      <x:c r="A32" s="125" t="n"/>
      <x:c r="B32" s="39" t="n"/>
      <x:c r="C32" s="86" t="n">
        <x:f>E32*D$5</x:f>
        <x:v>0.20215548283573598</x:v>
      </x:c>
      <x:c r="D32" s="4" t="inlineStr">
        <x:is>
          <x:t xml:space="preserve">James F. Menehan</x:t>
        </x:is>
      </x:c>
      <x:c r="E32" s="86" t="n">
        <x:f>SUM(G32:HS32)</x:f>
        <x:v>0.00126347176772335</x:v>
      </x:c>
      <x:c r="F32" s="126" t="inlineStr">
        <x:is>
          <x:t xml:space="preserve"/>
        </x:is>
      </x:c>
      <x:c r="G32" s="297" t="n"/>
      <x:c r="H32" s="297" t="n"/>
      <x:c r="I32" s="297" t="n"/>
      <x:c r="J32" s="297" t="n"/>
      <x:c r="K32" s="297" t="n"/>
      <x:c r="L32" s="297" t="n"/>
      <x:c r="M32" s="297" t="n"/>
      <x:c r="N32" s="297" t="n"/>
      <x:c r="O32" s="297" t="n"/>
      <x:c r="P32" s="123" t="n"/>
      <x:c r="Q32" s="297" t="n"/>
      <x:c r="R32" s="301" t="n"/>
      <x:c r="S32" s="297" t="n"/>
      <x:c r="T32" s="297" t="n"/>
      <x:c r="U32" s="297" t="n"/>
      <x:c r="V32" s="301" t="n"/>
      <x:c r="W32" s="297" t="n"/>
      <x:c r="X32" s="297" t="n"/>
      <x:c r="Y32" s="123" t="n"/>
      <x:c r="Z32" s="123" t="n"/>
      <x:c r="AA32" s="123" t="n"/>
      <x:c r="AB32" s="123" t="n"/>
      <x:c r="AC32" s="123" t="n"/>
      <x:c r="AD32" s="118" t="n"/>
      <x:c r="AE32" s="123" t="n">
        <x:v>0.00126347176772335</x:v>
      </x:c>
      <x:c r="AF32" s="297" t="n"/>
      <x:c r="AG32" s="123" t="n"/>
      <x:c r="AH32" s="297" t="n"/>
      <x:c r="AI32" s="123" t="n"/>
      <x:c r="AJ32" s="297" t="n"/>
      <x:c r="AK32" s="297" t="n"/>
      <x:c r="AL32" s="297" t="n"/>
      <x:c r="AM32" s="297" t="n"/>
      <x:c r="AN32" s="297" t="n"/>
      <x:c r="AO32" s="297" t="n"/>
      <x:c r="AP32" s="297" t="n"/>
      <x:c r="AQ32" s="297" t="n"/>
      <x:c r="AR32" s="299" t="n"/>
      <x:c r="AS32" s="299" t="n"/>
      <x:c r="AT32" s="302" t="n"/>
      <x:c r="AU32" s="302" t="n"/>
      <x:c r="AV32" s="302" t="n"/>
      <x:c r="AW32" s="302" t="n"/>
      <x:c r="AX32" s="302" t="n"/>
      <x:c r="AY32" s="302" t="n"/>
      <x:c r="AZ32" s="302" t="n"/>
      <x:c r="BA32" s="302" t="n"/>
      <x:c r="BB32" s="302" t="n"/>
      <x:c r="BC32" s="302" t="n"/>
      <x:c r="BD32" s="302" t="n"/>
      <x:c r="BE32" s="302" t="n"/>
      <x:c r="BF32" s="302" t="n"/>
      <x:c r="BG32" s="302" t="n"/>
      <x:c r="BH32" s="302" t="n"/>
      <x:c r="BI32" s="302" t="n"/>
      <x:c r="BJ32" s="302" t="n"/>
      <x:c r="BK32" s="302" t="n"/>
      <x:c r="BL32" s="302" t="n"/>
      <x:c r="BM32" s="302" t="n"/>
      <x:c r="BN32" s="302" t="n"/>
      <x:c r="BO32" s="302" t="n"/>
      <x:c r="BP32" s="302" t="n"/>
      <x:c r="BQ32" s="302" t="n"/>
      <x:c r="BR32" s="302" t="n"/>
      <x:c r="BS32" s="302" t="n"/>
      <x:c r="BT32" s="302" t="n"/>
      <x:c r="BU32" s="302" t="n"/>
      <x:c r="BV32" s="302" t="n"/>
      <x:c r="BW32" s="302" t="n"/>
      <x:c r="BX32" s="302" t="n"/>
      <x:c r="BY32" s="302" t="n"/>
      <x:c r="BZ32" s="302" t="n"/>
      <x:c r="CA32" s="302" t="n"/>
      <x:c r="CB32" s="302" t="n"/>
      <x:c r="CC32" s="302" t="n"/>
      <x:c r="CD32" s="302" t="n"/>
      <x:c r="CE32" s="302" t="n"/>
      <x:c r="CF32" s="302" t="n"/>
      <x:c r="CG32" s="302" t="n"/>
      <x:c r="CH32" s="302" t="n"/>
      <x:c r="CI32" s="302" t="n"/>
      <x:c r="CJ32" s="302" t="n"/>
      <x:c r="CK32" s="302" t="n"/>
      <x:c r="CL32" s="302" t="n"/>
      <x:c r="CM32" s="302" t="n"/>
      <x:c r="CN32" s="302" t="n"/>
      <x:c r="CO32" s="302" t="n"/>
      <x:c r="CP32" s="302" t="n"/>
      <x:c r="CQ32" s="302" t="n"/>
      <x:c r="CR32" s="302" t="n"/>
      <x:c r="CS32" s="302" t="n"/>
      <x:c r="CT32" s="302" t="n"/>
      <x:c r="CU32" s="302" t="n"/>
      <x:c r="CV32" s="302" t="n"/>
      <x:c r="CW32" s="302" t="n"/>
      <x:c r="CX32" s="302" t="n"/>
      <x:c r="CY32" s="302" t="n"/>
      <x:c r="CZ32" s="302" t="n"/>
      <x:c r="DA32" s="302" t="n"/>
      <x:c r="DB32" s="302" t="n"/>
      <x:c r="DC32" s="302" t="n"/>
      <x:c r="DD32" s="302" t="n"/>
      <x:c r="DE32" s="302" t="n"/>
      <x:c r="DF32" s="302" t="n"/>
      <x:c r="DG32" s="302" t="n"/>
      <x:c r="DH32" s="302" t="n"/>
      <x:c r="DI32" s="302" t="n"/>
      <x:c r="DJ32" s="302" t="n"/>
      <x:c r="DK32" s="302" t="n"/>
      <x:c r="DL32" s="302" t="n"/>
      <x:c r="DM32" s="302" t="n"/>
      <x:c r="DN32" s="302" t="n"/>
      <x:c r="DO32" s="302" t="n"/>
      <x:c r="DP32" s="302" t="n"/>
      <x:c r="DQ32" s="302" t="n"/>
      <x:c r="DR32" s="302" t="n"/>
      <x:c r="DS32" s="302" t="n"/>
      <x:c r="DT32" s="302" t="n"/>
      <x:c r="DU32" s="302" t="n"/>
      <x:c r="DV32" s="302" t="n"/>
      <x:c r="DW32" s="302" t="n"/>
      <x:c r="DX32" s="302" t="n"/>
      <x:c r="DY32" s="302" t="n"/>
      <x:c r="DZ32" s="302" t="n"/>
      <x:c r="EA32" s="302" t="n"/>
      <x:c r="EB32" s="302" t="n"/>
      <x:c r="EC32" s="302" t="n"/>
      <x:c r="ED32" s="302" t="n"/>
      <x:c r="EE32" s="302" t="n"/>
      <x:c r="EF32" s="302" t="n"/>
      <x:c r="EG32" s="302" t="n"/>
      <x:c r="EH32" s="302" t="n"/>
      <x:c r="EI32" s="302" t="n"/>
      <x:c r="EJ32" s="302" t="n"/>
      <x:c r="EK32" s="302" t="n"/>
      <x:c r="EL32" s="302" t="n"/>
      <x:c r="EM32" s="302" t="n"/>
      <x:c r="EN32" s="302" t="n"/>
      <x:c r="EO32" s="302" t="n"/>
      <x:c r="EP32" s="302" t="n"/>
      <x:c r="EQ32" s="302" t="n"/>
      <x:c r="ER32" s="302" t="n"/>
      <x:c r="ES32" s="302" t="n"/>
      <x:c r="ET32" s="302" t="n"/>
      <x:c r="EU32" s="302" t="n"/>
      <x:c r="EV32" s="302" t="n"/>
      <x:c r="EW32" s="302" t="n"/>
      <x:c r="EX32" s="302" t="n"/>
      <x:c r="EY32" s="302" t="n"/>
    </x:row>
    <x:row r="33" s="27" customFormat="1">
      <x:c r="A33" s="125" t="n"/>
      <x:c r="B33" s="39" t="n"/>
      <x:c r="C33" s="36" t="n">
        <x:f>E33*D$5</x:f>
        <x:v>0.20215548283573598</x:v>
      </x:c>
      <x:c r="D33" s="4" t="inlineStr">
        <x:is>
          <x:t xml:space="preserve">L. A. Persicke</x:t>
        </x:is>
      </x:c>
      <x:c r="E33" s="36" t="n">
        <x:f>SUM(G33:HS33)</x:f>
        <x:v>0.00126347176772335</x:v>
      </x:c>
      <x:c r="F33" s="126" t="inlineStr">
        <x:is>
          <x:t xml:space="preserve"/>
        </x:is>
      </x:c>
      <x:c r="G33" s="297" t="n"/>
      <x:c r="H33" s="297" t="n"/>
      <x:c r="I33" s="297" t="n"/>
      <x:c r="J33" s="297" t="n"/>
      <x:c r="K33" s="297" t="n"/>
      <x:c r="L33" s="297" t="n"/>
      <x:c r="M33" s="297" t="n"/>
      <x:c r="N33" s="297" t="n"/>
      <x:c r="O33" s="297" t="n"/>
      <x:c r="P33" s="123" t="n"/>
      <x:c r="Q33" s="297" t="n"/>
      <x:c r="R33" s="301" t="n"/>
      <x:c r="S33" s="297" t="n"/>
      <x:c r="T33" s="297" t="n"/>
      <x:c r="U33" s="297" t="n"/>
      <x:c r="V33" s="297" t="n"/>
      <x:c r="W33" s="297" t="n"/>
      <x:c r="X33" s="297" t="n"/>
      <x:c r="Y33" s="123" t="n"/>
      <x:c r="Z33" s="123" t="n"/>
      <x:c r="AA33" s="123" t="n"/>
      <x:c r="AB33" s="123" t="n"/>
      <x:c r="AC33" s="123" t="n"/>
      <x:c r="AD33" s="123" t="n"/>
      <x:c r="AE33" s="123" t="n"/>
      <x:c r="AF33" s="297" t="n">
        <x:v>0.00126347176772335</x:v>
      </x:c>
      <x:c r="AG33" s="123" t="n"/>
      <x:c r="AH33" s="297" t="n"/>
      <x:c r="AI33" s="123" t="n"/>
      <x:c r="AJ33" s="297" t="n"/>
      <x:c r="AK33" s="297" t="n"/>
      <x:c r="AL33" s="297" t="n"/>
      <x:c r="AM33" s="297" t="n"/>
      <x:c r="AN33" s="297" t="n"/>
      <x:c r="AO33" s="297" t="n"/>
      <x:c r="AP33" s="297" t="n"/>
      <x:c r="AQ33" s="297" t="n"/>
      <x:c r="AR33" s="299" t="n"/>
      <x:c r="AS33" s="299" t="n"/>
      <x:c r="AT33" s="302" t="n"/>
      <x:c r="AU33" s="302" t="n"/>
      <x:c r="AV33" s="302" t="n"/>
      <x:c r="AW33" s="302" t="n"/>
      <x:c r="AX33" s="302" t="n"/>
      <x:c r="AY33" s="302" t="n"/>
      <x:c r="AZ33" s="302" t="n"/>
      <x:c r="BA33" s="302" t="n"/>
      <x:c r="BB33" s="302" t="n"/>
      <x:c r="BC33" s="302" t="n"/>
      <x:c r="BD33" s="302" t="n"/>
      <x:c r="BE33" s="302" t="n"/>
      <x:c r="BF33" s="302" t="n"/>
      <x:c r="BG33" s="302" t="n"/>
      <x:c r="BH33" s="302" t="n"/>
      <x:c r="BI33" s="302" t="n"/>
      <x:c r="BJ33" s="302" t="n"/>
      <x:c r="BK33" s="302" t="n"/>
      <x:c r="BL33" s="302" t="n"/>
      <x:c r="BM33" s="302" t="n"/>
      <x:c r="BN33" s="302" t="n"/>
      <x:c r="BO33" s="302" t="n"/>
      <x:c r="BP33" s="302" t="n"/>
      <x:c r="BQ33" s="302" t="n"/>
      <x:c r="BR33" s="302" t="n"/>
      <x:c r="BS33" s="302" t="n"/>
      <x:c r="BT33" s="302" t="n"/>
      <x:c r="BU33" s="302" t="n"/>
      <x:c r="BV33" s="302" t="n"/>
      <x:c r="BW33" s="302" t="n"/>
      <x:c r="BX33" s="302" t="n"/>
      <x:c r="BY33" s="302" t="n"/>
      <x:c r="BZ33" s="302" t="n"/>
      <x:c r="CA33" s="302" t="n"/>
      <x:c r="CB33" s="302" t="n"/>
      <x:c r="CC33" s="302" t="n"/>
      <x:c r="CD33" s="302" t="n"/>
      <x:c r="CE33" s="302" t="n"/>
      <x:c r="CF33" s="302" t="n"/>
      <x:c r="CG33" s="302" t="n"/>
      <x:c r="CH33" s="302" t="n"/>
      <x:c r="CI33" s="302" t="n"/>
      <x:c r="CJ33" s="302" t="n"/>
      <x:c r="CK33" s="302" t="n"/>
      <x:c r="CL33" s="302" t="n"/>
      <x:c r="CM33" s="302" t="n"/>
      <x:c r="CN33" s="302" t="n"/>
      <x:c r="CO33" s="302" t="n"/>
      <x:c r="CP33" s="302" t="n"/>
      <x:c r="CQ33" s="302" t="n"/>
      <x:c r="CR33" s="302" t="n"/>
      <x:c r="CS33" s="302" t="n"/>
      <x:c r="CT33" s="302" t="n"/>
      <x:c r="CU33" s="302" t="n"/>
      <x:c r="CV33" s="302" t="n"/>
      <x:c r="CW33" s="302" t="n"/>
      <x:c r="CX33" s="302" t="n"/>
      <x:c r="CY33" s="302" t="n"/>
      <x:c r="CZ33" s="302" t="n"/>
      <x:c r="DA33" s="302" t="n"/>
      <x:c r="DB33" s="302" t="n"/>
      <x:c r="DC33" s="302" t="n"/>
      <x:c r="DD33" s="302" t="n"/>
      <x:c r="DE33" s="302" t="n"/>
      <x:c r="DF33" s="302" t="n"/>
      <x:c r="DG33" s="302" t="n"/>
      <x:c r="DH33" s="302" t="n"/>
      <x:c r="DI33" s="302" t="n"/>
      <x:c r="DJ33" s="302" t="n"/>
      <x:c r="DK33" s="302" t="n"/>
      <x:c r="DL33" s="302" t="n"/>
      <x:c r="DM33" s="302" t="n"/>
      <x:c r="DN33" s="302" t="n"/>
      <x:c r="DO33" s="302" t="n"/>
      <x:c r="DP33" s="302" t="n"/>
      <x:c r="DQ33" s="302" t="n"/>
      <x:c r="DR33" s="302" t="n"/>
      <x:c r="DS33" s="302" t="n"/>
      <x:c r="DT33" s="302" t="n"/>
      <x:c r="DU33" s="302" t="n"/>
      <x:c r="DV33" s="302" t="n"/>
      <x:c r="DW33" s="302" t="n"/>
      <x:c r="DX33" s="302" t="n"/>
      <x:c r="DY33" s="302" t="n"/>
      <x:c r="DZ33" s="302" t="n"/>
      <x:c r="EA33" s="302" t="n"/>
      <x:c r="EB33" s="302" t="n"/>
      <x:c r="EC33" s="302" t="n"/>
      <x:c r="ED33" s="302" t="n"/>
      <x:c r="EE33" s="302" t="n"/>
      <x:c r="EF33" s="302" t="n"/>
      <x:c r="EG33" s="302" t="n"/>
      <x:c r="EH33" s="302" t="n"/>
      <x:c r="EI33" s="302" t="n"/>
      <x:c r="EJ33" s="302" t="n"/>
      <x:c r="EK33" s="302" t="n"/>
      <x:c r="EL33" s="302" t="n"/>
      <x:c r="EM33" s="302" t="n"/>
      <x:c r="EN33" s="302" t="n"/>
      <x:c r="EO33" s="302" t="n"/>
      <x:c r="EP33" s="302" t="n"/>
      <x:c r="EQ33" s="302" t="n"/>
      <x:c r="ER33" s="302" t="n"/>
      <x:c r="ES33" s="302" t="n"/>
      <x:c r="ET33" s="302" t="n"/>
      <x:c r="EU33" s="302" t="n"/>
      <x:c r="EV33" s="302" t="n"/>
      <x:c r="EW33" s="302" t="n"/>
      <x:c r="EX33" s="302" t="n"/>
      <x:c r="EY33" s="302" t="n"/>
    </x:row>
    <x:row r="34" s="27" customFormat="1">
      <x:c r="A34" s="125" t="n"/>
      <x:c r="B34" s="39" t="n"/>
      <x:c r="C34" s="36" t="n">
        <x:f>E34*D$5</x:f>
        <x:v>0.40431096567147196</x:v>
      </x:c>
      <x:c r="D34" s="4" t="inlineStr">
        <x:is>
          <x:t xml:space="preserve">Richard M. Heins</x:t>
        </x:is>
      </x:c>
      <x:c r="E34" s="36" t="n">
        <x:f>SUM(G34:HS34)</x:f>
        <x:v>0.0025269435354467</x:v>
      </x:c>
      <x:c r="F34" s="126" t="inlineStr">
        <x:is>
          <x:t xml:space="preserve"/>
        </x:is>
      </x:c>
      <x:c r="G34" s="297" t="n"/>
      <x:c r="H34" s="297" t="n"/>
      <x:c r="I34" s="297" t="n"/>
      <x:c r="J34" s="297" t="n"/>
      <x:c r="K34" s="297" t="n"/>
      <x:c r="L34" s="297" t="n"/>
      <x:c r="M34" s="297" t="n"/>
      <x:c r="N34" s="297" t="n"/>
      <x:c r="O34" s="297" t="n"/>
      <x:c r="P34" s="123" t="n"/>
      <x:c r="Q34" s="297" t="n"/>
      <x:c r="R34" s="301" t="n"/>
      <x:c r="S34" s="297" t="n"/>
      <x:c r="T34" s="297" t="n"/>
      <x:c r="U34" s="297" t="n"/>
      <x:c r="V34" s="297" t="n"/>
      <x:c r="W34" s="297" t="n"/>
      <x:c r="X34" s="297" t="n"/>
      <x:c r="Y34" s="297" t="n"/>
      <x:c r="Z34" s="123" t="n"/>
      <x:c r="AA34" s="123" t="n"/>
      <x:c r="AB34" s="123" t="n"/>
      <x:c r="AC34" s="123" t="n"/>
      <x:c r="AD34" s="123" t="n"/>
      <x:c r="AE34" s="123" t="n"/>
      <x:c r="AF34" s="297" t="n"/>
      <x:c r="AG34" s="123" t="n">
        <x:v>0.0025269435354467</x:v>
      </x:c>
      <x:c r="AH34" s="297" t="n"/>
      <x:c r="AI34" s="123" t="n"/>
      <x:c r="AJ34" s="297" t="n"/>
      <x:c r="AK34" s="297" t="n"/>
      <x:c r="AL34" s="297" t="n"/>
      <x:c r="AM34" s="297" t="n"/>
      <x:c r="AN34" s="297" t="n"/>
      <x:c r="AO34" s="297" t="n"/>
      <x:c r="AP34" s="297" t="n"/>
      <x:c r="AQ34" s="297" t="n"/>
      <x:c r="AR34" s="299" t="n"/>
      <x:c r="AS34" s="299" t="n"/>
      <x:c r="AT34" s="302" t="n"/>
      <x:c r="AU34" s="302" t="n"/>
      <x:c r="AV34" s="302" t="n"/>
      <x:c r="AW34" s="302" t="n"/>
      <x:c r="AX34" s="302" t="n"/>
      <x:c r="AY34" s="302" t="n"/>
      <x:c r="AZ34" s="302" t="n"/>
      <x:c r="BA34" s="302" t="n"/>
      <x:c r="BB34" s="302" t="n"/>
      <x:c r="BC34" s="302" t="n"/>
      <x:c r="BD34" s="302" t="n"/>
      <x:c r="BE34" s="302" t="n"/>
      <x:c r="BF34" s="302" t="n"/>
      <x:c r="BG34" s="302" t="n"/>
      <x:c r="BH34" s="302" t="n"/>
      <x:c r="BI34" s="302" t="n"/>
      <x:c r="BJ34" s="302" t="n"/>
      <x:c r="BK34" s="302" t="n"/>
      <x:c r="BL34" s="302" t="n"/>
      <x:c r="BM34" s="302" t="n"/>
      <x:c r="BN34" s="302" t="n"/>
      <x:c r="BO34" s="302" t="n"/>
      <x:c r="BP34" s="302" t="n"/>
      <x:c r="BQ34" s="302" t="n"/>
      <x:c r="BR34" s="302" t="n"/>
      <x:c r="BS34" s="302" t="n"/>
      <x:c r="BT34" s="302" t="n"/>
      <x:c r="BU34" s="302" t="n"/>
      <x:c r="BV34" s="302" t="n"/>
      <x:c r="BW34" s="302" t="n"/>
      <x:c r="BX34" s="302" t="n"/>
      <x:c r="BY34" s="302" t="n"/>
      <x:c r="BZ34" s="302" t="n"/>
      <x:c r="CA34" s="302" t="n"/>
      <x:c r="CB34" s="302" t="n"/>
      <x:c r="CC34" s="302" t="n"/>
      <x:c r="CD34" s="302" t="n"/>
      <x:c r="CE34" s="302" t="n"/>
      <x:c r="CF34" s="302" t="n"/>
      <x:c r="CG34" s="302" t="n"/>
      <x:c r="CH34" s="302" t="n"/>
      <x:c r="CI34" s="302" t="n"/>
      <x:c r="CJ34" s="302" t="n"/>
      <x:c r="CK34" s="302" t="n"/>
      <x:c r="CL34" s="302" t="n"/>
      <x:c r="CM34" s="302" t="n"/>
      <x:c r="CN34" s="302" t="n"/>
      <x:c r="CO34" s="302" t="n"/>
      <x:c r="CP34" s="302" t="n"/>
      <x:c r="CQ34" s="302" t="n"/>
      <x:c r="CR34" s="302" t="n"/>
      <x:c r="CS34" s="302" t="n"/>
      <x:c r="CT34" s="302" t="n"/>
      <x:c r="CU34" s="302" t="n"/>
      <x:c r="CV34" s="302" t="n"/>
      <x:c r="CW34" s="302" t="n"/>
      <x:c r="CX34" s="302" t="n"/>
      <x:c r="CY34" s="302" t="n"/>
      <x:c r="CZ34" s="302" t="n"/>
      <x:c r="DA34" s="302" t="n"/>
      <x:c r="DB34" s="302" t="n"/>
      <x:c r="DC34" s="302" t="n"/>
      <x:c r="DD34" s="302" t="n"/>
      <x:c r="DE34" s="302" t="n"/>
      <x:c r="DF34" s="302" t="n"/>
      <x:c r="DG34" s="302" t="n"/>
      <x:c r="DH34" s="302" t="n"/>
      <x:c r="DI34" s="302" t="n"/>
      <x:c r="DJ34" s="302" t="n"/>
      <x:c r="DK34" s="302" t="n"/>
      <x:c r="DL34" s="302" t="n"/>
      <x:c r="DM34" s="302" t="n"/>
      <x:c r="DN34" s="302" t="n"/>
      <x:c r="DO34" s="302" t="n"/>
      <x:c r="DP34" s="302" t="n"/>
      <x:c r="DQ34" s="302" t="n"/>
      <x:c r="DR34" s="302" t="n"/>
      <x:c r="DS34" s="302" t="n"/>
      <x:c r="DT34" s="302" t="n"/>
      <x:c r="DU34" s="302" t="n"/>
      <x:c r="DV34" s="302" t="n"/>
      <x:c r="DW34" s="302" t="n"/>
      <x:c r="DX34" s="302" t="n"/>
      <x:c r="DY34" s="302" t="n"/>
      <x:c r="DZ34" s="302" t="n"/>
      <x:c r="EA34" s="302" t="n"/>
      <x:c r="EB34" s="302" t="n"/>
      <x:c r="EC34" s="302" t="n"/>
      <x:c r="ED34" s="302" t="n"/>
      <x:c r="EE34" s="302" t="n"/>
      <x:c r="EF34" s="302" t="n"/>
      <x:c r="EG34" s="302" t="n"/>
      <x:c r="EH34" s="302" t="n"/>
      <x:c r="EI34" s="302" t="n"/>
      <x:c r="EJ34" s="302" t="n"/>
      <x:c r="EK34" s="302" t="n"/>
      <x:c r="EL34" s="302" t="n"/>
      <x:c r="EM34" s="302" t="n"/>
      <x:c r="EN34" s="302" t="n"/>
      <x:c r="EO34" s="302" t="n"/>
      <x:c r="EP34" s="302" t="n"/>
      <x:c r="EQ34" s="302" t="n"/>
      <x:c r="ER34" s="302" t="n"/>
      <x:c r="ES34" s="302" t="n"/>
      <x:c r="ET34" s="302" t="n"/>
      <x:c r="EU34" s="302" t="n"/>
      <x:c r="EV34" s="302" t="n"/>
      <x:c r="EW34" s="302" t="n"/>
      <x:c r="EX34" s="302" t="n"/>
      <x:c r="EY34" s="302" t="n"/>
    </x:row>
    <x:row r="35" s="27" customFormat="1">
      <x:c r="A35" s="125" t="n"/>
      <x:c r="B35" s="39" t="n"/>
      <x:c r="C35" s="36" t="n">
        <x:f>E35*D$5</x:f>
        <x:v>0.40431096567147196</x:v>
      </x:c>
      <x:c r="D35" s="4" t="inlineStr">
        <x:is>
          <x:t xml:space="preserve">David S. Silverberry</x:t>
        </x:is>
      </x:c>
      <x:c r="E35" s="36" t="n">
        <x:f>SUM(G35:HS35)</x:f>
        <x:v>0.0025269435354467</x:v>
      </x:c>
      <x:c r="F35" s="126" t="inlineStr">
        <x:is>
          <x:t xml:space="preserve"/>
        </x:is>
      </x:c>
      <x:c r="G35" s="297" t="n"/>
      <x:c r="H35" s="298" t="n"/>
      <x:c r="I35" s="297" t="n"/>
      <x:c r="J35" s="298" t="n"/>
      <x:c r="K35" s="298" t="n"/>
      <x:c r="L35" s="123" t="n"/>
      <x:c r="M35" s="123" t="n"/>
      <x:c r="N35" s="123" t="n"/>
      <x:c r="O35" s="123" t="n"/>
      <x:c r="P35" s="123" t="n"/>
      <x:c r="Q35" s="123" t="n"/>
      <x:c r="R35" s="123" t="n"/>
      <x:c r="S35" s="123" t="n"/>
      <x:c r="T35" s="123" t="n"/>
      <x:c r="U35" s="123" t="n"/>
      <x:c r="V35" s="123" t="n"/>
      <x:c r="W35" s="123" t="n"/>
      <x:c r="X35" s="123" t="n"/>
      <x:c r="Y35" s="297" t="n"/>
      <x:c r="Z35" s="123" t="n"/>
      <x:c r="AA35" s="123" t="n"/>
      <x:c r="AB35" s="123" t="n"/>
      <x:c r="AC35" s="123" t="n"/>
      <x:c r="AD35" s="123" t="n"/>
      <x:c r="AE35" s="123" t="n"/>
      <x:c r="AF35" s="123" t="n"/>
      <x:c r="AG35" s="297" t="n"/>
      <x:c r="AH35" s="123" t="n">
        <x:v>0.00126347176772335</x:v>
      </x:c>
      <x:c r="AI35" s="123" t="n">
        <x:v>0.00126347176772335</x:v>
      </x:c>
      <x:c r="AJ35" s="123" t="n"/>
      <x:c r="AK35" s="123" t="n"/>
      <x:c r="AL35" s="123" t="n"/>
      <x:c r="AM35" s="123" t="n"/>
      <x:c r="AN35" s="123" t="n"/>
      <x:c r="AO35" s="123" t="n"/>
      <x:c r="AP35" s="123" t="n"/>
      <x:c r="AQ35" s="123" t="n"/>
      <x:c r="AR35" s="100" t="n"/>
      <x:c r="AS35" s="100" t="n"/>
      <x:c r="AT35" s="100" t="n"/>
      <x:c r="AU35" s="100" t="n"/>
      <x:c r="AV35" s="100" t="n"/>
      <x:c r="AW35" s="100" t="n"/>
      <x:c r="AX35" s="100" t="n"/>
      <x:c r="AY35" s="100" t="n"/>
      <x:c r="AZ35" s="100" t="n"/>
      <x:c r="BA35" s="100" t="n"/>
      <x:c r="BB35" s="100" t="n"/>
      <x:c r="BC35" s="100" t="n"/>
      <x:c r="BD35" s="100" t="n"/>
      <x:c r="BE35" s="100" t="n"/>
      <x:c r="BF35" s="100" t="n"/>
      <x:c r="BG35" s="100" t="n"/>
      <x:c r="BH35" s="100" t="n"/>
      <x:c r="BI35" s="100" t="n"/>
      <x:c r="BJ35" s="100" t="n"/>
      <x:c r="BK35" s="100" t="n"/>
      <x:c r="BL35" s="100" t="n"/>
      <x:c r="BM35" s="100" t="n"/>
      <x:c r="BN35" s="100" t="n"/>
      <x:c r="BO35" s="100" t="n"/>
      <x:c r="BP35" s="100" t="n"/>
      <x:c r="BQ35" s="100" t="n"/>
      <x:c r="BR35" s="100" t="n"/>
      <x:c r="BS35" s="100" t="n"/>
      <x:c r="BT35" s="100" t="n"/>
      <x:c r="BU35" s="100" t="n"/>
      <x:c r="BV35" s="100" t="n"/>
      <x:c r="BW35" s="100" t="n"/>
      <x:c r="BX35" s="100" t="n"/>
      <x:c r="BY35" s="100" t="n"/>
      <x:c r="BZ35" s="100" t="n"/>
      <x:c r="CA35" s="100" t="n"/>
      <x:c r="CB35" s="100" t="n"/>
      <x:c r="CC35" s="100" t="n"/>
      <x:c r="CD35" s="100" t="n"/>
      <x:c r="CE35" s="100" t="n"/>
      <x:c r="CF35" s="100" t="n"/>
      <x:c r="CG35" s="100" t="n"/>
      <x:c r="CH35" s="100" t="n"/>
      <x:c r="CI35" s="100" t="n"/>
      <x:c r="CJ35" s="100" t="n"/>
      <x:c r="CK35" s="100" t="n"/>
      <x:c r="CL35" s="100" t="n"/>
      <x:c r="CM35" s="100" t="n"/>
      <x:c r="CN35" s="100" t="n"/>
      <x:c r="CO35" s="100" t="n"/>
      <x:c r="CP35" s="100" t="n"/>
      <x:c r="CQ35" s="100" t="n"/>
      <x:c r="CR35" s="100" t="n"/>
      <x:c r="CS35" s="100" t="n"/>
      <x:c r="CT35" s="100" t="n"/>
      <x:c r="CU35" s="100" t="n"/>
      <x:c r="CV35" s="100" t="n"/>
      <x:c r="CW35" s="100" t="n"/>
      <x:c r="CX35" s="100" t="n"/>
      <x:c r="CY35" s="100" t="n"/>
      <x:c r="CZ35" s="100" t="n"/>
      <x:c r="DA35" s="100" t="n"/>
      <x:c r="DB35" s="100" t="n"/>
      <x:c r="DC35" s="100" t="n"/>
      <x:c r="DD35" s="100" t="n"/>
      <x:c r="DE35" s="100" t="n"/>
      <x:c r="DF35" s="100" t="n"/>
      <x:c r="DG35" s="100" t="n"/>
      <x:c r="DH35" s="100" t="n"/>
      <x:c r="DI35" s="100" t="n"/>
      <x:c r="DJ35" s="100" t="n"/>
      <x:c r="DK35" s="100" t="n"/>
      <x:c r="DL35" s="100" t="n"/>
      <x:c r="DM35" s="100" t="n"/>
      <x:c r="DN35" s="100" t="n"/>
      <x:c r="DO35" s="100" t="n"/>
      <x:c r="DP35" s="100" t="n"/>
      <x:c r="DQ35" s="100" t="n"/>
      <x:c r="DR35" s="100" t="n"/>
      <x:c r="DS35" s="100" t="n"/>
      <x:c r="DT35" s="100" t="n"/>
      <x:c r="DU35" s="100" t="n"/>
      <x:c r="DV35" s="100" t="n"/>
      <x:c r="DW35" s="100" t="n"/>
      <x:c r="DX35" s="100" t="n"/>
      <x:c r="DY35" s="100" t="n"/>
      <x:c r="DZ35" s="100" t="n"/>
      <x:c r="EA35" s="100" t="n"/>
      <x:c r="EB35" s="100" t="n"/>
      <x:c r="EC35" s="100" t="n"/>
      <x:c r="ED35" s="100" t="n"/>
      <x:c r="EE35" s="100" t="n"/>
      <x:c r="EF35" s="100" t="n"/>
      <x:c r="EG35" s="100" t="n"/>
      <x:c r="EH35" s="100" t="n"/>
      <x:c r="EI35" s="100" t="n"/>
      <x:c r="EJ35" s="100" t="n"/>
      <x:c r="EK35" s="100" t="n"/>
      <x:c r="EL35" s="100" t="n"/>
      <x:c r="EM35" s="100" t="n"/>
      <x:c r="EN35" s="100" t="n"/>
      <x:c r="EO35" s="100" t="n"/>
      <x:c r="EP35" s="100" t="n"/>
      <x:c r="EQ35" s="100" t="n"/>
      <x:c r="ER35" s="100" t="n"/>
      <x:c r="ES35" s="100" t="n"/>
      <x:c r="ET35" s="100" t="n"/>
      <x:c r="EU35" s="100" t="n"/>
      <x:c r="EV35" s="100" t="n"/>
      <x:c r="EW35" s="100" t="n"/>
      <x:c r="EX35" s="100" t="n"/>
      <x:c r="EY35" s="100" t="n"/>
      <x:c r="EZ35" s="100" t="n"/>
      <x:c r="FA35" s="100" t="n"/>
      <x:c r="FB35" s="100" t="n"/>
      <x:c r="FC35" s="100" t="n"/>
      <x:c r="FD35" s="100" t="n"/>
      <x:c r="FE35" s="100" t="n"/>
      <x:c r="FF35" s="100" t="n"/>
      <x:c r="FG35" s="100" t="n"/>
      <x:c r="FH35" s="100" t="n"/>
      <x:c r="FI35" s="100" t="n"/>
      <x:c r="FJ35" s="100" t="n"/>
      <x:c r="FK35" s="100" t="n"/>
      <x:c r="FL35" s="100" t="n"/>
      <x:c r="FM35" s="100" t="n"/>
      <x:c r="FN35" s="100" t="n"/>
      <x:c r="FO35" s="100" t="n"/>
      <x:c r="FP35" s="100" t="n"/>
      <x:c r="FQ35" s="100" t="n"/>
      <x:c r="FR35" s="100" t="n"/>
      <x:c r="FS35" s="100" t="n"/>
      <x:c r="FT35" s="100" t="n"/>
      <x:c r="FU35" s="100" t="n"/>
      <x:c r="FV35" s="100" t="n"/>
      <x:c r="FW35" s="100" t="n"/>
      <x:c r="FX35" s="100" t="n"/>
      <x:c r="FY35" s="100" t="n"/>
      <x:c r="FZ35" s="100" t="n"/>
      <x:c r="GA35" s="100" t="n"/>
      <x:c r="GB35" s="100" t="n"/>
      <x:c r="GC35" s="100" t="n"/>
      <x:c r="GD35" s="100" t="n"/>
      <x:c r="GE35" s="100" t="n"/>
    </x:row>
    <x:row r="36" s="27" customFormat="1">
      <x:c r="A36" s="125" t="n"/>
      <x:c r="B36" s="39" t="n"/>
      <x:c r="C36" s="36" t="n">
        <x:f>E36*D$5</x:f>
        <x:v>0</x:v>
      </x:c>
      <x:c r="D36" s="103" t="inlineStr">
        <x:is>
          <x:t xml:space="preserve">Laura L. Snyder</x:t>
        </x:is>
      </x:c>
      <x:c r="E36" s="36" t="n">
        <x:f>SUM(G36:HS36)</x:f>
        <x:v>0</x:v>
      </x:c>
      <x:c r="F36" s="126" t="inlineStr">
        <x:is>
          <x:t xml:space="preserve"/>
        </x:is>
      </x:c>
      <x:c r="G36" s="297" t="n"/>
      <x:c r="H36" s="297" t="n"/>
      <x:c r="I36" s="297" t="n"/>
      <x:c r="J36" s="297" t="n"/>
      <x:c r="K36" s="297" t="n"/>
      <x:c r="L36" s="297" t="n"/>
      <x:c r="M36" s="297" t="n"/>
      <x:c r="N36" s="297" t="n"/>
      <x:c r="O36" s="297" t="n"/>
      <x:c r="P36" s="123" t="n"/>
      <x:c r="Q36" s="297" t="n"/>
      <x:c r="R36" s="301" t="n"/>
      <x:c r="S36" s="297" t="n"/>
      <x:c r="T36" s="297" t="n"/>
      <x:c r="U36" s="297" t="n"/>
      <x:c r="V36" s="297" t="n"/>
      <x:c r="W36" s="297" t="n"/>
      <x:c r="X36" s="297" t="n"/>
      <x:c r="Y36" s="123" t="n"/>
      <x:c r="Z36" s="123" t="n"/>
      <x:c r="AA36" s="124" t="n"/>
      <x:c r="AB36" s="123" t="n"/>
      <x:c r="AC36" s="123" t="n"/>
      <x:c r="AD36" s="123" t="n"/>
      <x:c r="AE36" s="123" t="n"/>
      <x:c r="AF36" s="297" t="n"/>
      <x:c r="AG36" s="123" t="n"/>
      <x:c r="AH36" s="297" t="n"/>
      <x:c r="AI36" s="124" t="n"/>
      <x:c r="AJ36" s="297" t="n">
        <x:v>0.0025269435354467</x:v>
      </x:c>
      <x:c r="AK36" s="297" t="n"/>
      <x:c r="AL36" s="297" t="n"/>
      <x:c r="AM36" s="297" t="n"/>
      <x:c r="AN36" s="297" t="n"/>
      <x:c r="AO36" s="297" t="n"/>
      <x:c r="AP36" s="297" t="n"/>
      <x:c r="AQ36" s="297" t="n"/>
      <x:c r="AR36" s="299" t="n"/>
      <x:c r="AS36" s="299" t="n"/>
      <x:c r="AT36" s="302" t="n"/>
      <x:c r="AU36" s="302" t="n"/>
      <x:c r="AV36" s="302" t="n"/>
      <x:c r="AW36" s="302" t="n"/>
      <x:c r="AX36" s="302" t="n"/>
      <x:c r="AY36" s="302" t="n"/>
      <x:c r="AZ36" s="302" t="n"/>
      <x:c r="BA36" s="302" t="n"/>
      <x:c r="BB36" s="302" t="n"/>
      <x:c r="BC36" s="302" t="n"/>
      <x:c r="BD36" s="302" t="n"/>
      <x:c r="BE36" s="302" t="n"/>
      <x:c r="BF36" s="302" t="n"/>
      <x:c r="BG36" s="302" t="n"/>
      <x:c r="BH36" s="302" t="n"/>
      <x:c r="BI36" s="302" t="n"/>
      <x:c r="BJ36" s="302" t="n"/>
      <x:c r="BK36" s="302" t="n"/>
      <x:c r="BL36" s="302" t="n"/>
      <x:c r="BM36" s="302" t="n"/>
      <x:c r="BN36" s="302" t="n"/>
      <x:c r="BO36" s="302" t="n"/>
      <x:c r="BP36" s="302" t="n"/>
      <x:c r="BQ36" s="302" t="n"/>
      <x:c r="BR36" s="302" t="n"/>
      <x:c r="BS36" s="302" t="n"/>
      <x:c r="BT36" s="302" t="n"/>
      <x:c r="BU36" s="302" t="n"/>
      <x:c r="BV36" s="302" t="n"/>
      <x:c r="BW36" s="302" t="n"/>
      <x:c r="BX36" s="302" t="n"/>
      <x:c r="BY36" s="302" t="n"/>
      <x:c r="BZ36" s="302" t="n"/>
      <x:c r="CA36" s="302" t="n"/>
      <x:c r="CB36" s="302" t="n"/>
      <x:c r="CC36" s="302" t="n"/>
      <x:c r="CD36" s="302" t="n"/>
      <x:c r="CE36" s="302" t="n"/>
      <x:c r="CF36" s="302" t="n"/>
      <x:c r="CG36" s="302" t="n"/>
      <x:c r="CH36" s="302" t="n"/>
      <x:c r="CI36" s="302" t="n"/>
      <x:c r="CJ36" s="302" t="n"/>
      <x:c r="CK36" s="302" t="n"/>
      <x:c r="CL36" s="302" t="n"/>
      <x:c r="CM36" s="302" t="n"/>
      <x:c r="CN36" s="302" t="n"/>
      <x:c r="CO36" s="302" t="n"/>
      <x:c r="CP36" s="302" t="n"/>
      <x:c r="CQ36" s="302" t="n"/>
      <x:c r="CR36" s="302" t="n"/>
      <x:c r="CS36" s="302" t="n"/>
      <x:c r="CT36" s="302" t="n"/>
      <x:c r="CU36" s="302" t="n"/>
      <x:c r="CV36" s="302" t="n"/>
      <x:c r="CW36" s="302" t="n"/>
      <x:c r="CX36" s="302" t="n"/>
      <x:c r="CY36" s="302" t="n"/>
      <x:c r="CZ36" s="302" t="n"/>
      <x:c r="DA36" s="302" t="n"/>
      <x:c r="DB36" s="302" t="n"/>
      <x:c r="DC36" s="302" t="n"/>
      <x:c r="DD36" s="302" t="n"/>
      <x:c r="DE36" s="302" t="n"/>
      <x:c r="DF36" s="302" t="n"/>
      <x:c r="DG36" s="302" t="n"/>
      <x:c r="DH36" s="302" t="n"/>
      <x:c r="DI36" s="302" t="n"/>
      <x:c r="DJ36" s="302" t="n"/>
      <x:c r="DK36" s="302" t="n">
        <x:v>-0.0025269435354467</x:v>
      </x:c>
      <x:c r="DL36" s="302" t="n"/>
      <x:c r="DM36" s="302" t="n"/>
      <x:c r="DN36" s="302" t="n"/>
      <x:c r="DO36" s="302" t="n"/>
      <x:c r="DP36" s="302" t="n"/>
      <x:c r="DQ36" s="302" t="n"/>
      <x:c r="DR36" s="302" t="n"/>
      <x:c r="DS36" s="302" t="n"/>
      <x:c r="DT36" s="302" t="n"/>
      <x:c r="DU36" s="302" t="n"/>
      <x:c r="DV36" s="302" t="n"/>
      <x:c r="DW36" s="302" t="n"/>
      <x:c r="DX36" s="302" t="n"/>
      <x:c r="DY36" s="302" t="n"/>
      <x:c r="DZ36" s="302" t="n"/>
      <x:c r="EA36" s="302" t="n"/>
      <x:c r="EB36" s="302" t="n"/>
      <x:c r="EC36" s="302" t="n"/>
      <x:c r="ED36" s="302" t="n"/>
      <x:c r="EE36" s="302" t="n"/>
      <x:c r="EF36" s="302" t="n"/>
      <x:c r="EG36" s="302" t="n"/>
      <x:c r="EH36" s="302" t="n"/>
      <x:c r="EI36" s="302" t="n"/>
      <x:c r="EJ36" s="302" t="n"/>
      <x:c r="EK36" s="302" t="n"/>
      <x:c r="EL36" s="302" t="n"/>
      <x:c r="EM36" s="302" t="n"/>
      <x:c r="EN36" s="302" t="n"/>
      <x:c r="EO36" s="302" t="n"/>
      <x:c r="EP36" s="302" t="n"/>
      <x:c r="EQ36" s="302" t="n"/>
      <x:c r="ER36" s="302" t="n"/>
      <x:c r="ES36" s="302" t="n"/>
      <x:c r="ET36" s="302" t="n"/>
      <x:c r="EU36" s="302" t="n"/>
      <x:c r="EV36" s="302" t="n"/>
      <x:c r="EW36" s="302" t="n"/>
      <x:c r="EX36" s="302" t="n"/>
      <x:c r="EY36" s="302" t="n"/>
    </x:row>
    <x:row r="37" s="27" customFormat="1">
      <x:c r="A37" s="125" t="n"/>
      <x:c r="B37" s="39" t="n">
        <x:v>42</x:v>
      </x:c>
      <x:c r="C37" s="86" t="n">
        <x:f>E37*D$5</x:f>
        <x:v>0.606466448507208</x:v>
      </x:c>
      <x:c r="D37" s="4" t="inlineStr">
        <x:is>
          <x:t xml:space="preserve">Paul R. and/or Deborah A. Deutsch</x:t>
        </x:is>
      </x:c>
      <x:c r="E37" s="86" t="n">
        <x:f>SUM(G37:HX37)</x:f>
        <x:v>0.00379041530317005</x:v>
      </x:c>
      <x:c r="F37" s="126" t="inlineStr">
        <x:is>
          <x:t xml:space="preserve"/>
        </x:is>
      </x:c>
      <x:c r="G37" s="298" t="n"/>
      <x:c r="H37" s="298" t="n"/>
      <x:c r="I37" s="298" t="n"/>
      <x:c r="J37" s="298" t="n"/>
      <x:c r="K37" s="298" t="n"/>
      <x:c r="L37" s="123" t="n"/>
      <x:c r="M37" s="123" t="n"/>
      <x:c r="N37" s="123" t="n"/>
      <x:c r="O37" s="123" t="n"/>
      <x:c r="P37" s="123" t="n"/>
      <x:c r="Q37" s="123" t="n"/>
      <x:c r="R37" s="123" t="n"/>
      <x:c r="S37" s="123" t="n"/>
      <x:c r="T37" s="123" t="n"/>
      <x:c r="U37" s="123" t="n"/>
      <x:c r="V37" s="123" t="n"/>
      <x:c r="W37" s="123" t="n"/>
      <x:c r="X37" s="123" t="n"/>
      <x:c r="Y37" s="123" t="n"/>
      <x:c r="Z37" s="123" t="n"/>
      <x:c r="AA37" s="124" t="n"/>
      <x:c r="AB37" s="124" t="n"/>
      <x:c r="AC37" s="124" t="n"/>
      <x:c r="AD37" s="123" t="n"/>
      <x:c r="AE37" s="123" t="n"/>
      <x:c r="AF37" s="123" t="n"/>
      <x:c r="AG37" s="123" t="n"/>
      <x:c r="AH37" s="123" t="n"/>
      <x:c r="AI37" s="123" t="n"/>
      <x:c r="AJ37" s="123" t="n"/>
      <x:c r="AK37" s="123" t="n">
        <x:v>0.00126347176772335</x:v>
      </x:c>
      <x:c r="AL37" s="123" t="n">
        <x:v>0.0025269435354467</x:v>
      </x:c>
      <x:c r="AM37" s="123" t="n"/>
      <x:c r="AN37" s="123" t="n"/>
      <x:c r="AO37" s="123" t="n"/>
      <x:c r="AP37" s="123" t="n"/>
      <x:c r="AQ37" s="123" t="n"/>
      <x:c r="AR37" s="100" t="n"/>
      <x:c r="AS37" s="100" t="n"/>
      <x:c r="AT37" s="100" t="n"/>
      <x:c r="AU37" s="100" t="n"/>
      <x:c r="AV37" s="100" t="n"/>
      <x:c r="AW37" s="100" t="n"/>
      <x:c r="AX37" s="100" t="n"/>
      <x:c r="AY37" s="100" t="n"/>
      <x:c r="AZ37" s="100" t="n"/>
      <x:c r="BA37" s="100" t="n"/>
      <x:c r="BB37" s="100" t="n"/>
      <x:c r="BC37" s="100" t="n"/>
      <x:c r="BD37" s="100" t="n"/>
      <x:c r="BE37" s="100" t="n"/>
      <x:c r="BF37" s="100" t="n"/>
      <x:c r="BG37" s="100" t="n"/>
      <x:c r="BH37" s="100" t="n"/>
      <x:c r="BI37" s="100" t="n"/>
      <x:c r="BJ37" s="100" t="n"/>
      <x:c r="BK37" s="100" t="n"/>
      <x:c r="BL37" s="100" t="n"/>
      <x:c r="BM37" s="100" t="n"/>
      <x:c r="BN37" s="100" t="n"/>
      <x:c r="BO37" s="100" t="n"/>
      <x:c r="BP37" s="100" t="n"/>
      <x:c r="BQ37" s="100" t="n"/>
      <x:c r="BR37" s="100" t="n"/>
      <x:c r="BS37" s="100" t="n"/>
      <x:c r="BT37" s="100" t="n"/>
      <x:c r="BU37" s="100" t="n"/>
      <x:c r="BV37" s="100" t="n"/>
      <x:c r="BW37" s="100" t="n"/>
      <x:c r="BX37" s="100" t="n"/>
      <x:c r="BY37" s="100" t="n"/>
      <x:c r="BZ37" s="100" t="n"/>
      <x:c r="CA37" s="100" t="n"/>
      <x:c r="CB37" s="100" t="n"/>
      <x:c r="CC37" s="100" t="n"/>
      <x:c r="CD37" s="100" t="n"/>
      <x:c r="CE37" s="100" t="n"/>
      <x:c r="CF37" s="100" t="n"/>
      <x:c r="CG37" s="100" t="n"/>
      <x:c r="CH37" s="100" t="n"/>
      <x:c r="CI37" s="100" t="n"/>
      <x:c r="CJ37" s="100" t="n"/>
      <x:c r="CK37" s="100" t="n"/>
      <x:c r="CL37" s="100" t="n"/>
      <x:c r="CM37" s="100" t="n"/>
      <x:c r="CN37" s="100" t="n"/>
      <x:c r="CO37" s="100" t="n"/>
      <x:c r="CP37" s="100" t="n"/>
      <x:c r="CQ37" s="100" t="n"/>
      <x:c r="CR37" s="100" t="n"/>
      <x:c r="CS37" s="100" t="n"/>
      <x:c r="CT37" s="100" t="n"/>
      <x:c r="CU37" s="100" t="n"/>
      <x:c r="CV37" s="100" t="n"/>
      <x:c r="CW37" s="100" t="n"/>
      <x:c r="CX37" s="100" t="n"/>
      <x:c r="CY37" s="100" t="n"/>
      <x:c r="CZ37" s="100" t="n"/>
      <x:c r="DA37" s="100" t="n"/>
      <x:c r="DB37" s="100" t="n"/>
      <x:c r="DC37" s="100" t="n"/>
      <x:c r="DD37" s="100" t="n"/>
      <x:c r="DE37" s="100" t="n"/>
      <x:c r="DF37" s="100" t="n"/>
      <x:c r="DG37" s="100" t="n"/>
      <x:c r="DH37" s="100" t="n"/>
      <x:c r="DI37" s="100" t="n"/>
      <x:c r="DJ37" s="100" t="n"/>
      <x:c r="DK37" s="100" t="n"/>
      <x:c r="DL37" s="100" t="n"/>
      <x:c r="DM37" s="100" t="n"/>
      <x:c r="DN37" s="100" t="n"/>
      <x:c r="DO37" s="100" t="n"/>
      <x:c r="DP37" s="100" t="n"/>
      <x:c r="DQ37" s="100" t="n"/>
      <x:c r="DR37" s="100" t="n"/>
      <x:c r="DS37" s="100" t="n"/>
      <x:c r="DT37" s="100" t="n"/>
      <x:c r="DU37" s="100" t="n"/>
      <x:c r="DV37" s="100" t="n"/>
      <x:c r="DW37" s="100" t="n"/>
      <x:c r="DX37" s="100" t="n"/>
      <x:c r="DY37" s="100" t="n"/>
      <x:c r="DZ37" s="100" t="n"/>
      <x:c r="EA37" s="100" t="n"/>
      <x:c r="EB37" s="100" t="n"/>
      <x:c r="EC37" s="100" t="n"/>
      <x:c r="ED37" s="100" t="n"/>
      <x:c r="EE37" s="100" t="n"/>
      <x:c r="EF37" s="100" t="n"/>
      <x:c r="EG37" s="100" t="n"/>
      <x:c r="EH37" s="100" t="n"/>
      <x:c r="EI37" s="100" t="n"/>
      <x:c r="EJ37" s="100" t="n"/>
      <x:c r="EK37" s="100" t="n"/>
      <x:c r="EL37" s="100" t="n"/>
      <x:c r="EM37" s="100" t="n"/>
      <x:c r="EN37" s="100" t="n"/>
      <x:c r="EO37" s="100" t="n"/>
      <x:c r="EP37" s="100" t="n"/>
      <x:c r="EQ37" s="100" t="n"/>
      <x:c r="ER37" s="100" t="n"/>
      <x:c r="ES37" s="100" t="n"/>
      <x:c r="ET37" s="100" t="n"/>
      <x:c r="EU37" s="100" t="n"/>
      <x:c r="EV37" s="100" t="n"/>
      <x:c r="EW37" s="100" t="n"/>
      <x:c r="EX37" s="100" t="n"/>
      <x:c r="EY37" s="100" t="n"/>
      <x:c r="EZ37" s="100" t="n"/>
      <x:c r="FA37" s="100" t="n"/>
      <x:c r="FB37" s="100" t="n"/>
      <x:c r="FC37" s="100" t="n"/>
      <x:c r="FD37" s="100" t="n"/>
      <x:c r="FE37" s="100" t="n"/>
      <x:c r="FF37" s="100" t="n"/>
      <x:c r="FG37" s="100" t="n"/>
      <x:c r="FH37" s="100" t="n"/>
      <x:c r="FI37" s="100" t="n"/>
      <x:c r="FJ37" s="100" t="n"/>
      <x:c r="FK37" s="100" t="n"/>
      <x:c r="FL37" s="100" t="n"/>
      <x:c r="FM37" s="100" t="n"/>
      <x:c r="FN37" s="100" t="n"/>
    </x:row>
    <x:row r="38" s="27" customFormat="1">
      <x:c r="A38" s="125" t="n"/>
      <x:c r="B38" s="39" t="n"/>
      <x:c r="C38" s="36" t="n">
        <x:f>E38*D$5</x:f>
        <x:v>0.8292979614631657</x:v>
      </x:c>
      <x:c r="D38" s="332" t="inlineStr">
        <x:is>
          <x:t xml:space="preserve">Clarence C. Bain</x:t>
        </x:is>
      </x:c>
      <x:c r="E38" s="36" t="n">
        <x:f>SUM(G38:HS38)</x:f>
        <x:v>0.005183112259144786</x:v>
      </x:c>
      <x:c r="F38" s="126" t="inlineStr">
        <x:is>
          <x:t xml:space="preserve"/>
        </x:is>
      </x:c>
      <x:c r="G38" s="298" t="n"/>
      <x:c r="H38" s="298" t="n"/>
      <x:c r="I38" s="298" t="n"/>
      <x:c r="J38" s="298" t="n"/>
      <x:c r="K38" s="298" t="n"/>
      <x:c r="L38" s="123" t="n"/>
      <x:c r="M38" s="123" t="n"/>
      <x:c r="N38" s="123" t="n"/>
      <x:c r="O38" s="123" t="n"/>
      <x:c r="P38" s="123" t="n"/>
      <x:c r="Q38" s="123" t="n"/>
      <x:c r="R38" s="123" t="n"/>
      <x:c r="S38" s="123" t="n"/>
      <x:c r="T38" s="123" t="n"/>
      <x:c r="U38" s="123" t="n"/>
      <x:c r="V38" s="123" t="n"/>
      <x:c r="W38" s="123" t="n"/>
      <x:c r="X38" s="123" t="n"/>
      <x:c r="Y38" s="123" t="n"/>
      <x:c r="Z38" s="123" t="n"/>
      <x:c r="AA38" s="123" t="n"/>
      <x:c r="AB38" s="124" t="n"/>
      <x:c r="AC38" s="123" t="n"/>
      <x:c r="AD38" s="123" t="n"/>
      <x:c r="AE38" s="124" t="n"/>
      <x:c r="AF38" s="123" t="n"/>
      <x:c r="AG38" s="123" t="n"/>
      <x:c r="AH38" s="123" t="n"/>
      <x:c r="AI38" s="123" t="n"/>
      <x:c r="AJ38" s="123" t="n"/>
      <x:c r="AK38" s="123" t="n"/>
      <x:c r="AL38" s="123" t="n"/>
      <x:c r="AM38" s="123" t="n">
        <x:v>0.00379041530317005</x:v>
      </x:c>
      <x:c r="AN38" s="123" t="n"/>
      <x:c r="AO38" s="123" t="n"/>
      <x:c r="AP38" s="123" t="n"/>
      <x:c r="AQ38" s="123" t="n"/>
      <x:c r="AR38" s="100" t="n"/>
      <x:c r="AS38" s="100" t="n">
        <x:v>-0.00379041530317005</x:v>
      </x:c>
      <x:c r="AT38" s="100" t="n">
        <x:v>-0.0025269435354467</x:v>
      </x:c>
      <x:c r="AU38" s="100" t="n">
        <x:v>-0.0025269435354467</x:v>
      </x:c>
      <x:c r="AV38" s="100" t="n">
        <x:v>-0.0025269435354467</x:v>
      </x:c>
      <x:c r="AW38" s="100" t="n">
        <x:v>-0.0025269435354467</x:v>
      </x:c>
      <x:c r="AX38" s="100" t="n"/>
      <x:c r="AY38" s="100" t="n">
        <x:v>-0.00379041530317005</x:v>
      </x:c>
      <x:c r="AZ38" s="100" t="n">
        <x:v>-0.00379041530317005</x:v>
      </x:c>
      <x:c r="BA38" s="100" t="n">
        <x:v>-0.00379041530317005</x:v>
      </x:c>
      <x:c r="BB38" s="100" t="n">
        <x:v>-0.00379041530317005</x:v>
      </x:c>
      <x:c r="BC38" s="100" t="n"/>
      <x:c r="BD38" s="100" t="n">
        <x:f>43.496666/791.47</x:f>
        <x:v>0.05495680948109214</x:v>
      </x:c>
      <x:c r="BE38" s="100" t="n"/>
      <x:c r="BF38" s="100" t="n"/>
      <x:c r="BG38" s="100" t="n"/>
      <x:c r="BH38" s="100" t="n"/>
      <x:c r="BI38" s="100" t="n"/>
      <x:c r="BJ38" s="100" t="n"/>
      <x:c r="BK38" s="100" t="n"/>
      <x:c r="BL38" s="100" t="n"/>
      <x:c r="BM38" s="100" t="n"/>
      <x:c r="BN38" s="100" t="n"/>
      <x:c r="BO38" s="100" t="n"/>
      <x:c r="BP38" s="100" t="n"/>
      <x:c r="BQ38" s="100" t="n"/>
      <x:c r="BR38" s="100" t="n"/>
      <x:c r="BS38" s="100" t="n"/>
      <x:c r="BT38" s="100" t="n"/>
      <x:c r="BU38" s="100" t="n"/>
      <x:c r="BV38" s="100" t="n">
        <x:v>0.004211568347505275</x:v>
      </x:c>
      <x:c r="BW38" s="100" t="n"/>
      <x:c r="BX38" s="100" t="n"/>
      <x:c r="BY38" s="100" t="n"/>
      <x:c r="BZ38" s="100" t="n"/>
      <x:c r="CA38" s="100" t="n"/>
      <x:c r="CB38" s="100" t="n"/>
      <x:c r="CC38" s="100" t="n"/>
      <x:c r="CD38" s="100" t="n"/>
      <x:c r="CE38" s="100" t="n"/>
      <x:c r="CF38" s="100" t="n"/>
      <x:c r="CG38" s="100" t="n">
        <x:f>4.8329635/791.47</x:f>
        <x:v>0.00610631293668743</x:v>
      </x:c>
      <x:c r="CH38" s="100" t="n"/>
      <x:c r="CI38" s="100" t="n"/>
      <x:c r="CJ38" s="100" t="n"/>
      <x:c r="CK38" s="100" t="n">
        <x:v>0.006317358838616751</x:v>
      </x:c>
      <x:c r="CL38" s="100" t="n"/>
      <x:c r="CM38" s="100" t="n"/>
      <x:c r="CN38" s="100" t="n"/>
      <x:c r="CO38" s="100" t="n"/>
      <x:c r="CP38" s="100" t="n"/>
      <x:c r="CQ38" s="100" t="n"/>
      <x:c r="CR38" s="100" t="n"/>
      <x:c r="CS38" s="100" t="n"/>
      <x:c r="CT38" s="100" t="n"/>
      <x:c r="CU38" s="100" t="n"/>
      <x:c r="CV38" s="100" t="n"/>
      <x:c r="CW38" s="100" t="n"/>
      <x:c r="CX38" s="100" t="n"/>
      <x:c r="CY38" s="100" t="n"/>
      <x:c r="CZ38" s="100" t="n"/>
      <x:c r="DA38" s="100" t="n"/>
      <x:c r="DB38" s="100" t="n"/>
      <x:c r="DC38" s="100" t="n"/>
      <x:c r="DD38" s="100" t="n"/>
      <x:c r="DE38" s="100" t="n"/>
      <x:c r="DF38" s="100" t="n"/>
      <x:c r="DG38" s="100" t="n"/>
      <x:c r="DH38" s="100" t="n"/>
      <x:c r="DI38" s="100" t="n"/>
      <x:c r="DJ38" s="100" t="n"/>
      <x:c r="DK38" s="100" t="n"/>
      <x:c r="DL38" s="100" t="n"/>
      <x:c r="DM38" s="100" t="n"/>
      <x:c r="DN38" s="100" t="n"/>
      <x:c r="DO38" s="100" t="n"/>
      <x:c r="DP38" s="100" t="n"/>
      <x:c r="DQ38" s="100" t="n"/>
      <x:c r="DR38" s="100" t="n"/>
      <x:c r="DS38" s="100" t="n"/>
      <x:c r="DT38" s="100" t="n"/>
      <x:c r="DU38" s="100" t="n"/>
      <x:c r="DV38" s="100" t="n"/>
      <x:c r="DW38" s="100" t="n"/>
      <x:c r="DX38" s="100" t="n"/>
      <x:c r="DY38" s="100" t="n"/>
      <x:c r="DZ38" s="100" t="n"/>
      <x:c r="EA38" s="100" t="n"/>
      <x:c r="EB38" s="100" t="n"/>
      <x:c r="EC38" s="100" t="n">
        <x:f>-(EC119+EC120+EC121+EC122+EC123)*(0.0463226142494346/0.130549381530569)</x:f>
        <x:v>-0.04113950199028981</x:v>
      </x:c>
      <x:c r="ED38" s="100" t="n"/>
      <x:c r="EE38" s="100" t="n"/>
      <x:c r="EF38" s="100" t="n"/>
      <x:c r="EG38" s="100" t="n"/>
      <x:c r="EH38" s="100" t="n"/>
      <x:c r="EI38" s="100" t="n"/>
      <x:c r="EJ38" s="100" t="n"/>
      <x:c r="EK38" s="100" t="n"/>
      <x:c r="EL38" s="100" t="n"/>
      <x:c r="EM38" s="100" t="n"/>
      <x:c r="EN38" s="100" t="n"/>
      <x:c r="EO38" s="100" t="n"/>
      <x:c r="EP38" s="100" t="n"/>
      <x:c r="EQ38" s="100" t="n"/>
      <x:c r="ER38" s="100" t="n"/>
      <x:c r="ES38" s="100" t="n"/>
      <x:c r="ET38" s="100" t="n"/>
      <x:c r="EU38" s="100" t="n"/>
      <x:c r="EV38" s="100" t="n"/>
      <x:c r="EW38" s="100" t="n"/>
      <x:c r="EX38" s="100" t="n"/>
      <x:c r="EY38" s="100" t="n"/>
      <x:c r="EZ38" s="100" t="n"/>
      <x:c r="FA38" s="100" t="n"/>
      <x:c r="FB38" s="100" t="n"/>
      <x:c r="FC38" s="100" t="n"/>
      <x:c r="FD38" s="100" t="n"/>
      <x:c r="FE38" s="100" t="n"/>
      <x:c r="FF38" s="100" t="n"/>
      <x:c r="FG38" s="100" t="n"/>
      <x:c r="FH38" s="100" t="n"/>
      <x:c r="FI38" s="100" t="n"/>
      <x:c r="FJ38" s="100" t="n"/>
      <x:c r="FK38" s="100" t="n"/>
      <x:c r="FL38" s="100" t="n"/>
      <x:c r="FM38" s="100" t="n"/>
      <x:c r="FN38" s="100" t="n"/>
    </x:row>
    <x:row r="39" s="27" customFormat="1">
      <x:c r="A39" s="125" t="n"/>
      <x:c r="B39" s="39" t="n"/>
      <x:c r="C39" s="36" t="n">
        <x:f>E39*D$5</x:f>
        <x:v>1.0107774141786803</x:v>
      </x:c>
      <x:c r="D39" s="4" t="inlineStr">
        <x:is>
          <x:t xml:space="preserve">Ted L. Herbold</x:t>
        </x:is>
      </x:c>
      <x:c r="E39" s="36" t="n">
        <x:f>SUM(G39:HG39)</x:f>
        <x:v>0.006317358838616751</x:v>
      </x:c>
      <x:c r="F39" s="126" t="inlineStr">
        <x:is>
          <x:t xml:space="preserve"/>
        </x:is>
      </x:c>
      <x:c r="G39" s="298" t="n"/>
      <x:c r="H39" s="298" t="n"/>
      <x:c r="I39" s="298" t="n"/>
      <x:c r="J39" s="298" t="n"/>
      <x:c r="K39" s="298" t="n"/>
      <x:c r="L39" s="123" t="n"/>
      <x:c r="M39" s="123" t="n"/>
      <x:c r="N39" s="123" t="n"/>
      <x:c r="O39" s="123" t="n"/>
      <x:c r="P39" s="123" t="n"/>
      <x:c r="Q39" s="123" t="n"/>
      <x:c r="R39" s="123" t="n"/>
      <x:c r="S39" s="123" t="n"/>
      <x:c r="T39" s="123" t="n"/>
      <x:c r="U39" s="123" t="n"/>
      <x:c r="V39" s="123" t="n"/>
      <x:c r="W39" s="123" t="n"/>
      <x:c r="X39" s="123" t="n"/>
      <x:c r="Y39" s="123" t="n"/>
      <x:c r="Z39" s="123" t="n"/>
      <x:c r="AA39" s="123" t="n"/>
      <x:c r="AB39" s="123" t="n"/>
      <x:c r="AC39" s="124" t="n"/>
      <x:c r="AD39" s="124" t="n"/>
      <x:c r="AE39" s="123" t="n"/>
      <x:c r="AF39" s="123" t="n"/>
      <x:c r="AG39" s="123" t="n"/>
      <x:c r="AH39" s="123" t="n"/>
      <x:c r="AI39" s="123" t="n"/>
      <x:c r="AJ39" s="123" t="n"/>
      <x:c r="AK39" s="123" t="n"/>
      <x:c r="AL39" s="123" t="n"/>
      <x:c r="AM39" s="123" t="n"/>
      <x:c r="AN39" s="123" t="n">
        <x:v>0.006317358838616751</x:v>
      </x:c>
      <x:c r="AO39" s="123" t="n"/>
      <x:c r="AP39" s="123" t="n"/>
      <x:c r="AQ39" s="123" t="n"/>
      <x:c r="AR39" s="100" t="n"/>
      <x:c r="AS39" s="100" t="n"/>
      <x:c r="AT39" s="100" t="n"/>
      <x:c r="AU39" s="100" t="n"/>
      <x:c r="AV39" s="100" t="n"/>
      <x:c r="AW39" s="100" t="n"/>
      <x:c r="AX39" s="100" t="n"/>
      <x:c r="AY39" s="100" t="n"/>
      <x:c r="AZ39" s="100" t="n"/>
      <x:c r="BA39" s="100" t="n"/>
      <x:c r="BB39" s="100" t="n"/>
      <x:c r="BC39" s="100" t="n"/>
      <x:c r="BD39" s="100" t="n"/>
      <x:c r="BE39" s="100" t="n"/>
      <x:c r="BF39" s="100" t="n"/>
      <x:c r="BG39" s="100" t="n"/>
      <x:c r="BH39" s="100" t="n"/>
      <x:c r="BI39" s="100" t="n"/>
      <x:c r="BJ39" s="100" t="n"/>
      <x:c r="BK39" s="100" t="n"/>
      <x:c r="BL39" s="100" t="n"/>
      <x:c r="BM39" s="100" t="n"/>
      <x:c r="BN39" s="100" t="n"/>
      <x:c r="BO39" s="100" t="n"/>
      <x:c r="BP39" s="100" t="n"/>
      <x:c r="BQ39" s="100" t="n"/>
      <x:c r="BR39" s="100" t="n"/>
      <x:c r="BS39" s="100" t="n"/>
      <x:c r="BT39" s="100" t="n"/>
      <x:c r="BU39" s="100" t="n"/>
      <x:c r="BV39" s="100" t="n"/>
      <x:c r="BW39" s="100" t="n"/>
      <x:c r="BX39" s="100" t="n"/>
      <x:c r="BY39" s="100" t="n"/>
      <x:c r="BZ39" s="100" t="n"/>
      <x:c r="CA39" s="100" t="n"/>
      <x:c r="CB39" s="100" t="n"/>
      <x:c r="CC39" s="100" t="n"/>
      <x:c r="CD39" s="100" t="n"/>
      <x:c r="CE39" s="100" t="n"/>
      <x:c r="CF39" s="100" t="n"/>
      <x:c r="CG39" s="100" t="n"/>
      <x:c r="CH39" s="100" t="n"/>
      <x:c r="CI39" s="100" t="n"/>
      <x:c r="CJ39" s="100" t="n"/>
      <x:c r="CK39" s="100" t="n"/>
      <x:c r="CL39" s="100" t="n"/>
      <x:c r="CM39" s="100" t="n"/>
      <x:c r="CN39" s="100" t="n"/>
      <x:c r="CO39" s="100" t="n"/>
      <x:c r="CP39" s="100" t="n"/>
      <x:c r="CQ39" s="100" t="n"/>
      <x:c r="CR39" s="100" t="n"/>
      <x:c r="CS39" s="100" t="n"/>
      <x:c r="CT39" s="100" t="n"/>
      <x:c r="CU39" s="100" t="n"/>
      <x:c r="CV39" s="100" t="n"/>
      <x:c r="CW39" s="100" t="n"/>
      <x:c r="CX39" s="100" t="n"/>
      <x:c r="CY39" s="100" t="n"/>
      <x:c r="CZ39" s="100" t="n"/>
      <x:c r="DA39" s="100" t="n"/>
      <x:c r="DB39" s="100" t="n"/>
      <x:c r="DC39" s="100" t="n"/>
      <x:c r="DD39" s="100" t="n"/>
      <x:c r="DE39" s="100" t="n"/>
      <x:c r="DF39" s="100" t="n"/>
      <x:c r="DG39" s="100" t="n"/>
      <x:c r="DH39" s="100" t="n"/>
      <x:c r="DI39" s="100" t="n"/>
      <x:c r="DJ39" s="100" t="n"/>
      <x:c r="DK39" s="100" t="n"/>
      <x:c r="DL39" s="100" t="n"/>
      <x:c r="DM39" s="100" t="n"/>
      <x:c r="DN39" s="100" t="n"/>
      <x:c r="DO39" s="100" t="n"/>
      <x:c r="DP39" s="100" t="n"/>
      <x:c r="DQ39" s="100" t="n"/>
      <x:c r="DR39" s="100" t="n"/>
      <x:c r="DS39" s="100" t="n"/>
      <x:c r="DT39" s="100" t="n"/>
      <x:c r="DU39" s="100" t="n"/>
      <x:c r="DV39" s="100" t="n"/>
      <x:c r="DW39" s="100" t="n"/>
      <x:c r="DX39" s="100" t="n"/>
      <x:c r="DY39" s="100" t="n"/>
      <x:c r="DZ39" s="100" t="n"/>
      <x:c r="EA39" s="100" t="n"/>
      <x:c r="EB39" s="100" t="n"/>
      <x:c r="EC39" s="100" t="n"/>
      <x:c r="ED39" s="100" t="n"/>
      <x:c r="EE39" s="100" t="n"/>
      <x:c r="EF39" s="100" t="n"/>
      <x:c r="EG39" s="100" t="n"/>
      <x:c r="EH39" s="100" t="n"/>
      <x:c r="EI39" s="100" t="n"/>
      <x:c r="EJ39" s="100" t="n"/>
      <x:c r="EK39" s="100" t="n"/>
      <x:c r="EL39" s="100" t="n"/>
      <x:c r="EM39" s="100" t="n"/>
      <x:c r="EN39" s="100" t="n"/>
      <x:c r="EO39" s="100" t="n"/>
      <x:c r="EP39" s="100" t="n"/>
      <x:c r="EQ39" s="100" t="n"/>
      <x:c r="ER39" s="100" t="n"/>
      <x:c r="ES39" s="100" t="n"/>
      <x:c r="ET39" s="100" t="n"/>
      <x:c r="EU39" s="100" t="n"/>
      <x:c r="EV39" s="100" t="n"/>
      <x:c r="EW39" s="100" t="n"/>
      <x:c r="EX39" s="100" t="n"/>
      <x:c r="EY39" s="100" t="n"/>
      <x:c r="EZ39" s="100" t="n"/>
      <x:c r="FA39" s="100" t="n"/>
      <x:c r="FB39" s="100" t="n"/>
      <x:c r="FC39" s="100" t="n"/>
      <x:c r="FD39" s="100" t="n"/>
      <x:c r="FE39" s="100" t="n"/>
      <x:c r="FF39" s="100" t="n"/>
      <x:c r="FG39" s="100" t="n"/>
      <x:c r="FH39" s="100" t="n"/>
      <x:c r="FI39" s="100" t="n"/>
      <x:c r="FJ39" s="100" t="n"/>
      <x:c r="FK39" s="100" t="n"/>
      <x:c r="FL39" s="100" t="n"/>
      <x:c r="FM39" s="100" t="n"/>
      <x:c r="FN39" s="100" t="n"/>
    </x:row>
    <x:row r="40" s="27" customFormat="1">
      <x:c r="A40" s="125" t="n"/>
      <x:c r="B40" s="39" t="n"/>
      <x:c r="C40" s="86" t="n">
        <x:f>E40*D$5</x:f>
        <x:v>0.40431096567147196</x:v>
      </x:c>
      <x:c r="D40" s="523" t="inlineStr">
        <x:is>
          <x:t xml:space="preserve">Theodore L. Herbold</x:t>
        </x:is>
      </x:c>
      <x:c r="E40" s="86" t="n">
        <x:f>SUM(G40:HG40)</x:f>
        <x:v>0.0025269435354467</x:v>
      </x:c>
      <x:c r="F40" s="126" t="inlineStr">
        <x:is>
          <x:t xml:space="preserve"/>
        </x:is>
      </x:c>
      <x:c r="G40" s="298" t="n"/>
      <x:c r="H40" s="298" t="n"/>
      <x:c r="I40" s="298" t="n"/>
      <x:c r="J40" s="298" t="n"/>
      <x:c r="K40" s="298" t="n"/>
      <x:c r="L40" s="123" t="n"/>
      <x:c r="M40" s="123" t="n"/>
      <x:c r="N40" s="123" t="n"/>
      <x:c r="O40" s="123" t="n"/>
      <x:c r="P40" s="123" t="n"/>
      <x:c r="Q40" s="123" t="n"/>
      <x:c r="R40" s="123" t="n"/>
      <x:c r="S40" s="124" t="n"/>
      <x:c r="T40" s="124" t="n"/>
      <x:c r="U40" s="123" t="n"/>
      <x:c r="V40" s="123" t="n"/>
      <x:c r="W40" s="123" t="n"/>
      <x:c r="X40" s="123" t="n"/>
      <x:c r="Y40" s="123" t="n"/>
      <x:c r="Z40" s="123" t="n"/>
      <x:c r="AA40" s="123" t="n"/>
      <x:c r="AB40" s="123" t="n"/>
      <x:c r="AC40" s="123" t="n"/>
      <x:c r="AD40" s="123" t="n"/>
      <x:c r="AE40" s="124" t="n"/>
      <x:c r="AF40" s="123" t="n"/>
      <x:c r="AG40" s="123" t="n"/>
      <x:c r="AH40" s="123" t="n"/>
      <x:c r="AI40" s="123" t="n"/>
      <x:c r="AJ40" s="123" t="n"/>
      <x:c r="AK40" s="123" t="n"/>
      <x:c r="AL40" s="123" t="n"/>
      <x:c r="AM40" s="123" t="n"/>
      <x:c r="AN40" s="123" t="n"/>
      <x:c r="AO40" s="123" t="n">
        <x:v>0.0025269435354467</x:v>
      </x:c>
      <x:c r="AP40" s="123" t="n"/>
      <x:c r="AQ40" s="123" t="n"/>
      <x:c r="AR40" s="100" t="n"/>
      <x:c r="AS40" s="100" t="n"/>
      <x:c r="AT40" s="100" t="n"/>
      <x:c r="AU40" s="100" t="n"/>
      <x:c r="AV40" s="100" t="n"/>
      <x:c r="AW40" s="100" t="n"/>
      <x:c r="AX40" s="100" t="n"/>
      <x:c r="AY40" s="100" t="n"/>
      <x:c r="AZ40" s="100" t="n"/>
      <x:c r="BA40" s="100" t="n"/>
      <x:c r="BB40" s="100" t="n"/>
      <x:c r="BC40" s="100" t="n"/>
      <x:c r="BD40" s="100" t="n"/>
      <x:c r="BE40" s="100" t="n"/>
      <x:c r="BF40" s="100" t="n"/>
      <x:c r="BG40" s="100" t="n"/>
      <x:c r="BH40" s="100" t="n"/>
      <x:c r="BI40" s="100" t="n"/>
      <x:c r="BJ40" s="100" t="n"/>
      <x:c r="BK40" s="100" t="n"/>
      <x:c r="BL40" s="100" t="n"/>
      <x:c r="BM40" s="100" t="n"/>
      <x:c r="BN40" s="100" t="n"/>
      <x:c r="BO40" s="100" t="n"/>
      <x:c r="BP40" s="100" t="n"/>
      <x:c r="BQ40" s="100" t="n"/>
      <x:c r="BR40" s="100" t="n"/>
      <x:c r="BS40" s="100" t="n"/>
      <x:c r="BT40" s="100" t="n"/>
      <x:c r="BU40" s="100" t="n"/>
      <x:c r="BV40" s="100" t="n"/>
      <x:c r="BW40" s="100" t="n"/>
      <x:c r="BX40" s="100" t="n"/>
      <x:c r="BY40" s="100" t="n"/>
      <x:c r="BZ40" s="100" t="n"/>
      <x:c r="CA40" s="100" t="n"/>
      <x:c r="CB40" s="100" t="n"/>
      <x:c r="CC40" s="100" t="n"/>
      <x:c r="CD40" s="100" t="n"/>
      <x:c r="CE40" s="100" t="n"/>
      <x:c r="CF40" s="100" t="n"/>
      <x:c r="CG40" s="100" t="n"/>
      <x:c r="CH40" s="100" t="n"/>
      <x:c r="CI40" s="100" t="n"/>
      <x:c r="CJ40" s="100" t="n"/>
      <x:c r="CK40" s="100" t="n"/>
      <x:c r="CL40" s="100" t="n"/>
      <x:c r="CM40" s="100" t="n"/>
      <x:c r="CN40" s="100" t="n"/>
      <x:c r="CO40" s="100" t="n"/>
      <x:c r="CP40" s="100" t="n"/>
      <x:c r="CQ40" s="100" t="n"/>
      <x:c r="CR40" s="100" t="n"/>
      <x:c r="CS40" s="100" t="n"/>
      <x:c r="CT40" s="100" t="n"/>
      <x:c r="CU40" s="100" t="n"/>
      <x:c r="CV40" s="100" t="n"/>
      <x:c r="CW40" s="100" t="n"/>
      <x:c r="CX40" s="100" t="n"/>
      <x:c r="CY40" s="100" t="n"/>
      <x:c r="CZ40" s="100" t="n"/>
      <x:c r="DA40" s="100" t="n"/>
      <x:c r="DB40" s="100" t="n"/>
      <x:c r="DC40" s="100" t="n"/>
      <x:c r="DD40" s="100" t="n"/>
      <x:c r="DE40" s="100" t="n"/>
      <x:c r="DF40" s="100" t="n"/>
      <x:c r="DG40" s="100" t="n"/>
      <x:c r="DH40" s="100" t="n"/>
      <x:c r="DI40" s="100" t="n"/>
      <x:c r="DJ40" s="100" t="n"/>
      <x:c r="DK40" s="100" t="n"/>
      <x:c r="DL40" s="100" t="n"/>
      <x:c r="DM40" s="100" t="n"/>
      <x:c r="DN40" s="100" t="n"/>
      <x:c r="DO40" s="100" t="n"/>
      <x:c r="DP40" s="100" t="n"/>
      <x:c r="DQ40" s="100" t="n"/>
      <x:c r="DR40" s="100" t="n"/>
      <x:c r="DS40" s="100" t="n"/>
      <x:c r="DT40" s="100" t="n"/>
      <x:c r="DU40" s="100" t="n"/>
      <x:c r="DV40" s="100" t="n"/>
      <x:c r="DW40" s="100" t="n"/>
      <x:c r="DX40" s="100" t="n"/>
      <x:c r="DY40" s="100" t="n"/>
      <x:c r="DZ40" s="100" t="n"/>
      <x:c r="EA40" s="100" t="n"/>
      <x:c r="EB40" s="100" t="n"/>
      <x:c r="EC40" s="100" t="n"/>
      <x:c r="ED40" s="100" t="n"/>
      <x:c r="EE40" s="100" t="n"/>
      <x:c r="EF40" s="100" t="n"/>
      <x:c r="EG40" s="100" t="n"/>
      <x:c r="EH40" s="100" t="n"/>
      <x:c r="EI40" s="100" t="n"/>
      <x:c r="EJ40" s="100" t="n"/>
      <x:c r="EK40" s="100" t="n"/>
      <x:c r="EL40" s="100" t="n"/>
      <x:c r="EM40" s="100" t="n"/>
      <x:c r="EN40" s="100" t="n"/>
      <x:c r="EO40" s="100" t="n"/>
      <x:c r="EP40" s="100" t="n"/>
      <x:c r="EQ40" s="100" t="n"/>
      <x:c r="ER40" s="100" t="n"/>
      <x:c r="ES40" s="100" t="n"/>
      <x:c r="ET40" s="100" t="n"/>
      <x:c r="EU40" s="100" t="n"/>
      <x:c r="EV40" s="100" t="n"/>
      <x:c r="EW40" s="100" t="n"/>
      <x:c r="EX40" s="100" t="n"/>
      <x:c r="EY40" s="100" t="n"/>
      <x:c r="EZ40" s="100" t="n"/>
      <x:c r="FA40" s="100" t="n"/>
      <x:c r="FB40" s="100" t="n"/>
      <x:c r="FC40" s="100" t="n"/>
      <x:c r="FD40" s="100" t="n"/>
      <x:c r="FE40" s="100" t="n"/>
      <x:c r="FF40" s="100" t="n"/>
      <x:c r="FG40" s="100" t="n"/>
      <x:c r="FH40" s="100" t="n"/>
      <x:c r="FI40" s="100" t="n"/>
      <x:c r="FJ40" s="100" t="n"/>
      <x:c r="FK40" s="100" t="n"/>
      <x:c r="FL40" s="100" t="n"/>
      <x:c r="FM40" s="100" t="n"/>
      <x:c r="FN40" s="100" t="n"/>
    </x:row>
    <x:row r="41" s="27" customFormat="1">
      <x:c r="A41" s="125" t="n"/>
      <x:c r="B41" s="39" t="n"/>
      <x:c r="C41" s="36" t="n">
        <x:f>E41*D$5</x:f>
        <x:v>0.20215548283573598</x:v>
      </x:c>
      <x:c r="D41" s="334" t="inlineStr">
        <x:is>
          <x:t xml:space="preserve">Bary Ellen Sitzman</x:t>
        </x:is>
      </x:c>
      <x:c r="E41" s="36" t="n">
        <x:f>SUM(G41:HG41)</x:f>
        <x:v>0.00126347176772335</x:v>
      </x:c>
      <x:c r="F41" s="126" t="inlineStr">
        <x:is>
          <x:t xml:space="preserve"/>
        </x:is>
      </x:c>
      <x:c r="G41" s="298" t="n"/>
      <x:c r="H41" s="298" t="n"/>
      <x:c r="I41" s="298" t="n"/>
      <x:c r="J41" s="298" t="n"/>
      <x:c r="K41" s="298" t="n"/>
      <x:c r="L41" s="123" t="n"/>
      <x:c r="M41" s="123" t="n"/>
      <x:c r="N41" s="123" t="n"/>
      <x:c r="O41" s="124" t="n"/>
      <x:c r="P41" s="123" t="n"/>
      <x:c r="Q41" s="123" t="n"/>
      <x:c r="R41" s="123" t="n"/>
      <x:c r="S41" s="123" t="n"/>
      <x:c r="T41" s="123" t="n"/>
      <x:c r="U41" s="123" t="n"/>
      <x:c r="V41" s="123" t="n"/>
      <x:c r="W41" s="123" t="n"/>
      <x:c r="X41" s="123" t="n"/>
      <x:c r="Y41" s="123" t="n"/>
      <x:c r="Z41" s="123" t="n"/>
      <x:c r="AA41" s="123" t="n"/>
      <x:c r="AB41" s="123" t="n"/>
      <x:c r="AC41" s="123" t="n"/>
      <x:c r="AD41" s="123" t="n"/>
      <x:c r="AE41" s="124" t="n"/>
      <x:c r="AF41" s="123" t="n"/>
      <x:c r="AG41" s="123" t="n"/>
      <x:c r="AH41" s="123" t="n"/>
      <x:c r="AI41" s="123" t="n"/>
      <x:c r="AJ41" s="123" t="n"/>
      <x:c r="AK41" s="123" t="n"/>
      <x:c r="AL41" s="123" t="n"/>
      <x:c r="AM41" s="123" t="n"/>
      <x:c r="AN41" s="123" t="n"/>
      <x:c r="AO41" s="123" t="n"/>
      <x:c r="AP41" s="123" t="n">
        <x:v>0.00126347176772335</x:v>
      </x:c>
      <x:c r="AQ41" s="123" t="n"/>
      <x:c r="AR41" s="100" t="n"/>
      <x:c r="AS41" s="100" t="n"/>
      <x:c r="AT41" s="100" t="n"/>
      <x:c r="AU41" s="100" t="n"/>
      <x:c r="AV41" s="100" t="n"/>
      <x:c r="AW41" s="100" t="n"/>
      <x:c r="AX41" s="100" t="n"/>
      <x:c r="AY41" s="100" t="n"/>
      <x:c r="AZ41" s="100" t="n"/>
      <x:c r="BA41" s="100" t="n"/>
      <x:c r="BB41" s="100" t="n"/>
      <x:c r="BC41" s="100" t="n"/>
      <x:c r="BD41" s="100" t="n"/>
      <x:c r="BE41" s="100" t="n"/>
      <x:c r="BF41" s="100" t="n"/>
      <x:c r="BG41" s="100" t="n"/>
      <x:c r="BH41" s="100" t="n"/>
      <x:c r="BI41" s="100" t="n"/>
      <x:c r="BJ41" s="100" t="n"/>
      <x:c r="BK41" s="100" t="n"/>
      <x:c r="BL41" s="100" t="n"/>
      <x:c r="BM41" s="100" t="n"/>
      <x:c r="BN41" s="100" t="n"/>
      <x:c r="BO41" s="100" t="n"/>
      <x:c r="BP41" s="100" t="n"/>
      <x:c r="BQ41" s="100" t="n"/>
      <x:c r="BR41" s="100" t="n"/>
      <x:c r="BS41" s="100" t="n"/>
      <x:c r="BT41" s="100" t="n"/>
      <x:c r="BU41" s="100" t="n"/>
      <x:c r="BV41" s="100" t="n"/>
      <x:c r="BW41" s="100" t="n"/>
      <x:c r="BX41" s="100" t="n"/>
      <x:c r="BY41" s="100" t="n"/>
      <x:c r="BZ41" s="100" t="n"/>
      <x:c r="CA41" s="100" t="n"/>
      <x:c r="CB41" s="100" t="n"/>
      <x:c r="CC41" s="100" t="n"/>
      <x:c r="CD41" s="100" t="n"/>
      <x:c r="CE41" s="100" t="n"/>
      <x:c r="CF41" s="100" t="n"/>
      <x:c r="CG41" s="100" t="n"/>
      <x:c r="CH41" s="100" t="n"/>
      <x:c r="CI41" s="100" t="n"/>
      <x:c r="CJ41" s="100" t="n"/>
      <x:c r="CK41" s="100" t="n"/>
      <x:c r="CL41" s="100" t="n"/>
      <x:c r="CM41" s="100" t="n"/>
      <x:c r="CN41" s="100" t="n"/>
      <x:c r="CO41" s="100" t="n"/>
      <x:c r="CP41" s="100" t="n"/>
      <x:c r="CQ41" s="100" t="n"/>
      <x:c r="CR41" s="100" t="n"/>
      <x:c r="CS41" s="100" t="n"/>
      <x:c r="CT41" s="100" t="n"/>
      <x:c r="CU41" s="100" t="n"/>
      <x:c r="CV41" s="100" t="n"/>
      <x:c r="CW41" s="100" t="n"/>
      <x:c r="CX41" s="100" t="n"/>
      <x:c r="CY41" s="100" t="n"/>
      <x:c r="CZ41" s="100" t="n"/>
      <x:c r="DA41" s="100" t="n"/>
      <x:c r="DB41" s="100" t="n"/>
      <x:c r="DC41" s="100" t="n"/>
      <x:c r="DD41" s="100" t="n"/>
      <x:c r="DE41" s="100" t="n"/>
      <x:c r="DF41" s="100" t="n"/>
      <x:c r="DG41" s="100" t="n"/>
      <x:c r="DH41" s="100" t="n"/>
      <x:c r="DI41" s="100" t="n"/>
      <x:c r="DJ41" s="100" t="n"/>
      <x:c r="DK41" s="100" t="n"/>
      <x:c r="DL41" s="100" t="n"/>
      <x:c r="DM41" s="100" t="n"/>
      <x:c r="DN41" s="100" t="n"/>
      <x:c r="DO41" s="100" t="n"/>
      <x:c r="DP41" s="100" t="n"/>
      <x:c r="DQ41" s="100" t="n"/>
      <x:c r="DR41" s="100" t="n"/>
      <x:c r="DS41" s="100" t="n"/>
      <x:c r="DT41" s="100" t="n"/>
      <x:c r="DU41" s="100" t="n"/>
      <x:c r="DV41" s="100" t="n"/>
      <x:c r="DW41" s="100" t="n"/>
      <x:c r="DX41" s="100" t="n"/>
      <x:c r="DY41" s="100" t="n"/>
      <x:c r="DZ41" s="100" t="n"/>
      <x:c r="EA41" s="100" t="n"/>
      <x:c r="EB41" s="100" t="n"/>
      <x:c r="EC41" s="100" t="n"/>
      <x:c r="ED41" s="100" t="n"/>
      <x:c r="EE41" s="100" t="n"/>
      <x:c r="EF41" s="100" t="n"/>
      <x:c r="EG41" s="100" t="n"/>
      <x:c r="EH41" s="100" t="n"/>
      <x:c r="EI41" s="100" t="n"/>
      <x:c r="EJ41" s="100" t="n"/>
      <x:c r="EK41" s="100" t="n"/>
      <x:c r="EL41" s="100" t="n"/>
      <x:c r="EM41" s="100" t="n"/>
      <x:c r="EN41" s="100" t="n"/>
      <x:c r="EO41" s="100" t="n"/>
      <x:c r="EP41" s="100" t="n"/>
      <x:c r="EQ41" s="100" t="n"/>
      <x:c r="ER41" s="100" t="n"/>
      <x:c r="ES41" s="100" t="n"/>
      <x:c r="ET41" s="100" t="n"/>
      <x:c r="EU41" s="100" t="n"/>
      <x:c r="EV41" s="100" t="n"/>
      <x:c r="EW41" s="100" t="n"/>
      <x:c r="EX41" s="100" t="n"/>
      <x:c r="EY41" s="100" t="n"/>
      <x:c r="EZ41" s="100" t="n"/>
      <x:c r="FA41" s="100" t="n"/>
      <x:c r="FB41" s="100" t="n"/>
      <x:c r="FC41" s="100" t="n"/>
      <x:c r="FD41" s="100" t="n"/>
      <x:c r="FE41" s="100" t="n"/>
      <x:c r="FF41" s="100" t="n"/>
      <x:c r="FG41" s="100" t="n"/>
      <x:c r="FH41" s="100" t="n"/>
      <x:c r="FI41" s="100" t="n"/>
      <x:c r="FJ41" s="100" t="n"/>
      <x:c r="FK41" s="100" t="n"/>
      <x:c r="FL41" s="100" t="n"/>
      <x:c r="FM41" s="100" t="n"/>
      <x:c r="FN41" s="100" t="n"/>
    </x:row>
    <x:row r="42" s="27" customFormat="1">
      <x:c r="A42" s="125" t="n"/>
      <x:c r="B42" s="39" t="n"/>
      <x:c r="C42" s="86" t="n">
        <x:f>E42*D$5</x:f>
        <x:v>1.0408340855860843e-16</x:v>
      </x:c>
      <x:c r="D42" s="103" t="inlineStr">
        <x:is>
          <x:t xml:space="preserve">David Slobin</x:t>
        </x:is>
      </x:c>
      <x:c r="E42" s="86" t="n">
        <x:f>SUM(G42:HG42)</x:f>
        <x:v>6.505213034913027e-19</x:v>
      </x:c>
      <x:c r="F42" s="126" t="inlineStr">
        <x:is>
          <x:t xml:space="preserve"/>
        </x:is>
      </x:c>
      <x:c r="G42" s="297" t="n"/>
      <x:c r="H42" s="297" t="n"/>
      <x:c r="I42" s="297" t="n"/>
      <x:c r="J42" s="297" t="n"/>
      <x:c r="K42" s="297" t="n"/>
      <x:c r="L42" s="297" t="n"/>
      <x:c r="M42" s="297" t="n"/>
      <x:c r="N42" s="297" t="n"/>
      <x:c r="O42" s="297" t="n"/>
      <x:c r="P42" s="123" t="n"/>
      <x:c r="Q42" s="297" t="n"/>
      <x:c r="R42" s="301" t="n"/>
      <x:c r="S42" s="298" t="n"/>
      <x:c r="T42" s="298" t="n"/>
      <x:c r="U42" s="298" t="n"/>
      <x:c r="V42" s="298" t="n"/>
      <x:c r="W42" s="298" t="n"/>
      <x:c r="X42" s="298" t="n"/>
      <x:c r="Y42" s="123" t="n"/>
      <x:c r="Z42" s="123" t="n"/>
      <x:c r="AA42" s="123" t="n"/>
      <x:c r="AB42" s="123" t="n"/>
      <x:c r="AC42" s="123" t="n"/>
      <x:c r="AD42" s="123" t="n"/>
      <x:c r="AE42" s="123" t="n"/>
      <x:c r="AF42" s="297" t="n"/>
      <x:c r="AG42" s="123" t="n"/>
      <x:c r="AH42" s="297" t="n"/>
      <x:c r="AI42" s="123" t="n"/>
      <x:c r="AJ42" s="297" t="n"/>
      <x:c r="AK42" s="297" t="n"/>
      <x:c r="AL42" s="297" t="n"/>
      <x:c r="AM42" s="297" t="n"/>
      <x:c r="AN42" s="297" t="n"/>
      <x:c r="AO42" s="297" t="n"/>
      <x:c r="AP42" s="297" t="n"/>
      <x:c r="AQ42" s="297" t="n">
        <x:v>0.007580830606340101</x:v>
      </x:c>
      <x:c r="AR42" s="299" t="n">
        <x:v>0.00126347176772335</x:v>
      </x:c>
      <x:c r="AS42" s="299" t="n"/>
      <x:c r="AT42" s="302" t="n"/>
      <x:c r="AU42" s="302" t="n"/>
      <x:c r="AV42" s="302" t="n"/>
      <x:c r="AW42" s="302" t="n"/>
      <x:c r="AX42" s="302" t="n"/>
      <x:c r="AY42" s="302" t="n"/>
      <x:c r="AZ42" s="302" t="n"/>
      <x:c r="BA42" s="302" t="n"/>
      <x:c r="BB42" s="302" t="n"/>
      <x:c r="BC42" s="302" t="n"/>
      <x:c r="BD42" s="302" t="n"/>
      <x:c r="BE42" s="302" t="n"/>
      <x:c r="BF42" s="302" t="n"/>
      <x:c r="BG42" s="302" t="n"/>
      <x:c r="BH42" s="302" t="n"/>
      <x:c r="BI42" s="302" t="n"/>
      <x:c r="BJ42" s="302" t="n"/>
      <x:c r="BK42" s="302" t="n"/>
      <x:c r="BL42" s="302" t="n"/>
      <x:c r="BM42" s="302" t="n"/>
      <x:c r="BN42" s="302" t="n"/>
      <x:c r="BO42" s="302" t="n"/>
      <x:c r="BP42" s="302" t="n"/>
      <x:c r="BQ42" s="302" t="n"/>
      <x:c r="BR42" s="302" t="n"/>
      <x:c r="BS42" s="302" t="n"/>
      <x:c r="BT42" s="302" t="n"/>
      <x:c r="BU42" s="302" t="n"/>
      <x:c r="BV42" s="302" t="n"/>
      <x:c r="BW42" s="302" t="n"/>
      <x:c r="BX42" s="302" t="n"/>
      <x:c r="BY42" s="302" t="n"/>
      <x:c r="BZ42" s="302" t="n"/>
      <x:c r="CA42" s="302" t="n"/>
      <x:c r="CB42" s="302" t="n"/>
      <x:c r="CC42" s="302" t="n"/>
      <x:c r="CD42" s="302" t="n"/>
      <x:c r="CE42" s="302" t="n"/>
      <x:c r="CF42" s="302" t="n"/>
      <x:c r="CG42" s="302" t="n"/>
      <x:c r="CH42" s="302" t="n"/>
      <x:c r="CI42" s="302" t="n"/>
      <x:c r="CJ42" s="302" t="n"/>
      <x:c r="CK42" s="302" t="n"/>
      <x:c r="CL42" s="302" t="n"/>
      <x:c r="CM42" s="302" t="n"/>
      <x:c r="CN42" s="302" t="n"/>
      <x:c r="CO42" s="302" t="n"/>
      <x:c r="CP42" s="302" t="n"/>
      <x:c r="CQ42" s="302" t="n"/>
      <x:c r="CR42" s="302" t="n">
        <x:v>-0.0075808306063401</x:v>
      </x:c>
      <x:c r="CS42" s="302" t="n">
        <x:v>-0.00126347176772335</x:v>
      </x:c>
      <x:c r="CT42" s="302" t="n"/>
      <x:c r="CU42" s="302" t="n"/>
      <x:c r="CV42" s="302" t="n"/>
      <x:c r="CW42" s="302" t="n"/>
      <x:c r="CX42" s="302" t="n"/>
      <x:c r="CY42" s="302" t="n"/>
      <x:c r="CZ42" s="302" t="n"/>
      <x:c r="DA42" s="302" t="n"/>
      <x:c r="DB42" s="302" t="n"/>
      <x:c r="DC42" s="302" t="n"/>
      <x:c r="DD42" s="302" t="n"/>
      <x:c r="DE42" s="302" t="n"/>
      <x:c r="DF42" s="302" t="n"/>
      <x:c r="DG42" s="302" t="n"/>
      <x:c r="DH42" s="302" t="n"/>
      <x:c r="DI42" s="302" t="n"/>
      <x:c r="DJ42" s="302" t="n"/>
      <x:c r="DK42" s="302" t="n"/>
      <x:c r="DL42" s="302" t="n"/>
      <x:c r="DM42" s="302" t="n"/>
      <x:c r="DN42" s="302" t="n"/>
      <x:c r="DO42" s="302" t="n"/>
      <x:c r="DP42" s="302" t="n"/>
      <x:c r="DQ42" s="302" t="n"/>
      <x:c r="DR42" s="302" t="n"/>
      <x:c r="DS42" s="302" t="n"/>
      <x:c r="DT42" s="302" t="n"/>
      <x:c r="DU42" s="302" t="n"/>
      <x:c r="DV42" s="302" t="n"/>
      <x:c r="DW42" s="302" t="n"/>
      <x:c r="DX42" s="302" t="n"/>
      <x:c r="DY42" s="302" t="n"/>
      <x:c r="DZ42" s="302" t="n"/>
      <x:c r="EA42" s="302" t="n"/>
      <x:c r="EB42" s="302" t="n"/>
      <x:c r="EC42" s="302" t="n"/>
      <x:c r="ED42" s="302" t="n"/>
      <x:c r="EE42" s="302" t="n"/>
      <x:c r="EF42" s="302" t="n"/>
      <x:c r="EG42" s="302" t="n"/>
      <x:c r="EH42" s="302" t="n"/>
      <x:c r="EI42" s="302" t="n"/>
      <x:c r="EJ42" s="302" t="n"/>
      <x:c r="EK42" s="302" t="n"/>
      <x:c r="EL42" s="302" t="n"/>
      <x:c r="EM42" s="302" t="n"/>
      <x:c r="EN42" s="302" t="n"/>
      <x:c r="EO42" s="302" t="n"/>
      <x:c r="EP42" s="302" t="n"/>
      <x:c r="EQ42" s="302" t="n"/>
      <x:c r="ER42" s="302" t="n"/>
      <x:c r="ES42" s="302" t="n"/>
      <x:c r="ET42" s="302" t="n"/>
      <x:c r="EU42" s="302" t="n"/>
      <x:c r="EV42" s="302" t="n"/>
      <x:c r="EW42" s="302" t="n"/>
      <x:c r="EX42" s="302" t="n"/>
      <x:c r="EY42" s="302" t="n"/>
    </x:row>
    <x:row r="43" s="27" customFormat="1">
      <x:c r="A43" s="125" t="n"/>
      <x:c r="B43" s="39" t="n"/>
      <x:c r="C43" s="86" t="n">
        <x:f>E43*D$5</x:f>
        <x:v>0.11309752032745285</x:v>
      </x:c>
      <x:c r="D43" s="523" t="inlineStr">
        <x:is>
          <x:t xml:space="preserve">William Clifton Bain</x:t>
        </x:is>
      </x:c>
      <x:c r="E43" s="86" t="n">
        <x:f>SUM(G43:HG43)</x:f>
        <x:v>0.0007068595020465803</x:v>
      </x:c>
      <x:c r="F43" s="126" t="inlineStr">
        <x:is>
          <x:t xml:space="preserve"/>
        </x:is>
      </x:c>
      <x:c r="G43" s="123" t="n"/>
      <x:c r="H43" s="123" t="n"/>
      <x:c r="I43" s="123" t="n"/>
      <x:c r="J43" s="123" t="n"/>
      <x:c r="K43" s="123" t="n"/>
      <x:c r="L43" s="123" t="n"/>
      <x:c r="M43" s="124" t="n"/>
      <x:c r="N43" s="124" t="n"/>
      <x:c r="O43" s="123" t="n"/>
      <x:c r="P43" s="123" t="n"/>
      <x:c r="Q43" s="123" t="n"/>
      <x:c r="R43" s="123" t="n"/>
      <x:c r="S43" s="123" t="n"/>
      <x:c r="T43" s="123" t="n"/>
      <x:c r="U43" s="123" t="n"/>
      <x:c r="V43" s="123" t="n"/>
      <x:c r="W43" s="123" t="n"/>
      <x:c r="X43" s="123" t="n"/>
      <x:c r="Y43" s="123" t="n"/>
      <x:c r="Z43" s="123" t="n"/>
      <x:c r="AA43" s="123" t="n"/>
      <x:c r="AB43" s="123" t="n"/>
      <x:c r="AC43" s="123" t="n"/>
      <x:c r="AD43" s="123" t="n"/>
      <x:c r="AE43" s="123" t="n"/>
      <x:c r="AF43" s="123" t="n"/>
      <x:c r="AG43" s="297" t="n"/>
      <x:c r="AH43" s="123" t="n"/>
      <x:c r="AI43" s="123" t="n"/>
      <x:c r="AJ43" s="123" t="n"/>
      <x:c r="AK43" s="123" t="n"/>
      <x:c r="AL43" s="123" t="n"/>
      <x:c r="AM43" s="123" t="n"/>
      <x:c r="AN43" s="123" t="n"/>
      <x:c r="AO43" s="123" t="n"/>
      <x:c r="AP43" s="123" t="n"/>
      <x:c r="AQ43" s="123" t="n"/>
      <x:c r="AR43" s="100" t="n"/>
      <x:c r="AS43" s="100" t="n"/>
      <x:c r="AT43" s="100" t="n">
        <x:v>0.0025269435354467</x:v>
      </x:c>
      <x:c r="AU43" s="100" t="n"/>
      <x:c r="AV43" s="100" t="n"/>
      <x:c r="AW43" s="100" t="n"/>
      <x:c r="AX43" s="100" t="n"/>
      <x:c r="AY43" s="100" t="n">
        <x:v>0.00379041530317005</x:v>
      </x:c>
      <x:c r="AZ43" s="100" t="n"/>
      <x:c r="BA43" s="100" t="n"/>
      <x:c r="BB43" s="100" t="n"/>
      <x:c r="BC43" s="100" t="n"/>
      <x:c r="BD43" s="100" t="n"/>
      <x:c r="BE43" s="100" t="n"/>
      <x:c r="BF43" s="100" t="n"/>
      <x:c r="BG43" s="100" t="n"/>
      <x:c r="BH43" s="100" t="n"/>
      <x:c r="BI43" s="100" t="n"/>
      <x:c r="BJ43" s="100" t="n"/>
      <x:c r="BK43" s="100" t="n"/>
      <x:c r="BL43" s="100" t="n"/>
      <x:c r="BM43" s="100" t="n"/>
      <x:c r="BN43" s="100" t="n"/>
      <x:c r="BO43" s="100" t="n"/>
      <x:c r="BP43" s="100" t="n"/>
      <x:c r="BQ43" s="100" t="n"/>
      <x:c r="BR43" s="100" t="n"/>
      <x:c r="BS43" s="100" t="n"/>
      <x:c r="BT43" s="100" t="n"/>
      <x:c r="BU43" s="100" t="n"/>
      <x:c r="BV43" s="100" t="n"/>
      <x:c r="BW43" s="100" t="n"/>
      <x:c r="BX43" s="100" t="n"/>
      <x:c r="BY43" s="100" t="n"/>
      <x:c r="BZ43" s="100" t="n"/>
      <x:c r="CA43" s="100" t="n"/>
      <x:c r="CB43" s="100" t="n"/>
      <x:c r="CC43" s="100" t="n"/>
      <x:c r="CD43" s="100" t="n"/>
      <x:c r="CE43" s="100" t="n"/>
      <x:c r="CF43" s="100" t="n"/>
      <x:c r="CG43" s="100" t="n"/>
      <x:c r="CH43" s="100" t="n"/>
      <x:c r="CI43" s="100" t="n"/>
      <x:c r="CJ43" s="100" t="n"/>
      <x:c r="CK43" s="100" t="n"/>
      <x:c r="CL43" s="100" t="n"/>
      <x:c r="CM43" s="100" t="n"/>
      <x:c r="CN43" s="100" t="n"/>
      <x:c r="CO43" s="100" t="n"/>
      <x:c r="CP43" s="100" t="n"/>
      <x:c r="CQ43" s="100" t="n"/>
      <x:c r="CR43" s="100" t="n"/>
      <x:c r="CS43" s="100" t="n"/>
      <x:c r="CT43" s="100" t="n"/>
      <x:c r="CU43" s="100" t="n"/>
      <x:c r="CV43" s="100" t="n"/>
      <x:c r="CW43" s="100" t="n"/>
      <x:c r="CX43" s="100" t="n"/>
      <x:c r="CY43" s="100" t="n"/>
      <x:c r="CZ43" s="100" t="n"/>
      <x:c r="DA43" s="100" t="n"/>
      <x:c r="DB43" s="100" t="n"/>
      <x:c r="DC43" s="100" t="n"/>
      <x:c r="DD43" s="100" t="n"/>
      <x:c r="DE43" s="100" t="n"/>
      <x:c r="DF43" s="100" t="n"/>
      <x:c r="DG43" s="100" t="n"/>
      <x:c r="DH43" s="100" t="n"/>
      <x:c r="DI43" s="100" t="n"/>
      <x:c r="DJ43" s="100" t="n"/>
      <x:c r="DK43" s="100" t="n"/>
      <x:c r="DL43" s="100" t="n"/>
      <x:c r="DM43" s="100" t="n"/>
      <x:c r="DN43" s="100" t="n"/>
      <x:c r="DO43" s="100" t="n"/>
      <x:c r="DP43" s="100" t="n"/>
      <x:c r="DQ43" s="100" t="n"/>
      <x:c r="DR43" s="100" t="n"/>
      <x:c r="DS43" s="100" t="n"/>
      <x:c r="DT43" s="100" t="n"/>
      <x:c r="DU43" s="100" t="n"/>
      <x:c r="DV43" s="100" t="n"/>
      <x:c r="DW43" s="100" t="n"/>
      <x:c r="DX43" s="100" t="n"/>
      <x:c r="DY43" s="100" t="n"/>
      <x:c r="DZ43" s="100" t="n"/>
      <x:c r="EA43" s="100" t="n"/>
      <x:c r="EB43" s="100" t="n"/>
      <x:c r="EC43" s="100" t="n">
        <x:f>-(EC119+EC120+EC121+EC122+EC123)*(0.00631735883861675/0.130549381530569)</x:f>
        <x:v>-0.005610499336570169</x:v>
      </x:c>
      <x:c r="ED43" s="100" t="n"/>
      <x:c r="EE43" s="100" t="n"/>
      <x:c r="EF43" s="100" t="n"/>
      <x:c r="EG43" s="100" t="n"/>
      <x:c r="EH43" s="100" t="n"/>
      <x:c r="EI43" s="100" t="n"/>
      <x:c r="EJ43" s="100" t="n"/>
      <x:c r="EK43" s="100" t="n"/>
      <x:c r="EL43" s="100" t="n"/>
      <x:c r="EM43" s="100" t="n"/>
      <x:c r="EN43" s="100" t="n"/>
      <x:c r="EO43" s="100" t="n"/>
      <x:c r="EP43" s="100" t="n"/>
      <x:c r="EQ43" s="100" t="n"/>
      <x:c r="ER43" s="100" t="n"/>
      <x:c r="ES43" s="100" t="n"/>
      <x:c r="ET43" s="100" t="n"/>
      <x:c r="EU43" s="100" t="n"/>
      <x:c r="EV43" s="100" t="n"/>
      <x:c r="EW43" s="100" t="n"/>
      <x:c r="EX43" s="100" t="n"/>
      <x:c r="EY43" s="100" t="n"/>
      <x:c r="EZ43" s="100" t="n"/>
      <x:c r="FA43" s="100" t="n"/>
      <x:c r="FB43" s="100" t="n"/>
      <x:c r="FC43" s="100" t="n"/>
      <x:c r="FD43" s="100" t="n"/>
      <x:c r="FE43" s="100" t="n"/>
      <x:c r="FF43" s="100" t="n"/>
      <x:c r="FG43" s="100" t="n"/>
      <x:c r="FH43" s="100" t="n"/>
      <x:c r="FI43" s="100" t="n"/>
      <x:c r="FJ43" s="100" t="n"/>
      <x:c r="FK43" s="100" t="n"/>
      <x:c r="FL43" s="100" t="n"/>
      <x:c r="FM43" s="100" t="n"/>
      <x:c r="FN43" s="100" t="n"/>
      <x:c r="FO43" s="100" t="n"/>
      <x:c r="FP43" s="100" t="n"/>
      <x:c r="FQ43" s="100" t="n"/>
      <x:c r="FR43" s="100" t="n"/>
      <x:c r="FS43" s="100" t="n"/>
      <x:c r="FT43" s="100" t="n"/>
      <x:c r="FU43" s="100" t="n"/>
      <x:c r="FV43" s="100" t="n"/>
    </x:row>
    <x:row r="44" s="27" customFormat="1">
      <x:c r="A44" s="125" t="n"/>
      <x:c r="B44" s="39" t="n"/>
      <x:c r="C44" s="86" t="n">
        <x:f>E44*D$5</x:f>
        <x:v>0.11309752032745285</x:v>
      </x:c>
      <x:c r="D44" s="4" t="inlineStr">
        <x:is>
          <x:t xml:space="preserve">Michael Lee Bain</x:t>
        </x:is>
      </x:c>
      <x:c r="E44" s="86" t="n">
        <x:f>SUM(G44:HS44)</x:f>
        <x:v>0.0007068595020465803</x:v>
      </x:c>
      <x:c r="F44" s="126" t="inlineStr">
        <x:is>
          <x:t xml:space="preserve"/>
        </x:is>
      </x:c>
      <x:c r="G44" s="297" t="n"/>
      <x:c r="H44" s="297" t="n"/>
      <x:c r="I44" s="297" t="n"/>
      <x:c r="J44" s="297" t="n"/>
      <x:c r="K44" s="297" t="n"/>
      <x:c r="L44" s="297" t="n"/>
      <x:c r="M44" s="297" t="n"/>
      <x:c r="N44" s="297" t="n"/>
      <x:c r="O44" s="297" t="n"/>
      <x:c r="P44" s="123" t="n"/>
      <x:c r="Q44" s="297" t="n"/>
      <x:c r="R44" s="301" t="n"/>
      <x:c r="S44" s="298" t="n"/>
      <x:c r="T44" s="298" t="n"/>
      <x:c r="U44" s="298" t="n"/>
      <x:c r="V44" s="298" t="n"/>
      <x:c r="W44" s="298" t="n"/>
      <x:c r="X44" s="298" t="n"/>
      <x:c r="Y44" s="123" t="n"/>
      <x:c r="Z44" s="123" t="n"/>
      <x:c r="AA44" s="123" t="n"/>
      <x:c r="AB44" s="123" t="n"/>
      <x:c r="AC44" s="123" t="n"/>
      <x:c r="AD44" s="123" t="n"/>
      <x:c r="AE44" s="123" t="n"/>
      <x:c r="AF44" s="297" t="n"/>
      <x:c r="AG44" s="123" t="n"/>
      <x:c r="AH44" s="301" t="n"/>
      <x:c r="AI44" s="123" t="n"/>
      <x:c r="AJ44" s="297" t="n"/>
      <x:c r="AK44" s="297" t="n"/>
      <x:c r="AL44" s="297" t="n"/>
      <x:c r="AM44" s="297" t="n"/>
      <x:c r="AN44" s="297" t="n"/>
      <x:c r="AO44" s="297" t="n"/>
      <x:c r="AP44" s="297" t="n"/>
      <x:c r="AQ44" s="297" t="n"/>
      <x:c r="AR44" s="299" t="n"/>
      <x:c r="AS44" s="299" t="n"/>
      <x:c r="AT44" s="302" t="n"/>
      <x:c r="AU44" s="302" t="n">
        <x:v>0.0025269435354467</x:v>
      </x:c>
      <x:c r="AV44" s="302" t="n"/>
      <x:c r="AW44" s="302" t="n"/>
      <x:c r="AX44" s="302" t="n"/>
      <x:c r="AY44" s="302" t="n"/>
      <x:c r="AZ44" s="302" t="n"/>
      <x:c r="BA44" s="302" t="n">
        <x:v>0.00379041530317005</x:v>
      </x:c>
      <x:c r="BB44" s="302" t="n"/>
      <x:c r="BC44" s="302" t="n"/>
      <x:c r="BD44" s="302" t="n"/>
      <x:c r="BE44" s="302" t="n"/>
      <x:c r="BF44" s="302" t="n"/>
      <x:c r="BG44" s="302" t="n"/>
      <x:c r="BH44" s="302" t="n"/>
      <x:c r="BI44" s="302" t="n"/>
      <x:c r="BJ44" s="302" t="n"/>
      <x:c r="BK44" s="302" t="n"/>
      <x:c r="BL44" s="302" t="n"/>
      <x:c r="BM44" s="302" t="n"/>
      <x:c r="BN44" s="302" t="n"/>
      <x:c r="BO44" s="302" t="n"/>
      <x:c r="BP44" s="302" t="n"/>
      <x:c r="BQ44" s="302" t="n"/>
      <x:c r="BR44" s="302" t="n"/>
      <x:c r="BS44" s="302" t="n"/>
      <x:c r="BT44" s="302" t="n"/>
      <x:c r="BU44" s="302" t="n"/>
      <x:c r="BV44" s="302" t="n"/>
      <x:c r="BW44" s="302" t="n"/>
      <x:c r="BX44" s="302" t="n"/>
      <x:c r="BY44" s="302" t="n"/>
      <x:c r="BZ44" s="302" t="n"/>
      <x:c r="CA44" s="302" t="n"/>
      <x:c r="CB44" s="302" t="n"/>
      <x:c r="CC44" s="302" t="n"/>
      <x:c r="CD44" s="302" t="n"/>
      <x:c r="CE44" s="302" t="n"/>
      <x:c r="CF44" s="302" t="n"/>
      <x:c r="CG44" s="302" t="n"/>
      <x:c r="CH44" s="302" t="n"/>
      <x:c r="CI44" s="302" t="n"/>
      <x:c r="CJ44" s="302" t="n"/>
      <x:c r="CK44" s="302" t="n"/>
      <x:c r="CL44" s="302" t="n"/>
      <x:c r="CM44" s="302" t="n"/>
      <x:c r="CN44" s="302" t="n"/>
      <x:c r="CO44" s="302" t="n"/>
      <x:c r="CP44" s="302" t="n"/>
      <x:c r="CQ44" s="302" t="n"/>
      <x:c r="CR44" s="302" t="n"/>
      <x:c r="CS44" s="302" t="n"/>
      <x:c r="CT44" s="302" t="n"/>
      <x:c r="CU44" s="302" t="n"/>
      <x:c r="CV44" s="302" t="n"/>
      <x:c r="CW44" s="302" t="n"/>
      <x:c r="CX44" s="302" t="n"/>
      <x:c r="CY44" s="302" t="n"/>
      <x:c r="CZ44" s="302" t="n"/>
      <x:c r="DA44" s="302" t="n"/>
      <x:c r="DB44" s="302" t="n"/>
      <x:c r="DC44" s="302" t="n"/>
      <x:c r="DD44" s="302" t="n"/>
      <x:c r="DE44" s="302" t="n"/>
      <x:c r="DF44" s="302" t="n"/>
      <x:c r="DG44" s="302" t="n"/>
      <x:c r="DH44" s="302" t="n"/>
      <x:c r="DI44" s="302" t="n"/>
      <x:c r="DJ44" s="302" t="n"/>
      <x:c r="DK44" s="302" t="n"/>
      <x:c r="DL44" s="302" t="n"/>
      <x:c r="DM44" s="302" t="n"/>
      <x:c r="DN44" s="302" t="n"/>
      <x:c r="DO44" s="302" t="n"/>
      <x:c r="DP44" s="302" t="n"/>
      <x:c r="DQ44" s="302" t="n"/>
      <x:c r="DR44" s="302" t="n"/>
      <x:c r="DS44" s="302" t="n"/>
      <x:c r="DT44" s="302" t="n"/>
      <x:c r="DU44" s="302" t="n"/>
      <x:c r="DV44" s="302" t="n"/>
      <x:c r="DW44" s="302" t="n"/>
      <x:c r="DX44" s="302" t="n"/>
      <x:c r="DY44" s="302" t="n"/>
      <x:c r="DZ44" s="302" t="n"/>
      <x:c r="EA44" s="302" t="n"/>
      <x:c r="EB44" s="302" t="n"/>
      <x:c r="EC44" s="302" t="n">
        <x:f>-(EC119+EC120+EC121+EC122+EC123)*(0.00631735883861675/0.130549381530569)</x:f>
        <x:v>-0.005610499336570169</x:v>
      </x:c>
      <x:c r="ED44" s="302" t="n"/>
      <x:c r="EE44" s="302" t="n"/>
      <x:c r="EF44" s="302" t="n"/>
      <x:c r="EG44" s="302" t="n"/>
      <x:c r="EH44" s="302" t="n"/>
      <x:c r="EI44" s="302" t="n"/>
      <x:c r="EJ44" s="302" t="n"/>
      <x:c r="EK44" s="302" t="n"/>
      <x:c r="EL44" s="302" t="n"/>
      <x:c r="EM44" s="302" t="n"/>
      <x:c r="EN44" s="302" t="n"/>
      <x:c r="EO44" s="302" t="n"/>
      <x:c r="EP44" s="302" t="n"/>
      <x:c r="EQ44" s="302" t="n"/>
      <x:c r="ER44" s="302" t="n"/>
      <x:c r="ES44" s="302" t="n"/>
      <x:c r="ET44" s="302" t="n"/>
      <x:c r="EU44" s="302" t="n"/>
      <x:c r="EV44" s="302" t="n"/>
      <x:c r="EW44" s="302" t="n"/>
      <x:c r="EX44" s="302" t="n"/>
      <x:c r="EY44" s="302" t="n"/>
    </x:row>
    <x:row r="45" s="27" customFormat="1">
      <x:c r="A45" s="125" t="n"/>
      <x:c r="B45" s="39" t="n"/>
      <x:c r="C45" s="86" t="n">
        <x:f>E45*D$5</x:f>
        <x:v>0.11309752032745285</x:v>
      </x:c>
      <x:c r="D45" s="523" t="inlineStr">
        <x:is>
          <x:t xml:space="preserve">Paul Milton Bain</x:t>
        </x:is>
      </x:c>
      <x:c r="E45" s="86" t="n">
        <x:f>SUM(G45:HO45)</x:f>
        <x:v>0.0007068595020465803</x:v>
      </x:c>
      <x:c r="F45" s="126" t="inlineStr">
        <x:is>
          <x:t xml:space="preserve"/>
        </x:is>
      </x:c>
      <x:c r="G45" s="297" t="n"/>
      <x:c r="H45" s="297" t="n"/>
      <x:c r="I45" s="297" t="n"/>
      <x:c r="J45" s="297" t="n"/>
      <x:c r="K45" s="297" t="n"/>
      <x:c r="L45" s="297" t="n"/>
      <x:c r="M45" s="297" t="n"/>
      <x:c r="N45" s="297" t="n"/>
      <x:c r="O45" s="297" t="n"/>
      <x:c r="P45" s="123" t="n"/>
      <x:c r="Q45" s="297" t="n"/>
      <x:c r="R45" s="301" t="n"/>
      <x:c r="S45" s="298" t="n"/>
      <x:c r="T45" s="298" t="n"/>
      <x:c r="U45" s="298" t="n"/>
      <x:c r="V45" s="298" t="n"/>
      <x:c r="W45" s="298" t="n"/>
      <x:c r="X45" s="298" t="n"/>
      <x:c r="Y45" s="123" t="n"/>
      <x:c r="Z45" s="123" t="n"/>
      <x:c r="AA45" s="123" t="n"/>
      <x:c r="AB45" s="123" t="n"/>
      <x:c r="AC45" s="123" t="n"/>
      <x:c r="AD45" s="123" t="n"/>
      <x:c r="AE45" s="123" t="n"/>
      <x:c r="AF45" s="297" t="n"/>
      <x:c r="AG45" s="123" t="n"/>
      <x:c r="AH45" s="301" t="n"/>
      <x:c r="AI45" s="123" t="n"/>
      <x:c r="AJ45" s="297" t="n"/>
      <x:c r="AK45" s="297" t="n"/>
      <x:c r="AL45" s="297" t="n"/>
      <x:c r="AM45" s="297" t="n"/>
      <x:c r="AN45" s="297" t="n"/>
      <x:c r="AO45" s="297" t="n"/>
      <x:c r="AP45" s="297" t="n"/>
      <x:c r="AQ45" s="297" t="n"/>
      <x:c r="AR45" s="299" t="n"/>
      <x:c r="AS45" s="299" t="n"/>
      <x:c r="AT45" s="302" t="n"/>
      <x:c r="AU45" s="302" t="n"/>
      <x:c r="AV45" s="302" t="n">
        <x:v>0.0025269435354467</x:v>
      </x:c>
      <x:c r="AW45" s="302" t="n"/>
      <x:c r="AX45" s="302" t="n"/>
      <x:c r="AY45" s="302" t="n"/>
      <x:c r="AZ45" s="302" t="n">
        <x:v>0.00379041530317005</x:v>
      </x:c>
      <x:c r="BA45" s="302" t="n"/>
      <x:c r="BB45" s="302" t="n"/>
      <x:c r="BC45" s="302" t="n"/>
      <x:c r="BD45" s="302" t="n"/>
      <x:c r="BE45" s="302" t="n"/>
      <x:c r="BF45" s="302" t="n"/>
      <x:c r="BG45" s="302" t="n"/>
      <x:c r="BH45" s="302" t="n"/>
      <x:c r="BI45" s="302" t="n"/>
      <x:c r="BJ45" s="302" t="n"/>
      <x:c r="BK45" s="302" t="n"/>
      <x:c r="BL45" s="302" t="n"/>
      <x:c r="BM45" s="302" t="n"/>
      <x:c r="BN45" s="302" t="n"/>
      <x:c r="BO45" s="302" t="n"/>
      <x:c r="BP45" s="302" t="n"/>
      <x:c r="BQ45" s="302" t="n"/>
      <x:c r="BR45" s="302" t="n"/>
      <x:c r="BS45" s="302" t="n"/>
      <x:c r="BT45" s="302" t="n"/>
      <x:c r="BU45" s="302" t="n"/>
      <x:c r="BV45" s="302" t="n"/>
      <x:c r="BW45" s="302" t="n"/>
      <x:c r="BX45" s="302" t="n"/>
      <x:c r="BY45" s="302" t="n"/>
      <x:c r="BZ45" s="302" t="n"/>
      <x:c r="CA45" s="302" t="n"/>
      <x:c r="CB45" s="302" t="n"/>
      <x:c r="CC45" s="302" t="n"/>
      <x:c r="CD45" s="302" t="n"/>
      <x:c r="CE45" s="302" t="n"/>
      <x:c r="CF45" s="302" t="n"/>
      <x:c r="CG45" s="302" t="n"/>
      <x:c r="CH45" s="302" t="n"/>
      <x:c r="CI45" s="302" t="n"/>
      <x:c r="CJ45" s="302" t="n"/>
      <x:c r="CK45" s="302" t="n"/>
      <x:c r="CL45" s="302" t="n"/>
      <x:c r="CM45" s="302" t="n"/>
      <x:c r="CN45" s="302" t="n"/>
      <x:c r="CO45" s="302" t="n"/>
      <x:c r="CP45" s="302" t="n"/>
      <x:c r="CQ45" s="302" t="n"/>
      <x:c r="CR45" s="302" t="n"/>
      <x:c r="CS45" s="302" t="n"/>
      <x:c r="CT45" s="302" t="n"/>
      <x:c r="CU45" s="302" t="n"/>
      <x:c r="CV45" s="302" t="n"/>
      <x:c r="CW45" s="302" t="n"/>
      <x:c r="CX45" s="302" t="n"/>
      <x:c r="CY45" s="302" t="n"/>
      <x:c r="CZ45" s="302" t="n"/>
      <x:c r="DA45" s="302" t="n"/>
      <x:c r="DB45" s="302" t="n"/>
      <x:c r="DC45" s="302" t="n"/>
      <x:c r="DD45" s="302" t="n"/>
      <x:c r="DE45" s="302" t="n"/>
      <x:c r="DF45" s="302" t="n"/>
      <x:c r="DG45" s="302" t="n"/>
      <x:c r="DH45" s="302" t="n"/>
      <x:c r="DI45" s="302" t="n"/>
      <x:c r="DJ45" s="302" t="n"/>
      <x:c r="DK45" s="302" t="n"/>
      <x:c r="DL45" s="302" t="n"/>
      <x:c r="DM45" s="302" t="n"/>
      <x:c r="DN45" s="302" t="n"/>
      <x:c r="DO45" s="302" t="n"/>
      <x:c r="DP45" s="302" t="n"/>
      <x:c r="DQ45" s="302" t="n"/>
      <x:c r="DR45" s="302" t="n"/>
      <x:c r="DS45" s="302" t="n"/>
      <x:c r="DT45" s="302" t="n"/>
      <x:c r="DU45" s="302" t="n"/>
      <x:c r="DV45" s="302" t="n"/>
      <x:c r="DW45" s="302" t="n"/>
      <x:c r="DX45" s="302" t="n"/>
      <x:c r="DY45" s="302" t="n"/>
      <x:c r="DZ45" s="302" t="n"/>
      <x:c r="EA45" s="302" t="n"/>
      <x:c r="EB45" s="302" t="n"/>
      <x:c r="EC45" s="302" t="n">
        <x:f>-(EC119+EC120+EC121+EC122+EC123)*(0.00631735883861675/0.130549381530569)</x:f>
        <x:v>-0.005610499336570169</x:v>
      </x:c>
      <x:c r="ED45" s="302" t="n"/>
      <x:c r="EE45" s="302" t="n"/>
      <x:c r="EF45" s="302" t="n"/>
      <x:c r="EG45" s="302" t="n"/>
      <x:c r="EH45" s="302" t="n"/>
      <x:c r="EI45" s="302" t="n"/>
      <x:c r="EJ45" s="302" t="n"/>
      <x:c r="EK45" s="302" t="n"/>
      <x:c r="EL45" s="302" t="n"/>
      <x:c r="EM45" s="302" t="n"/>
      <x:c r="EN45" s="302" t="n"/>
      <x:c r="EO45" s="302" t="n"/>
      <x:c r="EP45" s="302" t="n"/>
      <x:c r="EQ45" s="302" t="n"/>
      <x:c r="ER45" s="302" t="n"/>
      <x:c r="ES45" s="302" t="n"/>
      <x:c r="ET45" s="302" t="n"/>
      <x:c r="EU45" s="302" t="n"/>
      <x:c r="EV45" s="302" t="n"/>
      <x:c r="EW45" s="302" t="n"/>
      <x:c r="EX45" s="302" t="n"/>
      <x:c r="EY45" s="302" t="n"/>
    </x:row>
    <x:row r="46" s="27" customFormat="1">
      <x:c r="A46" s="125" t="n"/>
      <x:c r="B46" s="39" t="n"/>
      <x:c r="C46" s="86" t="n">
        <x:f>E46*D$5</x:f>
        <x:v>-2.7755575615628914e-16</x:v>
      </x:c>
      <x:c r="D46" s="103" t="inlineStr">
        <x:is>
          <x:t xml:space="preserve">Ronald Dean Bain</x:t>
        </x:is>
      </x:c>
      <x:c r="E46" s="86" t="n">
        <x:f>SUM(G46:HS46)</x:f>
        <x:v>-1.734723475976807e-18</x:v>
      </x:c>
      <x:c r="F46" s="126" t="inlineStr">
        <x:is>
          <x:t xml:space="preserve"/>
        </x:is>
      </x:c>
      <x:c r="G46" s="297" t="n"/>
      <x:c r="H46" s="297" t="n"/>
      <x:c r="I46" s="297" t="n"/>
      <x:c r="J46" s="297" t="n"/>
      <x:c r="K46" s="297" t="n"/>
      <x:c r="L46" s="297" t="n"/>
      <x:c r="M46" s="297" t="n"/>
      <x:c r="N46" s="297" t="n"/>
      <x:c r="O46" s="297" t="n"/>
      <x:c r="P46" s="123" t="n"/>
      <x:c r="Q46" s="297" t="n"/>
      <x:c r="R46" s="297" t="n"/>
      <x:c r="S46" s="298" t="n"/>
      <x:c r="T46" s="298" t="n"/>
      <x:c r="U46" s="298" t="n"/>
      <x:c r="V46" s="298" t="n"/>
      <x:c r="W46" s="298" t="n"/>
      <x:c r="X46" s="298" t="n"/>
      <x:c r="Y46" s="123" t="n"/>
      <x:c r="Z46" s="123" t="n"/>
      <x:c r="AA46" s="123" t="n"/>
      <x:c r="AB46" s="123" t="n"/>
      <x:c r="AC46" s="123" t="n"/>
      <x:c r="AD46" s="123" t="n"/>
      <x:c r="AE46" s="123" t="n"/>
      <x:c r="AF46" s="297" t="n"/>
      <x:c r="AG46" s="123" t="n"/>
      <x:c r="AH46" s="301" t="n"/>
      <x:c r="AI46" s="123" t="n"/>
      <x:c r="AJ46" s="297" t="n"/>
      <x:c r="AK46" s="297" t="n"/>
      <x:c r="AL46" s="297" t="n"/>
      <x:c r="AM46" s="297" t="n"/>
      <x:c r="AN46" s="297" t="n"/>
      <x:c r="AO46" s="297" t="n"/>
      <x:c r="AP46" s="297" t="n"/>
      <x:c r="AQ46" s="297" t="n"/>
      <x:c r="AR46" s="299" t="n"/>
      <x:c r="AS46" s="299" t="n"/>
      <x:c r="AT46" s="302" t="n"/>
      <x:c r="AU46" s="302" t="n"/>
      <x:c r="AV46" s="302" t="n"/>
      <x:c r="AW46" s="302" t="n">
        <x:v>0.0025269435354467</x:v>
      </x:c>
      <x:c r="AX46" s="302" t="n"/>
      <x:c r="AY46" s="302" t="n"/>
      <x:c r="AZ46" s="302" t="n"/>
      <x:c r="BA46" s="302" t="n"/>
      <x:c r="BB46" s="302" t="n">
        <x:v>0.00379041530317005</x:v>
      </x:c>
      <x:c r="BC46" s="302" t="n"/>
      <x:c r="BD46" s="302" t="n"/>
      <x:c r="BE46" s="302" t="n"/>
      <x:c r="BF46" s="302" t="n"/>
      <x:c r="BG46" s="302" t="n"/>
      <x:c r="BH46" s="302" t="n"/>
      <x:c r="BI46" s="302" t="n"/>
      <x:c r="BJ46" s="302" t="n"/>
      <x:c r="BK46" s="302" t="n"/>
      <x:c r="BL46" s="302" t="n"/>
      <x:c r="BM46" s="302" t="n"/>
      <x:c r="BN46" s="302" t="n"/>
      <x:c r="BO46" s="302" t="n"/>
      <x:c r="BP46" s="302" t="n"/>
      <x:c r="BQ46" s="302" t="n"/>
      <x:c r="BR46" s="302" t="n"/>
      <x:c r="BS46" s="302" t="n"/>
      <x:c r="BT46" s="302" t="n"/>
      <x:c r="BU46" s="302" t="n"/>
      <x:c r="BV46" s="302" t="n"/>
      <x:c r="BW46" s="302" t="n"/>
      <x:c r="BX46" s="302" t="n"/>
      <x:c r="BY46" s="302" t="n"/>
      <x:c r="BZ46" s="302" t="n"/>
      <x:c r="CA46" s="302" t="n"/>
      <x:c r="CB46" s="302" t="n"/>
      <x:c r="CC46" s="302" t="n"/>
      <x:c r="CD46" s="302" t="n"/>
      <x:c r="CE46" s="302" t="n"/>
      <x:c r="CF46" s="302" t="n"/>
      <x:c r="CG46" s="302" t="n"/>
      <x:c r="CH46" s="302" t="n"/>
      <x:c r="CI46" s="302" t="n"/>
      <x:c r="CJ46" s="302" t="n"/>
      <x:c r="CK46" s="302" t="n">
        <x:v>-0.006317358838616751</x:v>
      </x:c>
      <x:c r="CL46" s="302" t="n"/>
      <x:c r="CM46" s="302" t="n"/>
      <x:c r="CN46" s="302" t="n"/>
      <x:c r="CO46" s="302" t="n"/>
      <x:c r="CP46" s="302" t="n"/>
      <x:c r="CQ46" s="302" t="n"/>
      <x:c r="CR46" s="302" t="n"/>
      <x:c r="CS46" s="302" t="n"/>
      <x:c r="CT46" s="302" t="n"/>
      <x:c r="CU46" s="302" t="n"/>
      <x:c r="CV46" s="302" t="n"/>
      <x:c r="CW46" s="302" t="n"/>
      <x:c r="CX46" s="302" t="n"/>
      <x:c r="CY46" s="302" t="n"/>
      <x:c r="CZ46" s="302" t="n"/>
      <x:c r="DA46" s="302" t="n"/>
      <x:c r="DB46" s="302" t="n"/>
      <x:c r="DC46" s="302" t="n"/>
      <x:c r="DD46" s="302" t="n"/>
      <x:c r="DE46" s="302" t="n"/>
      <x:c r="DF46" s="302" t="n"/>
      <x:c r="DG46" s="302" t="n"/>
      <x:c r="DH46" s="302" t="n"/>
      <x:c r="DI46" s="302" t="n"/>
      <x:c r="DJ46" s="302" t="n"/>
      <x:c r="DK46" s="302" t="n"/>
      <x:c r="DL46" s="302" t="n"/>
      <x:c r="DM46" s="302" t="n"/>
      <x:c r="DN46" s="302" t="n"/>
      <x:c r="DO46" s="302" t="n"/>
      <x:c r="DP46" s="302" t="n"/>
      <x:c r="DQ46" s="302" t="n"/>
      <x:c r="DR46" s="302" t="n"/>
      <x:c r="DS46" s="302" t="n"/>
      <x:c r="DT46" s="302" t="n"/>
      <x:c r="DU46" s="302" t="n"/>
      <x:c r="DV46" s="302" t="n"/>
      <x:c r="DW46" s="302" t="n"/>
      <x:c r="DX46" s="302" t="n"/>
      <x:c r="DY46" s="302" t="n"/>
      <x:c r="DZ46" s="302" t="n"/>
      <x:c r="EA46" s="302" t="n"/>
      <x:c r="EB46" s="302" t="n"/>
      <x:c r="EC46" s="302" t="n"/>
      <x:c r="ED46" s="302" t="n"/>
      <x:c r="EE46" s="302" t="n"/>
      <x:c r="EF46" s="302" t="n"/>
      <x:c r="EG46" s="302" t="n"/>
      <x:c r="EH46" s="302" t="n"/>
      <x:c r="EI46" s="302" t="n"/>
      <x:c r="EJ46" s="302" t="n"/>
      <x:c r="EK46" s="302" t="n"/>
      <x:c r="EL46" s="302" t="n"/>
      <x:c r="EM46" s="302" t="n"/>
      <x:c r="EN46" s="302" t="n"/>
      <x:c r="EO46" s="302" t="n"/>
      <x:c r="EP46" s="302" t="n"/>
      <x:c r="EQ46" s="302" t="n"/>
      <x:c r="ER46" s="302" t="n"/>
      <x:c r="ES46" s="302" t="n"/>
      <x:c r="ET46" s="302" t="n"/>
      <x:c r="EU46" s="302" t="n"/>
      <x:c r="EV46" s="302" t="n"/>
      <x:c r="EW46" s="302" t="n"/>
      <x:c r="EX46" s="302" t="n"/>
      <x:c r="EY46" s="302" t="n"/>
    </x:row>
    <x:row r="47" s="27" customFormat="1">
      <x:c r="A47" s="125" t="n"/>
      <x:c r="B47" s="39" t="n"/>
      <x:c r="C47" s="86" t="n">
        <x:f>E47*D$5</x:f>
        <x:v>-1.1102230246251565e-15</x:v>
      </x:c>
      <x:c r="D47" s="104" t="inlineStr">
        <x:is>
          <x:t xml:space="preserve">Dow C. Bain, (and OR) Edris O. Bain, JTWROS</x:t>
        </x:is>
      </x:c>
      <x:c r="E47" s="86" t="n">
        <x:f>SUM(G47:HS47)</x:f>
        <x:v>-6.938893903907228e-18</x:v>
      </x:c>
      <x:c r="F47" s="126" t="inlineStr">
        <x:is>
          <x:t xml:space="preserve"/>
        </x:is>
      </x:c>
      <x:c r="G47" s="297" t="n"/>
      <x:c r="H47" s="297" t="n"/>
      <x:c r="I47" s="297" t="n"/>
      <x:c r="J47" s="297" t="n"/>
      <x:c r="K47" s="297" t="n"/>
      <x:c r="L47" s="297" t="n"/>
      <x:c r="M47" s="297" t="n"/>
      <x:c r="N47" s="297" t="n"/>
      <x:c r="O47" s="297" t="n"/>
      <x:c r="P47" s="123" t="n"/>
      <x:c r="Q47" s="297" t="n"/>
      <x:c r="R47" s="297" t="n"/>
      <x:c r="S47" s="297" t="n"/>
      <x:c r="T47" s="297" t="n"/>
      <x:c r="U47" s="297" t="n"/>
      <x:c r="V47" s="297" t="n"/>
      <x:c r="W47" s="297" t="n"/>
      <x:c r="X47" s="297" t="n"/>
      <x:c r="Y47" s="123" t="n"/>
      <x:c r="Z47" s="123" t="n"/>
      <x:c r="AA47" s="123" t="n"/>
      <x:c r="AB47" s="123" t="n"/>
      <x:c r="AC47" s="123" t="n"/>
      <x:c r="AD47" s="123" t="n"/>
      <x:c r="AE47" s="123" t="n"/>
      <x:c r="AF47" s="297" t="n"/>
      <x:c r="AG47" s="123" t="n"/>
      <x:c r="AH47" s="297" t="n"/>
      <x:c r="AI47" s="124" t="n"/>
      <x:c r="AJ47" s="297" t="n"/>
      <x:c r="AK47" s="297" t="n"/>
      <x:c r="AL47" s="297" t="n"/>
      <x:c r="AM47" s="297" t="n"/>
      <x:c r="AN47" s="297" t="n"/>
      <x:c r="AO47" s="297" t="n"/>
      <x:c r="AP47" s="297" t="n"/>
      <x:c r="AQ47" s="297" t="n"/>
      <x:c r="AR47" s="299" t="n"/>
      <x:c r="AS47" s="299" t="n"/>
      <x:c r="AT47" s="302" t="n"/>
      <x:c r="AU47" s="302" t="n"/>
      <x:c r="AV47" s="302" t="n"/>
      <x:c r="AW47" s="302" t="n"/>
      <x:c r="AX47" s="302" t="n">
        <x:v>0.050538870708934</x:v>
      </x:c>
      <x:c r="AY47" s="302" t="n"/>
      <x:c r="AZ47" s="302" t="n"/>
      <x:c r="BA47" s="302" t="n"/>
      <x:c r="BB47" s="302" t="n"/>
      <x:c r="BC47" s="302" t="n"/>
      <x:c r="BD47" s="302" t="n"/>
      <x:c r="BE47" s="302" t="n"/>
      <x:c r="BF47" s="302" t="n"/>
      <x:c r="BG47" s="302" t="n"/>
      <x:c r="BH47" s="302" t="n"/>
      <x:c r="BI47" s="302" t="n"/>
      <x:c r="BJ47" s="302" t="n"/>
      <x:c r="BK47" s="302" t="n"/>
      <x:c r="BL47" s="302" t="n"/>
      <x:c r="BM47" s="302" t="n"/>
      <x:c r="BN47" s="302" t="n"/>
      <x:c r="BO47" s="302" t="n"/>
      <x:c r="BP47" s="302" t="n"/>
      <x:c r="BQ47" s="302" t="n"/>
      <x:c r="BR47" s="302" t="n"/>
      <x:c r="BS47" s="302" t="n"/>
      <x:c r="BT47" s="302" t="n"/>
      <x:c r="BU47" s="302" t="n"/>
      <x:c r="BV47" s="302" t="n"/>
      <x:c r="BW47" s="302" t="n"/>
      <x:c r="BX47" s="302" t="n"/>
      <x:c r="BY47" s="302" t="n"/>
      <x:c r="BZ47" s="302" t="n"/>
      <x:c r="CA47" s="302" t="n"/>
      <x:c r="CB47" s="302" t="n"/>
      <x:c r="CC47" s="302" t="n"/>
      <x:c r="CD47" s="302" t="n"/>
      <x:c r="CE47" s="302" t="n"/>
      <x:c r="CF47" s="302" t="n"/>
      <x:c r="CG47" s="302" t="n"/>
      <x:c r="CH47" s="302" t="n"/>
      <x:c r="CI47" s="302" t="n"/>
      <x:c r="CJ47" s="302" t="n"/>
      <x:c r="CK47" s="302" t="n"/>
      <x:c r="CL47" s="302" t="n"/>
      <x:c r="CM47" s="302" t="n"/>
      <x:c r="CN47" s="302" t="n"/>
      <x:c r="CO47" s="302" t="n"/>
      <x:c r="CP47" s="302" t="n"/>
      <x:c r="CQ47" s="302" t="n"/>
      <x:c r="CR47" s="302" t="n"/>
      <x:c r="CS47" s="302" t="n"/>
      <x:c r="CT47" s="302" t="n"/>
      <x:c r="CU47" s="302" t="n"/>
      <x:c r="CV47" s="302" t="n"/>
      <x:c r="CW47" s="302" t="n"/>
      <x:c r="CX47" s="302" t="n"/>
      <x:c r="CY47" s="302" t="n"/>
      <x:c r="CZ47" s="302" t="n"/>
      <x:c r="DA47" s="302" t="n"/>
      <x:c r="DB47" s="302" t="n"/>
      <x:c r="DC47" s="302" t="n"/>
      <x:c r="DD47" s="302" t="n"/>
      <x:c r="DE47" s="302" t="n">
        <x:f>-(40/791.47)</x:f>
        <x:v>-0.05053887070893401</x:v>
      </x:c>
      <x:c r="DF47" s="302" t="n"/>
      <x:c r="DG47" s="302" t="n"/>
      <x:c r="DH47" s="302" t="n"/>
      <x:c r="DI47" s="302" t="n"/>
      <x:c r="DJ47" s="302" t="n"/>
      <x:c r="DK47" s="302" t="n"/>
      <x:c r="DL47" s="302" t="n"/>
      <x:c r="DM47" s="302" t="n"/>
      <x:c r="DN47" s="302" t="n"/>
      <x:c r="DO47" s="302" t="n"/>
      <x:c r="DP47" s="302" t="n"/>
      <x:c r="DQ47" s="302" t="n"/>
      <x:c r="DR47" s="302" t="n"/>
      <x:c r="DS47" s="302" t="n"/>
      <x:c r="DT47" s="302" t="n"/>
      <x:c r="DU47" s="302" t="n"/>
      <x:c r="DV47" s="302" t="n"/>
      <x:c r="DW47" s="302" t="n"/>
      <x:c r="DX47" s="302" t="n"/>
      <x:c r="DY47" s="302" t="n"/>
      <x:c r="DZ47" s="302" t="n"/>
      <x:c r="EA47" s="302" t="n"/>
      <x:c r="EB47" s="302" t="n"/>
      <x:c r="EC47" s="302" t="n"/>
      <x:c r="ED47" s="302" t="n"/>
      <x:c r="EE47" s="302" t="n"/>
      <x:c r="EF47" s="302" t="n"/>
      <x:c r="EG47" s="302" t="n"/>
      <x:c r="EH47" s="302" t="n"/>
      <x:c r="EI47" s="302" t="n"/>
      <x:c r="EJ47" s="302" t="n"/>
      <x:c r="EK47" s="302" t="n"/>
      <x:c r="EL47" s="302" t="n"/>
      <x:c r="EM47" s="302" t="n"/>
      <x:c r="EN47" s="302" t="n"/>
      <x:c r="EO47" s="302" t="n"/>
      <x:c r="EP47" s="302" t="n"/>
      <x:c r="EQ47" s="302" t="n"/>
      <x:c r="ER47" s="302" t="n"/>
      <x:c r="ES47" s="302" t="n"/>
      <x:c r="ET47" s="302" t="n"/>
      <x:c r="EU47" s="302" t="n"/>
      <x:c r="EV47" s="302" t="n"/>
      <x:c r="EW47" s="302" t="n"/>
      <x:c r="EX47" s="302" t="n"/>
      <x:c r="EY47" s="302" t="n"/>
    </x:row>
    <x:row r="48" s="27" customFormat="1">
      <x:c r="A48" s="125" t="n"/>
      <x:c r="B48" s="39" t="n"/>
      <x:c r="C48" s="36" t="n">
        <x:f>E48*D$5</x:f>
        <x:v>0</x:v>
      </x:c>
      <x:c r="D48" s="103" t="inlineStr">
        <x:is>
          <x:t xml:space="preserve">Clarence Bain</x:t>
        </x:is>
      </x:c>
      <x:c r="E48" s="36" t="n">
        <x:f>SUM(G48:HS48)</x:f>
        <x:v>0</x:v>
      </x:c>
      <x:c r="F48" s="126" t="inlineStr">
        <x:is>
          <x:t xml:space="preserve"/>
        </x:is>
      </x:c>
      <x:c r="G48" s="297" t="n"/>
      <x:c r="H48" s="297" t="n"/>
      <x:c r="I48" s="297" t="n"/>
      <x:c r="J48" s="297" t="n"/>
      <x:c r="K48" s="297" t="n"/>
      <x:c r="L48" s="297" t="n"/>
      <x:c r="M48" s="297" t="n"/>
      <x:c r="N48" s="297" t="n"/>
      <x:c r="O48" s="297" t="n"/>
      <x:c r="P48" s="124" t="n"/>
      <x:c r="Q48" s="297" t="n"/>
      <x:c r="R48" s="297" t="n"/>
      <x:c r="S48" s="297" t="n"/>
      <x:c r="T48" s="297" t="n"/>
      <x:c r="U48" s="297" t="n"/>
      <x:c r="V48" s="297" t="n"/>
      <x:c r="W48" s="297" t="n"/>
      <x:c r="X48" s="297" t="n"/>
      <x:c r="Y48" s="123" t="n"/>
      <x:c r="Z48" s="123" t="n"/>
      <x:c r="AA48" s="123" t="n"/>
      <x:c r="AB48" s="123" t="n"/>
      <x:c r="AC48" s="123" t="n"/>
      <x:c r="AD48" s="123" t="n"/>
      <x:c r="AE48" s="123" t="n"/>
      <x:c r="AF48" s="297" t="n"/>
      <x:c r="AG48" s="123" t="n"/>
      <x:c r="AH48" s="301" t="n"/>
      <x:c r="AI48" s="124" t="n"/>
      <x:c r="AJ48" s="297" t="n"/>
      <x:c r="AK48" s="297" t="n"/>
      <x:c r="AL48" s="297" t="n"/>
      <x:c r="AM48" s="297" t="n"/>
      <x:c r="AN48" s="297" t="n"/>
      <x:c r="AO48" s="297" t="n"/>
      <x:c r="AP48" s="297" t="n"/>
      <x:c r="AQ48" s="297" t="n"/>
      <x:c r="AR48" s="299" t="n"/>
      <x:c r="AS48" s="299" t="n"/>
      <x:c r="AT48" s="302" t="n"/>
      <x:c r="AU48" s="302" t="n"/>
      <x:c r="AV48" s="302" t="n"/>
      <x:c r="AW48" s="302" t="n"/>
      <x:c r="AX48" s="302" t="n"/>
      <x:c r="AY48" s="302" t="n"/>
      <x:c r="AZ48" s="302" t="n"/>
      <x:c r="BA48" s="302" t="n"/>
      <x:c r="BB48" s="302" t="n"/>
      <x:c r="BC48" s="302" t="n"/>
      <x:c r="BD48" s="302" t="n"/>
      <x:c r="BE48" s="302" t="n"/>
      <x:c r="BF48" s="302" t="n"/>
      <x:c r="BG48" s="302" t="n"/>
      <x:c r="BH48" s="302" t="n"/>
      <x:c r="BI48" s="302" t="n"/>
      <x:c r="BJ48" s="302" t="n"/>
      <x:c r="BK48" s="302" t="n"/>
      <x:c r="BL48" s="302" t="n"/>
      <x:c r="BM48" s="302" t="n"/>
      <x:c r="BN48" s="302" t="n"/>
      <x:c r="BO48" s="302" t="n"/>
      <x:c r="BP48" s="302" t="n"/>
      <x:c r="BQ48" s="302" t="n"/>
      <x:c r="BR48" s="302" t="n"/>
      <x:c r="BS48" s="302" t="n"/>
      <x:c r="BT48" s="302" t="n"/>
      <x:c r="BU48" s="302" t="n"/>
      <x:c r="BV48" s="302" t="n"/>
      <x:c r="BW48" s="302" t="n"/>
      <x:c r="BX48" s="302" t="n"/>
      <x:c r="BY48" s="302" t="n"/>
      <x:c r="BZ48" s="302" t="n"/>
      <x:c r="CA48" s="302" t="n"/>
      <x:c r="CB48" s="302" t="n"/>
      <x:c r="CC48" s="302" t="n"/>
      <x:c r="CD48" s="302" t="n"/>
      <x:c r="CE48" s="302" t="n"/>
      <x:c r="CF48" s="302" t="n"/>
      <x:c r="CG48" s="302" t="n"/>
      <x:c r="CH48" s="302" t="n"/>
      <x:c r="CI48" s="302" t="n"/>
      <x:c r="CJ48" s="302" t="n"/>
      <x:c r="CK48" s="302" t="n"/>
      <x:c r="CL48" s="302" t="n"/>
      <x:c r="CM48" s="302" t="n"/>
      <x:c r="CN48" s="302" t="n"/>
      <x:c r="CO48" s="302" t="n"/>
      <x:c r="CP48" s="302" t="n"/>
      <x:c r="CQ48" s="302" t="n"/>
      <x:c r="CR48" s="302" t="n"/>
      <x:c r="CS48" s="302" t="n"/>
      <x:c r="CT48" s="302" t="n"/>
      <x:c r="CU48" s="302" t="n"/>
      <x:c r="CV48" s="302" t="n"/>
      <x:c r="CW48" s="302" t="n"/>
      <x:c r="CX48" s="302" t="n"/>
      <x:c r="CY48" s="302" t="n"/>
      <x:c r="CZ48" s="302" t="n"/>
      <x:c r="DA48" s="302" t="n"/>
      <x:c r="DB48" s="302" t="n"/>
      <x:c r="DC48" s="302" t="n"/>
      <x:c r="DD48" s="302" t="n"/>
      <x:c r="DE48" s="302" t="n"/>
      <x:c r="DF48" s="302" t="n"/>
      <x:c r="DG48" s="302" t="n"/>
      <x:c r="DH48" s="302" t="n"/>
      <x:c r="DI48" s="302" t="n"/>
      <x:c r="DJ48" s="302" t="n"/>
      <x:c r="DK48" s="302" t="n"/>
      <x:c r="DL48" s="302" t="n"/>
      <x:c r="DM48" s="302" t="n"/>
      <x:c r="DN48" s="302" t="n"/>
      <x:c r="DO48" s="302" t="n"/>
      <x:c r="DP48" s="302" t="n"/>
      <x:c r="DQ48" s="302" t="n"/>
      <x:c r="DR48" s="302" t="n"/>
      <x:c r="DS48" s="302" t="n"/>
      <x:c r="DT48" s="302" t="n"/>
      <x:c r="DU48" s="302" t="n"/>
      <x:c r="DV48" s="302" t="n"/>
      <x:c r="DW48" s="302" t="n"/>
      <x:c r="DX48" s="302" t="n"/>
      <x:c r="DY48" s="302" t="n"/>
      <x:c r="DZ48" s="302" t="n"/>
      <x:c r="EA48" s="302" t="n"/>
      <x:c r="EB48" s="302" t="n"/>
      <x:c r="EC48" s="302" t="n"/>
      <x:c r="ED48" s="302" t="n"/>
      <x:c r="EE48" s="302" t="n"/>
      <x:c r="EF48" s="302" t="n"/>
      <x:c r="EG48" s="302" t="n"/>
      <x:c r="EH48" s="302" t="n"/>
      <x:c r="EI48" s="302" t="n"/>
      <x:c r="EJ48" s="302" t="n"/>
      <x:c r="EK48" s="302" t="n"/>
      <x:c r="EL48" s="302" t="n"/>
      <x:c r="EM48" s="302" t="n"/>
      <x:c r="EN48" s="302" t="n"/>
      <x:c r="EO48" s="302" t="n"/>
      <x:c r="EP48" s="302" t="n"/>
      <x:c r="EQ48" s="302" t="n"/>
      <x:c r="ER48" s="302" t="n"/>
      <x:c r="ES48" s="302" t="n"/>
      <x:c r="ET48" s="302" t="n"/>
      <x:c r="EU48" s="302" t="n"/>
      <x:c r="EV48" s="302" t="n"/>
      <x:c r="EW48" s="302" t="n"/>
      <x:c r="EX48" s="302" t="n"/>
      <x:c r="EY48" s="302" t="n"/>
    </x:row>
    <x:row r="49" s="27" customFormat="1">
      <x:c r="A49" s="125" t="n"/>
      <x:c r="B49" s="39" t="n"/>
      <x:c r="C49" s="86" t="n">
        <x:f>E49*D$5</x:f>
        <x:v>1.168590522445525</x:v>
      </x:c>
      <x:c r="D49" s="523" t="inlineStr">
        <x:is>
          <x:t xml:space="preserve">Carl Leon Bain</x:t>
        </x:is>
      </x:c>
      <x:c r="E49" s="36" t="n">
        <x:f>SUM(G49:HS49)</x:f>
        <x:v>0.007303690765284532</x:v>
      </x:c>
      <x:c r="F49" s="126" t="inlineStr">
        <x:is>
          <x:t xml:space="preserve"/>
        </x:is>
      </x:c>
      <x:c r="G49" s="297" t="n"/>
      <x:c r="H49" s="297" t="n"/>
      <x:c r="I49" s="297" t="n"/>
      <x:c r="J49" s="297" t="n"/>
      <x:c r="K49" s="297" t="n"/>
      <x:c r="L49" s="297" t="n"/>
      <x:c r="M49" s="297" t="n"/>
      <x:c r="N49" s="297" t="n"/>
      <x:c r="O49" s="297" t="n"/>
      <x:c r="P49" s="124" t="n"/>
      <x:c r="Q49" s="297" t="n"/>
      <x:c r="R49" s="297" t="n"/>
      <x:c r="S49" s="297" t="n"/>
      <x:c r="T49" s="297" t="n"/>
      <x:c r="U49" s="297" t="n"/>
      <x:c r="V49" s="297" t="n"/>
      <x:c r="W49" s="297" t="n"/>
      <x:c r="X49" s="297" t="n"/>
      <x:c r="Y49" s="123" t="n"/>
      <x:c r="Z49" s="123" t="n"/>
      <x:c r="AA49" s="123" t="n"/>
      <x:c r="AB49" s="123" t="n"/>
      <x:c r="AC49" s="123" t="n"/>
      <x:c r="AD49" s="123" t="n"/>
      <x:c r="AE49" s="123" t="n"/>
      <x:c r="AF49" s="297" t="n"/>
      <x:c r="AG49" s="123" t="n"/>
      <x:c r="AH49" s="301" t="n"/>
      <x:c r="AI49" s="123" t="n"/>
      <x:c r="AJ49" s="297" t="n"/>
      <x:c r="AK49" s="297" t="n"/>
      <x:c r="AL49" s="297" t="n"/>
      <x:c r="AM49" s="297" t="n"/>
      <x:c r="AN49" s="297" t="n"/>
      <x:c r="AO49" s="297" t="n"/>
      <x:c r="AP49" s="297" t="n"/>
      <x:c r="AQ49" s="297" t="n"/>
      <x:c r="AR49" s="299" t="n"/>
      <x:c r="AS49" s="299" t="n"/>
      <x:c r="AT49" s="302" t="n"/>
      <x:c r="AU49" s="302" t="n"/>
      <x:c r="AV49" s="302" t="n"/>
      <x:c r="AW49" s="302" t="n"/>
      <x:c r="AX49" s="302" t="n"/>
      <x:c r="AY49" s="302" t="n"/>
      <x:c r="AZ49" s="302" t="n"/>
      <x:c r="BA49" s="302" t="n"/>
      <x:c r="BB49" s="302" t="n"/>
      <x:c r="BC49" s="302" t="n"/>
      <x:c r="BD49" s="302" t="n"/>
      <x:c r="BE49" s="302" t="n">
        <x:v>0.0549568094810921</x:v>
      </x:c>
      <x:c r="BF49" s="302" t="n"/>
      <x:c r="BG49" s="302" t="n"/>
      <x:c r="BH49" s="302" t="n"/>
      <x:c r="BI49" s="302" t="n"/>
      <x:c r="BJ49" s="302" t="n"/>
      <x:c r="BK49" s="302" t="n"/>
      <x:c r="BL49" s="302" t="n"/>
      <x:c r="BM49" s="302" t="n"/>
      <x:c r="BN49" s="302" t="n"/>
      <x:c r="BO49" s="302" t="n"/>
      <x:c r="BP49" s="302" t="n"/>
      <x:c r="BQ49" s="302" t="n"/>
      <x:c r="BR49" s="302" t="n"/>
      <x:c r="BS49" s="302" t="n"/>
      <x:c r="BT49" s="302" t="n"/>
      <x:c r="BU49" s="302" t="n"/>
      <x:c r="BV49" s="302" t="n"/>
      <x:c r="BW49" s="302" t="n">
        <x:v>0.004211568347505275</x:v>
      </x:c>
      <x:c r="BX49" s="302" t="n"/>
      <x:c r="BY49" s="302" t="n"/>
      <x:c r="BZ49" s="302" t="n"/>
      <x:c r="CA49" s="302" t="n"/>
      <x:c r="CB49" s="302" t="n"/>
      <x:c r="CC49" s="302" t="n"/>
      <x:c r="CD49" s="302" t="n"/>
      <x:c r="CE49" s="302" t="n"/>
      <x:c r="CF49" s="302" t="n"/>
      <x:c r="CG49" s="302" t="n"/>
      <x:c r="CH49" s="302" t="n">
        <x:v>0.00610631293668743</x:v>
      </x:c>
      <x:c r="CI49" s="302" t="n"/>
      <x:c r="CJ49" s="302" t="n"/>
      <x:c r="CK49" s="302" t="n"/>
      <x:c r="CL49" s="302" t="n"/>
      <x:c r="CM49" s="302" t="n"/>
      <x:c r="CN49" s="302" t="n"/>
      <x:c r="CO49" s="302" t="n"/>
      <x:c r="CP49" s="302" t="n"/>
      <x:c r="CQ49" s="302" t="n"/>
      <x:c r="CR49" s="302" t="n"/>
      <x:c r="CS49" s="302" t="n"/>
      <x:c r="CT49" s="302" t="n"/>
      <x:c r="CU49" s="302" t="n"/>
      <x:c r="CV49" s="302" t="n"/>
      <x:c r="CW49" s="302" t="n"/>
      <x:c r="CX49" s="302" t="n"/>
      <x:c r="CY49" s="302" t="n"/>
      <x:c r="CZ49" s="302" t="n"/>
      <x:c r="DA49" s="302" t="n"/>
      <x:c r="DB49" s="302" t="n"/>
      <x:c r="DC49" s="302" t="n"/>
      <x:c r="DD49" s="302" t="n"/>
      <x:c r="DE49" s="302" t="n"/>
      <x:c r="DF49" s="302" t="n"/>
      <x:c r="DG49" s="302" t="n"/>
      <x:c r="DH49" s="302" t="n"/>
      <x:c r="DI49" s="302" t="n"/>
      <x:c r="DJ49" s="302" t="n"/>
      <x:c r="DK49" s="302" t="n"/>
      <x:c r="DL49" s="302" t="n"/>
      <x:c r="DM49" s="302" t="n"/>
      <x:c r="DN49" s="302" t="n"/>
      <x:c r="DO49" s="302" t="n"/>
      <x:c r="DP49" s="302" t="n"/>
      <x:c r="DQ49" s="302" t="n"/>
      <x:c r="DR49" s="302" t="n"/>
      <x:c r="DS49" s="302" t="n"/>
      <x:c r="DT49" s="302" t="n"/>
      <x:c r="DU49" s="302" t="n"/>
      <x:c r="DV49" s="302" t="n"/>
      <x:c r="DW49" s="302" t="n"/>
      <x:c r="DX49" s="302" t="n"/>
      <x:c r="DY49" s="302" t="n"/>
      <x:c r="DZ49" s="302" t="n"/>
      <x:c r="EA49" s="302" t="n"/>
      <x:c r="EB49" s="302" t="n"/>
      <x:c r="EC49" s="302" t="n">
        <x:f>-(EC119+EC120+EC121+EC122+EC123)*(0.0652746907652848/0.130549381530569)</x:f>
        <x:v>-0.05797100000000027</x:v>
      </x:c>
      <x:c r="ED49" s="302" t="n"/>
      <x:c r="EE49" s="302" t="n"/>
      <x:c r="EF49" s="302" t="n"/>
      <x:c r="EG49" s="302" t="n"/>
      <x:c r="EH49" s="302" t="n"/>
      <x:c r="EI49" s="302" t="n"/>
      <x:c r="EJ49" s="302" t="n"/>
      <x:c r="EK49" s="302" t="n"/>
      <x:c r="EL49" s="302" t="n"/>
      <x:c r="EM49" s="302" t="n"/>
      <x:c r="EN49" s="302" t="n"/>
      <x:c r="EO49" s="302" t="n"/>
      <x:c r="EP49" s="302" t="n"/>
      <x:c r="EQ49" s="302" t="n"/>
      <x:c r="ER49" s="302" t="n"/>
      <x:c r="ES49" s="302" t="n"/>
      <x:c r="ET49" s="302" t="n"/>
      <x:c r="EU49" s="302" t="n"/>
      <x:c r="EV49" s="302" t="n"/>
      <x:c r="EW49" s="302" t="n"/>
      <x:c r="EX49" s="302" t="n"/>
      <x:c r="EY49" s="302" t="n"/>
    </x:row>
    <x:row r="50" s="27" customFormat="1">
      <x:c r="A50" s="125" t="n"/>
      <x:c r="B50" s="39" t="n"/>
      <x:c r="C50" s="36" t="n">
        <x:f>E50*D$5</x:f>
        <x:v>0.7068702035452945</x:v>
      </x:c>
      <x:c r="D50" s="4" t="inlineStr">
        <x:is>
          <x:t xml:space="preserve">Crystal Pallo</x:t>
        </x:is>
      </x:c>
      <x:c r="E50" s="36" t="n">
        <x:f>SUM(G50:HS50)</x:f>
        <x:v>0.004417938772158091</x:v>
      </x:c>
      <x:c r="F50" s="126" t="inlineStr">
        <x:is>
          <x:t xml:space="preserve"/>
        </x:is>
      </x:c>
      <x:c r="G50" s="297" t="n"/>
      <x:c r="H50" s="297" t="n"/>
      <x:c r="I50" s="297" t="n"/>
      <x:c r="J50" s="297" t="n"/>
      <x:c r="K50" s="297" t="n"/>
      <x:c r="L50" s="297" t="n"/>
      <x:c r="M50" s="297" t="n"/>
      <x:c r="N50" s="297" t="n"/>
      <x:c r="O50" s="297" t="n"/>
      <x:c r="P50" s="123" t="n"/>
      <x:c r="Q50" s="297" t="n"/>
      <x:c r="R50" s="297" t="n"/>
      <x:c r="S50" s="297" t="n"/>
      <x:c r="T50" s="297" t="n"/>
      <x:c r="U50" s="297" t="n"/>
      <x:c r="V50" s="297" t="n">
        <x:f>-40/791.47</x:f>
        <x:v>-0.05053887070893401</x:v>
      </x:c>
      <x:c r="W50" s="297" t="n"/>
      <x:c r="X50" s="297" t="n"/>
      <x:c r="Y50" s="123" t="n"/>
      <x:c r="Z50" s="123" t="n"/>
      <x:c r="AA50" s="123" t="n"/>
      <x:c r="AB50" s="123" t="n"/>
      <x:c r="AC50" s="123" t="n"/>
      <x:c r="AD50" s="123" t="n"/>
      <x:c r="AE50" s="123" t="n"/>
      <x:c r="AF50" s="297" t="n"/>
      <x:c r="AG50" s="123" t="n"/>
      <x:c r="AH50" s="301" t="n"/>
      <x:c r="AI50" s="123" t="n"/>
      <x:c r="AJ50" s="297" t="n"/>
      <x:c r="AK50" s="297" t="n"/>
      <x:c r="AL50" s="297" t="n"/>
      <x:c r="AM50" s="297" t="n"/>
      <x:c r="AN50" s="297" t="n"/>
      <x:c r="AO50" s="297" t="n"/>
      <x:c r="AP50" s="297" t="n"/>
      <x:c r="AQ50" s="297" t="n"/>
      <x:c r="AR50" s="299" t="n"/>
      <x:c r="AS50" s="299" t="n"/>
      <x:c r="AT50" s="302" t="n"/>
      <x:c r="AU50" s="302" t="n"/>
      <x:c r="AV50" s="302" t="n"/>
      <x:c r="AW50" s="302" t="n"/>
      <x:c r="AX50" s="302" t="n"/>
      <x:c r="AY50" s="302" t="n"/>
      <x:c r="AZ50" s="302" t="n"/>
      <x:c r="BA50" s="302" t="n"/>
      <x:c r="BB50" s="302" t="n"/>
      <x:c r="BC50" s="302" t="n"/>
      <x:c r="BD50" s="302" t="n"/>
      <x:c r="BE50" s="302" t="n"/>
      <x:c r="BF50" s="302" t="n"/>
      <x:c r="BG50" s="302" t="n"/>
      <x:c r="BH50" s="302" t="n"/>
      <x:c r="BI50" s="302" t="n"/>
      <x:c r="BJ50" s="302" t="n"/>
      <x:c r="BK50" s="302" t="n">
        <x:v>0.0549568094810921</x:v>
      </x:c>
      <x:c r="BL50" s="302" t="n"/>
      <x:c r="BM50" s="302" t="n"/>
      <x:c r="BN50" s="302" t="n"/>
      <x:c r="BO50" s="302" t="n"/>
      <x:c r="BP50" s="302" t="n"/>
      <x:c r="BQ50" s="302" t="n"/>
      <x:c r="BR50" s="302" t="n"/>
      <x:c r="BS50" s="302" t="n"/>
      <x:c r="BT50" s="302" t="n"/>
      <x:c r="BU50" s="302" t="n"/>
      <x:c r="BV50" s="302" t="n"/>
      <x:c r="BW50" s="302" t="n"/>
      <x:c r="BX50" s="302" t="n"/>
      <x:c r="BY50" s="302" t="n"/>
      <x:c r="BZ50" s="302" t="n"/>
      <x:c r="CA50" s="302" t="n"/>
      <x:c r="CB50" s="302" t="n"/>
      <x:c r="CC50" s="302" t="n"/>
      <x:c r="CD50" s="302" t="n"/>
      <x:c r="CE50" s="302" t="n"/>
      <x:c r="CF50" s="302" t="n"/>
      <x:c r="CG50" s="302" t="n"/>
      <x:c r="CH50" s="302" t="n"/>
      <x:c r="CI50" s="302" t="n"/>
      <x:c r="CJ50" s="302" t="n"/>
      <x:c r="CK50" s="302" t="n"/>
      <x:c r="CL50" s="302" t="n"/>
      <x:c r="CM50" s="302" t="n"/>
      <x:c r="CN50" s="302" t="n"/>
      <x:c r="CO50" s="302" t="n"/>
      <x:c r="CP50" s="302" t="n"/>
      <x:c r="CQ50" s="302" t="n"/>
      <x:c r="CR50" s="302" t="n"/>
      <x:c r="CS50" s="302" t="n"/>
      <x:c r="CT50" s="302" t="n"/>
      <x:c r="CU50" s="302" t="n"/>
      <x:c r="CV50" s="302" t="n"/>
      <x:c r="CW50" s="302" t="n"/>
      <x:c r="CX50" s="302" t="n"/>
      <x:c r="CY50" s="302" t="n"/>
      <x:c r="CZ50" s="302" t="n"/>
      <x:c r="DA50" s="302" t="n"/>
      <x:c r="DB50" s="302" t="n"/>
      <x:c r="DC50" s="302" t="n"/>
      <x:c r="DD50" s="302" t="n"/>
      <x:c r="DE50" s="302" t="n"/>
      <x:c r="DF50" s="302" t="n"/>
      <x:c r="DG50" s="302" t="n"/>
      <x:c r="DH50" s="302" t="n"/>
      <x:c r="DI50" s="302" t="n"/>
      <x:c r="DJ50" s="302" t="n"/>
      <x:c r="DK50" s="302" t="n"/>
      <x:c r="DL50" s="302" t="n"/>
      <x:c r="DM50" s="302" t="n"/>
      <x:c r="DN50" s="302" t="n"/>
      <x:c r="DO50" s="302" t="n"/>
      <x:c r="DP50" s="302" t="n"/>
      <x:c r="DQ50" s="302" t="n"/>
      <x:c r="DR50" s="302" t="n"/>
      <x:c r="DS50" s="302" t="n"/>
      <x:c r="DT50" s="302" t="n"/>
      <x:c r="DU50" s="302" t="n"/>
      <x:c r="DV50" s="302" t="n"/>
      <x:c r="DW50" s="302" t="n"/>
      <x:c r="DX50" s="302" t="n"/>
      <x:c r="DY50" s="302" t="n"/>
      <x:c r="DZ50" s="302" t="n"/>
      <x:c r="EA50" s="302" t="n"/>
      <x:c r="EB50" s="302" t="n"/>
      <x:c r="EC50" s="302" t="n"/>
      <x:c r="ED50" s="302" t="n"/>
      <x:c r="EE50" s="302" t="n"/>
      <x:c r="EF50" s="302" t="n"/>
      <x:c r="EG50" s="302" t="n"/>
      <x:c r="EH50" s="302" t="n"/>
      <x:c r="EI50" s="302" t="n"/>
      <x:c r="EJ50" s="302" t="n"/>
      <x:c r="EK50" s="302" t="n"/>
      <x:c r="EL50" s="302" t="n"/>
      <x:c r="EM50" s="302" t="n"/>
      <x:c r="EN50" s="302" t="n"/>
      <x:c r="EO50" s="302" t="n"/>
      <x:c r="EP50" s="302" t="n"/>
      <x:c r="EQ50" s="302" t="n"/>
      <x:c r="ER50" s="302" t="n"/>
      <x:c r="ES50" s="302" t="n"/>
      <x:c r="ET50" s="302" t="n"/>
      <x:c r="EU50" s="302" t="n"/>
      <x:c r="EV50" s="302" t="n"/>
      <x:c r="EW50" s="302" t="n"/>
      <x:c r="EX50" s="302" t="n"/>
      <x:c r="EY50" s="302" t="n"/>
    </x:row>
    <x:row r="51" s="27" customFormat="1">
      <x:c r="A51" s="125" t="n"/>
      <x:c r="B51" s="39" t="n"/>
      <x:c r="C51" s="36" t="n">
        <x:f>E51*D$5</x:f>
        <x:v>0</x:v>
      </x:c>
      <x:c r="D51" s="103" t="inlineStr">
        <x:is>
          <x:t xml:space="preserve">Eula M. Bain, Deceased</x:t>
        </x:is>
      </x:c>
      <x:c r="E51" s="36" t="n">
        <x:f>SUM(G51:HS51)</x:f>
        <x:v>0</x:v>
      </x:c>
      <x:c r="F51" s="126" t="inlineStr">
        <x:is>
          <x:t xml:space="preserve"/>
        </x:is>
      </x:c>
      <x:c r="G51" s="297" t="n"/>
      <x:c r="H51" s="297" t="n"/>
      <x:c r="I51" s="297" t="n"/>
      <x:c r="J51" s="297" t="n"/>
      <x:c r="K51" s="297" t="n"/>
      <x:c r="L51" s="297" t="n"/>
      <x:c r="M51" s="297" t="n"/>
      <x:c r="N51" s="297" t="n"/>
      <x:c r="O51" s="297" t="n"/>
      <x:c r="P51" s="123" t="n"/>
      <x:c r="Q51" s="297" t="n"/>
      <x:c r="R51" s="297" t="n"/>
      <x:c r="S51" s="297" t="n"/>
      <x:c r="T51" s="297" t="n"/>
      <x:c r="U51" s="297" t="n"/>
      <x:c r="V51" s="297" t="n"/>
      <x:c r="W51" s="297" t="n"/>
      <x:c r="X51" s="297" t="n"/>
      <x:c r="Y51" s="123" t="n"/>
      <x:c r="Z51" s="123" t="n"/>
      <x:c r="AA51" s="123" t="n"/>
      <x:c r="AB51" s="123" t="n"/>
      <x:c r="AC51" s="123" t="n"/>
      <x:c r="AD51" s="123" t="n"/>
      <x:c r="AE51" s="123" t="n"/>
      <x:c r="AF51" s="297" t="n"/>
      <x:c r="AG51" s="123" t="n"/>
      <x:c r="AH51" s="297" t="n"/>
      <x:c r="AI51" s="123" t="n"/>
      <x:c r="AJ51" s="297" t="n"/>
      <x:c r="AK51" s="297" t="n"/>
      <x:c r="AL51" s="297" t="n"/>
      <x:c r="AM51" s="297" t="n"/>
      <x:c r="AN51" s="297" t="n"/>
      <x:c r="AO51" s="297" t="n"/>
      <x:c r="AP51" s="297" t="n"/>
      <x:c r="AQ51" s="297" t="n"/>
      <x:c r="AR51" s="299" t="n"/>
      <x:c r="AS51" s="299" t="n"/>
      <x:c r="AT51" s="302" t="n"/>
      <x:c r="AU51" s="302" t="n"/>
      <x:c r="AV51" s="302" t="n"/>
      <x:c r="AW51" s="302" t="n"/>
      <x:c r="AX51" s="302" t="n"/>
      <x:c r="AY51" s="302" t="n"/>
      <x:c r="AZ51" s="302" t="n"/>
      <x:c r="BA51" s="302" t="n"/>
      <x:c r="BB51" s="302" t="n"/>
      <x:c r="BC51" s="302" t="n"/>
      <x:c r="BD51" s="302" t="n"/>
      <x:c r="BE51" s="302" t="n"/>
      <x:c r="BF51" s="302" t="n"/>
      <x:c r="BG51" s="302" t="n"/>
      <x:c r="BH51" s="302" t="n"/>
      <x:c r="BI51" s="302" t="n"/>
      <x:c r="BJ51" s="302" t="n"/>
      <x:c r="BK51" s="302" t="n"/>
      <x:c r="BL51" s="302" t="n">
        <x:v>0</x:v>
      </x:c>
      <x:c r="BM51" s="302" t="n"/>
      <x:c r="BN51" s="302" t="n"/>
      <x:c r="BO51" s="302" t="n"/>
      <x:c r="BP51" s="302" t="n"/>
      <x:c r="BQ51" s="302" t="n"/>
      <x:c r="BR51" s="302" t="n"/>
      <x:c r="BS51" s="302" t="n"/>
      <x:c r="BT51" s="302" t="n"/>
      <x:c r="BU51" s="302" t="n"/>
      <x:c r="BV51" s="302" t="n"/>
      <x:c r="BW51" s="302" t="n"/>
      <x:c r="BX51" s="302" t="n"/>
      <x:c r="BY51" s="302" t="n"/>
      <x:c r="BZ51" s="302" t="n"/>
      <x:c r="CA51" s="302" t="n"/>
      <x:c r="CB51" s="302" t="n"/>
      <x:c r="CC51" s="302" t="n"/>
      <x:c r="CD51" s="302" t="n"/>
      <x:c r="CE51" s="302" t="n"/>
      <x:c r="CF51" s="302" t="n"/>
      <x:c r="CG51" s="302" t="n"/>
      <x:c r="CH51" s="302" t="n"/>
      <x:c r="CI51" s="302" t="n"/>
      <x:c r="CJ51" s="302" t="n"/>
      <x:c r="CK51" s="302" t="n"/>
      <x:c r="CL51" s="302" t="n"/>
      <x:c r="CM51" s="302" t="n"/>
      <x:c r="CN51" s="302" t="n"/>
      <x:c r="CO51" s="302" t="n"/>
      <x:c r="CP51" s="302" t="n"/>
      <x:c r="CQ51" s="302" t="n"/>
      <x:c r="CR51" s="302" t="n"/>
      <x:c r="CS51" s="302" t="n"/>
      <x:c r="CT51" s="302" t="n"/>
      <x:c r="CU51" s="302" t="n"/>
      <x:c r="CV51" s="302" t="n"/>
      <x:c r="CW51" s="302" t="n"/>
      <x:c r="CX51" s="302" t="n"/>
      <x:c r="CY51" s="302" t="n"/>
      <x:c r="CZ51" s="302" t="n"/>
      <x:c r="DA51" s="302" t="n"/>
      <x:c r="DB51" s="302" t="n"/>
      <x:c r="DC51" s="302" t="n"/>
      <x:c r="DD51" s="302" t="n"/>
      <x:c r="DE51" s="302" t="n"/>
      <x:c r="DF51" s="302" t="n"/>
      <x:c r="DG51" s="302" t="n"/>
      <x:c r="DH51" s="302" t="n"/>
      <x:c r="DI51" s="302" t="n"/>
      <x:c r="DJ51" s="302" t="n"/>
      <x:c r="DK51" s="302" t="n"/>
      <x:c r="DL51" s="302" t="n"/>
      <x:c r="DM51" s="302" t="n"/>
      <x:c r="DN51" s="302" t="n"/>
      <x:c r="DO51" s="302" t="n"/>
      <x:c r="DP51" s="302" t="n"/>
      <x:c r="DQ51" s="302" t="n"/>
      <x:c r="DR51" s="302" t="n"/>
      <x:c r="DS51" s="302" t="n"/>
      <x:c r="DT51" s="302" t="n"/>
      <x:c r="DU51" s="302" t="n"/>
      <x:c r="DV51" s="302" t="n"/>
      <x:c r="DW51" s="302" t="n"/>
      <x:c r="DX51" s="302" t="n"/>
      <x:c r="DY51" s="302" t="n"/>
      <x:c r="DZ51" s="302" t="n"/>
      <x:c r="EA51" s="302" t="n"/>
      <x:c r="EB51" s="302" t="n"/>
      <x:c r="EC51" s="302" t="n"/>
      <x:c r="ED51" s="302" t="n"/>
      <x:c r="EE51" s="302" t="n"/>
      <x:c r="EF51" s="302" t="n"/>
      <x:c r="EG51" s="302" t="n"/>
      <x:c r="EH51" s="302" t="n"/>
      <x:c r="EI51" s="302" t="n"/>
      <x:c r="EJ51" s="302" t="n"/>
      <x:c r="EK51" s="302" t="n"/>
      <x:c r="EL51" s="302" t="n"/>
      <x:c r="EM51" s="302" t="n"/>
      <x:c r="EN51" s="302" t="n"/>
      <x:c r="EO51" s="302" t="n"/>
      <x:c r="EP51" s="302" t="n"/>
      <x:c r="EQ51" s="302" t="n"/>
      <x:c r="ER51" s="302" t="n"/>
      <x:c r="ES51" s="302" t="n"/>
      <x:c r="ET51" s="302" t="n"/>
      <x:c r="EU51" s="302" t="n"/>
      <x:c r="EV51" s="302" t="n"/>
      <x:c r="EW51" s="302" t="n"/>
      <x:c r="EX51" s="302" t="n"/>
      <x:c r="EY51" s="302" t="n"/>
    </x:row>
    <x:row r="52" s="27" customFormat="1">
      <x:c r="A52" s="38" t="n"/>
      <x:c r="B52" s="37" t="n"/>
      <x:c r="C52" s="86" t="n">
        <x:f>E52*D$5</x:f>
        <x:v>9.265084917937505</x:v>
      </x:c>
      <x:c r="D52" s="4" t="inlineStr">
        <x:is>
          <x:t xml:space="preserve">Hans W. Jensen</x:t>
        </x:is>
      </x:c>
      <x:c r="E52" s="86" t="n">
        <x:f>SUM(G52:HS52)</x:f>
        <x:v>0.05790678073710941</x:v>
      </x:c>
      <x:c r="F52" s="126" t="inlineStr">
        <x:is>
          <x:t xml:space="preserve"/>
        </x:is>
      </x:c>
      <x:c r="G52" s="299" t="n"/>
      <x:c r="H52" s="299" t="n"/>
      <x:c r="I52" s="299" t="n"/>
      <x:c r="J52" s="299" t="n"/>
      <x:c r="K52" s="299" t="n"/>
      <x:c r="L52" s="299" t="n"/>
      <x:c r="M52" s="299" t="n"/>
      <x:c r="N52" s="299" t="n"/>
      <x:c r="O52" s="299" t="n"/>
      <x:c r="P52" s="100" t="n"/>
      <x:c r="Q52" s="299" t="n"/>
      <x:c r="R52" s="299" t="n"/>
      <x:c r="S52" s="299" t="n"/>
      <x:c r="T52" s="299" t="n"/>
      <x:c r="U52" s="299" t="n"/>
      <x:c r="V52" s="299" t="n"/>
      <x:c r="W52" s="302" t="n"/>
      <x:c r="X52" s="299" t="n"/>
      <x:c r="Y52" s="100" t="n"/>
      <x:c r="Z52" s="100" t="n"/>
      <x:c r="AA52" s="100" t="n"/>
      <x:c r="AB52" s="100" t="n"/>
      <x:c r="AC52" s="100" t="n"/>
      <x:c r="AD52" s="100" t="n"/>
      <x:c r="AE52" s="100" t="n"/>
      <x:c r="AF52" s="299" t="n"/>
      <x:c r="AG52" s="100" t="n"/>
      <x:c r="AH52" s="299" t="n"/>
      <x:c r="AI52" s="123" t="n"/>
      <x:c r="AJ52" s="302" t="n"/>
      <x:c r="AK52" s="299" t="n"/>
      <x:c r="AL52" s="299" t="n"/>
      <x:c r="AM52" s="299" t="n"/>
      <x:c r="AN52" s="299" t="n"/>
      <x:c r="AO52" s="299" t="n"/>
      <x:c r="AP52" s="299" t="n"/>
      <x:c r="AQ52" s="299" t="n"/>
      <x:c r="AR52" s="299" t="n"/>
      <x:c r="AS52" s="299" t="n"/>
      <x:c r="AT52" s="302" t="n"/>
      <x:c r="AU52" s="302" t="n"/>
      <x:c r="AV52" s="302" t="n"/>
      <x:c r="AW52" s="302" t="n"/>
      <x:c r="AX52" s="302" t="n"/>
      <x:c r="AY52" s="302" t="n"/>
      <x:c r="AZ52" s="302" t="n"/>
      <x:c r="BA52" s="302" t="n"/>
      <x:c r="BB52" s="302" t="n"/>
      <x:c r="BC52" s="302" t="n"/>
      <x:c r="BD52" s="302" t="n"/>
      <x:c r="BE52" s="302" t="n"/>
      <x:c r="BF52" s="302" t="n"/>
      <x:c r="BG52" s="302" t="n"/>
      <x:c r="BH52" s="302" t="n"/>
      <x:c r="BI52" s="302" t="n"/>
      <x:c r="BJ52" s="302" t="n"/>
      <x:c r="BK52" s="302" t="n"/>
      <x:c r="BL52" s="302" t="n"/>
      <x:c r="BM52" s="302" t="n">
        <x:v>0.0125</x:v>
      </x:c>
      <x:c r="BN52" s="302" t="n"/>
      <x:c r="BO52" s="302" t="n"/>
      <x:c r="BP52" s="302" t="n"/>
      <x:c r="BQ52" s="302" t="n"/>
      <x:c r="BR52" s="302" t="n"/>
      <x:c r="BS52" s="302" t="n"/>
      <x:c r="BT52" s="302" t="n"/>
      <x:c r="BU52" s="302" t="n"/>
      <x:c r="BV52" s="302" t="n"/>
      <x:c r="BW52" s="302" t="n"/>
      <x:c r="BX52" s="302" t="n"/>
      <x:c r="BY52" s="302" t="n"/>
      <x:c r="BZ52" s="302" t="n">
        <x:v>0.0125</x:v>
      </x:c>
      <x:c r="CA52" s="302" t="n"/>
      <x:c r="CB52" s="302" t="n"/>
      <x:c r="CC52" s="302" t="n"/>
      <x:c r="CD52" s="302" t="n"/>
      <x:c r="CE52" s="302" t="n"/>
      <x:c r="CF52" s="302" t="n"/>
      <x:c r="CG52" s="302" t="n"/>
      <x:c r="CH52" s="302" t="n"/>
      <x:c r="CI52" s="302" t="n"/>
      <x:c r="CJ52" s="302" t="n"/>
      <x:c r="CK52" s="302" t="n"/>
      <x:c r="CL52" s="302" t="n"/>
      <x:c r="CM52" s="302" t="n"/>
      <x:c r="CN52" s="302" t="n"/>
      <x:c r="CO52" s="302" t="n"/>
      <x:c r="CP52" s="302" t="n"/>
      <x:c r="CQ52" s="302" t="n"/>
      <x:c r="CR52" s="302" t="n"/>
      <x:c r="CS52" s="302" t="n"/>
      <x:c r="CT52" s="302" t="n"/>
      <x:c r="CU52" s="302" t="n"/>
      <x:c r="CV52" s="302" t="n"/>
      <x:c r="CW52" s="302" t="n"/>
      <x:c r="CX52" s="302" t="n"/>
      <x:c r="CY52" s="302" t="n"/>
      <x:c r="CZ52" s="302" t="n"/>
      <x:c r="DA52" s="302" t="n"/>
      <x:c r="DB52" s="302" t="n"/>
      <x:c r="DC52" s="302" t="n"/>
      <x:c r="DD52" s="302" t="n"/>
      <x:c r="DE52" s="302" t="n"/>
      <x:c r="DF52" s="302" t="n"/>
      <x:c r="DG52" s="302" t="n"/>
      <x:c r="DH52" s="302" t="n"/>
      <x:c r="DI52" s="302" t="n"/>
      <x:c r="DJ52" s="302" t="n"/>
      <x:c r="DK52" s="302" t="n"/>
      <x:c r="DL52" s="302" t="n"/>
      <x:c r="DM52" s="302" t="n"/>
      <x:c r="DN52" s="302" t="n"/>
      <x:c r="DO52" s="302" t="n"/>
      <x:c r="DP52" s="302" t="n"/>
      <x:c r="DQ52" s="302" t="n"/>
      <x:c r="DR52" s="302" t="n"/>
      <x:c r="DS52" s="302" t="n"/>
      <x:c r="DT52" s="302" t="n"/>
      <x:c r="DU52" s="302" t="n"/>
      <x:c r="DV52" s="302" t="n"/>
      <x:c r="DW52" s="302" t="n"/>
      <x:c r="DX52" s="302" t="n">
        <x:f>-DX20/2</x:f>
        <x:v>0.03290678073710941</x:v>
      </x:c>
      <x:c r="DY52" s="302" t="n"/>
      <x:c r="DZ52" s="302" t="n"/>
      <x:c r="EA52" s="302" t="n"/>
      <x:c r="EB52" s="302" t="n"/>
      <x:c r="EC52" s="302" t="n"/>
      <x:c r="ED52" s="302" t="n"/>
      <x:c r="EE52" s="302" t="n"/>
      <x:c r="EF52" s="302" t="n"/>
      <x:c r="EG52" s="302" t="n"/>
      <x:c r="EH52" s="302" t="n"/>
      <x:c r="EI52" s="302" t="n"/>
      <x:c r="EJ52" s="302" t="n"/>
      <x:c r="EK52" s="302" t="n"/>
      <x:c r="EL52" s="302" t="n"/>
      <x:c r="EM52" s="302" t="n"/>
      <x:c r="EN52" s="302" t="n"/>
      <x:c r="EO52" s="302" t="n"/>
      <x:c r="EP52" s="302" t="n"/>
      <x:c r="EQ52" s="302" t="n"/>
      <x:c r="ER52" s="302" t="n"/>
      <x:c r="ES52" s="302" t="n"/>
      <x:c r="ET52" s="302" t="n"/>
      <x:c r="EU52" s="302" t="n"/>
      <x:c r="EV52" s="302" t="n"/>
      <x:c r="EW52" s="302" t="n"/>
      <x:c r="EX52" s="302" t="n"/>
      <x:c r="EY52" s="302" t="n"/>
    </x:row>
    <x:row r="53" s="27" customFormat="1">
      <x:c r="A53" s="38" t="n"/>
      <x:c r="B53" s="37" t="n"/>
      <x:c r="C53" s="86" t="n">
        <x:f>E53*D$5</x:f>
        <x:v>7.265084917937505</x:v>
      </x:c>
      <x:c r="D53" s="4" t="inlineStr">
        <x:is>
          <x:t xml:space="preserve">Tim E. Jensen</x:t>
        </x:is>
      </x:c>
      <x:c r="E53" s="86" t="n">
        <x:f>SUM(G53:HS53)</x:f>
        <x:v>0.04540678073710941</x:v>
      </x:c>
      <x:c r="F53" s="126" t="inlineStr">
        <x:is>
          <x:t xml:space="preserve"/>
        </x:is>
      </x:c>
      <x:c r="G53" s="299" t="n"/>
      <x:c r="H53" s="299" t="n"/>
      <x:c r="I53" s="299" t="n"/>
      <x:c r="J53" s="299" t="n"/>
      <x:c r="K53" s="299" t="n"/>
      <x:c r="L53" s="299" t="n"/>
      <x:c r="M53" s="299" t="n"/>
      <x:c r="N53" s="299" t="n"/>
      <x:c r="O53" s="299" t="n"/>
      <x:c r="P53" s="100" t="n"/>
      <x:c r="Q53" s="299" t="n"/>
      <x:c r="R53" s="299" t="n"/>
      <x:c r="S53" s="299" t="n"/>
      <x:c r="T53" s="299" t="n"/>
      <x:c r="U53" s="299" t="n"/>
      <x:c r="V53" s="299" t="n"/>
      <x:c r="W53" s="299" t="n"/>
      <x:c r="X53" s="299" t="n"/>
      <x:c r="Y53" s="100" t="n"/>
      <x:c r="Z53" s="100" t="n"/>
      <x:c r="AA53" s="100" t="n"/>
      <x:c r="AB53" s="100" t="n"/>
      <x:c r="AC53" s="100" t="n"/>
      <x:c r="AD53" s="100" t="n"/>
      <x:c r="AE53" s="100" t="n"/>
      <x:c r="AF53" s="299" t="n"/>
      <x:c r="AG53" s="100" t="n"/>
      <x:c r="AH53" s="299" t="n"/>
      <x:c r="AI53" s="123" t="n"/>
      <x:c r="AJ53" s="299" t="n"/>
      <x:c r="AK53" s="299" t="n"/>
      <x:c r="AL53" s="299" t="n"/>
      <x:c r="AM53" s="299" t="n"/>
      <x:c r="AN53" s="299" t="n"/>
      <x:c r="AO53" s="299" t="n"/>
      <x:c r="AP53" s="299" t="n"/>
      <x:c r="AQ53" s="299" t="n"/>
      <x:c r="AR53" s="299" t="n"/>
      <x:c r="AS53" s="299" t="n"/>
      <x:c r="AT53" s="302" t="n"/>
      <x:c r="AU53" s="302" t="n"/>
      <x:c r="AV53" s="302" t="n"/>
      <x:c r="AW53" s="302" t="n"/>
      <x:c r="AX53" s="302" t="n"/>
      <x:c r="AY53" s="302" t="n"/>
      <x:c r="AZ53" s="302" t="n"/>
      <x:c r="BA53" s="302" t="n"/>
      <x:c r="BB53" s="302" t="n"/>
      <x:c r="BC53" s="302" t="n"/>
      <x:c r="BD53" s="302" t="n"/>
      <x:c r="BE53" s="302" t="n"/>
      <x:c r="BF53" s="302" t="n"/>
      <x:c r="BG53" s="302" t="n"/>
      <x:c r="BH53" s="302" t="n"/>
      <x:c r="BI53" s="302" t="n"/>
      <x:c r="BJ53" s="302" t="n"/>
      <x:c r="BK53" s="302" t="n"/>
      <x:c r="BL53" s="302" t="n"/>
      <x:c r="BM53" s="302" t="n"/>
      <x:c r="BN53" s="302" t="n">
        <x:v>0.0125</x:v>
      </x:c>
      <x:c r="BO53" s="302" t="n"/>
      <x:c r="BP53" s="302" t="n"/>
      <x:c r="BQ53" s="302" t="n"/>
      <x:c r="BR53" s="302" t="n"/>
      <x:c r="BS53" s="302" t="n"/>
      <x:c r="BT53" s="302" t="n"/>
      <x:c r="BU53" s="302" t="n"/>
      <x:c r="BV53" s="302" t="n"/>
      <x:c r="BW53" s="302" t="n"/>
      <x:c r="BX53" s="302" t="n"/>
      <x:c r="BY53" s="302" t="n"/>
      <x:c r="BZ53" s="302" t="n"/>
      <x:c r="CA53" s="302" t="n"/>
      <x:c r="CB53" s="302" t="n"/>
      <x:c r="CC53" s="302" t="n"/>
      <x:c r="CD53" s="302" t="n"/>
      <x:c r="CE53" s="302" t="n"/>
      <x:c r="CF53" s="302" t="n"/>
      <x:c r="CG53" s="302" t="n"/>
      <x:c r="CH53" s="302" t="n"/>
      <x:c r="CI53" s="302" t="n"/>
      <x:c r="CJ53" s="302" t="n"/>
      <x:c r="CK53" s="302" t="n"/>
      <x:c r="CL53" s="302" t="n"/>
      <x:c r="CM53" s="302" t="n"/>
      <x:c r="CN53" s="302" t="n"/>
      <x:c r="CO53" s="302" t="n"/>
      <x:c r="CP53" s="302" t="n"/>
      <x:c r="CQ53" s="302" t="n"/>
      <x:c r="CR53" s="302" t="n"/>
      <x:c r="CS53" s="302" t="n"/>
      <x:c r="CT53" s="302" t="n"/>
      <x:c r="CU53" s="302" t="n"/>
      <x:c r="CV53" s="302" t="n"/>
      <x:c r="CW53" s="302" t="n"/>
      <x:c r="CX53" s="302" t="n"/>
      <x:c r="CY53" s="302" t="n"/>
      <x:c r="CZ53" s="302" t="n"/>
      <x:c r="DA53" s="302" t="n"/>
      <x:c r="DB53" s="302" t="n"/>
      <x:c r="DC53" s="302" t="n"/>
      <x:c r="DD53" s="302" t="n"/>
      <x:c r="DE53" s="302" t="n"/>
      <x:c r="DF53" s="302" t="n"/>
      <x:c r="DG53" s="302" t="n"/>
      <x:c r="DH53" s="302" t="n"/>
      <x:c r="DI53" s="302" t="n"/>
      <x:c r="DJ53" s="302" t="n"/>
      <x:c r="DK53" s="302" t="n"/>
      <x:c r="DL53" s="302" t="n"/>
      <x:c r="DM53" s="302" t="n"/>
      <x:c r="DN53" s="302" t="n"/>
      <x:c r="DO53" s="302" t="n"/>
      <x:c r="DP53" s="302" t="n"/>
      <x:c r="DQ53" s="302" t="n"/>
      <x:c r="DR53" s="302" t="n"/>
      <x:c r="DS53" s="302" t="n"/>
      <x:c r="DT53" s="302" t="n"/>
      <x:c r="DU53" s="302" t="n"/>
      <x:c r="DV53" s="302" t="n"/>
      <x:c r="DW53" s="302" t="n"/>
      <x:c r="DX53" s="302" t="n">
        <x:f>-DX20/2</x:f>
        <x:v>0.03290678073710941</x:v>
      </x:c>
      <x:c r="DY53" s="302" t="n"/>
      <x:c r="DZ53" s="302" t="n"/>
      <x:c r="EA53" s="302" t="n"/>
      <x:c r="EB53" s="302" t="n"/>
      <x:c r="EC53" s="302" t="n"/>
      <x:c r="ED53" s="302" t="n"/>
      <x:c r="EE53" s="302" t="n"/>
      <x:c r="EF53" s="302" t="n"/>
      <x:c r="EG53" s="302" t="n"/>
      <x:c r="EH53" s="302" t="n"/>
      <x:c r="EI53" s="302" t="n"/>
      <x:c r="EJ53" s="302" t="n"/>
      <x:c r="EK53" s="302" t="n"/>
      <x:c r="EL53" s="302" t="n"/>
      <x:c r="EM53" s="302" t="n"/>
      <x:c r="EN53" s="302" t="n"/>
      <x:c r="EO53" s="302" t="n"/>
      <x:c r="EP53" s="302" t="n"/>
      <x:c r="EQ53" s="302" t="n"/>
      <x:c r="ER53" s="302" t="n"/>
      <x:c r="ES53" s="302" t="n"/>
      <x:c r="ET53" s="302" t="n"/>
      <x:c r="EU53" s="302" t="n"/>
      <x:c r="EV53" s="302" t="n"/>
      <x:c r="EW53" s="302" t="n"/>
      <x:c r="EX53" s="302" t="n"/>
      <x:c r="EY53" s="302" t="n"/>
    </x:row>
    <x:row r="54" s="27" customFormat="1">
      <x:c r="A54" s="38" t="n"/>
      <x:c r="B54" s="37" t="n"/>
      <x:c r="C54" s="36" t="n">
        <x:f>E54*D$5</x:f>
        <x:v>2.021560893021847</x:v>
      </x:c>
      <x:c r="D54" s="4" t="inlineStr">
        <x:is>
          <x:t xml:space="preserve">W. C. Bain Jr., Trustee</x:t>
        </x:is>
      </x:c>
      <x:c r="E54" s="36" t="n">
        <x:f>SUM(G54:HS54)</x:f>
        <x:v>0.012634755581386546</x:v>
      </x:c>
      <x:c r="F54" s="126" t="inlineStr">
        <x:is>
          <x:t xml:space="preserve"/>
        </x:is>
      </x:c>
      <x:c r="G54" s="299" t="n"/>
      <x:c r="H54" s="299" t="n"/>
      <x:c r="I54" s="299" t="n"/>
      <x:c r="J54" s="299" t="n"/>
      <x:c r="K54" s="299" t="n"/>
      <x:c r="L54" s="299" t="n"/>
      <x:c r="M54" s="299" t="n"/>
      <x:c r="N54" s="299" t="n"/>
      <x:c r="O54" s="299" t="n"/>
      <x:c r="P54" s="100" t="n"/>
      <x:c r="Q54" s="299" t="n"/>
      <x:c r="R54" s="299" t="n"/>
      <x:c r="S54" s="299" t="n"/>
      <x:c r="T54" s="299" t="n"/>
      <x:c r="U54" s="299" t="n"/>
      <x:c r="V54" s="299" t="n">
        <x:f>40/791.47</x:f>
        <x:v>0.05053887070893401</x:v>
      </x:c>
      <x:c r="W54" s="299" t="n"/>
      <x:c r="X54" s="299" t="n"/>
      <x:c r="Y54" s="100" t="n"/>
      <x:c r="Z54" s="100" t="n"/>
      <x:c r="AA54" s="100" t="n"/>
      <x:c r="AB54" s="100" t="n"/>
      <x:c r="AC54" s="100" t="n"/>
      <x:c r="AD54" s="100" t="n"/>
      <x:c r="AE54" s="100" t="n"/>
      <x:c r="AF54" s="299" t="n"/>
      <x:c r="AG54" s="100" t="n"/>
      <x:c r="AH54" s="299" t="n"/>
      <x:c r="AI54" s="123" t="n"/>
      <x:c r="AJ54" s="299" t="n"/>
      <x:c r="AK54" s="299" t="n"/>
      <x:c r="AL54" s="299" t="n"/>
      <x:c r="AM54" s="299" t="n"/>
      <x:c r="AN54" s="299" t="n"/>
      <x:c r="AO54" s="299" t="n"/>
      <x:c r="AP54" s="299" t="n"/>
      <x:c r="AQ54" s="299" t="n"/>
      <x:c r="AR54" s="299" t="n"/>
      <x:c r="AS54" s="299" t="n"/>
      <x:c r="AT54" s="302" t="n"/>
      <x:c r="AU54" s="302" t="n"/>
      <x:c r="AV54" s="302" t="n"/>
      <x:c r="AW54" s="302" t="n"/>
      <x:c r="AX54" s="302" t="n"/>
      <x:c r="AY54" s="302" t="n"/>
      <x:c r="AZ54" s="302" t="n"/>
      <x:c r="BA54" s="302" t="n"/>
      <x:c r="BB54" s="302" t="n"/>
      <x:c r="BC54" s="302" t="n"/>
      <x:c r="BD54" s="302" t="n"/>
      <x:c r="BE54" s="302" t="n"/>
      <x:c r="BF54" s="302" t="n"/>
      <x:c r="BG54" s="302" t="n"/>
      <x:c r="BH54" s="302" t="n"/>
      <x:c r="BI54" s="302" t="n"/>
      <x:c r="BJ54" s="302" t="n"/>
      <x:c r="BK54" s="302" t="n"/>
      <x:c r="BL54" s="302" t="n"/>
      <x:c r="BM54" s="302" t="n"/>
      <x:c r="BN54" s="302" t="n"/>
      <x:c r="BO54" s="302" t="n">
        <x:v>-0.004211568347505275</x:v>
      </x:c>
      <x:c r="BP54" s="302" t="n">
        <x:v>-0.004211568347505275</x:v>
      </x:c>
      <x:c r="BQ54" s="302" t="n">
        <x:v>-0.004211568347505275</x:v>
      </x:c>
      <x:c r="BR54" s="302" t="n">
        <x:v>-0.004211568347505275</x:v>
      </x:c>
      <x:c r="BS54" s="302" t="n">
        <x:v>-0.004211568347505275</x:v>
      </x:c>
      <x:c r="BT54" s="302" t="n">
        <x:v>-0.004211568347505275</x:v>
      </x:c>
      <x:c r="BU54" s="302" t="n">
        <x:v>-0.004211568347505275</x:v>
      </x:c>
      <x:c r="BV54" s="302" t="n">
        <x:v>-0.004211568347505275</x:v>
      </x:c>
      <x:c r="BW54" s="302" t="n">
        <x:v>-0.004211568347505275</x:v>
      </x:c>
      <x:c r="BX54" s="302" t="n"/>
      <x:c r="BY54" s="302" t="n"/>
      <x:c r="BZ54" s="302" t="n"/>
      <x:c r="CA54" s="302" t="n"/>
      <x:c r="CB54" s="302" t="n"/>
      <x:c r="CC54" s="302" t="n"/>
      <x:c r="CD54" s="302" t="n"/>
      <x:c r="CE54" s="302" t="n"/>
      <x:c r="CF54" s="302" t="n"/>
      <x:c r="CG54" s="302" t="n"/>
      <x:c r="CH54" s="302" t="n"/>
      <x:c r="CI54" s="302" t="n"/>
      <x:c r="CJ54" s="302" t="n"/>
      <x:c r="CK54" s="302" t="n"/>
      <x:c r="CL54" s="302" t="n"/>
      <x:c r="CM54" s="302" t="n"/>
      <x:c r="CN54" s="302" t="n"/>
      <x:c r="CO54" s="302" t="n"/>
      <x:c r="CP54" s="302" t="n"/>
      <x:c r="CQ54" s="302" t="n"/>
      <x:c r="CR54" s="302" t="n"/>
      <x:c r="CS54" s="302" t="n"/>
      <x:c r="CT54" s="302" t="n"/>
      <x:c r="CU54" s="302" t="n"/>
      <x:c r="CV54" s="302" t="n"/>
      <x:c r="CW54" s="302" t="n"/>
      <x:c r="CX54" s="302" t="n"/>
      <x:c r="CY54" s="302" t="n"/>
      <x:c r="CZ54" s="302" t="n"/>
      <x:c r="DA54" s="302" t="n"/>
      <x:c r="DB54" s="302" t="n"/>
      <x:c r="DC54" s="302" t="n"/>
      <x:c r="DD54" s="302" t="n"/>
      <x:c r="DE54" s="302" t="n"/>
      <x:c r="DF54" s="302" t="n"/>
      <x:c r="DG54" s="302" t="n"/>
      <x:c r="DH54" s="302" t="n"/>
      <x:c r="DI54" s="302" t="n"/>
      <x:c r="DJ54" s="302" t="n"/>
      <x:c r="DK54" s="302" t="n"/>
      <x:c r="DL54" s="302" t="n"/>
      <x:c r="DM54" s="302" t="n"/>
      <x:c r="DN54" s="302" t="n"/>
      <x:c r="DO54" s="302" t="n"/>
      <x:c r="DP54" s="302" t="n"/>
      <x:c r="DQ54" s="302" t="n"/>
      <x:c r="DR54" s="302" t="n"/>
      <x:c r="DS54" s="302" t="n"/>
      <x:c r="DT54" s="302" t="n"/>
      <x:c r="DU54" s="302" t="n"/>
      <x:c r="DV54" s="302" t="n"/>
      <x:c r="DW54" s="302" t="n"/>
      <x:c r="DX54" s="302" t="n"/>
      <x:c r="DY54" s="302" t="n"/>
      <x:c r="DZ54" s="302" t="n"/>
      <x:c r="EA54" s="302" t="n"/>
      <x:c r="EB54" s="302" t="n"/>
      <x:c r="EC54" s="302" t="n"/>
      <x:c r="ED54" s="302" t="n"/>
      <x:c r="EE54" s="302" t="n"/>
      <x:c r="EF54" s="302" t="n"/>
      <x:c r="EG54" s="302" t="n"/>
      <x:c r="EH54" s="302" t="n"/>
      <x:c r="EI54" s="302" t="n"/>
      <x:c r="EJ54" s="302" t="n"/>
      <x:c r="EK54" s="302" t="n"/>
      <x:c r="EL54" s="302" t="n"/>
      <x:c r="EM54" s="302" t="n"/>
      <x:c r="EN54" s="302" t="n"/>
      <x:c r="EO54" s="302" t="n"/>
      <x:c r="EP54" s="302" t="n"/>
      <x:c r="EQ54" s="302" t="n"/>
      <x:c r="ER54" s="302" t="n"/>
      <x:c r="ES54" s="302" t="n"/>
      <x:c r="ET54" s="302" t="n"/>
      <x:c r="EU54" s="302" t="n"/>
      <x:c r="EV54" s="302" t="n"/>
      <x:c r="EW54" s="302" t="n"/>
      <x:c r="EX54" s="302" t="n"/>
      <x:c r="EY54" s="302" t="n"/>
    </x:row>
    <x:row r="55" s="27" customFormat="1">
      <x:c r="A55" s="38" t="n"/>
      <x:c r="B55" s="37" t="n"/>
      <x:c r="C55" s="36" t="n">
        <x:f>E55*D$5</x:f>
        <x:v>0</x:v>
      </x:c>
      <x:c r="D55" s="103" t="inlineStr">
        <x:is>
          <x:t xml:space="preserve">The Estate of Evan K. Fuchs, Deceased</x:t>
        </x:is>
      </x:c>
      <x:c r="E55" s="36" t="n">
        <x:f>SUM(G55:HS55)</x:f>
        <x:v>0</x:v>
      </x:c>
      <x:c r="F55" s="126" t="inlineStr">
        <x:is>
          <x:t xml:space="preserve"/>
        </x:is>
      </x:c>
      <x:c r="G55" s="299" t="n"/>
      <x:c r="H55" s="299" t="n"/>
      <x:c r="I55" s="299" t="n"/>
      <x:c r="J55" s="299" t="n"/>
      <x:c r="K55" s="299" t="n"/>
      <x:c r="L55" s="299" t="n"/>
      <x:c r="M55" s="299" t="n"/>
      <x:c r="N55" s="299" t="n"/>
      <x:c r="O55" s="299" t="n"/>
      <x:c r="P55" s="100" t="n"/>
      <x:c r="Q55" s="299" t="n"/>
      <x:c r="R55" s="299" t="n"/>
      <x:c r="S55" s="299" t="n"/>
      <x:c r="T55" s="299" t="n"/>
      <x:c r="U55" s="299" t="n"/>
      <x:c r="V55" s="299" t="n"/>
      <x:c r="W55" s="299" t="n"/>
      <x:c r="X55" s="299" t="n"/>
      <x:c r="Y55" s="100" t="n"/>
      <x:c r="Z55" s="100" t="n"/>
      <x:c r="AA55" s="100" t="n"/>
      <x:c r="AB55" s="100" t="n"/>
      <x:c r="AC55" s="100" t="n"/>
      <x:c r="AD55" s="100" t="n"/>
      <x:c r="AE55" s="100" t="n"/>
      <x:c r="AF55" s="299" t="n"/>
      <x:c r="AG55" s="100" t="n"/>
      <x:c r="AH55" s="299" t="n"/>
      <x:c r="AI55" s="124" t="n"/>
      <x:c r="AJ55" s="299" t="n"/>
      <x:c r="AK55" s="299" t="n"/>
      <x:c r="AL55" s="299" t="n"/>
      <x:c r="AM55" s="299" t="n"/>
      <x:c r="AN55" s="299" t="n"/>
      <x:c r="AO55" s="299" t="n"/>
      <x:c r="AP55" s="299" t="n"/>
      <x:c r="AQ55" s="299" t="n"/>
      <x:c r="AR55" s="299" t="n"/>
      <x:c r="AS55" s="299" t="n"/>
      <x:c r="AT55" s="302" t="n"/>
      <x:c r="AU55" s="302" t="n"/>
      <x:c r="AV55" s="302" t="n"/>
      <x:c r="AW55" s="302" t="n"/>
      <x:c r="AX55" s="302" t="n"/>
      <x:c r="AY55" s="302" t="n"/>
      <x:c r="AZ55" s="302" t="n"/>
      <x:c r="BA55" s="302" t="n"/>
      <x:c r="BB55" s="302" t="n"/>
      <x:c r="BC55" s="302" t="n"/>
      <x:c r="BD55" s="302" t="n"/>
      <x:c r="BE55" s="302" t="n"/>
      <x:c r="BF55" s="302" t="n"/>
      <x:c r="BG55" s="302" t="n"/>
      <x:c r="BH55" s="302" t="n"/>
      <x:c r="BI55" s="302" t="n"/>
      <x:c r="BJ55" s="302" t="n"/>
      <x:c r="BK55" s="302" t="n"/>
      <x:c r="BL55" s="302" t="n"/>
      <x:c r="BM55" s="302" t="n"/>
      <x:c r="BN55" s="302" t="n"/>
      <x:c r="BO55" s="302" t="n"/>
      <x:c r="BP55" s="302" t="n"/>
      <x:c r="BQ55" s="302" t="n"/>
      <x:c r="BR55" s="302" t="n"/>
      <x:c r="BS55" s="302" t="n"/>
      <x:c r="BT55" s="302" t="n"/>
      <x:c r="BU55" s="302" t="n"/>
      <x:c r="BV55" s="302" t="n"/>
      <x:c r="BW55" s="302" t="n"/>
      <x:c r="BX55" s="302" t="n">
        <x:v>0</x:v>
      </x:c>
      <x:c r="BY55" s="302" t="n"/>
      <x:c r="BZ55" s="302" t="n"/>
      <x:c r="CA55" s="302" t="n"/>
      <x:c r="CB55" s="302" t="n"/>
      <x:c r="CC55" s="302" t="n"/>
      <x:c r="CD55" s="302" t="n"/>
      <x:c r="CE55" s="302" t="n"/>
      <x:c r="CF55" s="302" t="n"/>
      <x:c r="CG55" s="302" t="n"/>
      <x:c r="CH55" s="302" t="n"/>
      <x:c r="CI55" s="302" t="n"/>
      <x:c r="CJ55" s="302" t="n"/>
      <x:c r="CK55" s="302" t="n"/>
      <x:c r="CL55" s="302" t="n"/>
      <x:c r="CM55" s="302" t="n"/>
      <x:c r="CN55" s="302" t="n"/>
      <x:c r="CO55" s="302" t="n"/>
      <x:c r="CP55" s="302" t="n"/>
      <x:c r="CQ55" s="302" t="n"/>
      <x:c r="CR55" s="302" t="n"/>
      <x:c r="CS55" s="302" t="n"/>
      <x:c r="CT55" s="302" t="n"/>
      <x:c r="CU55" s="302" t="n"/>
      <x:c r="CV55" s="302" t="n"/>
      <x:c r="CW55" s="302" t="n"/>
      <x:c r="CX55" s="302" t="n"/>
      <x:c r="CY55" s="302" t="n"/>
      <x:c r="CZ55" s="302" t="n"/>
      <x:c r="DA55" s="302" t="n"/>
      <x:c r="DB55" s="302" t="n"/>
      <x:c r="DC55" s="302" t="n"/>
      <x:c r="DD55" s="302" t="n"/>
      <x:c r="DE55" s="302" t="n"/>
      <x:c r="DF55" s="302" t="n"/>
      <x:c r="DG55" s="302" t="n"/>
      <x:c r="DH55" s="302" t="n"/>
      <x:c r="DI55" s="302" t="n"/>
      <x:c r="DJ55" s="302" t="n"/>
      <x:c r="DK55" s="302" t="n"/>
      <x:c r="DL55" s="302" t="n"/>
      <x:c r="DM55" s="302" t="n"/>
      <x:c r="DN55" s="302" t="n"/>
      <x:c r="DO55" s="302" t="n"/>
      <x:c r="DP55" s="302" t="n"/>
      <x:c r="DQ55" s="302" t="n"/>
      <x:c r="DR55" s="302" t="n"/>
      <x:c r="DS55" s="302" t="n"/>
      <x:c r="DT55" s="302" t="n"/>
      <x:c r="DU55" s="302" t="n"/>
      <x:c r="DV55" s="302" t="n"/>
      <x:c r="DW55" s="302" t="n"/>
      <x:c r="DX55" s="302" t="n"/>
      <x:c r="DY55" s="302" t="n"/>
      <x:c r="DZ55" s="302" t="n"/>
      <x:c r="EA55" s="302" t="n"/>
      <x:c r="EB55" s="302" t="n"/>
      <x:c r="EC55" s="302" t="n"/>
      <x:c r="ED55" s="302" t="n"/>
      <x:c r="EE55" s="302" t="n"/>
      <x:c r="EF55" s="302" t="n"/>
      <x:c r="EG55" s="302" t="n"/>
      <x:c r="EH55" s="302" t="n"/>
      <x:c r="EI55" s="302" t="n"/>
      <x:c r="EJ55" s="302" t="n"/>
      <x:c r="EK55" s="302" t="n"/>
      <x:c r="EL55" s="302" t="n"/>
      <x:c r="EM55" s="302" t="n"/>
      <x:c r="EN55" s="302" t="n"/>
      <x:c r="EO55" s="302" t="n"/>
      <x:c r="EP55" s="302" t="n"/>
      <x:c r="EQ55" s="302" t="n"/>
      <x:c r="ER55" s="302" t="n"/>
      <x:c r="ES55" s="302" t="n"/>
      <x:c r="ET55" s="302" t="n"/>
      <x:c r="EU55" s="302" t="n"/>
      <x:c r="EV55" s="302" t="n"/>
      <x:c r="EW55" s="302" t="n"/>
      <x:c r="EX55" s="302" t="n"/>
      <x:c r="EY55" s="302" t="n"/>
    </x:row>
    <x:row r="56" s="27" customFormat="1" ht="12.949999809265137" customHeight="1">
      <x:c r="A56" s="38" t="n"/>
      <x:c r="B56" s="37" t="n"/>
      <x:c r="C56" s="36" t="n">
        <x:f>E56*D$5</x:f>
        <x:v>0</x:v>
      </x:c>
      <x:c r="D56" s="103" t="inlineStr">
        <x:is>
          <x:t xml:space="preserve">Clayton D. Fuchs</x:t>
        </x:is>
      </x:c>
      <x:c r="E56" s="36" t="n">
        <x:f>SUM(G56:HS56)</x:f>
        <x:v>0</x:v>
      </x:c>
      <x:c r="F56" s="126" t="inlineStr">
        <x:is>
          <x:t xml:space="preserve"/>
        </x:is>
      </x:c>
      <x:c r="G56" s="299" t="n"/>
      <x:c r="H56" s="299" t="n"/>
      <x:c r="I56" s="299" t="n"/>
      <x:c r="J56" s="299" t="n"/>
      <x:c r="K56" s="299" t="n"/>
      <x:c r="L56" s="299" t="n"/>
      <x:c r="M56" s="299" t="n"/>
      <x:c r="N56" s="299" t="n"/>
      <x:c r="O56" s="299" t="n"/>
      <x:c r="P56" s="100" t="n"/>
      <x:c r="Q56" s="299" t="n"/>
      <x:c r="R56" s="299" t="n"/>
      <x:c r="S56" s="299" t="n"/>
      <x:c r="T56" s="299" t="n"/>
      <x:c r="U56" s="299" t="n"/>
      <x:c r="V56" s="299" t="n"/>
      <x:c r="W56" s="299" t="n"/>
      <x:c r="X56" s="299" t="n"/>
      <x:c r="Y56" s="100" t="n"/>
      <x:c r="Z56" s="100" t="n"/>
      <x:c r="AA56" s="100" t="n"/>
      <x:c r="AB56" s="100" t="n"/>
      <x:c r="AC56" s="100" t="n"/>
      <x:c r="AD56" s="100" t="n"/>
      <x:c r="AE56" s="100" t="n"/>
      <x:c r="AF56" s="299" t="n"/>
      <x:c r="AG56" s="100" t="n"/>
      <x:c r="AH56" s="299" t="n"/>
      <x:c r="AI56" s="123" t="n"/>
      <x:c r="AJ56" s="299" t="n"/>
      <x:c r="AK56" s="299" t="n"/>
      <x:c r="AL56" s="299" t="n"/>
      <x:c r="AM56" s="299" t="n"/>
      <x:c r="AN56" s="299" t="n"/>
      <x:c r="AO56" s="299" t="n"/>
      <x:c r="AP56" s="299" t="n"/>
      <x:c r="AQ56" s="299" t="n"/>
      <x:c r="AR56" s="299" t="n"/>
      <x:c r="AS56" s="299" t="n"/>
      <x:c r="AT56" s="302" t="n"/>
      <x:c r="AU56" s="302" t="n"/>
      <x:c r="AV56" s="302" t="n"/>
      <x:c r="AW56" s="302" t="n"/>
      <x:c r="AX56" s="302" t="n"/>
      <x:c r="AY56" s="302" t="n"/>
      <x:c r="AZ56" s="302" t="n"/>
      <x:c r="BA56" s="302" t="n"/>
      <x:c r="BB56" s="302" t="n"/>
      <x:c r="BC56" s="302" t="n"/>
      <x:c r="BD56" s="302" t="n"/>
      <x:c r="BE56" s="302" t="n"/>
      <x:c r="BF56" s="302" t="n"/>
      <x:c r="BG56" s="302" t="n"/>
      <x:c r="BH56" s="302" t="n"/>
      <x:c r="BI56" s="302" t="n"/>
      <x:c r="BJ56" s="302" t="n"/>
      <x:c r="BK56" s="302" t="n"/>
      <x:c r="BL56" s="302" t="n"/>
      <x:c r="BM56" s="302" t="n"/>
      <x:c r="BN56" s="302" t="n"/>
      <x:c r="BO56" s="302" t="n"/>
      <x:c r="BP56" s="302" t="n"/>
      <x:c r="BQ56" s="302" t="n"/>
      <x:c r="BR56" s="302" t="n"/>
      <x:c r="BS56" s="302" t="n"/>
      <x:c r="BT56" s="302" t="n"/>
      <x:c r="BU56" s="302" t="n"/>
      <x:c r="BV56" s="302" t="n"/>
      <x:c r="BW56" s="302" t="n"/>
      <x:c r="BX56" s="302" t="n">
        <x:v>0</x:v>
      </x:c>
      <x:c r="BY56" s="302" t="n"/>
      <x:c r="BZ56" s="302" t="n"/>
      <x:c r="CA56" s="302" t="n"/>
      <x:c r="CB56" s="302" t="n"/>
      <x:c r="CC56" s="302" t="n"/>
      <x:c r="CD56" s="302" t="n"/>
      <x:c r="CE56" s="302" t="n"/>
      <x:c r="CF56" s="302" t="n"/>
      <x:c r="CG56" s="302" t="n"/>
      <x:c r="CH56" s="302" t="n"/>
      <x:c r="CI56" s="302" t="n"/>
      <x:c r="CJ56" s="302" t="n"/>
      <x:c r="CK56" s="302" t="n"/>
      <x:c r="CL56" s="302" t="n"/>
      <x:c r="CM56" s="302" t="n"/>
      <x:c r="CN56" s="302" t="n"/>
      <x:c r="CO56" s="302" t="n"/>
      <x:c r="CP56" s="302" t="n"/>
      <x:c r="CQ56" s="302" t="n"/>
      <x:c r="CR56" s="302" t="n"/>
      <x:c r="CS56" s="302" t="n"/>
      <x:c r="CT56" s="302" t="n"/>
      <x:c r="CU56" s="302" t="n"/>
      <x:c r="CV56" s="302" t="n"/>
      <x:c r="CW56" s="302" t="n"/>
      <x:c r="CX56" s="302" t="n"/>
      <x:c r="CY56" s="302" t="n"/>
      <x:c r="CZ56" s="302" t="n"/>
      <x:c r="DA56" s="302" t="n"/>
      <x:c r="DB56" s="302" t="n"/>
      <x:c r="DC56" s="302" t="n"/>
      <x:c r="DD56" s="302" t="n"/>
      <x:c r="DE56" s="302" t="n"/>
      <x:c r="DF56" s="302" t="n"/>
      <x:c r="DG56" s="302" t="n"/>
      <x:c r="DH56" s="302" t="n"/>
      <x:c r="DI56" s="302" t="n"/>
      <x:c r="DJ56" s="302" t="n"/>
      <x:c r="DK56" s="302" t="n"/>
      <x:c r="DL56" s="302" t="n"/>
      <x:c r="DM56" s="302" t="n"/>
      <x:c r="DN56" s="302" t="n"/>
      <x:c r="DO56" s="302" t="n"/>
      <x:c r="DP56" s="302" t="n"/>
      <x:c r="DQ56" s="302" t="n"/>
      <x:c r="DR56" s="302" t="n"/>
      <x:c r="DS56" s="302" t="n"/>
      <x:c r="DT56" s="302" t="n"/>
      <x:c r="DU56" s="302" t="n"/>
      <x:c r="DV56" s="302" t="n"/>
      <x:c r="DW56" s="302" t="n"/>
      <x:c r="DX56" s="302" t="n"/>
      <x:c r="DY56" s="302" t="n"/>
      <x:c r="DZ56" s="302" t="n"/>
      <x:c r="EA56" s="302" t="n"/>
      <x:c r="EB56" s="302" t="n"/>
      <x:c r="EC56" s="302" t="n"/>
      <x:c r="ED56" s="302" t="n"/>
      <x:c r="EE56" s="302" t="n"/>
      <x:c r="EF56" s="302" t="n"/>
      <x:c r="EG56" s="302" t="n"/>
      <x:c r="EH56" s="302" t="n"/>
      <x:c r="EI56" s="302" t="n"/>
      <x:c r="EJ56" s="302" t="n"/>
      <x:c r="EK56" s="302" t="n"/>
      <x:c r="EL56" s="302" t="n"/>
      <x:c r="EM56" s="302" t="n"/>
      <x:c r="EN56" s="302" t="n"/>
      <x:c r="EO56" s="302" t="n"/>
      <x:c r="EP56" s="302" t="n"/>
      <x:c r="EQ56" s="302" t="n"/>
      <x:c r="ER56" s="302" t="n"/>
      <x:c r="ES56" s="302" t="n"/>
      <x:c r="ET56" s="302" t="n"/>
      <x:c r="EU56" s="302" t="n"/>
      <x:c r="EV56" s="302" t="n"/>
      <x:c r="EW56" s="302" t="n"/>
      <x:c r="EX56" s="302" t="n"/>
      <x:c r="EY56" s="302" t="n"/>
    </x:row>
    <x:row r="57" s="27" customFormat="1" ht="14.100000381469727" customHeight="1">
      <x:c r="A57" s="38" t="n"/>
      <x:c r="B57" s="37" t="n"/>
      <x:c r="C57" s="36" t="n">
        <x:f>E57*D$5</x:f>
        <x:v>0</x:v>
      </x:c>
      <x:c r="D57" s="103" t="inlineStr">
        <x:is>
          <x:t xml:space="preserve">Westal W. Fuchs</x:t>
        </x:is>
      </x:c>
      <x:c r="E57" s="36" t="n">
        <x:f>SUM(G57:HS57)</x:f>
        <x:v>0</x:v>
      </x:c>
      <x:c r="F57" s="126" t="inlineStr">
        <x:is>
          <x:t xml:space="preserve"/>
        </x:is>
      </x:c>
      <x:c r="G57" s="299" t="n"/>
      <x:c r="H57" s="299" t="n"/>
      <x:c r="I57" s="299" t="n"/>
      <x:c r="J57" s="299" t="n"/>
      <x:c r="K57" s="299" t="n"/>
      <x:c r="L57" s="299" t="n"/>
      <x:c r="M57" s="299" t="n"/>
      <x:c r="N57" s="299" t="n"/>
      <x:c r="O57" s="299" t="n"/>
      <x:c r="P57" s="100" t="n"/>
      <x:c r="Q57" s="299" t="n"/>
      <x:c r="R57" s="299" t="n"/>
      <x:c r="S57" s="299" t="n"/>
      <x:c r="T57" s="299" t="n"/>
      <x:c r="U57" s="299" t="n"/>
      <x:c r="V57" s="299" t="n"/>
      <x:c r="W57" s="299" t="n"/>
      <x:c r="X57" s="299" t="n"/>
      <x:c r="Y57" s="100" t="n"/>
      <x:c r="Z57" s="100" t="n"/>
      <x:c r="AA57" s="100" t="n"/>
      <x:c r="AB57" s="100" t="n"/>
      <x:c r="AC57" s="100" t="n"/>
      <x:c r="AD57" s="100" t="n"/>
      <x:c r="AE57" s="100" t="n"/>
      <x:c r="AF57" s="299" t="n"/>
      <x:c r="AG57" s="100" t="n"/>
      <x:c r="AH57" s="299" t="n"/>
      <x:c r="AI57" s="123" t="n"/>
      <x:c r="AJ57" s="299" t="n"/>
      <x:c r="AK57" s="299" t="n"/>
      <x:c r="AL57" s="299" t="n"/>
      <x:c r="AM57" s="299" t="n"/>
      <x:c r="AN57" s="299" t="n"/>
      <x:c r="AO57" s="299" t="n"/>
      <x:c r="AP57" s="299" t="n"/>
      <x:c r="AQ57" s="299" t="n"/>
      <x:c r="AR57" s="299" t="n"/>
      <x:c r="AS57" s="299" t="n"/>
      <x:c r="AT57" s="302" t="n"/>
      <x:c r="AU57" s="302" t="n"/>
      <x:c r="AV57" s="302" t="n"/>
      <x:c r="AW57" s="302" t="n"/>
      <x:c r="AX57" s="302" t="n"/>
      <x:c r="AY57" s="302" t="n"/>
      <x:c r="AZ57" s="302" t="n"/>
      <x:c r="BA57" s="302" t="n"/>
      <x:c r="BB57" s="302" t="n"/>
      <x:c r="BC57" s="302" t="n"/>
      <x:c r="BD57" s="302" t="n"/>
      <x:c r="BE57" s="302" t="n"/>
      <x:c r="BF57" s="302" t="n"/>
      <x:c r="BG57" s="302" t="n"/>
      <x:c r="BH57" s="302" t="n"/>
      <x:c r="BI57" s="302" t="n"/>
      <x:c r="BJ57" s="302" t="n"/>
      <x:c r="BK57" s="302" t="n"/>
      <x:c r="BL57" s="302" t="n"/>
      <x:c r="BM57" s="302" t="n"/>
      <x:c r="BN57" s="302" t="n"/>
      <x:c r="BO57" s="302" t="n"/>
      <x:c r="BP57" s="302" t="n"/>
      <x:c r="BQ57" s="302" t="n"/>
      <x:c r="BR57" s="302" t="n"/>
      <x:c r="BS57" s="302" t="n"/>
      <x:c r="BT57" s="302" t="n"/>
      <x:c r="BU57" s="302" t="n"/>
      <x:c r="BV57" s="302" t="n"/>
      <x:c r="BW57" s="302" t="n"/>
      <x:c r="BX57" s="302" t="n">
        <x:v>0</x:v>
      </x:c>
      <x:c r="BY57" s="302" t="n"/>
      <x:c r="BZ57" s="302" t="n"/>
      <x:c r="CA57" s="302" t="n"/>
      <x:c r="CB57" s="302" t="n"/>
      <x:c r="CC57" s="302" t="n"/>
      <x:c r="CD57" s="302" t="n"/>
      <x:c r="CE57" s="302" t="n"/>
      <x:c r="CF57" s="302" t="n"/>
      <x:c r="CG57" s="302" t="n"/>
      <x:c r="CH57" s="302" t="n"/>
      <x:c r="CI57" s="302" t="n"/>
      <x:c r="CJ57" s="302" t="n"/>
      <x:c r="CK57" s="302" t="n"/>
      <x:c r="CL57" s="302" t="n"/>
      <x:c r="CM57" s="302" t="n"/>
      <x:c r="CN57" s="302" t="n"/>
      <x:c r="CO57" s="302" t="n"/>
      <x:c r="CP57" s="302" t="n"/>
      <x:c r="CQ57" s="302" t="n"/>
      <x:c r="CR57" s="302" t="n"/>
      <x:c r="CS57" s="302" t="n"/>
      <x:c r="CT57" s="302" t="n"/>
      <x:c r="CU57" s="302" t="n"/>
      <x:c r="CV57" s="302" t="n"/>
      <x:c r="CW57" s="302" t="n"/>
      <x:c r="CX57" s="302" t="n"/>
      <x:c r="CY57" s="302" t="n"/>
      <x:c r="CZ57" s="302" t="n"/>
      <x:c r="DA57" s="302" t="n"/>
      <x:c r="DB57" s="302" t="n"/>
      <x:c r="DC57" s="302" t="n"/>
      <x:c r="DD57" s="302" t="n"/>
      <x:c r="DE57" s="302" t="n"/>
      <x:c r="DF57" s="302" t="n"/>
      <x:c r="DG57" s="302" t="n"/>
      <x:c r="DH57" s="302" t="n"/>
      <x:c r="DI57" s="302" t="n"/>
      <x:c r="DJ57" s="302" t="n"/>
      <x:c r="DK57" s="302" t="n"/>
      <x:c r="DL57" s="302" t="n"/>
      <x:c r="DM57" s="302" t="n"/>
      <x:c r="DN57" s="302" t="n"/>
      <x:c r="DO57" s="302" t="n"/>
      <x:c r="DP57" s="302" t="n"/>
      <x:c r="DQ57" s="302" t="n"/>
      <x:c r="DR57" s="302" t="n"/>
      <x:c r="DS57" s="302" t="n"/>
      <x:c r="DT57" s="302" t="n"/>
      <x:c r="DU57" s="302" t="n"/>
      <x:c r="DV57" s="302" t="n"/>
      <x:c r="DW57" s="302" t="n"/>
      <x:c r="DX57" s="302" t="n"/>
      <x:c r="DY57" s="302" t="n"/>
      <x:c r="DZ57" s="302" t="n"/>
      <x:c r="EA57" s="302" t="n"/>
      <x:c r="EB57" s="302" t="n"/>
      <x:c r="EC57" s="302" t="n"/>
      <x:c r="ED57" s="302" t="n"/>
      <x:c r="EE57" s="302" t="n"/>
      <x:c r="EF57" s="302" t="n"/>
      <x:c r="EG57" s="302" t="n"/>
      <x:c r="EH57" s="302" t="n"/>
      <x:c r="EI57" s="302" t="n"/>
      <x:c r="EJ57" s="302" t="n"/>
      <x:c r="EK57" s="302" t="n"/>
      <x:c r="EL57" s="302" t="n"/>
      <x:c r="EM57" s="302" t="n"/>
      <x:c r="EN57" s="302" t="n"/>
      <x:c r="EO57" s="302" t="n"/>
      <x:c r="EP57" s="302" t="n"/>
      <x:c r="EQ57" s="302" t="n"/>
      <x:c r="ER57" s="302" t="n"/>
      <x:c r="ES57" s="302" t="n"/>
      <x:c r="ET57" s="302" t="n"/>
      <x:c r="EU57" s="302" t="n"/>
      <x:c r="EV57" s="302" t="n"/>
      <x:c r="EW57" s="302" t="n"/>
      <x:c r="EX57" s="302" t="n"/>
      <x:c r="EY57" s="302" t="n"/>
    </x:row>
    <x:row r="58" s="27" customFormat="1" ht="17.450000762939453" customHeight="1">
      <x:c r="A58" s="38" t="n"/>
      <x:c r="B58" s="37" t="n"/>
      <x:c r="C58" s="36" t="n">
        <x:f>E58*D$5</x:f>
        <x:v>0</x:v>
      </x:c>
      <x:c r="D58" s="109" t="inlineStr">
        <x:is>
          <x:t xml:space="preserve">Chloe Ellen Fuchs Davis</x:t>
        </x:is>
      </x:c>
      <x:c r="E58" s="36" t="n">
        <x:f>SUM(G58:HS58)</x:f>
        <x:v>0</x:v>
      </x:c>
      <x:c r="F58" s="126" t="inlineStr">
        <x:is>
          <x:t xml:space="preserve"/>
        </x:is>
      </x:c>
      <x:c r="G58" s="299" t="n"/>
      <x:c r="H58" s="299" t="n"/>
      <x:c r="I58" s="299" t="n"/>
      <x:c r="J58" s="299" t="n"/>
      <x:c r="K58" s="299" t="n"/>
      <x:c r="L58" s="299" t="n"/>
      <x:c r="M58" s="299" t="n"/>
      <x:c r="N58" s="299" t="n"/>
      <x:c r="O58" s="299" t="n"/>
      <x:c r="P58" s="100" t="n"/>
      <x:c r="Q58" s="299" t="n"/>
      <x:c r="R58" s="299" t="n"/>
      <x:c r="S58" s="299" t="n"/>
      <x:c r="T58" s="299" t="n"/>
      <x:c r="U58" s="299" t="n"/>
      <x:c r="V58" s="299" t="n"/>
      <x:c r="W58" s="299" t="n"/>
      <x:c r="X58" s="299" t="n"/>
      <x:c r="Y58" s="100" t="n"/>
      <x:c r="Z58" s="100" t="n"/>
      <x:c r="AA58" s="100" t="n"/>
      <x:c r="AB58" s="100" t="n"/>
      <x:c r="AC58" s="100" t="n"/>
      <x:c r="AD58" s="100" t="n"/>
      <x:c r="AE58" s="100" t="n"/>
      <x:c r="AF58" s="299" t="n"/>
      <x:c r="AG58" s="100" t="n"/>
      <x:c r="AH58" s="299" t="n"/>
      <x:c r="AI58" s="123" t="n"/>
      <x:c r="AJ58" s="299" t="n"/>
      <x:c r="AK58" s="299" t="n"/>
      <x:c r="AL58" s="299" t="n"/>
      <x:c r="AM58" s="299" t="n"/>
      <x:c r="AN58" s="299" t="n"/>
      <x:c r="AO58" s="299" t="n"/>
      <x:c r="AP58" s="299" t="n"/>
      <x:c r="AQ58" s="299" t="n"/>
      <x:c r="AR58" s="299" t="n"/>
      <x:c r="AS58" s="299" t="n"/>
      <x:c r="AT58" s="302" t="n"/>
      <x:c r="AU58" s="302" t="n"/>
      <x:c r="AV58" s="302" t="n"/>
      <x:c r="AW58" s="302" t="n"/>
      <x:c r="AX58" s="302" t="n"/>
      <x:c r="AY58" s="302" t="n"/>
      <x:c r="AZ58" s="302" t="n"/>
      <x:c r="BA58" s="302" t="n"/>
      <x:c r="BB58" s="302" t="n"/>
      <x:c r="BC58" s="302" t="n"/>
      <x:c r="BD58" s="302" t="n"/>
      <x:c r="BE58" s="302" t="n"/>
      <x:c r="BF58" s="302" t="n"/>
      <x:c r="BG58" s="302" t="n"/>
      <x:c r="BH58" s="302" t="n"/>
      <x:c r="BI58" s="302" t="n"/>
      <x:c r="BJ58" s="302" t="n"/>
      <x:c r="BK58" s="302" t="n"/>
      <x:c r="BL58" s="302" t="n"/>
      <x:c r="BM58" s="302" t="n"/>
      <x:c r="BN58" s="302" t="n"/>
      <x:c r="BO58" s="302" t="n"/>
      <x:c r="BP58" s="302" t="n"/>
      <x:c r="BQ58" s="302" t="n"/>
      <x:c r="BR58" s="302" t="n"/>
      <x:c r="BS58" s="302" t="n"/>
      <x:c r="BT58" s="302" t="n"/>
      <x:c r="BU58" s="302" t="n"/>
      <x:c r="BV58" s="302" t="n"/>
      <x:c r="BW58" s="302" t="n"/>
      <x:c r="BX58" s="302" t="n">
        <x:v>0</x:v>
      </x:c>
      <x:c r="BY58" s="302" t="n"/>
      <x:c r="BZ58" s="302" t="n"/>
      <x:c r="CA58" s="302" t="n"/>
      <x:c r="CB58" s="302" t="n"/>
      <x:c r="CC58" s="302" t="n"/>
      <x:c r="CD58" s="302" t="n"/>
      <x:c r="CE58" s="302" t="n"/>
      <x:c r="CF58" s="302" t="n"/>
      <x:c r="CG58" s="302" t="n"/>
      <x:c r="CH58" s="302" t="n"/>
      <x:c r="CI58" s="302" t="n"/>
      <x:c r="CJ58" s="302" t="n"/>
      <x:c r="CK58" s="302" t="n"/>
      <x:c r="CL58" s="302" t="n"/>
      <x:c r="CM58" s="302" t="n"/>
      <x:c r="CN58" s="302" t="n"/>
      <x:c r="CO58" s="302" t="n"/>
      <x:c r="CP58" s="302" t="n"/>
      <x:c r="CQ58" s="302" t="n"/>
      <x:c r="CR58" s="302" t="n"/>
      <x:c r="CS58" s="302" t="n"/>
      <x:c r="CT58" s="302" t="n"/>
      <x:c r="CU58" s="302" t="n"/>
      <x:c r="CV58" s="302" t="n"/>
      <x:c r="CW58" s="302" t="n"/>
      <x:c r="CX58" s="302" t="n"/>
      <x:c r="CY58" s="302" t="n"/>
      <x:c r="CZ58" s="302" t="n"/>
      <x:c r="DA58" s="302" t="n"/>
      <x:c r="DB58" s="302" t="n"/>
      <x:c r="DC58" s="302" t="n"/>
      <x:c r="DD58" s="302" t="n"/>
      <x:c r="DE58" s="302" t="n"/>
      <x:c r="DF58" s="302" t="n"/>
      <x:c r="DG58" s="302" t="n"/>
      <x:c r="DH58" s="302" t="n"/>
      <x:c r="DI58" s="302" t="n"/>
      <x:c r="DJ58" s="302" t="n"/>
      <x:c r="DK58" s="302" t="n"/>
      <x:c r="DL58" s="302" t="n"/>
      <x:c r="DM58" s="302" t="n"/>
      <x:c r="DN58" s="302" t="n"/>
      <x:c r="DO58" s="302" t="n"/>
      <x:c r="DP58" s="302" t="n"/>
      <x:c r="DQ58" s="302" t="n"/>
      <x:c r="DR58" s="302" t="n"/>
      <x:c r="DS58" s="302" t="n"/>
      <x:c r="DT58" s="302" t="n"/>
      <x:c r="DU58" s="302" t="n"/>
      <x:c r="DV58" s="302" t="n"/>
      <x:c r="DW58" s="302" t="n"/>
      <x:c r="DX58" s="302" t="n"/>
      <x:c r="DY58" s="302" t="n"/>
      <x:c r="DZ58" s="302" t="n"/>
      <x:c r="EA58" s="302" t="n"/>
      <x:c r="EB58" s="302" t="n"/>
      <x:c r="EC58" s="302" t="n"/>
      <x:c r="ED58" s="302" t="n"/>
      <x:c r="EE58" s="302" t="n"/>
      <x:c r="EF58" s="302" t="n"/>
      <x:c r="EG58" s="302" t="n"/>
      <x:c r="EH58" s="302" t="n"/>
      <x:c r="EI58" s="302" t="n"/>
      <x:c r="EJ58" s="302" t="n"/>
      <x:c r="EK58" s="302" t="n"/>
      <x:c r="EL58" s="302" t="n"/>
      <x:c r="EM58" s="302" t="n"/>
      <x:c r="EN58" s="302" t="n"/>
      <x:c r="EO58" s="302" t="n"/>
      <x:c r="EP58" s="302" t="n"/>
      <x:c r="EQ58" s="302" t="n"/>
      <x:c r="ER58" s="302" t="n"/>
      <x:c r="ES58" s="302" t="n"/>
      <x:c r="ET58" s="302" t="n"/>
      <x:c r="EU58" s="302" t="n"/>
      <x:c r="EV58" s="302" t="n"/>
      <x:c r="EW58" s="302" t="n"/>
      <x:c r="EX58" s="302" t="n"/>
      <x:c r="EY58" s="302" t="n"/>
    </x:row>
    <x:row r="59" s="27" customFormat="1" ht="17.450000762939453" customHeight="1">
      <x:c r="A59" s="38" t="n"/>
      <x:c r="B59" s="37" t="n"/>
      <x:c r="C59" s="36" t="n">
        <x:f>E59*D$5</x:f>
        <x:v>0</x:v>
      </x:c>
      <x:c r="D59" s="373" t="inlineStr">
        <x:is>
          <x:t xml:space="preserve">Curtis Fuchs</x:t>
        </x:is>
      </x:c>
      <x:c r="E59" s="36" t="n">
        <x:f>SUM(G59:HS59)</x:f>
        <x:v>0</x:v>
      </x:c>
      <x:c r="F59" s="126" t="inlineStr">
        <x:is>
          <x:t xml:space="preserve"/>
        </x:is>
      </x:c>
      <x:c r="G59" s="299" t="n"/>
      <x:c r="H59" s="299" t="n"/>
      <x:c r="I59" s="299" t="n"/>
      <x:c r="J59" s="299" t="n"/>
      <x:c r="K59" s="299" t="n"/>
      <x:c r="L59" s="299" t="n"/>
      <x:c r="M59" s="299" t="n"/>
      <x:c r="N59" s="299" t="n"/>
      <x:c r="O59" s="299" t="n"/>
      <x:c r="P59" s="100" t="n"/>
      <x:c r="Q59" s="299" t="n"/>
      <x:c r="R59" s="299" t="n"/>
      <x:c r="S59" s="299" t="n"/>
      <x:c r="T59" s="299" t="n"/>
      <x:c r="U59" s="299" t="n"/>
      <x:c r="V59" s="299" t="n"/>
      <x:c r="W59" s="299" t="n"/>
      <x:c r="X59" s="299" t="n"/>
      <x:c r="Y59" s="100" t="n"/>
      <x:c r="Z59" s="100" t="n"/>
      <x:c r="AA59" s="100" t="n"/>
      <x:c r="AB59" s="100" t="n"/>
      <x:c r="AC59" s="100" t="n"/>
      <x:c r="AD59" s="100" t="n"/>
      <x:c r="AE59" s="100" t="n"/>
      <x:c r="AF59" s="299" t="n"/>
      <x:c r="AG59" s="100" t="n"/>
      <x:c r="AH59" s="299" t="n"/>
      <x:c r="AI59" s="123" t="n"/>
      <x:c r="AJ59" s="299" t="n"/>
      <x:c r="AK59" s="299" t="n"/>
      <x:c r="AL59" s="299" t="n"/>
      <x:c r="AM59" s="299" t="n"/>
      <x:c r="AN59" s="299" t="n"/>
      <x:c r="AO59" s="299" t="n"/>
      <x:c r="AP59" s="299" t="n"/>
      <x:c r="AQ59" s="299" t="n"/>
      <x:c r="AR59" s="299" t="n"/>
      <x:c r="AS59" s="299" t="n"/>
      <x:c r="AT59" s="302" t="n"/>
      <x:c r="AU59" s="302" t="n"/>
      <x:c r="AV59" s="302" t="n"/>
      <x:c r="AW59" s="302" t="n"/>
      <x:c r="AX59" s="302" t="n"/>
      <x:c r="AY59" s="302" t="n"/>
      <x:c r="AZ59" s="302" t="n"/>
      <x:c r="BA59" s="302" t="n"/>
      <x:c r="BB59" s="302" t="n"/>
      <x:c r="BC59" s="302" t="n"/>
      <x:c r="BD59" s="302" t="n"/>
      <x:c r="BE59" s="302" t="n"/>
      <x:c r="BF59" s="302" t="n"/>
      <x:c r="BG59" s="302" t="n"/>
      <x:c r="BH59" s="302" t="n"/>
      <x:c r="BI59" s="302" t="n"/>
      <x:c r="BJ59" s="302" t="n"/>
      <x:c r="BK59" s="302" t="n"/>
      <x:c r="BL59" s="302" t="n"/>
      <x:c r="BM59" s="302" t="n"/>
      <x:c r="BN59" s="302" t="n"/>
      <x:c r="BO59" s="302" t="n"/>
      <x:c r="BP59" s="302" t="n"/>
      <x:c r="BQ59" s="302" t="n"/>
      <x:c r="BR59" s="302" t="n"/>
      <x:c r="BS59" s="302" t="n"/>
      <x:c r="BT59" s="302" t="n"/>
      <x:c r="BU59" s="302" t="n"/>
      <x:c r="BV59" s="302" t="n"/>
      <x:c r="BW59" s="302" t="n"/>
      <x:c r="BX59" s="302" t="n">
        <x:v>0</x:v>
      </x:c>
      <x:c r="BY59" s="302" t="n"/>
      <x:c r="BZ59" s="302" t="n"/>
      <x:c r="CA59" s="302" t="n"/>
      <x:c r="CB59" s="302" t="n"/>
      <x:c r="CC59" s="302" t="n"/>
      <x:c r="CD59" s="302" t="n"/>
      <x:c r="CE59" s="302" t="n"/>
      <x:c r="CF59" s="302" t="n"/>
      <x:c r="CG59" s="302" t="n"/>
      <x:c r="CH59" s="302" t="n"/>
      <x:c r="CI59" s="302" t="n"/>
      <x:c r="CJ59" s="302" t="n"/>
      <x:c r="CK59" s="302" t="n"/>
      <x:c r="CL59" s="302" t="n"/>
      <x:c r="CM59" s="302" t="n"/>
      <x:c r="CN59" s="302" t="n"/>
      <x:c r="CO59" s="302" t="n"/>
      <x:c r="CP59" s="302" t="n"/>
      <x:c r="CQ59" s="302" t="n"/>
      <x:c r="CR59" s="302" t="n"/>
      <x:c r="CS59" s="302" t="n"/>
      <x:c r="CT59" s="302" t="n"/>
      <x:c r="CU59" s="302" t="n"/>
      <x:c r="CV59" s="302" t="n"/>
      <x:c r="CW59" s="302" t="n"/>
      <x:c r="CX59" s="302" t="n"/>
      <x:c r="CY59" s="302" t="n"/>
      <x:c r="CZ59" s="302" t="n"/>
      <x:c r="DA59" s="302" t="n"/>
      <x:c r="DB59" s="302" t="n"/>
      <x:c r="DC59" s="302" t="n"/>
      <x:c r="DD59" s="302" t="n"/>
      <x:c r="DE59" s="302" t="n"/>
      <x:c r="DF59" s="302" t="n"/>
      <x:c r="DG59" s="302" t="n"/>
      <x:c r="DH59" s="302" t="n"/>
      <x:c r="DI59" s="302" t="n"/>
      <x:c r="DJ59" s="302" t="n"/>
      <x:c r="DK59" s="302" t="n"/>
      <x:c r="DL59" s="302" t="n"/>
      <x:c r="DM59" s="302" t="n"/>
      <x:c r="DN59" s="302" t="n"/>
      <x:c r="DO59" s="302" t="n"/>
      <x:c r="DP59" s="302" t="n"/>
      <x:c r="DQ59" s="302" t="n"/>
      <x:c r="DR59" s="302" t="n"/>
      <x:c r="DS59" s="302" t="n"/>
      <x:c r="DT59" s="302" t="n"/>
      <x:c r="DU59" s="302" t="n"/>
      <x:c r="DV59" s="302" t="n"/>
      <x:c r="DW59" s="302" t="n"/>
      <x:c r="DX59" s="302" t="n"/>
      <x:c r="DY59" s="302" t="n"/>
      <x:c r="DZ59" s="302" t="n"/>
      <x:c r="EA59" s="302" t="n"/>
      <x:c r="EB59" s="302" t="n"/>
      <x:c r="EC59" s="302" t="n"/>
      <x:c r="ED59" s="302" t="n"/>
      <x:c r="EE59" s="302" t="n"/>
      <x:c r="EF59" s="302" t="n"/>
      <x:c r="EG59" s="302" t="n"/>
      <x:c r="EH59" s="302" t="n"/>
      <x:c r="EI59" s="302" t="n"/>
      <x:c r="EJ59" s="302" t="n"/>
      <x:c r="EK59" s="302" t="n"/>
      <x:c r="EL59" s="302" t="n"/>
      <x:c r="EM59" s="302" t="n"/>
      <x:c r="EN59" s="302" t="n"/>
      <x:c r="EO59" s="302" t="n"/>
      <x:c r="EP59" s="302" t="n"/>
      <x:c r="EQ59" s="302" t="n"/>
      <x:c r="ER59" s="302" t="n"/>
      <x:c r="ES59" s="302" t="n"/>
      <x:c r="ET59" s="302" t="n"/>
      <x:c r="EU59" s="302" t="n"/>
      <x:c r="EV59" s="302" t="n"/>
      <x:c r="EW59" s="302" t="n"/>
      <x:c r="EX59" s="302" t="n"/>
      <x:c r="EY59" s="302" t="n"/>
    </x:row>
    <x:row r="60" s="27" customFormat="1" ht="17.450000762939453" customHeight="1">
      <x:c r="A60" s="38" t="n"/>
      <x:c r="B60" s="37" t="n"/>
      <x:c r="C60" s="36" t="n">
        <x:f>E60*D$5</x:f>
        <x:v>0</x:v>
      </x:c>
      <x:c r="D60" s="109" t="inlineStr">
        <x:is>
          <x:t xml:space="preserve">Rita Wilson</x:t>
        </x:is>
      </x:c>
      <x:c r="E60" s="36" t="n">
        <x:f>SUM(G60:HS60)</x:f>
        <x:v>0</x:v>
      </x:c>
      <x:c r="F60" s="126" t="inlineStr">
        <x:is>
          <x:t xml:space="preserve"/>
        </x:is>
      </x:c>
      <x:c r="G60" s="299" t="n"/>
      <x:c r="H60" s="299" t="n"/>
      <x:c r="I60" s="299" t="n"/>
      <x:c r="J60" s="299" t="n"/>
      <x:c r="K60" s="299" t="n"/>
      <x:c r="L60" s="299" t="n"/>
      <x:c r="M60" s="299" t="n"/>
      <x:c r="N60" s="299" t="n"/>
      <x:c r="O60" s="299" t="n"/>
      <x:c r="P60" s="100" t="n"/>
      <x:c r="Q60" s="299" t="n"/>
      <x:c r="R60" s="299" t="n"/>
      <x:c r="S60" s="299" t="n"/>
      <x:c r="T60" s="299" t="n"/>
      <x:c r="U60" s="299" t="n"/>
      <x:c r="V60" s="299" t="n"/>
      <x:c r="W60" s="299" t="n"/>
      <x:c r="X60" s="299" t="n"/>
      <x:c r="Y60" s="100" t="n"/>
      <x:c r="Z60" s="100" t="n"/>
      <x:c r="AA60" s="100" t="n"/>
      <x:c r="AB60" s="100" t="n"/>
      <x:c r="AC60" s="100" t="n"/>
      <x:c r="AD60" s="100" t="n"/>
      <x:c r="AE60" s="100" t="n"/>
      <x:c r="AF60" s="299" t="n"/>
      <x:c r="AG60" s="100" t="n"/>
      <x:c r="AH60" s="299" t="n"/>
      <x:c r="AI60" s="123" t="n"/>
      <x:c r="AJ60" s="299" t="n"/>
      <x:c r="AK60" s="299" t="n"/>
      <x:c r="AL60" s="299" t="n"/>
      <x:c r="AM60" s="299" t="n"/>
      <x:c r="AN60" s="299" t="n"/>
      <x:c r="AO60" s="299" t="n"/>
      <x:c r="AP60" s="299" t="n"/>
      <x:c r="AQ60" s="299" t="n"/>
      <x:c r="AR60" s="299" t="n"/>
      <x:c r="AS60" s="299" t="n"/>
      <x:c r="AT60" s="302" t="n"/>
      <x:c r="AU60" s="302" t="n"/>
      <x:c r="AV60" s="302" t="n"/>
      <x:c r="AW60" s="302" t="n"/>
      <x:c r="AX60" s="302" t="n"/>
      <x:c r="AY60" s="302" t="n"/>
      <x:c r="AZ60" s="302" t="n"/>
      <x:c r="BA60" s="302" t="n"/>
      <x:c r="BB60" s="302" t="n"/>
      <x:c r="BC60" s="302" t="n"/>
      <x:c r="BD60" s="302" t="n"/>
      <x:c r="BE60" s="302" t="n"/>
      <x:c r="BF60" s="302" t="n"/>
      <x:c r="BG60" s="302" t="n"/>
      <x:c r="BH60" s="302" t="n"/>
      <x:c r="BI60" s="302" t="n"/>
      <x:c r="BJ60" s="302" t="n"/>
      <x:c r="BK60" s="302" t="n"/>
      <x:c r="BL60" s="302" t="n"/>
      <x:c r="BM60" s="302" t="n"/>
      <x:c r="BN60" s="302" t="n"/>
      <x:c r="BO60" s="302" t="n"/>
      <x:c r="BP60" s="302" t="n"/>
      <x:c r="BQ60" s="302" t="n"/>
      <x:c r="BR60" s="302" t="n"/>
      <x:c r="BS60" s="302" t="n"/>
      <x:c r="BT60" s="302" t="n"/>
      <x:c r="BU60" s="302" t="n"/>
      <x:c r="BV60" s="302" t="n"/>
      <x:c r="BW60" s="302" t="n"/>
      <x:c r="BX60" s="302" t="n">
        <x:v>0</x:v>
      </x:c>
      <x:c r="BY60" s="302" t="n"/>
      <x:c r="BZ60" s="302" t="n"/>
      <x:c r="CA60" s="302" t="n"/>
      <x:c r="CB60" s="302" t="n"/>
      <x:c r="CC60" s="302" t="n"/>
      <x:c r="CD60" s="302" t="n"/>
      <x:c r="CE60" s="302" t="n"/>
      <x:c r="CF60" s="302" t="n"/>
      <x:c r="CG60" s="302" t="n"/>
      <x:c r="CH60" s="302" t="n"/>
      <x:c r="CI60" s="302" t="n"/>
      <x:c r="CJ60" s="302" t="n"/>
      <x:c r="CK60" s="302" t="n"/>
      <x:c r="CL60" s="302" t="n"/>
      <x:c r="CM60" s="302" t="n"/>
      <x:c r="CN60" s="302" t="n"/>
      <x:c r="CO60" s="302" t="n"/>
      <x:c r="CP60" s="302" t="n"/>
      <x:c r="CQ60" s="302" t="n"/>
      <x:c r="CR60" s="302" t="n"/>
      <x:c r="CS60" s="302" t="n"/>
      <x:c r="CT60" s="302" t="n"/>
      <x:c r="CU60" s="302" t="n"/>
      <x:c r="CV60" s="302" t="n"/>
      <x:c r="CW60" s="302" t="n"/>
      <x:c r="CX60" s="302" t="n"/>
      <x:c r="CY60" s="302" t="n"/>
      <x:c r="CZ60" s="302" t="n"/>
      <x:c r="DA60" s="302" t="n"/>
      <x:c r="DB60" s="302" t="n"/>
      <x:c r="DC60" s="302" t="n"/>
      <x:c r="DD60" s="302" t="n"/>
      <x:c r="DE60" s="302" t="n"/>
      <x:c r="DF60" s="302" t="n"/>
      <x:c r="DG60" s="302" t="n"/>
      <x:c r="DH60" s="302" t="n"/>
      <x:c r="DI60" s="302" t="n"/>
      <x:c r="DJ60" s="302" t="n"/>
      <x:c r="DK60" s="302" t="n"/>
      <x:c r="DL60" s="302" t="n"/>
      <x:c r="DM60" s="302" t="n"/>
      <x:c r="DN60" s="302" t="n"/>
      <x:c r="DO60" s="302" t="n"/>
      <x:c r="DP60" s="302" t="n"/>
      <x:c r="DQ60" s="302" t="n"/>
      <x:c r="DR60" s="302" t="n"/>
      <x:c r="DS60" s="302" t="n"/>
      <x:c r="DT60" s="302" t="n"/>
      <x:c r="DU60" s="302" t="n"/>
      <x:c r="DV60" s="302" t="n"/>
      <x:c r="DW60" s="302" t="n"/>
      <x:c r="DX60" s="302" t="n"/>
      <x:c r="DY60" s="302" t="n"/>
      <x:c r="DZ60" s="302" t="n"/>
      <x:c r="EA60" s="302" t="n"/>
      <x:c r="EB60" s="302" t="n"/>
      <x:c r="EC60" s="302" t="n"/>
      <x:c r="ED60" s="302" t="n"/>
      <x:c r="EE60" s="302" t="n"/>
      <x:c r="EF60" s="302" t="n"/>
      <x:c r="EG60" s="302" t="n"/>
      <x:c r="EH60" s="302" t="n"/>
      <x:c r="EI60" s="302" t="n"/>
      <x:c r="EJ60" s="302" t="n"/>
      <x:c r="EK60" s="302" t="n"/>
      <x:c r="EL60" s="302" t="n"/>
      <x:c r="EM60" s="302" t="n"/>
      <x:c r="EN60" s="302" t="n"/>
      <x:c r="EO60" s="302" t="n"/>
      <x:c r="EP60" s="302" t="n"/>
      <x:c r="EQ60" s="302" t="n"/>
      <x:c r="ER60" s="302" t="n"/>
      <x:c r="ES60" s="302" t="n"/>
      <x:c r="ET60" s="302" t="n"/>
      <x:c r="EU60" s="302" t="n"/>
      <x:c r="EV60" s="302" t="n"/>
      <x:c r="EW60" s="302" t="n"/>
      <x:c r="EX60" s="302" t="n"/>
      <x:c r="EY60" s="302" t="n"/>
    </x:row>
    <x:row r="61" s="27" customFormat="1" ht="17.450000762939453" customHeight="1">
      <x:c r="A61" s="38" t="n"/>
      <x:c r="B61" s="37" t="n"/>
      <x:c r="C61" s="36" t="n">
        <x:f>E61*D$5</x:f>
        <x:v>2</x:v>
      </x:c>
      <x:c r="D61" s="87" t="inlineStr">
        <x:is>
          <x:t xml:space="preserve">Tim E. Jensen</x:t>
        </x:is>
      </x:c>
      <x:c r="E61" s="36" t="n">
        <x:f>SUM(G61:HS61)</x:f>
        <x:v>0.0125</x:v>
      </x:c>
      <x:c r="F61" s="126" t="inlineStr">
        <x:is>
          <x:t xml:space="preserve"/>
        </x:is>
      </x:c>
      <x:c r="G61" s="299" t="n"/>
      <x:c r="H61" s="299" t="n"/>
      <x:c r="I61" s="299" t="n"/>
      <x:c r="J61" s="299" t="n"/>
      <x:c r="K61" s="299" t="n"/>
      <x:c r="L61" s="299" t="n"/>
      <x:c r="M61" s="299" t="n"/>
      <x:c r="N61" s="299" t="n"/>
      <x:c r="O61" s="299" t="n"/>
      <x:c r="P61" s="100" t="n"/>
      <x:c r="Q61" s="299" t="n"/>
      <x:c r="R61" s="299" t="n"/>
      <x:c r="S61" s="299" t="n"/>
      <x:c r="T61" s="299" t="n"/>
      <x:c r="U61" s="299" t="n"/>
      <x:c r="V61" s="299" t="n"/>
      <x:c r="W61" s="299" t="n"/>
      <x:c r="X61" s="299" t="n"/>
      <x:c r="Y61" s="100" t="n"/>
      <x:c r="Z61" s="100" t="n"/>
      <x:c r="AA61" s="100" t="n"/>
      <x:c r="AB61" s="101" t="n"/>
      <x:c r="AC61" s="101" t="n"/>
      <x:c r="AD61" s="100" t="n"/>
      <x:c r="AE61" s="100" t="n"/>
      <x:c r="AF61" s="299" t="n"/>
      <x:c r="AG61" s="100" t="n"/>
      <x:c r="AH61" s="299" t="n"/>
      <x:c r="AI61" s="123" t="n"/>
      <x:c r="AJ61" s="299" t="n"/>
      <x:c r="AK61" s="299" t="n"/>
      <x:c r="AL61" s="299" t="n"/>
      <x:c r="AM61" s="299" t="n"/>
      <x:c r="AN61" s="299" t="n"/>
      <x:c r="AO61" s="299" t="n"/>
      <x:c r="AP61" s="299" t="n"/>
      <x:c r="AQ61" s="299" t="n"/>
      <x:c r="AR61" s="299" t="n"/>
      <x:c r="AS61" s="299" t="n"/>
      <x:c r="AT61" s="302" t="n"/>
      <x:c r="AU61" s="302" t="n"/>
      <x:c r="AV61" s="302" t="n"/>
      <x:c r="AW61" s="302" t="n"/>
      <x:c r="AX61" s="302" t="n"/>
      <x:c r="AY61" s="302" t="n"/>
      <x:c r="AZ61" s="302" t="n"/>
      <x:c r="BA61" s="302" t="n"/>
      <x:c r="BB61" s="302" t="n"/>
      <x:c r="BC61" s="302" t="n"/>
      <x:c r="BD61" s="302" t="n"/>
      <x:c r="BE61" s="302" t="n"/>
      <x:c r="BF61" s="302" t="n"/>
      <x:c r="BG61" s="302" t="n"/>
      <x:c r="BH61" s="302" t="n"/>
      <x:c r="BI61" s="302" t="n"/>
      <x:c r="BJ61" s="302" t="n"/>
      <x:c r="BK61" s="302" t="n"/>
      <x:c r="BL61" s="302" t="n"/>
      <x:c r="BM61" s="302" t="n"/>
      <x:c r="BN61" s="302" t="n"/>
      <x:c r="BO61" s="302" t="n"/>
      <x:c r="BP61" s="302" t="n"/>
      <x:c r="BQ61" s="302" t="n"/>
      <x:c r="BR61" s="302" t="n"/>
      <x:c r="BS61" s="302" t="n"/>
      <x:c r="BT61" s="302" t="n"/>
      <x:c r="BU61" s="302" t="n"/>
      <x:c r="BV61" s="302" t="n"/>
      <x:c r="BW61" s="302" t="n"/>
      <x:c r="BX61" s="302" t="n"/>
      <x:c r="BY61" s="302" t="n">
        <x:v>0.0125</x:v>
      </x:c>
      <x:c r="BZ61" s="302" t="n"/>
      <x:c r="CA61" s="302" t="n"/>
      <x:c r="CB61" s="302" t="n"/>
      <x:c r="CC61" s="302" t="n"/>
      <x:c r="CD61" s="302" t="n"/>
      <x:c r="CE61" s="302" t="n"/>
      <x:c r="CF61" s="302" t="n"/>
      <x:c r="CG61" s="302" t="n"/>
      <x:c r="CH61" s="302" t="n"/>
      <x:c r="CI61" s="302" t="n"/>
      <x:c r="CJ61" s="302" t="n"/>
      <x:c r="CK61" s="302" t="n"/>
      <x:c r="CL61" s="302" t="n"/>
      <x:c r="CM61" s="302" t="n"/>
      <x:c r="CN61" s="302" t="n"/>
      <x:c r="CO61" s="302" t="n"/>
      <x:c r="CP61" s="302" t="n"/>
      <x:c r="CQ61" s="302" t="n"/>
      <x:c r="CR61" s="302" t="n"/>
      <x:c r="CS61" s="302" t="n"/>
      <x:c r="CT61" s="302" t="n"/>
      <x:c r="CU61" s="302" t="n"/>
      <x:c r="CV61" s="302" t="n"/>
      <x:c r="CW61" s="302" t="n"/>
      <x:c r="CX61" s="302" t="n"/>
      <x:c r="CY61" s="302" t="n"/>
      <x:c r="CZ61" s="302" t="n"/>
      <x:c r="DA61" s="302" t="n"/>
      <x:c r="DB61" s="302" t="n"/>
      <x:c r="DC61" s="302" t="n"/>
      <x:c r="DD61" s="302" t="n"/>
      <x:c r="DE61" s="302" t="n"/>
      <x:c r="DF61" s="302" t="n"/>
      <x:c r="DG61" s="302" t="n"/>
      <x:c r="DH61" s="302" t="n"/>
      <x:c r="DI61" s="302" t="n"/>
      <x:c r="DJ61" s="302" t="n"/>
      <x:c r="DK61" s="302" t="n"/>
      <x:c r="DL61" s="302" t="n"/>
      <x:c r="DM61" s="302" t="n"/>
      <x:c r="DN61" s="302" t="n"/>
      <x:c r="DO61" s="302" t="n"/>
      <x:c r="DP61" s="302" t="n"/>
      <x:c r="DQ61" s="302" t="n"/>
      <x:c r="DR61" s="302" t="n"/>
      <x:c r="DS61" s="302" t="n"/>
      <x:c r="DT61" s="302" t="n"/>
      <x:c r="DU61" s="302" t="n"/>
      <x:c r="DV61" s="302" t="n"/>
      <x:c r="DW61" s="302" t="n"/>
      <x:c r="DX61" s="302" t="n"/>
      <x:c r="DY61" s="302" t="n"/>
      <x:c r="DZ61" s="302" t="n"/>
      <x:c r="EA61" s="302" t="n"/>
      <x:c r="EB61" s="302" t="n"/>
      <x:c r="EC61" s="302" t="n"/>
      <x:c r="ED61" s="302" t="n"/>
      <x:c r="EE61" s="302" t="n"/>
      <x:c r="EF61" s="302" t="n"/>
      <x:c r="EG61" s="302" t="n"/>
      <x:c r="EH61" s="302" t="n"/>
      <x:c r="EI61" s="302" t="n"/>
      <x:c r="EJ61" s="302" t="n"/>
      <x:c r="EK61" s="302" t="n"/>
      <x:c r="EL61" s="302" t="n"/>
      <x:c r="EM61" s="302" t="n"/>
      <x:c r="EN61" s="302" t="n"/>
      <x:c r="EO61" s="302" t="n"/>
      <x:c r="EP61" s="302" t="n"/>
      <x:c r="EQ61" s="302" t="n"/>
      <x:c r="ER61" s="302" t="n"/>
      <x:c r="ES61" s="302" t="n"/>
      <x:c r="ET61" s="302" t="n"/>
      <x:c r="EU61" s="302" t="n"/>
      <x:c r="EV61" s="302" t="n"/>
      <x:c r="EW61" s="302" t="n"/>
      <x:c r="EX61" s="302" t="n"/>
      <x:c r="EY61" s="302" t="n"/>
    </x:row>
    <x:row r="62" s="27" customFormat="1" ht="16.5" customHeight="1">
      <x:c r="A62" s="38" t="n"/>
      <x:c r="B62" s="37" t="n"/>
      <x:c r="C62" s="86" t="n">
        <x:f>E62*D$5</x:f>
        <x:v>0.6738509356008449</x:v>
      </x:c>
      <x:c r="D62" s="87" t="inlineStr">
        <x:is>
          <x:t xml:space="preserve">Hazel Trust Hamilton</x:t>
        </x:is>
      </x:c>
      <x:c r="E62" s="86" t="n">
        <x:f>SUM(G62:HS62)</x:f>
        <x:v>0.00421156834750528</x:v>
      </x:c>
      <x:c r="F62" s="126" t="inlineStr">
        <x:is>
          <x:t xml:space="preserve"/>
        </x:is>
      </x:c>
      <x:c r="G62" s="299" t="n"/>
      <x:c r="H62" s="299" t="n"/>
      <x:c r="I62" s="299" t="n"/>
      <x:c r="J62" s="299" t="n"/>
      <x:c r="K62" s="299" t="n"/>
      <x:c r="L62" s="299" t="n"/>
      <x:c r="M62" s="299" t="n"/>
      <x:c r="N62" s="299" t="n"/>
      <x:c r="O62" s="299" t="n"/>
      <x:c r="P62" s="100" t="n"/>
      <x:c r="Q62" s="299" t="n"/>
      <x:c r="R62" s="299" t="n"/>
      <x:c r="S62" s="299" t="n"/>
      <x:c r="T62" s="299" t="n"/>
      <x:c r="U62" s="299" t="n"/>
      <x:c r="V62" s="299" t="n"/>
      <x:c r="W62" s="299" t="n"/>
      <x:c r="X62" s="299" t="n"/>
      <x:c r="Y62" s="100" t="n"/>
      <x:c r="Z62" s="100" t="n"/>
      <x:c r="AA62" s="100" t="n"/>
      <x:c r="AB62" s="101" t="n"/>
      <x:c r="AC62" s="100" t="n"/>
      <x:c r="AD62" s="100" t="n"/>
      <x:c r="AE62" s="101" t="n"/>
      <x:c r="AF62" s="299" t="n"/>
      <x:c r="AG62" s="100" t="n"/>
      <x:c r="AH62" s="299" t="n"/>
      <x:c r="AI62" s="123" t="n"/>
      <x:c r="AJ62" s="299" t="n"/>
      <x:c r="AK62" s="299" t="n"/>
      <x:c r="AL62" s="299" t="n"/>
      <x:c r="AM62" s="299" t="n"/>
      <x:c r="AN62" s="299" t="n"/>
      <x:c r="AO62" s="299" t="n"/>
      <x:c r="AP62" s="299" t="n"/>
      <x:c r="AQ62" s="299" t="n"/>
      <x:c r="AR62" s="299" t="n"/>
      <x:c r="AS62" s="299" t="n"/>
      <x:c r="AT62" s="302" t="n"/>
      <x:c r="AU62" s="302" t="n"/>
      <x:c r="AV62" s="302" t="n"/>
      <x:c r="AW62" s="302" t="n"/>
      <x:c r="AX62" s="302" t="n"/>
      <x:c r="AY62" s="302" t="n"/>
      <x:c r="AZ62" s="302" t="n"/>
      <x:c r="BA62" s="302" t="n"/>
      <x:c r="BB62" s="302" t="n"/>
      <x:c r="BC62" s="302" t="n"/>
      <x:c r="BD62" s="302" t="n"/>
      <x:c r="BE62" s="302" t="n"/>
      <x:c r="BF62" s="302" t="n"/>
      <x:c r="BG62" s="302" t="n"/>
      <x:c r="BH62" s="302" t="n"/>
      <x:c r="BI62" s="302" t="n"/>
      <x:c r="BJ62" s="302" t="n"/>
      <x:c r="BK62" s="302" t="n"/>
      <x:c r="BL62" s="302" t="n"/>
      <x:c r="BM62" s="302" t="n"/>
      <x:c r="BN62" s="302" t="n"/>
      <x:c r="BO62" s="302" t="n"/>
      <x:c r="BP62" s="302" t="n"/>
      <x:c r="BQ62" s="302" t="n"/>
      <x:c r="BR62" s="302" t="n"/>
      <x:c r="BS62" s="302" t="n"/>
      <x:c r="BT62" s="302" t="n"/>
      <x:c r="BU62" s="302" t="n"/>
      <x:c r="BV62" s="302" t="n"/>
      <x:c r="BW62" s="302" t="n"/>
      <x:c r="BX62" s="302" t="n"/>
      <x:c r="BY62" s="302" t="n"/>
      <x:c r="BZ62" s="302" t="n"/>
      <x:c r="CA62" s="302" t="n">
        <x:v>0.00421156834750528</x:v>
      </x:c>
      <x:c r="CB62" s="302" t="n"/>
      <x:c r="CC62" s="302" t="n"/>
      <x:c r="CD62" s="302" t="n"/>
      <x:c r="CE62" s="302" t="n"/>
      <x:c r="CF62" s="302" t="n"/>
      <x:c r="CG62" s="302" t="n"/>
      <x:c r="CH62" s="302" t="n"/>
      <x:c r="CI62" s="302" t="n"/>
      <x:c r="CJ62" s="302" t="n"/>
      <x:c r="CK62" s="302" t="n"/>
      <x:c r="CL62" s="302" t="n"/>
      <x:c r="CM62" s="302" t="n"/>
      <x:c r="CN62" s="302" t="n"/>
      <x:c r="CO62" s="302" t="n"/>
      <x:c r="CP62" s="302" t="n"/>
      <x:c r="CQ62" s="302" t="n"/>
      <x:c r="CR62" s="302" t="n"/>
      <x:c r="CS62" s="302" t="n"/>
      <x:c r="CT62" s="302" t="n"/>
      <x:c r="CU62" s="302" t="n"/>
      <x:c r="CV62" s="302" t="n"/>
      <x:c r="CW62" s="302" t="n"/>
      <x:c r="CX62" s="302" t="n"/>
      <x:c r="CY62" s="302" t="n"/>
      <x:c r="CZ62" s="302" t="n"/>
      <x:c r="DA62" s="302" t="n"/>
      <x:c r="DB62" s="302" t="n"/>
      <x:c r="DC62" s="302" t="n"/>
      <x:c r="DD62" s="302" t="n"/>
      <x:c r="DE62" s="302" t="n"/>
      <x:c r="DF62" s="302" t="n"/>
      <x:c r="DG62" s="302" t="n"/>
      <x:c r="DH62" s="302" t="n"/>
      <x:c r="DI62" s="302" t="n"/>
      <x:c r="DJ62" s="302" t="n"/>
      <x:c r="DK62" s="302" t="n"/>
      <x:c r="DL62" s="302" t="n"/>
      <x:c r="DM62" s="302" t="n"/>
      <x:c r="DN62" s="302" t="n"/>
      <x:c r="DO62" s="302" t="n"/>
      <x:c r="DP62" s="302" t="n"/>
      <x:c r="DQ62" s="302" t="n"/>
      <x:c r="DR62" s="302" t="n"/>
      <x:c r="DS62" s="302" t="n"/>
      <x:c r="DT62" s="302" t="n"/>
      <x:c r="DU62" s="302" t="n"/>
      <x:c r="DV62" s="302" t="n"/>
      <x:c r="DW62" s="302" t="n"/>
      <x:c r="DX62" s="302" t="n"/>
      <x:c r="DY62" s="302" t="n"/>
      <x:c r="DZ62" s="302" t="n"/>
      <x:c r="EA62" s="302" t="n"/>
      <x:c r="EB62" s="302" t="n"/>
      <x:c r="EC62" s="302" t="n"/>
      <x:c r="ED62" s="302" t="n"/>
      <x:c r="EE62" s="302" t="n"/>
      <x:c r="EF62" s="302" t="n"/>
      <x:c r="EG62" s="302" t="n"/>
      <x:c r="EH62" s="302" t="n"/>
      <x:c r="EI62" s="302" t="n"/>
      <x:c r="EJ62" s="302" t="n"/>
      <x:c r="EK62" s="302" t="n"/>
      <x:c r="EL62" s="302" t="n"/>
      <x:c r="EM62" s="302" t="n"/>
      <x:c r="EN62" s="302" t="n"/>
      <x:c r="EO62" s="302" t="n"/>
      <x:c r="EP62" s="302" t="n"/>
      <x:c r="EQ62" s="302" t="n"/>
      <x:c r="ER62" s="302" t="n"/>
      <x:c r="ES62" s="302" t="n"/>
      <x:c r="ET62" s="302" t="n"/>
      <x:c r="EU62" s="302" t="n"/>
      <x:c r="EV62" s="302" t="n"/>
      <x:c r="EW62" s="302" t="n"/>
      <x:c r="EX62" s="302" t="n"/>
      <x:c r="EY62" s="302" t="n"/>
    </x:row>
    <x:row r="63" s="27" customFormat="1">
      <x:c r="A63" s="38" t="n"/>
      <x:c r="B63" s="37" t="n"/>
      <x:c r="C63" s="86" t="n">
        <x:f>E63*D$5</x:f>
        <x:v>0</x:v>
      </x:c>
      <x:c r="D63" s="103" t="inlineStr">
        <x:is>
          <x:t xml:space="preserve">Gilbert C. Fuchs</x:t>
        </x:is>
      </x:c>
      <x:c r="E63" s="86" t="n">
        <x:f>SUM(G63:HS63)</x:f>
        <x:v>0</x:v>
      </x:c>
      <x:c r="F63" s="126" t="inlineStr">
        <x:is>
          <x:t xml:space="preserve"/>
        </x:is>
      </x:c>
      <x:c r="G63" s="299" t="n"/>
      <x:c r="H63" s="299" t="n"/>
      <x:c r="I63" s="299" t="n"/>
      <x:c r="J63" s="299" t="n"/>
      <x:c r="K63" s="299" t="n"/>
      <x:c r="L63" s="299" t="n"/>
      <x:c r="M63" s="299" t="n"/>
      <x:c r="N63" s="299" t="n"/>
      <x:c r="O63" s="299" t="n"/>
      <x:c r="P63" s="100" t="n"/>
      <x:c r="Q63" s="299" t="n"/>
      <x:c r="R63" s="299" t="n"/>
      <x:c r="S63" s="299" t="n"/>
      <x:c r="T63" s="299" t="n"/>
      <x:c r="U63" s="299" t="n"/>
      <x:c r="V63" s="299" t="n"/>
      <x:c r="W63" s="299" t="n"/>
      <x:c r="X63" s="299" t="n"/>
      <x:c r="Y63" s="100" t="n"/>
      <x:c r="Z63" s="100" t="n"/>
      <x:c r="AA63" s="100" t="n"/>
      <x:c r="AB63" s="100" t="n"/>
      <x:c r="AC63" s="101" t="n"/>
      <x:c r="AD63" s="101" t="n"/>
      <x:c r="AE63" s="100" t="n"/>
      <x:c r="AF63" s="299" t="n"/>
      <x:c r="AG63" s="100" t="n"/>
      <x:c r="AH63" s="299" t="n"/>
      <x:c r="AI63" s="123" t="n"/>
      <x:c r="AJ63" s="299" t="n"/>
      <x:c r="AK63" s="299" t="n"/>
      <x:c r="AL63" s="299" t="n"/>
      <x:c r="AM63" s="299" t="n"/>
      <x:c r="AN63" s="299" t="n"/>
      <x:c r="AO63" s="299" t="n"/>
      <x:c r="AP63" s="299" t="n"/>
      <x:c r="AQ63" s="299" t="n"/>
      <x:c r="AR63" s="299" t="n"/>
      <x:c r="AS63" s="299" t="n"/>
      <x:c r="AT63" s="302" t="n"/>
      <x:c r="AU63" s="302" t="n"/>
      <x:c r="AV63" s="302" t="n"/>
      <x:c r="AW63" s="302" t="n"/>
      <x:c r="AX63" s="302" t="n"/>
      <x:c r="AY63" s="302" t="n"/>
      <x:c r="AZ63" s="302" t="n"/>
      <x:c r="BA63" s="302" t="n"/>
      <x:c r="BB63" s="302" t="n"/>
      <x:c r="BC63" s="302" t="n"/>
      <x:c r="BD63" s="302" t="n"/>
      <x:c r="BE63" s="302" t="n"/>
      <x:c r="BF63" s="302" t="n"/>
      <x:c r="BG63" s="302" t="n"/>
      <x:c r="BH63" s="302" t="n"/>
      <x:c r="BI63" s="302" t="n"/>
      <x:c r="BJ63" s="302" t="n"/>
      <x:c r="BK63" s="302" t="n"/>
      <x:c r="BL63" s="302" t="n"/>
      <x:c r="BM63" s="302" t="n"/>
      <x:c r="BN63" s="302" t="n"/>
      <x:c r="BO63" s="302" t="n"/>
      <x:c r="BP63" s="302" t="n"/>
      <x:c r="BQ63" s="302" t="n"/>
      <x:c r="BR63" s="302" t="n"/>
      <x:c r="BS63" s="302" t="n"/>
      <x:c r="BT63" s="302" t="n"/>
      <x:c r="BU63" s="302" t="n"/>
      <x:c r="BV63" s="302" t="n"/>
      <x:c r="BW63" s="302" t="n"/>
      <x:c r="BX63" s="302" t="n"/>
      <x:c r="BY63" s="302" t="n"/>
      <x:c r="BZ63" s="302" t="n"/>
      <x:c r="CA63" s="302" t="n"/>
      <x:c r="CB63" s="302" t="n">
        <x:v>0</x:v>
      </x:c>
      <x:c r="CC63" s="302" t="n"/>
      <x:c r="CD63" s="302" t="n"/>
      <x:c r="CE63" s="302" t="n"/>
      <x:c r="CF63" s="302" t="n"/>
      <x:c r="CG63" s="302" t="n"/>
      <x:c r="CH63" s="302" t="n"/>
      <x:c r="CI63" s="302" t="n"/>
      <x:c r="CJ63" s="302" t="n"/>
      <x:c r="CK63" s="302" t="n"/>
      <x:c r="CL63" s="302" t="n"/>
      <x:c r="CM63" s="302" t="n"/>
      <x:c r="CN63" s="302" t="n"/>
      <x:c r="CO63" s="302" t="n"/>
      <x:c r="CP63" s="302" t="n"/>
      <x:c r="CQ63" s="302" t="n"/>
      <x:c r="CR63" s="302" t="n"/>
      <x:c r="CS63" s="302" t="n"/>
      <x:c r="CT63" s="302" t="n"/>
      <x:c r="CU63" s="302" t="n"/>
      <x:c r="CV63" s="302" t="n"/>
      <x:c r="CW63" s="302" t="n"/>
      <x:c r="CX63" s="302" t="n"/>
      <x:c r="CY63" s="302" t="n"/>
      <x:c r="CZ63" s="302" t="n"/>
      <x:c r="DA63" s="302" t="n"/>
      <x:c r="DB63" s="302" t="n"/>
      <x:c r="DC63" s="302" t="n"/>
      <x:c r="DD63" s="302" t="n"/>
      <x:c r="DE63" s="302" t="n"/>
      <x:c r="DF63" s="302" t="n"/>
      <x:c r="DG63" s="302" t="n"/>
      <x:c r="DH63" s="302" t="n"/>
      <x:c r="DI63" s="302" t="n"/>
      <x:c r="DJ63" s="302" t="n"/>
      <x:c r="DK63" s="302" t="n"/>
      <x:c r="DL63" s="302" t="n"/>
      <x:c r="DM63" s="302" t="n"/>
      <x:c r="DN63" s="302" t="n"/>
      <x:c r="DO63" s="302" t="n"/>
      <x:c r="DP63" s="302" t="n"/>
      <x:c r="DQ63" s="302" t="n"/>
      <x:c r="DR63" s="302" t="n"/>
      <x:c r="DS63" s="302" t="n"/>
      <x:c r="DT63" s="302" t="n"/>
      <x:c r="DU63" s="302" t="n"/>
      <x:c r="DV63" s="302" t="n"/>
      <x:c r="DW63" s="302" t="n"/>
      <x:c r="DX63" s="302" t="n"/>
      <x:c r="DY63" s="302" t="n"/>
      <x:c r="DZ63" s="302" t="n"/>
      <x:c r="EA63" s="302" t="n"/>
      <x:c r="EB63" s="302" t="n"/>
      <x:c r="EC63" s="302" t="n"/>
      <x:c r="ED63" s="302" t="n"/>
      <x:c r="EE63" s="302" t="n"/>
      <x:c r="EF63" s="302" t="n"/>
      <x:c r="EG63" s="302" t="n"/>
      <x:c r="EH63" s="302" t="n"/>
      <x:c r="EI63" s="302" t="n"/>
      <x:c r="EJ63" s="302" t="n"/>
      <x:c r="EK63" s="302" t="n"/>
      <x:c r="EL63" s="302" t="n"/>
      <x:c r="EM63" s="302" t="n"/>
      <x:c r="EN63" s="302" t="n"/>
      <x:c r="EO63" s="302" t="n"/>
      <x:c r="EP63" s="302" t="n"/>
      <x:c r="EQ63" s="302" t="n"/>
      <x:c r="ER63" s="302" t="n"/>
      <x:c r="ES63" s="302" t="n"/>
      <x:c r="ET63" s="302" t="n"/>
      <x:c r="EU63" s="302" t="n"/>
      <x:c r="EV63" s="302" t="n"/>
      <x:c r="EW63" s="302" t="n"/>
      <x:c r="EX63" s="302" t="n"/>
      <x:c r="EY63" s="302" t="n"/>
    </x:row>
    <x:row r="64" s="27" customFormat="1">
      <x:c r="A64" s="38" t="n"/>
      <x:c r="B64" s="37" t="n"/>
      <x:c r="C64" s="36" t="n">
        <x:f>E64*D$5</x:f>
        <x:v>0</x:v>
      </x:c>
      <x:c r="D64" s="104" t="inlineStr">
        <x:is>
          <x:t xml:space="preserve">Fuchs Family Revocable Trust</x:t>
        </x:is>
      </x:c>
      <x:c r="E64" s="36" t="n">
        <x:f>SUM(G64:HS64)</x:f>
        <x:v>0</x:v>
      </x:c>
      <x:c r="F64" s="126" t="inlineStr">
        <x:is>
          <x:t xml:space="preserve"/>
        </x:is>
      </x:c>
      <x:c r="G64" s="299" t="n"/>
      <x:c r="H64" s="299" t="n"/>
      <x:c r="I64" s="299" t="n"/>
      <x:c r="J64" s="299" t="n"/>
      <x:c r="K64" s="299" t="n"/>
      <x:c r="L64" s="299" t="n"/>
      <x:c r="M64" s="299" t="n"/>
      <x:c r="N64" s="299" t="n"/>
      <x:c r="O64" s="299" t="n"/>
      <x:c r="P64" s="100" t="n"/>
      <x:c r="Q64" s="299" t="n"/>
      <x:c r="R64" s="299" t="n"/>
      <x:c r="S64" s="299" t="n"/>
      <x:c r="T64" s="299" t="n"/>
      <x:c r="U64" s="299" t="n"/>
      <x:c r="V64" s="299" t="n"/>
      <x:c r="W64" s="299" t="n"/>
      <x:c r="X64" s="299" t="n"/>
      <x:c r="Y64" s="100" t="n"/>
      <x:c r="Z64" s="100" t="n"/>
      <x:c r="AA64" s="100" t="n"/>
      <x:c r="AB64" s="100" t="n"/>
      <x:c r="AC64" s="100" t="n"/>
      <x:c r="AD64" s="100" t="n"/>
      <x:c r="AE64" s="101" t="n"/>
      <x:c r="AF64" s="299" t="n"/>
      <x:c r="AG64" s="100" t="n"/>
      <x:c r="AH64" s="299" t="n"/>
      <x:c r="AI64" s="123" t="n"/>
      <x:c r="AJ64" s="299" t="n"/>
      <x:c r="AK64" s="299" t="n"/>
      <x:c r="AL64" s="299" t="n"/>
      <x:c r="AM64" s="299" t="n"/>
      <x:c r="AN64" s="299" t="n"/>
      <x:c r="AO64" s="299" t="n"/>
      <x:c r="AP64" s="299" t="n"/>
      <x:c r="AQ64" s="299" t="n"/>
      <x:c r="AR64" s="299" t="n"/>
      <x:c r="AS64" s="299" t="n"/>
      <x:c r="AT64" s="302" t="n"/>
      <x:c r="AU64" s="302" t="n"/>
      <x:c r="AV64" s="302" t="n"/>
      <x:c r="AW64" s="302" t="n"/>
      <x:c r="AX64" s="302" t="n"/>
      <x:c r="AY64" s="302" t="n"/>
      <x:c r="AZ64" s="302" t="n"/>
      <x:c r="BA64" s="302" t="n"/>
      <x:c r="BB64" s="302" t="n"/>
      <x:c r="BC64" s="302" t="n"/>
      <x:c r="BD64" s="302" t="n"/>
      <x:c r="BE64" s="302" t="n"/>
      <x:c r="BF64" s="302" t="n"/>
      <x:c r="BG64" s="302" t="n"/>
      <x:c r="BH64" s="302" t="n"/>
      <x:c r="BI64" s="302" t="n"/>
      <x:c r="BJ64" s="302" t="n"/>
      <x:c r="BK64" s="302" t="n"/>
      <x:c r="BL64" s="302" t="n"/>
      <x:c r="BM64" s="302" t="n"/>
      <x:c r="BN64" s="302" t="n"/>
      <x:c r="BO64" s="302" t="n"/>
      <x:c r="BP64" s="302" t="n"/>
      <x:c r="BQ64" s="302" t="n"/>
      <x:c r="BR64" s="302" t="n"/>
      <x:c r="BS64" s="302" t="n"/>
      <x:c r="BT64" s="302" t="n"/>
      <x:c r="BU64" s="302" t="n"/>
      <x:c r="BV64" s="302" t="n"/>
      <x:c r="BW64" s="302" t="n"/>
      <x:c r="BX64" s="302" t="n"/>
      <x:c r="BY64" s="302" t="n"/>
      <x:c r="BZ64" s="302" t="n"/>
      <x:c r="CA64" s="302" t="n"/>
      <x:c r="CB64" s="302" t="n">
        <x:v>0</x:v>
      </x:c>
      <x:c r="CC64" s="302" t="n"/>
      <x:c r="CD64" s="302" t="n"/>
      <x:c r="CE64" s="302" t="n"/>
      <x:c r="CF64" s="302" t="n"/>
      <x:c r="CG64" s="302" t="n"/>
      <x:c r="CH64" s="302" t="n"/>
      <x:c r="CI64" s="302" t="n"/>
      <x:c r="CJ64" s="302" t="n"/>
      <x:c r="CK64" s="302" t="n"/>
      <x:c r="CL64" s="302" t="n"/>
      <x:c r="CM64" s="302" t="n"/>
      <x:c r="CN64" s="302" t="n"/>
      <x:c r="CO64" s="302" t="n"/>
      <x:c r="CP64" s="302" t="n"/>
      <x:c r="CQ64" s="302" t="n"/>
      <x:c r="CR64" s="302" t="n"/>
      <x:c r="CS64" s="302" t="n"/>
      <x:c r="CT64" s="302" t="n"/>
      <x:c r="CU64" s="302" t="n"/>
      <x:c r="CV64" s="302" t="n"/>
      <x:c r="CW64" s="302" t="n"/>
      <x:c r="CX64" s="302" t="n"/>
      <x:c r="CY64" s="302" t="n"/>
      <x:c r="CZ64" s="302" t="n"/>
      <x:c r="DA64" s="302" t="n"/>
      <x:c r="DB64" s="302" t="n"/>
      <x:c r="DC64" s="302" t="n"/>
      <x:c r="DD64" s="302" t="n"/>
      <x:c r="DE64" s="302" t="n"/>
      <x:c r="DF64" s="302" t="n"/>
      <x:c r="DG64" s="302" t="n"/>
      <x:c r="DH64" s="302" t="n"/>
      <x:c r="DI64" s="302" t="n"/>
      <x:c r="DJ64" s="302" t="n"/>
      <x:c r="DK64" s="302" t="n"/>
      <x:c r="DL64" s="302" t="n"/>
      <x:c r="DM64" s="302" t="n"/>
      <x:c r="DN64" s="302" t="n"/>
      <x:c r="DO64" s="302" t="n"/>
      <x:c r="DP64" s="302" t="n"/>
      <x:c r="DQ64" s="302" t="n"/>
      <x:c r="DR64" s="302" t="n"/>
      <x:c r="DS64" s="302" t="n"/>
      <x:c r="DT64" s="302" t="n"/>
      <x:c r="DU64" s="302" t="n"/>
      <x:c r="DV64" s="302" t="n"/>
      <x:c r="DW64" s="302" t="n"/>
      <x:c r="DX64" s="302" t="n"/>
      <x:c r="DY64" s="302" t="n"/>
      <x:c r="DZ64" s="302" t="n"/>
      <x:c r="EA64" s="302" t="n"/>
      <x:c r="EB64" s="302" t="n"/>
      <x:c r="EC64" s="302" t="n"/>
      <x:c r="ED64" s="302" t="n"/>
      <x:c r="EE64" s="302" t="n"/>
      <x:c r="EF64" s="302" t="n"/>
      <x:c r="EG64" s="302" t="n"/>
      <x:c r="EH64" s="302" t="n"/>
      <x:c r="EI64" s="302" t="n"/>
      <x:c r="EJ64" s="302" t="n"/>
      <x:c r="EK64" s="302" t="n"/>
      <x:c r="EL64" s="302" t="n"/>
      <x:c r="EM64" s="302" t="n"/>
      <x:c r="EN64" s="302" t="n"/>
      <x:c r="EO64" s="302" t="n"/>
      <x:c r="EP64" s="302" t="n"/>
      <x:c r="EQ64" s="302" t="n"/>
      <x:c r="ER64" s="302" t="n"/>
      <x:c r="ES64" s="302" t="n"/>
      <x:c r="ET64" s="302" t="n"/>
      <x:c r="EU64" s="302" t="n"/>
      <x:c r="EV64" s="302" t="n"/>
      <x:c r="EW64" s="302" t="n"/>
      <x:c r="EX64" s="302" t="n"/>
      <x:c r="EY64" s="302" t="n"/>
    </x:row>
    <x:row r="65" s="27" customFormat="1" ht="24" customHeight="1">
      <x:c r="A65" s="38" t="n"/>
      <x:c r="B65" s="37" t="n"/>
      <x:c r="C65" s="86" t="n">
        <x:f>E65*D$5</x:f>
        <x:v>-2.7755575615628914e-16</x:v>
      </x:c>
      <x:c r="D65" s="104" t="inlineStr">
        <x:is>
          <x:t xml:space="preserve">Melinda McCaul Mulvihill, Executor of the Estate of Dwight J. Wilson, deceased</x:t>
        </x:is>
      </x:c>
      <x:c r="E65" s="86" t="n">
        <x:f>SUM(G65:HS65)</x:f>
        <x:v>-1.734723475976807e-18</x:v>
      </x:c>
      <x:c r="F65" s="126" t="inlineStr">
        <x:is>
          <x:t xml:space="preserve"/>
        </x:is>
      </x:c>
      <x:c r="G65" s="299" t="n"/>
      <x:c r="H65" s="299" t="n"/>
      <x:c r="I65" s="299" t="n"/>
      <x:c r="J65" s="299" t="n"/>
      <x:c r="K65" s="299" t="n"/>
      <x:c r="L65" s="299" t="n"/>
      <x:c r="M65" s="299" t="n"/>
      <x:c r="N65" s="299" t="n"/>
      <x:c r="O65" s="299" t="n"/>
      <x:c r="P65" s="100" t="n"/>
      <x:c r="Q65" s="299" t="n"/>
      <x:c r="R65" s="299" t="n"/>
      <x:c r="S65" s="299" t="n"/>
      <x:c r="T65" s="299" t="n"/>
      <x:c r="U65" s="299" t="n"/>
      <x:c r="V65" s="299" t="n"/>
      <x:c r="W65" s="299" t="n"/>
      <x:c r="X65" s="299" t="n"/>
      <x:c r="Y65" s="100" t="n"/>
      <x:c r="Z65" s="100" t="n"/>
      <x:c r="AA65" s="100" t="n"/>
      <x:c r="AB65" s="100" t="n"/>
      <x:c r="AC65" s="100" t="n"/>
      <x:c r="AD65" s="100" t="n"/>
      <x:c r="AE65" s="101" t="n"/>
      <x:c r="AF65" s="299" t="n"/>
      <x:c r="AG65" s="100" t="n"/>
      <x:c r="AH65" s="299" t="n"/>
      <x:c r="AI65" s="123" t="n"/>
      <x:c r="AJ65" s="299" t="n"/>
      <x:c r="AK65" s="299" t="n"/>
      <x:c r="AL65" s="299" t="n"/>
      <x:c r="AM65" s="299" t="n"/>
      <x:c r="AN65" s="299" t="n"/>
      <x:c r="AO65" s="299" t="n"/>
      <x:c r="AP65" s="299" t="n"/>
      <x:c r="AQ65" s="299" t="n"/>
      <x:c r="AR65" s="299" t="n"/>
      <x:c r="AS65" s="299" t="n"/>
      <x:c r="AT65" s="302" t="n"/>
      <x:c r="AU65" s="302" t="n"/>
      <x:c r="AV65" s="302" t="n"/>
      <x:c r="AW65" s="302" t="n"/>
      <x:c r="AX65" s="302" t="n"/>
      <x:c r="AY65" s="302" t="n"/>
      <x:c r="AZ65" s="302" t="n"/>
      <x:c r="BA65" s="302" t="n"/>
      <x:c r="BB65" s="302" t="n"/>
      <x:c r="BC65" s="302" t="n"/>
      <x:c r="BD65" s="302" t="n"/>
      <x:c r="BE65" s="302" t="n"/>
      <x:c r="BF65" s="302" t="n"/>
      <x:c r="BG65" s="302" t="n"/>
      <x:c r="BH65" s="302" t="n"/>
      <x:c r="BI65" s="302" t="n"/>
      <x:c r="BJ65" s="302" t="n"/>
      <x:c r="BK65" s="302" t="n"/>
      <x:c r="BL65" s="302" t="n"/>
      <x:c r="BM65" s="302" t="n"/>
      <x:c r="BN65" s="302" t="n"/>
      <x:c r="BO65" s="302" t="n"/>
      <x:c r="BP65" s="302" t="n"/>
      <x:c r="BQ65" s="302" t="n"/>
      <x:c r="BR65" s="302" t="n"/>
      <x:c r="BS65" s="302" t="n"/>
      <x:c r="BT65" s="302" t="n"/>
      <x:c r="BU65" s="302" t="n"/>
      <x:c r="BV65" s="302" t="n"/>
      <x:c r="BW65" s="302" t="n"/>
      <x:c r="BX65" s="302" t="n"/>
      <x:c r="BY65" s="302" t="n"/>
      <x:c r="BZ65" s="302" t="n"/>
      <x:c r="CA65" s="302" t="n"/>
      <x:c r="CB65" s="302" t="n"/>
      <x:c r="CC65" s="302" t="n">
        <x:v>0.0126347176772335</x:v>
      </x:c>
      <x:c r="CD65" s="302" t="n">
        <x:v>0</x:v>
      </x:c>
      <x:c r="CE65" s="302" t="n"/>
      <x:c r="CF65" s="302" t="n"/>
      <x:c r="CG65" s="302" t="n"/>
      <x:c r="CH65" s="302" t="n"/>
      <x:c r="CI65" s="302" t="n"/>
      <x:c r="CJ65" s="302" t="n"/>
      <x:c r="CK65" s="302" t="n"/>
      <x:c r="CL65" s="302" t="n">
        <x:v>0</x:v>
      </x:c>
      <x:c r="CM65" s="302" t="n">
        <x:f>-10/791.47</x:f>
        <x:v>-0.012634717677233502</x:v>
      </x:c>
      <x:c r="CN65" s="302" t="n"/>
      <x:c r="CO65" s="302" t="n"/>
      <x:c r="CP65" s="302" t="n"/>
      <x:c r="CQ65" s="302" t="n"/>
      <x:c r="CR65" s="302" t="n"/>
      <x:c r="CS65" s="302" t="n"/>
      <x:c r="CT65" s="302" t="n"/>
      <x:c r="CU65" s="302" t="n"/>
      <x:c r="CV65" s="302" t="n"/>
      <x:c r="CW65" s="302" t="n"/>
      <x:c r="CX65" s="302" t="n"/>
      <x:c r="CY65" s="302" t="n"/>
      <x:c r="CZ65" s="302" t="n"/>
      <x:c r="DA65" s="302" t="n"/>
      <x:c r="DB65" s="302" t="n"/>
      <x:c r="DC65" s="302" t="n"/>
      <x:c r="DD65" s="302" t="n"/>
      <x:c r="DE65" s="302" t="n"/>
      <x:c r="DF65" s="302" t="n"/>
      <x:c r="DG65" s="302" t="n"/>
      <x:c r="DH65" s="302" t="n"/>
      <x:c r="DI65" s="302" t="n"/>
      <x:c r="DJ65" s="302" t="n"/>
      <x:c r="DK65" s="302" t="n"/>
      <x:c r="DL65" s="302" t="n"/>
      <x:c r="DM65" s="302" t="n"/>
      <x:c r="DN65" s="302" t="n"/>
      <x:c r="DO65" s="302" t="n"/>
      <x:c r="DP65" s="302" t="n"/>
      <x:c r="DQ65" s="302" t="n"/>
      <x:c r="DR65" s="302" t="n"/>
      <x:c r="DS65" s="302" t="n"/>
      <x:c r="DT65" s="302" t="n"/>
      <x:c r="DU65" s="302" t="n"/>
      <x:c r="DV65" s="302" t="n"/>
      <x:c r="DW65" s="302" t="n"/>
      <x:c r="DX65" s="302" t="n"/>
      <x:c r="DY65" s="302" t="n"/>
      <x:c r="DZ65" s="302" t="n"/>
      <x:c r="EA65" s="302" t="n"/>
      <x:c r="EB65" s="302" t="n"/>
      <x:c r="EC65" s="302" t="n"/>
      <x:c r="ED65" s="302" t="n"/>
      <x:c r="EE65" s="302" t="n"/>
      <x:c r="EF65" s="302" t="n"/>
      <x:c r="EG65" s="302" t="n"/>
      <x:c r="EH65" s="302" t="n"/>
      <x:c r="EI65" s="302" t="n"/>
      <x:c r="EJ65" s="302" t="n"/>
      <x:c r="EK65" s="302" t="n"/>
      <x:c r="EL65" s="302" t="n"/>
      <x:c r="EM65" s="302" t="n"/>
      <x:c r="EN65" s="302" t="n"/>
      <x:c r="EO65" s="302" t="n"/>
      <x:c r="EP65" s="302" t="n"/>
      <x:c r="EQ65" s="302" t="n"/>
      <x:c r="ER65" s="302" t="n"/>
      <x:c r="ES65" s="302" t="n"/>
      <x:c r="ET65" s="302" t="n"/>
      <x:c r="EU65" s="302" t="n"/>
      <x:c r="EV65" s="302" t="n"/>
      <x:c r="EW65" s="302" t="n"/>
      <x:c r="EX65" s="302" t="n"/>
      <x:c r="EY65" s="302" t="n"/>
    </x:row>
    <x:row r="66" s="27" customFormat="1">
      <x:c r="A66" s="38" t="n"/>
      <x:c r="B66" s="37" t="n"/>
      <x:c r="C66" s="86" t="n">
        <x:f>E66*D$5</x:f>
        <x:v>0.00005006986998873364</x:v>
      </x:c>
      <x:c r="D66" s="4" t="inlineStr">
        <x:is>
          <x:t xml:space="preserve">Dow C. Bain and Edris O. Bain, JTWROS</x:t>
        </x:is>
      </x:c>
      <x:c r="E66" s="86" t="n">
        <x:f>SUM(G66:HS66)</x:f>
        <x:v>3.1293668742958525e-7</x:v>
      </x:c>
      <x:c r="F66" s="126" t="inlineStr">
        <x:is>
          <x:t xml:space="preserve"/>
        </x:is>
      </x:c>
      <x:c r="G66" s="299" t="n"/>
      <x:c r="H66" s="302" t="n"/>
      <x:c r="I66" s="299" t="n"/>
      <x:c r="J66" s="299" t="n"/>
      <x:c r="K66" s="299" t="n"/>
      <x:c r="L66" s="299" t="n"/>
      <x:c r="M66" s="299" t="n"/>
      <x:c r="N66" s="299" t="n"/>
      <x:c r="O66" s="299" t="n"/>
      <x:c r="P66" s="100" t="n"/>
      <x:c r="Q66" s="299" t="n"/>
      <x:c r="R66" s="299" t="n"/>
      <x:c r="S66" s="299" t="n"/>
      <x:c r="T66" s="299" t="n"/>
      <x:c r="U66" s="299" t="n"/>
      <x:c r="V66" s="299" t="n"/>
      <x:c r="W66" s="299" t="n"/>
      <x:c r="X66" s="299" t="n"/>
      <x:c r="Y66" s="100" t="n"/>
      <x:c r="Z66" s="100" t="n"/>
      <x:c r="AA66" s="100" t="n"/>
      <x:c r="AB66" s="100" t="n"/>
      <x:c r="AC66" s="100" t="n"/>
      <x:c r="AD66" s="100" t="n"/>
      <x:c r="AE66" s="101" t="n"/>
      <x:c r="AF66" s="299" t="n"/>
      <x:c r="AG66" s="100" t="n"/>
      <x:c r="AH66" s="299" t="n"/>
      <x:c r="AI66" s="123" t="n"/>
      <x:c r="AJ66" s="299" t="n"/>
      <x:c r="AK66" s="299" t="n"/>
      <x:c r="AL66" s="299" t="n"/>
      <x:c r="AM66" s="299" t="n"/>
      <x:c r="AN66" s="299" t="n"/>
      <x:c r="AO66" s="299" t="n"/>
      <x:c r="AP66" s="299" t="n"/>
      <x:c r="AQ66" s="299" t="n"/>
      <x:c r="AR66" s="299" t="n"/>
      <x:c r="AS66" s="299" t="n"/>
      <x:c r="AT66" s="302" t="n"/>
      <x:c r="AU66" s="302" t="n"/>
      <x:c r="AV66" s="302" t="n"/>
      <x:c r="AW66" s="302" t="n"/>
      <x:c r="AX66" s="302" t="n"/>
      <x:c r="AY66" s="302" t="n"/>
      <x:c r="AZ66" s="302" t="n"/>
      <x:c r="BA66" s="302" t="n"/>
      <x:c r="BB66" s="302" t="n"/>
      <x:c r="BC66" s="302" t="n"/>
      <x:c r="BD66" s="302" t="n"/>
      <x:c r="BE66" s="302" t="n"/>
      <x:c r="BF66" s="302" t="n"/>
      <x:c r="BG66" s="302" t="n"/>
      <x:c r="BH66" s="302" t="n"/>
      <x:c r="BI66" s="302" t="n"/>
      <x:c r="BJ66" s="302" t="n"/>
      <x:c r="BK66" s="302" t="n"/>
      <x:c r="BL66" s="302" t="n"/>
      <x:c r="BM66" s="302" t="n"/>
      <x:c r="BN66" s="302" t="n"/>
      <x:c r="BO66" s="302" t="n"/>
      <x:c r="BP66" s="302" t="n"/>
      <x:c r="BQ66" s="302" t="n"/>
      <x:c r="BR66" s="302" t="n"/>
      <x:c r="BS66" s="302" t="n"/>
      <x:c r="BT66" s="302" t="n"/>
      <x:c r="BU66" s="302" t="n"/>
      <x:c r="BV66" s="302" t="n"/>
      <x:c r="BW66" s="302" t="n"/>
      <x:c r="BX66" s="302" t="n"/>
      <x:c r="BY66" s="302" t="n"/>
      <x:c r="BZ66" s="302" t="n"/>
      <x:c r="CA66" s="302" t="n"/>
      <x:c r="CB66" s="302" t="n"/>
      <x:c r="CC66" s="302" t="n"/>
      <x:c r="CD66" s="302" t="n"/>
      <x:c r="CE66" s="302" t="n">
        <x:v>0.00610631293668743</x:v>
      </x:c>
      <x:c r="CF66" s="302" t="n"/>
      <x:c r="CG66" s="302" t="n"/>
      <x:c r="CH66" s="302" t="n"/>
      <x:c r="CI66" s="302" t="n"/>
      <x:c r="CJ66" s="302" t="n"/>
      <x:c r="CK66" s="302" t="n"/>
      <x:c r="CL66" s="302" t="n"/>
      <x:c r="CM66" s="302" t="n"/>
      <x:c r="CN66" s="302" t="n"/>
      <x:c r="CO66" s="302" t="n"/>
      <x:c r="CP66" s="302" t="n"/>
      <x:c r="CQ66" s="302" t="n"/>
      <x:c r="CR66" s="302" t="n"/>
      <x:c r="CS66" s="302" t="n"/>
      <x:c r="CT66" s="302" t="n"/>
      <x:c r="CU66" s="302" t="n"/>
      <x:c r="CV66" s="302" t="n"/>
      <x:c r="CW66" s="302" t="n"/>
      <x:c r="CX66" s="302" t="n"/>
      <x:c r="CY66" s="302" t="n"/>
      <x:c r="CZ66" s="302" t="n"/>
      <x:c r="DA66" s="302" t="n"/>
      <x:c r="DB66" s="302" t="n"/>
      <x:c r="DC66" s="302" t="n"/>
      <x:c r="DD66" s="302" t="n"/>
      <x:c r="DE66" s="302" t="n"/>
      <x:c r="DF66" s="302" t="n">
        <x:v>-0.006106</x:v>
      </x:c>
      <x:c r="DG66" s="302" t="n"/>
      <x:c r="DH66" s="302" t="n"/>
      <x:c r="DI66" s="302" t="n"/>
      <x:c r="DJ66" s="302" t="n"/>
      <x:c r="DK66" s="302" t="n"/>
      <x:c r="DL66" s="302" t="n"/>
      <x:c r="DM66" s="302" t="n"/>
      <x:c r="DN66" s="302" t="n"/>
      <x:c r="DO66" s="302" t="n"/>
      <x:c r="DP66" s="302" t="n"/>
      <x:c r="DQ66" s="302" t="n"/>
      <x:c r="DR66" s="302" t="n"/>
      <x:c r="DS66" s="302" t="n"/>
      <x:c r="DT66" s="302" t="n"/>
      <x:c r="DU66" s="302" t="n"/>
      <x:c r="DV66" s="302" t="n"/>
      <x:c r="DW66" s="302" t="n"/>
      <x:c r="DX66" s="302" t="n"/>
      <x:c r="DY66" s="302" t="n"/>
      <x:c r="DZ66" s="302" t="n"/>
      <x:c r="EA66" s="302" t="n"/>
      <x:c r="EB66" s="302" t="n"/>
      <x:c r="EC66" s="302" t="n"/>
      <x:c r="ED66" s="302" t="n"/>
      <x:c r="EE66" s="302" t="n"/>
      <x:c r="EF66" s="302" t="n"/>
      <x:c r="EG66" s="302" t="n"/>
      <x:c r="EH66" s="302" t="n"/>
      <x:c r="EI66" s="302" t="n"/>
      <x:c r="EJ66" s="302" t="n"/>
      <x:c r="EK66" s="302" t="n"/>
      <x:c r="EL66" s="302" t="n"/>
      <x:c r="EM66" s="302" t="n"/>
      <x:c r="EN66" s="302" t="n"/>
      <x:c r="EO66" s="302" t="n"/>
      <x:c r="EP66" s="302" t="n"/>
      <x:c r="EQ66" s="302" t="n"/>
      <x:c r="ER66" s="302" t="n"/>
      <x:c r="ES66" s="302" t="n"/>
      <x:c r="ET66" s="302" t="n"/>
      <x:c r="EU66" s="302" t="n"/>
      <x:c r="EV66" s="302" t="n"/>
      <x:c r="EW66" s="302" t="n"/>
      <x:c r="EX66" s="302" t="n"/>
      <x:c r="EY66" s="302" t="n"/>
    </x:row>
    <x:row r="67" s="27" customFormat="1">
      <x:c r="A67" s="38" t="n"/>
      <x:c r="B67" s="37" t="n"/>
      <x:c r="C67" s="36" t="n">
        <x:f>E67*D$5</x:f>
        <x:v>0.9770100698699888</x:v>
      </x:c>
      <x:c r="D67" s="523" t="inlineStr">
        <x:is>
          <x:t xml:space="preserve">Hazel Ailene Hamilton</x:t>
        </x:is>
      </x:c>
      <x:c r="E67" s="36" t="n">
        <x:f>SUM(G67:HS67)</x:f>
        <x:v>0.00610631293668743</x:v>
      </x:c>
      <x:c r="F67" s="126" t="inlineStr">
        <x:is>
          <x:t xml:space="preserve"/>
        </x:is>
      </x:c>
      <x:c r="G67" s="299" t="n"/>
      <x:c r="H67" s="302" t="n"/>
      <x:c r="I67" s="299" t="n"/>
      <x:c r="J67" s="299" t="n"/>
      <x:c r="K67" s="299" t="n"/>
      <x:c r="L67" s="299" t="n"/>
      <x:c r="M67" s="299" t="n"/>
      <x:c r="N67" s="299" t="n"/>
      <x:c r="O67" s="299" t="n"/>
      <x:c r="P67" s="100" t="n"/>
      <x:c r="Q67" s="299" t="n"/>
      <x:c r="R67" s="299" t="n"/>
      <x:c r="S67" s="299" t="n"/>
      <x:c r="T67" s="299" t="n"/>
      <x:c r="U67" s="299" t="n"/>
      <x:c r="V67" s="299" t="n"/>
      <x:c r="W67" s="299" t="n"/>
      <x:c r="X67" s="299" t="n"/>
      <x:c r="Y67" s="100" t="n"/>
      <x:c r="Z67" s="100" t="n"/>
      <x:c r="AA67" s="100" t="n"/>
      <x:c r="AB67" s="100" t="n"/>
      <x:c r="AC67" s="100" t="n"/>
      <x:c r="AD67" s="100" t="n"/>
      <x:c r="AE67" s="101" t="n"/>
      <x:c r="AF67" s="299" t="n"/>
      <x:c r="AG67" s="100" t="n"/>
      <x:c r="AH67" s="299" t="n"/>
      <x:c r="AI67" s="123" t="n"/>
      <x:c r="AJ67" s="299" t="n"/>
      <x:c r="AK67" s="299" t="n"/>
      <x:c r="AL67" s="299" t="n"/>
      <x:c r="AM67" s="299" t="n"/>
      <x:c r="AN67" s="299" t="n"/>
      <x:c r="AO67" s="299" t="n"/>
      <x:c r="AP67" s="299" t="n"/>
      <x:c r="AQ67" s="299" t="n"/>
      <x:c r="AR67" s="299" t="n"/>
      <x:c r="AS67" s="299" t="n"/>
      <x:c r="AT67" s="302" t="n"/>
      <x:c r="AU67" s="302" t="n"/>
      <x:c r="AV67" s="302" t="n"/>
      <x:c r="AW67" s="302" t="n"/>
      <x:c r="AX67" s="302" t="n"/>
      <x:c r="AY67" s="302" t="n"/>
      <x:c r="AZ67" s="302" t="n"/>
      <x:c r="BA67" s="302" t="n"/>
      <x:c r="BB67" s="302" t="n"/>
      <x:c r="BC67" s="302" t="n"/>
      <x:c r="BD67" s="302" t="n"/>
      <x:c r="BE67" s="302" t="n"/>
      <x:c r="BF67" s="302" t="n"/>
      <x:c r="BG67" s="302" t="n"/>
      <x:c r="BH67" s="302" t="n"/>
      <x:c r="BI67" s="302" t="n"/>
      <x:c r="BJ67" s="302" t="n"/>
      <x:c r="BK67" s="302" t="n"/>
      <x:c r="BL67" s="302" t="n"/>
      <x:c r="BM67" s="302" t="n"/>
      <x:c r="BN67" s="302" t="n"/>
      <x:c r="BO67" s="302" t="n"/>
      <x:c r="BP67" s="302" t="n"/>
      <x:c r="BQ67" s="302" t="n"/>
      <x:c r="BR67" s="302" t="n"/>
      <x:c r="BS67" s="302" t="n"/>
      <x:c r="BT67" s="302" t="n"/>
      <x:c r="BU67" s="302" t="n"/>
      <x:c r="BV67" s="302" t="n"/>
      <x:c r="BW67" s="302" t="n"/>
      <x:c r="BX67" s="302" t="n"/>
      <x:c r="BY67" s="302" t="n"/>
      <x:c r="BZ67" s="302" t="n"/>
      <x:c r="CA67" s="302" t="n"/>
      <x:c r="CB67" s="302" t="n"/>
      <x:c r="CC67" s="302" t="n"/>
      <x:c r="CD67" s="302" t="n"/>
      <x:c r="CE67" s="302" t="n"/>
      <x:c r="CF67" s="302" t="n"/>
      <x:c r="CG67" s="302" t="n"/>
      <x:c r="CH67" s="302" t="n"/>
      <x:c r="CI67" s="302" t="n">
        <x:v>0.00610631293668743</x:v>
      </x:c>
      <x:c r="CJ67" s="302" t="n"/>
      <x:c r="CK67" s="302" t="n"/>
      <x:c r="CL67" s="302" t="n"/>
      <x:c r="CM67" s="302" t="n"/>
      <x:c r="CN67" s="302" t="n"/>
      <x:c r="CO67" s="302" t="n"/>
      <x:c r="CP67" s="302" t="n"/>
      <x:c r="CQ67" s="302" t="n"/>
      <x:c r="CR67" s="302" t="n"/>
      <x:c r="CS67" s="302" t="n"/>
      <x:c r="CT67" s="302" t="n"/>
      <x:c r="CU67" s="302" t="n"/>
      <x:c r="CV67" s="302" t="n"/>
      <x:c r="CW67" s="302" t="n"/>
      <x:c r="CX67" s="302" t="n"/>
      <x:c r="CY67" s="302" t="n"/>
      <x:c r="CZ67" s="302" t="n"/>
      <x:c r="DA67" s="302" t="n"/>
      <x:c r="DB67" s="302" t="n"/>
      <x:c r="DC67" s="302" t="n"/>
      <x:c r="DD67" s="302" t="n"/>
      <x:c r="DE67" s="302" t="n"/>
      <x:c r="DF67" s="302" t="n"/>
      <x:c r="DG67" s="302" t="n"/>
      <x:c r="DH67" s="302" t="n"/>
      <x:c r="DI67" s="302" t="n"/>
      <x:c r="DJ67" s="302" t="n"/>
      <x:c r="DK67" s="302" t="n"/>
      <x:c r="DL67" s="302" t="n"/>
      <x:c r="DM67" s="302" t="n"/>
      <x:c r="DN67" s="302" t="n"/>
      <x:c r="DO67" s="302" t="n"/>
      <x:c r="DP67" s="302" t="n"/>
      <x:c r="DQ67" s="302" t="n"/>
      <x:c r="DR67" s="302" t="n"/>
      <x:c r="DS67" s="302" t="n"/>
      <x:c r="DT67" s="302" t="n"/>
      <x:c r="DU67" s="302" t="n"/>
      <x:c r="DV67" s="302" t="n"/>
      <x:c r="DW67" s="302" t="n"/>
      <x:c r="DX67" s="302" t="n"/>
      <x:c r="DY67" s="302" t="n"/>
      <x:c r="DZ67" s="302" t="n"/>
      <x:c r="EA67" s="302" t="n"/>
      <x:c r="EB67" s="302" t="n"/>
      <x:c r="EC67" s="302" t="n"/>
      <x:c r="ED67" s="302" t="n"/>
      <x:c r="EE67" s="302" t="n"/>
      <x:c r="EF67" s="302" t="n"/>
      <x:c r="EG67" s="302" t="n"/>
      <x:c r="EH67" s="302" t="n"/>
      <x:c r="EI67" s="302" t="n"/>
      <x:c r="EJ67" s="302" t="n"/>
      <x:c r="EK67" s="302" t="n"/>
      <x:c r="EL67" s="302" t="n"/>
      <x:c r="EM67" s="302" t="n"/>
      <x:c r="EN67" s="302" t="n"/>
      <x:c r="EO67" s="302" t="n"/>
      <x:c r="EP67" s="302" t="n"/>
      <x:c r="EQ67" s="302" t="n"/>
      <x:c r="ER67" s="302" t="n"/>
      <x:c r="ES67" s="302" t="n"/>
      <x:c r="ET67" s="302" t="n"/>
      <x:c r="EU67" s="302" t="n"/>
      <x:c r="EV67" s="302" t="n"/>
      <x:c r="EW67" s="302" t="n"/>
      <x:c r="EX67" s="302" t="n"/>
      <x:c r="EY67" s="302" t="n"/>
    </x:row>
    <x:row r="68" s="27" customFormat="1">
      <x:c r="A68" s="38" t="n"/>
      <x:c r="B68" s="37" t="n"/>
      <x:c r="C68" s="36" t="n">
        <x:f>E68*D$5</x:f>
        <x:v>0</x:v>
      </x:c>
      <x:c r="D68" s="104" t="inlineStr">
        <x:is>
          <x:t xml:space="preserve">Rogene E. Williams</x:t>
        </x:is>
      </x:c>
      <x:c r="E68" s="36" t="n">
        <x:f>SUM(G68:HS68)</x:f>
        <x:v>0</x:v>
      </x:c>
      <x:c r="F68" s="126" t="inlineStr">
        <x:is>
          <x:t xml:space="preserve"/>
        </x:is>
      </x:c>
      <x:c r="G68" s="299" t="n"/>
      <x:c r="H68" s="302" t="n"/>
      <x:c r="I68" s="299" t="n"/>
      <x:c r="J68" s="299" t="n"/>
      <x:c r="K68" s="299" t="n"/>
      <x:c r="L68" s="299" t="n"/>
      <x:c r="M68" s="299" t="n"/>
      <x:c r="N68" s="299" t="n"/>
      <x:c r="O68" s="299" t="n"/>
      <x:c r="P68" s="100" t="n"/>
      <x:c r="Q68" s="299" t="n"/>
      <x:c r="R68" s="299" t="n"/>
      <x:c r="S68" s="299" t="n"/>
      <x:c r="T68" s="299" t="n"/>
      <x:c r="U68" s="299" t="n"/>
      <x:c r="V68" s="299" t="n"/>
      <x:c r="W68" s="299" t="n"/>
      <x:c r="X68" s="299" t="n"/>
      <x:c r="Y68" s="100" t="n"/>
      <x:c r="Z68" s="100" t="n"/>
      <x:c r="AA68" s="100" t="n"/>
      <x:c r="AB68" s="100" t="n"/>
      <x:c r="AC68" s="100" t="n"/>
      <x:c r="AD68" s="100" t="n"/>
      <x:c r="AE68" s="100" t="n"/>
      <x:c r="AF68" s="299" t="n"/>
      <x:c r="AG68" s="100" t="n"/>
      <x:c r="AH68" s="299" t="n"/>
      <x:c r="AI68" s="124" t="n"/>
      <x:c r="AJ68" s="299" t="n"/>
      <x:c r="AK68" s="299" t="n"/>
      <x:c r="AL68" s="299" t="n"/>
      <x:c r="AM68" s="299" t="n"/>
      <x:c r="AN68" s="299" t="n"/>
      <x:c r="AO68" s="299" t="n"/>
      <x:c r="AP68" s="299" t="n"/>
      <x:c r="AQ68" s="299" t="n"/>
      <x:c r="AR68" s="299" t="n"/>
      <x:c r="AS68" s="299" t="n"/>
      <x:c r="AT68" s="302" t="n"/>
      <x:c r="AU68" s="302" t="n"/>
      <x:c r="AV68" s="302" t="n"/>
      <x:c r="AW68" s="302" t="n"/>
      <x:c r="AX68" s="302" t="n"/>
      <x:c r="AY68" s="302" t="n"/>
      <x:c r="AZ68" s="302" t="n"/>
      <x:c r="BA68" s="302" t="n"/>
      <x:c r="BB68" s="302" t="n"/>
      <x:c r="BC68" s="302" t="n"/>
      <x:c r="BD68" s="302" t="n"/>
      <x:c r="BE68" s="302" t="n"/>
      <x:c r="BF68" s="302" t="n"/>
      <x:c r="BG68" s="302" t="n"/>
      <x:c r="BH68" s="302" t="n"/>
      <x:c r="BI68" s="302" t="n"/>
      <x:c r="BJ68" s="302" t="n"/>
      <x:c r="BK68" s="302" t="n"/>
      <x:c r="BL68" s="302" t="n"/>
      <x:c r="BM68" s="302" t="n"/>
      <x:c r="BN68" s="302" t="n"/>
      <x:c r="BO68" s="302" t="n"/>
      <x:c r="BP68" s="302" t="n"/>
      <x:c r="BQ68" s="302" t="n"/>
      <x:c r="BR68" s="302" t="n"/>
      <x:c r="BS68" s="302" t="n"/>
      <x:c r="BT68" s="302" t="n"/>
      <x:c r="BU68" s="302" t="n"/>
      <x:c r="BV68" s="302" t="n"/>
      <x:c r="BW68" s="302" t="n"/>
      <x:c r="BX68" s="302" t="n"/>
      <x:c r="BY68" s="302" t="n"/>
      <x:c r="BZ68" s="302" t="n"/>
      <x:c r="CA68" s="302" t="n"/>
      <x:c r="CB68" s="302" t="n"/>
      <x:c r="CC68" s="302" t="n"/>
      <x:c r="CD68" s="302" t="n"/>
      <x:c r="CE68" s="302" t="n"/>
      <x:c r="CF68" s="302" t="n"/>
      <x:c r="CG68" s="302" t="n"/>
      <x:c r="CH68" s="302" t="n"/>
      <x:c r="CI68" s="302" t="n"/>
      <x:c r="CJ68" s="302" t="n"/>
      <x:c r="CK68" s="302" t="n"/>
      <x:c r="CL68" s="302" t="n"/>
      <x:c r="CM68" s="302" t="n">
        <x:f>(10/791.47)*(3/14)</x:f>
        <x:v>0.0027074395022643216</x:v>
      </x:c>
      <x:c r="CN68" s="302" t="n"/>
      <x:c r="CO68" s="302" t="n"/>
      <x:c r="CP68" s="302" t="n">
        <x:f>-(10/791.47)*(3/14)</x:f>
        <x:v>-0.0027074395022643216</x:v>
      </x:c>
      <x:c r="CQ68" s="302" t="n"/>
      <x:c r="CR68" s="302" t="n"/>
      <x:c r="CS68" s="302" t="n"/>
      <x:c r="CT68" s="302" t="n"/>
      <x:c r="CU68" s="302" t="n"/>
      <x:c r="CV68" s="302" t="n"/>
      <x:c r="CW68" s="302" t="n"/>
      <x:c r="CX68" s="302" t="n"/>
      <x:c r="CY68" s="302" t="n"/>
      <x:c r="CZ68" s="302" t="n"/>
      <x:c r="DA68" s="302" t="n"/>
      <x:c r="DB68" s="302" t="n"/>
      <x:c r="DC68" s="302" t="n"/>
      <x:c r="DD68" s="302" t="n"/>
      <x:c r="DE68" s="302" t="n"/>
      <x:c r="DF68" s="302" t="n"/>
      <x:c r="DG68" s="302" t="n"/>
      <x:c r="DH68" s="302" t="n"/>
      <x:c r="DI68" s="302" t="n"/>
      <x:c r="DJ68" s="302" t="n"/>
      <x:c r="DK68" s="302" t="n"/>
      <x:c r="DL68" s="302" t="n"/>
      <x:c r="DM68" s="302" t="n"/>
      <x:c r="DN68" s="302" t="n"/>
      <x:c r="DO68" s="302" t="n"/>
      <x:c r="DP68" s="302" t="n"/>
      <x:c r="DQ68" s="302" t="n"/>
      <x:c r="DR68" s="302" t="n"/>
      <x:c r="DS68" s="302" t="n"/>
      <x:c r="DT68" s="302" t="n"/>
      <x:c r="DU68" s="302" t="n"/>
      <x:c r="DV68" s="302" t="n"/>
      <x:c r="DW68" s="302" t="n"/>
      <x:c r="DX68" s="302" t="n"/>
      <x:c r="DY68" s="302" t="n"/>
      <x:c r="DZ68" s="302" t="n"/>
      <x:c r="EA68" s="302" t="n"/>
      <x:c r="EB68" s="302" t="n"/>
      <x:c r="EC68" s="302" t="n"/>
      <x:c r="ED68" s="302" t="n"/>
      <x:c r="EE68" s="302" t="n"/>
      <x:c r="EF68" s="302" t="n"/>
      <x:c r="EG68" s="302" t="n"/>
      <x:c r="EH68" s="302" t="n"/>
      <x:c r="EI68" s="302" t="n"/>
      <x:c r="EJ68" s="302" t="n"/>
      <x:c r="EK68" s="302" t="n"/>
      <x:c r="EL68" s="302" t="n"/>
      <x:c r="EM68" s="302" t="n"/>
      <x:c r="EN68" s="302" t="n"/>
      <x:c r="EO68" s="302" t="n"/>
      <x:c r="EP68" s="302" t="n"/>
      <x:c r="EQ68" s="302" t="n"/>
      <x:c r="ER68" s="302" t="n"/>
      <x:c r="ES68" s="302" t="n"/>
      <x:c r="ET68" s="302" t="n"/>
      <x:c r="EU68" s="302" t="n"/>
      <x:c r="EV68" s="302" t="n"/>
      <x:c r="EW68" s="302" t="n"/>
      <x:c r="EX68" s="302" t="n"/>
      <x:c r="EY68" s="302" t="n"/>
    </x:row>
    <x:row r="69" s="27" customFormat="1">
      <x:c r="A69" s="38" t="n"/>
      <x:c r="B69" s="37" t="n"/>
      <x:c r="C69" s="36" t="n">
        <x:f>E69*D$5</x:f>
        <x:v>0.43319032036229144</x:v>
      </x:c>
      <x:c r="D69" s="4" t="inlineStr">
        <x:is>
          <x:t xml:space="preserve">Rive Lind McCaul</x:t>
        </x:is>
      </x:c>
      <x:c r="E69" s="36" t="n">
        <x:f>SUM(G69:HS69)</x:f>
        <x:v>0.0027074395022643216</x:v>
      </x:c>
      <x:c r="F69" s="126" t="inlineStr">
        <x:is>
          <x:t xml:space="preserve"/>
        </x:is>
      </x:c>
      <x:c r="G69" s="299" t="n"/>
      <x:c r="H69" s="299" t="n"/>
      <x:c r="I69" s="299" t="n"/>
      <x:c r="J69" s="299" t="n"/>
      <x:c r="K69" s="299" t="n"/>
      <x:c r="L69" s="299" t="n"/>
      <x:c r="M69" s="299" t="n"/>
      <x:c r="N69" s="299" t="n"/>
      <x:c r="O69" s="299" t="n"/>
      <x:c r="P69" s="100" t="n"/>
      <x:c r="Q69" s="299" t="n"/>
      <x:c r="R69" s="299" t="n"/>
      <x:c r="S69" s="299" t="n"/>
      <x:c r="T69" s="299" t="n"/>
      <x:c r="U69" s="299" t="n"/>
      <x:c r="V69" s="299" t="n"/>
      <x:c r="W69" s="299" t="n"/>
      <x:c r="X69" s="299" t="n"/>
      <x:c r="Y69" s="100" t="n"/>
      <x:c r="Z69" s="100" t="n"/>
      <x:c r="AA69" s="100" t="n"/>
      <x:c r="AB69" s="100" t="n"/>
      <x:c r="AC69" s="100" t="n"/>
      <x:c r="AD69" s="100" t="n"/>
      <x:c r="AE69" s="100" t="n"/>
      <x:c r="AF69" s="299" t="n"/>
      <x:c r="AG69" s="100" t="n"/>
      <x:c r="AH69" s="299" t="n"/>
      <x:c r="AI69" s="123" t="n"/>
      <x:c r="AJ69" s="299" t="n"/>
      <x:c r="AK69" s="299" t="n"/>
      <x:c r="AL69" s="299" t="n"/>
      <x:c r="AM69" s="299" t="n"/>
      <x:c r="AN69" s="299" t="n"/>
      <x:c r="AO69" s="299" t="n"/>
      <x:c r="AP69" s="299" t="n"/>
      <x:c r="AQ69" s="299" t="n"/>
      <x:c r="AR69" s="299" t="n"/>
      <x:c r="AS69" s="299" t="n"/>
      <x:c r="AT69" s="302" t="n"/>
      <x:c r="AU69" s="302" t="n"/>
      <x:c r="AV69" s="302" t="n"/>
      <x:c r="AW69" s="302" t="n"/>
      <x:c r="AX69" s="302" t="n"/>
      <x:c r="AY69" s="302" t="n"/>
      <x:c r="AZ69" s="302" t="n"/>
      <x:c r="BA69" s="302" t="n"/>
      <x:c r="BB69" s="302" t="n"/>
      <x:c r="BC69" s="302" t="n"/>
      <x:c r="BD69" s="302" t="n"/>
      <x:c r="BE69" s="302" t="n"/>
      <x:c r="BF69" s="302" t="n"/>
      <x:c r="BG69" s="302" t="n"/>
      <x:c r="BH69" s="302" t="n"/>
      <x:c r="BI69" s="302" t="n"/>
      <x:c r="BJ69" s="302" t="n"/>
      <x:c r="BK69" s="302" t="n"/>
      <x:c r="BL69" s="302" t="n"/>
      <x:c r="BM69" s="302" t="n"/>
      <x:c r="BN69" s="302" t="n"/>
      <x:c r="BO69" s="302" t="n"/>
      <x:c r="BP69" s="302" t="n"/>
      <x:c r="BQ69" s="302" t="n"/>
      <x:c r="BR69" s="302" t="n"/>
      <x:c r="BS69" s="302" t="n"/>
      <x:c r="BT69" s="302" t="n"/>
      <x:c r="BU69" s="302" t="n"/>
      <x:c r="BV69" s="302" t="n"/>
      <x:c r="BW69" s="302" t="n"/>
      <x:c r="BX69" s="302" t="n"/>
      <x:c r="BY69" s="302" t="n"/>
      <x:c r="BZ69" s="302" t="n"/>
      <x:c r="CA69" s="302" t="n"/>
      <x:c r="CB69" s="302" t="n"/>
      <x:c r="CC69" s="302" t="n"/>
      <x:c r="CD69" s="302" t="n"/>
      <x:c r="CE69" s="302" t="n"/>
      <x:c r="CF69" s="302" t="n"/>
      <x:c r="CG69" s="302" t="n"/>
      <x:c r="CH69" s="302" t="n"/>
      <x:c r="CI69" s="302" t="n"/>
      <x:c r="CJ69" s="302" t="n"/>
      <x:c r="CK69" s="302" t="n"/>
      <x:c r="CL69" s="302" t="n"/>
      <x:c r="CM69" s="302" t="n">
        <x:f>(10/791.47)*(3/14)</x:f>
        <x:v>0.0027074395022643216</x:v>
      </x:c>
      <x:c r="CN69" s="302" t="n"/>
      <x:c r="CO69" s="302" t="n"/>
      <x:c r="CP69" s="302" t="n"/>
      <x:c r="CQ69" s="302" t="n"/>
      <x:c r="CR69" s="302" t="n"/>
      <x:c r="CS69" s="302" t="n"/>
      <x:c r="CT69" s="302" t="n"/>
      <x:c r="CU69" s="302" t="n"/>
      <x:c r="CV69" s="302" t="n"/>
      <x:c r="CW69" s="302" t="n"/>
      <x:c r="CX69" s="302" t="n"/>
      <x:c r="CY69" s="302" t="n"/>
      <x:c r="CZ69" s="302" t="n"/>
      <x:c r="DA69" s="302" t="n"/>
      <x:c r="DB69" s="302" t="n"/>
      <x:c r="DC69" s="302" t="n"/>
      <x:c r="DD69" s="302" t="n"/>
      <x:c r="DE69" s="302" t="n"/>
      <x:c r="DF69" s="302" t="n"/>
      <x:c r="DG69" s="302" t="n"/>
      <x:c r="DH69" s="302" t="n"/>
      <x:c r="DI69" s="302" t="n"/>
      <x:c r="DJ69" s="302" t="n"/>
      <x:c r="DK69" s="302" t="n"/>
      <x:c r="DL69" s="302" t="n"/>
      <x:c r="DM69" s="302" t="n"/>
      <x:c r="DN69" s="302" t="n"/>
      <x:c r="DO69" s="302" t="n"/>
      <x:c r="DP69" s="302" t="n"/>
      <x:c r="DQ69" s="302" t="n"/>
      <x:c r="DR69" s="302" t="n"/>
      <x:c r="DS69" s="302" t="n"/>
      <x:c r="DT69" s="302" t="n"/>
      <x:c r="DU69" s="302" t="n"/>
      <x:c r="DV69" s="302" t="n"/>
      <x:c r="DW69" s="302" t="n"/>
      <x:c r="DX69" s="302" t="n"/>
      <x:c r="DY69" s="302" t="n"/>
      <x:c r="DZ69" s="302" t="n"/>
      <x:c r="EA69" s="302" t="n"/>
      <x:c r="EB69" s="302" t="n"/>
      <x:c r="EC69" s="302" t="n"/>
      <x:c r="ED69" s="302" t="n"/>
      <x:c r="EE69" s="302" t="n"/>
      <x:c r="EF69" s="302" t="n"/>
      <x:c r="EG69" s="302" t="n"/>
      <x:c r="EH69" s="302" t="n"/>
      <x:c r="EI69" s="302" t="n"/>
      <x:c r="EJ69" s="302" t="n"/>
      <x:c r="EK69" s="302" t="n"/>
      <x:c r="EL69" s="302" t="n"/>
      <x:c r="EM69" s="302" t="n"/>
      <x:c r="EN69" s="302" t="n"/>
      <x:c r="EO69" s="302" t="n"/>
      <x:c r="EP69" s="302" t="n"/>
      <x:c r="EQ69" s="302" t="n"/>
      <x:c r="ER69" s="302" t="n"/>
      <x:c r="ES69" s="302" t="n"/>
      <x:c r="ET69" s="302" t="n"/>
      <x:c r="EU69" s="302" t="n"/>
      <x:c r="EV69" s="302" t="n"/>
      <x:c r="EW69" s="302" t="n"/>
      <x:c r="EX69" s="302" t="n"/>
      <x:c r="EY69" s="302" t="n"/>
    </x:row>
    <x:row r="70" s="27" customFormat="1">
      <x:c r="A70" s="38" t="n"/>
      <x:c r="B70" s="37" t="n"/>
      <x:c r="C70" s="36" t="n">
        <x:f>E70*D$5</x:f>
        <x:v>0</x:v>
      </x:c>
      <x:c r="D70" s="103" t="inlineStr">
        <x:is>
          <x:t xml:space="preserve">Dwight J. Williams</x:t>
        </x:is>
      </x:c>
      <x:c r="E70" s="36" t="n">
        <x:f>SUM(G70:HS70)</x:f>
        <x:v>0</x:v>
      </x:c>
      <x:c r="F70" s="126" t="inlineStr">
        <x:is>
          <x:t xml:space="preserve"/>
        </x:is>
      </x:c>
      <x:c r="G70" s="299" t="n"/>
      <x:c r="H70" s="299" t="n"/>
      <x:c r="I70" s="299" t="n"/>
      <x:c r="J70" s="299" t="n"/>
      <x:c r="K70" s="299" t="n"/>
      <x:c r="L70" s="299" t="n"/>
      <x:c r="M70" s="299" t="n"/>
      <x:c r="N70" s="299" t="n"/>
      <x:c r="O70" s="299" t="n"/>
      <x:c r="P70" s="100" t="n"/>
      <x:c r="Q70" s="299" t="n"/>
      <x:c r="R70" s="299" t="n"/>
      <x:c r="S70" s="299" t="n"/>
      <x:c r="T70" s="299" t="n"/>
      <x:c r="U70" s="299" t="n"/>
      <x:c r="V70" s="299" t="n"/>
      <x:c r="W70" s="299" t="n"/>
      <x:c r="X70" s="299" t="n"/>
      <x:c r="Y70" s="100" t="n"/>
      <x:c r="Z70" s="100" t="n"/>
      <x:c r="AA70" s="100" t="n"/>
      <x:c r="AB70" s="100" t="n"/>
      <x:c r="AC70" s="100" t="n"/>
      <x:c r="AD70" s="100" t="n"/>
      <x:c r="AE70" s="100" t="n"/>
      <x:c r="AF70" s="299" t="n"/>
      <x:c r="AG70" s="100" t="n"/>
      <x:c r="AH70" s="299" t="n"/>
      <x:c r="AI70" s="123" t="n"/>
      <x:c r="AJ70" s="299" t="n"/>
      <x:c r="AK70" s="299" t="n"/>
      <x:c r="AL70" s="299" t="n"/>
      <x:c r="AM70" s="299" t="n"/>
      <x:c r="AN70" s="299" t="n"/>
      <x:c r="AO70" s="299" t="n"/>
      <x:c r="AP70" s="299" t="n"/>
      <x:c r="AQ70" s="299" t="n"/>
      <x:c r="AR70" s="299" t="n"/>
      <x:c r="AS70" s="299" t="n"/>
      <x:c r="AT70" s="302" t="n"/>
      <x:c r="AU70" s="302" t="n"/>
      <x:c r="AV70" s="302" t="n"/>
      <x:c r="AW70" s="302" t="n"/>
      <x:c r="AX70" s="302" t="n"/>
      <x:c r="AY70" s="302" t="n"/>
      <x:c r="AZ70" s="302" t="n"/>
      <x:c r="BA70" s="302" t="n"/>
      <x:c r="BB70" s="302" t="n"/>
      <x:c r="BC70" s="302" t="n"/>
      <x:c r="BD70" s="302" t="n"/>
      <x:c r="BE70" s="302" t="n"/>
      <x:c r="BF70" s="302" t="n"/>
      <x:c r="BG70" s="302" t="n"/>
      <x:c r="BH70" s="302" t="n"/>
      <x:c r="BI70" s="302" t="n"/>
      <x:c r="BJ70" s="302" t="n"/>
      <x:c r="BK70" s="302" t="n"/>
      <x:c r="BL70" s="302" t="n"/>
      <x:c r="BM70" s="302" t="n"/>
      <x:c r="BN70" s="302" t="n"/>
      <x:c r="BO70" s="302" t="n"/>
      <x:c r="BP70" s="302" t="n"/>
      <x:c r="BQ70" s="302" t="n"/>
      <x:c r="BR70" s="302" t="n"/>
      <x:c r="BS70" s="302" t="n"/>
      <x:c r="BT70" s="302" t="n"/>
      <x:c r="BU70" s="302" t="n"/>
      <x:c r="BV70" s="302" t="n"/>
      <x:c r="BW70" s="302" t="n"/>
      <x:c r="BX70" s="302" t="n"/>
      <x:c r="BY70" s="302" t="n"/>
      <x:c r="BZ70" s="302" t="n"/>
      <x:c r="CA70" s="302" t="n"/>
      <x:c r="CB70" s="302" t="n"/>
      <x:c r="CC70" s="302" t="n"/>
      <x:c r="CD70" s="302" t="n"/>
      <x:c r="CE70" s="302" t="n"/>
      <x:c r="CF70" s="302" t="n"/>
      <x:c r="CG70" s="302" t="n"/>
      <x:c r="CH70" s="302" t="n"/>
      <x:c r="CI70" s="302" t="n"/>
      <x:c r="CJ70" s="302" t="n"/>
      <x:c r="CK70" s="302" t="n"/>
      <x:c r="CL70" s="302" t="n"/>
      <x:c r="CM70" s="302" t="n">
        <x:f>(10/791.47)*(1/7)</x:f>
        <x:v>0.0018049596681762145</x:v>
      </x:c>
      <x:c r="CN70" s="302" t="n"/>
      <x:c r="CO70" s="302" t="n"/>
      <x:c r="CP70" s="302" t="n"/>
      <x:c r="CQ70" s="302" t="n"/>
      <x:c r="CR70" s="302" t="n"/>
      <x:c r="CS70" s="302" t="n"/>
      <x:c r="CT70" s="302" t="n"/>
      <x:c r="CU70" s="302" t="n"/>
      <x:c r="CV70" s="302" t="n"/>
      <x:c r="CW70" s="302" t="n"/>
      <x:c r="CX70" s="302" t="n"/>
      <x:c r="CY70" s="302" t="n"/>
      <x:c r="CZ70" s="302" t="n"/>
      <x:c r="DA70" s="302" t="n"/>
      <x:c r="DB70" s="302" t="n"/>
      <x:c r="DC70" s="302" t="n"/>
      <x:c r="DD70" s="302" t="n"/>
      <x:c r="DE70" s="302" t="n"/>
      <x:c r="DF70" s="302" t="n"/>
      <x:c r="DG70" s="302" t="n"/>
      <x:c r="DH70" s="302" t="n"/>
      <x:c r="DI70" s="302" t="n"/>
      <x:c r="DJ70" s="302" t="n"/>
      <x:c r="DK70" s="302" t="n"/>
      <x:c r="DL70" s="302" t="n"/>
      <x:c r="DM70" s="302" t="n"/>
      <x:c r="DN70" s="302" t="n"/>
      <x:c r="DO70" s="302" t="n"/>
      <x:c r="DP70" s="302" t="n"/>
      <x:c r="DQ70" s="302" t="n"/>
      <x:c r="DR70" s="302" t="n"/>
      <x:c r="DS70" s="302" t="n"/>
      <x:c r="DT70" s="302" t="n"/>
      <x:c r="DU70" s="302" t="n"/>
      <x:c r="DV70" s="302" t="n"/>
      <x:c r="DW70" s="302" t="n">
        <x:f>-(10/791.47)*(1/7)</x:f>
        <x:v>-0.0018049596681762145</x:v>
      </x:c>
      <x:c r="DX70" s="302" t="n"/>
      <x:c r="DY70" s="302" t="n"/>
      <x:c r="DZ70" s="302" t="n"/>
      <x:c r="EA70" s="302" t="n"/>
      <x:c r="EB70" s="302" t="n"/>
      <x:c r="EC70" s="302" t="n"/>
      <x:c r="ED70" s="302" t="n"/>
      <x:c r="EE70" s="302" t="n"/>
      <x:c r="EF70" s="302" t="n"/>
      <x:c r="EG70" s="302" t="n"/>
      <x:c r="EH70" s="302" t="n"/>
      <x:c r="EI70" s="302" t="n"/>
      <x:c r="EJ70" s="302" t="n"/>
      <x:c r="EK70" s="302" t="n"/>
      <x:c r="EL70" s="302" t="n"/>
      <x:c r="EM70" s="302" t="n"/>
      <x:c r="EN70" s="302" t="n"/>
      <x:c r="EO70" s="302" t="n"/>
      <x:c r="EP70" s="302" t="n"/>
      <x:c r="EQ70" s="302" t="n"/>
      <x:c r="ER70" s="302" t="n"/>
      <x:c r="ES70" s="302" t="n"/>
      <x:c r="ET70" s="302" t="n"/>
      <x:c r="EU70" s="302" t="n"/>
      <x:c r="EV70" s="302" t="n"/>
      <x:c r="EW70" s="302" t="n"/>
      <x:c r="EX70" s="302" t="n"/>
      <x:c r="EY70" s="302" t="n"/>
    </x:row>
    <x:row r="71" s="27" customFormat="1">
      <x:c r="A71" s="38" t="n"/>
      <x:c r="B71" s="37" t="n"/>
      <x:c r="C71" s="36" t="n">
        <x:f>E71*D$5</x:f>
        <x:v>0</x:v>
      </x:c>
      <x:c r="D71" s="103" t="inlineStr">
        <x:is>
          <x:t xml:space="preserve">Jon T. Williams, Jr.</x:t>
        </x:is>
      </x:c>
      <x:c r="E71" s="36" t="n">
        <x:f>SUM(G71:HS71)</x:f>
        <x:v>0</x:v>
      </x:c>
      <x:c r="F71" s="126" t="inlineStr">
        <x:is>
          <x:t xml:space="preserve"/>
        </x:is>
      </x:c>
      <x:c r="G71" s="299" t="n"/>
      <x:c r="H71" s="299" t="n"/>
      <x:c r="I71" s="299" t="n"/>
      <x:c r="J71" s="299" t="n"/>
      <x:c r="K71" s="299" t="n"/>
      <x:c r="L71" s="299" t="n"/>
      <x:c r="M71" s="299" t="n"/>
      <x:c r="N71" s="299" t="n"/>
      <x:c r="O71" s="299" t="n"/>
      <x:c r="P71" s="100" t="n"/>
      <x:c r="Q71" s="299" t="n"/>
      <x:c r="R71" s="299" t="n"/>
      <x:c r="S71" s="299" t="n"/>
      <x:c r="T71" s="299" t="n"/>
      <x:c r="U71" s="299" t="n"/>
      <x:c r="V71" s="299" t="n"/>
      <x:c r="W71" s="299" t="n"/>
      <x:c r="X71" s="299" t="n"/>
      <x:c r="Y71" s="100" t="n"/>
      <x:c r="Z71" s="100" t="n"/>
      <x:c r="AA71" s="100" t="n"/>
      <x:c r="AB71" s="100" t="n"/>
      <x:c r="AC71" s="100" t="n"/>
      <x:c r="AD71" s="100" t="n"/>
      <x:c r="AE71" s="100" t="n"/>
      <x:c r="AF71" s="299" t="n"/>
      <x:c r="AG71" s="100" t="n"/>
      <x:c r="AH71" s="299" t="n"/>
      <x:c r="AI71" s="123" t="n"/>
      <x:c r="AJ71" s="299" t="n"/>
      <x:c r="AK71" s="299" t="n"/>
      <x:c r="AL71" s="299" t="n"/>
      <x:c r="AM71" s="299" t="n"/>
      <x:c r="AN71" s="299" t="n"/>
      <x:c r="AO71" s="299" t="n"/>
      <x:c r="AP71" s="299" t="n"/>
      <x:c r="AQ71" s="299" t="n"/>
      <x:c r="AR71" s="299" t="n"/>
      <x:c r="AS71" s="299" t="n"/>
      <x:c r="AT71" s="302" t="n"/>
      <x:c r="AU71" s="302" t="n"/>
      <x:c r="AV71" s="302" t="n"/>
      <x:c r="AW71" s="302" t="n"/>
      <x:c r="AX71" s="302" t="n"/>
      <x:c r="AY71" s="302" t="n"/>
      <x:c r="AZ71" s="302" t="n"/>
      <x:c r="BA71" s="302" t="n"/>
      <x:c r="BB71" s="302" t="n"/>
      <x:c r="BC71" s="302" t="n"/>
      <x:c r="BD71" s="302" t="n"/>
      <x:c r="BE71" s="302" t="n"/>
      <x:c r="BF71" s="302" t="n"/>
      <x:c r="BG71" s="302" t="n"/>
      <x:c r="BH71" s="302" t="n"/>
      <x:c r="BI71" s="302" t="n"/>
      <x:c r="BJ71" s="302" t="n"/>
      <x:c r="BK71" s="302" t="n"/>
      <x:c r="BL71" s="302" t="n"/>
      <x:c r="BM71" s="302" t="n"/>
      <x:c r="BN71" s="302" t="n"/>
      <x:c r="BO71" s="302" t="n"/>
      <x:c r="BP71" s="302" t="n"/>
      <x:c r="BQ71" s="302" t="n"/>
      <x:c r="BR71" s="302" t="n"/>
      <x:c r="BS71" s="302" t="n"/>
      <x:c r="BT71" s="302" t="n"/>
      <x:c r="BU71" s="302" t="n"/>
      <x:c r="BV71" s="302" t="n"/>
      <x:c r="BW71" s="302" t="n"/>
      <x:c r="BX71" s="302" t="n"/>
      <x:c r="BY71" s="302" t="n"/>
      <x:c r="BZ71" s="302" t="n"/>
      <x:c r="CA71" s="302" t="n"/>
      <x:c r="CB71" s="302" t="n"/>
      <x:c r="CC71" s="302" t="n"/>
      <x:c r="CD71" s="302" t="n"/>
      <x:c r="CE71" s="302" t="n"/>
      <x:c r="CF71" s="302" t="n"/>
      <x:c r="CG71" s="302" t="n"/>
      <x:c r="CH71" s="302" t="n"/>
      <x:c r="CI71" s="302" t="n"/>
      <x:c r="CJ71" s="302" t="n"/>
      <x:c r="CK71" s="302" t="n"/>
      <x:c r="CL71" s="302" t="n"/>
      <x:c r="CM71" s="302" t="n">
        <x:f>(10/791.47)*(1/7)</x:f>
        <x:v>0.0018049596681762145</x:v>
      </x:c>
      <x:c r="CN71" s="302" t="n"/>
      <x:c r="CO71" s="302" t="n"/>
      <x:c r="CP71" s="302" t="n">
        <x:f>-(10/791.47)*(1/7)</x:f>
        <x:v>-0.0018049596681762145</x:v>
      </x:c>
      <x:c r="CQ71" s="302" t="n"/>
      <x:c r="CR71" s="302" t="n"/>
      <x:c r="CS71" s="302" t="n"/>
      <x:c r="CT71" s="302" t="n"/>
      <x:c r="CU71" s="302" t="n"/>
      <x:c r="CV71" s="302" t="n"/>
      <x:c r="CW71" s="302" t="n"/>
      <x:c r="CX71" s="302" t="n"/>
      <x:c r="CY71" s="302" t="n"/>
      <x:c r="CZ71" s="302" t="n"/>
      <x:c r="DA71" s="302" t="n"/>
      <x:c r="DB71" s="302" t="n"/>
      <x:c r="DC71" s="302" t="n"/>
      <x:c r="DD71" s="302" t="n"/>
      <x:c r="DE71" s="302" t="n"/>
      <x:c r="DF71" s="302" t="n"/>
      <x:c r="DG71" s="302" t="n"/>
      <x:c r="DH71" s="302" t="n"/>
      <x:c r="DI71" s="302" t="n"/>
      <x:c r="DJ71" s="302" t="n"/>
      <x:c r="DK71" s="302" t="n"/>
      <x:c r="DL71" s="302" t="n"/>
      <x:c r="DM71" s="302" t="n"/>
      <x:c r="DN71" s="302" t="n"/>
      <x:c r="DO71" s="302" t="n"/>
      <x:c r="DP71" s="302" t="n"/>
      <x:c r="DQ71" s="302" t="n"/>
      <x:c r="DR71" s="302" t="n"/>
      <x:c r="DS71" s="302" t="n"/>
      <x:c r="DT71" s="302" t="n"/>
      <x:c r="DU71" s="302" t="n"/>
      <x:c r="DV71" s="302" t="n"/>
      <x:c r="DW71" s="302" t="n"/>
      <x:c r="DX71" s="302" t="n"/>
      <x:c r="DY71" s="302" t="n"/>
      <x:c r="DZ71" s="302" t="n"/>
      <x:c r="EA71" s="302" t="n"/>
      <x:c r="EB71" s="302" t="n"/>
      <x:c r="EC71" s="302" t="n"/>
      <x:c r="ED71" s="302" t="n"/>
      <x:c r="EE71" s="302" t="n"/>
      <x:c r="EF71" s="302" t="n"/>
      <x:c r="EG71" s="302" t="n"/>
      <x:c r="EH71" s="302" t="n"/>
      <x:c r="EI71" s="302" t="n"/>
      <x:c r="EJ71" s="302" t="n"/>
      <x:c r="EK71" s="302" t="n"/>
      <x:c r="EL71" s="302" t="n"/>
      <x:c r="EM71" s="302" t="n"/>
      <x:c r="EN71" s="302" t="n"/>
      <x:c r="EO71" s="302" t="n"/>
      <x:c r="EP71" s="302" t="n"/>
      <x:c r="EQ71" s="302" t="n"/>
      <x:c r="ER71" s="302" t="n"/>
      <x:c r="ES71" s="302" t="n"/>
      <x:c r="ET71" s="302" t="n"/>
      <x:c r="EU71" s="302" t="n"/>
      <x:c r="EV71" s="302" t="n"/>
      <x:c r="EW71" s="302" t="n"/>
      <x:c r="EX71" s="302" t="n"/>
      <x:c r="EY71" s="302" t="n"/>
    </x:row>
    <x:row r="72" s="27" customFormat="1">
      <x:c r="A72" s="38" t="n"/>
      <x:c r="B72" s="37" t="n"/>
      <x:c r="C72" s="36" t="n">
        <x:f>E72*D$5</x:f>
        <x:v>0</x:v>
      </x:c>
      <x:c r="D72" s="373" t="inlineStr">
        <x:is>
          <x:t xml:space="preserve">Jan Ann Schroff</x:t>
        </x:is>
      </x:c>
      <x:c r="E72" s="36" t="n">
        <x:f>SUM(G72:HS72)</x:f>
        <x:v>0</x:v>
      </x:c>
      <x:c r="F72" s="126" t="inlineStr">
        <x:is>
          <x:t xml:space="preserve"/>
        </x:is>
      </x:c>
      <x:c r="G72" s="299" t="n"/>
      <x:c r="H72" s="299" t="n"/>
      <x:c r="I72" s="299" t="n"/>
      <x:c r="J72" s="299" t="n"/>
      <x:c r="K72" s="299" t="n"/>
      <x:c r="L72" s="299" t="n"/>
      <x:c r="M72" s="299" t="n"/>
      <x:c r="N72" s="299" t="n"/>
      <x:c r="O72" s="299" t="n"/>
      <x:c r="P72" s="100" t="n"/>
      <x:c r="Q72" s="299" t="n"/>
      <x:c r="R72" s="299" t="n"/>
      <x:c r="S72" s="299" t="n"/>
      <x:c r="T72" s="299" t="n"/>
      <x:c r="U72" s="299" t="n"/>
      <x:c r="V72" s="299" t="n"/>
      <x:c r="W72" s="299" t="n"/>
      <x:c r="X72" s="299" t="n"/>
      <x:c r="Y72" s="100" t="n"/>
      <x:c r="Z72" s="100" t="n"/>
      <x:c r="AA72" s="100" t="n"/>
      <x:c r="AB72" s="100" t="n"/>
      <x:c r="AC72" s="100" t="n"/>
      <x:c r="AD72" s="100" t="n"/>
      <x:c r="AE72" s="100" t="n"/>
      <x:c r="AF72" s="299" t="n"/>
      <x:c r="AG72" s="100" t="n"/>
      <x:c r="AH72" s="299" t="n"/>
      <x:c r="AI72" s="123" t="n"/>
      <x:c r="AJ72" s="299" t="n"/>
      <x:c r="AK72" s="299" t="n"/>
      <x:c r="AL72" s="299" t="n"/>
      <x:c r="AM72" s="299" t="n"/>
      <x:c r="AN72" s="299" t="n"/>
      <x:c r="AO72" s="299" t="n"/>
      <x:c r="AP72" s="299" t="n"/>
      <x:c r="AQ72" s="299" t="n"/>
      <x:c r="AR72" s="299" t="n"/>
      <x:c r="AS72" s="299" t="n"/>
      <x:c r="AT72" s="302" t="n"/>
      <x:c r="AU72" s="302" t="n"/>
      <x:c r="AV72" s="302" t="n"/>
      <x:c r="AW72" s="302" t="n"/>
      <x:c r="AX72" s="302" t="n"/>
      <x:c r="AY72" s="302" t="n"/>
      <x:c r="AZ72" s="302" t="n"/>
      <x:c r="BA72" s="302" t="n"/>
      <x:c r="BB72" s="302" t="n"/>
      <x:c r="BC72" s="302" t="n"/>
      <x:c r="BD72" s="302" t="n"/>
      <x:c r="BE72" s="302" t="n"/>
      <x:c r="BF72" s="302" t="n"/>
      <x:c r="BG72" s="302" t="n"/>
      <x:c r="BH72" s="302" t="n"/>
      <x:c r="BI72" s="302" t="n"/>
      <x:c r="BJ72" s="302" t="n"/>
      <x:c r="BK72" s="302" t="n"/>
      <x:c r="BL72" s="302" t="n"/>
      <x:c r="BM72" s="302" t="n"/>
      <x:c r="BN72" s="302" t="n"/>
      <x:c r="BO72" s="302" t="n"/>
      <x:c r="BP72" s="302" t="n"/>
      <x:c r="BQ72" s="302" t="n"/>
      <x:c r="BR72" s="302" t="n"/>
      <x:c r="BS72" s="302" t="n"/>
      <x:c r="BT72" s="302" t="n"/>
      <x:c r="BU72" s="302" t="n"/>
      <x:c r="BV72" s="302" t="n"/>
      <x:c r="BW72" s="302" t="n"/>
      <x:c r="BX72" s="302" t="n"/>
      <x:c r="BY72" s="302" t="n"/>
      <x:c r="BZ72" s="302" t="n"/>
      <x:c r="CA72" s="302" t="n"/>
      <x:c r="CB72" s="302" t="n"/>
      <x:c r="CC72" s="302" t="n"/>
      <x:c r="CD72" s="302" t="n"/>
      <x:c r="CE72" s="302" t="n"/>
      <x:c r="CF72" s="302" t="n"/>
      <x:c r="CG72" s="302" t="n"/>
      <x:c r="CH72" s="302" t="n"/>
      <x:c r="CI72" s="302" t="n"/>
      <x:c r="CJ72" s="302" t="n"/>
      <x:c r="CK72" s="302" t="n"/>
      <x:c r="CL72" s="302" t="n"/>
      <x:c r="CM72" s="302" t="n">
        <x:f>(10/791.47)*(1/7)</x:f>
        <x:v>0.0018049596681762145</x:v>
      </x:c>
      <x:c r="CN72" s="302" t="n"/>
      <x:c r="CO72" s="302" t="n"/>
      <x:c r="CP72" s="302" t="n"/>
      <x:c r="CQ72" s="302" t="n">
        <x:f>-(10/791.47)*(1/7)</x:f>
        <x:v>-0.0018049596681762145</x:v>
      </x:c>
      <x:c r="CR72" s="302" t="n"/>
      <x:c r="CS72" s="302" t="n"/>
      <x:c r="CT72" s="302" t="n"/>
      <x:c r="CU72" s="302" t="n"/>
      <x:c r="CV72" s="302" t="n"/>
      <x:c r="CW72" s="302" t="n"/>
      <x:c r="CX72" s="302" t="n"/>
      <x:c r="CY72" s="302" t="n"/>
      <x:c r="CZ72" s="302" t="n"/>
      <x:c r="DA72" s="302" t="n"/>
      <x:c r="DB72" s="302" t="n"/>
      <x:c r="DC72" s="302" t="n"/>
      <x:c r="DD72" s="302" t="n"/>
      <x:c r="DE72" s="302" t="n"/>
      <x:c r="DF72" s="302" t="n"/>
      <x:c r="DG72" s="302" t="n"/>
      <x:c r="DH72" s="302" t="n"/>
      <x:c r="DI72" s="302" t="n"/>
      <x:c r="DJ72" s="302" t="n"/>
      <x:c r="DK72" s="302" t="n"/>
      <x:c r="DL72" s="302" t="n"/>
      <x:c r="DM72" s="302" t="n"/>
      <x:c r="DN72" s="302" t="n"/>
      <x:c r="DO72" s="302" t="n"/>
      <x:c r="DP72" s="302" t="n"/>
      <x:c r="DQ72" s="302" t="n"/>
      <x:c r="DR72" s="302" t="n"/>
      <x:c r="DS72" s="302" t="n"/>
      <x:c r="DT72" s="302" t="n"/>
      <x:c r="DU72" s="302" t="n"/>
      <x:c r="DV72" s="302" t="n"/>
      <x:c r="DW72" s="302" t="n"/>
      <x:c r="DX72" s="302" t="n"/>
      <x:c r="DY72" s="302" t="n"/>
      <x:c r="DZ72" s="302" t="n"/>
      <x:c r="EA72" s="302" t="n"/>
      <x:c r="EB72" s="302" t="n"/>
      <x:c r="EC72" s="302" t="n"/>
      <x:c r="ED72" s="302" t="n"/>
      <x:c r="EE72" s="302" t="n"/>
      <x:c r="EF72" s="302" t="n"/>
      <x:c r="EG72" s="302" t="n"/>
      <x:c r="EH72" s="302" t="n"/>
      <x:c r="EI72" s="302" t="n"/>
      <x:c r="EJ72" s="302" t="n"/>
      <x:c r="EK72" s="302" t="n"/>
      <x:c r="EL72" s="302" t="n"/>
      <x:c r="EM72" s="302" t="n"/>
      <x:c r="EN72" s="302" t="n"/>
      <x:c r="EO72" s="302" t="n"/>
      <x:c r="EP72" s="302" t="n"/>
      <x:c r="EQ72" s="302" t="n"/>
      <x:c r="ER72" s="302" t="n"/>
      <x:c r="ES72" s="302" t="n"/>
      <x:c r="ET72" s="302" t="n"/>
      <x:c r="EU72" s="302" t="n"/>
      <x:c r="EV72" s="302" t="n"/>
      <x:c r="EW72" s="302" t="n"/>
      <x:c r="EX72" s="302" t="n"/>
      <x:c r="EY72" s="302" t="n"/>
    </x:row>
    <x:row r="73" s="27" customFormat="1">
      <x:c r="A73" s="38" t="n"/>
      <x:c r="B73" s="37" t="n"/>
      <x:c r="C73" s="86" t="n">
        <x:f>E73*D$5</x:f>
        <x:v>0</x:v>
      </x:c>
      <x:c r="D73" s="374" t="inlineStr">
        <x:is>
          <x:t xml:space="preserve">Melinda Ann Mulvihill</x:t>
        </x:is>
      </x:c>
      <x:c r="E73" s="86" t="n">
        <x:f>SUM(G73:HS73)</x:f>
        <x:v>0</x:v>
      </x:c>
      <x:c r="F73" s="126" t="inlineStr">
        <x:is>
          <x:t xml:space="preserve"/>
        </x:is>
      </x:c>
      <x:c r="G73" s="299" t="n"/>
      <x:c r="H73" s="299" t="n"/>
      <x:c r="I73" s="299" t="n"/>
      <x:c r="J73" s="299" t="n"/>
      <x:c r="K73" s="299" t="n"/>
      <x:c r="L73" s="299" t="n"/>
      <x:c r="M73" s="299" t="n"/>
      <x:c r="N73" s="299" t="n"/>
      <x:c r="O73" s="299" t="n"/>
      <x:c r="P73" s="100" t="n"/>
      <x:c r="Q73" s="299" t="n"/>
      <x:c r="R73" s="299" t="n"/>
      <x:c r="S73" s="299" t="n"/>
      <x:c r="T73" s="299" t="n"/>
      <x:c r="U73" s="299" t="n"/>
      <x:c r="V73" s="299" t="n"/>
      <x:c r="W73" s="299" t="n"/>
      <x:c r="X73" s="299" t="n"/>
      <x:c r="Y73" s="100" t="n"/>
      <x:c r="Z73" s="100" t="n"/>
      <x:c r="AA73" s="100" t="n"/>
      <x:c r="AB73" s="100" t="n"/>
      <x:c r="AC73" s="100" t="n"/>
      <x:c r="AD73" s="100" t="n"/>
      <x:c r="AE73" s="100" t="n"/>
      <x:c r="AF73" s="299" t="n"/>
      <x:c r="AG73" s="100" t="n"/>
      <x:c r="AH73" s="299" t="n"/>
      <x:c r="AI73" s="123" t="n"/>
      <x:c r="AJ73" s="299" t="n"/>
      <x:c r="AK73" s="299" t="n"/>
      <x:c r="AL73" s="299" t="n"/>
      <x:c r="AM73" s="299" t="n"/>
      <x:c r="AN73" s="299" t="n"/>
      <x:c r="AO73" s="299" t="n"/>
      <x:c r="AP73" s="299" t="n"/>
      <x:c r="AQ73" s="299" t="n"/>
      <x:c r="AR73" s="299" t="n"/>
      <x:c r="AS73" s="299" t="n"/>
      <x:c r="AT73" s="302" t="n"/>
      <x:c r="AU73" s="302" t="n"/>
      <x:c r="AV73" s="302" t="n"/>
      <x:c r="AW73" s="302" t="n"/>
      <x:c r="AX73" s="302" t="n"/>
      <x:c r="AY73" s="302" t="n"/>
      <x:c r="AZ73" s="302" t="n"/>
      <x:c r="BA73" s="302" t="n"/>
      <x:c r="BB73" s="302" t="n"/>
      <x:c r="BC73" s="302" t="n"/>
      <x:c r="BD73" s="302" t="n"/>
      <x:c r="BE73" s="302" t="n"/>
      <x:c r="BF73" s="302" t="n"/>
      <x:c r="BG73" s="302" t="n"/>
      <x:c r="BH73" s="302" t="n"/>
      <x:c r="BI73" s="302" t="n"/>
      <x:c r="BJ73" s="302" t="n"/>
      <x:c r="BK73" s="302" t="n"/>
      <x:c r="BL73" s="302" t="n"/>
      <x:c r="BM73" s="302" t="n"/>
      <x:c r="BN73" s="302" t="n"/>
      <x:c r="BO73" s="302" t="n"/>
      <x:c r="BP73" s="302" t="n"/>
      <x:c r="BQ73" s="302" t="n"/>
      <x:c r="BR73" s="302" t="n"/>
      <x:c r="BS73" s="302" t="n"/>
      <x:c r="BT73" s="302" t="n"/>
      <x:c r="BU73" s="302" t="n"/>
      <x:c r="BV73" s="302" t="n"/>
      <x:c r="BW73" s="302" t="n"/>
      <x:c r="BX73" s="302" t="n"/>
      <x:c r="BY73" s="302" t="n"/>
      <x:c r="BZ73" s="302" t="n"/>
      <x:c r="CA73" s="302" t="n"/>
      <x:c r="CB73" s="302" t="n"/>
      <x:c r="CC73" s="302" t="n"/>
      <x:c r="CD73" s="302" t="n"/>
      <x:c r="CE73" s="302" t="n"/>
      <x:c r="CF73" s="302" t="n"/>
      <x:c r="CG73" s="302" t="n"/>
      <x:c r="CH73" s="302" t="n"/>
      <x:c r="CI73" s="302" t="n"/>
      <x:c r="CJ73" s="302" t="n"/>
      <x:c r="CK73" s="302" t="n"/>
      <x:c r="CL73" s="302" t="n"/>
      <x:c r="CM73" s="302" t="n">
        <x:f>(10/791.47)*(1/7)</x:f>
        <x:v>0.0018049596681762145</x:v>
      </x:c>
      <x:c r="CN73" s="302" t="n"/>
      <x:c r="CO73" s="302" t="n"/>
      <x:c r="CP73" s="302" t="n"/>
      <x:c r="CQ73" s="302" t="n"/>
      <x:c r="CR73" s="302" t="n"/>
      <x:c r="CS73" s="302" t="n"/>
      <x:c r="CT73" s="302" t="n">
        <x:f>-(10/791.47)*(1/7)</x:f>
        <x:v>-0.0018049596681762145</x:v>
      </x:c>
      <x:c r="CU73" s="302" t="n"/>
      <x:c r="CV73" s="302" t="n"/>
      <x:c r="CW73" s="302" t="n"/>
      <x:c r="CX73" s="302" t="n"/>
      <x:c r="CY73" s="302" t="n"/>
      <x:c r="CZ73" s="302" t="n"/>
      <x:c r="DA73" s="302" t="n"/>
      <x:c r="DB73" s="302" t="n"/>
      <x:c r="DC73" s="302" t="n"/>
      <x:c r="DD73" s="302" t="n"/>
      <x:c r="DE73" s="302" t="n"/>
      <x:c r="DF73" s="302" t="n"/>
      <x:c r="DG73" s="302" t="n"/>
      <x:c r="DH73" s="302" t="n"/>
      <x:c r="DI73" s="302" t="n"/>
      <x:c r="DJ73" s="302" t="n"/>
      <x:c r="DK73" s="302" t="n"/>
      <x:c r="DL73" s="302" t="n"/>
      <x:c r="DM73" s="302" t="n"/>
      <x:c r="DN73" s="302" t="n"/>
      <x:c r="DO73" s="302" t="n"/>
      <x:c r="DP73" s="302" t="n"/>
      <x:c r="DQ73" s="302" t="n"/>
      <x:c r="DR73" s="302" t="n"/>
      <x:c r="DS73" s="302" t="n"/>
      <x:c r="DT73" s="302" t="n"/>
      <x:c r="DU73" s="302" t="n"/>
      <x:c r="DV73" s="302" t="n"/>
      <x:c r="DW73" s="302" t="n"/>
      <x:c r="DX73" s="302" t="n"/>
      <x:c r="DY73" s="302" t="n"/>
      <x:c r="DZ73" s="302" t="n"/>
      <x:c r="EA73" s="302" t="n"/>
      <x:c r="EB73" s="302" t="n"/>
      <x:c r="EC73" s="302" t="n"/>
      <x:c r="ED73" s="302" t="n"/>
      <x:c r="EE73" s="302" t="n"/>
      <x:c r="EF73" s="302" t="n"/>
      <x:c r="EG73" s="302" t="n"/>
      <x:c r="EH73" s="302" t="n"/>
      <x:c r="EI73" s="302" t="n"/>
      <x:c r="EJ73" s="302" t="n"/>
      <x:c r="EK73" s="302" t="n"/>
      <x:c r="EL73" s="302" t="n"/>
      <x:c r="EM73" s="302" t="n"/>
      <x:c r="EN73" s="302" t="n"/>
      <x:c r="EO73" s="302" t="n"/>
      <x:c r="EP73" s="302" t="n"/>
      <x:c r="EQ73" s="302" t="n"/>
      <x:c r="ER73" s="302" t="n"/>
      <x:c r="ES73" s="302" t="n"/>
      <x:c r="ET73" s="302" t="n"/>
      <x:c r="EU73" s="302" t="n"/>
      <x:c r="EV73" s="302" t="n"/>
      <x:c r="EW73" s="302" t="n"/>
      <x:c r="EX73" s="302" t="n"/>
      <x:c r="EY73" s="302" t="n"/>
    </x:row>
    <x:row r="74" s="27" customFormat="1">
      <x:c r="A74" s="38" t="n"/>
      <x:c r="B74" s="37" t="n"/>
      <x:c r="C74" s="86" t="n">
        <x:f>E74*D$5</x:f>
        <x:v>9.737030249030287</x:v>
      </x:c>
      <x:c r="D74" s="66" t="inlineStr">
        <x:is>
          <x:t xml:space="preserve">Dow C. Bain and Edris O. Bain Trustees</x:t>
        </x:is>
      </x:c>
      <x:c r="E74" s="86" t="n">
        <x:f>SUM(G74:HS74)</x:f>
        <x:v>0.06085643905643929</x:v>
      </x:c>
      <x:c r="F74" s="126" t="inlineStr">
        <x:is>
          <x:t xml:space="preserve"/>
        </x:is>
      </x:c>
      <x:c r="G74" s="299" t="n"/>
      <x:c r="H74" s="299" t="n"/>
      <x:c r="I74" s="299" t="n"/>
      <x:c r="J74" s="299" t="n"/>
      <x:c r="K74" s="299" t="n"/>
      <x:c r="L74" s="299" t="n"/>
      <x:c r="M74" s="299" t="n"/>
      <x:c r="N74" s="299" t="n"/>
      <x:c r="O74" s="299" t="n"/>
      <x:c r="P74" s="100" t="n"/>
      <x:c r="Q74" s="299" t="n"/>
      <x:c r="R74" s="299" t="n"/>
      <x:c r="S74" s="299" t="n"/>
      <x:c r="T74" s="299" t="n"/>
      <x:c r="U74" s="299" t="n"/>
      <x:c r="V74" s="299" t="n"/>
      <x:c r="W74" s="299" t="n"/>
      <x:c r="X74" s="299" t="n"/>
      <x:c r="Y74" s="100" t="n"/>
      <x:c r="Z74" s="100" t="n"/>
      <x:c r="AA74" s="100" t="n"/>
      <x:c r="AB74" s="100" t="n"/>
      <x:c r="AC74" s="100" t="n"/>
      <x:c r="AD74" s="100" t="n"/>
      <x:c r="AE74" s="100" t="n"/>
      <x:c r="AF74" s="299" t="n"/>
      <x:c r="AG74" s="100" t="n"/>
      <x:c r="AH74" s="299" t="n"/>
      <x:c r="AI74" s="123" t="n"/>
      <x:c r="AJ74" s="299" t="n"/>
      <x:c r="AK74" s="299" t="n"/>
      <x:c r="AL74" s="299" t="n"/>
      <x:c r="AM74" s="299" t="n"/>
      <x:c r="AN74" s="299" t="n"/>
      <x:c r="AO74" s="299" t="n"/>
      <x:c r="AP74" s="299" t="n"/>
      <x:c r="AQ74" s="299" t="n"/>
      <x:c r="AR74" s="299" t="n"/>
      <x:c r="AS74" s="299" t="n"/>
      <x:c r="AT74" s="302" t="n"/>
      <x:c r="AU74" s="302" t="n"/>
      <x:c r="AV74" s="302" t="n"/>
      <x:c r="AW74" s="302" t="n"/>
      <x:c r="AX74" s="302" t="n"/>
      <x:c r="AY74" s="302" t="n"/>
      <x:c r="AZ74" s="302" t="n"/>
      <x:c r="BA74" s="302" t="n"/>
      <x:c r="BB74" s="302" t="n"/>
      <x:c r="BC74" s="302" t="n"/>
      <x:c r="BD74" s="302" t="n"/>
      <x:c r="BE74" s="302" t="n"/>
      <x:c r="BF74" s="302" t="n"/>
      <x:c r="BG74" s="302" t="n"/>
      <x:c r="BH74" s="302" t="n"/>
      <x:c r="BI74" s="302" t="n"/>
      <x:c r="BJ74" s="302" t="n"/>
      <x:c r="BK74" s="302" t="n"/>
      <x:c r="BL74" s="302" t="n"/>
      <x:c r="BM74" s="302" t="n"/>
      <x:c r="BN74" s="302" t="n"/>
      <x:c r="BO74" s="302" t="n"/>
      <x:c r="BP74" s="302" t="n"/>
      <x:c r="BQ74" s="302" t="n"/>
      <x:c r="BR74" s="302" t="n"/>
      <x:c r="BS74" s="302" t="n"/>
      <x:c r="BT74" s="302" t="n"/>
      <x:c r="BU74" s="302" t="n"/>
      <x:c r="BV74" s="302" t="n"/>
      <x:c r="BW74" s="302" t="n"/>
      <x:c r="BX74" s="302" t="n"/>
      <x:c r="BY74" s="302" t="n"/>
      <x:c r="BZ74" s="302" t="n"/>
      <x:c r="CA74" s="302" t="n"/>
      <x:c r="CB74" s="302" t="n"/>
      <x:c r="CC74" s="302" t="n"/>
      <x:c r="CD74" s="302" t="n"/>
      <x:c r="CE74" s="302" t="n"/>
      <x:c r="CF74" s="302" t="n"/>
      <x:c r="CG74" s="302" t="n"/>
      <x:c r="CH74" s="302" t="n"/>
      <x:c r="CI74" s="302" t="n"/>
      <x:c r="CJ74" s="302" t="n"/>
      <x:c r="CK74" s="302" t="n"/>
      <x:c r="CL74" s="302" t="n"/>
      <x:c r="CM74" s="302" t="n"/>
      <x:c r="CN74" s="302" t="n"/>
      <x:c r="CO74" s="302" t="n"/>
      <x:c r="CP74" s="302" t="n"/>
      <x:c r="CQ74" s="302" t="n"/>
      <x:c r="CR74" s="302" t="n"/>
      <x:c r="CS74" s="302" t="n"/>
      <x:c r="CT74" s="302" t="n"/>
      <x:c r="CU74" s="302" t="n"/>
      <x:c r="CV74" s="302" t="n"/>
      <x:c r="CW74" s="302" t="n"/>
      <x:c r="CX74" s="302" t="n"/>
      <x:c r="CY74" s="302" t="n"/>
      <x:c r="CZ74" s="302" t="n"/>
      <x:c r="DA74" s="302" t="n"/>
      <x:c r="DB74" s="302" t="n"/>
      <x:c r="DC74" s="302" t="n"/>
      <x:c r="DD74" s="302" t="n">
        <x:v>0.00421156834750528</x:v>
      </x:c>
      <x:c r="DE74" s="302" t="n">
        <x:f>40/791.47</x:f>
        <x:v>0.05053887070893401</x:v>
      </x:c>
      <x:c r="DF74" s="302" t="n">
        <x:v>0.006106</x:v>
      </x:c>
      <x:c r="DG74" s="302" t="n"/>
      <x:c r="DH74" s="302" t="n"/>
      <x:c r="DI74" s="302" t="n"/>
      <x:c r="DJ74" s="302" t="n"/>
      <x:c r="DK74" s="302" t="n"/>
      <x:c r="DL74" s="302" t="n"/>
      <x:c r="DM74" s="302" t="n"/>
      <x:c r="DN74" s="302" t="n"/>
      <x:c r="DO74" s="302" t="n"/>
      <x:c r="DP74" s="302" t="n"/>
      <x:c r="DQ74" s="302" t="n"/>
      <x:c r="DR74" s="302" t="n"/>
      <x:c r="DS74" s="302" t="n"/>
      <x:c r="DT74" s="302" t="n"/>
      <x:c r="DU74" s="302" t="n"/>
      <x:c r="DV74" s="302" t="n"/>
      <x:c r="DW74" s="302" t="n"/>
      <x:c r="DX74" s="302" t="n"/>
      <x:c r="DY74" s="302" t="n"/>
      <x:c r="DZ74" s="302" t="n"/>
      <x:c r="EA74" s="302" t="n"/>
      <x:c r="EB74" s="302" t="n"/>
      <x:c r="EC74" s="302" t="n"/>
      <x:c r="ED74" s="302" t="n"/>
      <x:c r="EE74" s="302" t="n"/>
      <x:c r="EF74" s="302" t="n"/>
      <x:c r="EG74" s="302" t="n"/>
      <x:c r="EH74" s="302" t="n"/>
      <x:c r="EI74" s="302" t="n"/>
      <x:c r="EJ74" s="302" t="n"/>
      <x:c r="EK74" s="302" t="n"/>
      <x:c r="EL74" s="302" t="n"/>
      <x:c r="EM74" s="302" t="n"/>
      <x:c r="EN74" s="302" t="n"/>
      <x:c r="EO74" s="302" t="n"/>
      <x:c r="EP74" s="302" t="n"/>
      <x:c r="EQ74" s="302" t="n"/>
      <x:c r="ER74" s="302" t="n"/>
      <x:c r="ES74" s="302" t="n"/>
      <x:c r="ET74" s="302" t="n"/>
      <x:c r="EU74" s="302" t="n"/>
      <x:c r="EV74" s="302" t="n"/>
      <x:c r="EW74" s="302" t="n"/>
      <x:c r="EX74" s="302" t="n"/>
      <x:c r="EY74" s="302" t="n"/>
    </x:row>
    <x:row r="75" s="27" customFormat="1">
      <x:c r="A75" s="38" t="n"/>
      <x:c r="B75" s="37" t="n"/>
      <x:c r="C75" s="36" t="n">
        <x:f>E75*D$5</x:f>
        <x:v>0</x:v>
      </x:c>
      <x:c r="D75" s="374" t="inlineStr">
        <x:is>
          <x:t xml:space="preserve">Jon T. and Rogene E. Williams Trust</x:t>
        </x:is>
      </x:c>
      <x:c r="E75" s="36" t="n">
        <x:f>SUM(G75:HS75)</x:f>
        <x:v>0</x:v>
      </x:c>
      <x:c r="F75" s="126" t="inlineStr">
        <x:is>
          <x:t xml:space="preserve"/>
        </x:is>
      </x:c>
      <x:c r="G75" s="299" t="n"/>
      <x:c r="H75" s="299" t="n"/>
      <x:c r="I75" s="299" t="n"/>
      <x:c r="J75" s="299" t="n"/>
      <x:c r="K75" s="299" t="n"/>
      <x:c r="L75" s="299" t="n"/>
      <x:c r="M75" s="299" t="n"/>
      <x:c r="N75" s="299" t="n"/>
      <x:c r="O75" s="299" t="n"/>
      <x:c r="P75" s="100" t="n"/>
      <x:c r="Q75" s="299" t="n"/>
      <x:c r="R75" s="299" t="n"/>
      <x:c r="S75" s="299" t="n"/>
      <x:c r="T75" s="299" t="n"/>
      <x:c r="U75" s="299" t="n"/>
      <x:c r="V75" s="299" t="n"/>
      <x:c r="W75" s="299" t="n"/>
      <x:c r="X75" s="299" t="n"/>
      <x:c r="Y75" s="100" t="n"/>
      <x:c r="Z75" s="100" t="n"/>
      <x:c r="AA75" s="100" t="n"/>
      <x:c r="AB75" s="100" t="n"/>
      <x:c r="AC75" s="100" t="n"/>
      <x:c r="AD75" s="100" t="n"/>
      <x:c r="AE75" s="100" t="n"/>
      <x:c r="AF75" s="299" t="n"/>
      <x:c r="AG75" s="100" t="n"/>
      <x:c r="AH75" s="299" t="n"/>
      <x:c r="AI75" s="100" t="n"/>
      <x:c r="AJ75" s="299" t="n"/>
      <x:c r="AK75" s="299" t="n"/>
      <x:c r="AL75" s="299" t="n"/>
      <x:c r="AM75" s="299" t="n"/>
      <x:c r="AN75" s="299" t="n"/>
      <x:c r="AO75" s="299" t="n"/>
      <x:c r="AP75" s="299" t="n"/>
      <x:c r="AQ75" s="299" t="n"/>
      <x:c r="AR75" s="299" t="n"/>
      <x:c r="AS75" s="299" t="n"/>
      <x:c r="AT75" s="302" t="n"/>
      <x:c r="AU75" s="302" t="n"/>
      <x:c r="AV75" s="302" t="n"/>
      <x:c r="AW75" s="302" t="n"/>
      <x:c r="AX75" s="302" t="n"/>
      <x:c r="AY75" s="302" t="n"/>
      <x:c r="AZ75" s="302" t="n"/>
      <x:c r="BA75" s="302" t="n"/>
      <x:c r="BB75" s="302" t="n"/>
      <x:c r="BC75" s="302" t="n"/>
      <x:c r="BD75" s="302" t="n"/>
      <x:c r="BE75" s="302" t="n"/>
      <x:c r="BF75" s="302" t="n"/>
      <x:c r="BG75" s="302" t="n"/>
      <x:c r="BH75" s="302" t="n"/>
      <x:c r="BI75" s="302" t="n"/>
      <x:c r="BJ75" s="302" t="n"/>
      <x:c r="BK75" s="302" t="n"/>
      <x:c r="BL75" s="302" t="n"/>
      <x:c r="BM75" s="302" t="n"/>
      <x:c r="BN75" s="302" t="n"/>
      <x:c r="BO75" s="302" t="n"/>
      <x:c r="BP75" s="302" t="n"/>
      <x:c r="BQ75" s="302" t="n"/>
      <x:c r="BR75" s="302" t="n"/>
      <x:c r="BS75" s="302" t="n"/>
      <x:c r="BT75" s="302" t="n"/>
      <x:c r="BU75" s="302" t="n"/>
      <x:c r="BV75" s="302" t="n"/>
      <x:c r="BW75" s="302" t="n"/>
      <x:c r="BX75" s="302" t="n"/>
      <x:c r="BY75" s="302" t="n"/>
      <x:c r="BZ75" s="302" t="n"/>
      <x:c r="CA75" s="302" t="n"/>
      <x:c r="CB75" s="302" t="n"/>
      <x:c r="CC75" s="302" t="n"/>
      <x:c r="CD75" s="302" t="n"/>
      <x:c r="CE75" s="302" t="n"/>
      <x:c r="CF75" s="302" t="n"/>
      <x:c r="CG75" s="302" t="n"/>
      <x:c r="CH75" s="302" t="n"/>
      <x:c r="CI75" s="302" t="n"/>
      <x:c r="CJ75" s="302" t="n"/>
      <x:c r="CK75" s="302" t="n"/>
      <x:c r="CL75" s="302" t="n"/>
      <x:c r="CM75" s="302" t="n"/>
      <x:c r="CN75" s="302" t="n"/>
      <x:c r="CO75" s="302" t="n"/>
      <x:c r="CP75" s="302" t="n">
        <x:f>(10/791.47)*(5/14)</x:f>
        <x:v>0.004512399170440537</x:v>
      </x:c>
      <x:c r="CQ75" s="302" t="n"/>
      <x:c r="CR75" s="302" t="n"/>
      <x:c r="CS75" s="302" t="n"/>
      <x:c r="CT75" s="302" t="n"/>
      <x:c r="CU75" s="302" t="n"/>
      <x:c r="CV75" s="302" t="n"/>
      <x:c r="CW75" s="302" t="n"/>
      <x:c r="CX75" s="302" t="n"/>
      <x:c r="CY75" s="302" t="n"/>
      <x:c r="CZ75" s="302" t="n"/>
      <x:c r="DA75" s="302" t="n"/>
      <x:c r="DB75" s="302" t="n"/>
      <x:c r="DC75" s="302" t="n"/>
      <x:c r="DD75" s="302" t="n"/>
      <x:c r="DE75" s="302" t="n"/>
      <x:c r="DF75" s="302" t="n"/>
      <x:c r="DG75" s="302" t="n"/>
      <x:c r="DH75" s="302" t="n"/>
      <x:c r="DI75" s="302" t="n"/>
      <x:c r="DJ75" s="302" t="n"/>
      <x:c r="DK75" s="302" t="n"/>
      <x:c r="DL75" s="302" t="n"/>
      <x:c r="DM75" s="302" t="n"/>
      <x:c r="DN75" s="302" t="n"/>
      <x:c r="DO75" s="302" t="n"/>
      <x:c r="DP75" s="302" t="n"/>
      <x:c r="DQ75" s="302" t="n"/>
      <x:c r="DR75" s="302" t="n"/>
      <x:c r="DS75" s="302" t="n"/>
      <x:c r="DT75" s="302" t="n"/>
      <x:c r="DU75" s="302" t="n">
        <x:f>-CP75</x:f>
        <x:v>-0.004512399170440537</x:v>
      </x:c>
      <x:c r="DV75" s="302" t="n"/>
      <x:c r="DW75" s="302" t="n"/>
      <x:c r="DX75" s="302" t="n"/>
      <x:c r="DY75" s="302" t="n"/>
      <x:c r="DZ75" s="302" t="n"/>
      <x:c r="EA75" s="302" t="n"/>
      <x:c r="EB75" s="302" t="n"/>
      <x:c r="EC75" s="302" t="n"/>
      <x:c r="ED75" s="302" t="n"/>
      <x:c r="EE75" s="302" t="n"/>
      <x:c r="EF75" s="302" t="n"/>
      <x:c r="EG75" s="302" t="n"/>
      <x:c r="EH75" s="302" t="n"/>
      <x:c r="EI75" s="302" t="n"/>
      <x:c r="EJ75" s="302" t="n"/>
      <x:c r="EK75" s="302" t="n"/>
      <x:c r="EL75" s="302" t="n"/>
      <x:c r="EM75" s="302" t="n"/>
      <x:c r="EN75" s="302" t="n"/>
      <x:c r="EO75" s="302" t="n"/>
      <x:c r="EP75" s="302" t="n"/>
      <x:c r="EQ75" s="302" t="n"/>
      <x:c r="ER75" s="302" t="n"/>
      <x:c r="ES75" s="302" t="n"/>
      <x:c r="ET75" s="302" t="n"/>
      <x:c r="EU75" s="302" t="n"/>
      <x:c r="EV75" s="302" t="n"/>
      <x:c r="EW75" s="302" t="n"/>
      <x:c r="EX75" s="302" t="n"/>
      <x:c r="EY75" s="302" t="n"/>
    </x:row>
    <x:row r="76" s="27" customFormat="1">
      <x:c r="A76" s="38" t="n"/>
      <x:c r="B76" s="37" t="n"/>
      <x:c r="C76" s="36" t="n">
        <x:f>E76*D$5</x:f>
        <x:v>0.2887935469081943</x:v>
      </x:c>
      <x:c r="D76" s="66" t="inlineStr">
        <x:is>
          <x:t xml:space="preserve">Jan A. Schroff Trust</x:t>
        </x:is>
      </x:c>
      <x:c r="E76" s="36" t="n">
        <x:f>SUM(G76:HS76)</x:f>
        <x:v>0.0018049596681762145</x:v>
      </x:c>
      <x:c r="F76" s="126" t="inlineStr">
        <x:is>
          <x:t xml:space="preserve"/>
        </x:is>
      </x:c>
      <x:c r="G76" s="299" t="n"/>
      <x:c r="H76" s="299" t="n"/>
      <x:c r="I76" s="299" t="n"/>
      <x:c r="J76" s="299" t="n"/>
      <x:c r="K76" s="299" t="n"/>
      <x:c r="L76" s="299" t="n"/>
      <x:c r="M76" s="299" t="n"/>
      <x:c r="N76" s="299" t="n"/>
      <x:c r="O76" s="299" t="n"/>
      <x:c r="P76" s="100" t="n"/>
      <x:c r="Q76" s="299" t="n"/>
      <x:c r="R76" s="299" t="n"/>
      <x:c r="S76" s="299" t="n"/>
      <x:c r="T76" s="299" t="n"/>
      <x:c r="U76" s="299" t="n"/>
      <x:c r="V76" s="299" t="n"/>
      <x:c r="W76" s="299" t="n"/>
      <x:c r="X76" s="299" t="n"/>
      <x:c r="Y76" s="100" t="n"/>
      <x:c r="Z76" s="100" t="n"/>
      <x:c r="AA76" s="100" t="n"/>
      <x:c r="AB76" s="100" t="n"/>
      <x:c r="AC76" s="100" t="n"/>
      <x:c r="AD76" s="100" t="n"/>
      <x:c r="AE76" s="100" t="n"/>
      <x:c r="AF76" s="299" t="n"/>
      <x:c r="AG76" s="100" t="n"/>
      <x:c r="AH76" s="299" t="n"/>
      <x:c r="AI76" s="100" t="n"/>
      <x:c r="AJ76" s="299" t="n"/>
      <x:c r="AK76" s="299" t="n"/>
      <x:c r="AL76" s="299" t="n"/>
      <x:c r="AM76" s="299" t="n"/>
      <x:c r="AN76" s="299" t="n"/>
      <x:c r="AO76" s="299" t="n"/>
      <x:c r="AP76" s="299" t="n"/>
      <x:c r="AQ76" s="299" t="n"/>
      <x:c r="AR76" s="299" t="n"/>
      <x:c r="AS76" s="299" t="n"/>
      <x:c r="AT76" s="302" t="n"/>
      <x:c r="AU76" s="302" t="n"/>
      <x:c r="AV76" s="302" t="n"/>
      <x:c r="AW76" s="302" t="n"/>
      <x:c r="AX76" s="302" t="n"/>
      <x:c r="AY76" s="302" t="n"/>
      <x:c r="AZ76" s="302" t="n"/>
      <x:c r="BA76" s="302" t="n"/>
      <x:c r="BB76" s="302" t="n"/>
      <x:c r="BC76" s="302" t="n"/>
      <x:c r="BD76" s="302" t="n"/>
      <x:c r="BE76" s="302" t="n"/>
      <x:c r="BF76" s="302" t="n"/>
      <x:c r="BG76" s="302" t="n"/>
      <x:c r="BH76" s="302" t="n"/>
      <x:c r="BI76" s="302" t="n"/>
      <x:c r="BJ76" s="302" t="n"/>
      <x:c r="BK76" s="302" t="n"/>
      <x:c r="BL76" s="302" t="n"/>
      <x:c r="BM76" s="302" t="n"/>
      <x:c r="BN76" s="302" t="n"/>
      <x:c r="BO76" s="302" t="n"/>
      <x:c r="BP76" s="302" t="n"/>
      <x:c r="BQ76" s="302" t="n"/>
      <x:c r="BR76" s="302" t="n"/>
      <x:c r="BS76" s="302" t="n"/>
      <x:c r="BT76" s="302" t="n"/>
      <x:c r="BU76" s="302" t="n"/>
      <x:c r="BV76" s="302" t="n"/>
      <x:c r="BW76" s="302" t="n"/>
      <x:c r="BX76" s="302" t="n"/>
      <x:c r="BY76" s="302" t="n"/>
      <x:c r="BZ76" s="302" t="n"/>
      <x:c r="CA76" s="302" t="n"/>
      <x:c r="CB76" s="302" t="n"/>
      <x:c r="CC76" s="302" t="n"/>
      <x:c r="CD76" s="302" t="n"/>
      <x:c r="CE76" s="302" t="n"/>
      <x:c r="CF76" s="302" t="n"/>
      <x:c r="CG76" s="302" t="n"/>
      <x:c r="CH76" s="302" t="n"/>
      <x:c r="CI76" s="302" t="n"/>
      <x:c r="CJ76" s="302" t="n"/>
      <x:c r="CK76" s="302" t="n"/>
      <x:c r="CL76" s="302" t="n"/>
      <x:c r="CM76" s="302" t="n"/>
      <x:c r="CN76" s="302" t="n"/>
      <x:c r="CO76" s="302" t="n"/>
      <x:c r="CP76" s="302" t="n"/>
      <x:c r="CQ76" s="302" t="n">
        <x:f>(10/791.47)*(1/7)</x:f>
        <x:v>0.0018049596681762145</x:v>
      </x:c>
      <x:c r="CR76" s="302" t="n"/>
      <x:c r="CS76" s="302" t="n"/>
      <x:c r="CT76" s="302" t="n"/>
      <x:c r="CU76" s="302" t="n"/>
      <x:c r="CV76" s="302" t="n"/>
      <x:c r="CW76" s="302" t="n"/>
      <x:c r="CX76" s="302" t="n"/>
      <x:c r="CY76" s="302" t="n"/>
      <x:c r="CZ76" s="302" t="n"/>
      <x:c r="DA76" s="302" t="n"/>
      <x:c r="DB76" s="302" t="n"/>
      <x:c r="DC76" s="302" t="n"/>
      <x:c r="DD76" s="302" t="n"/>
      <x:c r="DE76" s="302" t="n"/>
      <x:c r="DF76" s="302" t="n"/>
      <x:c r="DG76" s="302" t="n"/>
      <x:c r="DH76" s="302" t="n"/>
      <x:c r="DI76" s="302" t="n"/>
      <x:c r="DJ76" s="302" t="n"/>
      <x:c r="DK76" s="302" t="n"/>
      <x:c r="DL76" s="302" t="n"/>
      <x:c r="DM76" s="302" t="n"/>
      <x:c r="DN76" s="302" t="n"/>
      <x:c r="DO76" s="302" t="n"/>
      <x:c r="DP76" s="302" t="n"/>
      <x:c r="DQ76" s="302" t="n"/>
      <x:c r="DR76" s="302" t="n"/>
      <x:c r="DS76" s="302" t="n"/>
      <x:c r="DT76" s="302" t="n"/>
      <x:c r="DU76" s="302" t="n"/>
      <x:c r="DV76" s="302" t="n"/>
      <x:c r="DW76" s="302" t="n"/>
      <x:c r="DX76" s="302" t="n"/>
      <x:c r="DY76" s="302" t="n"/>
      <x:c r="DZ76" s="302" t="n"/>
      <x:c r="EA76" s="302" t="n"/>
      <x:c r="EB76" s="302" t="n"/>
      <x:c r="EC76" s="302" t="n"/>
      <x:c r="ED76" s="302" t="n"/>
      <x:c r="EE76" s="302" t="n"/>
      <x:c r="EF76" s="302" t="n"/>
      <x:c r="EG76" s="302" t="n"/>
      <x:c r="EH76" s="302" t="n"/>
      <x:c r="EI76" s="302" t="n"/>
      <x:c r="EJ76" s="302" t="n"/>
      <x:c r="EK76" s="302" t="n"/>
      <x:c r="EL76" s="302" t="n"/>
      <x:c r="EM76" s="302" t="n"/>
      <x:c r="EN76" s="302" t="n"/>
      <x:c r="EO76" s="302" t="n"/>
      <x:c r="EP76" s="302" t="n"/>
      <x:c r="EQ76" s="302" t="n"/>
      <x:c r="ER76" s="302" t="n"/>
      <x:c r="ES76" s="302" t="n"/>
      <x:c r="ET76" s="302" t="n"/>
      <x:c r="EU76" s="302" t="n"/>
      <x:c r="EV76" s="302" t="n"/>
      <x:c r="EW76" s="302" t="n"/>
      <x:c r="EX76" s="302" t="n"/>
      <x:c r="EY76" s="302" t="n"/>
    </x:row>
    <x:row r="77" s="27" customFormat="1">
      <x:c r="A77" s="38" t="n"/>
      <x:c r="B77" s="37" t="n"/>
      <x:c r="C77" s="36" t="n">
        <x:f>E77*D$5</x:f>
        <x:v>0</x:v>
      </x:c>
      <x:c r="D77" s="374" t="inlineStr">
        <x:is>
          <x:t xml:space="preserve">Melinda McCaul Mulvihill Trust</x:t>
        </x:is>
      </x:c>
      <x:c r="E77" s="36" t="n">
        <x:f>SUM(G77:HS77)</x:f>
        <x:v>0</x:v>
      </x:c>
      <x:c r="F77" s="126" t="inlineStr">
        <x:is>
          <x:t xml:space="preserve"/>
        </x:is>
      </x:c>
      <x:c r="G77" s="299" t="n"/>
      <x:c r="H77" s="299" t="n"/>
      <x:c r="I77" s="299" t="n"/>
      <x:c r="J77" s="299" t="n"/>
      <x:c r="K77" s="299" t="n"/>
      <x:c r="L77" s="299" t="n"/>
      <x:c r="M77" s="299" t="n"/>
      <x:c r="N77" s="299" t="n"/>
      <x:c r="O77" s="299" t="n"/>
      <x:c r="P77" s="100" t="n"/>
      <x:c r="Q77" s="299" t="n"/>
      <x:c r="R77" s="299" t="n"/>
      <x:c r="S77" s="299" t="n"/>
      <x:c r="T77" s="299" t="n"/>
      <x:c r="U77" s="299" t="n"/>
      <x:c r="V77" s="299" t="n"/>
      <x:c r="W77" s="299" t="n"/>
      <x:c r="X77" s="299" t="n"/>
      <x:c r="Y77" s="100" t="n"/>
      <x:c r="Z77" s="100" t="n"/>
      <x:c r="AA77" s="100" t="n"/>
      <x:c r="AB77" s="100" t="n"/>
      <x:c r="AC77" s="100" t="n"/>
      <x:c r="AD77" s="100" t="n"/>
      <x:c r="AE77" s="100" t="n"/>
      <x:c r="AF77" s="299" t="n"/>
      <x:c r="AG77" s="100" t="n"/>
      <x:c r="AH77" s="299" t="n"/>
      <x:c r="AI77" s="100" t="n"/>
      <x:c r="AJ77" s="299" t="n"/>
      <x:c r="AK77" s="299" t="n"/>
      <x:c r="AL77" s="299" t="n"/>
      <x:c r="AM77" s="299" t="n"/>
      <x:c r="AN77" s="299" t="n"/>
      <x:c r="AO77" s="299" t="n"/>
      <x:c r="AP77" s="299" t="n"/>
      <x:c r="AQ77" s="299" t="n"/>
      <x:c r="AR77" s="299" t="n"/>
      <x:c r="AS77" s="299" t="n"/>
      <x:c r="AT77" s="302" t="n"/>
      <x:c r="AU77" s="302" t="n"/>
      <x:c r="AV77" s="302" t="n"/>
      <x:c r="AW77" s="302" t="n"/>
      <x:c r="AX77" s="302" t="n"/>
      <x:c r="AY77" s="302" t="n"/>
      <x:c r="AZ77" s="302" t="n"/>
      <x:c r="BA77" s="302" t="n"/>
      <x:c r="BB77" s="302" t="n"/>
      <x:c r="BC77" s="302" t="n"/>
      <x:c r="BD77" s="302" t="n"/>
      <x:c r="BE77" s="302" t="n"/>
      <x:c r="BF77" s="302" t="n"/>
      <x:c r="BG77" s="302" t="n"/>
      <x:c r="BH77" s="302" t="n"/>
      <x:c r="BI77" s="302" t="n"/>
      <x:c r="BJ77" s="302" t="n"/>
      <x:c r="BK77" s="302" t="n"/>
      <x:c r="BL77" s="302" t="n"/>
      <x:c r="BM77" s="302" t="n"/>
      <x:c r="BN77" s="302" t="n"/>
      <x:c r="BO77" s="302" t="n"/>
      <x:c r="BP77" s="302" t="n"/>
      <x:c r="BQ77" s="302" t="n"/>
      <x:c r="BR77" s="302" t="n"/>
      <x:c r="BS77" s="302" t="n"/>
      <x:c r="BT77" s="302" t="n"/>
      <x:c r="BU77" s="302" t="n"/>
      <x:c r="BV77" s="302" t="n"/>
      <x:c r="BW77" s="302" t="n"/>
      <x:c r="BX77" s="302" t="n"/>
      <x:c r="BY77" s="302" t="n"/>
      <x:c r="BZ77" s="302" t="n"/>
      <x:c r="CA77" s="302" t="n"/>
      <x:c r="CB77" s="302" t="n"/>
      <x:c r="CC77" s="302" t="n"/>
      <x:c r="CD77" s="302" t="n"/>
      <x:c r="CE77" s="302" t="n"/>
      <x:c r="CF77" s="302" t="n"/>
      <x:c r="CG77" s="302" t="n"/>
      <x:c r="CH77" s="302" t="n"/>
      <x:c r="CI77" s="302" t="n"/>
      <x:c r="CJ77" s="302" t="n"/>
      <x:c r="CK77" s="302" t="n"/>
      <x:c r="CL77" s="302" t="n"/>
      <x:c r="CM77" s="302" t="n"/>
      <x:c r="CN77" s="302" t="n"/>
      <x:c r="CO77" s="302" t="n"/>
      <x:c r="CP77" s="302" t="n"/>
      <x:c r="CQ77" s="302" t="n"/>
      <x:c r="CR77" s="302" t="n"/>
      <x:c r="CS77" s="302" t="n"/>
      <x:c r="CT77" s="302" t="n">
        <x:f>(10/791.47)*(1/7)</x:f>
        <x:v>0.0018049596681762145</x:v>
      </x:c>
      <x:c r="CU77" s="302" t="n"/>
      <x:c r="CV77" s="302" t="n"/>
      <x:c r="CW77" s="302" t="n"/>
      <x:c r="CX77" s="302" t="n"/>
      <x:c r="CY77" s="302" t="n"/>
      <x:c r="CZ77" s="302" t="n"/>
      <x:c r="DA77" s="302" t="n">
        <x:f>-CT77</x:f>
        <x:v>-0.0018049596681762145</x:v>
      </x:c>
      <x:c r="DB77" s="302" t="n"/>
      <x:c r="DC77" s="302" t="n"/>
      <x:c r="DD77" s="302" t="n"/>
      <x:c r="DE77" s="302" t="n"/>
      <x:c r="DF77" s="302" t="n"/>
      <x:c r="DG77" s="302" t="n"/>
      <x:c r="DH77" s="302" t="n"/>
      <x:c r="DI77" s="302" t="n"/>
      <x:c r="DJ77" s="302" t="n"/>
      <x:c r="DK77" s="302" t="n"/>
      <x:c r="DL77" s="302" t="n"/>
      <x:c r="DM77" s="302" t="n"/>
      <x:c r="DN77" s="302" t="n"/>
      <x:c r="DO77" s="302" t="n"/>
      <x:c r="DP77" s="302" t="n"/>
      <x:c r="DQ77" s="302" t="n"/>
      <x:c r="DR77" s="302" t="n"/>
      <x:c r="DS77" s="302" t="n"/>
      <x:c r="DT77" s="302" t="n"/>
      <x:c r="DU77" s="302" t="n"/>
      <x:c r="DV77" s="302" t="n"/>
      <x:c r="DW77" s="302" t="n"/>
      <x:c r="DX77" s="302" t="n"/>
      <x:c r="DY77" s="302" t="n"/>
      <x:c r="DZ77" s="302" t="n"/>
      <x:c r="EA77" s="302" t="n"/>
      <x:c r="EB77" s="302" t="n"/>
      <x:c r="EC77" s="302" t="n"/>
      <x:c r="ED77" s="302" t="n"/>
      <x:c r="EE77" s="302" t="n"/>
      <x:c r="EF77" s="302" t="n"/>
      <x:c r="EG77" s="302" t="n"/>
      <x:c r="EH77" s="302" t="n"/>
      <x:c r="EI77" s="302" t="n"/>
      <x:c r="EJ77" s="302" t="n"/>
      <x:c r="EK77" s="302" t="n"/>
      <x:c r="EL77" s="302" t="n"/>
      <x:c r="EM77" s="302" t="n"/>
      <x:c r="EN77" s="302" t="n"/>
      <x:c r="EO77" s="302" t="n"/>
      <x:c r="EP77" s="302" t="n"/>
      <x:c r="EQ77" s="302" t="n"/>
      <x:c r="ER77" s="302" t="n"/>
      <x:c r="ES77" s="302" t="n"/>
      <x:c r="ET77" s="302" t="n"/>
      <x:c r="EU77" s="302" t="n"/>
      <x:c r="EV77" s="302" t="n"/>
      <x:c r="EW77" s="302" t="n"/>
      <x:c r="EX77" s="302" t="n"/>
      <x:c r="EY77" s="302" t="n"/>
    </x:row>
    <x:row r="78" s="27" customFormat="1">
      <x:c r="A78" s="38" t="n"/>
      <x:c r="B78" s="37" t="n"/>
      <x:c r="C78" s="36" t="n">
        <x:f>E78*D$5</x:f>
        <x:v>0.2887935469081943</x:v>
      </x:c>
      <x:c r="D78" s="66" t="inlineStr">
        <x:is>
          <x:t xml:space="preserve">RIVE Lind McCaul Trust</x:t>
        </x:is>
      </x:c>
      <x:c r="E78" s="36" t="n">
        <x:f>SUM(G78:HS78)</x:f>
        <x:v>0.0018049596681762145</x:v>
      </x:c>
      <x:c r="F78" s="126" t="inlineStr">
        <x:is>
          <x:t xml:space="preserve"/>
        </x:is>
      </x:c>
      <x:c r="G78" s="299" t="n"/>
      <x:c r="H78" s="299" t="n"/>
      <x:c r="I78" s="299" t="n"/>
      <x:c r="J78" s="299" t="n"/>
      <x:c r="K78" s="299" t="n"/>
      <x:c r="L78" s="299" t="n"/>
      <x:c r="M78" s="299" t="n"/>
      <x:c r="N78" s="299" t="n"/>
      <x:c r="O78" s="299" t="n"/>
      <x:c r="P78" s="100" t="n"/>
      <x:c r="Q78" s="299" t="n"/>
      <x:c r="R78" s="299" t="n"/>
      <x:c r="S78" s="299" t="n"/>
      <x:c r="T78" s="299" t="n"/>
      <x:c r="U78" s="299" t="n"/>
      <x:c r="V78" s="299" t="n"/>
      <x:c r="W78" s="299" t="n"/>
      <x:c r="X78" s="299" t="n"/>
      <x:c r="Y78" s="100" t="n"/>
      <x:c r="Z78" s="100" t="n"/>
      <x:c r="AA78" s="100" t="n"/>
      <x:c r="AB78" s="100" t="n"/>
      <x:c r="AC78" s="100" t="n"/>
      <x:c r="AD78" s="100" t="n"/>
      <x:c r="AE78" s="100" t="n"/>
      <x:c r="AF78" s="299" t="n"/>
      <x:c r="AG78" s="100" t="n"/>
      <x:c r="AH78" s="299" t="n"/>
      <x:c r="AI78" s="100" t="n"/>
      <x:c r="AJ78" s="299" t="n"/>
      <x:c r="AK78" s="299" t="n"/>
      <x:c r="AL78" s="299" t="n"/>
      <x:c r="AM78" s="299" t="n"/>
      <x:c r="AN78" s="299" t="n"/>
      <x:c r="AO78" s="299" t="n"/>
      <x:c r="AP78" s="299" t="n"/>
      <x:c r="AQ78" s="299" t="n"/>
      <x:c r="AR78" s="299" t="n"/>
      <x:c r="AS78" s="299" t="n"/>
      <x:c r="AT78" s="302" t="n"/>
      <x:c r="AU78" s="302" t="n"/>
      <x:c r="AV78" s="302" t="n"/>
      <x:c r="AW78" s="302" t="n"/>
      <x:c r="AX78" s="302" t="n"/>
      <x:c r="AY78" s="302" t="n"/>
      <x:c r="AZ78" s="302" t="n"/>
      <x:c r="BA78" s="302" t="n"/>
      <x:c r="BB78" s="302" t="n"/>
      <x:c r="BC78" s="302" t="n"/>
      <x:c r="BD78" s="302" t="n"/>
      <x:c r="BE78" s="302" t="n"/>
      <x:c r="BF78" s="302" t="n"/>
      <x:c r="BG78" s="302" t="n"/>
      <x:c r="BH78" s="302" t="n"/>
      <x:c r="BI78" s="302" t="n"/>
      <x:c r="BJ78" s="302" t="n"/>
      <x:c r="BK78" s="302" t="n"/>
      <x:c r="BL78" s="302" t="n"/>
      <x:c r="BM78" s="302" t="n"/>
      <x:c r="BN78" s="302" t="n"/>
      <x:c r="BO78" s="302" t="n"/>
      <x:c r="BP78" s="302" t="n"/>
      <x:c r="BQ78" s="302" t="n"/>
      <x:c r="BR78" s="302" t="n"/>
      <x:c r="BS78" s="302" t="n"/>
      <x:c r="BT78" s="302" t="n"/>
      <x:c r="BU78" s="302" t="n"/>
      <x:c r="BV78" s="302" t="n"/>
      <x:c r="BW78" s="302" t="n"/>
      <x:c r="BX78" s="302" t="n"/>
      <x:c r="BY78" s="302" t="n"/>
      <x:c r="BZ78" s="302" t="n"/>
      <x:c r="CA78" s="302" t="n"/>
      <x:c r="CB78" s="302" t="n"/>
      <x:c r="CC78" s="302" t="n"/>
      <x:c r="CD78" s="302" t="n"/>
      <x:c r="CE78" s="302" t="n"/>
      <x:c r="CF78" s="302" t="n"/>
      <x:c r="CG78" s="302" t="n"/>
      <x:c r="CH78" s="302" t="n"/>
      <x:c r="CI78" s="302" t="n"/>
      <x:c r="CJ78" s="302" t="n"/>
      <x:c r="CK78" s="302" t="n"/>
      <x:c r="CL78" s="302" t="n"/>
      <x:c r="CM78" s="302" t="n"/>
      <x:c r="CN78" s="302" t="n"/>
      <x:c r="CO78" s="302" t="n"/>
      <x:c r="CP78" s="302" t="n"/>
      <x:c r="CQ78" s="302" t="n"/>
      <x:c r="CR78" s="302" t="n"/>
      <x:c r="CS78" s="302" t="n"/>
      <x:c r="CT78" s="302" t="n"/>
      <x:c r="CU78" s="302" t="n"/>
      <x:c r="CV78" s="302" t="n"/>
      <x:c r="CW78" s="302" t="n"/>
      <x:c r="CX78" s="302" t="n"/>
      <x:c r="CY78" s="302" t="n"/>
      <x:c r="CZ78" s="302" t="n"/>
      <x:c r="DA78" s="302" t="n">
        <x:f>CT77</x:f>
        <x:v>0.0018049596681762145</x:v>
      </x:c>
      <x:c r="DB78" s="302" t="n"/>
      <x:c r="DC78" s="302" t="n"/>
      <x:c r="DD78" s="302" t="n"/>
      <x:c r="DE78" s="302" t="n"/>
      <x:c r="DF78" s="302" t="n"/>
      <x:c r="DG78" s="302" t="n"/>
      <x:c r="DH78" s="302" t="n"/>
      <x:c r="DI78" s="302" t="n"/>
      <x:c r="DJ78" s="302" t="n"/>
      <x:c r="DK78" s="302" t="n"/>
      <x:c r="DL78" s="302" t="n"/>
      <x:c r="DM78" s="302" t="n"/>
      <x:c r="DN78" s="302" t="n"/>
      <x:c r="DO78" s="302" t="n"/>
      <x:c r="DP78" s="302" t="n"/>
      <x:c r="DQ78" s="302" t="n"/>
      <x:c r="DR78" s="302" t="n"/>
      <x:c r="DS78" s="302" t="n"/>
      <x:c r="DT78" s="302" t="n"/>
      <x:c r="DU78" s="302" t="n"/>
      <x:c r="DV78" s="302" t="n"/>
      <x:c r="DW78" s="302" t="n"/>
      <x:c r="DX78" s="302" t="n"/>
      <x:c r="DY78" s="302" t="n"/>
      <x:c r="DZ78" s="302" t="n"/>
      <x:c r="EA78" s="302" t="n"/>
      <x:c r="EB78" s="302" t="n"/>
      <x:c r="EC78" s="302" t="n"/>
      <x:c r="ED78" s="302" t="n"/>
      <x:c r="EE78" s="302" t="n"/>
      <x:c r="EF78" s="302" t="n"/>
      <x:c r="EG78" s="302" t="n"/>
      <x:c r="EH78" s="302" t="n"/>
      <x:c r="EI78" s="302" t="n"/>
      <x:c r="EJ78" s="302" t="n"/>
      <x:c r="EK78" s="302" t="n"/>
      <x:c r="EL78" s="302" t="n"/>
      <x:c r="EM78" s="302" t="n"/>
      <x:c r="EN78" s="302" t="n"/>
      <x:c r="EO78" s="302" t="n"/>
      <x:c r="EP78" s="302" t="n"/>
      <x:c r="EQ78" s="302" t="n"/>
      <x:c r="ER78" s="302" t="n"/>
      <x:c r="ES78" s="302" t="n"/>
      <x:c r="ET78" s="302" t="n"/>
      <x:c r="EU78" s="302" t="n"/>
      <x:c r="EV78" s="302" t="n"/>
      <x:c r="EW78" s="302" t="n"/>
      <x:c r="EX78" s="302" t="n"/>
      <x:c r="EY78" s="302" t="n"/>
    </x:row>
    <x:row r="79" s="27" customFormat="1">
      <x:c r="A79" s="38" t="n"/>
      <x:c r="B79" s="37" t="n"/>
      <x:c r="C79" s="86" t="n">
        <x:f>E79*D$5</x:f>
        <x:v>0.7219838672704859</x:v>
      </x:c>
      <x:c r="D79" s="88" t="inlineStr">
        <x:is>
          <x:t xml:space="preserve">Rogene E. Williams Revocable Living Trust</x:t>
        </x:is>
      </x:c>
      <x:c r="E79" s="86" t="n">
        <x:f>SUM(G79:HS79)</x:f>
        <x:v>0.004512399170440537</x:v>
      </x:c>
      <x:c r="F79" s="126" t="inlineStr">
        <x:is>
          <x:t xml:space="preserve"/>
        </x:is>
      </x:c>
      <x:c r="G79" s="299" t="n"/>
      <x:c r="H79" s="299" t="n"/>
      <x:c r="I79" s="299" t="n"/>
      <x:c r="J79" s="299" t="n"/>
      <x:c r="K79" s="299" t="n"/>
      <x:c r="L79" s="299" t="n"/>
      <x:c r="M79" s="299" t="n"/>
      <x:c r="N79" s="299" t="n"/>
      <x:c r="O79" s="299" t="n"/>
      <x:c r="P79" s="100" t="n"/>
      <x:c r="Q79" s="299" t="n"/>
      <x:c r="R79" s="299" t="n"/>
      <x:c r="S79" s="299" t="n"/>
      <x:c r="T79" s="299" t="n"/>
      <x:c r="U79" s="299" t="n"/>
      <x:c r="V79" s="299" t="n"/>
      <x:c r="W79" s="299" t="n"/>
      <x:c r="X79" s="299" t="n"/>
      <x:c r="Y79" s="100" t="n"/>
      <x:c r="Z79" s="100" t="n"/>
      <x:c r="AA79" s="100" t="n"/>
      <x:c r="AB79" s="100" t="n"/>
      <x:c r="AC79" s="100" t="n"/>
      <x:c r="AD79" s="100" t="n"/>
      <x:c r="AE79" s="100" t="n"/>
      <x:c r="AF79" s="299" t="n"/>
      <x:c r="AG79" s="100" t="n"/>
      <x:c r="AH79" s="299" t="n"/>
      <x:c r="AI79" s="100" t="n"/>
      <x:c r="AJ79" s="299" t="n"/>
      <x:c r="AK79" s="299" t="n"/>
      <x:c r="AL79" s="299" t="n"/>
      <x:c r="AM79" s="299" t="n"/>
      <x:c r="AN79" s="299" t="n"/>
      <x:c r="AO79" s="299" t="n"/>
      <x:c r="AP79" s="299" t="n"/>
      <x:c r="AQ79" s="299" t="n"/>
      <x:c r="AR79" s="299" t="n"/>
      <x:c r="AS79" s="299" t="n"/>
      <x:c r="AT79" s="302" t="n"/>
      <x:c r="AU79" s="302" t="n"/>
      <x:c r="AV79" s="302" t="n"/>
      <x:c r="AW79" s="302" t="n"/>
      <x:c r="AX79" s="302" t="n"/>
      <x:c r="AY79" s="302" t="n"/>
      <x:c r="AZ79" s="302" t="n"/>
      <x:c r="BA79" s="302" t="n"/>
      <x:c r="BB79" s="302" t="n"/>
      <x:c r="BC79" s="302" t="n"/>
      <x:c r="BD79" s="302" t="n"/>
      <x:c r="BE79" s="302" t="n"/>
      <x:c r="BF79" s="302" t="n"/>
      <x:c r="BG79" s="302" t="n"/>
      <x:c r="BH79" s="302" t="n"/>
      <x:c r="BI79" s="302" t="n"/>
      <x:c r="BJ79" s="302" t="n"/>
      <x:c r="BK79" s="302" t="n"/>
      <x:c r="BL79" s="302" t="n"/>
      <x:c r="BM79" s="302" t="n"/>
      <x:c r="BN79" s="302" t="n"/>
      <x:c r="BO79" s="302" t="n"/>
      <x:c r="BP79" s="302" t="n"/>
      <x:c r="BQ79" s="302" t="n"/>
      <x:c r="BR79" s="302" t="n"/>
      <x:c r="BS79" s="302" t="n"/>
      <x:c r="BT79" s="302" t="n"/>
      <x:c r="BU79" s="302" t="n"/>
      <x:c r="BV79" s="302" t="n"/>
      <x:c r="BW79" s="302" t="n"/>
      <x:c r="BX79" s="302" t="n"/>
      <x:c r="BY79" s="302" t="n"/>
      <x:c r="BZ79" s="302" t="n"/>
      <x:c r="CA79" s="302" t="n"/>
      <x:c r="CB79" s="302" t="n"/>
      <x:c r="CC79" s="302" t="n"/>
      <x:c r="CD79" s="302" t="n"/>
      <x:c r="CE79" s="302" t="n"/>
      <x:c r="CF79" s="302" t="n"/>
      <x:c r="CG79" s="302" t="n"/>
      <x:c r="CH79" s="302" t="n"/>
      <x:c r="CI79" s="302" t="n"/>
      <x:c r="CJ79" s="302" t="n"/>
      <x:c r="CK79" s="302" t="n"/>
      <x:c r="CL79" s="302" t="n"/>
      <x:c r="CM79" s="302" t="n"/>
      <x:c r="CN79" s="302" t="n"/>
      <x:c r="CO79" s="302" t="n"/>
      <x:c r="CP79" s="302" t="n"/>
      <x:c r="CQ79" s="302" t="n"/>
      <x:c r="CR79" s="302" t="n"/>
      <x:c r="CS79" s="302" t="n"/>
      <x:c r="CT79" s="302" t="n"/>
      <x:c r="CU79" s="302" t="n"/>
      <x:c r="CV79" s="302" t="n"/>
      <x:c r="CW79" s="302" t="n"/>
      <x:c r="CX79" s="302" t="n"/>
      <x:c r="CY79" s="302" t="n"/>
      <x:c r="CZ79" s="302" t="n"/>
      <x:c r="DA79" s="302" t="n"/>
      <x:c r="DB79" s="302" t="n"/>
      <x:c r="DC79" s="302" t="n"/>
      <x:c r="DD79" s="302" t="n"/>
      <x:c r="DE79" s="302" t="n"/>
      <x:c r="DF79" s="302" t="n"/>
      <x:c r="DG79" s="302" t="n"/>
      <x:c r="DH79" s="302" t="n"/>
      <x:c r="DI79" s="302" t="n"/>
      <x:c r="DJ79" s="302" t="n"/>
      <x:c r="DK79" s="302" t="n"/>
      <x:c r="DL79" s="302" t="n"/>
      <x:c r="DM79" s="302" t="n"/>
      <x:c r="DN79" s="302" t="n"/>
      <x:c r="DO79" s="302" t="n"/>
      <x:c r="DP79" s="302" t="n"/>
      <x:c r="DQ79" s="302" t="n"/>
      <x:c r="DR79" s="302" t="n"/>
      <x:c r="DS79" s="302" t="n"/>
      <x:c r="DT79" s="302" t="n"/>
      <x:c r="DU79" s="302" t="n">
        <x:f>CP75</x:f>
        <x:v>0.004512399170440537</x:v>
      </x:c>
      <x:c r="DV79" s="302" t="n"/>
      <x:c r="DW79" s="302" t="n"/>
      <x:c r="DX79" s="302" t="n"/>
      <x:c r="DY79" s="302" t="n"/>
      <x:c r="DZ79" s="302" t="n"/>
      <x:c r="EA79" s="302" t="n"/>
      <x:c r="EB79" s="302" t="n"/>
      <x:c r="EC79" s="302" t="n"/>
      <x:c r="ED79" s="302" t="n"/>
      <x:c r="EE79" s="302" t="n"/>
      <x:c r="EF79" s="302" t="n"/>
      <x:c r="EG79" s="302" t="n"/>
      <x:c r="EH79" s="302" t="n"/>
      <x:c r="EI79" s="302" t="n"/>
      <x:c r="EJ79" s="302" t="n"/>
      <x:c r="EK79" s="302" t="n"/>
      <x:c r="EL79" s="302" t="n"/>
      <x:c r="EM79" s="302" t="n"/>
      <x:c r="EN79" s="302" t="n"/>
      <x:c r="EO79" s="302" t="n"/>
      <x:c r="EP79" s="302" t="n"/>
      <x:c r="EQ79" s="302" t="n"/>
      <x:c r="ER79" s="302" t="n"/>
      <x:c r="ES79" s="302" t="n"/>
      <x:c r="ET79" s="302" t="n"/>
      <x:c r="EU79" s="302" t="n"/>
      <x:c r="EV79" s="302" t="n"/>
      <x:c r="EW79" s="302" t="n"/>
      <x:c r="EX79" s="302" t="n"/>
      <x:c r="EY79" s="302" t="n"/>
    </x:row>
    <x:row r="80" s="27" customFormat="1">
      <x:c r="A80" s="38" t="n"/>
      <x:c r="B80" s="37" t="n"/>
      <x:c r="C80" s="36" t="n">
        <x:f>E80*D$5</x:f>
        <x:v>0.2887935469081943</x:v>
      </x:c>
      <x:c r="D80" s="66" t="inlineStr">
        <x:is>
          <x:t xml:space="preserve">Dwight J. Williams Revocable Trust</x:t>
        </x:is>
      </x:c>
      <x:c r="E80" s="36" t="n">
        <x:f>SUM(G80:HS80)</x:f>
        <x:v>0.0018049596681762145</x:v>
      </x:c>
      <x:c r="F80" s="126" t="inlineStr">
        <x:is>
          <x:t xml:space="preserve"/>
        </x:is>
      </x:c>
      <x:c r="G80" s="299" t="n"/>
      <x:c r="H80" s="299" t="n"/>
      <x:c r="I80" s="299" t="n"/>
      <x:c r="J80" s="299" t="n"/>
      <x:c r="K80" s="299" t="n"/>
      <x:c r="L80" s="299" t="n"/>
      <x:c r="M80" s="299" t="n"/>
      <x:c r="N80" s="299" t="n"/>
      <x:c r="O80" s="299" t="n"/>
      <x:c r="P80" s="100" t="n"/>
      <x:c r="Q80" s="299" t="n"/>
      <x:c r="R80" s="299" t="n"/>
      <x:c r="S80" s="299" t="n"/>
      <x:c r="T80" s="299" t="n"/>
      <x:c r="U80" s="299" t="n"/>
      <x:c r="V80" s="299" t="n"/>
      <x:c r="W80" s="299" t="n"/>
      <x:c r="X80" s="299" t="n"/>
      <x:c r="Y80" s="100" t="n"/>
      <x:c r="Z80" s="100" t="n"/>
      <x:c r="AA80" s="100" t="n"/>
      <x:c r="AB80" s="100" t="n"/>
      <x:c r="AC80" s="100" t="n"/>
      <x:c r="AD80" s="100" t="n"/>
      <x:c r="AE80" s="100" t="n"/>
      <x:c r="AF80" s="299" t="n"/>
      <x:c r="AG80" s="100" t="n"/>
      <x:c r="AH80" s="299" t="n"/>
      <x:c r="AI80" s="100" t="n"/>
      <x:c r="AJ80" s="299" t="n"/>
      <x:c r="AK80" s="299" t="n"/>
      <x:c r="AL80" s="299" t="n"/>
      <x:c r="AM80" s="299" t="n"/>
      <x:c r="AN80" s="299" t="n"/>
      <x:c r="AO80" s="299" t="n"/>
      <x:c r="AP80" s="299" t="n"/>
      <x:c r="AQ80" s="299" t="n"/>
      <x:c r="AR80" s="299" t="n"/>
      <x:c r="AS80" s="299" t="n"/>
      <x:c r="AT80" s="302" t="n"/>
      <x:c r="AU80" s="302" t="n"/>
      <x:c r="AV80" s="302" t="n"/>
      <x:c r="AW80" s="302" t="n"/>
      <x:c r="AX80" s="302" t="n"/>
      <x:c r="AY80" s="302" t="n"/>
      <x:c r="AZ80" s="302" t="n"/>
      <x:c r="BA80" s="302" t="n"/>
      <x:c r="BB80" s="302" t="n"/>
      <x:c r="BC80" s="302" t="n"/>
      <x:c r="BD80" s="302" t="n"/>
      <x:c r="BE80" s="302" t="n"/>
      <x:c r="BF80" s="302" t="n"/>
      <x:c r="BG80" s="302" t="n"/>
      <x:c r="BH80" s="302" t="n"/>
      <x:c r="BI80" s="302" t="n"/>
      <x:c r="BJ80" s="302" t="n"/>
      <x:c r="BK80" s="302" t="n"/>
      <x:c r="BL80" s="302" t="n"/>
      <x:c r="BM80" s="302" t="n"/>
      <x:c r="BN80" s="302" t="n"/>
      <x:c r="BO80" s="302" t="n"/>
      <x:c r="BP80" s="302" t="n"/>
      <x:c r="BQ80" s="302" t="n"/>
      <x:c r="BR80" s="302" t="n"/>
      <x:c r="BS80" s="302" t="n"/>
      <x:c r="BT80" s="302" t="n"/>
      <x:c r="BU80" s="302" t="n"/>
      <x:c r="BV80" s="302" t="n"/>
      <x:c r="BW80" s="302" t="n"/>
      <x:c r="BX80" s="302" t="n"/>
      <x:c r="BY80" s="302" t="n"/>
      <x:c r="BZ80" s="302" t="n"/>
      <x:c r="CA80" s="302" t="n"/>
      <x:c r="CB80" s="302" t="n"/>
      <x:c r="CC80" s="302" t="n"/>
      <x:c r="CD80" s="302" t="n"/>
      <x:c r="CE80" s="302" t="n"/>
      <x:c r="CF80" s="302" t="n"/>
      <x:c r="CG80" s="302" t="n"/>
      <x:c r="CH80" s="302" t="n"/>
      <x:c r="CI80" s="302" t="n"/>
      <x:c r="CJ80" s="302" t="n"/>
      <x:c r="CK80" s="302" t="n"/>
      <x:c r="CL80" s="302" t="n"/>
      <x:c r="CM80" s="302" t="n"/>
      <x:c r="CN80" s="302" t="n"/>
      <x:c r="CO80" s="302" t="n"/>
      <x:c r="CP80" s="302" t="n"/>
      <x:c r="CQ80" s="302" t="n"/>
      <x:c r="CR80" s="302" t="n"/>
      <x:c r="CS80" s="302" t="n"/>
      <x:c r="CT80" s="302" t="n"/>
      <x:c r="CU80" s="302" t="n"/>
      <x:c r="CV80" s="302" t="n"/>
      <x:c r="CW80" s="302" t="n"/>
      <x:c r="CX80" s="302" t="n"/>
      <x:c r="CY80" s="302" t="n"/>
      <x:c r="CZ80" s="302" t="n"/>
      <x:c r="DA80" s="302" t="n"/>
      <x:c r="DB80" s="302" t="n"/>
      <x:c r="DC80" s="302" t="n"/>
      <x:c r="DD80" s="302" t="n"/>
      <x:c r="DE80" s="302" t="n"/>
      <x:c r="DF80" s="302" t="n"/>
      <x:c r="DG80" s="302" t="n"/>
      <x:c r="DH80" s="302" t="n"/>
      <x:c r="DI80" s="302" t="n"/>
      <x:c r="DJ80" s="302" t="n"/>
      <x:c r="DK80" s="302" t="n"/>
      <x:c r="DL80" s="302" t="n"/>
      <x:c r="DM80" s="302" t="n"/>
      <x:c r="DN80" s="302" t="n"/>
      <x:c r="DO80" s="302" t="n"/>
      <x:c r="DP80" s="302" t="n"/>
      <x:c r="DQ80" s="302" t="n"/>
      <x:c r="DR80" s="302" t="n"/>
      <x:c r="DS80" s="302" t="n"/>
      <x:c r="DT80" s="302" t="n"/>
      <x:c r="DU80" s="302" t="n"/>
      <x:c r="DV80" s="302" t="n"/>
      <x:c r="DW80" s="302" t="n">
        <x:f>(10/791.47)*(1/7)</x:f>
        <x:v>0.0018049596681762145</x:v>
      </x:c>
      <x:c r="DX80" s="302" t="n"/>
      <x:c r="DY80" s="302" t="n"/>
      <x:c r="DZ80" s="302" t="n"/>
      <x:c r="EA80" s="302" t="n"/>
      <x:c r="EB80" s="302" t="n"/>
      <x:c r="EC80" s="302" t="n"/>
      <x:c r="ED80" s="302" t="n"/>
      <x:c r="EE80" s="302" t="n"/>
      <x:c r="EF80" s="302" t="n"/>
      <x:c r="EG80" s="302" t="n"/>
      <x:c r="EH80" s="302" t="n"/>
      <x:c r="EI80" s="302" t="n"/>
      <x:c r="EJ80" s="302" t="n"/>
      <x:c r="EK80" s="302" t="n"/>
      <x:c r="EL80" s="302" t="n"/>
      <x:c r="EM80" s="302" t="n"/>
      <x:c r="EN80" s="302" t="n"/>
      <x:c r="EO80" s="302" t="n"/>
      <x:c r="EP80" s="302" t="n"/>
      <x:c r="EQ80" s="302" t="n"/>
      <x:c r="ER80" s="302" t="n"/>
      <x:c r="ES80" s="302" t="n"/>
      <x:c r="ET80" s="302" t="n"/>
      <x:c r="EU80" s="302" t="n"/>
      <x:c r="EV80" s="302" t="n"/>
      <x:c r="EW80" s="302" t="n"/>
      <x:c r="EX80" s="302" t="n"/>
      <x:c r="EY80" s="302" t="n"/>
    </x:row>
    <x:row r="81" s="27" customFormat="1">
      <x:c r="A81" s="38" t="n"/>
      <x:c r="B81" s="37" t="n"/>
      <x:c r="C81" s="86" t="n">
        <x:f>E81*D$5</x:f>
        <x:v>2.9255199999999997</x:v>
      </x:c>
      <x:c r="D81" s="523" t="inlineStr">
        <x:is>
          <x:t xml:space="preserve">Donald R. Bain</x:t>
        </x:is>
      </x:c>
      <x:c r="E81" s="86" t="n">
        <x:f>SUM(G81:HS81)</x:f>
        <x:v>0.0182845</x:v>
      </x:c>
      <x:c r="F81" s="126" t="inlineStr">
        <x:is>
          <x:t xml:space="preserve"/>
        </x:is>
      </x:c>
      <x:c r="G81" s="299" t="n"/>
      <x:c r="H81" s="299" t="n"/>
      <x:c r="I81" s="299" t="n"/>
      <x:c r="J81" s="299" t="n"/>
      <x:c r="K81" s="299" t="n"/>
      <x:c r="L81" s="299" t="n"/>
      <x:c r="M81" s="299" t="n"/>
      <x:c r="N81" s="299" t="n"/>
      <x:c r="O81" s="299" t="n"/>
      <x:c r="P81" s="100" t="n"/>
      <x:c r="Q81" s="299" t="n"/>
      <x:c r="R81" s="299" t="n"/>
      <x:c r="S81" s="299" t="n"/>
      <x:c r="T81" s="299" t="n"/>
      <x:c r="U81" s="299" t="n"/>
      <x:c r="V81" s="299" t="n"/>
      <x:c r="W81" s="299" t="n"/>
      <x:c r="X81" s="299" t="n"/>
      <x:c r="Y81" s="100" t="n"/>
      <x:c r="Z81" s="100" t="n"/>
      <x:c r="AA81" s="100" t="n"/>
      <x:c r="AB81" s="100" t="n"/>
      <x:c r="AC81" s="100" t="n"/>
      <x:c r="AD81" s="100" t="n"/>
      <x:c r="AE81" s="100" t="n"/>
      <x:c r="AF81" s="299" t="n"/>
      <x:c r="AG81" s="100" t="n"/>
      <x:c r="AH81" s="299" t="n"/>
      <x:c r="AI81" s="100" t="n"/>
      <x:c r="AJ81" s="299" t="n"/>
      <x:c r="AK81" s="299" t="n"/>
      <x:c r="AL81" s="299" t="n"/>
      <x:c r="AM81" s="299" t="n"/>
      <x:c r="AN81" s="299" t="n"/>
      <x:c r="AO81" s="299" t="n"/>
      <x:c r="AP81" s="299" t="n"/>
      <x:c r="AQ81" s="299" t="n"/>
      <x:c r="AR81" s="299" t="n"/>
      <x:c r="AS81" s="299" t="n"/>
      <x:c r="AT81" s="302" t="n"/>
      <x:c r="AU81" s="302" t="n"/>
      <x:c r="AV81" s="302" t="n"/>
      <x:c r="AW81" s="302" t="n"/>
      <x:c r="AX81" s="302" t="n"/>
      <x:c r="AY81" s="302" t="n"/>
      <x:c r="AZ81" s="302" t="n"/>
      <x:c r="BA81" s="302" t="n"/>
      <x:c r="BB81" s="302" t="n"/>
      <x:c r="BC81" s="302" t="n"/>
      <x:c r="BD81" s="302" t="n"/>
      <x:c r="BE81" s="302" t="n"/>
      <x:c r="BF81" s="302" t="n"/>
      <x:c r="BG81" s="302" t="n"/>
      <x:c r="BH81" s="302" t="n"/>
      <x:c r="BI81" s="302" t="n"/>
      <x:c r="BJ81" s="302" t="n"/>
      <x:c r="BK81" s="302" t="n"/>
      <x:c r="BL81" s="302" t="n"/>
      <x:c r="BM81" s="302" t="n"/>
      <x:c r="BN81" s="302" t="n"/>
      <x:c r="BO81" s="302" t="n"/>
      <x:c r="BP81" s="302" t="n"/>
      <x:c r="BQ81" s="302" t="n"/>
      <x:c r="BR81" s="302" t="n"/>
      <x:c r="BS81" s="302" t="n"/>
      <x:c r="BT81" s="302" t="n"/>
      <x:c r="BU81" s="302" t="n"/>
      <x:c r="BV81" s="302" t="n"/>
      <x:c r="BW81" s="302" t="n"/>
      <x:c r="BX81" s="302" t="n"/>
      <x:c r="BY81" s="302" t="n"/>
      <x:c r="BZ81" s="302" t="n"/>
      <x:c r="CA81" s="302" t="n"/>
      <x:c r="CB81" s="302" t="n"/>
      <x:c r="CC81" s="302" t="n"/>
      <x:c r="CD81" s="302" t="n"/>
      <x:c r="CE81" s="302" t="n"/>
      <x:c r="CF81" s="302" t="n"/>
      <x:c r="CG81" s="302" t="n"/>
      <x:c r="CH81" s="302" t="n"/>
      <x:c r="CI81" s="302" t="n"/>
      <x:c r="CJ81" s="302" t="n"/>
      <x:c r="CK81" s="302" t="n"/>
      <x:c r="CL81" s="302" t="n"/>
      <x:c r="CM81" s="302" t="n"/>
      <x:c r="CN81" s="302" t="n"/>
      <x:c r="CO81" s="302" t="n"/>
      <x:c r="CP81" s="302" t="n"/>
      <x:c r="CQ81" s="302" t="n"/>
      <x:c r="CR81" s="302" t="n"/>
      <x:c r="CS81" s="302" t="n"/>
      <x:c r="CT81" s="302" t="n"/>
      <x:c r="CU81" s="302" t="n"/>
      <x:c r="CV81" s="302" t="n"/>
      <x:c r="CW81" s="302" t="n"/>
      <x:c r="CX81" s="302" t="n"/>
      <x:c r="CY81" s="302" t="n"/>
      <x:c r="CZ81" s="302" t="n"/>
      <x:c r="DA81" s="302" t="n"/>
      <x:c r="DB81" s="302" t="n"/>
      <x:c r="DC81" s="302" t="n">
        <x:v>0.0182845</x:v>
      </x:c>
      <x:c r="DD81" s="302" t="n"/>
      <x:c r="DE81" s="302" t="n"/>
      <x:c r="DF81" s="302" t="n"/>
      <x:c r="DG81" s="302" t="n"/>
      <x:c r="DH81" s="302" t="n"/>
      <x:c r="DI81" s="302" t="n"/>
      <x:c r="DJ81" s="302" t="n"/>
      <x:c r="DK81" s="302" t="n"/>
      <x:c r="DL81" s="302" t="n"/>
      <x:c r="DM81" s="302" t="n"/>
      <x:c r="DN81" s="302" t="n"/>
      <x:c r="DO81" s="302" t="n"/>
      <x:c r="DP81" s="302" t="n"/>
      <x:c r="DQ81" s="302" t="n"/>
      <x:c r="DR81" s="302" t="n"/>
      <x:c r="DS81" s="302" t="n"/>
      <x:c r="DT81" s="302" t="n"/>
      <x:c r="DU81" s="302" t="n"/>
      <x:c r="DV81" s="302" t="n"/>
      <x:c r="DW81" s="302" t="n"/>
      <x:c r="DX81" s="302" t="n"/>
      <x:c r="DY81" s="302" t="n"/>
      <x:c r="DZ81" s="302" t="n"/>
      <x:c r="EA81" s="302" t="n"/>
      <x:c r="EB81" s="302" t="n"/>
      <x:c r="EC81" s="302" t="n"/>
      <x:c r="ED81" s="302" t="n"/>
      <x:c r="EE81" s="302" t="n"/>
      <x:c r="EF81" s="302" t="n"/>
      <x:c r="EG81" s="302" t="n"/>
      <x:c r="EH81" s="302" t="n"/>
      <x:c r="EI81" s="302" t="n"/>
      <x:c r="EJ81" s="302" t="n"/>
      <x:c r="EK81" s="302" t="n"/>
      <x:c r="EL81" s="302" t="n"/>
      <x:c r="EM81" s="302" t="n"/>
      <x:c r="EN81" s="302" t="n"/>
      <x:c r="EO81" s="302" t="n"/>
      <x:c r="EP81" s="302" t="n"/>
      <x:c r="EQ81" s="302" t="n"/>
      <x:c r="ER81" s="302" t="n"/>
      <x:c r="ES81" s="302" t="n"/>
      <x:c r="ET81" s="302" t="n"/>
      <x:c r="EU81" s="302" t="n"/>
      <x:c r="EV81" s="302" t="n"/>
      <x:c r="EW81" s="302" t="n"/>
      <x:c r="EX81" s="302" t="n"/>
      <x:c r="EY81" s="302" t="n"/>
    </x:row>
    <x:row r="82" s="27" customFormat="1">
      <x:c r="A82" s="38" t="n"/>
      <x:c r="B82" s="37" t="n"/>
      <x:c r="C82" s="36" t="n">
        <x:f>E82*D$5</x:f>
        <x:v>0</x:v>
      </x:c>
      <x:c r="D82" s="374" t="inlineStr">
        <x:is>
          <x:t xml:space="preserve">Melvin F. Bain</x:t>
        </x:is>
      </x:c>
      <x:c r="E82" s="36" t="n">
        <x:f>SUM(G82:HS82)</x:f>
        <x:v>0</x:v>
      </x:c>
      <x:c r="F82" s="126" t="inlineStr">
        <x:is>
          <x:t xml:space="preserve"/>
        </x:is>
      </x:c>
      <x:c r="G82" s="299" t="n"/>
      <x:c r="H82" s="299" t="n"/>
      <x:c r="I82" s="299" t="n"/>
      <x:c r="J82" s="299" t="n"/>
      <x:c r="K82" s="299" t="n"/>
      <x:c r="L82" s="299" t="n"/>
      <x:c r="M82" s="299" t="n"/>
      <x:c r="N82" s="299" t="n"/>
      <x:c r="O82" s="299" t="n"/>
      <x:c r="P82" s="100" t="n"/>
      <x:c r="Q82" s="299" t="n"/>
      <x:c r="R82" s="299" t="n"/>
      <x:c r="S82" s="299" t="n"/>
      <x:c r="T82" s="299" t="n"/>
      <x:c r="U82" s="299" t="n"/>
      <x:c r="V82" s="299" t="n"/>
      <x:c r="W82" s="299" t="n"/>
      <x:c r="X82" s="299" t="n"/>
      <x:c r="Y82" s="100" t="n"/>
      <x:c r="Z82" s="100" t="n"/>
      <x:c r="AA82" s="100" t="n"/>
      <x:c r="AB82" s="100" t="n"/>
      <x:c r="AC82" s="100" t="n"/>
      <x:c r="AD82" s="100" t="n"/>
      <x:c r="AE82" s="100" t="n"/>
      <x:c r="AF82" s="299" t="n"/>
      <x:c r="AG82" s="100" t="n"/>
      <x:c r="AH82" s="299" t="n"/>
      <x:c r="AI82" s="100" t="n"/>
      <x:c r="AJ82" s="299" t="n"/>
      <x:c r="AK82" s="299" t="n"/>
      <x:c r="AL82" s="299" t="n"/>
      <x:c r="AM82" s="299" t="n"/>
      <x:c r="AN82" s="299" t="n"/>
      <x:c r="AO82" s="299" t="n"/>
      <x:c r="AP82" s="299" t="n"/>
      <x:c r="AQ82" s="299" t="n"/>
      <x:c r="AR82" s="299" t="n"/>
      <x:c r="AS82" s="299" t="n"/>
      <x:c r="AT82" s="302" t="n"/>
      <x:c r="AU82" s="302" t="n"/>
      <x:c r="AV82" s="302" t="n"/>
      <x:c r="AW82" s="302" t="n"/>
      <x:c r="AX82" s="302" t="n"/>
      <x:c r="AY82" s="302" t="n"/>
      <x:c r="AZ82" s="302" t="n"/>
      <x:c r="BA82" s="302" t="n"/>
      <x:c r="BB82" s="302" t="n"/>
      <x:c r="BC82" s="302" t="n"/>
      <x:c r="BD82" s="302" t="n"/>
      <x:c r="BE82" s="302" t="n"/>
      <x:c r="BF82" s="302" t="n"/>
      <x:c r="BG82" s="302" t="n"/>
      <x:c r="BH82" s="302" t="n"/>
      <x:c r="BI82" s="302" t="n"/>
      <x:c r="BJ82" s="302" t="n"/>
      <x:c r="BK82" s="302" t="n"/>
      <x:c r="BL82" s="302" t="n"/>
      <x:c r="BM82" s="302" t="n"/>
      <x:c r="BN82" s="302" t="n"/>
      <x:c r="BO82" s="302" t="n"/>
      <x:c r="BP82" s="302" t="n"/>
      <x:c r="BQ82" s="302" t="n"/>
      <x:c r="BR82" s="302" t="n"/>
      <x:c r="BS82" s="302" t="n"/>
      <x:c r="BT82" s="302" t="n"/>
      <x:c r="BU82" s="302" t="n"/>
      <x:c r="BV82" s="302" t="n"/>
      <x:c r="BW82" s="302" t="n"/>
      <x:c r="BX82" s="302" t="n"/>
      <x:c r="BY82" s="302" t="n"/>
      <x:c r="BZ82" s="302" t="n"/>
      <x:c r="CA82" s="302" t="n"/>
      <x:c r="CB82" s="302" t="n"/>
      <x:c r="CC82" s="302" t="n"/>
      <x:c r="CD82" s="302" t="n"/>
      <x:c r="CE82" s="302" t="n"/>
      <x:c r="CF82" s="302" t="n"/>
      <x:c r="CG82" s="302" t="n"/>
      <x:c r="CH82" s="302" t="n"/>
      <x:c r="CI82" s="302" t="n"/>
      <x:c r="CJ82" s="302" t="n"/>
      <x:c r="CK82" s="302" t="n"/>
      <x:c r="CL82" s="302" t="n"/>
      <x:c r="CM82" s="302" t="n"/>
      <x:c r="CN82" s="302" t="n"/>
      <x:c r="CO82" s="302" t="n"/>
      <x:c r="CP82" s="302" t="n"/>
      <x:c r="CQ82" s="302" t="n"/>
      <x:c r="CR82" s="302" t="n"/>
      <x:c r="CS82" s="302" t="n"/>
      <x:c r="CT82" s="302" t="n"/>
      <x:c r="CU82" s="302" t="n"/>
      <x:c r="CV82" s="302" t="n"/>
      <x:c r="CW82" s="302" t="n"/>
      <x:c r="CX82" s="302" t="n"/>
      <x:c r="CY82" s="302" t="n"/>
      <x:c r="CZ82" s="302" t="n"/>
      <x:c r="DA82" s="302" t="n"/>
      <x:c r="DB82" s="302" t="n"/>
      <x:c r="DC82" s="302" t="n">
        <x:v>0.0182845</x:v>
      </x:c>
      <x:c r="DD82" s="302" t="n"/>
      <x:c r="DE82" s="302" t="n"/>
      <x:c r="DF82" s="302" t="n"/>
      <x:c r="DG82" s="302" t="n"/>
      <x:c r="DH82" s="302" t="n"/>
      <x:c r="DI82" s="302" t="n"/>
      <x:c r="DJ82" s="302" t="n"/>
      <x:c r="DK82" s="302" t="n"/>
      <x:c r="DL82" s="302" t="n">
        <x:f>-0.0182845</x:f>
        <x:v>-0.0182845</x:v>
      </x:c>
      <x:c r="DM82" s="302" t="n"/>
      <x:c r="DN82" s="302" t="n"/>
      <x:c r="DO82" s="302" t="n"/>
      <x:c r="DP82" s="302" t="n"/>
      <x:c r="DQ82" s="302" t="n"/>
      <x:c r="DR82" s="302" t="n"/>
      <x:c r="DS82" s="302" t="n"/>
      <x:c r="DT82" s="302" t="n"/>
      <x:c r="DU82" s="302" t="n"/>
      <x:c r="DV82" s="302" t="n"/>
      <x:c r="DW82" s="302" t="n"/>
      <x:c r="DX82" s="302" t="n"/>
      <x:c r="DY82" s="302" t="n"/>
      <x:c r="DZ82" s="302" t="n"/>
      <x:c r="EA82" s="302" t="n"/>
      <x:c r="EB82" s="302" t="n"/>
      <x:c r="EC82" s="302" t="n"/>
      <x:c r="ED82" s="302" t="n"/>
      <x:c r="EE82" s="302" t="n"/>
      <x:c r="EF82" s="302" t="n"/>
      <x:c r="EG82" s="302" t="n"/>
      <x:c r="EH82" s="302" t="n"/>
      <x:c r="EI82" s="302" t="n"/>
      <x:c r="EJ82" s="302" t="n"/>
      <x:c r="EK82" s="302" t="n"/>
      <x:c r="EL82" s="302" t="n"/>
      <x:c r="EM82" s="302" t="n"/>
      <x:c r="EN82" s="302" t="n"/>
      <x:c r="EO82" s="302" t="n"/>
      <x:c r="EP82" s="302" t="n"/>
      <x:c r="EQ82" s="302" t="n"/>
      <x:c r="ER82" s="302" t="n"/>
      <x:c r="ES82" s="302" t="n"/>
      <x:c r="ET82" s="302" t="n"/>
      <x:c r="EU82" s="302" t="n"/>
      <x:c r="EV82" s="302" t="n"/>
      <x:c r="EW82" s="302" t="n"/>
      <x:c r="EX82" s="302" t="n"/>
      <x:c r="EY82" s="302" t="n"/>
    </x:row>
    <x:row r="83" s="27" customFormat="1">
      <x:c r="A83" s="38" t="n"/>
      <x:c r="B83" s="37" t="n"/>
      <x:c r="C83" s="86" t="n">
        <x:f>E83*D$5</x:f>
        <x:v>1.3813199999999997</x:v>
      </x:c>
      <x:c r="D83" s="523" t="inlineStr">
        <x:is>
          <x:t xml:space="preserve">Peggy J. Brawner</x:t>
        </x:is>
      </x:c>
      <x:c r="E83" s="86" t="n">
        <x:f>SUM(G83:HS83)</x:f>
        <x:v>0.008633249999999999</x:v>
      </x:c>
      <x:c r="F83" s="126" t="inlineStr">
        <x:is>
          <x:t xml:space="preserve"/>
        </x:is>
      </x:c>
      <x:c r="G83" s="299" t="n"/>
      <x:c r="H83" s="299" t="n"/>
      <x:c r="I83" s="299" t="n"/>
      <x:c r="J83" s="299" t="n"/>
      <x:c r="K83" s="299" t="n"/>
      <x:c r="L83" s="299" t="n"/>
      <x:c r="M83" s="299" t="n"/>
      <x:c r="N83" s="299" t="n"/>
      <x:c r="O83" s="299" t="n"/>
      <x:c r="P83" s="100" t="n"/>
      <x:c r="Q83" s="299" t="n"/>
      <x:c r="R83" s="299" t="n"/>
      <x:c r="S83" s="299" t="n"/>
      <x:c r="T83" s="299" t="n"/>
      <x:c r="U83" s="299" t="n"/>
      <x:c r="V83" s="299" t="n"/>
      <x:c r="W83" s="299" t="n"/>
      <x:c r="X83" s="299" t="n"/>
      <x:c r="Y83" s="100" t="n"/>
      <x:c r="Z83" s="100" t="n"/>
      <x:c r="AA83" s="100" t="n"/>
      <x:c r="AB83" s="100" t="n"/>
      <x:c r="AC83" s="100" t="n"/>
      <x:c r="AD83" s="100" t="n"/>
      <x:c r="AE83" s="100" t="n"/>
      <x:c r="AF83" s="299" t="n"/>
      <x:c r="AG83" s="100" t="n"/>
      <x:c r="AH83" s="299" t="n"/>
      <x:c r="AI83" s="100" t="n"/>
      <x:c r="AJ83" s="299" t="n"/>
      <x:c r="AK83" s="299" t="n"/>
      <x:c r="AL83" s="299" t="n"/>
      <x:c r="AM83" s="299" t="n"/>
      <x:c r="AN83" s="299" t="n"/>
      <x:c r="AO83" s="299" t="n"/>
      <x:c r="AP83" s="299" t="n"/>
      <x:c r="AQ83" s="299" t="n"/>
      <x:c r="AR83" s="299" t="n"/>
      <x:c r="AS83" s="299" t="n"/>
      <x:c r="AT83" s="302" t="n"/>
      <x:c r="AU83" s="302" t="n"/>
      <x:c r="AV83" s="302" t="n"/>
      <x:c r="AW83" s="302" t="n"/>
      <x:c r="AX83" s="302" t="n"/>
      <x:c r="AY83" s="302" t="n"/>
      <x:c r="AZ83" s="302" t="n"/>
      <x:c r="BA83" s="302" t="n"/>
      <x:c r="BB83" s="302" t="n"/>
      <x:c r="BC83" s="302" t="n"/>
      <x:c r="BD83" s="302" t="n"/>
      <x:c r="BE83" s="302" t="n"/>
      <x:c r="BF83" s="302" t="n"/>
      <x:c r="BG83" s="302" t="n"/>
      <x:c r="BH83" s="302" t="n"/>
      <x:c r="BI83" s="302" t="n"/>
      <x:c r="BJ83" s="302" t="n"/>
      <x:c r="BK83" s="302" t="n"/>
      <x:c r="BL83" s="302" t="n"/>
      <x:c r="BM83" s="302" t="n"/>
      <x:c r="BN83" s="302" t="n"/>
      <x:c r="BO83" s="302" t="n"/>
      <x:c r="BP83" s="302" t="n"/>
      <x:c r="BQ83" s="302" t="n"/>
      <x:c r="BR83" s="302" t="n"/>
      <x:c r="BS83" s="302" t="n"/>
      <x:c r="BT83" s="302" t="n"/>
      <x:c r="BU83" s="302" t="n"/>
      <x:c r="BV83" s="302" t="n"/>
      <x:c r="BW83" s="302" t="n"/>
      <x:c r="BX83" s="302" t="n"/>
      <x:c r="BY83" s="302" t="n"/>
      <x:c r="BZ83" s="302" t="n"/>
      <x:c r="CA83" s="302" t="n"/>
      <x:c r="CB83" s="302" t="n"/>
      <x:c r="CC83" s="302" t="n"/>
      <x:c r="CD83" s="302" t="n"/>
      <x:c r="CE83" s="302" t="n"/>
      <x:c r="CF83" s="302" t="n"/>
      <x:c r="CG83" s="302" t="n"/>
      <x:c r="CH83" s="302" t="n"/>
      <x:c r="CI83" s="302" t="n"/>
      <x:c r="CJ83" s="302" t="n"/>
      <x:c r="CK83" s="302" t="n"/>
      <x:c r="CL83" s="302" t="n"/>
      <x:c r="CM83" s="302" t="n"/>
      <x:c r="CN83" s="302" t="n"/>
      <x:c r="CO83" s="302" t="n"/>
      <x:c r="CP83" s="302" t="n"/>
      <x:c r="CQ83" s="302" t="n"/>
      <x:c r="CR83" s="302" t="n"/>
      <x:c r="CS83" s="302" t="n"/>
      <x:c r="CT83" s="302" t="n"/>
      <x:c r="CU83" s="302" t="n"/>
      <x:c r="CV83" s="302" t="n"/>
      <x:c r="CW83" s="302" t="n"/>
      <x:c r="CX83" s="302" t="n"/>
      <x:c r="CY83" s="302" t="n"/>
      <x:c r="CZ83" s="302" t="n"/>
      <x:c r="DA83" s="302" t="n"/>
      <x:c r="DB83" s="302" t="n"/>
      <x:c r="DC83" s="302" t="n">
        <x:v>0.0182845</x:v>
      </x:c>
      <x:c r="DD83" s="302" t="n"/>
      <x:c r="DE83" s="302" t="n"/>
      <x:c r="DF83" s="302" t="n"/>
      <x:c r="DG83" s="302" t="n"/>
      <x:c r="DH83" s="302" t="n"/>
      <x:c r="DI83" s="302" t="n"/>
      <x:c r="DJ83" s="302" t="n"/>
      <x:c r="DK83" s="302" t="n"/>
      <x:c r="DL83" s="302" t="n"/>
      <x:c r="DM83" s="302" t="n"/>
      <x:c r="DN83" s="302" t="n">
        <x:v>-0.00965125</x:v>
      </x:c>
      <x:c r="DO83" s="302" t="n"/>
      <x:c r="DP83" s="302" t="n"/>
      <x:c r="DQ83" s="302" t="n"/>
      <x:c r="DR83" s="302" t="n"/>
      <x:c r="DS83" s="302" t="n"/>
      <x:c r="DT83" s="302" t="n"/>
      <x:c r="DU83" s="302" t="n"/>
      <x:c r="DV83" s="302" t="n"/>
      <x:c r="DW83" s="302" t="n"/>
      <x:c r="DX83" s="302" t="n"/>
      <x:c r="DY83" s="302" t="n"/>
      <x:c r="DZ83" s="302" t="n"/>
      <x:c r="EA83" s="302" t="n"/>
      <x:c r="EB83" s="302" t="n"/>
      <x:c r="EC83" s="302" t="n"/>
      <x:c r="ED83" s="302" t="n"/>
      <x:c r="EE83" s="302" t="n"/>
      <x:c r="EF83" s="302" t="n"/>
      <x:c r="EG83" s="302" t="n"/>
      <x:c r="EH83" s="302" t="n"/>
      <x:c r="EI83" s="302" t="n"/>
      <x:c r="EJ83" s="302" t="n"/>
      <x:c r="EK83" s="302" t="n"/>
      <x:c r="EL83" s="302" t="n"/>
      <x:c r="EM83" s="302" t="n"/>
      <x:c r="EN83" s="302" t="n"/>
      <x:c r="EO83" s="302" t="n"/>
      <x:c r="EP83" s="302" t="n"/>
      <x:c r="EQ83" s="302" t="n"/>
      <x:c r="ER83" s="302" t="n"/>
      <x:c r="ES83" s="302" t="n"/>
      <x:c r="ET83" s="302" t="n"/>
      <x:c r="EU83" s="302" t="n"/>
      <x:c r="EV83" s="302" t="n"/>
      <x:c r="EW83" s="302" t="n"/>
      <x:c r="EX83" s="302" t="n"/>
      <x:c r="EY83" s="302" t="n"/>
    </x:row>
    <x:row r="84" s="27" customFormat="1">
      <x:c r="A84" s="38" t="n"/>
      <x:c r="B84" s="37" t="n"/>
      <x:c r="C84" s="36" t="n">
        <x:f>E84*D$5</x:f>
        <x:v>2.9255199999999997</x:v>
      </x:c>
      <x:c r="D84" s="66" t="inlineStr">
        <x:is>
          <x:t xml:space="preserve">Marilyn L. Broyles</x:t>
        </x:is>
      </x:c>
      <x:c r="E84" s="36" t="n">
        <x:f>SUM(G84:HS84)</x:f>
        <x:v>0.0182845</x:v>
      </x:c>
      <x:c r="F84" s="126" t="inlineStr">
        <x:is>
          <x:t xml:space="preserve"/>
        </x:is>
      </x:c>
      <x:c r="G84" s="299" t="n"/>
      <x:c r="H84" s="299" t="n"/>
      <x:c r="I84" s="299" t="n"/>
      <x:c r="J84" s="299" t="n"/>
      <x:c r="K84" s="299" t="n"/>
      <x:c r="L84" s="299" t="n"/>
      <x:c r="M84" s="299" t="n"/>
      <x:c r="N84" s="299" t="n"/>
      <x:c r="O84" s="299" t="n"/>
      <x:c r="P84" s="100" t="n"/>
      <x:c r="Q84" s="299" t="n"/>
      <x:c r="R84" s="299" t="n"/>
      <x:c r="S84" s="299" t="n"/>
      <x:c r="T84" s="299" t="n"/>
      <x:c r="U84" s="299" t="n"/>
      <x:c r="V84" s="299" t="n"/>
      <x:c r="W84" s="299" t="n"/>
      <x:c r="X84" s="299" t="n"/>
      <x:c r="Y84" s="100" t="n"/>
      <x:c r="Z84" s="100" t="n"/>
      <x:c r="AA84" s="100" t="n"/>
      <x:c r="AB84" s="100" t="n"/>
      <x:c r="AC84" s="100" t="n"/>
      <x:c r="AD84" s="100" t="n"/>
      <x:c r="AE84" s="100" t="n"/>
      <x:c r="AF84" s="299" t="n"/>
      <x:c r="AG84" s="100" t="n"/>
      <x:c r="AH84" s="299" t="n"/>
      <x:c r="AI84" s="100" t="n"/>
      <x:c r="AJ84" s="299" t="n"/>
      <x:c r="AK84" s="299" t="n"/>
      <x:c r="AL84" s="299" t="n"/>
      <x:c r="AM84" s="299" t="n"/>
      <x:c r="AN84" s="299" t="n"/>
      <x:c r="AO84" s="299" t="n"/>
      <x:c r="AP84" s="299" t="n"/>
      <x:c r="AQ84" s="299" t="n"/>
      <x:c r="AR84" s="299" t="n"/>
      <x:c r="AS84" s="299" t="n"/>
      <x:c r="AT84" s="302" t="n"/>
      <x:c r="AU84" s="302" t="n"/>
      <x:c r="AV84" s="302" t="n"/>
      <x:c r="AW84" s="302" t="n"/>
      <x:c r="AX84" s="302" t="n"/>
      <x:c r="AY84" s="302" t="n"/>
      <x:c r="AZ84" s="302" t="n"/>
      <x:c r="BA84" s="302" t="n"/>
      <x:c r="BB84" s="302" t="n"/>
      <x:c r="BC84" s="302" t="n"/>
      <x:c r="BD84" s="302" t="n"/>
      <x:c r="BE84" s="302" t="n"/>
      <x:c r="BF84" s="302" t="n"/>
      <x:c r="BG84" s="302" t="n"/>
      <x:c r="BH84" s="302" t="n"/>
      <x:c r="BI84" s="302" t="n"/>
      <x:c r="BJ84" s="302" t="n"/>
      <x:c r="BK84" s="302" t="n"/>
      <x:c r="BL84" s="302" t="n"/>
      <x:c r="BM84" s="302" t="n"/>
      <x:c r="BN84" s="302" t="n"/>
      <x:c r="BO84" s="302" t="n"/>
      <x:c r="BP84" s="302" t="n"/>
      <x:c r="BQ84" s="302" t="n"/>
      <x:c r="BR84" s="302" t="n"/>
      <x:c r="BS84" s="302" t="n"/>
      <x:c r="BT84" s="302" t="n"/>
      <x:c r="BU84" s="302" t="n"/>
      <x:c r="BV84" s="302" t="n"/>
      <x:c r="BW84" s="302" t="n"/>
      <x:c r="BX84" s="302" t="n"/>
      <x:c r="BY84" s="302" t="n"/>
      <x:c r="BZ84" s="302" t="n"/>
      <x:c r="CA84" s="302" t="n"/>
      <x:c r="CB84" s="302" t="n"/>
      <x:c r="CC84" s="302" t="n"/>
      <x:c r="CD84" s="302" t="n"/>
      <x:c r="CE84" s="302" t="n"/>
      <x:c r="CF84" s="302" t="n"/>
      <x:c r="CG84" s="302" t="n"/>
      <x:c r="CH84" s="302" t="n"/>
      <x:c r="CI84" s="302" t="n"/>
      <x:c r="CJ84" s="302" t="n"/>
      <x:c r="CK84" s="302" t="n"/>
      <x:c r="CL84" s="302" t="n"/>
      <x:c r="CM84" s="302" t="n"/>
      <x:c r="CN84" s="302" t="n"/>
      <x:c r="CO84" s="302" t="n"/>
      <x:c r="CP84" s="302" t="n"/>
      <x:c r="CQ84" s="302" t="n"/>
      <x:c r="CR84" s="302" t="n"/>
      <x:c r="CS84" s="302" t="n"/>
      <x:c r="CT84" s="302" t="n"/>
      <x:c r="CU84" s="302" t="n"/>
      <x:c r="CV84" s="302" t="n"/>
      <x:c r="CW84" s="302" t="n"/>
      <x:c r="CX84" s="302" t="n"/>
      <x:c r="CY84" s="302" t="n"/>
      <x:c r="CZ84" s="302" t="n"/>
      <x:c r="DA84" s="302" t="n"/>
      <x:c r="DB84" s="302" t="n"/>
      <x:c r="DC84" s="302" t="n">
        <x:v>0.0182845</x:v>
      </x:c>
      <x:c r="DD84" s="302" t="n"/>
      <x:c r="DE84" s="302" t="n"/>
      <x:c r="DF84" s="302" t="n"/>
      <x:c r="DG84" s="302" t="n"/>
      <x:c r="DH84" s="302" t="n"/>
      <x:c r="DI84" s="302" t="n"/>
      <x:c r="DJ84" s="302" t="n"/>
      <x:c r="DK84" s="302" t="n"/>
      <x:c r="DL84" s="302" t="n"/>
      <x:c r="DM84" s="302" t="n"/>
      <x:c r="DN84" s="302" t="n"/>
      <x:c r="DO84" s="302" t="n"/>
      <x:c r="DP84" s="302" t="n"/>
      <x:c r="DQ84" s="302" t="n"/>
      <x:c r="DR84" s="302" t="n"/>
      <x:c r="DS84" s="302" t="n"/>
      <x:c r="DT84" s="302" t="n"/>
      <x:c r="DU84" s="302" t="n"/>
      <x:c r="DV84" s="302" t="n"/>
      <x:c r="DW84" s="302" t="n"/>
      <x:c r="DX84" s="302" t="n"/>
      <x:c r="DY84" s="302" t="n"/>
      <x:c r="DZ84" s="302" t="n"/>
      <x:c r="EA84" s="302" t="n"/>
      <x:c r="EB84" s="302" t="n"/>
      <x:c r="EC84" s="302" t="n"/>
      <x:c r="ED84" s="302" t="n"/>
      <x:c r="EE84" s="302" t="n"/>
      <x:c r="EF84" s="302" t="n"/>
      <x:c r="EG84" s="302" t="n"/>
      <x:c r="EH84" s="302" t="n"/>
      <x:c r="EI84" s="302" t="n"/>
      <x:c r="EJ84" s="302" t="n"/>
      <x:c r="EK84" s="302" t="n"/>
      <x:c r="EL84" s="302" t="n"/>
      <x:c r="EM84" s="302" t="n"/>
      <x:c r="EN84" s="302" t="n"/>
      <x:c r="EO84" s="302" t="n"/>
      <x:c r="EP84" s="302" t="n"/>
      <x:c r="EQ84" s="302" t="n"/>
      <x:c r="ER84" s="302" t="n"/>
      <x:c r="ES84" s="302" t="n"/>
      <x:c r="ET84" s="302" t="n"/>
      <x:c r="EU84" s="302" t="n"/>
      <x:c r="EV84" s="302" t="n"/>
      <x:c r="EW84" s="302" t="n"/>
      <x:c r="EX84" s="302" t="n"/>
      <x:c r="EY84" s="302" t="n"/>
    </x:row>
    <x:row r="85" s="27" customFormat="1">
      <x:c r="A85" s="38" t="n"/>
      <x:c r="B85" s="37" t="n"/>
      <x:c r="C85" s="36" t="n">
        <x:f>E85*D$5</x:f>
        <x:v>0.00003999999999976245</x:v>
      </x:c>
      <x:c r="D85" s="331" t="inlineStr">
        <x:is>
          <x:t xml:space="preserve">Leona I. Degrande</x:t>
        </x:is>
      </x:c>
      <x:c r="E85" s="36" t="n">
        <x:f>SUM(G85:HS85)</x:f>
        <x:v>2.499999999985153e-7</x:v>
      </x:c>
      <x:c r="F85" s="126" t="inlineStr">
        <x:is>
          <x:t xml:space="preserve"/>
        </x:is>
      </x:c>
      <x:c r="G85" s="299" t="n"/>
      <x:c r="H85" s="299" t="n"/>
      <x:c r="I85" s="299" t="n"/>
      <x:c r="J85" s="299" t="n"/>
      <x:c r="K85" s="299" t="n"/>
      <x:c r="L85" s="299" t="n"/>
      <x:c r="M85" s="299" t="n"/>
      <x:c r="N85" s="299" t="n"/>
      <x:c r="O85" s="299" t="n"/>
      <x:c r="P85" s="100" t="n"/>
      <x:c r="Q85" s="299" t="n"/>
      <x:c r="R85" s="299" t="n"/>
      <x:c r="S85" s="299" t="n"/>
      <x:c r="T85" s="299" t="n"/>
      <x:c r="U85" s="299" t="n"/>
      <x:c r="V85" s="299" t="n"/>
      <x:c r="W85" s="299" t="n"/>
      <x:c r="X85" s="299" t="n"/>
      <x:c r="Y85" s="100" t="n"/>
      <x:c r="Z85" s="100" t="n"/>
      <x:c r="AA85" s="100" t="n"/>
      <x:c r="AB85" s="100" t="n"/>
      <x:c r="AC85" s="100" t="n"/>
      <x:c r="AD85" s="100" t="n"/>
      <x:c r="AE85" s="100" t="n"/>
      <x:c r="AF85" s="299" t="n"/>
      <x:c r="AG85" s="100" t="n"/>
      <x:c r="AH85" s="299" t="n"/>
      <x:c r="AI85" s="100" t="n"/>
      <x:c r="AJ85" s="299" t="n"/>
      <x:c r="AK85" s="299" t="n"/>
      <x:c r="AL85" s="299" t="n"/>
      <x:c r="AM85" s="299" t="n"/>
      <x:c r="AN85" s="299" t="n"/>
      <x:c r="AO85" s="299" t="n"/>
      <x:c r="AP85" s="299" t="n"/>
      <x:c r="AQ85" s="299" t="n"/>
      <x:c r="AR85" s="299" t="n"/>
      <x:c r="AS85" s="299" t="n"/>
      <x:c r="AT85" s="302" t="n"/>
      <x:c r="AU85" s="302" t="n"/>
      <x:c r="AV85" s="302" t="n"/>
      <x:c r="AW85" s="302" t="n"/>
      <x:c r="AX85" s="302" t="n"/>
      <x:c r="AY85" s="302" t="n"/>
      <x:c r="AZ85" s="302" t="n"/>
      <x:c r="BA85" s="302" t="n"/>
      <x:c r="BB85" s="302" t="n"/>
      <x:c r="BC85" s="302" t="n"/>
      <x:c r="BD85" s="302" t="n"/>
      <x:c r="BE85" s="302" t="n"/>
      <x:c r="BF85" s="302" t="n"/>
      <x:c r="BG85" s="302" t="n"/>
      <x:c r="BH85" s="302" t="n"/>
      <x:c r="BI85" s="302" t="n"/>
      <x:c r="BJ85" s="302" t="n"/>
      <x:c r="BK85" s="302" t="n"/>
      <x:c r="BL85" s="302" t="n"/>
      <x:c r="BM85" s="302" t="n"/>
      <x:c r="BN85" s="302" t="n"/>
      <x:c r="BO85" s="302" t="n"/>
      <x:c r="BP85" s="302" t="n"/>
      <x:c r="BQ85" s="302" t="n"/>
      <x:c r="BR85" s="302" t="n"/>
      <x:c r="BS85" s="302" t="n"/>
      <x:c r="BT85" s="302" t="n"/>
      <x:c r="BU85" s="302" t="n"/>
      <x:c r="BV85" s="302" t="n"/>
      <x:c r="BW85" s="302" t="n"/>
      <x:c r="BX85" s="302" t="n"/>
      <x:c r="BY85" s="302" t="n"/>
      <x:c r="BZ85" s="302" t="n"/>
      <x:c r="CA85" s="302" t="n"/>
      <x:c r="CB85" s="302" t="n"/>
      <x:c r="CC85" s="302" t="n"/>
      <x:c r="CD85" s="302" t="n"/>
      <x:c r="CE85" s="302" t="n"/>
      <x:c r="CF85" s="302" t="n"/>
      <x:c r="CG85" s="302" t="n"/>
      <x:c r="CH85" s="302" t="n"/>
      <x:c r="CI85" s="302" t="n"/>
      <x:c r="CJ85" s="302" t="n"/>
      <x:c r="CK85" s="302" t="n"/>
      <x:c r="CL85" s="302" t="n"/>
      <x:c r="CM85" s="302" t="n"/>
      <x:c r="CN85" s="302" t="n"/>
      <x:c r="CO85" s="302" t="n"/>
      <x:c r="CP85" s="302" t="n"/>
      <x:c r="CQ85" s="302" t="n"/>
      <x:c r="CR85" s="302" t="n"/>
      <x:c r="CS85" s="302" t="n"/>
      <x:c r="CT85" s="302" t="n"/>
      <x:c r="CU85" s="302" t="n"/>
      <x:c r="CV85" s="302" t="n"/>
      <x:c r="CW85" s="302" t="n"/>
      <x:c r="CX85" s="302" t="n"/>
      <x:c r="CY85" s="302" t="n"/>
      <x:c r="CZ85" s="302" t="n"/>
      <x:c r="DA85" s="302" t="n"/>
      <x:c r="DB85" s="302" t="n"/>
      <x:c r="DC85" s="302" t="n">
        <x:v>0.0182845</x:v>
      </x:c>
      <x:c r="DD85" s="302" t="n"/>
      <x:c r="DE85" s="302" t="n"/>
      <x:c r="DF85" s="302" t="n"/>
      <x:c r="DG85" s="302" t="n"/>
      <x:c r="DH85" s="302" t="n"/>
      <x:c r="DI85" s="302" t="n"/>
      <x:c r="DJ85" s="302" t="n"/>
      <x:c r="DK85" s="302" t="n"/>
      <x:c r="DL85" s="302" t="n"/>
      <x:c r="DM85" s="302" t="n"/>
      <x:c r="DN85" s="302" t="n"/>
      <x:c r="DO85" s="302" t="n">
        <x:v>-0.00965125</x:v>
      </x:c>
      <x:c r="DP85" s="302" t="n"/>
      <x:c r="DQ85" s="302" t="n"/>
      <x:c r="DR85" s="302" t="n"/>
      <x:c r="DS85" s="302" t="n"/>
      <x:c r="DT85" s="302" t="n"/>
      <x:c r="DU85" s="302" t="n"/>
      <x:c r="DV85" s="302" t="n"/>
      <x:c r="DW85" s="302" t="n"/>
      <x:c r="DX85" s="302" t="n"/>
      <x:c r="DY85" s="302" t="n">
        <x:v>-0.008633</x:v>
      </x:c>
      <x:c r="DZ85" s="302" t="n"/>
      <x:c r="EA85" s="302" t="n"/>
      <x:c r="EB85" s="302" t="n"/>
      <x:c r="EC85" s="302" t="n"/>
      <x:c r="ED85" s="302" t="n"/>
      <x:c r="EE85" s="302" t="n"/>
      <x:c r="EF85" s="302" t="n"/>
      <x:c r="EG85" s="302" t="n"/>
      <x:c r="EH85" s="302" t="n"/>
      <x:c r="EI85" s="302" t="n"/>
      <x:c r="EJ85" s="302" t="n"/>
      <x:c r="EK85" s="302" t="n"/>
      <x:c r="EL85" s="302" t="n"/>
      <x:c r="EM85" s="302" t="n"/>
      <x:c r="EN85" s="302" t="n"/>
      <x:c r="EO85" s="302" t="n"/>
      <x:c r="EP85" s="302" t="n"/>
      <x:c r="EQ85" s="302" t="n"/>
      <x:c r="ER85" s="302" t="n"/>
      <x:c r="ES85" s="302" t="n"/>
      <x:c r="ET85" s="302" t="n"/>
      <x:c r="EU85" s="302" t="n"/>
      <x:c r="EV85" s="302" t="n"/>
      <x:c r="EW85" s="302" t="n"/>
      <x:c r="EX85" s="302" t="n"/>
      <x:c r="EY85" s="302" t="n"/>
    </x:row>
    <x:row r="86" s="27" customFormat="1">
      <x:c r="A86" s="38" t="n"/>
      <x:c r="B86" s="37" t="n"/>
      <x:c r="C86" s="36" t="n">
        <x:f>E86*D$5</x:f>
        <x:v>1.3813199999999997</x:v>
      </x:c>
      <x:c r="D86" s="66" t="inlineStr">
        <x:is>
          <x:t xml:space="preserve">Charlotte F. Willert</x:t>
        </x:is>
      </x:c>
      <x:c r="E86" s="36" t="n">
        <x:f>SUM(G86:HS86)</x:f>
        <x:v>0.008633249999999999</x:v>
      </x:c>
      <x:c r="F86" s="126" t="inlineStr">
        <x:is>
          <x:t xml:space="preserve"/>
        </x:is>
      </x:c>
      <x:c r="G86" s="299" t="n"/>
      <x:c r="H86" s="299" t="n"/>
      <x:c r="I86" s="299" t="n"/>
      <x:c r="J86" s="299" t="n"/>
      <x:c r="K86" s="299" t="n"/>
      <x:c r="L86" s="299" t="n"/>
      <x:c r="M86" s="299" t="n"/>
      <x:c r="N86" s="299" t="n"/>
      <x:c r="O86" s="299" t="n"/>
      <x:c r="P86" s="100" t="n"/>
      <x:c r="Q86" s="299" t="n"/>
      <x:c r="R86" s="299" t="n"/>
      <x:c r="S86" s="299" t="n"/>
      <x:c r="T86" s="299" t="n"/>
      <x:c r="U86" s="299" t="n"/>
      <x:c r="V86" s="299" t="n"/>
      <x:c r="W86" s="299" t="n"/>
      <x:c r="X86" s="299" t="n"/>
      <x:c r="Y86" s="100" t="n"/>
      <x:c r="Z86" s="100" t="n"/>
      <x:c r="AA86" s="100" t="n"/>
      <x:c r="AB86" s="100" t="n"/>
      <x:c r="AC86" s="100" t="n"/>
      <x:c r="AD86" s="100" t="n"/>
      <x:c r="AE86" s="100" t="n"/>
      <x:c r="AF86" s="299" t="n"/>
      <x:c r="AG86" s="100" t="n"/>
      <x:c r="AH86" s="299" t="n"/>
      <x:c r="AI86" s="100" t="n"/>
      <x:c r="AJ86" s="299" t="n"/>
      <x:c r="AK86" s="299" t="n"/>
      <x:c r="AL86" s="299" t="n"/>
      <x:c r="AM86" s="299" t="n"/>
      <x:c r="AN86" s="299" t="n"/>
      <x:c r="AO86" s="299" t="n"/>
      <x:c r="AP86" s="299" t="n"/>
      <x:c r="AQ86" s="299" t="n"/>
      <x:c r="AR86" s="299" t="n"/>
      <x:c r="AS86" s="299" t="n"/>
      <x:c r="AT86" s="302" t="n"/>
      <x:c r="AU86" s="302" t="n"/>
      <x:c r="AV86" s="302" t="n"/>
      <x:c r="AW86" s="302" t="n"/>
      <x:c r="AX86" s="302" t="n"/>
      <x:c r="AY86" s="302" t="n"/>
      <x:c r="AZ86" s="302" t="n"/>
      <x:c r="BA86" s="302" t="n"/>
      <x:c r="BB86" s="302" t="n"/>
      <x:c r="BC86" s="302" t="n"/>
      <x:c r="BD86" s="302" t="n"/>
      <x:c r="BE86" s="302" t="n"/>
      <x:c r="BF86" s="302" t="n"/>
      <x:c r="BG86" s="302" t="n"/>
      <x:c r="BH86" s="302" t="n"/>
      <x:c r="BI86" s="302" t="n"/>
      <x:c r="BJ86" s="302" t="n"/>
      <x:c r="BK86" s="302" t="n"/>
      <x:c r="BL86" s="302" t="n"/>
      <x:c r="BM86" s="302" t="n"/>
      <x:c r="BN86" s="302" t="n"/>
      <x:c r="BO86" s="302" t="n"/>
      <x:c r="BP86" s="302" t="n"/>
      <x:c r="BQ86" s="302" t="n"/>
      <x:c r="BR86" s="302" t="n"/>
      <x:c r="BS86" s="302" t="n"/>
      <x:c r="BT86" s="302" t="n"/>
      <x:c r="BU86" s="302" t="n"/>
      <x:c r="BV86" s="302" t="n"/>
      <x:c r="BW86" s="302" t="n"/>
      <x:c r="BX86" s="302" t="n"/>
      <x:c r="BY86" s="302" t="n"/>
      <x:c r="BZ86" s="302" t="n"/>
      <x:c r="CA86" s="302" t="n"/>
      <x:c r="CB86" s="302" t="n"/>
      <x:c r="CC86" s="302" t="n"/>
      <x:c r="CD86" s="302" t="n"/>
      <x:c r="CE86" s="302" t="n"/>
      <x:c r="CF86" s="302" t="n"/>
      <x:c r="CG86" s="302" t="n"/>
      <x:c r="CH86" s="302" t="n"/>
      <x:c r="CI86" s="302" t="n"/>
      <x:c r="CJ86" s="302" t="n"/>
      <x:c r="CK86" s="302" t="n"/>
      <x:c r="CL86" s="302" t="n"/>
      <x:c r="CM86" s="302" t="n"/>
      <x:c r="CN86" s="302" t="n"/>
      <x:c r="CO86" s="302" t="n"/>
      <x:c r="CP86" s="302" t="n"/>
      <x:c r="CQ86" s="302" t="n"/>
      <x:c r="CR86" s="302" t="n"/>
      <x:c r="CS86" s="302" t="n"/>
      <x:c r="CT86" s="302" t="n"/>
      <x:c r="CU86" s="302" t="n"/>
      <x:c r="CV86" s="302" t="n"/>
      <x:c r="CW86" s="302" t="n"/>
      <x:c r="CX86" s="302" t="n"/>
      <x:c r="CY86" s="302" t="n"/>
      <x:c r="CZ86" s="302" t="n"/>
      <x:c r="DA86" s="302" t="n"/>
      <x:c r="DB86" s="302" t="n"/>
      <x:c r="DC86" s="302" t="n">
        <x:v>0.0182845</x:v>
      </x:c>
      <x:c r="DD86" s="302" t="n"/>
      <x:c r="DE86" s="302" t="n"/>
      <x:c r="DF86" s="302" t="n"/>
      <x:c r="DG86" s="302" t="n"/>
      <x:c r="DH86" s="302" t="n"/>
      <x:c r="DI86" s="302" t="n"/>
      <x:c r="DJ86" s="302" t="n"/>
      <x:c r="DK86" s="302" t="n"/>
      <x:c r="DL86" s="302" t="n"/>
      <x:c r="DM86" s="302" t="n">
        <x:v>-0.00965125</x:v>
      </x:c>
      <x:c r="DN86" s="302" t="n"/>
      <x:c r="DO86" s="302" t="n"/>
      <x:c r="DP86" s="302" t="n"/>
      <x:c r="DQ86" s="302" t="n"/>
      <x:c r="DR86" s="302" t="n"/>
      <x:c r="DS86" s="302" t="n"/>
      <x:c r="DT86" s="302" t="n"/>
      <x:c r="DU86" s="302" t="n"/>
      <x:c r="DV86" s="302" t="n"/>
      <x:c r="DW86" s="302" t="n"/>
      <x:c r="DX86" s="302" t="n"/>
      <x:c r="DY86" s="302" t="n"/>
      <x:c r="DZ86" s="302" t="n"/>
      <x:c r="EA86" s="302" t="n"/>
      <x:c r="EB86" s="302" t="n"/>
      <x:c r="EC86" s="302" t="n"/>
      <x:c r="ED86" s="302" t="n"/>
      <x:c r="EE86" s="302" t="n"/>
      <x:c r="EF86" s="302" t="n"/>
      <x:c r="EG86" s="302" t="n"/>
      <x:c r="EH86" s="302" t="n"/>
      <x:c r="EI86" s="302" t="n"/>
      <x:c r="EJ86" s="302" t="n"/>
      <x:c r="EK86" s="302" t="n"/>
      <x:c r="EL86" s="302" t="n"/>
      <x:c r="EM86" s="302" t="n"/>
      <x:c r="EN86" s="302" t="n"/>
      <x:c r="EO86" s="302" t="n"/>
      <x:c r="EP86" s="302" t="n"/>
      <x:c r="EQ86" s="302" t="n"/>
      <x:c r="ER86" s="302" t="n"/>
      <x:c r="ES86" s="302" t="n"/>
      <x:c r="ET86" s="302" t="n"/>
      <x:c r="EU86" s="302" t="n"/>
      <x:c r="EV86" s="302" t="n"/>
      <x:c r="EW86" s="302" t="n"/>
      <x:c r="EX86" s="302" t="n"/>
      <x:c r="EY86" s="302" t="n"/>
    </x:row>
    <x:row r="87" s="27" customFormat="1">
      <x:c r="A87" s="38" t="n"/>
      <x:c r="B87" s="37" t="n"/>
      <x:c r="C87" s="36" t="n">
        <x:f>E87*D$5</x:f>
        <x:v>2.9310298389915808</x:v>
      </x:c>
      <x:c r="D87" s="66" t="inlineStr">
        <x:is>
          <x:t xml:space="preserve">Deeanne Browning</x:t>
        </x:is>
      </x:c>
      <x:c r="E87" s="36" t="n">
        <x:f>SUM(G87:HS87)</x:f>
        <x:v>0.01831893649369738</x:v>
      </x:c>
      <x:c r="F87" s="126" t="inlineStr">
        <x:is>
          <x:t xml:space="preserve"/>
        </x:is>
      </x:c>
      <x:c r="G87" s="299" t="n"/>
      <x:c r="H87" s="299" t="n"/>
      <x:c r="I87" s="299" t="n"/>
      <x:c r="J87" s="299" t="n"/>
      <x:c r="K87" s="299" t="n"/>
      <x:c r="L87" s="299" t="n"/>
      <x:c r="M87" s="299" t="n"/>
      <x:c r="N87" s="299" t="n"/>
      <x:c r="O87" s="299" t="n"/>
      <x:c r="P87" s="100" t="n"/>
      <x:c r="Q87" s="299" t="n"/>
      <x:c r="R87" s="299" t="n"/>
      <x:c r="S87" s="299" t="n"/>
      <x:c r="T87" s="299" t="n"/>
      <x:c r="U87" s="299" t="n"/>
      <x:c r="V87" s="299" t="n"/>
      <x:c r="W87" s="299" t="n"/>
      <x:c r="X87" s="299" t="n"/>
      <x:c r="Y87" s="100" t="n"/>
      <x:c r="Z87" s="100" t="n"/>
      <x:c r="AA87" s="100" t="n"/>
      <x:c r="AB87" s="100" t="n"/>
      <x:c r="AC87" s="100" t="n"/>
      <x:c r="AD87" s="100" t="n"/>
      <x:c r="AE87" s="100" t="n"/>
      <x:c r="AF87" s="299" t="n"/>
      <x:c r="AG87" s="100" t="n"/>
      <x:c r="AH87" s="299" t="n"/>
      <x:c r="AI87" s="100" t="n"/>
      <x:c r="AJ87" s="299" t="n"/>
      <x:c r="AK87" s="299" t="n"/>
      <x:c r="AL87" s="299" t="n"/>
      <x:c r="AM87" s="299" t="n"/>
      <x:c r="AN87" s="299" t="n"/>
      <x:c r="AO87" s="299" t="n"/>
      <x:c r="AP87" s="299" t="n"/>
      <x:c r="AQ87" s="299" t="n"/>
      <x:c r="AR87" s="299" t="n"/>
      <x:c r="AS87" s="299" t="n"/>
      <x:c r="AT87" s="302" t="n"/>
      <x:c r="AU87" s="302" t="n"/>
      <x:c r="AV87" s="302" t="n"/>
      <x:c r="AW87" s="302" t="n"/>
      <x:c r="AX87" s="302" t="n"/>
      <x:c r="AY87" s="302" t="n"/>
      <x:c r="AZ87" s="302" t="n"/>
      <x:c r="BA87" s="302" t="n"/>
      <x:c r="BB87" s="302" t="n"/>
      <x:c r="BC87" s="302" t="n"/>
      <x:c r="BD87" s="302" t="n"/>
      <x:c r="BE87" s="302" t="n"/>
      <x:c r="BF87" s="302" t="n"/>
      <x:c r="BG87" s="302" t="n"/>
      <x:c r="BH87" s="302" t="n"/>
      <x:c r="BI87" s="302" t="n"/>
      <x:c r="BJ87" s="302" t="n"/>
      <x:c r="BK87" s="302" t="n"/>
      <x:c r="BL87" s="302" t="n"/>
      <x:c r="BM87" s="302" t="n"/>
      <x:c r="BN87" s="302" t="n"/>
      <x:c r="BO87" s="302" t="n"/>
      <x:c r="BP87" s="302" t="n"/>
      <x:c r="BQ87" s="302" t="n"/>
      <x:c r="BR87" s="302" t="n"/>
      <x:c r="BS87" s="302" t="n"/>
      <x:c r="BT87" s="302" t="n"/>
      <x:c r="BU87" s="302" t="n"/>
      <x:c r="BV87" s="302" t="n"/>
      <x:c r="BW87" s="302" t="n"/>
      <x:c r="BX87" s="302" t="n"/>
      <x:c r="BY87" s="302" t="n"/>
      <x:c r="BZ87" s="302" t="n"/>
      <x:c r="CA87" s="302" t="n"/>
      <x:c r="CB87" s="302" t="n"/>
      <x:c r="CC87" s="302" t="n"/>
      <x:c r="CD87" s="302" t="n"/>
      <x:c r="CE87" s="302" t="n"/>
      <x:c r="CF87" s="302" t="n"/>
      <x:c r="CG87" s="302" t="n"/>
      <x:c r="CH87" s="302" t="n"/>
      <x:c r="CI87" s="302" t="n"/>
      <x:c r="CJ87" s="302" t="n"/>
      <x:c r="CK87" s="302" t="n"/>
      <x:c r="CL87" s="302" t="n"/>
      <x:c r="CM87" s="302" t="n"/>
      <x:c r="CN87" s="302" t="n"/>
      <x:c r="CO87" s="302" t="n"/>
      <x:c r="CP87" s="302" t="n"/>
      <x:c r="CQ87" s="302" t="n"/>
      <x:c r="CR87" s="302" t="n"/>
      <x:c r="CS87" s="302" t="n"/>
      <x:c r="CT87" s="302" t="n"/>
      <x:c r="CU87" s="302" t="n"/>
      <x:c r="CV87" s="302" t="n"/>
      <x:c r="CW87" s="302" t="n"/>
      <x:c r="CX87" s="302" t="n"/>
      <x:c r="CY87" s="302" t="n"/>
      <x:c r="CZ87" s="302" t="n"/>
      <x:c r="DA87" s="302" t="n"/>
      <x:c r="DB87" s="302" t="n"/>
      <x:c r="DC87" s="302" t="n"/>
      <x:c r="DD87" s="302" t="n"/>
      <x:c r="DE87" s="302" t="n"/>
      <x:c r="DF87" s="302" t="n"/>
      <x:c r="DG87" s="302" t="n"/>
      <x:c r="DH87" s="302" t="n">
        <x:f>(43.496666/791.47)*(2/6)</x:f>
        <x:v>0.01831893649369738</x:v>
      </x:c>
      <x:c r="DI87" s="302" t="n"/>
      <x:c r="DJ87" s="302" t="n"/>
      <x:c r="DK87" s="302" t="n"/>
      <x:c r="DL87" s="302" t="n"/>
      <x:c r="DM87" s="302" t="n"/>
      <x:c r="DN87" s="302" t="n"/>
      <x:c r="DO87" s="302" t="n"/>
      <x:c r="DP87" s="302" t="n"/>
      <x:c r="DQ87" s="302" t="n"/>
      <x:c r="DR87" s="302" t="n"/>
      <x:c r="DS87" s="302" t="n"/>
      <x:c r="DT87" s="302" t="n"/>
      <x:c r="DU87" s="302" t="n"/>
      <x:c r="DV87" s="302" t="n"/>
      <x:c r="DW87" s="302" t="n"/>
      <x:c r="DX87" s="302" t="n"/>
      <x:c r="DY87" s="302" t="n"/>
      <x:c r="DZ87" s="302" t="n"/>
      <x:c r="EA87" s="302" t="n"/>
      <x:c r="EB87" s="302" t="n"/>
      <x:c r="EC87" s="302" t="n"/>
      <x:c r="ED87" s="302" t="n"/>
      <x:c r="EE87" s="302" t="n"/>
      <x:c r="EF87" s="302" t="n"/>
      <x:c r="EG87" s="302" t="n"/>
      <x:c r="EH87" s="302" t="n"/>
      <x:c r="EI87" s="302" t="n"/>
      <x:c r="EJ87" s="302" t="n"/>
      <x:c r="EK87" s="302" t="n"/>
      <x:c r="EL87" s="302" t="n"/>
      <x:c r="EM87" s="302" t="n"/>
      <x:c r="EN87" s="302" t="n"/>
      <x:c r="EO87" s="302" t="n"/>
      <x:c r="EP87" s="302" t="n"/>
      <x:c r="EQ87" s="302" t="n"/>
      <x:c r="ER87" s="302" t="n"/>
      <x:c r="ES87" s="302" t="n"/>
      <x:c r="ET87" s="302" t="n"/>
      <x:c r="EU87" s="302" t="n"/>
      <x:c r="EV87" s="302" t="n"/>
      <x:c r="EW87" s="302" t="n"/>
      <x:c r="EX87" s="302" t="n"/>
      <x:c r="EY87" s="302" t="n"/>
    </x:row>
    <x:row r="88" s="27" customFormat="1">
      <x:c r="A88" s="38" t="n"/>
      <x:c r="B88" s="37" t="n"/>
      <x:c r="C88" s="86" t="n">
        <x:f>E88*D$5</x:f>
        <x:v>0</x:v>
      </x:c>
      <x:c r="D88" s="374" t="inlineStr">
        <x:is>
          <x:t xml:space="preserve">Darrell E. Hamilton</x:t>
        </x:is>
      </x:c>
      <x:c r="E88" s="86" t="n">
        <x:f>SUM(G88:HS88)</x:f>
        <x:v>0</x:v>
      </x:c>
      <x:c r="F88" s="126" t="inlineStr">
        <x:is>
          <x:t xml:space="preserve"/>
        </x:is>
      </x:c>
      <x:c r="G88" s="299" t="n"/>
      <x:c r="H88" s="299" t="n"/>
      <x:c r="I88" s="299" t="n"/>
      <x:c r="J88" s="299" t="n"/>
      <x:c r="K88" s="299" t="n"/>
      <x:c r="L88" s="299" t="n"/>
      <x:c r="M88" s="299" t="n"/>
      <x:c r="N88" s="299" t="n"/>
      <x:c r="O88" s="299" t="n"/>
      <x:c r="P88" s="100" t="n"/>
      <x:c r="Q88" s="299" t="n"/>
      <x:c r="R88" s="299" t="n"/>
      <x:c r="S88" s="299" t="n"/>
      <x:c r="T88" s="299" t="n"/>
      <x:c r="U88" s="299" t="n"/>
      <x:c r="V88" s="299" t="n"/>
      <x:c r="W88" s="299" t="n"/>
      <x:c r="X88" s="299" t="n"/>
      <x:c r="Y88" s="100" t="n"/>
      <x:c r="Z88" s="100" t="n"/>
      <x:c r="AA88" s="100" t="n"/>
      <x:c r="AB88" s="100" t="n"/>
      <x:c r="AC88" s="100" t="n"/>
      <x:c r="AD88" s="100" t="n"/>
      <x:c r="AE88" s="100" t="n"/>
      <x:c r="AF88" s="299" t="n"/>
      <x:c r="AG88" s="100" t="n"/>
      <x:c r="AH88" s="299" t="n"/>
      <x:c r="AI88" s="100" t="n"/>
      <x:c r="AJ88" s="299" t="n"/>
      <x:c r="AK88" s="299" t="n"/>
      <x:c r="AL88" s="299" t="n"/>
      <x:c r="AM88" s="299" t="n"/>
      <x:c r="AN88" s="299" t="n"/>
      <x:c r="AO88" s="299" t="n"/>
      <x:c r="AP88" s="299" t="n"/>
      <x:c r="AQ88" s="299" t="n"/>
      <x:c r="AR88" s="299" t="n"/>
      <x:c r="AS88" s="299" t="n"/>
      <x:c r="AT88" s="302" t="n"/>
      <x:c r="AU88" s="302" t="n"/>
      <x:c r="AV88" s="302" t="n"/>
      <x:c r="AW88" s="302" t="n"/>
      <x:c r="AX88" s="302" t="n"/>
      <x:c r="AY88" s="302" t="n"/>
      <x:c r="AZ88" s="302" t="n"/>
      <x:c r="BA88" s="302" t="n"/>
      <x:c r="BB88" s="302" t="n"/>
      <x:c r="BC88" s="302" t="n"/>
      <x:c r="BD88" s="302" t="n"/>
      <x:c r="BE88" s="302" t="n"/>
      <x:c r="BF88" s="302" t="n"/>
      <x:c r="BG88" s="302" t="n"/>
      <x:c r="BH88" s="302" t="n"/>
      <x:c r="BI88" s="302" t="n"/>
      <x:c r="BJ88" s="302" t="n"/>
      <x:c r="BK88" s="302" t="n"/>
      <x:c r="BL88" s="302" t="n"/>
      <x:c r="BM88" s="302" t="n"/>
      <x:c r="BN88" s="302" t="n"/>
      <x:c r="BO88" s="302" t="n"/>
      <x:c r="BP88" s="302" t="n"/>
      <x:c r="BQ88" s="302" t="n"/>
      <x:c r="BR88" s="302" t="n"/>
      <x:c r="BS88" s="302" t="n"/>
      <x:c r="BT88" s="302" t="n"/>
      <x:c r="BU88" s="302" t="n"/>
      <x:c r="BV88" s="302" t="n"/>
      <x:c r="BW88" s="302" t="n"/>
      <x:c r="BX88" s="302" t="n"/>
      <x:c r="BY88" s="302" t="n"/>
      <x:c r="BZ88" s="302" t="n"/>
      <x:c r="CA88" s="302" t="n"/>
      <x:c r="CB88" s="302" t="n"/>
      <x:c r="CC88" s="302" t="n"/>
      <x:c r="CD88" s="302" t="n"/>
      <x:c r="CE88" s="302" t="n"/>
      <x:c r="CF88" s="302" t="n"/>
      <x:c r="CG88" s="302" t="n"/>
      <x:c r="CH88" s="302" t="n"/>
      <x:c r="CI88" s="302" t="n"/>
      <x:c r="CJ88" s="302" t="n"/>
      <x:c r="CK88" s="302" t="n"/>
      <x:c r="CL88" s="302" t="n"/>
      <x:c r="CM88" s="302" t="n"/>
      <x:c r="CN88" s="302" t="n"/>
      <x:c r="CO88" s="302" t="n"/>
      <x:c r="CP88" s="302" t="n"/>
      <x:c r="CQ88" s="302" t="n"/>
      <x:c r="CR88" s="302" t="n"/>
      <x:c r="CS88" s="302" t="n"/>
      <x:c r="CT88" s="302" t="n"/>
      <x:c r="CU88" s="302" t="n"/>
      <x:c r="CV88" s="302" t="n"/>
      <x:c r="CW88" s="302" t="n"/>
      <x:c r="CX88" s="302" t="n"/>
      <x:c r="CY88" s="302" t="n"/>
      <x:c r="CZ88" s="302" t="n"/>
      <x:c r="DA88" s="302" t="n"/>
      <x:c r="DB88" s="302" t="n"/>
      <x:c r="DC88" s="302" t="n"/>
      <x:c r="DD88" s="302" t="n"/>
      <x:c r="DE88" s="302" t="n"/>
      <x:c r="DF88" s="302" t="n"/>
      <x:c r="DG88" s="302" t="n"/>
      <x:c r="DH88" s="302" t="n">
        <x:f>(43.496666/791.47)*(2/6)</x:f>
        <x:v>0.01831893649369738</x:v>
      </x:c>
      <x:c r="DI88" s="302" t="n"/>
      <x:c r="DJ88" s="302" t="n"/>
      <x:c r="DK88" s="302" t="n"/>
      <x:c r="DL88" s="302" t="n"/>
      <x:c r="DM88" s="302" t="n"/>
      <x:c r="DN88" s="302" t="n"/>
      <x:c r="DO88" s="302" t="n"/>
      <x:c r="DP88" s="302" t="n"/>
      <x:c r="DQ88" s="302" t="n"/>
      <x:c r="DR88" s="302" t="n"/>
      <x:c r="DS88" s="302" t="n"/>
      <x:c r="DT88" s="302" t="n"/>
      <x:c r="DU88" s="302" t="n"/>
      <x:c r="DV88" s="302" t="n"/>
      <x:c r="DW88" s="302" t="n"/>
      <x:c r="DX88" s="302" t="n"/>
      <x:c r="DY88" s="302" t="n"/>
      <x:c r="DZ88" s="302" t="n"/>
      <x:c r="EA88" s="302" t="n"/>
      <x:c r="EB88" s="302" t="n"/>
      <x:c r="EC88" s="302" t="n"/>
      <x:c r="ED88" s="302" t="n"/>
      <x:c r="EE88" s="302" t="n"/>
      <x:c r="EF88" s="302" t="n"/>
      <x:c r="EG88" s="302" t="n"/>
      <x:c r="EH88" s="302" t="n"/>
      <x:c r="EI88" s="302" t="n"/>
      <x:c r="EJ88" s="302" t="n"/>
      <x:c r="EK88" s="302" t="n"/>
      <x:c r="EL88" s="302" t="n"/>
      <x:c r="EM88" s="302" t="n"/>
      <x:c r="EN88" s="302" t="n"/>
      <x:c r="EO88" s="302" t="n"/>
      <x:c r="EP88" s="302" t="n"/>
      <x:c r="EQ88" s="302" t="n"/>
      <x:c r="ER88" s="302" t="n"/>
      <x:c r="ES88" s="302" t="n"/>
      <x:c r="ET88" s="302" t="n"/>
      <x:c r="EU88" s="302" t="n"/>
      <x:c r="EV88" s="302" t="n"/>
      <x:c r="EW88" s="302" t="n"/>
      <x:c r="EX88" s="302" t="n"/>
      <x:c r="EY88" s="302" t="n"/>
      <x:c r="EZ88" s="27" t="n">
        <x:f>-DH88</x:f>
        <x:v>-0.01831893649369738</x:v>
      </x:c>
    </x:row>
    <x:row r="89" s="27" customFormat="1">
      <x:c r="A89" s="38" t="n"/>
      <x:c r="B89" s="37" t="n"/>
      <x:c r="C89" s="36" t="n">
        <x:f>E89*D$5</x:f>
        <x:v>1.4655149194957904</x:v>
      </x:c>
      <x:c r="D89" s="66" t="inlineStr">
        <x:is>
          <x:t xml:space="preserve">Stacy L. Smith</x:t>
        </x:is>
      </x:c>
      <x:c r="E89" s="36" t="n">
        <x:f>SUM(G89:HS89)</x:f>
        <x:v>0.00915946824684869</x:v>
      </x:c>
      <x:c r="F89" s="126" t="inlineStr">
        <x:is>
          <x:t xml:space="preserve"/>
        </x:is>
      </x:c>
      <x:c r="G89" s="302" t="n"/>
      <x:c r="H89" s="302" t="n"/>
      <x:c r="I89" s="302" t="n"/>
      <x:c r="J89" s="302" t="n"/>
      <x:c r="K89" s="302" t="n"/>
      <x:c r="L89" s="302" t="n"/>
      <x:c r="M89" s="302" t="n"/>
      <x:c r="N89" s="302" t="n"/>
      <x:c r="O89" s="302" t="n"/>
      <x:c r="P89" s="100" t="n"/>
      <x:c r="Q89" s="302" t="n"/>
      <x:c r="R89" s="302" t="n"/>
      <x:c r="S89" s="302" t="n"/>
      <x:c r="T89" s="302" t="n"/>
      <x:c r="U89" s="302" t="n"/>
      <x:c r="V89" s="302" t="n"/>
      <x:c r="W89" s="302" t="n"/>
      <x:c r="X89" s="302" t="n"/>
      <x:c r="Y89" s="100" t="n"/>
      <x:c r="Z89" s="100" t="n"/>
      <x:c r="AA89" s="100" t="n"/>
      <x:c r="AB89" s="100" t="n"/>
      <x:c r="AC89" s="100" t="n"/>
      <x:c r="AD89" s="100" t="n"/>
      <x:c r="AE89" s="100" t="n"/>
      <x:c r="AF89" s="302" t="n"/>
      <x:c r="AG89" s="100" t="n"/>
      <x:c r="AH89" s="302" t="n"/>
      <x:c r="AI89" s="100" t="n"/>
      <x:c r="AJ89" s="302" t="n"/>
      <x:c r="AK89" s="302" t="n"/>
      <x:c r="AL89" s="302" t="n"/>
      <x:c r="AM89" s="302" t="n"/>
      <x:c r="AN89" s="302" t="n"/>
      <x:c r="AO89" s="302" t="n"/>
      <x:c r="AP89" s="302" t="n"/>
      <x:c r="AQ89" s="302" t="n"/>
      <x:c r="AR89" s="302" t="n"/>
      <x:c r="AS89" s="302" t="n"/>
      <x:c r="AT89" s="302" t="n"/>
      <x:c r="AU89" s="302" t="n"/>
      <x:c r="AV89" s="302" t="n"/>
      <x:c r="AW89" s="302" t="n"/>
      <x:c r="AX89" s="302" t="n"/>
      <x:c r="AY89" s="302" t="n"/>
      <x:c r="AZ89" s="302" t="n"/>
      <x:c r="BA89" s="302" t="n"/>
      <x:c r="BB89" s="302" t="n"/>
      <x:c r="BC89" s="302" t="n"/>
      <x:c r="BD89" s="302" t="n"/>
      <x:c r="BE89" s="302" t="n"/>
      <x:c r="BF89" s="302" t="n"/>
      <x:c r="BG89" s="302" t="n"/>
      <x:c r="BH89" s="302" t="n"/>
      <x:c r="BI89" s="302" t="n"/>
      <x:c r="BJ89" s="302" t="n"/>
      <x:c r="BK89" s="302" t="n"/>
      <x:c r="BL89" s="302" t="n"/>
      <x:c r="BM89" s="302" t="n"/>
      <x:c r="BN89" s="302" t="n"/>
      <x:c r="BO89" s="302" t="n"/>
      <x:c r="BP89" s="302" t="n"/>
      <x:c r="BQ89" s="302" t="n"/>
      <x:c r="BR89" s="302" t="n"/>
      <x:c r="BS89" s="302" t="n"/>
      <x:c r="BT89" s="302" t="n"/>
      <x:c r="BU89" s="302" t="n"/>
      <x:c r="BV89" s="302" t="n"/>
      <x:c r="BW89" s="302" t="n"/>
      <x:c r="BX89" s="302" t="n"/>
      <x:c r="BY89" s="302" t="n"/>
      <x:c r="BZ89" s="302" t="n"/>
      <x:c r="CA89" s="302" t="n"/>
      <x:c r="CB89" s="302" t="n"/>
      <x:c r="CC89" s="302" t="n"/>
      <x:c r="CD89" s="302" t="n"/>
      <x:c r="CE89" s="302" t="n"/>
      <x:c r="CF89" s="302" t="n"/>
      <x:c r="CG89" s="302" t="n"/>
      <x:c r="CH89" s="302" t="n"/>
      <x:c r="CI89" s="302" t="n"/>
      <x:c r="CJ89" s="302" t="n"/>
      <x:c r="CK89" s="302" t="n"/>
      <x:c r="CL89" s="302" t="n"/>
      <x:c r="CM89" s="302" t="n"/>
      <x:c r="CN89" s="302" t="n"/>
      <x:c r="CO89" s="302" t="n"/>
      <x:c r="CP89" s="302" t="n"/>
      <x:c r="CQ89" s="302" t="n"/>
      <x:c r="CR89" s="302" t="n"/>
      <x:c r="CS89" s="302" t="n"/>
      <x:c r="CT89" s="302" t="n"/>
      <x:c r="CU89" s="302" t="n"/>
      <x:c r="CV89" s="302" t="n"/>
      <x:c r="CW89" s="302" t="n"/>
      <x:c r="CX89" s="302" t="n"/>
      <x:c r="CY89" s="302" t="n"/>
      <x:c r="CZ89" s="302" t="n"/>
      <x:c r="DA89" s="302" t="n"/>
      <x:c r="DB89" s="302" t="n"/>
      <x:c r="DC89" s="302" t="n"/>
      <x:c r="DD89" s="302" t="n"/>
      <x:c r="DE89" s="302" t="n"/>
      <x:c r="DF89" s="302" t="n"/>
      <x:c r="DG89" s="302" t="n"/>
      <x:c r="DH89" s="302" t="n">
        <x:f>(43.496666/791.47)*(1/6)</x:f>
        <x:v>0.00915946824684869</x:v>
      </x:c>
      <x:c r="DI89" s="302" t="n"/>
      <x:c r="DJ89" s="302" t="n"/>
      <x:c r="DK89" s="302" t="n"/>
      <x:c r="DL89" s="302" t="n"/>
      <x:c r="DM89" s="302" t="n"/>
      <x:c r="DN89" s="302" t="n"/>
      <x:c r="DO89" s="302" t="n"/>
      <x:c r="DP89" s="302" t="n"/>
      <x:c r="DQ89" s="302" t="n"/>
      <x:c r="DR89" s="302" t="n"/>
      <x:c r="DS89" s="302" t="n"/>
      <x:c r="DT89" s="302" t="n"/>
      <x:c r="DU89" s="302" t="n"/>
      <x:c r="DV89" s="302" t="n"/>
      <x:c r="DW89" s="302" t="n"/>
      <x:c r="DX89" s="302" t="n"/>
      <x:c r="DY89" s="302" t="n"/>
      <x:c r="DZ89" s="302" t="n"/>
      <x:c r="EA89" s="302" t="n"/>
      <x:c r="EB89" s="302" t="n"/>
      <x:c r="EC89" s="302" t="n"/>
      <x:c r="ED89" s="302" t="n"/>
      <x:c r="EE89" s="302" t="n"/>
      <x:c r="EF89" s="302" t="n"/>
      <x:c r="EG89" s="302" t="n"/>
      <x:c r="EH89" s="302" t="n"/>
      <x:c r="EI89" s="302" t="n"/>
      <x:c r="EJ89" s="302" t="n"/>
      <x:c r="EK89" s="302" t="n"/>
      <x:c r="EL89" s="302" t="n"/>
      <x:c r="EM89" s="302" t="n"/>
      <x:c r="EN89" s="302" t="n"/>
      <x:c r="EO89" s="302" t="n"/>
      <x:c r="EP89" s="302" t="n"/>
      <x:c r="EQ89" s="302" t="n"/>
      <x:c r="ER89" s="302" t="n"/>
      <x:c r="ES89" s="302" t="n"/>
      <x:c r="ET89" s="302" t="n"/>
      <x:c r="EU89" s="302" t="n"/>
      <x:c r="EV89" s="302" t="n"/>
      <x:c r="EW89" s="302" t="n"/>
      <x:c r="EX89" s="302" t="n"/>
      <x:c r="EY89" s="302" t="n"/>
    </x:row>
    <x:row r="90" s="27" customFormat="1">
      <x:c r="A90" s="38" t="n"/>
      <x:c r="B90" s="37" t="n"/>
      <x:c r="C90" s="36" t="n">
        <x:f>E90*D$5</x:f>
        <x:v>1.4655149194957904</x:v>
      </x:c>
      <x:c r="D90" s="523" t="inlineStr">
        <x:is>
          <x:t xml:space="preserve">Travis L. Smith</x:t>
        </x:is>
      </x:c>
      <x:c r="E90" s="86" t="n">
        <x:f>SUM(G90:HS90)</x:f>
        <x:v>0.00915946824684869</x:v>
      </x:c>
      <x:c r="F90" s="126" t="inlineStr">
        <x:is>
          <x:t xml:space="preserve"/>
        </x:is>
      </x:c>
      <x:c r="G90" s="302" t="n"/>
      <x:c r="H90" s="302" t="n"/>
      <x:c r="I90" s="302" t="n"/>
      <x:c r="J90" s="302" t="n"/>
      <x:c r="K90" s="302" t="n"/>
      <x:c r="L90" s="302" t="n"/>
      <x:c r="M90" s="302" t="n"/>
      <x:c r="N90" s="302" t="n"/>
      <x:c r="O90" s="302" t="n"/>
      <x:c r="P90" s="100" t="n"/>
      <x:c r="Q90" s="302" t="n"/>
      <x:c r="R90" s="302" t="n"/>
      <x:c r="S90" s="302" t="n"/>
      <x:c r="T90" s="302" t="n"/>
      <x:c r="U90" s="302" t="n"/>
      <x:c r="V90" s="302" t="n"/>
      <x:c r="W90" s="302" t="n"/>
      <x:c r="X90" s="302" t="n"/>
      <x:c r="Y90" s="100" t="n"/>
      <x:c r="Z90" s="100" t="n"/>
      <x:c r="AA90" s="100" t="n"/>
      <x:c r="AB90" s="100" t="n"/>
      <x:c r="AC90" s="100" t="n"/>
      <x:c r="AD90" s="100" t="n"/>
      <x:c r="AE90" s="100" t="n"/>
      <x:c r="AF90" s="302" t="n"/>
      <x:c r="AG90" s="100" t="n"/>
      <x:c r="AH90" s="302" t="n"/>
      <x:c r="AI90" s="100" t="n"/>
      <x:c r="AJ90" s="302" t="n"/>
      <x:c r="AK90" s="302" t="n"/>
      <x:c r="AL90" s="302" t="n"/>
      <x:c r="AM90" s="302" t="n"/>
      <x:c r="AN90" s="302" t="n"/>
      <x:c r="AO90" s="302" t="n"/>
      <x:c r="AP90" s="302" t="n"/>
      <x:c r="AQ90" s="302" t="n"/>
      <x:c r="AR90" s="302" t="n"/>
      <x:c r="AS90" s="302" t="n"/>
      <x:c r="AT90" s="302" t="n"/>
      <x:c r="AU90" s="302" t="n"/>
      <x:c r="AV90" s="302" t="n"/>
      <x:c r="AW90" s="302" t="n"/>
      <x:c r="AX90" s="302" t="n"/>
      <x:c r="AY90" s="302" t="n"/>
      <x:c r="AZ90" s="302" t="n"/>
      <x:c r="BA90" s="302" t="n"/>
      <x:c r="BB90" s="302" t="n"/>
      <x:c r="BC90" s="302" t="n"/>
      <x:c r="BD90" s="302" t="n"/>
      <x:c r="BE90" s="302" t="n"/>
      <x:c r="BF90" s="302" t="n"/>
      <x:c r="BG90" s="302" t="n"/>
      <x:c r="BH90" s="302" t="n"/>
      <x:c r="BI90" s="302" t="n"/>
      <x:c r="BJ90" s="302" t="n"/>
      <x:c r="BK90" s="302" t="n"/>
      <x:c r="BL90" s="302" t="n"/>
      <x:c r="BM90" s="302" t="n"/>
      <x:c r="BN90" s="302" t="n"/>
      <x:c r="BO90" s="302" t="n"/>
      <x:c r="BP90" s="302" t="n"/>
      <x:c r="BQ90" s="302" t="n"/>
      <x:c r="BR90" s="302" t="n"/>
      <x:c r="BS90" s="302" t="n"/>
      <x:c r="BT90" s="302" t="n"/>
      <x:c r="BU90" s="302" t="n"/>
      <x:c r="BV90" s="302" t="n"/>
      <x:c r="BW90" s="302" t="n"/>
      <x:c r="BX90" s="302" t="n"/>
      <x:c r="BY90" s="302" t="n"/>
      <x:c r="BZ90" s="302" t="n"/>
      <x:c r="CA90" s="302" t="n"/>
      <x:c r="CB90" s="302" t="n"/>
      <x:c r="CC90" s="302" t="n"/>
      <x:c r="CD90" s="302" t="n"/>
      <x:c r="CE90" s="302" t="n"/>
      <x:c r="CF90" s="302" t="n"/>
      <x:c r="CG90" s="302" t="n"/>
      <x:c r="CH90" s="302" t="n"/>
      <x:c r="CI90" s="302" t="n"/>
      <x:c r="CJ90" s="302" t="n"/>
      <x:c r="CK90" s="302" t="n"/>
      <x:c r="CL90" s="302" t="n"/>
      <x:c r="CM90" s="302" t="n"/>
      <x:c r="CN90" s="302" t="n"/>
      <x:c r="CO90" s="302" t="n"/>
      <x:c r="CP90" s="302" t="n"/>
      <x:c r="CQ90" s="302" t="n"/>
      <x:c r="CR90" s="302" t="n"/>
      <x:c r="CS90" s="302" t="n"/>
      <x:c r="CT90" s="302" t="n"/>
      <x:c r="CU90" s="302" t="n"/>
      <x:c r="CV90" s="302" t="n"/>
      <x:c r="CW90" s="302" t="n"/>
      <x:c r="CX90" s="302" t="n"/>
      <x:c r="CY90" s="302" t="n"/>
      <x:c r="CZ90" s="302" t="n"/>
      <x:c r="DA90" s="302" t="n"/>
      <x:c r="DB90" s="302" t="n"/>
      <x:c r="DC90" s="302" t="n"/>
      <x:c r="DD90" s="302" t="n"/>
      <x:c r="DE90" s="302" t="n"/>
      <x:c r="DF90" s="302" t="n"/>
      <x:c r="DG90" s="302" t="n"/>
      <x:c r="DH90" s="302" t="n">
        <x:f>(43.496666/791.47)*(1/6)</x:f>
        <x:v>0.00915946824684869</x:v>
      </x:c>
      <x:c r="DI90" s="302" t="n"/>
      <x:c r="DJ90" s="302" t="n"/>
      <x:c r="DK90" s="302" t="n"/>
      <x:c r="DL90" s="302" t="n"/>
      <x:c r="DM90" s="302" t="n"/>
      <x:c r="DN90" s="302" t="n"/>
      <x:c r="DO90" s="302" t="n"/>
      <x:c r="DP90" s="302" t="n"/>
      <x:c r="DQ90" s="302" t="n"/>
      <x:c r="DR90" s="302" t="n"/>
      <x:c r="DS90" s="302" t="n"/>
      <x:c r="DT90" s="302" t="n"/>
      <x:c r="DU90" s="302" t="n"/>
      <x:c r="DV90" s="302" t="n"/>
      <x:c r="DW90" s="302" t="n"/>
      <x:c r="DX90" s="302" t="n"/>
      <x:c r="DY90" s="302" t="n"/>
      <x:c r="DZ90" s="302" t="n"/>
      <x:c r="EA90" s="302" t="n"/>
      <x:c r="EB90" s="302" t="n"/>
      <x:c r="EC90" s="302" t="n"/>
      <x:c r="ED90" s="302" t="n"/>
      <x:c r="EE90" s="302" t="n"/>
      <x:c r="EF90" s="302" t="n"/>
      <x:c r="EG90" s="302" t="n"/>
      <x:c r="EH90" s="302" t="n"/>
      <x:c r="EI90" s="302" t="n"/>
      <x:c r="EJ90" s="302" t="n"/>
      <x:c r="EK90" s="302" t="n"/>
      <x:c r="EL90" s="302" t="n"/>
      <x:c r="EM90" s="302" t="n"/>
      <x:c r="EN90" s="302" t="n"/>
      <x:c r="EO90" s="302" t="n"/>
      <x:c r="EP90" s="302" t="n"/>
      <x:c r="EQ90" s="302" t="n"/>
      <x:c r="ER90" s="302" t="n"/>
      <x:c r="ES90" s="302" t="n"/>
      <x:c r="ET90" s="302" t="n"/>
      <x:c r="EU90" s="302" t="n"/>
      <x:c r="EV90" s="302" t="n"/>
      <x:c r="EW90" s="302" t="n"/>
      <x:c r="EX90" s="302" t="n"/>
      <x:c r="EY90" s="302" t="n"/>
    </x:row>
    <x:row r="91" s="27" customFormat="1">
      <x:c r="A91" s="38" t="n"/>
      <x:c r="B91" s="37" t="n"/>
      <x:c r="C91" s="86" t="n">
        <x:f>E91*D$5</x:f>
        <x:v>0</x:v>
      </x:c>
      <x:c r="D91" s="374" t="inlineStr">
        <x:is>
          <x:t xml:space="preserve">G. &amp; T. Partnership</x:t>
        </x:is>
      </x:c>
      <x:c r="E91" s="86" t="n">
        <x:f>SUM(G91:HS91)</x:f>
        <x:v>0</x:v>
      </x:c>
      <x:c r="F91" s="126" t="inlineStr">
        <x:is>
          <x:t xml:space="preserve"/>
        </x:is>
      </x:c>
      <x:c r="G91" s="302" t="n"/>
      <x:c r="H91" s="302" t="n"/>
      <x:c r="I91" s="302" t="n"/>
      <x:c r="J91" s="302" t="n"/>
      <x:c r="K91" s="302" t="n"/>
      <x:c r="L91" s="302" t="n"/>
      <x:c r="M91" s="302" t="n"/>
      <x:c r="N91" s="302" t="n"/>
      <x:c r="O91" s="302" t="n"/>
      <x:c r="P91" s="100" t="n"/>
      <x:c r="Q91" s="302" t="n"/>
      <x:c r="R91" s="302" t="n"/>
      <x:c r="S91" s="302" t="n"/>
      <x:c r="T91" s="302" t="n"/>
      <x:c r="U91" s="302" t="n"/>
      <x:c r="V91" s="302" t="n"/>
      <x:c r="W91" s="302" t="n"/>
      <x:c r="X91" s="302" t="n"/>
      <x:c r="Y91" s="100" t="n"/>
      <x:c r="Z91" s="100" t="n"/>
      <x:c r="AA91" s="100" t="n"/>
      <x:c r="AB91" s="100" t="n"/>
      <x:c r="AC91" s="100" t="n"/>
      <x:c r="AD91" s="100" t="n"/>
      <x:c r="AE91" s="100" t="n"/>
      <x:c r="AF91" s="302" t="n"/>
      <x:c r="AG91" s="100" t="n"/>
      <x:c r="AH91" s="302" t="n"/>
      <x:c r="AI91" s="100" t="n"/>
      <x:c r="AJ91" s="302" t="n"/>
      <x:c r="AK91" s="302" t="n"/>
      <x:c r="AL91" s="302" t="n"/>
      <x:c r="AM91" s="302" t="n"/>
      <x:c r="AN91" s="302" t="n"/>
      <x:c r="AO91" s="302" t="n"/>
      <x:c r="AP91" s="302" t="n"/>
      <x:c r="AQ91" s="302" t="n"/>
      <x:c r="AR91" s="302" t="n"/>
      <x:c r="AS91" s="302" t="n"/>
      <x:c r="AT91" s="302" t="n"/>
      <x:c r="AU91" s="302" t="n"/>
      <x:c r="AV91" s="302" t="n"/>
      <x:c r="AW91" s="302" t="n"/>
      <x:c r="AX91" s="302" t="n"/>
      <x:c r="AY91" s="302" t="n"/>
      <x:c r="AZ91" s="302" t="n"/>
      <x:c r="BA91" s="302" t="n"/>
      <x:c r="BB91" s="302" t="n"/>
      <x:c r="BC91" s="302" t="n"/>
      <x:c r="BD91" s="302" t="n"/>
      <x:c r="BE91" s="302" t="n"/>
      <x:c r="BF91" s="302" t="n"/>
      <x:c r="BG91" s="302" t="n"/>
      <x:c r="BH91" s="302" t="n"/>
      <x:c r="BI91" s="302" t="n"/>
      <x:c r="BJ91" s="302" t="n"/>
      <x:c r="BK91" s="302" t="n"/>
      <x:c r="BL91" s="302" t="n"/>
      <x:c r="BM91" s="302" t="n"/>
      <x:c r="BN91" s="302" t="n"/>
      <x:c r="BO91" s="302" t="n"/>
      <x:c r="BP91" s="302" t="n"/>
      <x:c r="BQ91" s="302" t="n"/>
      <x:c r="BR91" s="302" t="n"/>
      <x:c r="BS91" s="302" t="n"/>
      <x:c r="BT91" s="302" t="n"/>
      <x:c r="BU91" s="302" t="n"/>
      <x:c r="BV91" s="302" t="n"/>
      <x:c r="BW91" s="302" t="n"/>
      <x:c r="BX91" s="302" t="n"/>
      <x:c r="BY91" s="302" t="n"/>
      <x:c r="BZ91" s="302" t="n"/>
      <x:c r="CA91" s="302" t="n"/>
      <x:c r="CB91" s="302" t="n"/>
      <x:c r="CC91" s="302" t="n"/>
      <x:c r="CD91" s="302" t="n"/>
      <x:c r="CE91" s="302" t="n"/>
      <x:c r="CF91" s="302" t="n"/>
      <x:c r="CG91" s="302" t="n"/>
      <x:c r="CH91" s="302" t="n"/>
      <x:c r="CI91" s="302" t="n"/>
      <x:c r="CJ91" s="302" t="n"/>
      <x:c r="CK91" s="302" t="n"/>
      <x:c r="CL91" s="302" t="n"/>
      <x:c r="CM91" s="302" t="n"/>
      <x:c r="CN91" s="302" t="n"/>
      <x:c r="CO91" s="302" t="n"/>
      <x:c r="CP91" s="302" t="n"/>
      <x:c r="CQ91" s="302" t="n"/>
      <x:c r="CR91" s="302" t="n"/>
      <x:c r="CS91" s="302" t="n"/>
      <x:c r="CT91" s="302" t="n"/>
      <x:c r="CU91" s="302" t="n"/>
      <x:c r="CV91" s="302" t="n"/>
      <x:c r="CW91" s="302" t="n"/>
      <x:c r="CX91" s="302" t="n"/>
      <x:c r="CY91" s="302" t="n"/>
      <x:c r="CZ91" s="302" t="n"/>
      <x:c r="DA91" s="302" t="n"/>
      <x:c r="DB91" s="302" t="n"/>
      <x:c r="DC91" s="302" t="n"/>
      <x:c r="DD91" s="302" t="n"/>
      <x:c r="DE91" s="302" t="n"/>
      <x:c r="DF91" s="302" t="n"/>
      <x:c r="DG91" s="302" t="n"/>
      <x:c r="DH91" s="302" t="n"/>
      <x:c r="DI91" s="302" t="n"/>
      <x:c r="DJ91" s="302" t="n">
        <x:v>0.02772466666666666</x:v>
      </x:c>
      <x:c r="DK91" s="302" t="n"/>
      <x:c r="DL91" s="302" t="n"/>
      <x:c r="DM91" s="302" t="n"/>
      <x:c r="DN91" s="302" t="n"/>
      <x:c r="DO91" s="302" t="n"/>
      <x:c r="DP91" s="302" t="n"/>
      <x:c r="DQ91" s="302" t="n"/>
      <x:c r="DR91" s="302" t="n">
        <x:f>-DJ91</x:f>
        <x:v>-0.02772466666666666</x:v>
      </x:c>
      <x:c r="DS91" s="302" t="n"/>
      <x:c r="DT91" s="302" t="n"/>
      <x:c r="DU91" s="302" t="n"/>
      <x:c r="DV91" s="302" t="n"/>
      <x:c r="DW91" s="302" t="n"/>
      <x:c r="DX91" s="302" t="n"/>
      <x:c r="DY91" s="302" t="n"/>
      <x:c r="DZ91" s="302" t="n"/>
      <x:c r="EA91" s="302" t="n"/>
      <x:c r="EB91" s="302" t="n"/>
      <x:c r="EC91" s="302" t="n"/>
      <x:c r="ED91" s="302" t="n"/>
      <x:c r="EE91" s="302" t="n"/>
      <x:c r="EF91" s="302" t="n"/>
      <x:c r="EG91" s="302" t="n"/>
      <x:c r="EH91" s="302" t="n"/>
      <x:c r="EI91" s="302" t="n"/>
      <x:c r="EJ91" s="302" t="n"/>
      <x:c r="EK91" s="302" t="n"/>
      <x:c r="EL91" s="302" t="n"/>
      <x:c r="EM91" s="302" t="n"/>
      <x:c r="EN91" s="302" t="n"/>
      <x:c r="EO91" s="302" t="n"/>
      <x:c r="EP91" s="302" t="n"/>
      <x:c r="EQ91" s="302" t="n"/>
      <x:c r="ER91" s="302" t="n"/>
      <x:c r="ES91" s="302" t="n"/>
      <x:c r="ET91" s="302" t="n"/>
      <x:c r="EU91" s="302" t="n"/>
      <x:c r="EV91" s="302" t="n"/>
      <x:c r="EW91" s="302" t="n"/>
      <x:c r="EX91" s="302" t="n"/>
      <x:c r="EY91" s="302" t="n"/>
    </x:row>
    <x:row r="92" s="27" customFormat="1">
      <x:c r="A92" s="38" t="n"/>
      <x:c r="B92" s="37" t="n"/>
      <x:c r="C92" s="36" t="n">
        <x:f>E92*D$5</x:f>
        <x:v>0.40431096567147196</x:v>
      </x:c>
      <x:c r="D92" s="66" t="inlineStr">
        <x:is>
          <x:t xml:space="preserve">James M. Robertson and/or Rose E. Robertson</x:t>
        </x:is>
      </x:c>
      <x:c r="E92" s="86" t="n">
        <x:f>SUM(G92:HS92)</x:f>
        <x:v>0.0025269435354467</x:v>
      </x:c>
      <x:c r="F92" s="126" t="inlineStr">
        <x:is>
          <x:t xml:space="preserve"/>
        </x:is>
      </x:c>
      <x:c r="G92" s="302" t="n"/>
      <x:c r="H92" s="302" t="n"/>
      <x:c r="I92" s="302" t="n"/>
      <x:c r="J92" s="302" t="n"/>
      <x:c r="K92" s="302" t="n"/>
      <x:c r="L92" s="302" t="n"/>
      <x:c r="M92" s="302" t="n"/>
      <x:c r="N92" s="302" t="n"/>
      <x:c r="O92" s="302" t="n"/>
      <x:c r="P92" s="100" t="n"/>
      <x:c r="Q92" s="302" t="n"/>
      <x:c r="R92" s="302" t="n"/>
      <x:c r="S92" s="302" t="n"/>
      <x:c r="T92" s="302" t="n"/>
      <x:c r="U92" s="302" t="n"/>
      <x:c r="V92" s="302" t="n"/>
      <x:c r="W92" s="302" t="n"/>
      <x:c r="X92" s="302" t="n"/>
      <x:c r="Y92" s="100" t="n"/>
      <x:c r="Z92" s="100" t="n"/>
      <x:c r="AA92" s="100" t="n"/>
      <x:c r="AB92" s="100" t="n"/>
      <x:c r="AC92" s="100" t="n"/>
      <x:c r="AD92" s="100" t="n"/>
      <x:c r="AE92" s="100" t="n"/>
      <x:c r="AF92" s="302" t="n"/>
      <x:c r="AG92" s="100" t="n"/>
      <x:c r="AH92" s="302" t="n"/>
      <x:c r="AI92" s="100" t="n"/>
      <x:c r="AJ92" s="302" t="n"/>
      <x:c r="AK92" s="302" t="n"/>
      <x:c r="AL92" s="302" t="n"/>
      <x:c r="AM92" s="302" t="n"/>
      <x:c r="AN92" s="302" t="n"/>
      <x:c r="AO92" s="302" t="n"/>
      <x:c r="AP92" s="302" t="n"/>
      <x:c r="AQ92" s="302" t="n"/>
      <x:c r="AR92" s="302" t="n"/>
      <x:c r="AS92" s="302" t="n"/>
      <x:c r="AT92" s="302" t="n"/>
      <x:c r="AU92" s="302" t="n"/>
      <x:c r="AV92" s="302" t="n"/>
      <x:c r="AW92" s="302" t="n"/>
      <x:c r="AX92" s="302" t="n"/>
      <x:c r="AY92" s="302" t="n"/>
      <x:c r="AZ92" s="302" t="n"/>
      <x:c r="BA92" s="302" t="n"/>
      <x:c r="BB92" s="302" t="n"/>
      <x:c r="BC92" s="302" t="n"/>
      <x:c r="BD92" s="302" t="n"/>
      <x:c r="BE92" s="302" t="n"/>
      <x:c r="BF92" s="302" t="n"/>
      <x:c r="BG92" s="302" t="n"/>
      <x:c r="BH92" s="302" t="n"/>
      <x:c r="BI92" s="302" t="n"/>
      <x:c r="BJ92" s="302" t="n"/>
      <x:c r="BK92" s="302" t="n"/>
      <x:c r="BL92" s="302" t="n"/>
      <x:c r="BM92" s="302" t="n"/>
      <x:c r="BN92" s="302" t="n"/>
      <x:c r="BO92" s="302" t="n"/>
      <x:c r="BP92" s="302" t="n"/>
      <x:c r="BQ92" s="302" t="n"/>
      <x:c r="BR92" s="302" t="n"/>
      <x:c r="BS92" s="302" t="n"/>
      <x:c r="BT92" s="302" t="n"/>
      <x:c r="BU92" s="302" t="n"/>
      <x:c r="BV92" s="302" t="n"/>
      <x:c r="BW92" s="302" t="n"/>
      <x:c r="BX92" s="302" t="n"/>
      <x:c r="BY92" s="302" t="n"/>
      <x:c r="BZ92" s="302" t="n"/>
      <x:c r="CA92" s="302" t="n"/>
      <x:c r="CB92" s="302" t="n"/>
      <x:c r="CC92" s="302" t="n"/>
      <x:c r="CD92" s="302" t="n"/>
      <x:c r="CE92" s="302" t="n"/>
      <x:c r="CF92" s="302" t="n"/>
      <x:c r="CG92" s="302" t="n"/>
      <x:c r="CH92" s="302" t="n"/>
      <x:c r="CI92" s="302" t="n"/>
      <x:c r="CJ92" s="302" t="n"/>
      <x:c r="CK92" s="302" t="n"/>
      <x:c r="CL92" s="302" t="n"/>
      <x:c r="CM92" s="302" t="n"/>
      <x:c r="CN92" s="302" t="n"/>
      <x:c r="CO92" s="302" t="n"/>
      <x:c r="CP92" s="302" t="n"/>
      <x:c r="CQ92" s="302" t="n"/>
      <x:c r="CR92" s="302" t="n"/>
      <x:c r="CS92" s="302" t="n"/>
      <x:c r="CT92" s="302" t="n"/>
      <x:c r="CU92" s="302" t="n"/>
      <x:c r="CV92" s="302" t="n"/>
      <x:c r="CW92" s="302" t="n"/>
      <x:c r="CX92" s="302" t="n"/>
      <x:c r="CY92" s="302" t="n"/>
      <x:c r="CZ92" s="302" t="n"/>
      <x:c r="DA92" s="302" t="n"/>
      <x:c r="DB92" s="302" t="n"/>
      <x:c r="DC92" s="302" t="n"/>
      <x:c r="DD92" s="302" t="n"/>
      <x:c r="DE92" s="302" t="n"/>
      <x:c r="DF92" s="302" t="n"/>
      <x:c r="DG92" s="302" t="n"/>
      <x:c r="DH92" s="302" t="n"/>
      <x:c r="DI92" s="302" t="n"/>
      <x:c r="DJ92" s="302" t="n"/>
      <x:c r="DK92" s="302" t="n">
        <x:v>0.0025269435354467</x:v>
      </x:c>
      <x:c r="DL92" s="302" t="n"/>
      <x:c r="DM92" s="302" t="n"/>
      <x:c r="DN92" s="302" t="n"/>
      <x:c r="DO92" s="302" t="n"/>
      <x:c r="DP92" s="302" t="n"/>
      <x:c r="DQ92" s="302" t="n"/>
      <x:c r="DR92" s="302" t="n"/>
      <x:c r="DS92" s="302" t="n"/>
      <x:c r="DT92" s="302" t="n"/>
      <x:c r="DU92" s="302" t="n"/>
      <x:c r="DV92" s="302" t="n"/>
      <x:c r="DW92" s="302" t="n"/>
      <x:c r="DX92" s="302" t="n"/>
      <x:c r="DY92" s="302" t="n"/>
      <x:c r="DZ92" s="302" t="n"/>
      <x:c r="EA92" s="302" t="n"/>
      <x:c r="EB92" s="302" t="n"/>
      <x:c r="EC92" s="302" t="n"/>
      <x:c r="ED92" s="302" t="n"/>
      <x:c r="EE92" s="302" t="n"/>
      <x:c r="EF92" s="302" t="n"/>
      <x:c r="EG92" s="302" t="n"/>
      <x:c r="EH92" s="302" t="n"/>
      <x:c r="EI92" s="302" t="n"/>
      <x:c r="EJ92" s="302" t="n"/>
      <x:c r="EK92" s="302" t="n"/>
      <x:c r="EL92" s="302" t="n"/>
      <x:c r="EM92" s="302" t="n"/>
      <x:c r="EN92" s="302" t="n"/>
      <x:c r="EO92" s="302" t="n"/>
      <x:c r="EP92" s="302" t="n"/>
      <x:c r="EQ92" s="302" t="n"/>
      <x:c r="ER92" s="302" t="n"/>
      <x:c r="ES92" s="302" t="n"/>
      <x:c r="ET92" s="302" t="n"/>
      <x:c r="EU92" s="302" t="n"/>
      <x:c r="EV92" s="302" t="n"/>
      <x:c r="EW92" s="302" t="n"/>
      <x:c r="EX92" s="302" t="n"/>
      <x:c r="EY92" s="302" t="n"/>
    </x:row>
    <x:row r="93" s="27" customFormat="1">
      <x:c r="A93" s="38" t="n"/>
      <x:c r="B93" s="37" t="n"/>
      <x:c r="C93" s="86" t="n">
        <x:f>E93*D$5</x:f>
        <x:v>0.1709620761368158</x:v>
      </x:c>
      <x:c r="D93" s="66" t="inlineStr">
        <x:is>
          <x:t xml:space="preserve">Omega Royalty Co, LLC</x:t>
        </x:is>
      </x:c>
      <x:c r="E93" s="86" t="n">
        <x:f>SUM(G93:HS93)</x:f>
        <x:v>0.0010685129758550987</x:v>
      </x:c>
      <x:c r="F93" s="126" t="inlineStr">
        <x:is>
          <x:t xml:space="preserve"/>
        </x:is>
      </x:c>
      <x:c r="G93" s="302" t="n"/>
      <x:c r="H93" s="302" t="n"/>
      <x:c r="I93" s="302" t="n"/>
      <x:c r="J93" s="302" t="n"/>
      <x:c r="K93" s="302" t="n"/>
      <x:c r="L93" s="302" t="n"/>
      <x:c r="M93" s="302" t="n"/>
      <x:c r="N93" s="302" t="n"/>
      <x:c r="O93" s="302" t="n"/>
      <x:c r="P93" s="100" t="n"/>
      <x:c r="Q93" s="302" t="n"/>
      <x:c r="R93" s="302" t="n"/>
      <x:c r="S93" s="302" t="n"/>
      <x:c r="T93" s="302" t="n"/>
      <x:c r="U93" s="302" t="n"/>
      <x:c r="V93" s="302" t="n"/>
      <x:c r="W93" s="302" t="n"/>
      <x:c r="X93" s="302" t="n"/>
      <x:c r="Y93" s="100" t="n"/>
      <x:c r="Z93" s="100" t="n"/>
      <x:c r="AA93" s="100" t="n"/>
      <x:c r="AB93" s="100" t="n"/>
      <x:c r="AC93" s="100" t="n"/>
      <x:c r="AD93" s="100" t="n"/>
      <x:c r="AE93" s="100" t="n"/>
      <x:c r="AF93" s="302" t="n"/>
      <x:c r="AG93" s="100" t="n"/>
      <x:c r="AH93" s="302" t="n"/>
      <x:c r="AI93" s="100" t="n"/>
      <x:c r="AJ93" s="302" t="n"/>
      <x:c r="AK93" s="302" t="n"/>
      <x:c r="AL93" s="302" t="n"/>
      <x:c r="AM93" s="302" t="n"/>
      <x:c r="AN93" s="302" t="n"/>
      <x:c r="AO93" s="302" t="n"/>
      <x:c r="AP93" s="302" t="n"/>
      <x:c r="AQ93" s="302" t="n"/>
      <x:c r="AR93" s="302" t="n"/>
      <x:c r="AS93" s="302" t="n"/>
      <x:c r="AT93" s="302" t="n"/>
      <x:c r="AU93" s="302" t="n"/>
      <x:c r="AV93" s="302" t="n"/>
      <x:c r="AW93" s="302" t="n"/>
      <x:c r="AX93" s="302" t="n"/>
      <x:c r="AY93" s="302" t="n"/>
      <x:c r="AZ93" s="302" t="n"/>
      <x:c r="BA93" s="302" t="n"/>
      <x:c r="BB93" s="302" t="n"/>
      <x:c r="BC93" s="302" t="n"/>
      <x:c r="BD93" s="302" t="n"/>
      <x:c r="BE93" s="302" t="n"/>
      <x:c r="BF93" s="302" t="n"/>
      <x:c r="BG93" s="302" t="n"/>
      <x:c r="BH93" s="302" t="n"/>
      <x:c r="BI93" s="302" t="n"/>
      <x:c r="BJ93" s="302" t="n"/>
      <x:c r="BK93" s="302" t="n"/>
      <x:c r="BL93" s="302" t="n"/>
      <x:c r="BM93" s="302" t="n"/>
      <x:c r="BN93" s="302" t="n"/>
      <x:c r="BO93" s="302" t="n"/>
      <x:c r="BP93" s="302" t="n"/>
      <x:c r="BQ93" s="302" t="n"/>
      <x:c r="BR93" s="302" t="n"/>
      <x:c r="BS93" s="302" t="n"/>
      <x:c r="BT93" s="302" t="n"/>
      <x:c r="BU93" s="302" t="n"/>
      <x:c r="BV93" s="302" t="n"/>
      <x:c r="BW93" s="302" t="n"/>
      <x:c r="BX93" s="302" t="n"/>
      <x:c r="BY93" s="302" t="n"/>
      <x:c r="BZ93" s="302" t="n"/>
      <x:c r="CA93" s="302" t="n"/>
      <x:c r="CB93" s="302" t="n"/>
      <x:c r="CC93" s="302" t="n"/>
      <x:c r="CD93" s="302" t="n"/>
      <x:c r="CE93" s="302" t="n"/>
      <x:c r="CF93" s="302" t="n"/>
      <x:c r="CG93" s="302" t="n"/>
      <x:c r="CH93" s="302" t="n"/>
      <x:c r="CI93" s="302" t="n"/>
      <x:c r="CJ93" s="302" t="n"/>
      <x:c r="CK93" s="302" t="n"/>
      <x:c r="CL93" s="302" t="n"/>
      <x:c r="CM93" s="302" t="n"/>
      <x:c r="CN93" s="302" t="n"/>
      <x:c r="CO93" s="302" t="n"/>
      <x:c r="CP93" s="302" t="n"/>
      <x:c r="CQ93" s="302" t="n"/>
      <x:c r="CR93" s="302" t="n"/>
      <x:c r="CS93" s="302" t="n"/>
      <x:c r="CT93" s="302" t="n"/>
      <x:c r="CU93" s="302" t="n"/>
      <x:c r="CV93" s="302" t="n"/>
      <x:c r="CW93" s="302" t="n"/>
      <x:c r="CX93" s="302" t="n"/>
      <x:c r="CY93" s="302" t="n"/>
      <x:c r="CZ93" s="302" t="n"/>
      <x:c r="DA93" s="302" t="n"/>
      <x:c r="DB93" s="302" t="n"/>
      <x:c r="DC93" s="302" t="n"/>
      <x:c r="DD93" s="302" t="n"/>
      <x:c r="DE93" s="302" t="n"/>
      <x:c r="DF93" s="302" t="n"/>
      <x:c r="DG93" s="302" t="n"/>
      <x:c r="DH93" s="302" t="n"/>
      <x:c r="DI93" s="302" t="n"/>
      <x:c r="DJ93" s="302" t="n"/>
      <x:c r="DK93" s="302" t="n"/>
      <x:c r="DL93" s="302" t="n">
        <x:f>0.0182845</x:f>
        <x:v>0.0182845</x:v>
      </x:c>
      <x:c r="DM93" s="302" t="n"/>
      <x:c r="DN93" s="302" t="n"/>
      <x:c r="DO93" s="302" t="n"/>
      <x:c r="DP93" s="302" t="n"/>
      <x:c r="DQ93" s="302" t="n">
        <x:v>-0.0172159870241449</x:v>
      </x:c>
      <x:c r="DR93" s="302" t="n"/>
      <x:c r="DS93" s="302" t="n"/>
      <x:c r="DT93" s="302" t="n"/>
      <x:c r="DU93" s="302" t="n"/>
      <x:c r="DV93" s="302" t="n"/>
      <x:c r="DW93" s="302" t="n"/>
      <x:c r="DX93" s="302" t="n"/>
      <x:c r="DY93" s="302" t="n"/>
      <x:c r="DZ93" s="302" t="n"/>
      <x:c r="EA93" s="302" t="n"/>
      <x:c r="EB93" s="302" t="n"/>
      <x:c r="EC93" s="302" t="n"/>
      <x:c r="ED93" s="302" t="n"/>
      <x:c r="EE93" s="302" t="n"/>
      <x:c r="EF93" s="302" t="n"/>
      <x:c r="EG93" s="302" t="n"/>
      <x:c r="EH93" s="302" t="n"/>
      <x:c r="EI93" s="302" t="n"/>
      <x:c r="EJ93" s="302" t="n"/>
      <x:c r="EK93" s="302" t="n"/>
      <x:c r="EL93" s="302" t="n"/>
      <x:c r="EM93" s="302" t="n"/>
      <x:c r="EN93" s="302" t="n"/>
      <x:c r="EO93" s="302" t="n"/>
      <x:c r="EP93" s="302" t="n"/>
      <x:c r="EQ93" s="302" t="n"/>
      <x:c r="ER93" s="302" t="n"/>
      <x:c r="ES93" s="302" t="n"/>
      <x:c r="ET93" s="302" t="n"/>
      <x:c r="EU93" s="302" t="n"/>
      <x:c r="EV93" s="302" t="n"/>
      <x:c r="EW93" s="302" t="n"/>
      <x:c r="EX93" s="302" t="n"/>
      <x:c r="EY93" s="302" t="n"/>
    </x:row>
    <x:row r="94" s="27" customFormat="1">
      <x:c r="A94" s="38" t="n"/>
      <x:c r="B94" s="37" t="n"/>
      <x:c r="C94" s="36" t="n">
        <x:f>E94*D$5</x:f>
        <x:v>6.01388</x:v>
      </x:c>
      <x:c r="D94" s="66" t="inlineStr">
        <x:is>
          <x:t xml:space="preserve">Mare Oil Company</x:t>
        </x:is>
      </x:c>
      <x:c r="E94" s="86" t="n">
        <x:f>SUM(G94:HS94)</x:f>
        <x:v>0.03758675</x:v>
      </x:c>
      <x:c r="F94" s="126" t="inlineStr">
        <x:is>
          <x:t xml:space="preserve"/>
        </x:is>
      </x:c>
      <x:c r="G94" s="302" t="n"/>
      <x:c r="H94" s="302" t="n"/>
      <x:c r="I94" s="302" t="n"/>
      <x:c r="J94" s="302" t="n"/>
      <x:c r="K94" s="302" t="n"/>
      <x:c r="L94" s="302" t="n"/>
      <x:c r="M94" s="302" t="n"/>
      <x:c r="N94" s="302" t="n"/>
      <x:c r="O94" s="302" t="n"/>
      <x:c r="P94" s="100" t="n"/>
      <x:c r="Q94" s="302" t="n"/>
      <x:c r="R94" s="302" t="n"/>
      <x:c r="S94" s="302" t="n"/>
      <x:c r="T94" s="302" t="n"/>
      <x:c r="U94" s="302" t="n"/>
      <x:c r="V94" s="302" t="n"/>
      <x:c r="W94" s="302" t="n"/>
      <x:c r="X94" s="302" t="n"/>
      <x:c r="Y94" s="100" t="n"/>
      <x:c r="Z94" s="100" t="n"/>
      <x:c r="AA94" s="100" t="n"/>
      <x:c r="AB94" s="100" t="n"/>
      <x:c r="AC94" s="100" t="n"/>
      <x:c r="AD94" s="100" t="n"/>
      <x:c r="AE94" s="100" t="n"/>
      <x:c r="AF94" s="302" t="n"/>
      <x:c r="AG94" s="100" t="n"/>
      <x:c r="AH94" s="302" t="n"/>
      <x:c r="AI94" s="100" t="n"/>
      <x:c r="AJ94" s="302" t="n"/>
      <x:c r="AK94" s="302" t="n"/>
      <x:c r="AL94" s="302" t="n"/>
      <x:c r="AM94" s="302" t="n"/>
      <x:c r="AN94" s="302" t="n"/>
      <x:c r="AO94" s="302" t="n"/>
      <x:c r="AP94" s="302" t="n"/>
      <x:c r="AQ94" s="302" t="n"/>
      <x:c r="AR94" s="302" t="n"/>
      <x:c r="AS94" s="302" t="n"/>
      <x:c r="AT94" s="302" t="n"/>
      <x:c r="AU94" s="302" t="n"/>
      <x:c r="AV94" s="302" t="n"/>
      <x:c r="AW94" s="302" t="n"/>
      <x:c r="AX94" s="302" t="n"/>
      <x:c r="AY94" s="302" t="n"/>
      <x:c r="AZ94" s="302" t="n"/>
      <x:c r="BA94" s="302" t="n"/>
      <x:c r="BB94" s="302" t="n"/>
      <x:c r="BC94" s="302" t="n"/>
      <x:c r="BD94" s="302" t="n"/>
      <x:c r="BE94" s="302" t="n"/>
      <x:c r="BF94" s="302" t="n"/>
      <x:c r="BG94" s="302" t="n"/>
      <x:c r="BH94" s="302" t="n"/>
      <x:c r="BI94" s="302" t="n"/>
      <x:c r="BJ94" s="302" t="n"/>
      <x:c r="BK94" s="302" t="n"/>
      <x:c r="BL94" s="302" t="n"/>
      <x:c r="BM94" s="302" t="n"/>
      <x:c r="BN94" s="302" t="n"/>
      <x:c r="BO94" s="302" t="n"/>
      <x:c r="BP94" s="302" t="n"/>
      <x:c r="BQ94" s="302" t="n"/>
      <x:c r="BR94" s="302" t="n"/>
      <x:c r="BS94" s="302" t="n"/>
      <x:c r="BT94" s="302" t="n"/>
      <x:c r="BU94" s="302" t="n"/>
      <x:c r="BV94" s="302" t="n"/>
      <x:c r="BW94" s="302" t="n"/>
      <x:c r="BX94" s="302" t="n"/>
      <x:c r="BY94" s="302" t="n"/>
      <x:c r="BZ94" s="302" t="n"/>
      <x:c r="CA94" s="302" t="n"/>
      <x:c r="CB94" s="302" t="n"/>
      <x:c r="CC94" s="302" t="n"/>
      <x:c r="CD94" s="302" t="n"/>
      <x:c r="CE94" s="302" t="n"/>
      <x:c r="CF94" s="302" t="n"/>
      <x:c r="CG94" s="302" t="n"/>
      <x:c r="CH94" s="302" t="n"/>
      <x:c r="CI94" s="302" t="n"/>
      <x:c r="CJ94" s="302" t="n"/>
      <x:c r="CK94" s="302" t="n"/>
      <x:c r="CL94" s="302" t="n"/>
      <x:c r="CM94" s="302" t="n"/>
      <x:c r="CN94" s="302" t="n"/>
      <x:c r="CO94" s="302" t="n"/>
      <x:c r="CP94" s="302" t="n"/>
      <x:c r="CQ94" s="302" t="n"/>
      <x:c r="CR94" s="302" t="n"/>
      <x:c r="CS94" s="302" t="n"/>
      <x:c r="CT94" s="302" t="n"/>
      <x:c r="CU94" s="302" t="n"/>
      <x:c r="CV94" s="302" t="n"/>
      <x:c r="CW94" s="302" t="n"/>
      <x:c r="CX94" s="302" t="n"/>
      <x:c r="CY94" s="302" t="n"/>
      <x:c r="CZ94" s="302" t="n"/>
      <x:c r="DA94" s="302" t="n"/>
      <x:c r="DB94" s="302" t="n"/>
      <x:c r="DC94" s="302" t="n"/>
      <x:c r="DD94" s="302" t="n"/>
      <x:c r="DE94" s="302" t="n"/>
      <x:c r="DF94" s="302" t="n"/>
      <x:c r="DG94" s="302" t="n"/>
      <x:c r="DH94" s="302" t="n"/>
      <x:c r="DI94" s="302" t="n"/>
      <x:c r="DJ94" s="302" t="n"/>
      <x:c r="DK94" s="302" t="n"/>
      <x:c r="DL94" s="302" t="n"/>
      <x:c r="DM94" s="302" t="n">
        <x:v>0.00965125</x:v>
      </x:c>
      <x:c r="DN94" s="302" t="n">
        <x:v>0.00965125</x:v>
      </x:c>
      <x:c r="DO94" s="302" t="n">
        <x:v>0.00965125</x:v>
      </x:c>
      <x:c r="DP94" s="302" t="n"/>
      <x:c r="DQ94" s="302" t="n"/>
      <x:c r="DR94" s="302" t="n"/>
      <x:c r="DS94" s="302" t="n"/>
      <x:c r="DT94" s="302" t="n"/>
      <x:c r="DU94" s="302" t="n"/>
      <x:c r="DV94" s="302" t="n"/>
      <x:c r="DW94" s="302" t="n"/>
      <x:c r="DX94" s="302" t="n"/>
      <x:c r="DY94" s="302" t="n">
        <x:v>0.008633</x:v>
      </x:c>
      <x:c r="DZ94" s="302" t="n"/>
      <x:c r="EA94" s="302" t="n"/>
      <x:c r="EB94" s="302" t="n"/>
      <x:c r="EC94" s="302" t="n"/>
      <x:c r="ED94" s="302" t="n"/>
      <x:c r="EE94" s="302" t="n"/>
      <x:c r="EF94" s="302" t="n"/>
      <x:c r="EG94" s="302" t="n"/>
      <x:c r="EH94" s="302" t="n"/>
      <x:c r="EI94" s="302" t="n"/>
      <x:c r="EJ94" s="302" t="n"/>
      <x:c r="EK94" s="302" t="n"/>
      <x:c r="EL94" s="302" t="n"/>
      <x:c r="EM94" s="302" t="n"/>
      <x:c r="EN94" s="302" t="n"/>
      <x:c r="EO94" s="302" t="n"/>
      <x:c r="EP94" s="302" t="n"/>
      <x:c r="EQ94" s="302" t="n"/>
      <x:c r="ER94" s="302" t="n"/>
      <x:c r="ES94" s="302" t="n"/>
      <x:c r="ET94" s="302" t="n"/>
      <x:c r="EU94" s="302" t="n"/>
      <x:c r="EV94" s="302" t="n"/>
      <x:c r="EW94" s="302" t="n"/>
      <x:c r="EX94" s="302" t="n"/>
      <x:c r="EY94" s="302" t="n"/>
    </x:row>
    <x:row r="95" s="27" customFormat="1">
      <x:c r="A95" s="38" t="n"/>
      <x:c r="B95" s="37" t="n"/>
      <x:c r="C95" s="86" t="n">
        <x:f>E95*D$5</x:f>
        <x:v>0.9181859746210613</x:v>
      </x:c>
      <x:c r="D95" s="66" t="inlineStr">
        <x:is>
          <x:t xml:space="preserve">Geotech Production, Inc.</x:t>
        </x:is>
      </x:c>
      <x:c r="E95" s="86" t="n">
        <x:f>SUM(G95:HS95)</x:f>
        <x:v>0.005738662341381633</x:v>
      </x:c>
      <x:c r="F95" s="126" t="inlineStr">
        <x:is>
          <x:t xml:space="preserve"/>
        </x:is>
      </x:c>
      <x:c r="G95" s="302" t="n"/>
      <x:c r="H95" s="302" t="n"/>
      <x:c r="I95" s="302" t="n"/>
      <x:c r="J95" s="302" t="n"/>
      <x:c r="K95" s="302" t="n"/>
      <x:c r="L95" s="302" t="n"/>
      <x:c r="M95" s="302" t="n"/>
      <x:c r="N95" s="302" t="n"/>
      <x:c r="O95" s="302" t="n"/>
      <x:c r="P95" s="100" t="n"/>
      <x:c r="Q95" s="302" t="n"/>
      <x:c r="R95" s="302" t="n"/>
      <x:c r="S95" s="302" t="n"/>
      <x:c r="T95" s="302" t="n"/>
      <x:c r="U95" s="302" t="n"/>
      <x:c r="V95" s="302" t="n"/>
      <x:c r="W95" s="302" t="n"/>
      <x:c r="X95" s="302" t="n"/>
      <x:c r="Y95" s="100" t="n"/>
      <x:c r="Z95" s="100" t="n"/>
      <x:c r="AA95" s="100" t="n"/>
      <x:c r="AB95" s="100" t="n"/>
      <x:c r="AC95" s="100" t="n"/>
      <x:c r="AD95" s="100" t="n"/>
      <x:c r="AE95" s="100" t="n"/>
      <x:c r="AF95" s="302" t="n"/>
      <x:c r="AG95" s="100" t="n"/>
      <x:c r="AH95" s="302" t="n"/>
      <x:c r="AI95" s="100" t="n"/>
      <x:c r="AJ95" s="302" t="n"/>
      <x:c r="AK95" s="302" t="n"/>
      <x:c r="AL95" s="302" t="n"/>
      <x:c r="AM95" s="302" t="n"/>
      <x:c r="AN95" s="302" t="n"/>
      <x:c r="AO95" s="302" t="n"/>
      <x:c r="AP95" s="302" t="n"/>
      <x:c r="AQ95" s="302" t="n"/>
      <x:c r="AR95" s="302" t="n"/>
      <x:c r="AS95" s="302" t="n"/>
      <x:c r="AT95" s="302" t="n"/>
      <x:c r="AU95" s="302" t="n"/>
      <x:c r="AV95" s="302" t="n"/>
      <x:c r="AW95" s="302" t="n"/>
      <x:c r="AX95" s="302" t="n"/>
      <x:c r="AY95" s="302" t="n"/>
      <x:c r="AZ95" s="302" t="n"/>
      <x:c r="BA95" s="302" t="n"/>
      <x:c r="BB95" s="302" t="n"/>
      <x:c r="BC95" s="302" t="n"/>
      <x:c r="BD95" s="302" t="n"/>
      <x:c r="BE95" s="302" t="n"/>
      <x:c r="BF95" s="302" t="n"/>
      <x:c r="BG95" s="302" t="n"/>
      <x:c r="BH95" s="302" t="n"/>
      <x:c r="BI95" s="302" t="n"/>
      <x:c r="BJ95" s="302" t="n"/>
      <x:c r="BK95" s="302" t="n"/>
      <x:c r="BL95" s="302" t="n"/>
      <x:c r="BM95" s="302" t="n"/>
      <x:c r="BN95" s="302" t="n"/>
      <x:c r="BO95" s="302" t="n"/>
      <x:c r="BP95" s="302" t="n"/>
      <x:c r="BQ95" s="302" t="n"/>
      <x:c r="BR95" s="302" t="n"/>
      <x:c r="BS95" s="302" t="n"/>
      <x:c r="BT95" s="302" t="n"/>
      <x:c r="BU95" s="302" t="n"/>
      <x:c r="BV95" s="302" t="n"/>
      <x:c r="BW95" s="302" t="n"/>
      <x:c r="BX95" s="302" t="n"/>
      <x:c r="BY95" s="302" t="n"/>
      <x:c r="BZ95" s="302" t="n"/>
      <x:c r="CA95" s="302" t="n"/>
      <x:c r="CB95" s="302" t="n"/>
      <x:c r="CC95" s="302" t="n"/>
      <x:c r="CD95" s="302" t="n"/>
      <x:c r="CE95" s="302" t="n"/>
      <x:c r="CF95" s="302" t="n"/>
      <x:c r="CG95" s="302" t="n"/>
      <x:c r="CH95" s="302" t="n"/>
      <x:c r="CI95" s="302" t="n"/>
      <x:c r="CJ95" s="302" t="n"/>
      <x:c r="CK95" s="302" t="n"/>
      <x:c r="CL95" s="302" t="n"/>
      <x:c r="CM95" s="302" t="n"/>
      <x:c r="CN95" s="302" t="n"/>
      <x:c r="CO95" s="302" t="n"/>
      <x:c r="CP95" s="302" t="n"/>
      <x:c r="CQ95" s="302" t="n"/>
      <x:c r="CR95" s="302" t="n"/>
      <x:c r="CS95" s="302" t="n"/>
      <x:c r="CT95" s="302" t="n"/>
      <x:c r="CU95" s="302" t="n"/>
      <x:c r="CV95" s="302" t="n"/>
      <x:c r="CW95" s="302" t="n"/>
      <x:c r="CX95" s="302" t="n"/>
      <x:c r="CY95" s="302" t="n"/>
      <x:c r="CZ95" s="302" t="n"/>
      <x:c r="DA95" s="302" t="n"/>
      <x:c r="DB95" s="302" t="n"/>
      <x:c r="DC95" s="302" t="n"/>
      <x:c r="DD95" s="302" t="n"/>
      <x:c r="DE95" s="302" t="n"/>
      <x:c r="DF95" s="302" t="n"/>
      <x:c r="DG95" s="302" t="n"/>
      <x:c r="DH95" s="302" t="n"/>
      <x:c r="DI95" s="302" t="n"/>
      <x:c r="DJ95" s="302" t="n"/>
      <x:c r="DK95" s="302" t="n"/>
      <x:c r="DL95" s="302" t="n"/>
      <x:c r="DM95" s="302" t="n"/>
      <x:c r="DN95" s="302" t="n"/>
      <x:c r="DO95" s="302" t="n"/>
      <x:c r="DP95" s="302" t="n"/>
      <x:c r="DQ95" s="302" t="n">
        <x:v>0.005738662341381633</x:v>
      </x:c>
      <x:c r="DR95" s="302" t="n"/>
      <x:c r="DS95" s="302" t="n"/>
      <x:c r="DT95" s="302" t="n"/>
      <x:c r="DU95" s="302" t="n"/>
      <x:c r="DV95" s="302" t="n"/>
      <x:c r="DW95" s="302" t="n"/>
      <x:c r="DX95" s="302" t="n"/>
      <x:c r="DY95" s="302" t="n"/>
      <x:c r="DZ95" s="302" t="n"/>
      <x:c r="EA95" s="302" t="n"/>
      <x:c r="EB95" s="302" t="n"/>
      <x:c r="EC95" s="302" t="n"/>
      <x:c r="ED95" s="302" t="n"/>
      <x:c r="EE95" s="302" t="n"/>
      <x:c r="EF95" s="302" t="n"/>
      <x:c r="EG95" s="302" t="n"/>
      <x:c r="EH95" s="302" t="n"/>
      <x:c r="EI95" s="302" t="n"/>
      <x:c r="EJ95" s="302" t="n"/>
      <x:c r="EK95" s="302" t="n"/>
      <x:c r="EL95" s="302" t="n"/>
      <x:c r="EM95" s="302" t="n"/>
      <x:c r="EN95" s="302" t="n"/>
      <x:c r="EO95" s="302" t="n"/>
      <x:c r="EP95" s="302" t="n"/>
      <x:c r="EQ95" s="302" t="n"/>
      <x:c r="ER95" s="302" t="n"/>
      <x:c r="ES95" s="302" t="n"/>
      <x:c r="ET95" s="302" t="n"/>
      <x:c r="EU95" s="302" t="n"/>
      <x:c r="EV95" s="302" t="n"/>
      <x:c r="EW95" s="302" t="n"/>
      <x:c r="EX95" s="302" t="n"/>
      <x:c r="EY95" s="302" t="n"/>
    </x:row>
    <x:row r="96" s="27" customFormat="1">
      <x:c r="A96" s="38" t="n"/>
      <x:c r="B96" s="37" t="n"/>
      <x:c r="C96" s="36" t="n">
        <x:f>E96*D$5</x:f>
        <x:v>5.551115123125783e-16</x:v>
      </x:c>
      <x:c r="D96" s="374" t="inlineStr">
        <x:is>
          <x:t xml:space="preserve">Jack B. Searle</x:t>
        </x:is>
      </x:c>
      <x:c r="E96" s="36" t="n">
        <x:f>SUM(G96:HS96)</x:f>
        <x:v>3.469446951953614e-18</x:v>
      </x:c>
      <x:c r="F96" s="126" t="inlineStr">
        <x:is>
          <x:t xml:space="preserve"/>
        </x:is>
      </x:c>
      <x:c r="G96" s="302" t="n"/>
      <x:c r="H96" s="302" t="n"/>
      <x:c r="I96" s="302" t="n"/>
      <x:c r="J96" s="302" t="n"/>
      <x:c r="K96" s="302" t="n"/>
      <x:c r="L96" s="302" t="n"/>
      <x:c r="M96" s="302" t="n"/>
      <x:c r="N96" s="302" t="n"/>
      <x:c r="O96" s="302" t="n"/>
      <x:c r="P96" s="100" t="n"/>
      <x:c r="Q96" s="302" t="n"/>
      <x:c r="R96" s="302" t="n"/>
      <x:c r="S96" s="302" t="n"/>
      <x:c r="T96" s="302" t="n"/>
      <x:c r="U96" s="302" t="n"/>
      <x:c r="V96" s="302" t="n"/>
      <x:c r="W96" s="302" t="n"/>
      <x:c r="X96" s="302" t="n"/>
      <x:c r="Y96" s="100" t="n"/>
      <x:c r="Z96" s="100" t="n"/>
      <x:c r="AA96" s="100" t="n"/>
      <x:c r="AB96" s="100" t="n"/>
      <x:c r="AC96" s="100" t="n"/>
      <x:c r="AD96" s="100" t="n"/>
      <x:c r="AE96" s="100" t="n"/>
      <x:c r="AF96" s="302" t="n"/>
      <x:c r="AG96" s="100" t="n"/>
      <x:c r="AH96" s="302" t="n"/>
      <x:c r="AI96" s="100" t="n"/>
      <x:c r="AJ96" s="302" t="n"/>
      <x:c r="AK96" s="302" t="n"/>
      <x:c r="AL96" s="302" t="n"/>
      <x:c r="AM96" s="302" t="n"/>
      <x:c r="AN96" s="302" t="n"/>
      <x:c r="AO96" s="302" t="n"/>
      <x:c r="AP96" s="302" t="n"/>
      <x:c r="AQ96" s="302" t="n"/>
      <x:c r="AR96" s="302" t="n"/>
      <x:c r="AS96" s="302" t="n"/>
      <x:c r="AT96" s="302" t="n"/>
      <x:c r="AU96" s="302" t="n"/>
      <x:c r="AV96" s="302" t="n"/>
      <x:c r="AW96" s="302" t="n"/>
      <x:c r="AX96" s="302" t="n"/>
      <x:c r="AY96" s="302" t="n"/>
      <x:c r="AZ96" s="302" t="n"/>
      <x:c r="BA96" s="302" t="n"/>
      <x:c r="BB96" s="302" t="n"/>
      <x:c r="BC96" s="302" t="n"/>
      <x:c r="BD96" s="302" t="n"/>
      <x:c r="BE96" s="302" t="n"/>
      <x:c r="BF96" s="302" t="n"/>
      <x:c r="BG96" s="302" t="n"/>
      <x:c r="BH96" s="302" t="n"/>
      <x:c r="BI96" s="302" t="n"/>
      <x:c r="BJ96" s="302" t="n"/>
      <x:c r="BK96" s="302" t="n"/>
      <x:c r="BL96" s="302" t="n"/>
      <x:c r="BM96" s="302" t="n"/>
      <x:c r="BN96" s="302" t="n"/>
      <x:c r="BO96" s="302" t="n"/>
      <x:c r="BP96" s="302" t="n"/>
      <x:c r="BQ96" s="302" t="n"/>
      <x:c r="BR96" s="302" t="n"/>
      <x:c r="BS96" s="302" t="n"/>
      <x:c r="BT96" s="302" t="n"/>
      <x:c r="BU96" s="302" t="n"/>
      <x:c r="BV96" s="302" t="n"/>
      <x:c r="BW96" s="302" t="n"/>
      <x:c r="BX96" s="302" t="n"/>
      <x:c r="BY96" s="302" t="n"/>
      <x:c r="BZ96" s="302" t="n"/>
      <x:c r="CA96" s="302" t="n"/>
      <x:c r="CB96" s="302" t="n"/>
      <x:c r="CC96" s="302" t="n"/>
      <x:c r="CD96" s="302" t="n"/>
      <x:c r="CE96" s="302" t="n"/>
      <x:c r="CF96" s="302" t="n"/>
      <x:c r="CG96" s="302" t="n"/>
      <x:c r="CH96" s="302" t="n"/>
      <x:c r="CI96" s="302" t="n"/>
      <x:c r="CJ96" s="302" t="n"/>
      <x:c r="CK96" s="302" t="n"/>
      <x:c r="CL96" s="302" t="n"/>
      <x:c r="CM96" s="302" t="n"/>
      <x:c r="CN96" s="302" t="n"/>
      <x:c r="CO96" s="302" t="n"/>
      <x:c r="CP96" s="302" t="n"/>
      <x:c r="CQ96" s="302" t="n"/>
      <x:c r="CR96" s="302" t="n"/>
      <x:c r="CS96" s="302" t="n"/>
      <x:c r="CT96" s="302" t="n"/>
      <x:c r="CU96" s="302" t="n"/>
      <x:c r="CV96" s="302" t="n"/>
      <x:c r="CW96" s="302" t="n"/>
      <x:c r="CX96" s="302" t="n"/>
      <x:c r="CY96" s="302" t="n"/>
      <x:c r="CZ96" s="302" t="n"/>
      <x:c r="DA96" s="302" t="n"/>
      <x:c r="DB96" s="302" t="n"/>
      <x:c r="DC96" s="302" t="n"/>
      <x:c r="DD96" s="302" t="n"/>
      <x:c r="DE96" s="302" t="n"/>
      <x:c r="DF96" s="302" t="n"/>
      <x:c r="DG96" s="302" t="n"/>
      <x:c r="DH96" s="302" t="n"/>
      <x:c r="DI96" s="302" t="n"/>
      <x:c r="DJ96" s="302" t="n"/>
      <x:c r="DK96" s="302" t="n"/>
      <x:c r="DL96" s="302" t="n"/>
      <x:c r="DM96" s="302" t="n"/>
      <x:c r="DN96" s="302" t="n"/>
      <x:c r="DO96" s="302" t="n"/>
      <x:c r="DP96" s="302" t="n"/>
      <x:c r="DQ96" s="302" t="n">
        <x:v>0.005738662341381633</x:v>
      </x:c>
      <x:c r="DR96" s="302" t="n"/>
      <x:c r="DS96" s="302" t="n"/>
      <x:c r="DT96" s="302" t="n"/>
      <x:c r="DU96" s="302" t="n"/>
      <x:c r="DV96" s="302" t="n"/>
      <x:c r="DW96" s="302" t="n"/>
      <x:c r="DX96" s="302" t="n"/>
      <x:c r="DY96" s="302" t="n"/>
      <x:c r="DZ96" s="302" t="n"/>
      <x:c r="EA96" s="302" t="n"/>
      <x:c r="EB96" s="302" t="n"/>
      <x:c r="EC96" s="302" t="n"/>
      <x:c r="ED96" s="302" t="n"/>
      <x:c r="EE96" s="302" t="n"/>
      <x:c r="EF96" s="302" t="n"/>
      <x:c r="EG96" s="302" t="n"/>
      <x:c r="EH96" s="302" t="n"/>
      <x:c r="EI96" s="302" t="n"/>
      <x:c r="EJ96" s="302" t="n"/>
      <x:c r="EK96" s="302" t="n"/>
      <x:c r="EL96" s="302" t="n"/>
      <x:c r="EM96" s="302" t="n"/>
      <x:c r="EN96" s="302" t="n"/>
      <x:c r="EO96" s="302" t="n"/>
      <x:c r="EP96" s="302" t="n"/>
      <x:c r="EQ96" s="302" t="n">
        <x:f>-0.00573866234138163</x:f>
        <x:v>-0.00573866234138163</x:v>
      </x:c>
      <x:c r="ER96" s="302" t="n"/>
      <x:c r="ES96" s="302" t="n"/>
      <x:c r="ET96" s="302" t="n"/>
      <x:c r="EU96" s="302" t="n"/>
      <x:c r="EV96" s="302" t="n"/>
      <x:c r="EW96" s="302" t="n"/>
      <x:c r="EX96" s="302" t="n"/>
      <x:c r="EY96" s="302" t="n"/>
    </x:row>
    <x:row r="97" s="27" customFormat="1">
      <x:c r="A97" s="38" t="n"/>
      <x:c r="B97" s="37" t="n"/>
      <x:c r="C97" s="36" t="n">
        <x:f>E97*D$5</x:f>
        <x:v>5.551115123125783e-16</x:v>
      </x:c>
      <x:c r="D97" s="374" t="inlineStr">
        <x:is>
          <x:t xml:space="preserve">Tamara D. Searle</x:t>
        </x:is>
      </x:c>
      <x:c r="E97" s="36" t="n">
        <x:f>SUM(G97:HS97)</x:f>
        <x:v>3.469446951953614e-18</x:v>
      </x:c>
      <x:c r="F97" s="126" t="inlineStr">
        <x:is>
          <x:t xml:space="preserve"/>
        </x:is>
      </x:c>
      <x:c r="G97" s="302" t="n"/>
      <x:c r="H97" s="302" t="n"/>
      <x:c r="I97" s="302" t="n"/>
      <x:c r="J97" s="302" t="n"/>
      <x:c r="K97" s="302" t="n"/>
      <x:c r="L97" s="302" t="n"/>
      <x:c r="M97" s="302" t="n"/>
      <x:c r="N97" s="302" t="n"/>
      <x:c r="O97" s="302" t="n"/>
      <x:c r="P97" s="100" t="n"/>
      <x:c r="Q97" s="302" t="n"/>
      <x:c r="R97" s="302" t="n"/>
      <x:c r="S97" s="302" t="n"/>
      <x:c r="T97" s="302" t="n"/>
      <x:c r="U97" s="302" t="n"/>
      <x:c r="V97" s="302" t="n"/>
      <x:c r="W97" s="302" t="n"/>
      <x:c r="X97" s="302" t="n"/>
      <x:c r="Y97" s="100" t="n"/>
      <x:c r="Z97" s="100" t="n"/>
      <x:c r="AA97" s="100" t="n"/>
      <x:c r="AB97" s="100" t="n"/>
      <x:c r="AC97" s="100" t="n"/>
      <x:c r="AD97" s="100" t="n"/>
      <x:c r="AE97" s="100" t="n"/>
      <x:c r="AF97" s="302" t="n"/>
      <x:c r="AG97" s="100" t="n"/>
      <x:c r="AH97" s="302" t="n"/>
      <x:c r="AI97" s="100" t="n"/>
      <x:c r="AJ97" s="302" t="n"/>
      <x:c r="AK97" s="302" t="n"/>
      <x:c r="AL97" s="302" t="n"/>
      <x:c r="AM97" s="302" t="n"/>
      <x:c r="AN97" s="302" t="n"/>
      <x:c r="AO97" s="302" t="n"/>
      <x:c r="AP97" s="302" t="n"/>
      <x:c r="AQ97" s="302" t="n"/>
      <x:c r="AR97" s="302" t="n"/>
      <x:c r="AS97" s="302" t="n"/>
      <x:c r="AT97" s="302" t="n"/>
      <x:c r="AU97" s="302" t="n"/>
      <x:c r="AV97" s="302" t="n"/>
      <x:c r="AW97" s="302" t="n"/>
      <x:c r="AX97" s="302" t="n"/>
      <x:c r="AY97" s="302" t="n"/>
      <x:c r="AZ97" s="302" t="n"/>
      <x:c r="BA97" s="302" t="n"/>
      <x:c r="BB97" s="302" t="n"/>
      <x:c r="BC97" s="302" t="n"/>
      <x:c r="BD97" s="302" t="n"/>
      <x:c r="BE97" s="302" t="n"/>
      <x:c r="BF97" s="302" t="n"/>
      <x:c r="BG97" s="302" t="n"/>
      <x:c r="BH97" s="302" t="n"/>
      <x:c r="BI97" s="302" t="n"/>
      <x:c r="BJ97" s="302" t="n"/>
      <x:c r="BK97" s="302" t="n"/>
      <x:c r="BL97" s="302" t="n"/>
      <x:c r="BM97" s="302" t="n"/>
      <x:c r="BN97" s="302" t="n"/>
      <x:c r="BO97" s="302" t="n"/>
      <x:c r="BP97" s="302" t="n"/>
      <x:c r="BQ97" s="302" t="n"/>
      <x:c r="BR97" s="302" t="n"/>
      <x:c r="BS97" s="302" t="n"/>
      <x:c r="BT97" s="302" t="n"/>
      <x:c r="BU97" s="302" t="n"/>
      <x:c r="BV97" s="302" t="n"/>
      <x:c r="BW97" s="302" t="n"/>
      <x:c r="BX97" s="302" t="n"/>
      <x:c r="BY97" s="302" t="n"/>
      <x:c r="BZ97" s="302" t="n"/>
      <x:c r="CA97" s="302" t="n"/>
      <x:c r="CB97" s="302" t="n"/>
      <x:c r="CC97" s="302" t="n"/>
      <x:c r="CD97" s="302" t="n"/>
      <x:c r="CE97" s="302" t="n"/>
      <x:c r="CF97" s="302" t="n"/>
      <x:c r="CG97" s="302" t="n"/>
      <x:c r="CH97" s="302" t="n"/>
      <x:c r="CI97" s="302" t="n"/>
      <x:c r="CJ97" s="302" t="n"/>
      <x:c r="CK97" s="302" t="n"/>
      <x:c r="CL97" s="302" t="n"/>
      <x:c r="CM97" s="302" t="n"/>
      <x:c r="CN97" s="302" t="n"/>
      <x:c r="CO97" s="302" t="n"/>
      <x:c r="CP97" s="302" t="n"/>
      <x:c r="CQ97" s="302" t="n"/>
      <x:c r="CR97" s="302" t="n"/>
      <x:c r="CS97" s="302" t="n"/>
      <x:c r="CT97" s="302" t="n"/>
      <x:c r="CU97" s="302" t="n"/>
      <x:c r="CV97" s="302" t="n"/>
      <x:c r="CW97" s="302" t="n"/>
      <x:c r="CX97" s="302" t="n"/>
      <x:c r="CY97" s="302" t="n"/>
      <x:c r="CZ97" s="302" t="n"/>
      <x:c r="DA97" s="302" t="n"/>
      <x:c r="DB97" s="302" t="n"/>
      <x:c r="DC97" s="302" t="n"/>
      <x:c r="DD97" s="302" t="n"/>
      <x:c r="DE97" s="302" t="n"/>
      <x:c r="DF97" s="302" t="n"/>
      <x:c r="DG97" s="302" t="n"/>
      <x:c r="DH97" s="302" t="n"/>
      <x:c r="DI97" s="302" t="n"/>
      <x:c r="DJ97" s="302" t="n"/>
      <x:c r="DK97" s="302" t="n"/>
      <x:c r="DL97" s="302" t="n"/>
      <x:c r="DM97" s="302" t="n"/>
      <x:c r="DN97" s="302" t="n"/>
      <x:c r="DO97" s="302" t="n"/>
      <x:c r="DP97" s="302" t="n"/>
      <x:c r="DQ97" s="302" t="n">
        <x:v>0.005738662341381633</x:v>
      </x:c>
      <x:c r="DR97" s="302" t="n"/>
      <x:c r="DS97" s="302" t="n"/>
      <x:c r="DT97" s="302" t="n"/>
      <x:c r="DU97" s="302" t="n"/>
      <x:c r="DV97" s="302" t="n"/>
      <x:c r="DW97" s="302" t="n"/>
      <x:c r="DX97" s="302" t="n"/>
      <x:c r="DY97" s="302" t="n"/>
      <x:c r="DZ97" s="302" t="n"/>
      <x:c r="EA97" s="302" t="n"/>
      <x:c r="EB97" s="302" t="n"/>
      <x:c r="EC97" s="302" t="n"/>
      <x:c r="ED97" s="302" t="n"/>
      <x:c r="EE97" s="302" t="n"/>
      <x:c r="EF97" s="302" t="n"/>
      <x:c r="EG97" s="302" t="n"/>
      <x:c r="EH97" s="302" t="n"/>
      <x:c r="EI97" s="302" t="n"/>
      <x:c r="EJ97" s="302" t="n"/>
      <x:c r="EK97" s="302" t="n"/>
      <x:c r="EL97" s="302" t="n"/>
      <x:c r="EM97" s="302" t="n"/>
      <x:c r="EN97" s="302" t="n"/>
      <x:c r="EO97" s="302" t="n"/>
      <x:c r="EP97" s="302" t="n"/>
      <x:c r="EQ97" s="302" t="n">
        <x:f>-0.00573866234138163</x:f>
        <x:v>-0.00573866234138163</x:v>
      </x:c>
      <x:c r="ER97" s="302" t="n"/>
      <x:c r="ES97" s="302" t="n"/>
      <x:c r="ET97" s="302" t="n"/>
      <x:c r="EU97" s="302" t="n"/>
      <x:c r="EV97" s="302" t="n"/>
      <x:c r="EW97" s="302" t="n"/>
      <x:c r="EX97" s="302" t="n"/>
      <x:c r="EY97" s="302" t="n"/>
    </x:row>
    <x:row r="98" s="27" customFormat="1">
      <x:c r="A98" s="38" t="n"/>
      <x:c r="B98" s="37" t="n"/>
      <x:c r="C98" s="36" t="n">
        <x:f>E98*D$5</x:f>
        <x:v>0</x:v>
      </x:c>
      <x:c r="D98" s="374" t="inlineStr">
        <x:is>
          <x:t xml:space="preserve">Datt Investment Company</x:t>
        </x:is>
      </x:c>
      <x:c r="E98" s="36" t="n">
        <x:f>SUM(G98:HS98)</x:f>
        <x:v>0</x:v>
      </x:c>
      <x:c r="F98" s="126" t="inlineStr">
        <x:is>
          <x:t xml:space="preserve"/>
        </x:is>
      </x:c>
      <x:c r="G98" s="302" t="n"/>
      <x:c r="H98" s="302" t="n"/>
      <x:c r="I98" s="302" t="n"/>
      <x:c r="J98" s="302" t="n"/>
      <x:c r="K98" s="302" t="n"/>
      <x:c r="L98" s="302" t="n"/>
      <x:c r="M98" s="302" t="n"/>
      <x:c r="N98" s="302" t="n"/>
      <x:c r="O98" s="302" t="n"/>
      <x:c r="P98" s="100" t="n"/>
      <x:c r="Q98" s="302" t="n"/>
      <x:c r="R98" s="302" t="n"/>
      <x:c r="S98" s="302" t="n"/>
      <x:c r="T98" s="302" t="n"/>
      <x:c r="U98" s="302" t="n"/>
      <x:c r="V98" s="302" t="n"/>
      <x:c r="W98" s="302" t="n"/>
      <x:c r="X98" s="302" t="n"/>
      <x:c r="Y98" s="100" t="n"/>
      <x:c r="Z98" s="100" t="n"/>
      <x:c r="AA98" s="100" t="n"/>
      <x:c r="AB98" s="100" t="n"/>
      <x:c r="AC98" s="100" t="n"/>
      <x:c r="AD98" s="100" t="n"/>
      <x:c r="AE98" s="100" t="n"/>
      <x:c r="AF98" s="302" t="n"/>
      <x:c r="AG98" s="100" t="n"/>
      <x:c r="AH98" s="302" t="n"/>
      <x:c r="AI98" s="100" t="n"/>
      <x:c r="AJ98" s="302" t="n"/>
      <x:c r="AK98" s="302" t="n"/>
      <x:c r="AL98" s="302" t="n"/>
      <x:c r="AM98" s="302" t="n"/>
      <x:c r="AN98" s="302" t="n"/>
      <x:c r="AO98" s="302" t="n"/>
      <x:c r="AP98" s="302" t="n"/>
      <x:c r="AQ98" s="302" t="n"/>
      <x:c r="AR98" s="302" t="n"/>
      <x:c r="AS98" s="302" t="n"/>
      <x:c r="AT98" s="302" t="n"/>
      <x:c r="AU98" s="302" t="n"/>
      <x:c r="AV98" s="302" t="n"/>
      <x:c r="AW98" s="302" t="n"/>
      <x:c r="AX98" s="302" t="n"/>
      <x:c r="AY98" s="302" t="n"/>
      <x:c r="AZ98" s="302" t="n"/>
      <x:c r="BA98" s="302" t="n"/>
      <x:c r="BB98" s="302" t="n"/>
      <x:c r="BC98" s="302" t="n"/>
      <x:c r="BD98" s="302" t="n"/>
      <x:c r="BE98" s="302" t="n"/>
      <x:c r="BF98" s="302" t="n"/>
      <x:c r="BG98" s="302" t="n"/>
      <x:c r="BH98" s="302" t="n"/>
      <x:c r="BI98" s="302" t="n"/>
      <x:c r="BJ98" s="302" t="n"/>
      <x:c r="BK98" s="302" t="n"/>
      <x:c r="BL98" s="302" t="n"/>
      <x:c r="BM98" s="302" t="n"/>
      <x:c r="BN98" s="302" t="n"/>
      <x:c r="BO98" s="302" t="n"/>
      <x:c r="BP98" s="302" t="n"/>
      <x:c r="BQ98" s="302" t="n"/>
      <x:c r="BR98" s="302" t="n"/>
      <x:c r="BS98" s="302" t="n"/>
      <x:c r="BT98" s="302" t="n"/>
      <x:c r="BU98" s="302" t="n"/>
      <x:c r="BV98" s="302" t="n"/>
      <x:c r="BW98" s="302" t="n"/>
      <x:c r="BX98" s="302" t="n"/>
      <x:c r="BY98" s="302" t="n"/>
      <x:c r="BZ98" s="302" t="n"/>
      <x:c r="CA98" s="302" t="n"/>
      <x:c r="CB98" s="302" t="n"/>
      <x:c r="CC98" s="302" t="n"/>
      <x:c r="CD98" s="302" t="n"/>
      <x:c r="CE98" s="302" t="n"/>
      <x:c r="CF98" s="302" t="n"/>
      <x:c r="CG98" s="302" t="n"/>
      <x:c r="CH98" s="302" t="n"/>
      <x:c r="CI98" s="302" t="n"/>
      <x:c r="CJ98" s="302" t="n"/>
      <x:c r="CK98" s="302" t="n"/>
      <x:c r="CL98" s="302" t="n"/>
      <x:c r="CM98" s="302" t="n"/>
      <x:c r="CN98" s="302" t="n"/>
      <x:c r="CO98" s="302" t="n"/>
      <x:c r="CP98" s="302" t="n"/>
      <x:c r="CQ98" s="302" t="n"/>
      <x:c r="CR98" s="302" t="n"/>
      <x:c r="CS98" s="302" t="n"/>
      <x:c r="CT98" s="302" t="n"/>
      <x:c r="CU98" s="302" t="n"/>
      <x:c r="CV98" s="302" t="n"/>
      <x:c r="CW98" s="302" t="n"/>
      <x:c r="CX98" s="302" t="n"/>
      <x:c r="CY98" s="302" t="n"/>
      <x:c r="CZ98" s="302" t="n"/>
      <x:c r="DA98" s="302" t="n"/>
      <x:c r="DB98" s="302" t="n"/>
      <x:c r="DC98" s="302" t="n"/>
      <x:c r="DD98" s="302" t="n"/>
      <x:c r="DE98" s="302" t="n"/>
      <x:c r="DF98" s="302" t="n"/>
      <x:c r="DG98" s="302" t="n"/>
      <x:c r="DH98" s="302" t="n"/>
      <x:c r="DI98" s="302" t="n"/>
      <x:c r="DJ98" s="302" t="n"/>
      <x:c r="DK98" s="302" t="n"/>
      <x:c r="DL98" s="302" t="n"/>
      <x:c r="DM98" s="302" t="n"/>
      <x:c r="DN98" s="302" t="n"/>
      <x:c r="DO98" s="302" t="n"/>
      <x:c r="DP98" s="302" t="n"/>
      <x:c r="DQ98" s="302" t="n"/>
      <x:c r="DR98" s="302" t="n">
        <x:f>0.0138623333333333</x:f>
        <x:v>0.0138623333333333</x:v>
      </x:c>
      <x:c r="DS98" s="302" t="n"/>
      <x:c r="DT98" s="302" t="n"/>
      <x:c r="DU98" s="302" t="n"/>
      <x:c r="DV98" s="302" t="n"/>
      <x:c r="DW98" s="302" t="n"/>
      <x:c r="DX98" s="302" t="n"/>
      <x:c r="DY98" s="302" t="n"/>
      <x:c r="DZ98" s="302" t="n">
        <x:f>-0.0138623333333333</x:f>
        <x:v>-0.0138623333333333</x:v>
      </x:c>
      <x:c r="EA98" s="302" t="n"/>
      <x:c r="EB98" s="302" t="n"/>
      <x:c r="EC98" s="302" t="n"/>
      <x:c r="ED98" s="302" t="n"/>
      <x:c r="EE98" s="302" t="n"/>
      <x:c r="EF98" s="302" t="n"/>
      <x:c r="EG98" s="302" t="n"/>
      <x:c r="EH98" s="302" t="n"/>
      <x:c r="EI98" s="302" t="n"/>
      <x:c r="EJ98" s="302" t="n"/>
      <x:c r="EK98" s="302" t="n"/>
      <x:c r="EL98" s="302" t="n"/>
      <x:c r="EM98" s="302" t="n"/>
      <x:c r="EN98" s="302" t="n"/>
      <x:c r="EO98" s="302" t="n"/>
      <x:c r="EP98" s="302" t="n"/>
      <x:c r="EQ98" s="302" t="n"/>
      <x:c r="ER98" s="302" t="n"/>
      <x:c r="ES98" s="302" t="n"/>
      <x:c r="ET98" s="302" t="n"/>
      <x:c r="EU98" s="302" t="n"/>
      <x:c r="EV98" s="302" t="n"/>
      <x:c r="EW98" s="302" t="n"/>
      <x:c r="EX98" s="302" t="n"/>
      <x:c r="EY98" s="302" t="n"/>
    </x:row>
    <x:row r="99" s="27" customFormat="1">
      <x:c r="A99" s="38" t="n"/>
      <x:c r="B99" s="37" t="n"/>
      <x:c r="C99" s="36" t="n">
        <x:f>E99*D$5</x:f>
        <x:v>0</x:v>
      </x:c>
      <x:c r="D99" s="374" t="inlineStr">
        <x:is>
          <x:t xml:space="preserve">Four A. Investments</x:t>
        </x:is>
      </x:c>
      <x:c r="E99" s="36" t="n">
        <x:f>SUM(G99:HS99)</x:f>
        <x:v>0</x:v>
      </x:c>
      <x:c r="F99" s="126" t="inlineStr">
        <x:is>
          <x:t xml:space="preserve"/>
        </x:is>
      </x:c>
      <x:c r="G99" s="302" t="n"/>
      <x:c r="H99" s="302" t="n"/>
      <x:c r="I99" s="302" t="n"/>
      <x:c r="J99" s="302" t="n"/>
      <x:c r="K99" s="302" t="n"/>
      <x:c r="L99" s="302" t="n"/>
      <x:c r="M99" s="302" t="n"/>
      <x:c r="N99" s="302" t="n"/>
      <x:c r="O99" s="302" t="n"/>
      <x:c r="P99" s="100" t="n"/>
      <x:c r="Q99" s="302" t="n"/>
      <x:c r="R99" s="302" t="n"/>
      <x:c r="S99" s="302" t="n"/>
      <x:c r="T99" s="302" t="n"/>
      <x:c r="U99" s="302" t="n"/>
      <x:c r="V99" s="302" t="n"/>
      <x:c r="W99" s="302" t="n"/>
      <x:c r="X99" s="302" t="n"/>
      <x:c r="Y99" s="100" t="n"/>
      <x:c r="Z99" s="100" t="n"/>
      <x:c r="AA99" s="100" t="n"/>
      <x:c r="AB99" s="100" t="n"/>
      <x:c r="AC99" s="100" t="n"/>
      <x:c r="AD99" s="100" t="n"/>
      <x:c r="AE99" s="100" t="n"/>
      <x:c r="AF99" s="302" t="n"/>
      <x:c r="AG99" s="100" t="n"/>
      <x:c r="AH99" s="302" t="n"/>
      <x:c r="AI99" s="100" t="n"/>
      <x:c r="AJ99" s="302" t="n"/>
      <x:c r="AK99" s="302" t="n"/>
      <x:c r="AL99" s="302" t="n"/>
      <x:c r="AM99" s="302" t="n"/>
      <x:c r="AN99" s="302" t="n"/>
      <x:c r="AO99" s="302" t="n"/>
      <x:c r="AP99" s="302" t="n"/>
      <x:c r="AQ99" s="302" t="n"/>
      <x:c r="AR99" s="302" t="n"/>
      <x:c r="AS99" s="302" t="n"/>
      <x:c r="AT99" s="302" t="n"/>
      <x:c r="AU99" s="302" t="n"/>
      <x:c r="AV99" s="302" t="n"/>
      <x:c r="AW99" s="302" t="n"/>
      <x:c r="AX99" s="302" t="n"/>
      <x:c r="AY99" s="302" t="n"/>
      <x:c r="AZ99" s="302" t="n"/>
      <x:c r="BA99" s="302" t="n"/>
      <x:c r="BB99" s="302" t="n"/>
      <x:c r="BC99" s="302" t="n"/>
      <x:c r="BD99" s="302" t="n"/>
      <x:c r="BE99" s="302" t="n"/>
      <x:c r="BF99" s="302" t="n"/>
      <x:c r="BG99" s="302" t="n"/>
      <x:c r="BH99" s="302" t="n"/>
      <x:c r="BI99" s="302" t="n"/>
      <x:c r="BJ99" s="302" t="n"/>
      <x:c r="BK99" s="302" t="n"/>
      <x:c r="BL99" s="302" t="n"/>
      <x:c r="BM99" s="302" t="n"/>
      <x:c r="BN99" s="302" t="n"/>
      <x:c r="BO99" s="302" t="n"/>
      <x:c r="BP99" s="302" t="n"/>
      <x:c r="BQ99" s="302" t="n"/>
      <x:c r="BR99" s="302" t="n"/>
      <x:c r="BS99" s="302" t="n"/>
      <x:c r="BT99" s="302" t="n"/>
      <x:c r="BU99" s="302" t="n"/>
      <x:c r="BV99" s="302" t="n"/>
      <x:c r="BW99" s="302" t="n"/>
      <x:c r="BX99" s="302" t="n"/>
      <x:c r="BY99" s="302" t="n"/>
      <x:c r="BZ99" s="302" t="n"/>
      <x:c r="CA99" s="302" t="n"/>
      <x:c r="CB99" s="302" t="n"/>
      <x:c r="CC99" s="302" t="n"/>
      <x:c r="CD99" s="302" t="n"/>
      <x:c r="CE99" s="302" t="n"/>
      <x:c r="CF99" s="302" t="n"/>
      <x:c r="CG99" s="302" t="n"/>
      <x:c r="CH99" s="302" t="n"/>
      <x:c r="CI99" s="302" t="n"/>
      <x:c r="CJ99" s="302" t="n"/>
      <x:c r="CK99" s="302" t="n"/>
      <x:c r="CL99" s="302" t="n"/>
      <x:c r="CM99" s="302" t="n"/>
      <x:c r="CN99" s="302" t="n"/>
      <x:c r="CO99" s="302" t="n"/>
      <x:c r="CP99" s="302" t="n"/>
      <x:c r="CQ99" s="302" t="n"/>
      <x:c r="CR99" s="302" t="n"/>
      <x:c r="CS99" s="302" t="n"/>
      <x:c r="CT99" s="302" t="n"/>
      <x:c r="CU99" s="302" t="n"/>
      <x:c r="CV99" s="302" t="n"/>
      <x:c r="CW99" s="302" t="n"/>
      <x:c r="CX99" s="302" t="n"/>
      <x:c r="CY99" s="302" t="n"/>
      <x:c r="CZ99" s="302" t="n"/>
      <x:c r="DA99" s="302" t="n"/>
      <x:c r="DB99" s="302" t="n"/>
      <x:c r="DC99" s="302" t="n"/>
      <x:c r="DD99" s="302" t="n"/>
      <x:c r="DE99" s="302" t="n"/>
      <x:c r="DF99" s="302" t="n"/>
      <x:c r="DG99" s="302" t="n"/>
      <x:c r="DH99" s="302" t="n"/>
      <x:c r="DI99" s="302" t="n"/>
      <x:c r="DJ99" s="302" t="n"/>
      <x:c r="DK99" s="302" t="n"/>
      <x:c r="DL99" s="302" t="n"/>
      <x:c r="DM99" s="302" t="n"/>
      <x:c r="DN99" s="302" t="n"/>
      <x:c r="DO99" s="302" t="n"/>
      <x:c r="DP99" s="302" t="n"/>
      <x:c r="DQ99" s="302" t="n"/>
      <x:c r="DR99" s="302" t="n">
        <x:f>0.0138623333333333</x:f>
        <x:v>0.0138623333333333</x:v>
      </x:c>
      <x:c r="DS99" s="302" t="n"/>
      <x:c r="DT99" s="302" t="n"/>
      <x:c r="DU99" s="302" t="n"/>
      <x:c r="DV99" s="302" t="n"/>
      <x:c r="DW99" s="302" t="n"/>
      <x:c r="DX99" s="302" t="n"/>
      <x:c r="DY99" s="302" t="n"/>
      <x:c r="DZ99" s="302" t="n"/>
      <x:c r="EA99" s="302" t="n">
        <x:f>-0.0138623333333333</x:f>
        <x:v>-0.0138623333333333</x:v>
      </x:c>
      <x:c r="EB99" s="302" t="n"/>
      <x:c r="EC99" s="302" t="n"/>
      <x:c r="ED99" s="302" t="n"/>
      <x:c r="EE99" s="302" t="n"/>
      <x:c r="EF99" s="302" t="n"/>
      <x:c r="EG99" s="302" t="n"/>
      <x:c r="EH99" s="302" t="n"/>
      <x:c r="EI99" s="302" t="n"/>
      <x:c r="EJ99" s="302" t="n"/>
      <x:c r="EK99" s="302" t="n"/>
      <x:c r="EL99" s="302" t="n"/>
      <x:c r="EM99" s="302" t="n"/>
      <x:c r="EN99" s="302" t="n"/>
      <x:c r="EO99" s="302" t="n"/>
      <x:c r="EP99" s="302" t="n"/>
      <x:c r="EQ99" s="302" t="n"/>
      <x:c r="ER99" s="302" t="n"/>
      <x:c r="ES99" s="302" t="n"/>
      <x:c r="ET99" s="302" t="n"/>
      <x:c r="EU99" s="302" t="n"/>
      <x:c r="EV99" s="302" t="n"/>
      <x:c r="EW99" s="302" t="n"/>
      <x:c r="EX99" s="302" t="n"/>
      <x:c r="EY99" s="302" t="n"/>
    </x:row>
    <x:row r="100" s="27" customFormat="1" ht="24" customHeight="1">
      <x:c r="A100" s="38" t="n"/>
      <x:c r="B100" s="37" t="n"/>
      <x:c r="C100" s="36" t="n">
        <x:f>E100*D$5</x:f>
        <x:v>2.217973333333328</x:v>
      </x:c>
      <x:c r="D100" s="66" t="inlineStr">
        <x:is>
          <x:t xml:space="preserve">Terry V. Bish and Fausta J. Bish, Trustees of The Bish Family Trust</x:t>
        </x:is>
      </x:c>
      <x:c r="E100" s="36" t="n">
        <x:f>SUM(G100:HS100)</x:f>
        <x:v>0.0138623333333333</x:v>
      </x:c>
      <x:c r="F100" s="126" t="inlineStr">
        <x:is>
          <x:t xml:space="preserve"/>
        </x:is>
      </x:c>
      <x:c r="G100" s="302" t="n"/>
      <x:c r="H100" s="302" t="n"/>
      <x:c r="I100" s="302" t="n"/>
      <x:c r="J100" s="302" t="n"/>
      <x:c r="K100" s="302" t="n"/>
      <x:c r="L100" s="302" t="n"/>
      <x:c r="M100" s="302" t="n"/>
      <x:c r="N100" s="302" t="n"/>
      <x:c r="O100" s="302" t="n"/>
      <x:c r="P100" s="100" t="n"/>
      <x:c r="Q100" s="302" t="n"/>
      <x:c r="R100" s="302" t="n"/>
      <x:c r="S100" s="302" t="n"/>
      <x:c r="T100" s="302" t="n"/>
      <x:c r="U100" s="302" t="n"/>
      <x:c r="V100" s="302" t="n"/>
      <x:c r="W100" s="302" t="n"/>
      <x:c r="X100" s="302" t="n"/>
      <x:c r="Y100" s="100" t="n"/>
      <x:c r="Z100" s="100" t="n"/>
      <x:c r="AA100" s="100" t="n"/>
      <x:c r="AB100" s="100" t="n"/>
      <x:c r="AC100" s="100" t="n"/>
      <x:c r="AD100" s="100" t="n"/>
      <x:c r="AE100" s="100" t="n"/>
      <x:c r="AF100" s="302" t="n"/>
      <x:c r="AG100" s="100" t="n"/>
      <x:c r="AH100" s="302" t="n"/>
      <x:c r="AI100" s="100" t="n"/>
      <x:c r="AJ100" s="302" t="n"/>
      <x:c r="AK100" s="302" t="n"/>
      <x:c r="AL100" s="302" t="n"/>
      <x:c r="AM100" s="302" t="n"/>
      <x:c r="AN100" s="302" t="n"/>
      <x:c r="AO100" s="302" t="n"/>
      <x:c r="AP100" s="302" t="n"/>
      <x:c r="AQ100" s="302" t="n"/>
      <x:c r="AR100" s="302" t="n"/>
      <x:c r="AS100" s="302" t="n"/>
      <x:c r="AT100" s="302" t="n"/>
      <x:c r="AU100" s="302" t="n"/>
      <x:c r="AV100" s="302" t="n"/>
      <x:c r="AW100" s="302" t="n"/>
      <x:c r="AX100" s="302" t="n"/>
      <x:c r="AY100" s="302" t="n"/>
      <x:c r="AZ100" s="302" t="n"/>
      <x:c r="BA100" s="302" t="n"/>
      <x:c r="BB100" s="302" t="n"/>
      <x:c r="BC100" s="302" t="n"/>
      <x:c r="BD100" s="302" t="n"/>
      <x:c r="BE100" s="302" t="n"/>
      <x:c r="BF100" s="302" t="n"/>
      <x:c r="BG100" s="302" t="n"/>
      <x:c r="BH100" s="302" t="n"/>
      <x:c r="BI100" s="302" t="n"/>
      <x:c r="BJ100" s="302" t="n"/>
      <x:c r="BK100" s="302" t="n"/>
      <x:c r="BL100" s="302" t="n"/>
      <x:c r="BM100" s="302" t="n"/>
      <x:c r="BN100" s="302" t="n"/>
      <x:c r="BO100" s="302" t="n"/>
      <x:c r="BP100" s="302" t="n"/>
      <x:c r="BQ100" s="302" t="n"/>
      <x:c r="BR100" s="302" t="n"/>
      <x:c r="BS100" s="302" t="n"/>
      <x:c r="BT100" s="302" t="n"/>
      <x:c r="BU100" s="302" t="n"/>
      <x:c r="BV100" s="302" t="n"/>
      <x:c r="BW100" s="302" t="n"/>
      <x:c r="BX100" s="302" t="n"/>
      <x:c r="BY100" s="302" t="n"/>
      <x:c r="BZ100" s="302" t="n"/>
      <x:c r="CA100" s="302" t="n"/>
      <x:c r="CB100" s="302" t="n"/>
      <x:c r="CC100" s="302" t="n"/>
      <x:c r="CD100" s="302" t="n"/>
      <x:c r="CE100" s="302" t="n"/>
      <x:c r="CF100" s="302" t="n"/>
      <x:c r="CG100" s="302" t="n"/>
      <x:c r="CH100" s="302" t="n"/>
      <x:c r="CI100" s="302" t="n"/>
      <x:c r="CJ100" s="302" t="n"/>
      <x:c r="CK100" s="302" t="n"/>
      <x:c r="CL100" s="302" t="n"/>
      <x:c r="CM100" s="302" t="n"/>
      <x:c r="CN100" s="302" t="n"/>
      <x:c r="CO100" s="302" t="n"/>
      <x:c r="CP100" s="302" t="n"/>
      <x:c r="CQ100" s="302" t="n"/>
      <x:c r="CR100" s="302" t="n"/>
      <x:c r="CS100" s="302" t="n"/>
      <x:c r="CT100" s="302" t="n"/>
      <x:c r="CU100" s="302" t="n"/>
      <x:c r="CV100" s="302" t="n"/>
      <x:c r="CW100" s="302" t="n"/>
      <x:c r="CX100" s="302" t="n"/>
      <x:c r="CY100" s="302" t="n"/>
      <x:c r="CZ100" s="302" t="n"/>
      <x:c r="DA100" s="302" t="n"/>
      <x:c r="DB100" s="302" t="n"/>
      <x:c r="DC100" s="302" t="n"/>
      <x:c r="DD100" s="302" t="n"/>
      <x:c r="DE100" s="302" t="n"/>
      <x:c r="DF100" s="302" t="n"/>
      <x:c r="DG100" s="302" t="n"/>
      <x:c r="DH100" s="302" t="n"/>
      <x:c r="DI100" s="302" t="n"/>
      <x:c r="DJ100" s="302" t="n"/>
      <x:c r="DK100" s="302" t="n"/>
      <x:c r="DL100" s="302" t="n"/>
      <x:c r="DM100" s="302" t="n"/>
      <x:c r="DN100" s="302" t="n"/>
      <x:c r="DO100" s="302" t="n"/>
      <x:c r="DP100" s="302" t="n"/>
      <x:c r="DQ100" s="302" t="n"/>
      <x:c r="DR100" s="302" t="n"/>
      <x:c r="DS100" s="302" t="n"/>
      <x:c r="DT100" s="302" t="n"/>
      <x:c r="DU100" s="302" t="n"/>
      <x:c r="DV100" s="302" t="n"/>
      <x:c r="DW100" s="302" t="n"/>
      <x:c r="DX100" s="302" t="n"/>
      <x:c r="DY100" s="302" t="n"/>
      <x:c r="DZ100" s="302" t="n">
        <x:f>0.0138623333333333</x:f>
        <x:v>0.0138623333333333</x:v>
      </x:c>
      <x:c r="EA100" s="302" t="n"/>
      <x:c r="EB100" s="302" t="n"/>
      <x:c r="EC100" s="302" t="n"/>
      <x:c r="ED100" s="302" t="n"/>
      <x:c r="EE100" s="302" t="n"/>
      <x:c r="EF100" s="302" t="n"/>
      <x:c r="EG100" s="302" t="n"/>
      <x:c r="EH100" s="302" t="n"/>
      <x:c r="EI100" s="302" t="n"/>
      <x:c r="EJ100" s="302" t="n"/>
      <x:c r="EK100" s="302" t="n"/>
      <x:c r="EL100" s="302" t="n"/>
      <x:c r="EM100" s="302" t="n"/>
      <x:c r="EN100" s="302" t="n"/>
      <x:c r="EO100" s="302" t="n"/>
      <x:c r="EP100" s="302" t="n"/>
      <x:c r="EQ100" s="302" t="n"/>
      <x:c r="ER100" s="302" t="n"/>
      <x:c r="ES100" s="302" t="n"/>
      <x:c r="ET100" s="302" t="n"/>
      <x:c r="EU100" s="302" t="n"/>
      <x:c r="EV100" s="302" t="n"/>
      <x:c r="EW100" s="302" t="n"/>
      <x:c r="EX100" s="302" t="n"/>
      <x:c r="EY100" s="302" t="n"/>
    </x:row>
    <x:row r="101" s="27" customFormat="1">
      <x:c r="A101" s="38" t="n"/>
      <x:c r="B101" s="37" t="n"/>
      <x:c r="C101" s="36" t="n">
        <x:f>E101*D$5</x:f>
        <x:v>1.1089866666666672</x:v>
      </x:c>
      <x:c r="D101" s="523" t="inlineStr">
        <x:is>
          <x:t xml:space="preserve">Byron A. Hetherington Trust</x:t>
        </x:is>
      </x:c>
      <x:c r="E101" s="36" t="n">
        <x:f>SUM(G101:HS101)</x:f>
        <x:v>0.00693116666666667</x:v>
      </x:c>
      <x:c r="F101" s="126" t="inlineStr">
        <x:is>
          <x:t xml:space="preserve"/>
        </x:is>
      </x:c>
      <x:c r="G101" s="302" t="n"/>
      <x:c r="H101" s="302" t="n"/>
      <x:c r="I101" s="302" t="n"/>
      <x:c r="J101" s="302" t="n"/>
      <x:c r="K101" s="302" t="n"/>
      <x:c r="L101" s="302" t="n"/>
      <x:c r="M101" s="302" t="n"/>
      <x:c r="N101" s="302" t="n"/>
      <x:c r="O101" s="302" t="n"/>
      <x:c r="P101" s="100" t="n"/>
      <x:c r="Q101" s="302" t="n"/>
      <x:c r="R101" s="302" t="n"/>
      <x:c r="S101" s="302" t="n"/>
      <x:c r="T101" s="302" t="n"/>
      <x:c r="U101" s="302" t="n"/>
      <x:c r="V101" s="302" t="n"/>
      <x:c r="W101" s="302" t="n"/>
      <x:c r="X101" s="302" t="n"/>
      <x:c r="Y101" s="100" t="n"/>
      <x:c r="Z101" s="100" t="n"/>
      <x:c r="AA101" s="100" t="n"/>
      <x:c r="AB101" s="100" t="n"/>
      <x:c r="AC101" s="100" t="n"/>
      <x:c r="AD101" s="100" t="n"/>
      <x:c r="AE101" s="100" t="n"/>
      <x:c r="AF101" s="302" t="n"/>
      <x:c r="AG101" s="100" t="n"/>
      <x:c r="AH101" s="302" t="n"/>
      <x:c r="AI101" s="100" t="n"/>
      <x:c r="AJ101" s="302" t="n"/>
      <x:c r="AK101" s="302" t="n"/>
      <x:c r="AL101" s="302" t="n"/>
      <x:c r="AM101" s="302" t="n"/>
      <x:c r="AN101" s="302" t="n"/>
      <x:c r="AO101" s="302" t="n"/>
      <x:c r="AP101" s="302" t="n"/>
      <x:c r="AQ101" s="302" t="n"/>
      <x:c r="AR101" s="302" t="n"/>
      <x:c r="AS101" s="302" t="n"/>
      <x:c r="AT101" s="302" t="n"/>
      <x:c r="AU101" s="302" t="n"/>
      <x:c r="AV101" s="302" t="n"/>
      <x:c r="AW101" s="302" t="n"/>
      <x:c r="AX101" s="302" t="n"/>
      <x:c r="AY101" s="302" t="n"/>
      <x:c r="AZ101" s="302" t="n"/>
      <x:c r="BA101" s="302" t="n"/>
      <x:c r="BB101" s="302" t="n"/>
      <x:c r="BC101" s="302" t="n"/>
      <x:c r="BD101" s="302" t="n"/>
      <x:c r="BE101" s="302" t="n"/>
      <x:c r="BF101" s="302" t="n"/>
      <x:c r="BG101" s="302" t="n"/>
      <x:c r="BH101" s="302" t="n"/>
      <x:c r="BI101" s="302" t="n"/>
      <x:c r="BJ101" s="302" t="n"/>
      <x:c r="BK101" s="302" t="n"/>
      <x:c r="BL101" s="302" t="n"/>
      <x:c r="BM101" s="302" t="n"/>
      <x:c r="BN101" s="302" t="n"/>
      <x:c r="BO101" s="302" t="n"/>
      <x:c r="BP101" s="302" t="n"/>
      <x:c r="BQ101" s="302" t="n"/>
      <x:c r="BR101" s="302" t="n"/>
      <x:c r="BS101" s="302" t="n"/>
      <x:c r="BT101" s="302" t="n"/>
      <x:c r="BU101" s="302" t="n"/>
      <x:c r="BV101" s="302" t="n"/>
      <x:c r="BW101" s="302" t="n"/>
      <x:c r="BX101" s="302" t="n"/>
      <x:c r="BY101" s="302" t="n"/>
      <x:c r="BZ101" s="302" t="n"/>
      <x:c r="CA101" s="302" t="n"/>
      <x:c r="CB101" s="302" t="n"/>
      <x:c r="CC101" s="302" t="n"/>
      <x:c r="CD101" s="302" t="n"/>
      <x:c r="CE101" s="302" t="n"/>
      <x:c r="CF101" s="302" t="n"/>
      <x:c r="CG101" s="302" t="n"/>
      <x:c r="CH101" s="302" t="n"/>
      <x:c r="CI101" s="302" t="n"/>
      <x:c r="CJ101" s="302" t="n"/>
      <x:c r="CK101" s="302" t="n"/>
      <x:c r="CL101" s="302" t="n"/>
      <x:c r="CM101" s="302" t="n"/>
      <x:c r="CN101" s="302" t="n"/>
      <x:c r="CO101" s="302" t="n"/>
      <x:c r="CP101" s="302" t="n"/>
      <x:c r="CQ101" s="302" t="n"/>
      <x:c r="CR101" s="302" t="n"/>
      <x:c r="CS101" s="302" t="n"/>
      <x:c r="CT101" s="302" t="n"/>
      <x:c r="CU101" s="302" t="n"/>
      <x:c r="CV101" s="302" t="n"/>
      <x:c r="CW101" s="302" t="n"/>
      <x:c r="CX101" s="302" t="n"/>
      <x:c r="CY101" s="302" t="n"/>
      <x:c r="CZ101" s="302" t="n"/>
      <x:c r="DA101" s="302" t="n"/>
      <x:c r="DB101" s="302" t="n"/>
      <x:c r="DC101" s="302" t="n"/>
      <x:c r="DD101" s="302" t="n"/>
      <x:c r="DE101" s="302" t="n"/>
      <x:c r="DF101" s="302" t="n"/>
      <x:c r="DG101" s="302" t="n"/>
      <x:c r="DH101" s="302" t="n"/>
      <x:c r="DI101" s="302" t="n"/>
      <x:c r="DJ101" s="302" t="n"/>
      <x:c r="DK101" s="302" t="n"/>
      <x:c r="DL101" s="302" t="n"/>
      <x:c r="DM101" s="302" t="n"/>
      <x:c r="DN101" s="302" t="n"/>
      <x:c r="DO101" s="302" t="n"/>
      <x:c r="DP101" s="302" t="n"/>
      <x:c r="DQ101" s="302" t="n"/>
      <x:c r="DR101" s="302" t="n"/>
      <x:c r="DS101" s="302" t="n"/>
      <x:c r="DT101" s="302" t="n"/>
      <x:c r="DU101" s="302" t="n"/>
      <x:c r="DV101" s="302" t="n"/>
      <x:c r="DW101" s="302" t="n"/>
      <x:c r="DX101" s="302" t="n"/>
      <x:c r="DY101" s="302" t="n"/>
      <x:c r="DZ101" s="302" t="n"/>
      <x:c r="EA101" s="302" t="n">
        <x:f>0.00693116666666667</x:f>
        <x:v>0.00693116666666667</x:v>
      </x:c>
      <x:c r="EB101" s="302" t="n"/>
      <x:c r="EC101" s="302" t="n"/>
      <x:c r="ED101" s="302" t="n"/>
      <x:c r="EE101" s="302" t="n"/>
      <x:c r="EF101" s="302" t="n"/>
      <x:c r="EG101" s="302" t="n"/>
      <x:c r="EH101" s="302" t="n"/>
      <x:c r="EI101" s="302" t="n"/>
      <x:c r="EJ101" s="302" t="n"/>
      <x:c r="EK101" s="302" t="n"/>
      <x:c r="EL101" s="302" t="n"/>
      <x:c r="EM101" s="302" t="n"/>
      <x:c r="EN101" s="302" t="n"/>
      <x:c r="EO101" s="302" t="n"/>
      <x:c r="EP101" s="302" t="n"/>
      <x:c r="EQ101" s="302" t="n"/>
      <x:c r="ER101" s="302" t="n"/>
      <x:c r="ES101" s="302" t="n"/>
      <x:c r="ET101" s="302" t="n"/>
      <x:c r="EU101" s="302" t="n"/>
      <x:c r="EV101" s="302" t="n"/>
      <x:c r="EW101" s="302" t="n"/>
      <x:c r="EX101" s="302" t="n"/>
      <x:c r="EY101" s="302" t="n"/>
    </x:row>
    <x:row r="102" s="27" customFormat="1">
      <x:c r="A102" s="38" t="n"/>
      <x:c r="B102" s="37" t="n"/>
      <x:c r="C102" s="36" t="n">
        <x:f>E102*D$5</x:f>
        <x:v>1.1089866666666672</x:v>
      </x:c>
      <x:c r="D102" s="523" t="inlineStr">
        <x:is>
          <x:t xml:space="preserve">Gloria A. Hetherington Trust</x:t>
        </x:is>
      </x:c>
      <x:c r="E102" s="36" t="n">
        <x:f>SUM(G102:HS102)</x:f>
        <x:v>0.00693116666666667</x:v>
      </x:c>
      <x:c r="F102" s="126" t="inlineStr">
        <x:is>
          <x:t xml:space="preserve"/>
        </x:is>
      </x:c>
      <x:c r="G102" s="302" t="n"/>
      <x:c r="H102" s="302" t="n"/>
      <x:c r="I102" s="302" t="n"/>
      <x:c r="J102" s="302" t="n"/>
      <x:c r="K102" s="302" t="n"/>
      <x:c r="L102" s="302" t="n"/>
      <x:c r="M102" s="302" t="n"/>
      <x:c r="N102" s="302" t="n"/>
      <x:c r="O102" s="302" t="n"/>
      <x:c r="P102" s="100" t="n"/>
      <x:c r="Q102" s="302" t="n"/>
      <x:c r="R102" s="302" t="n"/>
      <x:c r="S102" s="302" t="n"/>
      <x:c r="T102" s="302" t="n"/>
      <x:c r="U102" s="302" t="n"/>
      <x:c r="V102" s="302" t="n"/>
      <x:c r="W102" s="302" t="n"/>
      <x:c r="X102" s="302" t="n"/>
      <x:c r="Y102" s="100" t="n"/>
      <x:c r="Z102" s="100" t="n"/>
      <x:c r="AA102" s="100" t="n"/>
      <x:c r="AB102" s="100" t="n"/>
      <x:c r="AC102" s="100" t="n"/>
      <x:c r="AD102" s="100" t="n"/>
      <x:c r="AE102" s="100" t="n"/>
      <x:c r="AF102" s="302" t="n"/>
      <x:c r="AG102" s="100" t="n"/>
      <x:c r="AH102" s="302" t="n"/>
      <x:c r="AI102" s="100" t="n"/>
      <x:c r="AJ102" s="302" t="n"/>
      <x:c r="AK102" s="302" t="n"/>
      <x:c r="AL102" s="302" t="n"/>
      <x:c r="AM102" s="302" t="n"/>
      <x:c r="AN102" s="302" t="n"/>
      <x:c r="AO102" s="302" t="n"/>
      <x:c r="AP102" s="302" t="n"/>
      <x:c r="AQ102" s="302" t="n"/>
      <x:c r="AR102" s="302" t="n"/>
      <x:c r="AS102" s="302" t="n"/>
      <x:c r="AT102" s="302" t="n"/>
      <x:c r="AU102" s="302" t="n"/>
      <x:c r="AV102" s="302" t="n"/>
      <x:c r="AW102" s="302" t="n"/>
      <x:c r="AX102" s="302" t="n"/>
      <x:c r="AY102" s="302" t="n"/>
      <x:c r="AZ102" s="302" t="n"/>
      <x:c r="BA102" s="302" t="n"/>
      <x:c r="BB102" s="302" t="n"/>
      <x:c r="BC102" s="302" t="n"/>
      <x:c r="BD102" s="302" t="n"/>
      <x:c r="BE102" s="302" t="n"/>
      <x:c r="BF102" s="302" t="n"/>
      <x:c r="BG102" s="302" t="n"/>
      <x:c r="BH102" s="302" t="n"/>
      <x:c r="BI102" s="302" t="n"/>
      <x:c r="BJ102" s="302" t="n"/>
      <x:c r="BK102" s="302" t="n"/>
      <x:c r="BL102" s="302" t="n"/>
      <x:c r="BM102" s="302" t="n"/>
      <x:c r="BN102" s="302" t="n"/>
      <x:c r="BO102" s="302" t="n"/>
      <x:c r="BP102" s="302" t="n"/>
      <x:c r="BQ102" s="302" t="n"/>
      <x:c r="BR102" s="302" t="n"/>
      <x:c r="BS102" s="302" t="n"/>
      <x:c r="BT102" s="302" t="n"/>
      <x:c r="BU102" s="302" t="n"/>
      <x:c r="BV102" s="302" t="n"/>
      <x:c r="BW102" s="302" t="n"/>
      <x:c r="BX102" s="302" t="n"/>
      <x:c r="BY102" s="302" t="n"/>
      <x:c r="BZ102" s="302" t="n"/>
      <x:c r="CA102" s="302" t="n"/>
      <x:c r="CB102" s="302" t="n"/>
      <x:c r="CC102" s="302" t="n"/>
      <x:c r="CD102" s="302" t="n"/>
      <x:c r="CE102" s="302" t="n"/>
      <x:c r="CF102" s="302" t="n"/>
      <x:c r="CG102" s="302" t="n"/>
      <x:c r="CH102" s="302" t="n"/>
      <x:c r="CI102" s="302" t="n"/>
      <x:c r="CJ102" s="302" t="n"/>
      <x:c r="CK102" s="302" t="n"/>
      <x:c r="CL102" s="302" t="n"/>
      <x:c r="CM102" s="302" t="n"/>
      <x:c r="CN102" s="302" t="n"/>
      <x:c r="CO102" s="302" t="n"/>
      <x:c r="CP102" s="302" t="n"/>
      <x:c r="CQ102" s="302" t="n"/>
      <x:c r="CR102" s="302" t="n"/>
      <x:c r="CS102" s="302" t="n"/>
      <x:c r="CT102" s="302" t="n"/>
      <x:c r="CU102" s="302" t="n"/>
      <x:c r="CV102" s="302" t="n"/>
      <x:c r="CW102" s="302" t="n"/>
      <x:c r="CX102" s="302" t="n"/>
      <x:c r="CY102" s="302" t="n"/>
      <x:c r="CZ102" s="302" t="n"/>
      <x:c r="DA102" s="302" t="n"/>
      <x:c r="DB102" s="302" t="n"/>
      <x:c r="DC102" s="302" t="n"/>
      <x:c r="DD102" s="302" t="n"/>
      <x:c r="DE102" s="302" t="n"/>
      <x:c r="DF102" s="302" t="n"/>
      <x:c r="DG102" s="302" t="n"/>
      <x:c r="DH102" s="302" t="n"/>
      <x:c r="DI102" s="302" t="n"/>
      <x:c r="DJ102" s="302" t="n"/>
      <x:c r="DK102" s="302" t="n"/>
      <x:c r="DL102" s="302" t="n"/>
      <x:c r="DM102" s="302" t="n"/>
      <x:c r="DN102" s="302" t="n"/>
      <x:c r="DO102" s="302" t="n"/>
      <x:c r="DP102" s="302" t="n"/>
      <x:c r="DQ102" s="302" t="n"/>
      <x:c r="DR102" s="302" t="n"/>
      <x:c r="DS102" s="302" t="n"/>
      <x:c r="DT102" s="302" t="n"/>
      <x:c r="DU102" s="302" t="n"/>
      <x:c r="DV102" s="302" t="n"/>
      <x:c r="DW102" s="302" t="n"/>
      <x:c r="DX102" s="302" t="n"/>
      <x:c r="DY102" s="302" t="n"/>
      <x:c r="DZ102" s="302" t="n"/>
      <x:c r="EA102" s="302" t="n">
        <x:f>0.00693116666666667</x:f>
        <x:v>0.00693116666666667</x:v>
      </x:c>
      <x:c r="EB102" s="302" t="n"/>
      <x:c r="EC102" s="302" t="n"/>
      <x:c r="ED102" s="302" t="n"/>
      <x:c r="EE102" s="302" t="n"/>
      <x:c r="EF102" s="302" t="n"/>
      <x:c r="EG102" s="302" t="n"/>
      <x:c r="EH102" s="302" t="n"/>
      <x:c r="EI102" s="302" t="n"/>
      <x:c r="EJ102" s="302" t="n"/>
      <x:c r="EK102" s="302" t="n"/>
      <x:c r="EL102" s="302" t="n"/>
      <x:c r="EM102" s="302" t="n"/>
      <x:c r="EN102" s="302" t="n"/>
      <x:c r="EO102" s="302" t="n"/>
      <x:c r="EP102" s="302" t="n"/>
      <x:c r="EQ102" s="302" t="n"/>
      <x:c r="ER102" s="302" t="n"/>
      <x:c r="ES102" s="302" t="n"/>
      <x:c r="ET102" s="302" t="n"/>
      <x:c r="EU102" s="302" t="n"/>
      <x:c r="EV102" s="302" t="n"/>
      <x:c r="EW102" s="302" t="n"/>
      <x:c r="EX102" s="302" t="n"/>
      <x:c r="EY102" s="302" t="n"/>
    </x:row>
    <x:row r="103" s="27" customFormat="1">
      <x:c r="A103" s="38" t="n"/>
      <x:c r="B103" s="37" t="n"/>
      <x:c r="C103" s="36" t="n">
        <x:f>E103*D$5</x:f>
        <x:v>1.4359466666666658</x:v>
      </x:c>
      <x:c r="D103" s="335" t="inlineStr">
        <x:is>
          <x:t xml:space="preserve">Joseph A. Bain</x:t>
        </x:is>
      </x:c>
      <x:c r="E103" s="36" t="n">
        <x:f>SUM(G103:HS103)</x:f>
        <x:v>0.008974666666666662</x:v>
      </x:c>
      <x:c r="F103" s="126" t="inlineStr">
        <x:is>
          <x:t xml:space="preserve"/>
        </x:is>
      </x:c>
      <x:c r="G103" s="302" t="n"/>
      <x:c r="H103" s="302" t="n"/>
      <x:c r="I103" s="302" t="n"/>
      <x:c r="J103" s="302" t="n"/>
      <x:c r="K103" s="302" t="n"/>
      <x:c r="L103" s="302" t="n"/>
      <x:c r="M103" s="302" t="n"/>
      <x:c r="N103" s="302" t="n"/>
      <x:c r="O103" s="302" t="n"/>
      <x:c r="P103" s="100" t="n"/>
      <x:c r="Q103" s="302" t="n"/>
      <x:c r="R103" s="302" t="n"/>
      <x:c r="S103" s="302" t="n"/>
      <x:c r="T103" s="302" t="n"/>
      <x:c r="U103" s="302" t="n"/>
      <x:c r="V103" s="302" t="n"/>
      <x:c r="W103" s="302" t="n"/>
      <x:c r="X103" s="302" t="n"/>
      <x:c r="Y103" s="100" t="n"/>
      <x:c r="Z103" s="100" t="n"/>
      <x:c r="AA103" s="100" t="n"/>
      <x:c r="AB103" s="100" t="n"/>
      <x:c r="AC103" s="100" t="n"/>
      <x:c r="AD103" s="100" t="n"/>
      <x:c r="AE103" s="100" t="n"/>
      <x:c r="AF103" s="302" t="n"/>
      <x:c r="AG103" s="100" t="n"/>
      <x:c r="AH103" s="302" t="n"/>
      <x:c r="AI103" s="100" t="n"/>
      <x:c r="AJ103" s="302" t="n"/>
      <x:c r="AK103" s="302" t="n"/>
      <x:c r="AL103" s="302" t="n"/>
      <x:c r="AM103" s="302" t="n"/>
      <x:c r="AN103" s="302" t="n"/>
      <x:c r="AO103" s="302" t="n"/>
      <x:c r="AP103" s="302" t="n"/>
      <x:c r="AQ103" s="302" t="n"/>
      <x:c r="AR103" s="302" t="n"/>
      <x:c r="AS103" s="302" t="n"/>
      <x:c r="AT103" s="302" t="n"/>
      <x:c r="AU103" s="302" t="n"/>
      <x:c r="AV103" s="302" t="n"/>
      <x:c r="AW103" s="302" t="n"/>
      <x:c r="AX103" s="302" t="n"/>
      <x:c r="AY103" s="302" t="n"/>
      <x:c r="AZ103" s="302" t="n"/>
      <x:c r="BA103" s="302" t="n"/>
      <x:c r="BB103" s="302" t="n"/>
      <x:c r="BC103" s="302" t="n"/>
      <x:c r="BD103" s="302" t="n"/>
      <x:c r="BE103" s="302" t="n"/>
      <x:c r="BF103" s="302" t="n"/>
      <x:c r="BG103" s="302" t="n"/>
      <x:c r="BH103" s="302" t="n"/>
      <x:c r="BI103" s="302" t="n"/>
      <x:c r="BJ103" s="302" t="n"/>
      <x:c r="BK103" s="302" t="n"/>
      <x:c r="BL103" s="302" t="n"/>
      <x:c r="BM103" s="302" t="n"/>
      <x:c r="BN103" s="302" t="n"/>
      <x:c r="BO103" s="302" t="n"/>
      <x:c r="BP103" s="302" t="n"/>
      <x:c r="BQ103" s="302" t="n"/>
      <x:c r="BR103" s="302" t="n"/>
      <x:c r="BS103" s="302" t="n"/>
      <x:c r="BT103" s="302" t="n"/>
      <x:c r="BU103" s="302" t="n"/>
      <x:c r="BV103" s="302" t="n"/>
      <x:c r="BW103" s="302" t="n"/>
      <x:c r="BX103" s="302" t="n"/>
      <x:c r="BY103" s="302" t="n"/>
      <x:c r="BZ103" s="302" t="n"/>
      <x:c r="CA103" s="302" t="n"/>
      <x:c r="CB103" s="302" t="n"/>
      <x:c r="CC103" s="302" t="n"/>
      <x:c r="CD103" s="302" t="n"/>
      <x:c r="CE103" s="302" t="n"/>
      <x:c r="CF103" s="302" t="n"/>
      <x:c r="CG103" s="302" t="n"/>
      <x:c r="CH103" s="302" t="n"/>
      <x:c r="CI103" s="302" t="n"/>
      <x:c r="CJ103" s="302" t="n"/>
      <x:c r="CK103" s="302" t="n"/>
      <x:c r="CL103" s="302" t="n"/>
      <x:c r="CM103" s="302" t="n"/>
      <x:c r="CN103" s="302" t="n"/>
      <x:c r="CO103" s="302" t="n"/>
      <x:c r="CP103" s="302" t="n"/>
      <x:c r="CQ103" s="302" t="n"/>
      <x:c r="CR103" s="302" t="n"/>
      <x:c r="CS103" s="302" t="n"/>
      <x:c r="CT103" s="302" t="n"/>
      <x:c r="CU103" s="302" t="n"/>
      <x:c r="CV103" s="302" t="n"/>
      <x:c r="CW103" s="302" t="n"/>
      <x:c r="CX103" s="302" t="n"/>
      <x:c r="CY103" s="302" t="n"/>
      <x:c r="CZ103" s="302" t="n"/>
      <x:c r="DA103" s="302" t="n"/>
      <x:c r="DB103" s="302" t="n"/>
      <x:c r="DC103" s="302" t="n"/>
      <x:c r="DD103" s="302" t="n"/>
      <x:c r="DE103" s="302" t="n"/>
      <x:c r="DF103" s="302" t="n"/>
      <x:c r="DG103" s="302" t="n"/>
      <x:c r="DH103" s="302" t="n"/>
      <x:c r="DI103" s="302" t="n"/>
      <x:c r="DJ103" s="302" t="n"/>
      <x:c r="DK103" s="302" t="n"/>
      <x:c r="DL103" s="302" t="n"/>
      <x:c r="DM103" s="302" t="n"/>
      <x:c r="DN103" s="302" t="n"/>
      <x:c r="DO103" s="302" t="n"/>
      <x:c r="DP103" s="302" t="n"/>
      <x:c r="DQ103" s="302" t="n"/>
      <x:c r="DR103" s="302" t="n"/>
      <x:c r="DS103" s="302" t="n"/>
      <x:c r="DT103" s="302" t="n">
        <x:v>0.02772466666666666</x:v>
      </x:c>
      <x:c r="DU103" s="302" t="n"/>
      <x:c r="DV103" s="302" t="n"/>
      <x:c r="DW103" s="302" t="n"/>
      <x:c r="DX103" s="302" t="n"/>
      <x:c r="DY103" s="302" t="n"/>
      <x:c r="DZ103" s="302" t="n"/>
      <x:c r="EA103" s="302" t="n"/>
      <x:c r="EB103" s="302" t="n"/>
      <x:c r="EC103" s="302" t="n"/>
      <x:c r="ED103" s="302" t="n"/>
      <x:c r="EE103" s="302" t="n"/>
      <x:c r="EF103" s="302" t="n">
        <x:v>-0.01875</x:v>
      </x:c>
      <x:c r="EG103" s="302" t="n"/>
      <x:c r="EH103" s="302" t="n"/>
      <x:c r="EI103" s="302" t="n"/>
      <x:c r="EJ103" s="302" t="n"/>
      <x:c r="EK103" s="302" t="n"/>
      <x:c r="EL103" s="302" t="n"/>
      <x:c r="EM103" s="302" t="n"/>
      <x:c r="EN103" s="302" t="n"/>
      <x:c r="EO103" s="302" t="n"/>
      <x:c r="EP103" s="302" t="n"/>
      <x:c r="EQ103" s="302" t="n"/>
      <x:c r="ER103" s="302" t="n"/>
      <x:c r="ES103" s="302" t="n"/>
      <x:c r="ET103" s="302" t="n"/>
      <x:c r="EU103" s="302" t="n"/>
      <x:c r="EV103" s="302" t="n"/>
      <x:c r="EW103" s="302" t="n"/>
      <x:c r="EX103" s="302" t="n"/>
      <x:c r="EY103" s="302" t="n"/>
    </x:row>
    <x:row r="104" s="27" customFormat="1">
      <x:c r="A104" s="38" t="n"/>
      <x:c r="B104" s="37" t="n"/>
      <x:c r="C104" s="36" t="n">
        <x:f>E104*D$5</x:f>
        <x:v>0</x:v>
      </x:c>
      <x:c r="D104" s="376" t="inlineStr">
        <x:is>
          <x:t xml:space="preserve">John W. Bain</x:t>
        </x:is>
      </x:c>
      <x:c r="E104" s="36" t="n">
        <x:f>SUM(G104:HS104)</x:f>
        <x:v>0</x:v>
      </x:c>
      <x:c r="F104" s="126" t="inlineStr">
        <x:is>
          <x:t xml:space="preserve"/>
        </x:is>
      </x:c>
      <x:c r="G104" s="302" t="n"/>
      <x:c r="H104" s="302" t="n"/>
      <x:c r="I104" s="302" t="n"/>
      <x:c r="J104" s="302" t="n"/>
      <x:c r="K104" s="302" t="n"/>
      <x:c r="L104" s="302" t="n"/>
      <x:c r="M104" s="302" t="n"/>
      <x:c r="N104" s="302" t="n"/>
      <x:c r="O104" s="302" t="n"/>
      <x:c r="P104" s="100" t="n"/>
      <x:c r="Q104" s="302" t="n"/>
      <x:c r="R104" s="302" t="n"/>
      <x:c r="S104" s="302" t="n"/>
      <x:c r="T104" s="302" t="n"/>
      <x:c r="U104" s="302" t="n"/>
      <x:c r="V104" s="302" t="n"/>
      <x:c r="W104" s="302" t="n"/>
      <x:c r="X104" s="302" t="n"/>
      <x:c r="Y104" s="100" t="n"/>
      <x:c r="Z104" s="100" t="n"/>
      <x:c r="AA104" s="100" t="n"/>
      <x:c r="AB104" s="100" t="n"/>
      <x:c r="AC104" s="100" t="n"/>
      <x:c r="AD104" s="100" t="n"/>
      <x:c r="AE104" s="100" t="n"/>
      <x:c r="AF104" s="302" t="n"/>
      <x:c r="AG104" s="100" t="n"/>
      <x:c r="AH104" s="302" t="n"/>
      <x:c r="AI104" s="100" t="n"/>
      <x:c r="AJ104" s="302" t="n"/>
      <x:c r="AK104" s="302" t="n"/>
      <x:c r="AL104" s="302" t="n"/>
      <x:c r="AM104" s="302" t="n"/>
      <x:c r="AN104" s="302" t="n"/>
      <x:c r="AO104" s="302" t="n"/>
      <x:c r="AP104" s="302" t="n"/>
      <x:c r="AQ104" s="302" t="n"/>
      <x:c r="AR104" s="302" t="n"/>
      <x:c r="AS104" s="302" t="n"/>
      <x:c r="AT104" s="302" t="n"/>
      <x:c r="AU104" s="302" t="n"/>
      <x:c r="AV104" s="302" t="n"/>
      <x:c r="AW104" s="302" t="n"/>
      <x:c r="AX104" s="302" t="n"/>
      <x:c r="AY104" s="302" t="n"/>
      <x:c r="AZ104" s="302" t="n"/>
      <x:c r="BA104" s="302" t="n"/>
      <x:c r="BB104" s="302" t="n"/>
      <x:c r="BC104" s="302" t="n"/>
      <x:c r="BD104" s="302" t="n"/>
      <x:c r="BE104" s="302" t="n"/>
      <x:c r="BF104" s="302" t="n"/>
      <x:c r="BG104" s="302" t="n"/>
      <x:c r="BH104" s="302" t="n"/>
      <x:c r="BI104" s="302" t="n"/>
      <x:c r="BJ104" s="302" t="n"/>
      <x:c r="BK104" s="302" t="n"/>
      <x:c r="BL104" s="302" t="n"/>
      <x:c r="BM104" s="302" t="n"/>
      <x:c r="BN104" s="302" t="n"/>
      <x:c r="BO104" s="302" t="n"/>
      <x:c r="BP104" s="302" t="n"/>
      <x:c r="BQ104" s="302" t="n"/>
      <x:c r="BR104" s="302" t="n"/>
      <x:c r="BS104" s="302" t="n"/>
      <x:c r="BT104" s="302" t="n"/>
      <x:c r="BU104" s="302" t="n"/>
      <x:c r="BV104" s="302" t="n"/>
      <x:c r="BW104" s="302" t="n"/>
      <x:c r="BX104" s="302" t="n"/>
      <x:c r="BY104" s="302" t="n"/>
      <x:c r="BZ104" s="302" t="n"/>
      <x:c r="CA104" s="302" t="n"/>
      <x:c r="CB104" s="302" t="n"/>
      <x:c r="CC104" s="302" t="n"/>
      <x:c r="CD104" s="302" t="n"/>
      <x:c r="CE104" s="302" t="n"/>
      <x:c r="CF104" s="302" t="n"/>
      <x:c r="CG104" s="302" t="n"/>
      <x:c r="CH104" s="302" t="n"/>
      <x:c r="CI104" s="302" t="n"/>
      <x:c r="CJ104" s="302" t="n"/>
      <x:c r="CK104" s="302" t="n"/>
      <x:c r="CL104" s="302" t="n"/>
      <x:c r="CM104" s="302" t="n"/>
      <x:c r="CN104" s="302" t="n"/>
      <x:c r="CO104" s="302" t="n"/>
      <x:c r="CP104" s="302" t="n"/>
      <x:c r="CQ104" s="302" t="n"/>
      <x:c r="CR104" s="302" t="n"/>
      <x:c r="CS104" s="302" t="n"/>
      <x:c r="CT104" s="302" t="n"/>
      <x:c r="CU104" s="302" t="n"/>
      <x:c r="CV104" s="302" t="n"/>
      <x:c r="CW104" s="302" t="n"/>
      <x:c r="CX104" s="302" t="n"/>
      <x:c r="CY104" s="302" t="n"/>
      <x:c r="CZ104" s="302" t="n"/>
      <x:c r="DA104" s="302" t="n"/>
      <x:c r="DB104" s="302" t="n"/>
      <x:c r="DC104" s="302" t="n"/>
      <x:c r="DD104" s="302" t="n"/>
      <x:c r="DE104" s="302" t="n"/>
      <x:c r="DF104" s="302" t="n"/>
      <x:c r="DG104" s="302" t="n"/>
      <x:c r="DH104" s="302" t="n"/>
      <x:c r="DI104" s="302" t="n"/>
      <x:c r="DJ104" s="302" t="n">
        <x:v>-0.02772466666666666</x:v>
      </x:c>
      <x:c r="DK104" s="302" t="n"/>
      <x:c r="DL104" s="302" t="n"/>
      <x:c r="DM104" s="302" t="n"/>
      <x:c r="DN104" s="302" t="n"/>
      <x:c r="DO104" s="302" t="n"/>
      <x:c r="DP104" s="302" t="n"/>
      <x:c r="DQ104" s="302" t="n"/>
      <x:c r="DR104" s="302" t="n"/>
      <x:c r="DS104" s="302" t="n"/>
      <x:c r="DT104" s="302" t="n">
        <x:v>0.02772466666666666</x:v>
      </x:c>
      <x:c r="DU104" s="302" t="n"/>
      <x:c r="DV104" s="302" t="n"/>
      <x:c r="DW104" s="302" t="n"/>
      <x:c r="DX104" s="302" t="n"/>
      <x:c r="DY104" s="302" t="n"/>
      <x:c r="DZ104" s="302" t="n"/>
      <x:c r="EA104" s="302" t="n"/>
      <x:c r="EB104" s="302" t="n"/>
      <x:c r="EC104" s="302" t="n"/>
      <x:c r="ED104" s="302" t="n"/>
      <x:c r="EE104" s="302" t="n"/>
      <x:c r="EF104" s="302" t="n"/>
      <x:c r="EG104" s="302" t="n"/>
      <x:c r="EH104" s="302" t="n"/>
      <x:c r="EI104" s="302" t="n"/>
      <x:c r="EJ104" s="302" t="n"/>
      <x:c r="EK104" s="302" t="n"/>
      <x:c r="EL104" s="302" t="n"/>
      <x:c r="EM104" s="302" t="n"/>
      <x:c r="EN104" s="302" t="n"/>
      <x:c r="EO104" s="302" t="n"/>
      <x:c r="EP104" s="302" t="n"/>
      <x:c r="EQ104" s="302" t="n"/>
      <x:c r="ER104" s="302" t="n"/>
      <x:c r="ES104" s="302" t="n"/>
      <x:c r="ET104" s="302" t="n"/>
      <x:c r="EU104" s="302" t="n"/>
      <x:c r="EV104" s="302" t="n"/>
      <x:c r="EW104" s="302" t="n"/>
      <x:c r="EX104" s="302" t="n"/>
      <x:c r="EY104" s="302" t="n"/>
    </x:row>
    <x:row r="105" s="27" customFormat="1">
      <x:c r="A105" s="38" t="n"/>
      <x:c r="B105" s="37" t="inlineStr">
        <x:is>
          <x:t xml:space="preserve">56 or 57</x:t>
        </x:is>
      </x:c>
      <x:c r="C105" s="36" t="n">
        <x:f>E105*D$5</x:f>
        <x:v>4.435946666666666</x:v>
      </x:c>
      <x:c r="D105" s="20" t="inlineStr">
        <x:is>
          <x:t xml:space="preserve">Anna T. Gibson</x:t>
        </x:is>
      </x:c>
      <x:c r="E105" s="36" t="n">
        <x:f>SUM(G105:HS105)</x:f>
        <x:v>0.02772466666666666</x:v>
      </x:c>
      <x:c r="F105" s="126" t="inlineStr">
        <x:is>
          <x:t xml:space="preserve"/>
        </x:is>
      </x:c>
      <x:c r="G105" s="302" t="n"/>
      <x:c r="H105" s="302" t="n"/>
      <x:c r="I105" s="302" t="n"/>
      <x:c r="J105" s="302" t="n"/>
      <x:c r="K105" s="302" t="n"/>
      <x:c r="L105" s="302" t="n"/>
      <x:c r="M105" s="302" t="n"/>
      <x:c r="N105" s="302" t="n"/>
      <x:c r="O105" s="302" t="n"/>
      <x:c r="P105" s="100" t="n"/>
      <x:c r="Q105" s="302" t="n"/>
      <x:c r="R105" s="302" t="n"/>
      <x:c r="S105" s="302" t="n"/>
      <x:c r="T105" s="302" t="n"/>
      <x:c r="U105" s="302" t="n"/>
      <x:c r="V105" s="302" t="n"/>
      <x:c r="W105" s="302" t="n"/>
      <x:c r="X105" s="302" t="n"/>
      <x:c r="Y105" s="100" t="n"/>
      <x:c r="Z105" s="100" t="n"/>
      <x:c r="AA105" s="100" t="n"/>
      <x:c r="AB105" s="100" t="n"/>
      <x:c r="AC105" s="100" t="n"/>
      <x:c r="AD105" s="100" t="n"/>
      <x:c r="AE105" s="100" t="n"/>
      <x:c r="AF105" s="302" t="n"/>
      <x:c r="AG105" s="100" t="n"/>
      <x:c r="AH105" s="302" t="n"/>
      <x:c r="AI105" s="100" t="n"/>
      <x:c r="AJ105" s="302" t="n"/>
      <x:c r="AK105" s="302" t="n"/>
      <x:c r="AL105" s="302" t="n"/>
      <x:c r="AM105" s="302" t="n"/>
      <x:c r="AN105" s="302" t="n"/>
      <x:c r="AO105" s="302" t="n"/>
      <x:c r="AP105" s="302" t="n"/>
      <x:c r="AQ105" s="302" t="n"/>
      <x:c r="AR105" s="302" t="n"/>
      <x:c r="AS105" s="302" t="n"/>
      <x:c r="AT105" s="302" t="n"/>
      <x:c r="AU105" s="302" t="n"/>
      <x:c r="AV105" s="302" t="n"/>
      <x:c r="AW105" s="302" t="n"/>
      <x:c r="AX105" s="302" t="n"/>
      <x:c r="AY105" s="302" t="n"/>
      <x:c r="AZ105" s="302" t="n"/>
      <x:c r="BA105" s="302" t="n"/>
      <x:c r="BB105" s="302" t="n"/>
      <x:c r="BC105" s="302" t="n"/>
      <x:c r="BD105" s="302" t="n"/>
      <x:c r="BE105" s="302" t="n"/>
      <x:c r="BF105" s="302" t="n"/>
      <x:c r="BG105" s="302" t="n"/>
      <x:c r="BH105" s="302" t="n"/>
      <x:c r="BI105" s="302" t="n"/>
      <x:c r="BJ105" s="302" t="n"/>
      <x:c r="BK105" s="302" t="n"/>
      <x:c r="BL105" s="302" t="n"/>
      <x:c r="BM105" s="302" t="n"/>
      <x:c r="BN105" s="302" t="n"/>
      <x:c r="BO105" s="302" t="n"/>
      <x:c r="BP105" s="302" t="n"/>
      <x:c r="BQ105" s="302" t="n"/>
      <x:c r="BR105" s="302" t="n"/>
      <x:c r="BS105" s="302" t="n"/>
      <x:c r="BT105" s="302" t="n"/>
      <x:c r="BU105" s="302" t="n"/>
      <x:c r="BV105" s="302" t="n"/>
      <x:c r="BW105" s="302" t="n"/>
      <x:c r="BX105" s="302" t="n"/>
      <x:c r="BY105" s="302" t="n"/>
      <x:c r="BZ105" s="302" t="n"/>
      <x:c r="CA105" s="302" t="n"/>
      <x:c r="CB105" s="302" t="n"/>
      <x:c r="CC105" s="302" t="n"/>
      <x:c r="CD105" s="302" t="n"/>
      <x:c r="CE105" s="302" t="n"/>
      <x:c r="CF105" s="302" t="n"/>
      <x:c r="CG105" s="302" t="n"/>
      <x:c r="CH105" s="302" t="n"/>
      <x:c r="CI105" s="302" t="n"/>
      <x:c r="CJ105" s="302" t="n"/>
      <x:c r="CK105" s="302" t="n"/>
      <x:c r="CL105" s="302" t="n"/>
      <x:c r="CM105" s="302" t="n"/>
      <x:c r="CN105" s="302" t="n"/>
      <x:c r="CO105" s="302" t="n"/>
      <x:c r="CP105" s="302" t="n"/>
      <x:c r="CQ105" s="302" t="n"/>
      <x:c r="CR105" s="302" t="n"/>
      <x:c r="CS105" s="302" t="n"/>
      <x:c r="CT105" s="302" t="n"/>
      <x:c r="CU105" s="302" t="n"/>
      <x:c r="CV105" s="302" t="n"/>
      <x:c r="CW105" s="302" t="n"/>
      <x:c r="CX105" s="302" t="n"/>
      <x:c r="CY105" s="302" t="n"/>
      <x:c r="CZ105" s="302" t="n"/>
      <x:c r="DA105" s="302" t="n"/>
      <x:c r="DB105" s="302" t="n"/>
      <x:c r="DC105" s="302" t="n"/>
      <x:c r="DD105" s="302" t="n"/>
      <x:c r="DE105" s="302" t="n"/>
      <x:c r="DF105" s="302" t="n"/>
      <x:c r="DG105" s="302" t="n"/>
      <x:c r="DH105" s="302" t="n"/>
      <x:c r="DI105" s="302" t="n"/>
      <x:c r="DJ105" s="302" t="n"/>
      <x:c r="DK105" s="302" t="n"/>
      <x:c r="DL105" s="302" t="n"/>
      <x:c r="DM105" s="302" t="n"/>
      <x:c r="DN105" s="302" t="n"/>
      <x:c r="DO105" s="302" t="n"/>
      <x:c r="DP105" s="302" t="n"/>
      <x:c r="DQ105" s="302" t="n"/>
      <x:c r="DR105" s="302" t="n"/>
      <x:c r="DS105" s="302" t="n"/>
      <x:c r="DT105" s="302" t="n">
        <x:v>0.02772466666666666</x:v>
      </x:c>
      <x:c r="DU105" s="302" t="n"/>
      <x:c r="DV105" s="302" t="n"/>
      <x:c r="DW105" s="302" t="n"/>
      <x:c r="DX105" s="302" t="n"/>
      <x:c r="DY105" s="302" t="n"/>
      <x:c r="DZ105" s="302" t="n"/>
      <x:c r="EA105" s="302" t="n"/>
      <x:c r="EB105" s="302" t="n"/>
      <x:c r="EC105" s="302" t="n"/>
      <x:c r="ED105" s="302" t="n"/>
      <x:c r="EE105" s="302" t="n"/>
      <x:c r="EF105" s="302" t="n"/>
      <x:c r="EG105" s="302" t="n"/>
      <x:c r="EH105" s="302" t="n"/>
      <x:c r="EI105" s="302" t="n"/>
      <x:c r="EJ105" s="302" t="n"/>
      <x:c r="EK105" s="302" t="n"/>
      <x:c r="EL105" s="302" t="n"/>
      <x:c r="EM105" s="302" t="n"/>
      <x:c r="EN105" s="302" t="n"/>
      <x:c r="EO105" s="302" t="n"/>
      <x:c r="EP105" s="302" t="n"/>
      <x:c r="EQ105" s="302" t="n"/>
      <x:c r="ER105" s="302" t="n"/>
      <x:c r="ES105" s="302" t="n"/>
      <x:c r="ET105" s="302" t="n"/>
      <x:c r="EU105" s="302" t="n"/>
      <x:c r="EV105" s="302" t="n"/>
      <x:c r="EW105" s="302" t="n"/>
      <x:c r="EX105" s="302" t="n"/>
      <x:c r="EY105" s="302" t="n"/>
    </x:row>
    <x:row r="106" s="27" customFormat="1">
      <x:c r="A106" s="38" t="n"/>
      <x:c r="B106" s="37" t="n"/>
      <x:c r="C106" s="36" t="n">
        <x:f>E106*D$5</x:f>
        <x:v>0</x:v>
      </x:c>
      <x:c r="D106" s="375" t="inlineStr">
        <x:is>
          <x:t xml:space="preserve">Lighthouse Point, LLC</x:t>
        </x:is>
      </x:c>
      <x:c r="E106" s="36" t="n">
        <x:f>SUM(G106:HS106)</x:f>
        <x:v>0</x:v>
      </x:c>
      <x:c r="F106" s="126" t="inlineStr">
        <x:is>
          <x:t xml:space="preserve"/>
        </x:is>
      </x:c>
      <x:c r="G106" s="302" t="n"/>
      <x:c r="H106" s="302" t="n"/>
      <x:c r="I106" s="302" t="n"/>
      <x:c r="J106" s="302" t="n"/>
      <x:c r="K106" s="302" t="n"/>
      <x:c r="L106" s="302" t="n"/>
      <x:c r="M106" s="302" t="n"/>
      <x:c r="N106" s="302" t="n"/>
      <x:c r="O106" s="302" t="n"/>
      <x:c r="P106" s="100" t="n"/>
      <x:c r="Q106" s="302" t="n"/>
      <x:c r="R106" s="302" t="n"/>
      <x:c r="S106" s="302" t="n"/>
      <x:c r="T106" s="302" t="n"/>
      <x:c r="U106" s="302" t="n"/>
      <x:c r="V106" s="302" t="n"/>
      <x:c r="W106" s="302" t="n"/>
      <x:c r="X106" s="302" t="n"/>
      <x:c r="Y106" s="100" t="n"/>
      <x:c r="Z106" s="100" t="n"/>
      <x:c r="AA106" s="100" t="n"/>
      <x:c r="AB106" s="100" t="n"/>
      <x:c r="AC106" s="100" t="n"/>
      <x:c r="AD106" s="100" t="n"/>
      <x:c r="AE106" s="100" t="n"/>
      <x:c r="AF106" s="302" t="n"/>
      <x:c r="AG106" s="100" t="n"/>
      <x:c r="AH106" s="302" t="n"/>
      <x:c r="AI106" s="100" t="n"/>
      <x:c r="AJ106" s="302" t="n"/>
      <x:c r="AK106" s="302" t="n"/>
      <x:c r="AL106" s="302" t="n"/>
      <x:c r="AM106" s="302" t="n"/>
      <x:c r="AN106" s="302" t="n"/>
      <x:c r="AO106" s="302" t="n"/>
      <x:c r="AP106" s="302" t="n"/>
      <x:c r="AQ106" s="302" t="n"/>
      <x:c r="AR106" s="302" t="n"/>
      <x:c r="AS106" s="302" t="n"/>
      <x:c r="AT106" s="302" t="n"/>
      <x:c r="AU106" s="302" t="n"/>
      <x:c r="AV106" s="302" t="n"/>
      <x:c r="AW106" s="302" t="n"/>
      <x:c r="AX106" s="302" t="n"/>
      <x:c r="AY106" s="302" t="n"/>
      <x:c r="AZ106" s="302" t="n"/>
      <x:c r="BA106" s="302" t="n"/>
      <x:c r="BB106" s="302" t="n"/>
      <x:c r="BC106" s="302" t="n"/>
      <x:c r="BD106" s="302" t="n"/>
      <x:c r="BE106" s="302" t="n"/>
      <x:c r="BF106" s="302" t="n"/>
      <x:c r="BG106" s="302" t="n"/>
      <x:c r="BH106" s="302" t="n"/>
      <x:c r="BI106" s="302" t="n"/>
      <x:c r="BJ106" s="302" t="n"/>
      <x:c r="BK106" s="302" t="n"/>
      <x:c r="BL106" s="302" t="n"/>
      <x:c r="BM106" s="302" t="n"/>
      <x:c r="BN106" s="302" t="n"/>
      <x:c r="BO106" s="302" t="n"/>
      <x:c r="BP106" s="302" t="n"/>
      <x:c r="BQ106" s="302" t="n"/>
      <x:c r="BR106" s="302" t="n"/>
      <x:c r="BS106" s="302" t="n"/>
      <x:c r="BT106" s="302" t="n"/>
      <x:c r="BU106" s="302" t="n"/>
      <x:c r="BV106" s="302" t="n"/>
      <x:c r="BW106" s="302" t="n"/>
      <x:c r="BX106" s="302" t="n"/>
      <x:c r="BY106" s="302" t="n"/>
      <x:c r="BZ106" s="302" t="n"/>
      <x:c r="CA106" s="302" t="n"/>
      <x:c r="CB106" s="302" t="n"/>
      <x:c r="CC106" s="302" t="n"/>
      <x:c r="CD106" s="302" t="n"/>
      <x:c r="CE106" s="302" t="n"/>
      <x:c r="CF106" s="302" t="n"/>
      <x:c r="CG106" s="302" t="n"/>
      <x:c r="CH106" s="302" t="n"/>
      <x:c r="CI106" s="302" t="n"/>
      <x:c r="CJ106" s="302" t="n"/>
      <x:c r="CK106" s="302" t="n"/>
      <x:c r="CL106" s="302" t="n"/>
      <x:c r="CM106" s="302" t="n"/>
      <x:c r="CN106" s="302" t="n"/>
      <x:c r="CO106" s="302" t="n"/>
      <x:c r="CP106" s="302" t="n"/>
      <x:c r="CQ106" s="302" t="n"/>
      <x:c r="CR106" s="302" t="n"/>
      <x:c r="CS106" s="302" t="n"/>
      <x:c r="CT106" s="302" t="n"/>
      <x:c r="CU106" s="302" t="n"/>
      <x:c r="CV106" s="302" t="n"/>
      <x:c r="CW106" s="302" t="n"/>
      <x:c r="CX106" s="302" t="n"/>
      <x:c r="CY106" s="302" t="n"/>
      <x:c r="CZ106" s="302" t="n"/>
      <x:c r="DA106" s="302" t="n"/>
      <x:c r="DB106" s="302" t="n"/>
      <x:c r="DC106" s="302" t="n"/>
      <x:c r="DD106" s="302" t="n"/>
      <x:c r="DE106" s="302" t="n"/>
      <x:c r="DF106" s="302" t="n"/>
      <x:c r="DG106" s="302" t="n"/>
      <x:c r="DH106" s="302" t="n"/>
      <x:c r="DI106" s="302" t="n"/>
      <x:c r="DJ106" s="302" t="n"/>
      <x:c r="DK106" s="302" t="n"/>
      <x:c r="DL106" s="302" t="n"/>
      <x:c r="DM106" s="302" t="n"/>
      <x:c r="DN106" s="302" t="n"/>
      <x:c r="DO106" s="302" t="n"/>
      <x:c r="DP106" s="302" t="n"/>
      <x:c r="DQ106" s="302" t="n"/>
      <x:c r="DR106" s="302" t="n"/>
      <x:c r="DS106" s="302" t="n"/>
      <x:c r="DT106" s="302" t="n"/>
      <x:c r="DU106" s="302" t="n"/>
      <x:c r="DV106" s="302" t="n"/>
      <x:c r="DW106" s="302" t="n"/>
      <x:c r="DX106" s="302" t="n"/>
      <x:c r="DY106" s="302" t="n"/>
      <x:c r="DZ106" s="302" t="n"/>
      <x:c r="EA106" s="302" t="n"/>
      <x:c r="EB106" s="302" t="n"/>
      <x:c r="EC106" s="302" t="n"/>
      <x:c r="ED106" s="302" t="n"/>
      <x:c r="EE106" s="302" t="n"/>
      <x:c r="EF106" s="302" t="n">
        <x:v>0.01875</x:v>
      </x:c>
      <x:c r="EG106" s="302" t="n"/>
      <x:c r="EH106" s="302" t="n"/>
      <x:c r="EI106" s="302" t="n"/>
      <x:c r="EJ106" s="302" t="n"/>
      <x:c r="EK106" s="302" t="n"/>
      <x:c r="EL106" s="302" t="n"/>
      <x:c r="EM106" s="302" t="n">
        <x:v>-0.01875</x:v>
      </x:c>
      <x:c r="EN106" s="302" t="n"/>
      <x:c r="EO106" s="302" t="n"/>
      <x:c r="EP106" s="302" t="n"/>
      <x:c r="EQ106" s="302" t="n"/>
      <x:c r="ER106" s="302" t="n"/>
      <x:c r="ES106" s="302" t="n"/>
      <x:c r="ET106" s="302" t="n"/>
      <x:c r="EU106" s="302" t="n"/>
      <x:c r="EV106" s="302" t="n"/>
      <x:c r="EW106" s="302" t="n"/>
      <x:c r="EX106" s="302" t="n"/>
      <x:c r="EY106" s="302" t="n"/>
    </x:row>
    <x:row r="107" s="27" customFormat="1">
      <x:c r="A107" s="38" t="n"/>
      <x:c r="B107" s="37" t="n"/>
      <x:c r="C107" s="36" t="n">
        <x:f>E107*D$5</x:f>
        <x:v>0</x:v>
      </x:c>
      <x:c r="D107" s="375" t="inlineStr">
        <x:is>
          <x:t xml:space="preserve">Greystone Energy &amp; Minerals, LLC</x:t>
        </x:is>
      </x:c>
      <x:c r="E107" s="36" t="n">
        <x:f>SUM(G107:HS107)</x:f>
        <x:v>0</x:v>
      </x:c>
      <x:c r="F107" s="126" t="inlineStr">
        <x:is>
          <x:t xml:space="preserve"/>
        </x:is>
      </x:c>
      <x:c r="G107" s="302" t="n"/>
      <x:c r="H107" s="302" t="n"/>
      <x:c r="I107" s="302" t="n"/>
      <x:c r="J107" s="302" t="n"/>
      <x:c r="K107" s="302" t="n"/>
      <x:c r="L107" s="302" t="n"/>
      <x:c r="M107" s="302" t="n"/>
      <x:c r="N107" s="302" t="n"/>
      <x:c r="O107" s="302" t="n"/>
      <x:c r="P107" s="100" t="n"/>
      <x:c r="Q107" s="302" t="n"/>
      <x:c r="R107" s="302" t="n"/>
      <x:c r="S107" s="302" t="n"/>
      <x:c r="T107" s="302" t="n"/>
      <x:c r="U107" s="302" t="n"/>
      <x:c r="V107" s="302" t="n"/>
      <x:c r="W107" s="302" t="n"/>
      <x:c r="X107" s="302" t="n"/>
      <x:c r="Y107" s="100" t="n"/>
      <x:c r="Z107" s="100" t="n"/>
      <x:c r="AA107" s="100" t="n"/>
      <x:c r="AB107" s="100" t="n"/>
      <x:c r="AC107" s="100" t="n"/>
      <x:c r="AD107" s="100" t="n"/>
      <x:c r="AE107" s="100" t="n"/>
      <x:c r="AF107" s="302" t="n"/>
      <x:c r="AG107" s="100" t="n"/>
      <x:c r="AH107" s="302" t="n"/>
      <x:c r="AI107" s="100" t="n"/>
      <x:c r="AJ107" s="302" t="n"/>
      <x:c r="AK107" s="302" t="n"/>
      <x:c r="AL107" s="302" t="n"/>
      <x:c r="AM107" s="302" t="n"/>
      <x:c r="AN107" s="302" t="n"/>
      <x:c r="AO107" s="302" t="n"/>
      <x:c r="AP107" s="302" t="n"/>
      <x:c r="AQ107" s="302" t="n"/>
      <x:c r="AR107" s="302" t="n"/>
      <x:c r="AS107" s="302" t="n"/>
      <x:c r="AT107" s="302" t="n"/>
      <x:c r="AU107" s="302" t="n"/>
      <x:c r="AV107" s="302" t="n"/>
      <x:c r="AW107" s="302" t="n"/>
      <x:c r="AX107" s="302" t="n"/>
      <x:c r="AY107" s="302" t="n"/>
      <x:c r="AZ107" s="302" t="n"/>
      <x:c r="BA107" s="302" t="n"/>
      <x:c r="BB107" s="302" t="n"/>
      <x:c r="BC107" s="302" t="n"/>
      <x:c r="BD107" s="302" t="n"/>
      <x:c r="BE107" s="302" t="n"/>
      <x:c r="BF107" s="302" t="n"/>
      <x:c r="BG107" s="302" t="n"/>
      <x:c r="BH107" s="302" t="n"/>
      <x:c r="BI107" s="302" t="n"/>
      <x:c r="BJ107" s="302" t="n"/>
      <x:c r="BK107" s="302" t="n"/>
      <x:c r="BL107" s="302" t="n"/>
      <x:c r="BM107" s="302" t="n"/>
      <x:c r="BN107" s="302" t="n"/>
      <x:c r="BO107" s="302" t="n"/>
      <x:c r="BP107" s="302" t="n"/>
      <x:c r="BQ107" s="302" t="n"/>
      <x:c r="BR107" s="302" t="n"/>
      <x:c r="BS107" s="302" t="n"/>
      <x:c r="BT107" s="302" t="n"/>
      <x:c r="BU107" s="302" t="n"/>
      <x:c r="BV107" s="302" t="n"/>
      <x:c r="BW107" s="302" t="n"/>
      <x:c r="BX107" s="302" t="n"/>
      <x:c r="BY107" s="302" t="n"/>
      <x:c r="BZ107" s="302" t="n"/>
      <x:c r="CA107" s="302" t="n"/>
      <x:c r="CB107" s="302" t="n"/>
      <x:c r="CC107" s="302" t="n"/>
      <x:c r="CD107" s="302" t="n"/>
      <x:c r="CE107" s="302" t="n"/>
      <x:c r="CF107" s="302" t="n"/>
      <x:c r="CG107" s="302" t="n"/>
      <x:c r="CH107" s="302" t="n"/>
      <x:c r="CI107" s="302" t="n"/>
      <x:c r="CJ107" s="302" t="n"/>
      <x:c r="CK107" s="302" t="n"/>
      <x:c r="CL107" s="302" t="n"/>
      <x:c r="CM107" s="302" t="n"/>
      <x:c r="CN107" s="302" t="n"/>
      <x:c r="CO107" s="302" t="n"/>
      <x:c r="CP107" s="302" t="n"/>
      <x:c r="CQ107" s="302" t="n"/>
      <x:c r="CR107" s="302" t="n"/>
      <x:c r="CS107" s="302" t="n"/>
      <x:c r="CT107" s="302" t="n"/>
      <x:c r="CU107" s="302" t="n"/>
      <x:c r="CV107" s="302" t="n"/>
      <x:c r="CW107" s="302" t="n"/>
      <x:c r="CX107" s="302" t="n"/>
      <x:c r="CY107" s="302" t="n"/>
      <x:c r="CZ107" s="302" t="n"/>
      <x:c r="DA107" s="302" t="n"/>
      <x:c r="DB107" s="302" t="n"/>
      <x:c r="DC107" s="302" t="n"/>
      <x:c r="DD107" s="302" t="n"/>
      <x:c r="DE107" s="302" t="n"/>
      <x:c r="DF107" s="302" t="n"/>
      <x:c r="DG107" s="302" t="n"/>
      <x:c r="DH107" s="302" t="n"/>
      <x:c r="DI107" s="302" t="n"/>
      <x:c r="DJ107" s="302" t="n"/>
      <x:c r="DK107" s="302" t="n"/>
      <x:c r="DL107" s="302" t="n"/>
      <x:c r="DM107" s="302" t="n"/>
      <x:c r="DN107" s="302" t="n"/>
      <x:c r="DO107" s="302" t="n"/>
      <x:c r="DP107" s="302" t="n"/>
      <x:c r="DQ107" s="302" t="n"/>
      <x:c r="DR107" s="302" t="n"/>
      <x:c r="DS107" s="302" t="n"/>
      <x:c r="DT107" s="302" t="n"/>
      <x:c r="DU107" s="302" t="n"/>
      <x:c r="DV107" s="302" t="n"/>
      <x:c r="DW107" s="302" t="n"/>
      <x:c r="DX107" s="302" t="n"/>
      <x:c r="DY107" s="302" t="n"/>
      <x:c r="DZ107" s="302" t="n"/>
      <x:c r="EA107" s="302" t="n"/>
      <x:c r="EB107" s="302" t="n"/>
      <x:c r="EC107" s="302" t="n"/>
      <x:c r="ED107" s="302" t="n"/>
      <x:c r="EE107" s="302" t="n"/>
      <x:c r="EF107" s="302" t="n"/>
      <x:c r="EG107" s="302" t="n"/>
      <x:c r="EH107" s="302" t="n"/>
      <x:c r="EI107" s="302" t="n"/>
      <x:c r="EJ107" s="302" t="n"/>
      <x:c r="EK107" s="302" t="n"/>
      <x:c r="EL107" s="302" t="n"/>
      <x:c r="EM107" s="302" t="n">
        <x:v>0.01875</x:v>
      </x:c>
      <x:c r="EN107" s="302" t="n"/>
      <x:c r="EO107" s="302" t="n"/>
      <x:c r="EP107" s="302" t="n"/>
      <x:c r="EQ107" s="302" t="n"/>
      <x:c r="ER107" s="302" t="n">
        <x:v>-0.01875</x:v>
      </x:c>
      <x:c r="ES107" s="302" t="n"/>
      <x:c r="ET107" s="302" t="n"/>
      <x:c r="EU107" s="302" t="n"/>
      <x:c r="EV107" s="302" t="n"/>
      <x:c r="EW107" s="302" t="n"/>
      <x:c r="EX107" s="302" t="n"/>
      <x:c r="EY107" s="302" t="n"/>
    </x:row>
    <x:row r="108" s="27" customFormat="1" ht="25.5" customHeight="1">
      <x:c r="A108" s="38" t="n"/>
      <x:c r="B108" s="37" t="inlineStr">
        <x:is>
          <x:t xml:space="preserve">HBP (base)</x:t>
        </x:is>
      </x:c>
      <x:c r="C108" s="36" t="n">
        <x:f>E108*D$5</x:f>
        <x:v>1.5</x:v>
      </x:c>
      <x:c r="D108" s="20" t="inlineStr">
        <x:is>
          <x:t xml:space="preserve">Cardinal Land Company, LLC</x:t>
        </x:is>
      </x:c>
      <x:c r="E108" s="36" t="n">
        <x:f>SUM(G108:HS108)</x:f>
        <x:v>0.009375</x:v>
      </x:c>
      <x:c r="F108" s="126" t="inlineStr">
        <x:is>
          <x:t xml:space="preserve"/>
        </x:is>
      </x:c>
      <x:c r="G108" s="302" t="n"/>
      <x:c r="H108" s="302" t="n"/>
      <x:c r="I108" s="302" t="n"/>
      <x:c r="J108" s="302" t="n"/>
      <x:c r="K108" s="302" t="n"/>
      <x:c r="L108" s="302" t="n"/>
      <x:c r="M108" s="302" t="n"/>
      <x:c r="N108" s="302" t="n"/>
      <x:c r="O108" s="302" t="n"/>
      <x:c r="P108" s="100" t="n"/>
      <x:c r="Q108" s="302" t="n"/>
      <x:c r="R108" s="302" t="n"/>
      <x:c r="S108" s="302" t="n"/>
      <x:c r="T108" s="302" t="n"/>
      <x:c r="U108" s="302" t="n"/>
      <x:c r="V108" s="302" t="n"/>
      <x:c r="W108" s="302" t="n"/>
      <x:c r="X108" s="302" t="n"/>
      <x:c r="Y108" s="100" t="n"/>
      <x:c r="Z108" s="100" t="n"/>
      <x:c r="AA108" s="100" t="n"/>
      <x:c r="AB108" s="100" t="n"/>
      <x:c r="AC108" s="100" t="n"/>
      <x:c r="AD108" s="100" t="n"/>
      <x:c r="AE108" s="100" t="n"/>
      <x:c r="AF108" s="302" t="n"/>
      <x:c r="AG108" s="100" t="n"/>
      <x:c r="AH108" s="302" t="n"/>
      <x:c r="AI108" s="100" t="n"/>
      <x:c r="AJ108" s="302" t="n"/>
      <x:c r="AK108" s="302" t="n"/>
      <x:c r="AL108" s="302" t="n"/>
      <x:c r="AM108" s="302" t="n"/>
      <x:c r="AN108" s="302" t="n"/>
      <x:c r="AO108" s="302" t="n"/>
      <x:c r="AP108" s="302" t="n"/>
      <x:c r="AQ108" s="302" t="n"/>
      <x:c r="AR108" s="302" t="n"/>
      <x:c r="AS108" s="302" t="n"/>
      <x:c r="AT108" s="302" t="n"/>
      <x:c r="AU108" s="302" t="n"/>
      <x:c r="AV108" s="302" t="n"/>
      <x:c r="AW108" s="302" t="n"/>
      <x:c r="AX108" s="302" t="n"/>
      <x:c r="AY108" s="302" t="n"/>
      <x:c r="AZ108" s="302" t="n"/>
      <x:c r="BA108" s="302" t="n"/>
      <x:c r="BB108" s="302" t="n"/>
      <x:c r="BC108" s="302" t="n"/>
      <x:c r="BD108" s="302" t="n"/>
      <x:c r="BE108" s="302" t="n"/>
      <x:c r="BF108" s="302" t="n"/>
      <x:c r="BG108" s="302" t="n"/>
      <x:c r="BH108" s="302" t="n"/>
      <x:c r="BI108" s="302" t="n"/>
      <x:c r="BJ108" s="302" t="n"/>
      <x:c r="BK108" s="302" t="n"/>
      <x:c r="BL108" s="302" t="n"/>
      <x:c r="BM108" s="302" t="n"/>
      <x:c r="BN108" s="302" t="n"/>
      <x:c r="BO108" s="302" t="n"/>
      <x:c r="BP108" s="302" t="n"/>
      <x:c r="BQ108" s="302" t="n"/>
      <x:c r="BR108" s="302" t="n"/>
      <x:c r="BS108" s="302" t="n"/>
      <x:c r="BT108" s="302" t="n"/>
      <x:c r="BU108" s="302" t="n"/>
      <x:c r="BV108" s="302" t="n"/>
      <x:c r="BW108" s="302" t="n"/>
      <x:c r="BX108" s="302" t="n"/>
      <x:c r="BY108" s="302" t="n"/>
      <x:c r="BZ108" s="302" t="n"/>
      <x:c r="CA108" s="302" t="n"/>
      <x:c r="CB108" s="302" t="n"/>
      <x:c r="CC108" s="302" t="n"/>
      <x:c r="CD108" s="302" t="n"/>
      <x:c r="CE108" s="302" t="n"/>
      <x:c r="CF108" s="302" t="n"/>
      <x:c r="CG108" s="302" t="n"/>
      <x:c r="CH108" s="302" t="n"/>
      <x:c r="CI108" s="302" t="n"/>
      <x:c r="CJ108" s="302" t="n"/>
      <x:c r="CK108" s="302" t="n"/>
      <x:c r="CL108" s="302" t="n"/>
      <x:c r="CM108" s="302" t="n"/>
      <x:c r="CN108" s="302" t="n"/>
      <x:c r="CO108" s="302" t="n"/>
      <x:c r="CP108" s="302" t="n"/>
      <x:c r="CQ108" s="302" t="n"/>
      <x:c r="CR108" s="302" t="n"/>
      <x:c r="CS108" s="302" t="n"/>
      <x:c r="CT108" s="302" t="n"/>
      <x:c r="CU108" s="302" t="n"/>
      <x:c r="CV108" s="302" t="n"/>
      <x:c r="CW108" s="302" t="n"/>
      <x:c r="CX108" s="302" t="n"/>
      <x:c r="CY108" s="302" t="n"/>
      <x:c r="CZ108" s="302" t="n"/>
      <x:c r="DA108" s="302" t="n"/>
      <x:c r="DB108" s="302" t="n"/>
      <x:c r="DC108" s="302" t="n"/>
      <x:c r="DD108" s="302" t="n"/>
      <x:c r="DE108" s="302" t="n"/>
      <x:c r="DF108" s="302" t="n"/>
      <x:c r="DG108" s="302" t="n"/>
      <x:c r="DH108" s="302" t="n"/>
      <x:c r="DI108" s="302" t="n"/>
      <x:c r="DJ108" s="302" t="n"/>
      <x:c r="DK108" s="302" t="n"/>
      <x:c r="DL108" s="302" t="n"/>
      <x:c r="DM108" s="302" t="n"/>
      <x:c r="DN108" s="302" t="n"/>
      <x:c r="DO108" s="302" t="n"/>
      <x:c r="DP108" s="302" t="n"/>
      <x:c r="DQ108" s="302" t="n"/>
      <x:c r="DR108" s="302" t="n"/>
      <x:c r="DS108" s="302" t="n"/>
      <x:c r="DT108" s="302" t="n"/>
      <x:c r="DU108" s="302" t="n"/>
      <x:c r="DV108" s="302" t="n"/>
      <x:c r="DW108" s="302" t="n"/>
      <x:c r="DX108" s="302" t="n"/>
      <x:c r="DY108" s="302" t="n"/>
      <x:c r="DZ108" s="302" t="n"/>
      <x:c r="EA108" s="302" t="n"/>
      <x:c r="EB108" s="302" t="n"/>
      <x:c r="EC108" s="302" t="n"/>
      <x:c r="ED108" s="302" t="n"/>
      <x:c r="EE108" s="302" t="n"/>
      <x:c r="EF108" s="302" t="n"/>
      <x:c r="EG108" s="302" t="n"/>
      <x:c r="EH108" s="302" t="n"/>
      <x:c r="EI108" s="302" t="n"/>
      <x:c r="EJ108" s="302" t="n"/>
      <x:c r="EK108" s="302" t="n"/>
      <x:c r="EL108" s="302" t="n"/>
      <x:c r="EM108" s="302" t="n"/>
      <x:c r="EN108" s="302" t="n"/>
      <x:c r="EO108" s="302" t="n"/>
      <x:c r="EP108" s="302" t="n"/>
      <x:c r="EQ108" s="302" t="n"/>
      <x:c r="ER108" s="302" t="n">
        <x:v>0.009375</x:v>
      </x:c>
      <x:c r="ES108" s="302" t="n"/>
      <x:c r="ET108" s="302" t="n"/>
      <x:c r="EU108" s="302" t="n"/>
      <x:c r="EV108" s="302" t="n"/>
      <x:c r="EW108" s="302" t="n"/>
      <x:c r="EX108" s="302" t="n"/>
      <x:c r="EY108" s="302" t="n"/>
    </x:row>
    <x:row r="109" s="27" customFormat="1">
      <x:c r="A109" s="38" t="n"/>
      <x:c r="B109" s="37" t="n"/>
      <x:c r="C109" s="36" t="n">
        <x:f>E109*D$5</x:f>
        <x:v>0</x:v>
      </x:c>
      <x:c r="D109" s="375" t="inlineStr">
        <x:is>
          <x:t xml:space="preserve">EDR, LLC</x:t>
        </x:is>
      </x:c>
      <x:c r="E109" s="36" t="n">
        <x:f>SUM(G109:HS109)</x:f>
        <x:v>0</x:v>
      </x:c>
      <x:c r="F109" s="126" t="inlineStr">
        <x:is>
          <x:t xml:space="preserve"/>
        </x:is>
      </x:c>
      <x:c r="G109" s="302" t="n"/>
      <x:c r="H109" s="302" t="n"/>
      <x:c r="I109" s="302" t="n"/>
      <x:c r="J109" s="302" t="n"/>
      <x:c r="K109" s="302" t="n"/>
      <x:c r="L109" s="302" t="n"/>
      <x:c r="M109" s="302" t="n"/>
      <x:c r="N109" s="302" t="n"/>
      <x:c r="O109" s="302" t="n"/>
      <x:c r="P109" s="100" t="n"/>
      <x:c r="Q109" s="302" t="n"/>
      <x:c r="R109" s="302" t="n"/>
      <x:c r="S109" s="302" t="n"/>
      <x:c r="T109" s="302" t="n"/>
      <x:c r="U109" s="302" t="n"/>
      <x:c r="V109" s="302" t="n"/>
      <x:c r="W109" s="302" t="n"/>
      <x:c r="X109" s="302" t="n"/>
      <x:c r="Y109" s="100" t="n"/>
      <x:c r="Z109" s="100" t="n"/>
      <x:c r="AA109" s="100" t="n"/>
      <x:c r="AB109" s="100" t="n"/>
      <x:c r="AC109" s="100" t="n"/>
      <x:c r="AD109" s="100" t="n"/>
      <x:c r="AE109" s="100" t="n"/>
      <x:c r="AF109" s="302" t="n"/>
      <x:c r="AG109" s="100" t="n"/>
      <x:c r="AH109" s="302" t="n"/>
      <x:c r="AI109" s="100" t="n"/>
      <x:c r="AJ109" s="302" t="n"/>
      <x:c r="AK109" s="302" t="n"/>
      <x:c r="AL109" s="302" t="n"/>
      <x:c r="AM109" s="302" t="n"/>
      <x:c r="AN109" s="302" t="n"/>
      <x:c r="AO109" s="302" t="n"/>
      <x:c r="AP109" s="302" t="n"/>
      <x:c r="AQ109" s="302" t="n"/>
      <x:c r="AR109" s="302" t="n"/>
      <x:c r="AS109" s="302" t="n"/>
      <x:c r="AT109" s="302" t="n"/>
      <x:c r="AU109" s="302" t="n"/>
      <x:c r="AV109" s="302" t="n"/>
      <x:c r="AW109" s="302" t="n"/>
      <x:c r="AX109" s="302" t="n"/>
      <x:c r="AY109" s="302" t="n"/>
      <x:c r="AZ109" s="302" t="n"/>
      <x:c r="BA109" s="302" t="n"/>
      <x:c r="BB109" s="302" t="n"/>
      <x:c r="BC109" s="302" t="n"/>
      <x:c r="BD109" s="302" t="n"/>
      <x:c r="BE109" s="302" t="n"/>
      <x:c r="BF109" s="302" t="n"/>
      <x:c r="BG109" s="302" t="n"/>
      <x:c r="BH109" s="302" t="n"/>
      <x:c r="BI109" s="302" t="n"/>
      <x:c r="BJ109" s="302" t="n"/>
      <x:c r="BK109" s="302" t="n"/>
      <x:c r="BL109" s="302" t="n"/>
      <x:c r="BM109" s="302" t="n"/>
      <x:c r="BN109" s="302" t="n"/>
      <x:c r="BO109" s="302" t="n"/>
      <x:c r="BP109" s="302" t="n"/>
      <x:c r="BQ109" s="302" t="n"/>
      <x:c r="BR109" s="302" t="n"/>
      <x:c r="BS109" s="302" t="n"/>
      <x:c r="BT109" s="302" t="n"/>
      <x:c r="BU109" s="302" t="n"/>
      <x:c r="BV109" s="302" t="n"/>
      <x:c r="BW109" s="302" t="n"/>
      <x:c r="BX109" s="302" t="n"/>
      <x:c r="BY109" s="302" t="n"/>
      <x:c r="BZ109" s="302" t="n"/>
      <x:c r="CA109" s="302" t="n"/>
      <x:c r="CB109" s="302" t="n"/>
      <x:c r="CC109" s="302" t="n"/>
      <x:c r="CD109" s="302" t="n"/>
      <x:c r="CE109" s="302" t="n"/>
      <x:c r="CF109" s="302" t="n"/>
      <x:c r="CG109" s="302" t="n"/>
      <x:c r="CH109" s="302" t="n"/>
      <x:c r="CI109" s="302" t="n"/>
      <x:c r="CJ109" s="302" t="n"/>
      <x:c r="CK109" s="302" t="n"/>
      <x:c r="CL109" s="302" t="n"/>
      <x:c r="CM109" s="302" t="n"/>
      <x:c r="CN109" s="302" t="n"/>
      <x:c r="CO109" s="302" t="n"/>
      <x:c r="CP109" s="302" t="n"/>
      <x:c r="CQ109" s="302" t="n"/>
      <x:c r="CR109" s="302" t="n"/>
      <x:c r="CS109" s="302" t="n"/>
      <x:c r="CT109" s="302" t="n"/>
      <x:c r="CU109" s="302" t="n"/>
      <x:c r="CV109" s="302" t="n"/>
      <x:c r="CW109" s="302" t="n"/>
      <x:c r="CX109" s="302" t="n"/>
      <x:c r="CY109" s="302" t="n"/>
      <x:c r="CZ109" s="302" t="n"/>
      <x:c r="DA109" s="302" t="n"/>
      <x:c r="DB109" s="302" t="n"/>
      <x:c r="DC109" s="302" t="n"/>
      <x:c r="DD109" s="302" t="n"/>
      <x:c r="DE109" s="302" t="n"/>
      <x:c r="DF109" s="302" t="n"/>
      <x:c r="DG109" s="302" t="n"/>
      <x:c r="DH109" s="302" t="n"/>
      <x:c r="DI109" s="302" t="n"/>
      <x:c r="DJ109" s="302" t="n"/>
      <x:c r="DK109" s="302" t="n"/>
      <x:c r="DL109" s="302" t="n"/>
      <x:c r="DM109" s="302" t="n"/>
      <x:c r="DN109" s="302" t="n"/>
      <x:c r="DO109" s="302" t="n"/>
      <x:c r="DP109" s="302" t="n"/>
      <x:c r="DQ109" s="302" t="n"/>
      <x:c r="DR109" s="302" t="n"/>
      <x:c r="DS109" s="302" t="n"/>
      <x:c r="DT109" s="302" t="n"/>
      <x:c r="DU109" s="302" t="n"/>
      <x:c r="DV109" s="302" t="n"/>
      <x:c r="DW109" s="302" t="n"/>
      <x:c r="DX109" s="302" t="n"/>
      <x:c r="DY109" s="302" t="n"/>
      <x:c r="DZ109" s="302" t="n"/>
      <x:c r="EA109" s="302" t="n"/>
      <x:c r="EB109" s="302" t="n"/>
      <x:c r="EC109" s="302" t="n"/>
      <x:c r="ED109" s="302" t="n"/>
      <x:c r="EE109" s="302" t="n"/>
      <x:c r="EF109" s="302" t="n"/>
      <x:c r="EG109" s="302" t="n"/>
      <x:c r="EH109" s="302" t="n"/>
      <x:c r="EI109" s="302" t="n"/>
      <x:c r="EJ109" s="302" t="n"/>
      <x:c r="EK109" s="302" t="n"/>
      <x:c r="EL109" s="302" t="n"/>
      <x:c r="EM109" s="302" t="n"/>
      <x:c r="EN109" s="302" t="n"/>
      <x:c r="EO109" s="302" t="n"/>
      <x:c r="EP109" s="302" t="n"/>
      <x:c r="EQ109" s="302" t="n"/>
      <x:c r="ER109" s="302" t="n">
        <x:v>0.009375</x:v>
      </x:c>
      <x:c r="ES109" s="302" t="n"/>
      <x:c r="ET109" s="302" t="n"/>
      <x:c r="EU109" s="302" t="n">
        <x:v>-0.0046875</x:v>
      </x:c>
      <x:c r="EV109" s="302" t="n">
        <x:v>-0.0046875</x:v>
      </x:c>
      <x:c r="EW109" s="302" t="n"/>
      <x:c r="EX109" s="302" t="n"/>
      <x:c r="EY109" s="302" t="n"/>
    </x:row>
    <x:row r="110" s="27" customFormat="1" ht="25.5" customHeight="1">
      <x:c r="A110" s="38" t="n"/>
      <x:c r="B110" s="37" t="inlineStr">
        <x:is>
          <x:t xml:space="preserve">HBP (base)</x:t>
        </x:is>
      </x:c>
      <x:c r="C110" s="36" t="n">
        <x:f>E110*D$5</x:f>
        <x:v>0.75</x:v>
      </x:c>
      <x:c r="D110" s="20" t="inlineStr">
        <x:is>
          <x:t xml:space="preserve">Okki Industries, LLC</x:t>
        </x:is>
      </x:c>
      <x:c r="E110" s="36" t="n">
        <x:f>SUM(G110:HS110)</x:f>
        <x:v>0.0046875</x:v>
      </x:c>
      <x:c r="F110" s="126" t="inlineStr">
        <x:is>
          <x:t xml:space="preserve"/>
        </x:is>
      </x:c>
      <x:c r="G110" s="302" t="n"/>
      <x:c r="H110" s="302" t="n"/>
      <x:c r="I110" s="302" t="n"/>
      <x:c r="J110" s="302" t="n"/>
      <x:c r="K110" s="302" t="n"/>
      <x:c r="L110" s="302" t="n"/>
      <x:c r="M110" s="302" t="n"/>
      <x:c r="N110" s="302" t="n"/>
      <x:c r="O110" s="302" t="n"/>
      <x:c r="P110" s="100" t="n"/>
      <x:c r="Q110" s="302" t="n"/>
      <x:c r="R110" s="302" t="n"/>
      <x:c r="S110" s="302" t="n"/>
      <x:c r="T110" s="302" t="n"/>
      <x:c r="U110" s="302" t="n"/>
      <x:c r="V110" s="302" t="n"/>
      <x:c r="W110" s="302" t="n"/>
      <x:c r="X110" s="302" t="n"/>
      <x:c r="Y110" s="100" t="n"/>
      <x:c r="Z110" s="100" t="n"/>
      <x:c r="AA110" s="100" t="n"/>
      <x:c r="AB110" s="100" t="n"/>
      <x:c r="AC110" s="100" t="n"/>
      <x:c r="AD110" s="100" t="n"/>
      <x:c r="AE110" s="100" t="n"/>
      <x:c r="AF110" s="302" t="n"/>
      <x:c r="AG110" s="100" t="n"/>
      <x:c r="AH110" s="302" t="n"/>
      <x:c r="AI110" s="100" t="n"/>
      <x:c r="AJ110" s="302" t="n"/>
      <x:c r="AK110" s="302" t="n"/>
      <x:c r="AL110" s="302" t="n"/>
      <x:c r="AM110" s="302" t="n"/>
      <x:c r="AN110" s="302" t="n"/>
      <x:c r="AO110" s="302" t="n"/>
      <x:c r="AP110" s="302" t="n"/>
      <x:c r="AQ110" s="302" t="n"/>
      <x:c r="AR110" s="302" t="n"/>
      <x:c r="AS110" s="302" t="n"/>
      <x:c r="AT110" s="302" t="n"/>
      <x:c r="AU110" s="302" t="n"/>
      <x:c r="AV110" s="302" t="n"/>
      <x:c r="AW110" s="302" t="n"/>
      <x:c r="AX110" s="302" t="n"/>
      <x:c r="AY110" s="302" t="n"/>
      <x:c r="AZ110" s="302" t="n"/>
      <x:c r="BA110" s="302" t="n"/>
      <x:c r="BB110" s="302" t="n"/>
      <x:c r="BC110" s="302" t="n"/>
      <x:c r="BD110" s="302" t="n"/>
      <x:c r="BE110" s="302" t="n"/>
      <x:c r="BF110" s="302" t="n"/>
      <x:c r="BG110" s="302" t="n"/>
      <x:c r="BH110" s="302" t="n"/>
      <x:c r="BI110" s="302" t="n"/>
      <x:c r="BJ110" s="302" t="n"/>
      <x:c r="BK110" s="302" t="n"/>
      <x:c r="BL110" s="302" t="n"/>
      <x:c r="BM110" s="302" t="n"/>
      <x:c r="BN110" s="302" t="n"/>
      <x:c r="BO110" s="302" t="n"/>
      <x:c r="BP110" s="302" t="n"/>
      <x:c r="BQ110" s="302" t="n"/>
      <x:c r="BR110" s="302" t="n"/>
      <x:c r="BS110" s="302" t="n"/>
      <x:c r="BT110" s="302" t="n"/>
      <x:c r="BU110" s="302" t="n"/>
      <x:c r="BV110" s="302" t="n"/>
      <x:c r="BW110" s="302" t="n"/>
      <x:c r="BX110" s="302" t="n"/>
      <x:c r="BY110" s="302" t="n"/>
      <x:c r="BZ110" s="302" t="n"/>
      <x:c r="CA110" s="302" t="n"/>
      <x:c r="CB110" s="302" t="n"/>
      <x:c r="CC110" s="302" t="n"/>
      <x:c r="CD110" s="302" t="n"/>
      <x:c r="CE110" s="302" t="n"/>
      <x:c r="CF110" s="302" t="n"/>
      <x:c r="CG110" s="302" t="n"/>
      <x:c r="CH110" s="302" t="n"/>
      <x:c r="CI110" s="302" t="n"/>
      <x:c r="CJ110" s="302" t="n"/>
      <x:c r="CK110" s="302" t="n"/>
      <x:c r="CL110" s="302" t="n"/>
      <x:c r="CM110" s="302" t="n"/>
      <x:c r="CN110" s="302" t="n"/>
      <x:c r="CO110" s="302" t="n"/>
      <x:c r="CP110" s="302" t="n"/>
      <x:c r="CQ110" s="302" t="n"/>
      <x:c r="CR110" s="302" t="n"/>
      <x:c r="CS110" s="302" t="n"/>
      <x:c r="CT110" s="302" t="n"/>
      <x:c r="CU110" s="302" t="n"/>
      <x:c r="CV110" s="302" t="n"/>
      <x:c r="CW110" s="302" t="n"/>
      <x:c r="CX110" s="302" t="n"/>
      <x:c r="CY110" s="302" t="n"/>
      <x:c r="CZ110" s="302" t="n"/>
      <x:c r="DA110" s="302" t="n"/>
      <x:c r="DB110" s="302" t="n"/>
      <x:c r="DC110" s="302" t="n"/>
      <x:c r="DD110" s="302" t="n"/>
      <x:c r="DE110" s="302" t="n"/>
      <x:c r="DF110" s="302" t="n"/>
      <x:c r="DG110" s="302" t="n"/>
      <x:c r="DH110" s="302" t="n"/>
      <x:c r="DI110" s="302" t="n"/>
      <x:c r="DJ110" s="302" t="n"/>
      <x:c r="DK110" s="302" t="n"/>
      <x:c r="DL110" s="302" t="n"/>
      <x:c r="DM110" s="302" t="n"/>
      <x:c r="DN110" s="302" t="n"/>
      <x:c r="DO110" s="302" t="n"/>
      <x:c r="DP110" s="302" t="n"/>
      <x:c r="DQ110" s="302" t="n"/>
      <x:c r="DR110" s="302" t="n"/>
      <x:c r="DS110" s="302" t="n"/>
      <x:c r="DT110" s="302" t="n"/>
      <x:c r="DU110" s="302" t="n"/>
      <x:c r="DV110" s="302" t="n"/>
      <x:c r="DW110" s="302" t="n"/>
      <x:c r="DX110" s="302" t="n"/>
      <x:c r="DY110" s="302" t="n"/>
      <x:c r="DZ110" s="302" t="n"/>
      <x:c r="EA110" s="302" t="n"/>
      <x:c r="EB110" s="302" t="n"/>
      <x:c r="EC110" s="302" t="n"/>
      <x:c r="ED110" s="302" t="n"/>
      <x:c r="EE110" s="302" t="n"/>
      <x:c r="EF110" s="302" t="n"/>
      <x:c r="EG110" s="302" t="n"/>
      <x:c r="EH110" s="302" t="n"/>
      <x:c r="EI110" s="302" t="n"/>
      <x:c r="EJ110" s="302" t="n"/>
      <x:c r="EK110" s="302" t="n"/>
      <x:c r="EL110" s="302" t="n"/>
      <x:c r="EM110" s="302" t="n"/>
      <x:c r="EN110" s="302" t="n"/>
      <x:c r="EO110" s="302" t="n"/>
      <x:c r="EP110" s="302" t="n"/>
      <x:c r="EQ110" s="302" t="n"/>
      <x:c r="ER110" s="302" t="n"/>
      <x:c r="ES110" s="302" t="n"/>
      <x:c r="ET110" s="302" t="n"/>
      <x:c r="EU110" s="302" t="n">
        <x:v>0.0046875</x:v>
      </x:c>
      <x:c r="EV110" s="302" t="n"/>
      <x:c r="EW110" s="302" t="n"/>
      <x:c r="EX110" s="302" t="n"/>
      <x:c r="EY110" s="302" t="n"/>
    </x:row>
    <x:row r="111" s="27" customFormat="1" ht="25.5" customHeight="1">
      <x:c r="A111" s="38" t="n"/>
      <x:c r="B111" s="37" t="inlineStr">
        <x:is>
          <x:t xml:space="preserve">HBP (base)</x:t>
        </x:is>
      </x:c>
      <x:c r="C111" s="36" t="n">
        <x:f>E111*D$5</x:f>
        <x:v>0.75</x:v>
      </x:c>
      <x:c r="D111" s="20" t="inlineStr">
        <x:is>
          <x:t xml:space="preserve">Del Monte Royalty Partners, LLC</x:t>
        </x:is>
      </x:c>
      <x:c r="E111" s="36" t="n">
        <x:f>SUM(G111:HS111)</x:f>
        <x:v>0.0046875</x:v>
      </x:c>
      <x:c r="F111" s="126" t="inlineStr">
        <x:is>
          <x:t xml:space="preserve"/>
        </x:is>
      </x:c>
      <x:c r="G111" s="302" t="n"/>
      <x:c r="H111" s="302" t="n"/>
      <x:c r="I111" s="302" t="n"/>
      <x:c r="J111" s="302" t="n"/>
      <x:c r="K111" s="302" t="n"/>
      <x:c r="L111" s="302" t="n"/>
      <x:c r="M111" s="302" t="n"/>
      <x:c r="N111" s="302" t="n"/>
      <x:c r="O111" s="302" t="n"/>
      <x:c r="P111" s="100" t="n"/>
      <x:c r="Q111" s="302" t="n"/>
      <x:c r="R111" s="302" t="n"/>
      <x:c r="S111" s="302" t="n"/>
      <x:c r="T111" s="302" t="n"/>
      <x:c r="U111" s="302" t="n"/>
      <x:c r="V111" s="302" t="n"/>
      <x:c r="W111" s="302" t="n"/>
      <x:c r="X111" s="302" t="n"/>
      <x:c r="Y111" s="100" t="n"/>
      <x:c r="Z111" s="100" t="n"/>
      <x:c r="AA111" s="100" t="n"/>
      <x:c r="AB111" s="100" t="n"/>
      <x:c r="AC111" s="100" t="n"/>
      <x:c r="AD111" s="100" t="n"/>
      <x:c r="AE111" s="100" t="n"/>
      <x:c r="AF111" s="302" t="n"/>
      <x:c r="AG111" s="100" t="n"/>
      <x:c r="AH111" s="302" t="n"/>
      <x:c r="AI111" s="100" t="n"/>
      <x:c r="AJ111" s="302" t="n"/>
      <x:c r="AK111" s="302" t="n"/>
      <x:c r="AL111" s="302" t="n"/>
      <x:c r="AM111" s="302" t="n"/>
      <x:c r="AN111" s="302" t="n"/>
      <x:c r="AO111" s="302" t="n"/>
      <x:c r="AP111" s="302" t="n"/>
      <x:c r="AQ111" s="302" t="n"/>
      <x:c r="AR111" s="302" t="n"/>
      <x:c r="AS111" s="302" t="n"/>
      <x:c r="AT111" s="302" t="n"/>
      <x:c r="AU111" s="302" t="n"/>
      <x:c r="AV111" s="302" t="n"/>
      <x:c r="AW111" s="302" t="n"/>
      <x:c r="AX111" s="302" t="n"/>
      <x:c r="AY111" s="302" t="n"/>
      <x:c r="AZ111" s="302" t="n"/>
      <x:c r="BA111" s="302" t="n"/>
      <x:c r="BB111" s="302" t="n"/>
      <x:c r="BC111" s="302" t="n"/>
      <x:c r="BD111" s="302" t="n"/>
      <x:c r="BE111" s="302" t="n"/>
      <x:c r="BF111" s="302" t="n"/>
      <x:c r="BG111" s="302" t="n"/>
      <x:c r="BH111" s="302" t="n"/>
      <x:c r="BI111" s="302" t="n"/>
      <x:c r="BJ111" s="302" t="n"/>
      <x:c r="BK111" s="302" t="n"/>
      <x:c r="BL111" s="302" t="n"/>
      <x:c r="BM111" s="302" t="n"/>
      <x:c r="BN111" s="302" t="n"/>
      <x:c r="BO111" s="302" t="n"/>
      <x:c r="BP111" s="302" t="n"/>
      <x:c r="BQ111" s="302" t="n"/>
      <x:c r="BR111" s="302" t="n"/>
      <x:c r="BS111" s="302" t="n"/>
      <x:c r="BT111" s="302" t="n"/>
      <x:c r="BU111" s="302" t="n"/>
      <x:c r="BV111" s="302" t="n"/>
      <x:c r="BW111" s="302" t="n"/>
      <x:c r="BX111" s="302" t="n"/>
      <x:c r="BY111" s="302" t="n"/>
      <x:c r="BZ111" s="302" t="n"/>
      <x:c r="CA111" s="302" t="n"/>
      <x:c r="CB111" s="302" t="n"/>
      <x:c r="CC111" s="302" t="n"/>
      <x:c r="CD111" s="302" t="n"/>
      <x:c r="CE111" s="302" t="n"/>
      <x:c r="CF111" s="302" t="n"/>
      <x:c r="CG111" s="302" t="n"/>
      <x:c r="CH111" s="302" t="n"/>
      <x:c r="CI111" s="302" t="n"/>
      <x:c r="CJ111" s="302" t="n"/>
      <x:c r="CK111" s="302" t="n"/>
      <x:c r="CL111" s="302" t="n"/>
      <x:c r="CM111" s="302" t="n"/>
      <x:c r="CN111" s="302" t="n"/>
      <x:c r="CO111" s="302" t="n"/>
      <x:c r="CP111" s="302" t="n"/>
      <x:c r="CQ111" s="302" t="n"/>
      <x:c r="CR111" s="302" t="n"/>
      <x:c r="CS111" s="302" t="n"/>
      <x:c r="CT111" s="302" t="n"/>
      <x:c r="CU111" s="302" t="n"/>
      <x:c r="CV111" s="302" t="n"/>
      <x:c r="CW111" s="302" t="n"/>
      <x:c r="CX111" s="302" t="n"/>
      <x:c r="CY111" s="302" t="n"/>
      <x:c r="CZ111" s="302" t="n"/>
      <x:c r="DA111" s="302" t="n"/>
      <x:c r="DB111" s="302" t="n"/>
      <x:c r="DC111" s="302" t="n"/>
      <x:c r="DD111" s="302" t="n"/>
      <x:c r="DE111" s="302" t="n"/>
      <x:c r="DF111" s="302" t="n"/>
      <x:c r="DG111" s="302" t="n"/>
      <x:c r="DH111" s="302" t="n"/>
      <x:c r="DI111" s="302" t="n"/>
      <x:c r="DJ111" s="302" t="n"/>
      <x:c r="DK111" s="302" t="n"/>
      <x:c r="DL111" s="302" t="n"/>
      <x:c r="DM111" s="302" t="n"/>
      <x:c r="DN111" s="302" t="n"/>
      <x:c r="DO111" s="302" t="n"/>
      <x:c r="DP111" s="302" t="n"/>
      <x:c r="DQ111" s="302" t="n"/>
      <x:c r="DR111" s="302" t="n"/>
      <x:c r="DS111" s="302" t="n"/>
      <x:c r="DT111" s="302" t="n"/>
      <x:c r="DU111" s="302" t="n"/>
      <x:c r="DV111" s="302" t="n"/>
      <x:c r="DW111" s="302" t="n"/>
      <x:c r="DX111" s="302" t="n"/>
      <x:c r="DY111" s="302" t="n"/>
      <x:c r="DZ111" s="302" t="n"/>
      <x:c r="EA111" s="302" t="n"/>
      <x:c r="EB111" s="302" t="n"/>
      <x:c r="EC111" s="302" t="n"/>
      <x:c r="ED111" s="302" t="n"/>
      <x:c r="EE111" s="302" t="n"/>
      <x:c r="EF111" s="302" t="n"/>
      <x:c r="EG111" s="302" t="n"/>
      <x:c r="EH111" s="302" t="n"/>
      <x:c r="EI111" s="302" t="n"/>
      <x:c r="EJ111" s="302" t="n"/>
      <x:c r="EK111" s="302" t="n"/>
      <x:c r="EL111" s="302" t="n"/>
      <x:c r="EM111" s="302" t="n"/>
      <x:c r="EN111" s="302" t="n"/>
      <x:c r="EO111" s="302" t="n"/>
      <x:c r="EP111" s="302" t="n"/>
      <x:c r="EQ111" s="302" t="n"/>
      <x:c r="ER111" s="302" t="n"/>
      <x:c r="ES111" s="302" t="n"/>
      <x:c r="ET111" s="302" t="n"/>
      <x:c r="EU111" s="302" t="n"/>
      <x:c r="EV111" s="302" t="n">
        <x:v>0.0046875</x:v>
      </x:c>
      <x:c r="EW111" s="302" t="n"/>
      <x:c r="EX111" s="302" t="n"/>
      <x:c r="EY111" s="302" t="n"/>
    </x:row>
    <x:row r="112" s="27" customFormat="1">
      <x:c r="A112" s="38" t="n"/>
      <x:c r="B112" s="37" t="n"/>
      <x:c r="C112" s="36" t="n">
        <x:f>E112*D$5</x:f>
        <x:v>0</x:v>
      </x:c>
      <x:c r="D112" s="375" t="inlineStr">
        <x:is>
          <x:t xml:space="preserve">GT Mineral Holdings, LLC</x:t>
        </x:is>
      </x:c>
      <x:c r="E112" s="36" t="n">
        <x:f>SUM(G112:HS112)</x:f>
        <x:v>0</x:v>
      </x:c>
      <x:c r="F112" s="126" t="inlineStr">
        <x:is>
          <x:t xml:space="preserve"/>
        </x:is>
      </x:c>
      <x:c r="G112" s="302" t="n"/>
      <x:c r="H112" s="302" t="n"/>
      <x:c r="I112" s="302" t="n"/>
      <x:c r="J112" s="302" t="n"/>
      <x:c r="K112" s="302" t="n"/>
      <x:c r="L112" s="302" t="n"/>
      <x:c r="M112" s="302" t="n"/>
      <x:c r="N112" s="302" t="n"/>
      <x:c r="O112" s="302" t="n"/>
      <x:c r="P112" s="100" t="n"/>
      <x:c r="Q112" s="302" t="n"/>
      <x:c r="R112" s="302" t="n"/>
      <x:c r="S112" s="302" t="n"/>
      <x:c r="T112" s="302" t="n"/>
      <x:c r="U112" s="302" t="n"/>
      <x:c r="V112" s="302" t="n"/>
      <x:c r="W112" s="302" t="n"/>
      <x:c r="X112" s="302" t="n"/>
      <x:c r="Y112" s="100" t="n"/>
      <x:c r="Z112" s="100" t="n"/>
      <x:c r="AA112" s="100" t="n"/>
      <x:c r="AB112" s="100" t="n"/>
      <x:c r="AC112" s="100" t="n"/>
      <x:c r="AD112" s="100" t="n"/>
      <x:c r="AE112" s="100" t="n"/>
      <x:c r="AF112" s="302" t="n"/>
      <x:c r="AG112" s="100" t="n"/>
      <x:c r="AH112" s="302" t="n"/>
      <x:c r="AI112" s="100" t="n"/>
      <x:c r="AJ112" s="302" t="n"/>
      <x:c r="AK112" s="302" t="n"/>
      <x:c r="AL112" s="302" t="n"/>
      <x:c r="AM112" s="302" t="n"/>
      <x:c r="AN112" s="302" t="n"/>
      <x:c r="AO112" s="302" t="n"/>
      <x:c r="AP112" s="302" t="n"/>
      <x:c r="AQ112" s="302" t="n"/>
      <x:c r="AR112" s="302" t="n"/>
      <x:c r="AS112" s="302" t="n"/>
      <x:c r="AT112" s="302" t="n"/>
      <x:c r="AU112" s="302" t="n"/>
      <x:c r="AV112" s="302" t="n"/>
      <x:c r="AW112" s="302" t="n"/>
      <x:c r="AX112" s="302" t="n"/>
      <x:c r="AY112" s="302" t="n"/>
      <x:c r="AZ112" s="302" t="n"/>
      <x:c r="BA112" s="302" t="n"/>
      <x:c r="BB112" s="302" t="n"/>
      <x:c r="BC112" s="302" t="n"/>
      <x:c r="BD112" s="302" t="n"/>
      <x:c r="BE112" s="302" t="n"/>
      <x:c r="BF112" s="302" t="n"/>
      <x:c r="BG112" s="302" t="n"/>
      <x:c r="BH112" s="302" t="n"/>
      <x:c r="BI112" s="302" t="n"/>
      <x:c r="BJ112" s="302" t="n"/>
      <x:c r="BK112" s="302" t="n"/>
      <x:c r="BL112" s="302" t="n"/>
      <x:c r="BM112" s="302" t="n"/>
      <x:c r="BN112" s="302" t="n"/>
      <x:c r="BO112" s="302" t="n"/>
      <x:c r="BP112" s="302" t="n"/>
      <x:c r="BQ112" s="302" t="n"/>
      <x:c r="BR112" s="302" t="n"/>
      <x:c r="BS112" s="302" t="n"/>
      <x:c r="BT112" s="302" t="n"/>
      <x:c r="BU112" s="302" t="n"/>
      <x:c r="BV112" s="302" t="n"/>
      <x:c r="BW112" s="302" t="n"/>
      <x:c r="BX112" s="302" t="n"/>
      <x:c r="BY112" s="302" t="n"/>
      <x:c r="BZ112" s="302" t="n"/>
      <x:c r="CA112" s="302" t="n"/>
      <x:c r="CB112" s="302" t="n"/>
      <x:c r="CC112" s="302" t="n"/>
      <x:c r="CD112" s="302" t="n"/>
      <x:c r="CE112" s="302" t="n"/>
      <x:c r="CF112" s="302" t="n"/>
      <x:c r="CG112" s="302" t="n"/>
      <x:c r="CH112" s="302" t="n"/>
      <x:c r="CI112" s="302" t="n"/>
      <x:c r="CJ112" s="302" t="n"/>
      <x:c r="CK112" s="302" t="n"/>
      <x:c r="CL112" s="302" t="n"/>
      <x:c r="CM112" s="302" t="n"/>
      <x:c r="CN112" s="302" t="n"/>
      <x:c r="CO112" s="302" t="n"/>
      <x:c r="CP112" s="302" t="n"/>
      <x:c r="CQ112" s="302" t="n"/>
      <x:c r="CR112" s="302" t="n"/>
      <x:c r="CS112" s="302" t="n"/>
      <x:c r="CT112" s="302" t="n"/>
      <x:c r="CU112" s="302" t="n"/>
      <x:c r="CV112" s="302" t="n"/>
      <x:c r="CW112" s="302" t="n"/>
      <x:c r="CX112" s="302" t="n"/>
      <x:c r="CY112" s="302" t="n"/>
      <x:c r="CZ112" s="302" t="n"/>
      <x:c r="DA112" s="302" t="n"/>
      <x:c r="DB112" s="302" t="n"/>
      <x:c r="DC112" s="302" t="n"/>
      <x:c r="DD112" s="302" t="n"/>
      <x:c r="DE112" s="302" t="n"/>
      <x:c r="DF112" s="302" t="n"/>
      <x:c r="DG112" s="302" t="n"/>
      <x:c r="DH112" s="302" t="n"/>
      <x:c r="DI112" s="302" t="n"/>
      <x:c r="DJ112" s="302" t="n"/>
      <x:c r="DK112" s="302" t="n"/>
      <x:c r="DL112" s="302" t="n"/>
      <x:c r="DM112" s="302" t="n"/>
      <x:c r="DN112" s="302" t="n"/>
      <x:c r="DO112" s="302" t="n"/>
      <x:c r="DP112" s="302" t="n"/>
      <x:c r="DQ112" s="302" t="n"/>
      <x:c r="DR112" s="302" t="n"/>
      <x:c r="DS112" s="302" t="n"/>
      <x:c r="DT112" s="302" t="n"/>
      <x:c r="DU112" s="302" t="n"/>
      <x:c r="DV112" s="302" t="n"/>
      <x:c r="DW112" s="302" t="n"/>
      <x:c r="DX112" s="302" t="n"/>
      <x:c r="DY112" s="302" t="n"/>
      <x:c r="DZ112" s="302" t="n"/>
      <x:c r="EA112" s="302" t="n"/>
      <x:c r="EB112" s="302" t="n"/>
      <x:c r="EC112" s="302" t="n"/>
      <x:c r="ED112" s="302" t="n"/>
      <x:c r="EE112" s="302" t="n"/>
      <x:c r="EF112" s="302" t="n"/>
      <x:c r="EG112" s="302" t="n"/>
      <x:c r="EH112" s="302" t="n"/>
      <x:c r="EI112" s="302" t="n"/>
      <x:c r="EJ112" s="302" t="n"/>
      <x:c r="EK112" s="302" t="n"/>
      <x:c r="EL112" s="302" t="n"/>
      <x:c r="EM112" s="302" t="n"/>
      <x:c r="EN112" s="302" t="n"/>
      <x:c r="EO112" s="302" t="n"/>
      <x:c r="EP112" s="302" t="n"/>
      <x:c r="EQ112" s="302" t="n">
        <x:f>0.0114773246827633</x:f>
        <x:v>0.0114773246827633</x:v>
      </x:c>
      <x:c r="ER112" s="302" t="n"/>
      <x:c r="ES112" s="302" t="n"/>
      <x:c r="ET112" s="302" t="n"/>
      <x:c r="EU112" s="302" t="n"/>
      <x:c r="EV112" s="302" t="n"/>
      <x:c r="EW112" s="302" t="n">
        <x:f>-EQ112</x:f>
        <x:v>-0.0114773246827633</x:v>
      </x:c>
      <x:c r="EX112" s="302" t="n"/>
      <x:c r="EY112" s="302" t="n"/>
    </x:row>
    <x:row r="113" s="27" customFormat="1">
      <x:c r="A113" s="38" t="n"/>
      <x:c r="B113" s="37" t="n"/>
      <x:c r="C113" s="36" t="n">
        <x:f>E113*D$5</x:f>
        <x:v>0</x:v>
      </x:c>
      <x:c r="D113" s="375" t="inlineStr">
        <x:is>
          <x:t xml:space="preserve">Berlain Limited Company</x:t>
        </x:is>
      </x:c>
      <x:c r="E113" s="36" t="n">
        <x:f>SUM(G113:HS113)</x:f>
        <x:v>0</x:v>
      </x:c>
      <x:c r="F113" s="126" t="inlineStr">
        <x:is>
          <x:t xml:space="preserve"/>
        </x:is>
      </x:c>
      <x:c r="G113" s="302" t="n"/>
      <x:c r="H113" s="302" t="n"/>
      <x:c r="I113" s="302" t="n"/>
      <x:c r="J113" s="302" t="n"/>
      <x:c r="K113" s="302" t="n"/>
      <x:c r="L113" s="302" t="n"/>
      <x:c r="M113" s="302" t="n"/>
      <x:c r="N113" s="302" t="n"/>
      <x:c r="O113" s="302" t="n"/>
      <x:c r="P113" s="100" t="n"/>
      <x:c r="Q113" s="302" t="n"/>
      <x:c r="R113" s="302" t="n"/>
      <x:c r="S113" s="302" t="n"/>
      <x:c r="T113" s="302" t="n"/>
      <x:c r="U113" s="302" t="n"/>
      <x:c r="V113" s="302" t="n"/>
      <x:c r="W113" s="302" t="n"/>
      <x:c r="X113" s="302" t="n"/>
      <x:c r="Y113" s="100" t="n"/>
      <x:c r="Z113" s="100" t="n"/>
      <x:c r="AA113" s="100" t="n"/>
      <x:c r="AB113" s="100" t="n"/>
      <x:c r="AC113" s="100" t="n"/>
      <x:c r="AD113" s="100" t="n"/>
      <x:c r="AE113" s="100" t="n"/>
      <x:c r="AF113" s="302" t="n"/>
      <x:c r="AG113" s="100" t="n"/>
      <x:c r="AH113" s="302" t="n"/>
      <x:c r="AI113" s="100" t="n"/>
      <x:c r="AJ113" s="302" t="n"/>
      <x:c r="AK113" s="302" t="n"/>
      <x:c r="AL113" s="302" t="n"/>
      <x:c r="AM113" s="302" t="n"/>
      <x:c r="AN113" s="302" t="n"/>
      <x:c r="AO113" s="302" t="n"/>
      <x:c r="AP113" s="302" t="n"/>
      <x:c r="AQ113" s="302" t="n"/>
      <x:c r="AR113" s="302" t="n"/>
      <x:c r="AS113" s="302" t="n"/>
      <x:c r="AT113" s="302" t="n"/>
      <x:c r="AU113" s="302" t="n"/>
      <x:c r="AV113" s="302" t="n"/>
      <x:c r="AW113" s="302" t="n"/>
      <x:c r="AX113" s="302" t="n"/>
      <x:c r="AY113" s="302" t="n"/>
      <x:c r="AZ113" s="302" t="n"/>
      <x:c r="BA113" s="302" t="n"/>
      <x:c r="BB113" s="302" t="n"/>
      <x:c r="BC113" s="302" t="n"/>
      <x:c r="BD113" s="302" t="n"/>
      <x:c r="BE113" s="302" t="n"/>
      <x:c r="BF113" s="302" t="n"/>
      <x:c r="BG113" s="302" t="n"/>
      <x:c r="BH113" s="302" t="n"/>
      <x:c r="BI113" s="302" t="n"/>
      <x:c r="BJ113" s="302" t="n"/>
      <x:c r="BK113" s="302" t="n"/>
      <x:c r="BL113" s="302" t="n"/>
      <x:c r="BM113" s="302" t="n"/>
      <x:c r="BN113" s="302" t="n"/>
      <x:c r="BO113" s="302" t="n"/>
      <x:c r="BP113" s="302" t="n"/>
      <x:c r="BQ113" s="302" t="n"/>
      <x:c r="BR113" s="302" t="n"/>
      <x:c r="BS113" s="302" t="n"/>
      <x:c r="BT113" s="302" t="n"/>
      <x:c r="BU113" s="302" t="n"/>
      <x:c r="BV113" s="302" t="n"/>
      <x:c r="BW113" s="302" t="n"/>
      <x:c r="BX113" s="302" t="n"/>
      <x:c r="BY113" s="302" t="n"/>
      <x:c r="BZ113" s="302" t="n"/>
      <x:c r="CA113" s="302" t="n"/>
      <x:c r="CB113" s="302" t="n"/>
      <x:c r="CC113" s="302" t="n"/>
      <x:c r="CD113" s="302" t="n"/>
      <x:c r="CE113" s="302" t="n"/>
      <x:c r="CF113" s="302" t="n"/>
      <x:c r="CG113" s="302" t="n"/>
      <x:c r="CH113" s="302" t="n"/>
      <x:c r="CI113" s="302" t="n"/>
      <x:c r="CJ113" s="302" t="n"/>
      <x:c r="CK113" s="302" t="n"/>
      <x:c r="CL113" s="302" t="n"/>
      <x:c r="CM113" s="302" t="n"/>
      <x:c r="CN113" s="302" t="n"/>
      <x:c r="CO113" s="302" t="n"/>
      <x:c r="CP113" s="302" t="n"/>
      <x:c r="CQ113" s="302" t="n"/>
      <x:c r="CR113" s="302" t="n"/>
      <x:c r="CS113" s="302" t="n"/>
      <x:c r="CT113" s="302" t="n"/>
      <x:c r="CU113" s="302" t="n"/>
      <x:c r="CV113" s="302" t="n"/>
      <x:c r="CW113" s="302" t="n"/>
      <x:c r="CX113" s="302" t="n"/>
      <x:c r="CY113" s="302" t="n"/>
      <x:c r="CZ113" s="302" t="n"/>
      <x:c r="DA113" s="302" t="n"/>
      <x:c r="DB113" s="302" t="n"/>
      <x:c r="DC113" s="302" t="n"/>
      <x:c r="DD113" s="302" t="n"/>
      <x:c r="DE113" s="302" t="n"/>
      <x:c r="DF113" s="302" t="n"/>
      <x:c r="DG113" s="302" t="n"/>
      <x:c r="DH113" s="302" t="n"/>
      <x:c r="DI113" s="302" t="n"/>
      <x:c r="DJ113" s="302" t="n"/>
      <x:c r="DK113" s="302" t="n"/>
      <x:c r="DL113" s="302" t="n"/>
      <x:c r="DM113" s="302" t="n"/>
      <x:c r="DN113" s="302" t="n"/>
      <x:c r="DO113" s="302" t="n"/>
      <x:c r="DP113" s="302" t="n"/>
      <x:c r="DQ113" s="302" t="n"/>
      <x:c r="DR113" s="302" t="n"/>
      <x:c r="DS113" s="302" t="n"/>
      <x:c r="DT113" s="302" t="n"/>
      <x:c r="DU113" s="302" t="n"/>
      <x:c r="DV113" s="302" t="n"/>
      <x:c r="DW113" s="302" t="n"/>
      <x:c r="DX113" s="302" t="n"/>
      <x:c r="DY113" s="302" t="n"/>
      <x:c r="DZ113" s="302" t="n"/>
      <x:c r="EA113" s="302" t="n"/>
      <x:c r="EB113" s="302" t="n"/>
      <x:c r="EC113" s="302" t="n"/>
      <x:c r="ED113" s="302" t="n"/>
      <x:c r="EE113" s="302" t="n"/>
      <x:c r="EF113" s="302" t="n"/>
      <x:c r="EG113" s="302" t="n"/>
      <x:c r="EH113" s="302" t="n"/>
      <x:c r="EI113" s="302" t="n"/>
      <x:c r="EJ113" s="302" t="n"/>
      <x:c r="EK113" s="302" t="n"/>
      <x:c r="EL113" s="302" t="n"/>
      <x:c r="EM113" s="302" t="n"/>
      <x:c r="EN113" s="302" t="n"/>
      <x:c r="EO113" s="302" t="n"/>
      <x:c r="EP113" s="302" t="n"/>
      <x:c r="EQ113" s="302" t="n"/>
      <x:c r="ER113" s="302" t="n"/>
      <x:c r="ES113" s="302" t="n"/>
      <x:c r="ET113" s="302" t="n"/>
      <x:c r="EU113" s="302" t="n"/>
      <x:c r="EV113" s="302" t="n"/>
      <x:c r="EW113" s="302" t="n">
        <x:f>EQ112</x:f>
        <x:v>0.0114773246827633</x:v>
      </x:c>
      <x:c r="EX113" s="302" t="n">
        <x:f>-EW113</x:f>
        <x:v>-0.0114773246827633</x:v>
      </x:c>
      <x:c r="EY113" s="302" t="n"/>
    </x:row>
    <x:row r="114" s="27" customFormat="1" ht="25.5" customHeight="1">
      <x:c r="A114" s="38" t="n"/>
      <x:c r="B114" s="37" t="inlineStr">
        <x:is>
          <x:t xml:space="preserve">HBP (base)</x:t>
        </x:is>
      </x:c>
      <x:c r="C114" s="36" t="n">
        <x:f>E114*D$5</x:f>
        <x:v>0.5486732126399876</x:v>
      </x:c>
      <x:c r="D114" s="20" t="inlineStr">
        <x:is>
          <x:t xml:space="preserve">Longreach Energy 2, LLC</x:t>
        </x:is>
      </x:c>
      <x:c r="E114" s="36" t="n">
        <x:f>SUM(G114:HS114)</x:f>
        <x:v>0.0034292075789999227</x:v>
      </x:c>
      <x:c r="F114" s="126" t="inlineStr">
        <x:is>
          <x:t xml:space="preserve"/>
        </x:is>
      </x:c>
      <x:c r="G114" s="302" t="n"/>
      <x:c r="H114" s="302" t="n"/>
      <x:c r="I114" s="302" t="n"/>
      <x:c r="J114" s="302" t="n"/>
      <x:c r="K114" s="302" t="n"/>
      <x:c r="L114" s="302" t="n"/>
      <x:c r="M114" s="302" t="n"/>
      <x:c r="N114" s="302" t="n"/>
      <x:c r="O114" s="302" t="n"/>
      <x:c r="P114" s="100" t="n"/>
      <x:c r="Q114" s="302" t="n"/>
      <x:c r="R114" s="302" t="n"/>
      <x:c r="S114" s="302" t="n"/>
      <x:c r="T114" s="302" t="n"/>
      <x:c r="U114" s="302" t="n"/>
      <x:c r="V114" s="302" t="n"/>
      <x:c r="W114" s="302" t="n"/>
      <x:c r="X114" s="302" t="n"/>
      <x:c r="Y114" s="100" t="n"/>
      <x:c r="Z114" s="100" t="n"/>
      <x:c r="AA114" s="100" t="n"/>
      <x:c r="AB114" s="100" t="n"/>
      <x:c r="AC114" s="100" t="n"/>
      <x:c r="AD114" s="100" t="n"/>
      <x:c r="AE114" s="100" t="n"/>
      <x:c r="AF114" s="302" t="n"/>
      <x:c r="AG114" s="100" t="n"/>
      <x:c r="AH114" s="302" t="n"/>
      <x:c r="AI114" s="100" t="n"/>
      <x:c r="AJ114" s="302" t="n"/>
      <x:c r="AK114" s="302" t="n"/>
      <x:c r="AL114" s="302" t="n"/>
      <x:c r="AM114" s="302" t="n"/>
      <x:c r="AN114" s="302" t="n"/>
      <x:c r="AO114" s="302" t="n"/>
      <x:c r="AP114" s="302" t="n"/>
      <x:c r="AQ114" s="302" t="n"/>
      <x:c r="AR114" s="302" t="n"/>
      <x:c r="AS114" s="302" t="n"/>
      <x:c r="AT114" s="302" t="n"/>
      <x:c r="AU114" s="302" t="n"/>
      <x:c r="AV114" s="302" t="n"/>
      <x:c r="AW114" s="302" t="n"/>
      <x:c r="AX114" s="302" t="n"/>
      <x:c r="AY114" s="302" t="n"/>
      <x:c r="AZ114" s="302" t="n"/>
      <x:c r="BA114" s="302" t="n"/>
      <x:c r="BB114" s="302" t="n"/>
      <x:c r="BC114" s="302" t="n"/>
      <x:c r="BD114" s="302" t="n"/>
      <x:c r="BE114" s="302" t="n"/>
      <x:c r="BF114" s="302" t="n"/>
      <x:c r="BG114" s="302" t="n"/>
      <x:c r="BH114" s="302" t="n"/>
      <x:c r="BI114" s="302" t="n"/>
      <x:c r="BJ114" s="302" t="n"/>
      <x:c r="BK114" s="302" t="n"/>
      <x:c r="BL114" s="302" t="n"/>
      <x:c r="BM114" s="302" t="n"/>
      <x:c r="BN114" s="302" t="n"/>
      <x:c r="BO114" s="302" t="n"/>
      <x:c r="BP114" s="302" t="n"/>
      <x:c r="BQ114" s="302" t="n"/>
      <x:c r="BR114" s="302" t="n"/>
      <x:c r="BS114" s="302" t="n"/>
      <x:c r="BT114" s="302" t="n"/>
      <x:c r="BU114" s="302" t="n"/>
      <x:c r="BV114" s="302" t="n"/>
      <x:c r="BW114" s="302" t="n"/>
      <x:c r="BX114" s="302" t="n"/>
      <x:c r="BY114" s="302" t="n"/>
      <x:c r="BZ114" s="302" t="n"/>
      <x:c r="CA114" s="302" t="n"/>
      <x:c r="CB114" s="302" t="n"/>
      <x:c r="CC114" s="302" t="n"/>
      <x:c r="CD114" s="302" t="n"/>
      <x:c r="CE114" s="302" t="n"/>
      <x:c r="CF114" s="302" t="n"/>
      <x:c r="CG114" s="302" t="n"/>
      <x:c r="CH114" s="302" t="n"/>
      <x:c r="CI114" s="302" t="n"/>
      <x:c r="CJ114" s="302" t="n"/>
      <x:c r="CK114" s="302" t="n"/>
      <x:c r="CL114" s="302" t="n"/>
      <x:c r="CM114" s="302" t="n"/>
      <x:c r="CN114" s="302" t="n"/>
      <x:c r="CO114" s="302" t="n"/>
      <x:c r="CP114" s="302" t="n"/>
      <x:c r="CQ114" s="302" t="n"/>
      <x:c r="CR114" s="302" t="n"/>
      <x:c r="CS114" s="302" t="n"/>
      <x:c r="CT114" s="302" t="n"/>
      <x:c r="CU114" s="302" t="n"/>
      <x:c r="CV114" s="302" t="n"/>
      <x:c r="CW114" s="302" t="n"/>
      <x:c r="CX114" s="302" t="n"/>
      <x:c r="CY114" s="302" t="n"/>
      <x:c r="CZ114" s="302" t="n"/>
      <x:c r="DA114" s="302" t="n"/>
      <x:c r="DB114" s="302" t="n"/>
      <x:c r="DC114" s="302" t="n"/>
      <x:c r="DD114" s="302" t="n"/>
      <x:c r="DE114" s="302" t="n"/>
      <x:c r="DF114" s="302" t="n"/>
      <x:c r="DG114" s="302" t="n"/>
      <x:c r="DH114" s="302" t="n"/>
      <x:c r="DI114" s="302" t="n"/>
      <x:c r="DJ114" s="302" t="n"/>
      <x:c r="DK114" s="302" t="n"/>
      <x:c r="DL114" s="302" t="n"/>
      <x:c r="DM114" s="302" t="n"/>
      <x:c r="DN114" s="302" t="n"/>
      <x:c r="DO114" s="302" t="n"/>
      <x:c r="DP114" s="302" t="n"/>
      <x:c r="DQ114" s="302" t="n"/>
      <x:c r="DR114" s="302" t="n"/>
      <x:c r="DS114" s="302" t="n"/>
      <x:c r="DT114" s="302" t="n"/>
      <x:c r="DU114" s="302" t="n"/>
      <x:c r="DV114" s="302" t="n"/>
      <x:c r="DW114" s="302" t="n"/>
      <x:c r="DX114" s="302" t="n"/>
      <x:c r="DY114" s="302" t="n"/>
      <x:c r="DZ114" s="302" t="n"/>
      <x:c r="EA114" s="302" t="n"/>
      <x:c r="EB114" s="302" t="n"/>
      <x:c r="EC114" s="302" t="n"/>
      <x:c r="ED114" s="302" t="n"/>
      <x:c r="EE114" s="302" t="n"/>
      <x:c r="EF114" s="302" t="n"/>
      <x:c r="EG114" s="302" t="n"/>
      <x:c r="EH114" s="302" t="n"/>
      <x:c r="EI114" s="302" t="n"/>
      <x:c r="EJ114" s="302" t="n"/>
      <x:c r="EK114" s="302" t="n"/>
      <x:c r="EL114" s="302" t="n"/>
      <x:c r="EM114" s="302" t="n"/>
      <x:c r="EN114" s="302" t="n"/>
      <x:c r="EO114" s="302" t="n"/>
      <x:c r="EP114" s="302" t="n"/>
      <x:c r="EQ114" s="302" t="n"/>
      <x:c r="ER114" s="302" t="n"/>
      <x:c r="ES114" s="302" t="n"/>
      <x:c r="ET114" s="302" t="n"/>
      <x:c r="EU114" s="302" t="n"/>
      <x:c r="EV114" s="302" t="n"/>
      <x:c r="EW114" s="302" t="n"/>
      <x:c r="EX114" s="302" t="n">
        <x:f>(-EX113)*(0.00342940935102/0.011478)</x:f>
        <x:v>0.0034292075789999227</x:v>
      </x:c>
      <x:c r="EY114" s="302" t="n"/>
    </x:row>
    <x:row r="115" s="27" customFormat="1" ht="25.5" customHeight="1">
      <x:c r="A115" s="38" t="n"/>
      <x:c r="B115" s="37" t="inlineStr">
        <x:is>
          <x:t xml:space="preserve">HBP (base)</x:t>
        </x:is>
      </x:c>
      <x:c r="C115" s="36" t="n">
        <x:f>E115*D$5</x:f>
        <x:v>1.28769873660214</x:v>
      </x:c>
      <x:c r="D115" s="20" t="inlineStr">
        <x:is>
          <x:t xml:space="preserve">Royfin Natural Gas, LLC</x:t>
        </x:is>
      </x:c>
      <x:c r="E115" s="36" t="n">
        <x:f>SUM(G115:HS115)</x:f>
        <x:v>0.008048117103763375</x:v>
      </x:c>
      <x:c r="F115" s="126" t="inlineStr">
        <x:is>
          <x:t xml:space="preserve"/>
        </x:is>
      </x:c>
      <x:c r="G115" s="302" t="n"/>
      <x:c r="H115" s="302" t="n"/>
      <x:c r="I115" s="302" t="n"/>
      <x:c r="J115" s="302" t="n"/>
      <x:c r="K115" s="302" t="n"/>
      <x:c r="L115" s="302" t="n"/>
      <x:c r="M115" s="302" t="n"/>
      <x:c r="N115" s="302" t="n"/>
      <x:c r="O115" s="302" t="n"/>
      <x:c r="P115" s="100" t="n"/>
      <x:c r="Q115" s="302" t="n"/>
      <x:c r="R115" s="302" t="n"/>
      <x:c r="S115" s="302" t="n"/>
      <x:c r="T115" s="302" t="n"/>
      <x:c r="U115" s="302" t="n"/>
      <x:c r="V115" s="302" t="n"/>
      <x:c r="W115" s="302" t="n"/>
      <x:c r="X115" s="302" t="n"/>
      <x:c r="Y115" s="100" t="n"/>
      <x:c r="Z115" s="100" t="n"/>
      <x:c r="AA115" s="100" t="n"/>
      <x:c r="AB115" s="100" t="n"/>
      <x:c r="AC115" s="100" t="n"/>
      <x:c r="AD115" s="100" t="n"/>
      <x:c r="AE115" s="100" t="n"/>
      <x:c r="AF115" s="302" t="n"/>
      <x:c r="AG115" s="100" t="n"/>
      <x:c r="AH115" s="302" t="n"/>
      <x:c r="AI115" s="100" t="n"/>
      <x:c r="AJ115" s="302" t="n"/>
      <x:c r="AK115" s="302" t="n"/>
      <x:c r="AL115" s="302" t="n"/>
      <x:c r="AM115" s="302" t="n"/>
      <x:c r="AN115" s="302" t="n"/>
      <x:c r="AO115" s="302" t="n"/>
      <x:c r="AP115" s="302" t="n"/>
      <x:c r="AQ115" s="302" t="n"/>
      <x:c r="AR115" s="302" t="n"/>
      <x:c r="AS115" s="302" t="n"/>
      <x:c r="AT115" s="302" t="n"/>
      <x:c r="AU115" s="302" t="n"/>
      <x:c r="AV115" s="302" t="n"/>
      <x:c r="AW115" s="302" t="n"/>
      <x:c r="AX115" s="302" t="n"/>
      <x:c r="AY115" s="302" t="n"/>
      <x:c r="AZ115" s="302" t="n"/>
      <x:c r="BA115" s="302" t="n"/>
      <x:c r="BB115" s="302" t="n"/>
      <x:c r="BC115" s="302" t="n"/>
      <x:c r="BD115" s="302" t="n"/>
      <x:c r="BE115" s="302" t="n"/>
      <x:c r="BF115" s="302" t="n"/>
      <x:c r="BG115" s="302" t="n"/>
      <x:c r="BH115" s="302" t="n"/>
      <x:c r="BI115" s="302" t="n"/>
      <x:c r="BJ115" s="302" t="n"/>
      <x:c r="BK115" s="302" t="n"/>
      <x:c r="BL115" s="302" t="n"/>
      <x:c r="BM115" s="302" t="n"/>
      <x:c r="BN115" s="302" t="n"/>
      <x:c r="BO115" s="302" t="n"/>
      <x:c r="BP115" s="302" t="n"/>
      <x:c r="BQ115" s="302" t="n"/>
      <x:c r="BR115" s="302" t="n"/>
      <x:c r="BS115" s="302" t="n"/>
      <x:c r="BT115" s="302" t="n"/>
      <x:c r="BU115" s="302" t="n"/>
      <x:c r="BV115" s="302" t="n"/>
      <x:c r="BW115" s="302" t="n"/>
      <x:c r="BX115" s="302" t="n"/>
      <x:c r="BY115" s="302" t="n"/>
      <x:c r="BZ115" s="302" t="n"/>
      <x:c r="CA115" s="302" t="n"/>
      <x:c r="CB115" s="302" t="n"/>
      <x:c r="CC115" s="302" t="n"/>
      <x:c r="CD115" s="302" t="n"/>
      <x:c r="CE115" s="302" t="n"/>
      <x:c r="CF115" s="302" t="n"/>
      <x:c r="CG115" s="302" t="n"/>
      <x:c r="CH115" s="302" t="n"/>
      <x:c r="CI115" s="302" t="n"/>
      <x:c r="CJ115" s="302" t="n"/>
      <x:c r="CK115" s="302" t="n"/>
      <x:c r="CL115" s="302" t="n"/>
      <x:c r="CM115" s="302" t="n"/>
      <x:c r="CN115" s="302" t="n"/>
      <x:c r="CO115" s="302" t="n"/>
      <x:c r="CP115" s="302" t="n"/>
      <x:c r="CQ115" s="302" t="n"/>
      <x:c r="CR115" s="302" t="n"/>
      <x:c r="CS115" s="302" t="n"/>
      <x:c r="CT115" s="302" t="n"/>
      <x:c r="CU115" s="302" t="n"/>
      <x:c r="CV115" s="302" t="n"/>
      <x:c r="CW115" s="302" t="n"/>
      <x:c r="CX115" s="302" t="n"/>
      <x:c r="CY115" s="302" t="n"/>
      <x:c r="CZ115" s="302" t="n"/>
      <x:c r="DA115" s="302" t="n"/>
      <x:c r="DB115" s="302" t="n"/>
      <x:c r="DC115" s="302" t="n"/>
      <x:c r="DD115" s="302" t="n"/>
      <x:c r="DE115" s="302" t="n"/>
      <x:c r="DF115" s="302" t="n"/>
      <x:c r="DG115" s="302" t="n"/>
      <x:c r="DH115" s="302" t="n"/>
      <x:c r="DI115" s="302" t="n"/>
      <x:c r="DJ115" s="302" t="n"/>
      <x:c r="DK115" s="302" t="n"/>
      <x:c r="DL115" s="302" t="n"/>
      <x:c r="DM115" s="302" t="n"/>
      <x:c r="DN115" s="302" t="n"/>
      <x:c r="DO115" s="302" t="n"/>
      <x:c r="DP115" s="302" t="n"/>
      <x:c r="DQ115" s="302" t="n"/>
      <x:c r="DR115" s="302" t="n"/>
      <x:c r="DS115" s="302" t="n"/>
      <x:c r="DT115" s="302" t="n"/>
      <x:c r="DU115" s="302" t="n"/>
      <x:c r="DV115" s="302" t="n"/>
      <x:c r="DW115" s="302" t="n"/>
      <x:c r="DX115" s="302" t="n"/>
      <x:c r="DY115" s="302" t="n"/>
      <x:c r="DZ115" s="302" t="n"/>
      <x:c r="EA115" s="302" t="n"/>
      <x:c r="EB115" s="302" t="n"/>
      <x:c r="EC115" s="302" t="n"/>
      <x:c r="ED115" s="302" t="n"/>
      <x:c r="EE115" s="302" t="n"/>
      <x:c r="EF115" s="302" t="n"/>
      <x:c r="EG115" s="302" t="n"/>
      <x:c r="EH115" s="302" t="n"/>
      <x:c r="EI115" s="302" t="n"/>
      <x:c r="EJ115" s="302" t="n"/>
      <x:c r="EK115" s="302" t="n"/>
      <x:c r="EL115" s="302" t="n"/>
      <x:c r="EM115" s="302" t="n"/>
      <x:c r="EN115" s="302" t="n"/>
      <x:c r="EO115" s="302" t="n"/>
      <x:c r="EP115" s="302" t="n"/>
      <x:c r="EQ115" s="302" t="n"/>
      <x:c r="ER115" s="302" t="n"/>
      <x:c r="ES115" s="302" t="n"/>
      <x:c r="ET115" s="302" t="n"/>
      <x:c r="EU115" s="302" t="n"/>
      <x:c r="EV115" s="302" t="n"/>
      <x:c r="EW115" s="302" t="n"/>
      <x:c r="EX115" s="302" t="n">
        <x:f>(-EX113)*(0.00804859064898/0.011478)</x:f>
        <x:v>0.008048117103763375</x:v>
      </x:c>
      <x:c r="EY115" s="302" t="n"/>
    </x:row>
    <x:row r="116" s="27" customFormat="1" ht="25.5" customHeight="1">
      <x:c r="A116" s="38" t="n"/>
      <x:c r="B116" s="37" t="inlineStr">
        <x:is>
          <x:t xml:space="preserve">HBP (base)</x:t>
        </x:is>
      </x:c>
      <x:c r="C116" s="36" t="n">
        <x:f>E116*D$5</x:f>
        <x:v>0.20215548283573598</x:v>
      </x:c>
      <x:c r="D116" s="20" t="inlineStr">
        <x:is>
          <x:t xml:space="preserve">Brian Herman Kortright</x:t>
        </x:is>
      </x:c>
      <x:c r="E116" s="36" t="n">
        <x:f>SUM(G116:HS116)</x:f>
        <x:v>0.00126347176772335</x:v>
      </x:c>
      <x:c r="F116" s="126" t="inlineStr">
        <x:is>
          <x:t xml:space="preserve"/>
        </x:is>
      </x:c>
      <x:c r="G116" s="302" t="n"/>
      <x:c r="H116" s="302" t="n"/>
      <x:c r="I116" s="302" t="n"/>
      <x:c r="J116" s="302" t="n"/>
      <x:c r="K116" s="302" t="n"/>
      <x:c r="L116" s="302" t="n"/>
      <x:c r="M116" s="302" t="n"/>
      <x:c r="N116" s="302" t="n"/>
      <x:c r="O116" s="302" t="n"/>
      <x:c r="P116" s="100" t="n"/>
      <x:c r="Q116" s="302" t="n"/>
      <x:c r="R116" s="302" t="n"/>
      <x:c r="S116" s="302" t="n"/>
      <x:c r="T116" s="302" t="n"/>
      <x:c r="U116" s="302" t="n"/>
      <x:c r="V116" s="302" t="n"/>
      <x:c r="W116" s="302" t="n"/>
      <x:c r="X116" s="302" t="n"/>
      <x:c r="Y116" s="100" t="n"/>
      <x:c r="Z116" s="100" t="n"/>
      <x:c r="AA116" s="100" t="n"/>
      <x:c r="AB116" s="100" t="n"/>
      <x:c r="AC116" s="100" t="n"/>
      <x:c r="AD116" s="100" t="n"/>
      <x:c r="AE116" s="100" t="n"/>
      <x:c r="AF116" s="302" t="n"/>
      <x:c r="AG116" s="100" t="n"/>
      <x:c r="AH116" s="302" t="n"/>
      <x:c r="AI116" s="100" t="n"/>
      <x:c r="AJ116" s="302" t="n"/>
      <x:c r="AK116" s="302" t="n"/>
      <x:c r="AL116" s="302" t="n"/>
      <x:c r="AM116" s="302" t="n"/>
      <x:c r="AN116" s="302" t="n"/>
      <x:c r="AO116" s="302" t="n"/>
      <x:c r="AP116" s="302" t="n"/>
      <x:c r="AQ116" s="302" t="n"/>
      <x:c r="AR116" s="302" t="n"/>
      <x:c r="AS116" s="302" t="n"/>
      <x:c r="AT116" s="302" t="n"/>
      <x:c r="AU116" s="302" t="n"/>
      <x:c r="AV116" s="302" t="n"/>
      <x:c r="AW116" s="302" t="n"/>
      <x:c r="AX116" s="302" t="n"/>
      <x:c r="AY116" s="302" t="n"/>
      <x:c r="AZ116" s="302" t="n"/>
      <x:c r="BA116" s="302" t="n"/>
      <x:c r="BB116" s="302" t="n"/>
      <x:c r="BC116" s="302" t="n"/>
      <x:c r="BD116" s="302" t="n"/>
      <x:c r="BE116" s="302" t="n"/>
      <x:c r="BF116" s="302" t="n"/>
      <x:c r="BG116" s="302" t="n"/>
      <x:c r="BH116" s="302" t="n"/>
      <x:c r="BI116" s="302" t="n"/>
      <x:c r="BJ116" s="302" t="n"/>
      <x:c r="BK116" s="302" t="n"/>
      <x:c r="BL116" s="302" t="n"/>
      <x:c r="BM116" s="302" t="n"/>
      <x:c r="BN116" s="302" t="n"/>
      <x:c r="BO116" s="302" t="n"/>
      <x:c r="BP116" s="302" t="n"/>
      <x:c r="BQ116" s="302" t="n"/>
      <x:c r="BR116" s="302" t="n"/>
      <x:c r="BS116" s="302" t="n"/>
      <x:c r="BT116" s="302" t="n"/>
      <x:c r="BU116" s="302" t="n"/>
      <x:c r="BV116" s="302" t="n"/>
      <x:c r="BW116" s="302" t="n"/>
      <x:c r="BX116" s="302" t="n"/>
      <x:c r="BY116" s="302" t="n"/>
      <x:c r="BZ116" s="302" t="n"/>
      <x:c r="CA116" s="302" t="n"/>
      <x:c r="CB116" s="302" t="n"/>
      <x:c r="CC116" s="302" t="n"/>
      <x:c r="CD116" s="302" t="n"/>
      <x:c r="CE116" s="302" t="n"/>
      <x:c r="CF116" s="302" t="n"/>
      <x:c r="CG116" s="302" t="n"/>
      <x:c r="CH116" s="302" t="n"/>
      <x:c r="CI116" s="302" t="n"/>
      <x:c r="CJ116" s="302" t="n"/>
      <x:c r="CK116" s="302" t="n"/>
      <x:c r="CL116" s="302" t="n"/>
      <x:c r="CM116" s="302" t="n"/>
      <x:c r="CN116" s="302" t="n"/>
      <x:c r="CO116" s="302" t="n"/>
      <x:c r="CP116" s="302" t="n"/>
      <x:c r="CQ116" s="302" t="n"/>
      <x:c r="CR116" s="302" t="n"/>
      <x:c r="CS116" s="302" t="n"/>
      <x:c r="CT116" s="302" t="n"/>
      <x:c r="CU116" s="302" t="n"/>
      <x:c r="CV116" s="302" t="n"/>
      <x:c r="CW116" s="302" t="n"/>
      <x:c r="CX116" s="302" t="n"/>
      <x:c r="CY116" s="302" t="n"/>
      <x:c r="CZ116" s="302" t="n"/>
      <x:c r="DA116" s="302" t="n"/>
      <x:c r="DB116" s="302" t="n"/>
      <x:c r="DC116" s="302" t="n"/>
      <x:c r="DD116" s="302" t="n"/>
      <x:c r="DE116" s="302" t="n"/>
      <x:c r="DF116" s="302" t="n"/>
      <x:c r="DG116" s="302" t="n"/>
      <x:c r="DH116" s="302" t="n"/>
      <x:c r="DI116" s="302" t="n"/>
      <x:c r="DJ116" s="302" t="n"/>
      <x:c r="DK116" s="302" t="n"/>
      <x:c r="DL116" s="302" t="n"/>
      <x:c r="DM116" s="302" t="n"/>
      <x:c r="DN116" s="302" t="n"/>
      <x:c r="DO116" s="302" t="n"/>
      <x:c r="DP116" s="302" t="n"/>
      <x:c r="DQ116" s="302" t="n"/>
      <x:c r="DR116" s="302" t="n"/>
      <x:c r="DS116" s="302" t="n"/>
      <x:c r="DT116" s="302" t="n"/>
      <x:c r="DU116" s="302" t="n"/>
      <x:c r="DV116" s="302" t="n"/>
      <x:c r="DW116" s="302" t="n"/>
      <x:c r="DX116" s="302" t="n"/>
      <x:c r="DY116" s="302" t="n"/>
      <x:c r="DZ116" s="302" t="n"/>
      <x:c r="EA116" s="302" t="n"/>
      <x:c r="EB116" s="302" t="n"/>
      <x:c r="EC116" s="302" t="n"/>
      <x:c r="ED116" s="302" t="n">
        <x:v>0.00126347176772335</x:v>
      </x:c>
      <x:c r="EE116" s="302" t="n"/>
      <x:c r="EF116" s="302" t="n"/>
      <x:c r="EG116" s="302" t="n"/>
      <x:c r="EH116" s="302" t="n"/>
      <x:c r="EI116" s="302" t="n"/>
      <x:c r="EJ116" s="302" t="n"/>
      <x:c r="EK116" s="302" t="n"/>
      <x:c r="EL116" s="302" t="n"/>
      <x:c r="EM116" s="302" t="n"/>
      <x:c r="EN116" s="302" t="n"/>
      <x:c r="EO116" s="302" t="n"/>
      <x:c r="EP116" s="302" t="n"/>
      <x:c r="EQ116" s="302" t="n"/>
      <x:c r="ER116" s="302" t="n"/>
      <x:c r="ES116" s="302" t="n"/>
      <x:c r="ET116" s="302" t="n"/>
      <x:c r="EU116" s="302" t="n"/>
      <x:c r="EV116" s="302" t="n"/>
      <x:c r="EW116" s="302" t="n"/>
      <x:c r="EX116" s="302" t="n"/>
      <x:c r="EY116" s="302" t="n"/>
    </x:row>
    <x:row r="117" s="27" customFormat="1" ht="25.5" customHeight="1">
      <x:c r="A117" s="38" t="n"/>
      <x:c r="B117" s="37" t="inlineStr">
        <x:is>
          <x:t xml:space="preserve">HBP (base)</x:t>
        </x:is>
      </x:c>
      <x:c r="C117" s="36" t="n">
        <x:f>E117*D$5</x:f>
        <x:v>0.40416</x:v>
      </x:c>
      <x:c r="D117" s="20" t="inlineStr">
        <x:is>
          <x:t xml:space="preserve">Eric Jansen</x:t>
        </x:is>
      </x:c>
      <x:c r="E117" s="36" t="n">
        <x:f>SUM(G117:HS117)</x:f>
        <x:v>0.002526</x:v>
      </x:c>
      <x:c r="F117" s="126" t="inlineStr">
        <x:is>
          <x:t xml:space="preserve"/>
        </x:is>
      </x:c>
      <x:c r="G117" s="302" t="n"/>
      <x:c r="H117" s="302" t="n"/>
      <x:c r="I117" s="302" t="n"/>
      <x:c r="J117" s="302" t="n"/>
      <x:c r="K117" s="302" t="n"/>
      <x:c r="L117" s="302" t="n"/>
      <x:c r="M117" s="302" t="n"/>
      <x:c r="N117" s="302" t="n"/>
      <x:c r="O117" s="302" t="n"/>
      <x:c r="P117" s="100" t="n"/>
      <x:c r="Q117" s="302" t="n"/>
      <x:c r="R117" s="302" t="n"/>
      <x:c r="S117" s="302" t="n"/>
      <x:c r="T117" s="302" t="n"/>
      <x:c r="U117" s="302" t="n"/>
      <x:c r="V117" s="302" t="n"/>
      <x:c r="W117" s="302" t="n"/>
      <x:c r="X117" s="302" t="n"/>
      <x:c r="Y117" s="100" t="n"/>
      <x:c r="Z117" s="100" t="n"/>
      <x:c r="AA117" s="100" t="n"/>
      <x:c r="AB117" s="100" t="n"/>
      <x:c r="AC117" s="100" t="n"/>
      <x:c r="AD117" s="100" t="n"/>
      <x:c r="AE117" s="100" t="n"/>
      <x:c r="AF117" s="302" t="n"/>
      <x:c r="AG117" s="100" t="n"/>
      <x:c r="AH117" s="302" t="n"/>
      <x:c r="AI117" s="100" t="n"/>
      <x:c r="AJ117" s="302" t="n"/>
      <x:c r="AK117" s="302" t="n"/>
      <x:c r="AL117" s="302" t="n"/>
      <x:c r="AM117" s="302" t="n"/>
      <x:c r="AN117" s="302" t="n"/>
      <x:c r="AO117" s="302" t="n"/>
      <x:c r="AP117" s="302" t="n"/>
      <x:c r="AQ117" s="302" t="n"/>
      <x:c r="AR117" s="302" t="n"/>
      <x:c r="AS117" s="302" t="n"/>
      <x:c r="AT117" s="302" t="n"/>
      <x:c r="AU117" s="302" t="n"/>
      <x:c r="AV117" s="302" t="n"/>
      <x:c r="AW117" s="302" t="n"/>
      <x:c r="AX117" s="302" t="n"/>
      <x:c r="AY117" s="302" t="n"/>
      <x:c r="AZ117" s="302" t="n"/>
      <x:c r="BA117" s="302" t="n"/>
      <x:c r="BB117" s="302" t="n"/>
      <x:c r="BC117" s="302" t="n"/>
      <x:c r="BD117" s="302" t="n"/>
      <x:c r="BE117" s="302" t="n"/>
      <x:c r="BF117" s="302" t="n"/>
      <x:c r="BG117" s="302" t="n"/>
      <x:c r="BH117" s="302" t="n"/>
      <x:c r="BI117" s="302" t="n"/>
      <x:c r="BJ117" s="302" t="n"/>
      <x:c r="BK117" s="302" t="n"/>
      <x:c r="BL117" s="302" t="n"/>
      <x:c r="BM117" s="302" t="n"/>
      <x:c r="BN117" s="302" t="n"/>
      <x:c r="BO117" s="302" t="n"/>
      <x:c r="BP117" s="302" t="n"/>
      <x:c r="BQ117" s="302" t="n"/>
      <x:c r="BR117" s="302" t="n"/>
      <x:c r="BS117" s="302" t="n"/>
      <x:c r="BT117" s="302" t="n"/>
      <x:c r="BU117" s="302" t="n"/>
      <x:c r="BV117" s="302" t="n"/>
      <x:c r="BW117" s="302" t="n"/>
      <x:c r="BX117" s="302" t="n"/>
      <x:c r="BY117" s="302" t="n"/>
      <x:c r="BZ117" s="302" t="n"/>
      <x:c r="CA117" s="302" t="n"/>
      <x:c r="CB117" s="302" t="n"/>
      <x:c r="CC117" s="302" t="n"/>
      <x:c r="CD117" s="302" t="n"/>
      <x:c r="CE117" s="302" t="n"/>
      <x:c r="CF117" s="302" t="n"/>
      <x:c r="CG117" s="302" t="n"/>
      <x:c r="CH117" s="302" t="n"/>
      <x:c r="CI117" s="302" t="n"/>
      <x:c r="CJ117" s="302" t="n"/>
      <x:c r="CK117" s="302" t="n"/>
      <x:c r="CL117" s="302" t="n"/>
      <x:c r="CM117" s="302" t="n"/>
      <x:c r="CN117" s="302" t="n"/>
      <x:c r="CO117" s="302" t="n"/>
      <x:c r="CP117" s="302" t="n"/>
      <x:c r="CQ117" s="302" t="n"/>
      <x:c r="CR117" s="302" t="n"/>
      <x:c r="CS117" s="302" t="n"/>
      <x:c r="CT117" s="302" t="n"/>
      <x:c r="CU117" s="302" t="n"/>
      <x:c r="CV117" s="302" t="n"/>
      <x:c r="CW117" s="302" t="n"/>
      <x:c r="CX117" s="302" t="n"/>
      <x:c r="CY117" s="302" t="n"/>
      <x:c r="CZ117" s="302" t="n"/>
      <x:c r="DA117" s="302" t="n"/>
      <x:c r="DB117" s="302" t="n"/>
      <x:c r="DC117" s="302" t="n"/>
      <x:c r="DD117" s="302" t="n"/>
      <x:c r="DE117" s="302" t="n"/>
      <x:c r="DF117" s="302" t="n"/>
      <x:c r="DG117" s="302" t="n"/>
      <x:c r="DH117" s="302" t="n"/>
      <x:c r="DI117" s="302" t="n"/>
      <x:c r="DJ117" s="302" t="n"/>
      <x:c r="DK117" s="302" t="n"/>
      <x:c r="DL117" s="302" t="n"/>
      <x:c r="DM117" s="302" t="n"/>
      <x:c r="DN117" s="302" t="n"/>
      <x:c r="DO117" s="302" t="n"/>
      <x:c r="DP117" s="302" t="n"/>
      <x:c r="DQ117" s="302" t="n"/>
      <x:c r="DR117" s="302" t="n"/>
      <x:c r="DS117" s="302" t="n"/>
      <x:c r="DT117" s="302" t="n"/>
      <x:c r="DU117" s="302" t="n"/>
      <x:c r="DV117" s="302" t="n"/>
      <x:c r="DW117" s="302" t="n"/>
      <x:c r="DX117" s="302" t="n"/>
      <x:c r="DY117" s="302" t="n"/>
      <x:c r="DZ117" s="302" t="n"/>
      <x:c r="EA117" s="302" t="n"/>
      <x:c r="EB117" s="302" t="n"/>
      <x:c r="EC117" s="302" t="n"/>
      <x:c r="ED117" s="302" t="n"/>
      <x:c r="EE117" s="302" t="n"/>
      <x:c r="EF117" s="302" t="n"/>
      <x:c r="EG117" s="302" t="n"/>
      <x:c r="EH117" s="302" t="n"/>
      <x:c r="EI117" s="302" t="n"/>
      <x:c r="EJ117" s="302" t="n"/>
      <x:c r="EK117" s="302" t="n"/>
      <x:c r="EL117" s="302" t="n"/>
      <x:c r="EM117" s="302" t="n"/>
      <x:c r="EN117" s="302" t="n"/>
      <x:c r="EO117" s="302" t="n"/>
      <x:c r="EP117" s="302" t="n"/>
      <x:c r="EQ117" s="302" t="n"/>
      <x:c r="ER117" s="302" t="n"/>
      <x:c r="ES117" s="302" t="n">
        <x:v>0.002526</x:v>
      </x:c>
      <x:c r="ET117" s="302" t="n"/>
      <x:c r="EU117" s="302" t="n"/>
      <x:c r="EV117" s="302" t="n"/>
      <x:c r="EW117" s="302" t="n"/>
      <x:c r="EX117" s="302" t="n"/>
      <x:c r="EY117" s="302" t="n"/>
    </x:row>
    <x:row r="118" s="27" customFormat="1">
      <x:c r="A118" s="38" t="n"/>
      <x:c r="B118" s="37" t="n"/>
      <x:c r="C118" s="36" t="n">
        <x:f>E118*D$5</x:f>
        <x:v>2.9310298389915808</x:v>
      </x:c>
      <x:c r="D118" s="20" t="inlineStr">
        <x:is>
          <x:t xml:space="preserve">Darren P. McSweeney</x:t>
        </x:is>
      </x:c>
      <x:c r="E118" s="36" t="n">
        <x:f>SUM(G118:HS118)</x:f>
        <x:v>0.01831893649369738</x:v>
      </x:c>
      <x:c r="F118" s="126" t="inlineStr">
        <x:is>
          <x:t xml:space="preserve"/>
        </x:is>
      </x:c>
      <x:c r="G118" s="302" t="n"/>
      <x:c r="H118" s="302" t="n"/>
      <x:c r="I118" s="302" t="n"/>
      <x:c r="J118" s="302" t="n"/>
      <x:c r="K118" s="302" t="n"/>
      <x:c r="L118" s="302" t="n"/>
      <x:c r="M118" s="302" t="n"/>
      <x:c r="N118" s="302" t="n"/>
      <x:c r="O118" s="302" t="n"/>
      <x:c r="P118" s="100" t="n"/>
      <x:c r="Q118" s="302" t="n"/>
      <x:c r="R118" s="302" t="n"/>
      <x:c r="S118" s="302" t="n"/>
      <x:c r="T118" s="302" t="n"/>
      <x:c r="U118" s="302" t="n"/>
      <x:c r="V118" s="302" t="n"/>
      <x:c r="W118" s="302" t="n"/>
      <x:c r="X118" s="302" t="n"/>
      <x:c r="Y118" s="100" t="n"/>
      <x:c r="Z118" s="100" t="n"/>
      <x:c r="AA118" s="100" t="n"/>
      <x:c r="AB118" s="100" t="n"/>
      <x:c r="AC118" s="100" t="n"/>
      <x:c r="AD118" s="100" t="n"/>
      <x:c r="AE118" s="100" t="n"/>
      <x:c r="AF118" s="302" t="n"/>
      <x:c r="AG118" s="100" t="n"/>
      <x:c r="AH118" s="302" t="n"/>
      <x:c r="AI118" s="100" t="n"/>
      <x:c r="AJ118" s="302" t="n"/>
      <x:c r="AK118" s="302" t="n"/>
      <x:c r="AL118" s="302" t="n"/>
      <x:c r="AM118" s="302" t="n"/>
      <x:c r="AN118" s="302" t="n"/>
      <x:c r="AO118" s="302" t="n"/>
      <x:c r="AP118" s="302" t="n"/>
      <x:c r="AQ118" s="302" t="n"/>
      <x:c r="AR118" s="302" t="n"/>
      <x:c r="AS118" s="302" t="n"/>
      <x:c r="AT118" s="302" t="n"/>
      <x:c r="AU118" s="302" t="n"/>
      <x:c r="AV118" s="302" t="n"/>
      <x:c r="AW118" s="302" t="n"/>
      <x:c r="AX118" s="302" t="n"/>
      <x:c r="AY118" s="302" t="n"/>
      <x:c r="AZ118" s="302" t="n"/>
      <x:c r="BA118" s="302" t="n"/>
      <x:c r="BB118" s="302" t="n"/>
      <x:c r="BC118" s="302" t="n"/>
      <x:c r="BD118" s="302" t="n"/>
      <x:c r="BE118" s="302" t="n"/>
      <x:c r="BF118" s="302" t="n"/>
      <x:c r="BG118" s="302" t="n"/>
      <x:c r="BH118" s="302" t="n"/>
      <x:c r="BI118" s="302" t="n"/>
      <x:c r="BJ118" s="302" t="n"/>
      <x:c r="BK118" s="302" t="n"/>
      <x:c r="BL118" s="302" t="n"/>
      <x:c r="BM118" s="302" t="n"/>
      <x:c r="BN118" s="302" t="n"/>
      <x:c r="BO118" s="302" t="n"/>
      <x:c r="BP118" s="302" t="n"/>
      <x:c r="BQ118" s="302" t="n"/>
      <x:c r="BR118" s="302" t="n"/>
      <x:c r="BS118" s="302" t="n"/>
      <x:c r="BT118" s="302" t="n"/>
      <x:c r="BU118" s="302" t="n"/>
      <x:c r="BV118" s="302" t="n"/>
      <x:c r="BW118" s="302" t="n"/>
      <x:c r="BX118" s="302" t="n"/>
      <x:c r="BY118" s="302" t="n"/>
      <x:c r="BZ118" s="302" t="n"/>
      <x:c r="CA118" s="302" t="n"/>
      <x:c r="CB118" s="302" t="n"/>
      <x:c r="CC118" s="302" t="n"/>
      <x:c r="CD118" s="302" t="n"/>
      <x:c r="CE118" s="302" t="n"/>
      <x:c r="CF118" s="302" t="n"/>
      <x:c r="CG118" s="302" t="n"/>
      <x:c r="CH118" s="302" t="n"/>
      <x:c r="CI118" s="302" t="n"/>
      <x:c r="CJ118" s="302" t="n"/>
      <x:c r="CK118" s="302" t="n"/>
      <x:c r="CL118" s="302" t="n"/>
      <x:c r="CM118" s="302" t="n"/>
      <x:c r="CN118" s="302" t="n"/>
      <x:c r="CO118" s="302" t="n"/>
      <x:c r="CP118" s="302" t="n"/>
      <x:c r="CQ118" s="302" t="n"/>
      <x:c r="CR118" s="302" t="n"/>
      <x:c r="CS118" s="302" t="n"/>
      <x:c r="CT118" s="302" t="n"/>
      <x:c r="CU118" s="302" t="n"/>
      <x:c r="CV118" s="302" t="n"/>
      <x:c r="CW118" s="302" t="n"/>
      <x:c r="CX118" s="302" t="n"/>
      <x:c r="CY118" s="302" t="n"/>
      <x:c r="CZ118" s="302" t="n"/>
      <x:c r="DA118" s="302" t="n"/>
      <x:c r="DB118" s="302" t="n"/>
      <x:c r="DC118" s="302" t="n"/>
      <x:c r="DD118" s="302" t="n"/>
      <x:c r="DE118" s="302" t="n"/>
      <x:c r="DF118" s="302" t="n"/>
      <x:c r="DG118" s="302" t="n"/>
      <x:c r="DH118" s="302" t="n"/>
      <x:c r="DI118" s="302" t="n"/>
      <x:c r="DJ118" s="302" t="n"/>
      <x:c r="DK118" s="302" t="n"/>
      <x:c r="DL118" s="302" t="n"/>
      <x:c r="DM118" s="302" t="n"/>
      <x:c r="DN118" s="302" t="n"/>
      <x:c r="DO118" s="302" t="n"/>
      <x:c r="DP118" s="302" t="n"/>
      <x:c r="DQ118" s="302" t="n"/>
      <x:c r="DR118" s="302" t="n"/>
      <x:c r="DS118" s="302" t="n"/>
      <x:c r="DT118" s="302" t="n"/>
      <x:c r="DU118" s="302" t="n"/>
      <x:c r="DV118" s="302" t="n"/>
      <x:c r="DW118" s="302" t="n"/>
      <x:c r="DX118" s="302" t="n"/>
      <x:c r="DY118" s="302" t="n"/>
      <x:c r="DZ118" s="302" t="n"/>
      <x:c r="EA118" s="302" t="n"/>
      <x:c r="EB118" s="302" t="n"/>
      <x:c r="EC118" s="302" t="n"/>
      <x:c r="ED118" s="302" t="n"/>
      <x:c r="EE118" s="302" t="n"/>
      <x:c r="EF118" s="302" t="n"/>
      <x:c r="EG118" s="302" t="n"/>
      <x:c r="EH118" s="302" t="n"/>
      <x:c r="EI118" s="302" t="n"/>
      <x:c r="EJ118" s="302" t="n"/>
      <x:c r="EK118" s="302" t="n"/>
      <x:c r="EL118" s="302" t="n"/>
      <x:c r="EM118" s="302" t="n"/>
      <x:c r="EN118" s="302" t="n"/>
      <x:c r="EO118" s="302" t="n"/>
      <x:c r="EP118" s="302" t="n"/>
      <x:c r="EQ118" s="302" t="n"/>
      <x:c r="ER118" s="302" t="n"/>
      <x:c r="ES118" s="302" t="n"/>
      <x:c r="ET118" s="302" t="n"/>
      <x:c r="EU118" s="302" t="n"/>
      <x:c r="EV118" s="302" t="n"/>
      <x:c r="EW118" s="302" t="n"/>
      <x:c r="EX118" s="302" t="n"/>
      <x:c r="EY118" s="302" t="n"/>
      <x:c r="EZ118" s="27" t="n">
        <x:f>DH88</x:f>
        <x:v>0.01831893649369738</x:v>
      </x:c>
    </x:row>
    <x:row r="119" s="27" customFormat="1">
      <x:c r="A119" s="38" t="n"/>
      <x:c r="B119" s="37" t="n"/>
      <x:c r="C119" s="36" t="n">
        <x:f>E119*D$5</x:f>
        <x:v>5.410626666666667</x:v>
      </x:c>
      <x:c r="D119" s="20" t="inlineStr">
        <x:is>
          <x:t xml:space="preserve">Michael L. Bain GST Tax-Exempt Trust</x:t>
        </x:is>
      </x:c>
      <x:c r="E119" s="36" t="n">
        <x:f>SUM(G119:HS119)</x:f>
        <x:v>0.03381641666666667</x:v>
      </x:c>
      <x:c r="F119" s="126" t="inlineStr">
        <x:is>
          <x:t xml:space="preserve"/>
        </x:is>
      </x:c>
      <x:c r="G119" s="302" t="n"/>
      <x:c r="H119" s="302" t="n"/>
      <x:c r="I119" s="302" t="n"/>
      <x:c r="J119" s="302" t="n"/>
      <x:c r="K119" s="302" t="n"/>
      <x:c r="L119" s="302" t="n"/>
      <x:c r="M119" s="302" t="n"/>
      <x:c r="N119" s="302" t="n"/>
      <x:c r="O119" s="302" t="n"/>
      <x:c r="P119" s="100" t="n"/>
      <x:c r="Q119" s="302" t="n"/>
      <x:c r="R119" s="302" t="n"/>
      <x:c r="S119" s="302" t="n"/>
      <x:c r="T119" s="302" t="n"/>
      <x:c r="U119" s="302" t="n"/>
      <x:c r="V119" s="302" t="n"/>
      <x:c r="W119" s="302" t="n"/>
      <x:c r="X119" s="302" t="n"/>
      <x:c r="Y119" s="100" t="n"/>
      <x:c r="Z119" s="100" t="n"/>
      <x:c r="AA119" s="100" t="n"/>
      <x:c r="AB119" s="100" t="n"/>
      <x:c r="AC119" s="100" t="n"/>
      <x:c r="AD119" s="100" t="n"/>
      <x:c r="AE119" s="100" t="n"/>
      <x:c r="AF119" s="302" t="n"/>
      <x:c r="AG119" s="100" t="n"/>
      <x:c r="AH119" s="302" t="n"/>
      <x:c r="AI119" s="100" t="n"/>
      <x:c r="AJ119" s="302" t="n"/>
      <x:c r="AK119" s="302" t="n"/>
      <x:c r="AL119" s="302" t="n"/>
      <x:c r="AM119" s="302" t="n"/>
      <x:c r="AN119" s="302" t="n"/>
      <x:c r="AO119" s="302" t="n"/>
      <x:c r="AP119" s="302" t="n"/>
      <x:c r="AQ119" s="302" t="n"/>
      <x:c r="AR119" s="302" t="n"/>
      <x:c r="AS119" s="302" t="n"/>
      <x:c r="AT119" s="302" t="n"/>
      <x:c r="AU119" s="302" t="n"/>
      <x:c r="AV119" s="302" t="n"/>
      <x:c r="AW119" s="302" t="n"/>
      <x:c r="AX119" s="302" t="n"/>
      <x:c r="AY119" s="302" t="n"/>
      <x:c r="AZ119" s="302" t="n"/>
      <x:c r="BA119" s="302" t="n"/>
      <x:c r="BB119" s="302" t="n"/>
      <x:c r="BC119" s="302" t="n"/>
      <x:c r="BD119" s="302" t="n"/>
      <x:c r="BE119" s="302" t="n"/>
      <x:c r="BF119" s="302" t="n"/>
      <x:c r="BG119" s="302" t="n"/>
      <x:c r="BH119" s="302" t="n"/>
      <x:c r="BI119" s="302" t="n"/>
      <x:c r="BJ119" s="302" t="n"/>
      <x:c r="BK119" s="302" t="n"/>
      <x:c r="BL119" s="302" t="n"/>
      <x:c r="BM119" s="302" t="n"/>
      <x:c r="BN119" s="302" t="n"/>
      <x:c r="BO119" s="302" t="n"/>
      <x:c r="BP119" s="302" t="n"/>
      <x:c r="BQ119" s="302" t="n"/>
      <x:c r="BR119" s="302" t="n"/>
      <x:c r="BS119" s="302" t="n"/>
      <x:c r="BT119" s="302" t="n"/>
      <x:c r="BU119" s="302" t="n"/>
      <x:c r="BV119" s="302" t="n"/>
      <x:c r="BW119" s="302" t="n"/>
      <x:c r="BX119" s="302" t="n"/>
      <x:c r="BY119" s="302" t="n"/>
      <x:c r="BZ119" s="302" t="n"/>
      <x:c r="CA119" s="302" t="n"/>
      <x:c r="CB119" s="302" t="n"/>
      <x:c r="CC119" s="302" t="n"/>
      <x:c r="CD119" s="302" t="n"/>
      <x:c r="CE119" s="302" t="n"/>
      <x:c r="CF119" s="302" t="n"/>
      <x:c r="CG119" s="302" t="n"/>
      <x:c r="CH119" s="302" t="n"/>
      <x:c r="CI119" s="302" t="n"/>
      <x:c r="CJ119" s="302" t="n"/>
      <x:c r="CK119" s="302" t="n"/>
      <x:c r="CL119" s="302" t="n"/>
      <x:c r="CM119" s="302" t="n"/>
      <x:c r="CN119" s="302" t="n"/>
      <x:c r="CO119" s="302" t="n"/>
      <x:c r="CP119" s="302" t="n"/>
      <x:c r="CQ119" s="302" t="n"/>
      <x:c r="CR119" s="302" t="n"/>
      <x:c r="CS119" s="302" t="n"/>
      <x:c r="CT119" s="302" t="n"/>
      <x:c r="CU119" s="302" t="n"/>
      <x:c r="CV119" s="302" t="n"/>
      <x:c r="CW119" s="302" t="n"/>
      <x:c r="CX119" s="302" t="n"/>
      <x:c r="CY119" s="302" t="n"/>
      <x:c r="CZ119" s="302" t="n"/>
      <x:c r="DA119" s="302" t="n"/>
      <x:c r="DB119" s="302" t="n"/>
      <x:c r="DC119" s="302" t="n"/>
      <x:c r="DD119" s="302" t="n"/>
      <x:c r="DE119" s="302" t="n"/>
      <x:c r="DF119" s="302" t="n"/>
      <x:c r="DG119" s="302" t="n"/>
      <x:c r="DH119" s="302" t="n"/>
      <x:c r="DI119" s="302" t="n"/>
      <x:c r="DJ119" s="302" t="n"/>
      <x:c r="DK119" s="302" t="n"/>
      <x:c r="DL119" s="302" t="n"/>
      <x:c r="DM119" s="302" t="n"/>
      <x:c r="DN119" s="302" t="n"/>
      <x:c r="DO119" s="302" t="n"/>
      <x:c r="DP119" s="302" t="n"/>
      <x:c r="DQ119" s="302" t="n"/>
      <x:c r="DR119" s="302" t="n"/>
      <x:c r="DS119" s="302" t="n"/>
      <x:c r="DT119" s="302" t="n"/>
      <x:c r="DU119" s="302" t="n"/>
      <x:c r="DV119" s="302" t="n"/>
      <x:c r="DW119" s="302" t="n"/>
      <x:c r="DX119" s="302" t="n"/>
      <x:c r="DY119" s="302" t="n"/>
      <x:c r="DZ119" s="302" t="n"/>
      <x:c r="EA119" s="302" t="n"/>
      <x:c r="EB119" s="302" t="n"/>
      <x:c r="EC119" s="302" t="n">
        <x:v>0.03381641666666667</x:v>
      </x:c>
      <x:c r="ED119" s="302" t="n"/>
      <x:c r="EE119" s="302" t="n"/>
      <x:c r="EF119" s="302" t="n"/>
      <x:c r="EG119" s="302" t="n"/>
      <x:c r="EH119" s="302" t="n"/>
      <x:c r="EI119" s="302" t="n"/>
      <x:c r="EJ119" s="302" t="n"/>
      <x:c r="EK119" s="302" t="n"/>
      <x:c r="EL119" s="302" t="n"/>
      <x:c r="EM119" s="302" t="n"/>
      <x:c r="EN119" s="302" t="n"/>
      <x:c r="EO119" s="302" t="n"/>
      <x:c r="EP119" s="302" t="n"/>
      <x:c r="EQ119" s="302" t="n"/>
      <x:c r="ER119" s="302" t="n"/>
      <x:c r="ES119" s="302" t="n"/>
      <x:c r="ET119" s="302" t="n"/>
      <x:c r="EU119" s="302" t="n"/>
      <x:c r="EV119" s="302" t="n"/>
      <x:c r="EW119" s="302" t="n"/>
      <x:c r="EX119" s="302" t="n"/>
      <x:c r="EY119" s="302" t="n"/>
    </x:row>
    <x:row r="120" s="27" customFormat="1">
      <x:c r="A120" s="38" t="n"/>
      <x:c r="B120" s="37" t="n"/>
      <x:c r="C120" s="36" t="n">
        <x:f>E120*D$5</x:f>
        <x:v>5.410626666666667</x:v>
      </x:c>
      <x:c r="D120" s="20" t="inlineStr">
        <x:is>
          <x:t xml:space="preserve">William C. Bain GST Tax-Exempt Trust</x:t>
        </x:is>
      </x:c>
      <x:c r="E120" s="36" t="n">
        <x:f>SUM(G120:HS120)</x:f>
        <x:v>0.03381641666666667</x:v>
      </x:c>
      <x:c r="F120" s="126" t="inlineStr">
        <x:is>
          <x:t xml:space="preserve"/>
        </x:is>
      </x:c>
      <x:c r="G120" s="302" t="n"/>
      <x:c r="H120" s="302" t="n"/>
      <x:c r="I120" s="302" t="n"/>
      <x:c r="J120" s="302" t="n"/>
      <x:c r="K120" s="302" t="n"/>
      <x:c r="L120" s="302" t="n"/>
      <x:c r="M120" s="302" t="n"/>
      <x:c r="N120" s="302" t="n"/>
      <x:c r="O120" s="302" t="n"/>
      <x:c r="P120" s="100" t="n"/>
      <x:c r="Q120" s="302" t="n"/>
      <x:c r="R120" s="302" t="n"/>
      <x:c r="S120" s="302" t="n"/>
      <x:c r="T120" s="302" t="n"/>
      <x:c r="U120" s="302" t="n"/>
      <x:c r="V120" s="302" t="n"/>
      <x:c r="W120" s="302" t="n"/>
      <x:c r="X120" s="302" t="n"/>
      <x:c r="Y120" s="100" t="n"/>
      <x:c r="Z120" s="100" t="n"/>
      <x:c r="AA120" s="100" t="n"/>
      <x:c r="AB120" s="100" t="n"/>
      <x:c r="AC120" s="100" t="n"/>
      <x:c r="AD120" s="100" t="n"/>
      <x:c r="AE120" s="100" t="n"/>
      <x:c r="AF120" s="302" t="n"/>
      <x:c r="AG120" s="100" t="n"/>
      <x:c r="AH120" s="302" t="n"/>
      <x:c r="AI120" s="100" t="n"/>
      <x:c r="AJ120" s="302" t="n"/>
      <x:c r="AK120" s="302" t="n"/>
      <x:c r="AL120" s="302" t="n"/>
      <x:c r="AM120" s="302" t="n"/>
      <x:c r="AN120" s="302" t="n"/>
      <x:c r="AO120" s="302" t="n"/>
      <x:c r="AP120" s="302" t="n"/>
      <x:c r="AQ120" s="302" t="n"/>
      <x:c r="AR120" s="302" t="n"/>
      <x:c r="AS120" s="302" t="n"/>
      <x:c r="AT120" s="302" t="n"/>
      <x:c r="AU120" s="302" t="n"/>
      <x:c r="AV120" s="302" t="n"/>
      <x:c r="AW120" s="302" t="n"/>
      <x:c r="AX120" s="302" t="n"/>
      <x:c r="AY120" s="302" t="n"/>
      <x:c r="AZ120" s="302" t="n"/>
      <x:c r="BA120" s="302" t="n"/>
      <x:c r="BB120" s="302" t="n"/>
      <x:c r="BC120" s="302" t="n"/>
      <x:c r="BD120" s="302" t="n"/>
      <x:c r="BE120" s="302" t="n"/>
      <x:c r="BF120" s="302" t="n"/>
      <x:c r="BG120" s="302" t="n"/>
      <x:c r="BH120" s="302" t="n"/>
      <x:c r="BI120" s="302" t="n"/>
      <x:c r="BJ120" s="302" t="n"/>
      <x:c r="BK120" s="302" t="n"/>
      <x:c r="BL120" s="302" t="n"/>
      <x:c r="BM120" s="302" t="n"/>
      <x:c r="BN120" s="302" t="n"/>
      <x:c r="BO120" s="302" t="n"/>
      <x:c r="BP120" s="302" t="n"/>
      <x:c r="BQ120" s="302" t="n"/>
      <x:c r="BR120" s="302" t="n"/>
      <x:c r="BS120" s="302" t="n"/>
      <x:c r="BT120" s="302" t="n"/>
      <x:c r="BU120" s="302" t="n"/>
      <x:c r="BV120" s="302" t="n"/>
      <x:c r="BW120" s="302" t="n"/>
      <x:c r="BX120" s="302" t="n"/>
      <x:c r="BY120" s="302" t="n"/>
      <x:c r="BZ120" s="302" t="n"/>
      <x:c r="CA120" s="302" t="n"/>
      <x:c r="CB120" s="302" t="n"/>
      <x:c r="CC120" s="302" t="n"/>
      <x:c r="CD120" s="302" t="n"/>
      <x:c r="CE120" s="302" t="n"/>
      <x:c r="CF120" s="302" t="n"/>
      <x:c r="CG120" s="302" t="n"/>
      <x:c r="CH120" s="302" t="n"/>
      <x:c r="CI120" s="302" t="n"/>
      <x:c r="CJ120" s="302" t="n"/>
      <x:c r="CK120" s="302" t="n"/>
      <x:c r="CL120" s="302" t="n"/>
      <x:c r="CM120" s="302" t="n"/>
      <x:c r="CN120" s="302" t="n"/>
      <x:c r="CO120" s="302" t="n"/>
      <x:c r="CP120" s="302" t="n"/>
      <x:c r="CQ120" s="302" t="n"/>
      <x:c r="CR120" s="302" t="n"/>
      <x:c r="CS120" s="302" t="n"/>
      <x:c r="CT120" s="302" t="n"/>
      <x:c r="CU120" s="302" t="n"/>
      <x:c r="CV120" s="302" t="n"/>
      <x:c r="CW120" s="302" t="n"/>
      <x:c r="CX120" s="302" t="n"/>
      <x:c r="CY120" s="302" t="n"/>
      <x:c r="CZ120" s="302" t="n"/>
      <x:c r="DA120" s="302" t="n"/>
      <x:c r="DB120" s="302" t="n"/>
      <x:c r="DC120" s="302" t="n"/>
      <x:c r="DD120" s="302" t="n"/>
      <x:c r="DE120" s="302" t="n"/>
      <x:c r="DF120" s="302" t="n"/>
      <x:c r="DG120" s="302" t="n"/>
      <x:c r="DH120" s="302" t="n"/>
      <x:c r="DI120" s="302" t="n"/>
      <x:c r="DJ120" s="302" t="n"/>
      <x:c r="DK120" s="302" t="n"/>
      <x:c r="DL120" s="302" t="n"/>
      <x:c r="DM120" s="302" t="n"/>
      <x:c r="DN120" s="302" t="n"/>
      <x:c r="DO120" s="302" t="n"/>
      <x:c r="DP120" s="302" t="n"/>
      <x:c r="DQ120" s="302" t="n"/>
      <x:c r="DR120" s="302" t="n"/>
      <x:c r="DS120" s="302" t="n"/>
      <x:c r="DT120" s="302" t="n"/>
      <x:c r="DU120" s="302" t="n"/>
      <x:c r="DV120" s="302" t="n"/>
      <x:c r="DW120" s="302" t="n"/>
      <x:c r="DX120" s="302" t="n"/>
      <x:c r="DY120" s="302" t="n"/>
      <x:c r="DZ120" s="302" t="n"/>
      <x:c r="EA120" s="302" t="n"/>
      <x:c r="EB120" s="302" t="n"/>
      <x:c r="EC120" s="302" t="n">
        <x:v>0.03381641666666667</x:v>
      </x:c>
      <x:c r="ED120" s="302" t="n"/>
      <x:c r="EE120" s="302" t="n"/>
      <x:c r="EF120" s="302" t="n"/>
      <x:c r="EG120" s="302" t="n"/>
      <x:c r="EH120" s="302" t="n"/>
      <x:c r="EI120" s="302" t="n"/>
      <x:c r="EJ120" s="302" t="n"/>
      <x:c r="EK120" s="302" t="n"/>
      <x:c r="EL120" s="302" t="n"/>
      <x:c r="EM120" s="302" t="n"/>
      <x:c r="EN120" s="302" t="n"/>
      <x:c r="EO120" s="302" t="n"/>
      <x:c r="EP120" s="302" t="n"/>
      <x:c r="EQ120" s="302" t="n"/>
      <x:c r="ER120" s="302" t="n"/>
      <x:c r="ES120" s="302" t="n"/>
      <x:c r="ET120" s="302" t="n"/>
      <x:c r="EU120" s="302" t="n"/>
      <x:c r="EV120" s="302" t="n"/>
      <x:c r="EW120" s="302" t="n"/>
      <x:c r="EX120" s="302" t="n"/>
      <x:c r="EY120" s="302" t="n"/>
    </x:row>
    <x:row r="121" s="27" customFormat="1" ht="25.5" customHeight="1">
      <x:c r="A121" s="38" t="n"/>
      <x:c r="B121" s="37" t="inlineStr">
        <x:is>
          <x:t xml:space="preserve">HBP (base)</x:t>
        </x:is>
      </x:c>
      <x:c r="C121" s="36" t="n">
        <x:f>E121*D$5</x:f>
        <x:v>5.410626666666667</x:v>
      </x:c>
      <x:c r="D121" s="20" t="inlineStr">
        <x:is>
          <x:t xml:space="preserve">Paul M. Bain GST Tax-Exempt Trust</x:t>
        </x:is>
      </x:c>
      <x:c r="E121" s="36" t="n">
        <x:f>SUM(G121:HS121)</x:f>
        <x:v>0.03381641666666667</x:v>
      </x:c>
      <x:c r="F121" s="126" t="inlineStr">
        <x:is>
          <x:t xml:space="preserve"/>
        </x:is>
      </x:c>
      <x:c r="G121" s="302" t="n"/>
      <x:c r="H121" s="302" t="n"/>
      <x:c r="I121" s="302" t="n"/>
      <x:c r="J121" s="302" t="n"/>
      <x:c r="K121" s="302" t="n"/>
      <x:c r="L121" s="302" t="n"/>
      <x:c r="M121" s="302" t="n"/>
      <x:c r="N121" s="302" t="n"/>
      <x:c r="O121" s="302" t="n"/>
      <x:c r="P121" s="100" t="n"/>
      <x:c r="Q121" s="302" t="n"/>
      <x:c r="R121" s="302" t="n"/>
      <x:c r="S121" s="302" t="n"/>
      <x:c r="T121" s="302" t="n"/>
      <x:c r="U121" s="302" t="n"/>
      <x:c r="V121" s="302" t="n"/>
      <x:c r="W121" s="302" t="n"/>
      <x:c r="X121" s="302" t="n"/>
      <x:c r="Y121" s="100" t="n"/>
      <x:c r="Z121" s="100" t="n"/>
      <x:c r="AA121" s="100" t="n"/>
      <x:c r="AB121" s="100" t="n"/>
      <x:c r="AC121" s="100" t="n"/>
      <x:c r="AD121" s="100" t="n"/>
      <x:c r="AE121" s="100" t="n"/>
      <x:c r="AF121" s="302" t="n"/>
      <x:c r="AG121" s="100" t="n"/>
      <x:c r="AH121" s="302" t="n"/>
      <x:c r="AI121" s="100" t="n"/>
      <x:c r="AJ121" s="302" t="n"/>
      <x:c r="AK121" s="302" t="n"/>
      <x:c r="AL121" s="302" t="n"/>
      <x:c r="AM121" s="302" t="n"/>
      <x:c r="AN121" s="302" t="n"/>
      <x:c r="AO121" s="302" t="n"/>
      <x:c r="AP121" s="302" t="n"/>
      <x:c r="AQ121" s="302" t="n"/>
      <x:c r="AR121" s="302" t="n"/>
      <x:c r="AS121" s="302" t="n"/>
      <x:c r="AT121" s="302" t="n"/>
      <x:c r="AU121" s="302" t="n"/>
      <x:c r="AV121" s="302" t="n"/>
      <x:c r="AW121" s="302" t="n"/>
      <x:c r="AX121" s="302" t="n"/>
      <x:c r="AY121" s="302" t="n"/>
      <x:c r="AZ121" s="302" t="n"/>
      <x:c r="BA121" s="302" t="n"/>
      <x:c r="BB121" s="302" t="n"/>
      <x:c r="BC121" s="302" t="n"/>
      <x:c r="BD121" s="302" t="n"/>
      <x:c r="BE121" s="302" t="n"/>
      <x:c r="BF121" s="302" t="n"/>
      <x:c r="BG121" s="302" t="n"/>
      <x:c r="BH121" s="302" t="n"/>
      <x:c r="BI121" s="302" t="n"/>
      <x:c r="BJ121" s="302" t="n"/>
      <x:c r="BK121" s="302" t="n"/>
      <x:c r="BL121" s="302" t="n"/>
      <x:c r="BM121" s="302" t="n"/>
      <x:c r="BN121" s="302" t="n"/>
      <x:c r="BO121" s="302" t="n"/>
      <x:c r="BP121" s="302" t="n"/>
      <x:c r="BQ121" s="302" t="n"/>
      <x:c r="BR121" s="302" t="n"/>
      <x:c r="BS121" s="302" t="n"/>
      <x:c r="BT121" s="302" t="n"/>
      <x:c r="BU121" s="302" t="n"/>
      <x:c r="BV121" s="302" t="n"/>
      <x:c r="BW121" s="302" t="n"/>
      <x:c r="BX121" s="302" t="n"/>
      <x:c r="BY121" s="302" t="n"/>
      <x:c r="BZ121" s="302" t="n"/>
      <x:c r="CA121" s="302" t="n"/>
      <x:c r="CB121" s="302" t="n"/>
      <x:c r="CC121" s="302" t="n"/>
      <x:c r="CD121" s="302" t="n"/>
      <x:c r="CE121" s="302" t="n"/>
      <x:c r="CF121" s="302" t="n"/>
      <x:c r="CG121" s="302" t="n"/>
      <x:c r="CH121" s="302" t="n"/>
      <x:c r="CI121" s="302" t="n"/>
      <x:c r="CJ121" s="302" t="n"/>
      <x:c r="CK121" s="302" t="n"/>
      <x:c r="CL121" s="302" t="n"/>
      <x:c r="CM121" s="302" t="n"/>
      <x:c r="CN121" s="302" t="n"/>
      <x:c r="CO121" s="302" t="n"/>
      <x:c r="CP121" s="302" t="n"/>
      <x:c r="CQ121" s="302" t="n"/>
      <x:c r="CR121" s="302" t="n"/>
      <x:c r="CS121" s="302" t="n"/>
      <x:c r="CT121" s="302" t="n"/>
      <x:c r="CU121" s="302" t="n"/>
      <x:c r="CV121" s="302" t="n"/>
      <x:c r="CW121" s="302" t="n"/>
      <x:c r="CX121" s="302" t="n"/>
      <x:c r="CY121" s="302" t="n"/>
      <x:c r="CZ121" s="302" t="n"/>
      <x:c r="DA121" s="302" t="n"/>
      <x:c r="DB121" s="302" t="n"/>
      <x:c r="DC121" s="302" t="n"/>
      <x:c r="DD121" s="302" t="n"/>
      <x:c r="DE121" s="302" t="n"/>
      <x:c r="DF121" s="302" t="n"/>
      <x:c r="DG121" s="302" t="n"/>
      <x:c r="DH121" s="302" t="n"/>
      <x:c r="DI121" s="302" t="n"/>
      <x:c r="DJ121" s="302" t="n"/>
      <x:c r="DK121" s="302" t="n"/>
      <x:c r="DL121" s="302" t="n"/>
      <x:c r="DM121" s="302" t="n"/>
      <x:c r="DN121" s="302" t="n"/>
      <x:c r="DO121" s="302" t="n"/>
      <x:c r="DP121" s="302" t="n"/>
      <x:c r="DQ121" s="302" t="n"/>
      <x:c r="DR121" s="302" t="n"/>
      <x:c r="DS121" s="302" t="n"/>
      <x:c r="DT121" s="302" t="n"/>
      <x:c r="DU121" s="302" t="n"/>
      <x:c r="DV121" s="302" t="n"/>
      <x:c r="DW121" s="302" t="n"/>
      <x:c r="DX121" s="302" t="n"/>
      <x:c r="DY121" s="302" t="n"/>
      <x:c r="DZ121" s="302" t="n"/>
      <x:c r="EA121" s="302" t="n"/>
      <x:c r="EB121" s="302" t="n"/>
      <x:c r="EC121" s="302" t="n">
        <x:v>0.03381641666666667</x:v>
      </x:c>
      <x:c r="ED121" s="302" t="n"/>
      <x:c r="EE121" s="302" t="n"/>
      <x:c r="EF121" s="302" t="n"/>
      <x:c r="EG121" s="302" t="n"/>
      <x:c r="EH121" s="302" t="n"/>
      <x:c r="EI121" s="302" t="n"/>
      <x:c r="EJ121" s="302" t="n"/>
      <x:c r="EK121" s="302" t="n"/>
      <x:c r="EL121" s="302" t="n"/>
      <x:c r="EM121" s="302" t="n"/>
      <x:c r="EN121" s="302" t="n"/>
      <x:c r="EO121" s="302" t="n"/>
      <x:c r="EP121" s="302" t="n"/>
      <x:c r="EQ121" s="302" t="n"/>
      <x:c r="ER121" s="302" t="n"/>
      <x:c r="ES121" s="302" t="n"/>
      <x:c r="ET121" s="302" t="n"/>
      <x:c r="EU121" s="302" t="n"/>
      <x:c r="EV121" s="302" t="n"/>
      <x:c r="EW121" s="302" t="n"/>
      <x:c r="EX121" s="302" t="n"/>
      <x:c r="EY121" s="302" t="n"/>
    </x:row>
    <x:row r="122" s="27" customFormat="1">
      <x:c r="A122" s="38" t="n"/>
      <x:c r="B122" s="37" t="n"/>
      <x:c r="C122" s="36" t="n">
        <x:f>E122*D$5</x:f>
        <x:v>1.1594200000000001</x:v>
      </x:c>
      <x:c r="D122" s="20" t="inlineStr">
        <x:is>
          <x:t xml:space="preserve">Brandi L. Bain</x:t>
        </x:is>
      </x:c>
      <x:c r="E122" s="36" t="n">
        <x:f>SUM(G122:HS122)</x:f>
        <x:v>0.007246375</x:v>
      </x:c>
      <x:c r="F122" s="126" t="inlineStr">
        <x:is>
          <x:t xml:space="preserve"/>
        </x:is>
      </x:c>
      <x:c r="G122" s="302" t="n"/>
      <x:c r="H122" s="302" t="n"/>
      <x:c r="I122" s="302" t="n"/>
      <x:c r="J122" s="302" t="n"/>
      <x:c r="K122" s="302" t="n"/>
      <x:c r="L122" s="302" t="n"/>
      <x:c r="M122" s="302" t="n"/>
      <x:c r="N122" s="302" t="n"/>
      <x:c r="O122" s="302" t="n"/>
      <x:c r="P122" s="100" t="n"/>
      <x:c r="Q122" s="302" t="n"/>
      <x:c r="R122" s="302" t="n"/>
      <x:c r="S122" s="302" t="n"/>
      <x:c r="T122" s="302" t="n"/>
      <x:c r="U122" s="302" t="n"/>
      <x:c r="V122" s="302" t="n"/>
      <x:c r="W122" s="302" t="n"/>
      <x:c r="X122" s="302" t="n"/>
      <x:c r="Y122" s="100" t="n"/>
      <x:c r="Z122" s="100" t="n"/>
      <x:c r="AA122" s="100" t="n"/>
      <x:c r="AB122" s="100" t="n"/>
      <x:c r="AC122" s="100" t="n"/>
      <x:c r="AD122" s="100" t="n"/>
      <x:c r="AE122" s="100" t="n"/>
      <x:c r="AF122" s="302" t="n"/>
      <x:c r="AG122" s="100" t="n"/>
      <x:c r="AH122" s="302" t="n"/>
      <x:c r="AI122" s="100" t="n"/>
      <x:c r="AJ122" s="302" t="n"/>
      <x:c r="AK122" s="302" t="n"/>
      <x:c r="AL122" s="302" t="n"/>
      <x:c r="AM122" s="302" t="n"/>
      <x:c r="AN122" s="302" t="n"/>
      <x:c r="AO122" s="302" t="n"/>
      <x:c r="AP122" s="302" t="n"/>
      <x:c r="AQ122" s="302" t="n"/>
      <x:c r="AR122" s="302" t="n"/>
      <x:c r="AS122" s="302" t="n"/>
      <x:c r="AT122" s="302" t="n"/>
      <x:c r="AU122" s="302" t="n"/>
      <x:c r="AV122" s="302" t="n"/>
      <x:c r="AW122" s="302" t="n"/>
      <x:c r="AX122" s="302" t="n"/>
      <x:c r="AY122" s="302" t="n"/>
      <x:c r="AZ122" s="302" t="n"/>
      <x:c r="BA122" s="302" t="n"/>
      <x:c r="BB122" s="302" t="n"/>
      <x:c r="BC122" s="302" t="n"/>
      <x:c r="BD122" s="302" t="n"/>
      <x:c r="BE122" s="302" t="n"/>
      <x:c r="BF122" s="302" t="n"/>
      <x:c r="BG122" s="302" t="n"/>
      <x:c r="BH122" s="302" t="n"/>
      <x:c r="BI122" s="302" t="n"/>
      <x:c r="BJ122" s="302" t="n"/>
      <x:c r="BK122" s="302" t="n"/>
      <x:c r="BL122" s="302" t="n"/>
      <x:c r="BM122" s="302" t="n"/>
      <x:c r="BN122" s="302" t="n"/>
      <x:c r="BO122" s="302" t="n"/>
      <x:c r="BP122" s="302" t="n"/>
      <x:c r="BQ122" s="302" t="n"/>
      <x:c r="BR122" s="302" t="n"/>
      <x:c r="BS122" s="302" t="n"/>
      <x:c r="BT122" s="302" t="n"/>
      <x:c r="BU122" s="302" t="n"/>
      <x:c r="BV122" s="302" t="n"/>
      <x:c r="BW122" s="302" t="n"/>
      <x:c r="BX122" s="302" t="n"/>
      <x:c r="BY122" s="302" t="n"/>
      <x:c r="BZ122" s="302" t="n"/>
      <x:c r="CA122" s="302" t="n"/>
      <x:c r="CB122" s="302" t="n"/>
      <x:c r="CC122" s="302" t="n"/>
      <x:c r="CD122" s="302" t="n"/>
      <x:c r="CE122" s="302" t="n"/>
      <x:c r="CF122" s="302" t="n"/>
      <x:c r="CG122" s="302" t="n"/>
      <x:c r="CH122" s="302" t="n"/>
      <x:c r="CI122" s="302" t="n"/>
      <x:c r="CJ122" s="302" t="n"/>
      <x:c r="CK122" s="302" t="n"/>
      <x:c r="CL122" s="302" t="n"/>
      <x:c r="CM122" s="302" t="n"/>
      <x:c r="CN122" s="302" t="n"/>
      <x:c r="CO122" s="302" t="n"/>
      <x:c r="CP122" s="302" t="n"/>
      <x:c r="CQ122" s="302" t="n"/>
      <x:c r="CR122" s="302" t="n"/>
      <x:c r="CS122" s="302" t="n"/>
      <x:c r="CT122" s="302" t="n"/>
      <x:c r="CU122" s="302" t="n"/>
      <x:c r="CV122" s="302" t="n"/>
      <x:c r="CW122" s="302" t="n"/>
      <x:c r="CX122" s="302" t="n"/>
      <x:c r="CY122" s="302" t="n"/>
      <x:c r="CZ122" s="302" t="n"/>
      <x:c r="DA122" s="302" t="n"/>
      <x:c r="DB122" s="302" t="n"/>
      <x:c r="DC122" s="302" t="n"/>
      <x:c r="DD122" s="302" t="n"/>
      <x:c r="DE122" s="302" t="n"/>
      <x:c r="DF122" s="302" t="n"/>
      <x:c r="DG122" s="302" t="n"/>
      <x:c r="DH122" s="302" t="n"/>
      <x:c r="DI122" s="302" t="n"/>
      <x:c r="DJ122" s="302" t="n"/>
      <x:c r="DK122" s="302" t="n"/>
      <x:c r="DL122" s="302" t="n"/>
      <x:c r="DM122" s="302" t="n"/>
      <x:c r="DN122" s="302" t="n"/>
      <x:c r="DO122" s="302" t="n"/>
      <x:c r="DP122" s="302" t="n"/>
      <x:c r="DQ122" s="302" t="n"/>
      <x:c r="DR122" s="302" t="n"/>
      <x:c r="DS122" s="302" t="n"/>
      <x:c r="DT122" s="302" t="n"/>
      <x:c r="DU122" s="302" t="n"/>
      <x:c r="DV122" s="302" t="n"/>
      <x:c r="DW122" s="302" t="n"/>
      <x:c r="DX122" s="302" t="n"/>
      <x:c r="DY122" s="302" t="n"/>
      <x:c r="DZ122" s="302" t="n"/>
      <x:c r="EA122" s="302" t="n"/>
      <x:c r="EB122" s="302" t="n"/>
      <x:c r="EC122" s="302" t="n">
        <x:v>0.007246375</x:v>
      </x:c>
      <x:c r="ED122" s="302" t="n"/>
      <x:c r="EE122" s="302" t="n"/>
      <x:c r="EF122" s="302" t="n"/>
      <x:c r="EG122" s="302" t="n"/>
      <x:c r="EH122" s="302" t="n"/>
      <x:c r="EI122" s="302" t="n"/>
      <x:c r="EJ122" s="302" t="n"/>
      <x:c r="EK122" s="302" t="n"/>
      <x:c r="EL122" s="302" t="n"/>
      <x:c r="EM122" s="302" t="n"/>
      <x:c r="EN122" s="302" t="n"/>
      <x:c r="EO122" s="302" t="n"/>
      <x:c r="EP122" s="302" t="n"/>
      <x:c r="EQ122" s="302" t="n"/>
      <x:c r="ER122" s="302" t="n"/>
      <x:c r="ES122" s="302" t="n"/>
      <x:c r="ET122" s="302" t="n"/>
      <x:c r="EU122" s="302" t="n"/>
      <x:c r="EV122" s="302" t="n"/>
      <x:c r="EW122" s="302" t="n"/>
      <x:c r="EX122" s="302" t="n"/>
      <x:c r="EY122" s="302" t="n"/>
    </x:row>
    <x:row r="123" s="27" customFormat="1">
      <x:c r="A123" s="38" t="n"/>
      <x:c r="B123" s="37" t="n"/>
      <x:c r="C123" s="36" t="n">
        <x:f>E123*D$5</x:f>
        <x:v>1.1594200000000001</x:v>
      </x:c>
      <x:c r="D123" s="20" t="inlineStr">
        <x:is>
          <x:t xml:space="preserve">Joseph M. Bain</x:t>
        </x:is>
      </x:c>
      <x:c r="E123" s="36" t="n">
        <x:f>SUM(G123:HS123)</x:f>
        <x:v>0.007246375</x:v>
      </x:c>
      <x:c r="F123" s="126" t="inlineStr">
        <x:is>
          <x:t xml:space="preserve"/>
        </x:is>
      </x:c>
      <x:c r="G123" s="302" t="n"/>
      <x:c r="H123" s="302" t="n"/>
      <x:c r="I123" s="302" t="n"/>
      <x:c r="J123" s="302" t="n"/>
      <x:c r="K123" s="302" t="n"/>
      <x:c r="L123" s="302" t="n"/>
      <x:c r="M123" s="302" t="n"/>
      <x:c r="N123" s="302" t="n"/>
      <x:c r="O123" s="302" t="n"/>
      <x:c r="P123" s="100" t="n"/>
      <x:c r="Q123" s="302" t="n"/>
      <x:c r="R123" s="302" t="n"/>
      <x:c r="S123" s="302" t="n"/>
      <x:c r="T123" s="302" t="n"/>
      <x:c r="U123" s="302" t="n"/>
      <x:c r="V123" s="302" t="n"/>
      <x:c r="W123" s="302" t="n"/>
      <x:c r="X123" s="302" t="n"/>
      <x:c r="Y123" s="100" t="n"/>
      <x:c r="Z123" s="100" t="n"/>
      <x:c r="AA123" s="100" t="n"/>
      <x:c r="AB123" s="100" t="n"/>
      <x:c r="AC123" s="100" t="n"/>
      <x:c r="AD123" s="100" t="n"/>
      <x:c r="AE123" s="100" t="n"/>
      <x:c r="AF123" s="302" t="n"/>
      <x:c r="AG123" s="100" t="n"/>
      <x:c r="AH123" s="302" t="n"/>
      <x:c r="AI123" s="100" t="n"/>
      <x:c r="AJ123" s="302" t="n"/>
      <x:c r="AK123" s="302" t="n"/>
      <x:c r="AL123" s="302" t="n"/>
      <x:c r="AM123" s="302" t="n"/>
      <x:c r="AN123" s="302" t="n"/>
      <x:c r="AO123" s="302" t="n"/>
      <x:c r="AP123" s="302" t="n"/>
      <x:c r="AQ123" s="302" t="n"/>
      <x:c r="AR123" s="302" t="n"/>
      <x:c r="AS123" s="302" t="n"/>
      <x:c r="AT123" s="302" t="n"/>
      <x:c r="AU123" s="302" t="n"/>
      <x:c r="AV123" s="302" t="n"/>
      <x:c r="AW123" s="302" t="n"/>
      <x:c r="AX123" s="302" t="n"/>
      <x:c r="AY123" s="302" t="n"/>
      <x:c r="AZ123" s="302" t="n"/>
      <x:c r="BA123" s="302" t="n"/>
      <x:c r="BB123" s="302" t="n"/>
      <x:c r="BC123" s="302" t="n"/>
      <x:c r="BD123" s="302" t="n"/>
      <x:c r="BE123" s="302" t="n"/>
      <x:c r="BF123" s="302" t="n"/>
      <x:c r="BG123" s="302" t="n"/>
      <x:c r="BH123" s="302" t="n"/>
      <x:c r="BI123" s="302" t="n"/>
      <x:c r="BJ123" s="302" t="n"/>
      <x:c r="BK123" s="302" t="n"/>
      <x:c r="BL123" s="302" t="n"/>
      <x:c r="BM123" s="302" t="n"/>
      <x:c r="BN123" s="302" t="n"/>
      <x:c r="BO123" s="302" t="n"/>
      <x:c r="BP123" s="302" t="n"/>
      <x:c r="BQ123" s="302" t="n"/>
      <x:c r="BR123" s="302" t="n"/>
      <x:c r="BS123" s="302" t="n"/>
      <x:c r="BT123" s="302" t="n"/>
      <x:c r="BU123" s="302" t="n"/>
      <x:c r="BV123" s="302" t="n"/>
      <x:c r="BW123" s="302" t="n"/>
      <x:c r="BX123" s="302" t="n"/>
      <x:c r="BY123" s="302" t="n"/>
      <x:c r="BZ123" s="302" t="n"/>
      <x:c r="CA123" s="302" t="n"/>
      <x:c r="CB123" s="302" t="n"/>
      <x:c r="CC123" s="302" t="n"/>
      <x:c r="CD123" s="302" t="n"/>
      <x:c r="CE123" s="302" t="n"/>
      <x:c r="CF123" s="302" t="n"/>
      <x:c r="CG123" s="302" t="n"/>
      <x:c r="CH123" s="302" t="n"/>
      <x:c r="CI123" s="302" t="n"/>
      <x:c r="CJ123" s="302" t="n"/>
      <x:c r="CK123" s="302" t="n"/>
      <x:c r="CL123" s="302" t="n"/>
      <x:c r="CM123" s="302" t="n"/>
      <x:c r="CN123" s="302" t="n"/>
      <x:c r="CO123" s="302" t="n"/>
      <x:c r="CP123" s="302" t="n"/>
      <x:c r="CQ123" s="302" t="n"/>
      <x:c r="CR123" s="302" t="n"/>
      <x:c r="CS123" s="302" t="n"/>
      <x:c r="CT123" s="302" t="n"/>
      <x:c r="CU123" s="302" t="n"/>
      <x:c r="CV123" s="302" t="n"/>
      <x:c r="CW123" s="302" t="n"/>
      <x:c r="CX123" s="302" t="n"/>
      <x:c r="CY123" s="302" t="n"/>
      <x:c r="CZ123" s="302" t="n"/>
      <x:c r="DA123" s="302" t="n"/>
      <x:c r="DB123" s="302" t="n"/>
      <x:c r="DC123" s="302" t="n"/>
      <x:c r="DD123" s="302" t="n"/>
      <x:c r="DE123" s="302" t="n"/>
      <x:c r="DF123" s="302" t="n"/>
      <x:c r="DG123" s="302" t="n"/>
      <x:c r="DH123" s="302" t="n"/>
      <x:c r="DI123" s="302" t="n"/>
      <x:c r="DJ123" s="302" t="n"/>
      <x:c r="DK123" s="302" t="n"/>
      <x:c r="DL123" s="302" t="n"/>
      <x:c r="DM123" s="302" t="n"/>
      <x:c r="DN123" s="302" t="n"/>
      <x:c r="DO123" s="302" t="n"/>
      <x:c r="DP123" s="302" t="n"/>
      <x:c r="DQ123" s="302" t="n"/>
      <x:c r="DR123" s="302" t="n"/>
      <x:c r="DS123" s="302" t="n"/>
      <x:c r="DT123" s="302" t="n"/>
      <x:c r="DU123" s="302" t="n"/>
      <x:c r="DV123" s="302" t="n"/>
      <x:c r="DW123" s="302" t="n"/>
      <x:c r="DX123" s="302" t="n"/>
      <x:c r="DY123" s="302" t="n"/>
      <x:c r="DZ123" s="302" t="n"/>
      <x:c r="EA123" s="302" t="n"/>
      <x:c r="EB123" s="302" t="n"/>
      <x:c r="EC123" s="302" t="n">
        <x:v>0.007246375</x:v>
      </x:c>
      <x:c r="ED123" s="302" t="n"/>
      <x:c r="EE123" s="302" t="n"/>
      <x:c r="EF123" s="302" t="n"/>
      <x:c r="EG123" s="302" t="n"/>
      <x:c r="EH123" s="302" t="n"/>
      <x:c r="EI123" s="302" t="n"/>
      <x:c r="EJ123" s="302" t="n"/>
      <x:c r="EK123" s="302" t="n"/>
      <x:c r="EL123" s="302" t="n"/>
      <x:c r="EM123" s="302" t="n"/>
      <x:c r="EN123" s="302" t="n"/>
      <x:c r="EO123" s="302" t="n"/>
      <x:c r="EP123" s="302" t="n"/>
      <x:c r="EQ123" s="302" t="n"/>
      <x:c r="ER123" s="302" t="n"/>
      <x:c r="ES123" s="302" t="n"/>
      <x:c r="ET123" s="302" t="n"/>
      <x:c r="EU123" s="302" t="n"/>
      <x:c r="EV123" s="302" t="n"/>
      <x:c r="EW123" s="302" t="n"/>
      <x:c r="EX123" s="302" t="n"/>
      <x:c r="EY123" s="302" t="n"/>
    </x:row>
    <x:row r="124" s="27" customFormat="1">
      <x:c r="A124" s="38" t="n"/>
      <x:c r="B124" s="37" t="n"/>
      <x:c r="C124" s="36" t="n">
        <x:f>E124*D$5</x:f>
        <x:v>0.05052</x:v>
      </x:c>
      <x:c r="D124" s="20" t="inlineStr">
        <x:is>
          <x:t xml:space="preserve">Michelle Ibeling</x:t>
        </x:is>
      </x:c>
      <x:c r="E124" s="36" t="n">
        <x:f>SUM(G124:HS124)</x:f>
        <x:v>0.00031575</x:v>
      </x:c>
      <x:c r="F124" s="126" t="inlineStr">
        <x:is>
          <x:t xml:space="preserve"/>
        </x:is>
      </x:c>
      <x:c r="G124" s="302" t="n"/>
      <x:c r="H124" s="302" t="n"/>
      <x:c r="I124" s="302" t="n"/>
      <x:c r="J124" s="302" t="n"/>
      <x:c r="K124" s="302" t="n"/>
      <x:c r="L124" s="302" t="n"/>
      <x:c r="M124" s="302" t="n"/>
      <x:c r="N124" s="302" t="n"/>
      <x:c r="O124" s="302" t="n"/>
      <x:c r="P124" s="100" t="n"/>
      <x:c r="Q124" s="302" t="n"/>
      <x:c r="R124" s="302" t="n"/>
      <x:c r="S124" s="302" t="n"/>
      <x:c r="T124" s="302" t="n"/>
      <x:c r="U124" s="302" t="n"/>
      <x:c r="V124" s="302" t="n"/>
      <x:c r="W124" s="302" t="n"/>
      <x:c r="X124" s="302" t="n"/>
      <x:c r="Y124" s="100" t="n"/>
      <x:c r="Z124" s="100" t="n"/>
      <x:c r="AA124" s="100" t="n"/>
      <x:c r="AB124" s="100" t="n"/>
      <x:c r="AC124" s="100" t="n"/>
      <x:c r="AD124" s="100" t="n"/>
      <x:c r="AE124" s="100" t="n"/>
      <x:c r="AF124" s="302" t="n"/>
      <x:c r="AG124" s="100" t="n"/>
      <x:c r="AH124" s="302" t="n"/>
      <x:c r="AI124" s="100" t="n"/>
      <x:c r="AJ124" s="302" t="n"/>
      <x:c r="AK124" s="302" t="n"/>
      <x:c r="AL124" s="302" t="n"/>
      <x:c r="AM124" s="302" t="n"/>
      <x:c r="AN124" s="302" t="n"/>
      <x:c r="AO124" s="302" t="n"/>
      <x:c r="AP124" s="302" t="n"/>
      <x:c r="AQ124" s="302" t="n"/>
      <x:c r="AR124" s="302" t="n"/>
      <x:c r="AS124" s="302" t="n"/>
      <x:c r="AT124" s="302" t="n"/>
      <x:c r="AU124" s="302" t="n"/>
      <x:c r="AV124" s="302" t="n"/>
      <x:c r="AW124" s="302" t="n"/>
      <x:c r="AX124" s="302" t="n"/>
      <x:c r="AY124" s="302" t="n"/>
      <x:c r="AZ124" s="302" t="n"/>
      <x:c r="BA124" s="302" t="n"/>
      <x:c r="BB124" s="302" t="n"/>
      <x:c r="BC124" s="302" t="n"/>
      <x:c r="BD124" s="302" t="n"/>
      <x:c r="BE124" s="302" t="n"/>
      <x:c r="BF124" s="302" t="n"/>
      <x:c r="BG124" s="302" t="n"/>
      <x:c r="BH124" s="302" t="n"/>
      <x:c r="BI124" s="302" t="n"/>
      <x:c r="BJ124" s="302" t="n"/>
      <x:c r="BK124" s="302" t="n"/>
      <x:c r="BL124" s="302" t="n"/>
      <x:c r="BM124" s="302" t="n"/>
      <x:c r="BN124" s="302" t="n"/>
      <x:c r="BO124" s="302" t="n"/>
      <x:c r="BP124" s="302" t="n"/>
      <x:c r="BQ124" s="302" t="n"/>
      <x:c r="BR124" s="302" t="n"/>
      <x:c r="BS124" s="302" t="n"/>
      <x:c r="BT124" s="302" t="n"/>
      <x:c r="BU124" s="302" t="n"/>
      <x:c r="BV124" s="302" t="n"/>
      <x:c r="BW124" s="302" t="n"/>
      <x:c r="BX124" s="302" t="n"/>
      <x:c r="BY124" s="302" t="n"/>
      <x:c r="BZ124" s="302" t="n"/>
      <x:c r="CA124" s="302" t="n"/>
      <x:c r="CB124" s="302" t="n"/>
      <x:c r="CC124" s="302" t="n"/>
      <x:c r="CD124" s="302" t="n"/>
      <x:c r="CE124" s="302" t="n"/>
      <x:c r="CF124" s="302" t="n"/>
      <x:c r="CG124" s="302" t="n"/>
      <x:c r="CH124" s="302" t="n"/>
      <x:c r="CI124" s="302" t="n"/>
      <x:c r="CJ124" s="302" t="n"/>
      <x:c r="CK124" s="302" t="n"/>
      <x:c r="CL124" s="302" t="n"/>
      <x:c r="CM124" s="302" t="n"/>
      <x:c r="CN124" s="302" t="n"/>
      <x:c r="CO124" s="302" t="n"/>
      <x:c r="CP124" s="302" t="n"/>
      <x:c r="CQ124" s="302" t="n"/>
      <x:c r="CR124" s="302" t="n"/>
      <x:c r="CS124" s="302" t="n"/>
      <x:c r="CT124" s="302" t="n"/>
      <x:c r="CU124" s="302" t="n"/>
      <x:c r="CV124" s="302" t="n"/>
      <x:c r="CW124" s="302" t="n"/>
      <x:c r="CX124" s="302" t="n"/>
      <x:c r="CY124" s="302" t="n"/>
      <x:c r="CZ124" s="302" t="n"/>
      <x:c r="DA124" s="302" t="n"/>
      <x:c r="DB124" s="302" t="n"/>
      <x:c r="DC124" s="302" t="n"/>
      <x:c r="DD124" s="302" t="n"/>
      <x:c r="DE124" s="302" t="n"/>
      <x:c r="DF124" s="302" t="n"/>
      <x:c r="DG124" s="302" t="n"/>
      <x:c r="DH124" s="302" t="n"/>
      <x:c r="DI124" s="302" t="n"/>
      <x:c r="DJ124" s="302" t="n"/>
      <x:c r="DK124" s="302" t="n"/>
      <x:c r="DL124" s="302" t="n"/>
      <x:c r="DM124" s="302" t="n"/>
      <x:c r="DN124" s="302" t="n"/>
      <x:c r="DO124" s="302" t="n"/>
      <x:c r="DP124" s="302" t="n"/>
      <x:c r="DQ124" s="302" t="n"/>
      <x:c r="DR124" s="302" t="n"/>
      <x:c r="DS124" s="302" t="n"/>
      <x:c r="DT124" s="302" t="n"/>
      <x:c r="DU124" s="302" t="n"/>
      <x:c r="DV124" s="302" t="n"/>
      <x:c r="DW124" s="302" t="n"/>
      <x:c r="DX124" s="302" t="n"/>
      <x:c r="DY124" s="302" t="n"/>
      <x:c r="DZ124" s="302" t="n"/>
      <x:c r="EA124" s="302" t="n"/>
      <x:c r="EB124" s="302" t="n"/>
      <x:c r="EC124" s="302" t="n"/>
      <x:c r="ED124" s="302" t="n"/>
      <x:c r="EE124" s="302" t="n"/>
      <x:c r="EF124" s="302" t="n"/>
      <x:c r="EG124" s="302" t="n"/>
      <x:c r="EH124" s="302" t="n"/>
      <x:c r="EI124" s="302" t="n"/>
      <x:c r="EJ124" s="302" t="n">
        <x:v>0.00031575</x:v>
      </x:c>
      <x:c r="EK124" s="302" t="n"/>
      <x:c r="EL124" s="302" t="n"/>
      <x:c r="EM124" s="302" t="n"/>
      <x:c r="EN124" s="302" t="n"/>
      <x:c r="EO124" s="302" t="n"/>
      <x:c r="EP124" s="302" t="n"/>
      <x:c r="EQ124" s="302" t="n"/>
      <x:c r="ER124" s="302" t="n"/>
      <x:c r="ES124" s="302" t="n"/>
      <x:c r="ET124" s="302" t="n"/>
      <x:c r="EU124" s="302" t="n"/>
      <x:c r="EV124" s="302" t="n"/>
      <x:c r="EW124" s="302" t="n"/>
      <x:c r="EX124" s="302" t="n"/>
      <x:c r="EY124" s="302" t="n"/>
    </x:row>
    <x:row r="125" s="27" customFormat="1">
      <x:c r="A125" s="38" t="n"/>
      <x:c r="B125" s="37" t="n"/>
      <x:c r="C125" s="36" t="n">
        <x:f>E125*D$5</x:f>
        <x:v>0.05052</x:v>
      </x:c>
      <x:c r="D125" s="20" t="inlineStr">
        <x:is>
          <x:t xml:space="preserve">Joel Ibeling</x:t>
        </x:is>
      </x:c>
      <x:c r="E125" s="36" t="n">
        <x:f>SUM(G125:HS125)</x:f>
        <x:v>0.00031575</x:v>
      </x:c>
      <x:c r="F125" s="126" t="inlineStr">
        <x:is>
          <x:t xml:space="preserve"/>
        </x:is>
      </x:c>
      <x:c r="G125" s="302" t="n"/>
      <x:c r="H125" s="302" t="n"/>
      <x:c r="I125" s="302" t="n"/>
      <x:c r="J125" s="302" t="n"/>
      <x:c r="K125" s="302" t="n"/>
      <x:c r="L125" s="302" t="n"/>
      <x:c r="M125" s="302" t="n"/>
      <x:c r="N125" s="302" t="n"/>
      <x:c r="O125" s="302" t="n"/>
      <x:c r="P125" s="100" t="n"/>
      <x:c r="Q125" s="302" t="n"/>
      <x:c r="R125" s="302" t="n"/>
      <x:c r="S125" s="302" t="n"/>
      <x:c r="T125" s="302" t="n"/>
      <x:c r="U125" s="302" t="n"/>
      <x:c r="V125" s="302" t="n"/>
      <x:c r="W125" s="302" t="n"/>
      <x:c r="X125" s="302" t="n"/>
      <x:c r="Y125" s="100" t="n"/>
      <x:c r="Z125" s="100" t="n"/>
      <x:c r="AA125" s="100" t="n"/>
      <x:c r="AB125" s="100" t="n"/>
      <x:c r="AC125" s="100" t="n"/>
      <x:c r="AD125" s="100" t="n"/>
      <x:c r="AE125" s="100" t="n"/>
      <x:c r="AF125" s="302" t="n"/>
      <x:c r="AG125" s="100" t="n"/>
      <x:c r="AH125" s="302" t="n"/>
      <x:c r="AI125" s="100" t="n"/>
      <x:c r="AJ125" s="302" t="n"/>
      <x:c r="AK125" s="302" t="n"/>
      <x:c r="AL125" s="302" t="n"/>
      <x:c r="AM125" s="302" t="n"/>
      <x:c r="AN125" s="302" t="n"/>
      <x:c r="AO125" s="302" t="n"/>
      <x:c r="AP125" s="302" t="n"/>
      <x:c r="AQ125" s="302" t="n"/>
      <x:c r="AR125" s="302" t="n"/>
      <x:c r="AS125" s="302" t="n"/>
      <x:c r="AT125" s="302" t="n"/>
      <x:c r="AU125" s="302" t="n"/>
      <x:c r="AV125" s="302" t="n"/>
      <x:c r="AW125" s="302" t="n"/>
      <x:c r="AX125" s="302" t="n"/>
      <x:c r="AY125" s="302" t="n"/>
      <x:c r="AZ125" s="302" t="n"/>
      <x:c r="BA125" s="302" t="n"/>
      <x:c r="BB125" s="302" t="n"/>
      <x:c r="BC125" s="302" t="n"/>
      <x:c r="BD125" s="302" t="n"/>
      <x:c r="BE125" s="302" t="n"/>
      <x:c r="BF125" s="302" t="n"/>
      <x:c r="BG125" s="302" t="n"/>
      <x:c r="BH125" s="302" t="n"/>
      <x:c r="BI125" s="302" t="n"/>
      <x:c r="BJ125" s="302" t="n"/>
      <x:c r="BK125" s="302" t="n"/>
      <x:c r="BL125" s="302" t="n"/>
      <x:c r="BM125" s="302" t="n"/>
      <x:c r="BN125" s="302" t="n"/>
      <x:c r="BO125" s="302" t="n"/>
      <x:c r="BP125" s="302" t="n"/>
      <x:c r="BQ125" s="302" t="n"/>
      <x:c r="BR125" s="302" t="n"/>
      <x:c r="BS125" s="302" t="n"/>
      <x:c r="BT125" s="302" t="n"/>
      <x:c r="BU125" s="302" t="n"/>
      <x:c r="BV125" s="302" t="n"/>
      <x:c r="BW125" s="302" t="n"/>
      <x:c r="BX125" s="302" t="n"/>
      <x:c r="BY125" s="302" t="n"/>
      <x:c r="BZ125" s="302" t="n"/>
      <x:c r="CA125" s="302" t="n"/>
      <x:c r="CB125" s="302" t="n"/>
      <x:c r="CC125" s="302" t="n"/>
      <x:c r="CD125" s="302" t="n"/>
      <x:c r="CE125" s="302" t="n"/>
      <x:c r="CF125" s="302" t="n"/>
      <x:c r="CG125" s="302" t="n"/>
      <x:c r="CH125" s="302" t="n"/>
      <x:c r="CI125" s="302" t="n"/>
      <x:c r="CJ125" s="302" t="n"/>
      <x:c r="CK125" s="302" t="n"/>
      <x:c r="CL125" s="302" t="n"/>
      <x:c r="CM125" s="302" t="n"/>
      <x:c r="CN125" s="302" t="n"/>
      <x:c r="CO125" s="302" t="n"/>
      <x:c r="CP125" s="302" t="n"/>
      <x:c r="CQ125" s="302" t="n"/>
      <x:c r="CR125" s="302" t="n"/>
      <x:c r="CS125" s="302" t="n"/>
      <x:c r="CT125" s="302" t="n"/>
      <x:c r="CU125" s="302" t="n"/>
      <x:c r="CV125" s="302" t="n"/>
      <x:c r="CW125" s="302" t="n"/>
      <x:c r="CX125" s="302" t="n"/>
      <x:c r="CY125" s="302" t="n"/>
      <x:c r="CZ125" s="302" t="n"/>
      <x:c r="DA125" s="302" t="n"/>
      <x:c r="DB125" s="302" t="n"/>
      <x:c r="DC125" s="302" t="n"/>
      <x:c r="DD125" s="302" t="n"/>
      <x:c r="DE125" s="302" t="n"/>
      <x:c r="DF125" s="302" t="n"/>
      <x:c r="DG125" s="302" t="n"/>
      <x:c r="DH125" s="302" t="n"/>
      <x:c r="DI125" s="302" t="n"/>
      <x:c r="DJ125" s="302" t="n"/>
      <x:c r="DK125" s="302" t="n"/>
      <x:c r="DL125" s="302" t="n"/>
      <x:c r="DM125" s="302" t="n"/>
      <x:c r="DN125" s="302" t="n"/>
      <x:c r="DO125" s="302" t="n"/>
      <x:c r="DP125" s="302" t="n"/>
      <x:c r="DQ125" s="302" t="n"/>
      <x:c r="DR125" s="302" t="n"/>
      <x:c r="DS125" s="302" t="n"/>
      <x:c r="DT125" s="302" t="n"/>
      <x:c r="DU125" s="302" t="n"/>
      <x:c r="DV125" s="302" t="n"/>
      <x:c r="DW125" s="302" t="n"/>
      <x:c r="DX125" s="302" t="n"/>
      <x:c r="DY125" s="302" t="n"/>
      <x:c r="DZ125" s="302" t="n"/>
      <x:c r="EA125" s="302" t="n"/>
      <x:c r="EB125" s="302" t="n"/>
      <x:c r="EC125" s="302" t="n"/>
      <x:c r="ED125" s="302" t="n"/>
      <x:c r="EE125" s="302" t="n"/>
      <x:c r="EF125" s="302" t="n"/>
      <x:c r="EG125" s="302" t="n"/>
      <x:c r="EH125" s="302" t="n"/>
      <x:c r="EI125" s="302" t="n"/>
      <x:c r="EJ125" s="302" t="n">
        <x:v>0.00031575</x:v>
      </x:c>
      <x:c r="EK125" s="302" t="n"/>
      <x:c r="EL125" s="302" t="n"/>
      <x:c r="EM125" s="302" t="n"/>
      <x:c r="EN125" s="302" t="n"/>
      <x:c r="EO125" s="302" t="n"/>
      <x:c r="EP125" s="302" t="n"/>
      <x:c r="EQ125" s="302" t="n"/>
      <x:c r="ER125" s="302" t="n"/>
      <x:c r="ES125" s="302" t="n"/>
      <x:c r="ET125" s="302" t="n"/>
      <x:c r="EU125" s="302" t="n"/>
      <x:c r="EV125" s="302" t="n"/>
      <x:c r="EW125" s="302" t="n"/>
      <x:c r="EX125" s="302" t="n"/>
      <x:c r="EY125" s="302" t="n"/>
    </x:row>
    <x:row r="126" s="27" customFormat="1">
      <x:c r="A126" s="38" t="n"/>
      <x:c r="B126" s="37" t="n"/>
      <x:c r="C126" s="36" t="n">
        <x:f>E126*D$5</x:f>
        <x:v>0.05052</x:v>
      </x:c>
      <x:c r="D126" s="20" t="inlineStr">
        <x:is>
          <x:t xml:space="preserve">Janelle Ibeling Ness</x:t>
        </x:is>
      </x:c>
      <x:c r="E126" s="36" t="n">
        <x:f>SUM(G126:HS126)</x:f>
        <x:v>0.00031575</x:v>
      </x:c>
      <x:c r="F126" s="126" t="inlineStr">
        <x:is>
          <x:t xml:space="preserve"/>
        </x:is>
      </x:c>
      <x:c r="G126" s="302" t="n"/>
      <x:c r="H126" s="302" t="n"/>
      <x:c r="I126" s="302" t="n"/>
      <x:c r="J126" s="302" t="n"/>
      <x:c r="K126" s="302" t="n"/>
      <x:c r="L126" s="302" t="n"/>
      <x:c r="M126" s="302" t="n"/>
      <x:c r="N126" s="302" t="n"/>
      <x:c r="O126" s="302" t="n"/>
      <x:c r="P126" s="100" t="n"/>
      <x:c r="Q126" s="302" t="n"/>
      <x:c r="R126" s="302" t="n"/>
      <x:c r="S126" s="302" t="n"/>
      <x:c r="T126" s="302" t="n"/>
      <x:c r="U126" s="302" t="n"/>
      <x:c r="V126" s="302" t="n"/>
      <x:c r="W126" s="302" t="n"/>
      <x:c r="X126" s="302" t="n"/>
      <x:c r="Y126" s="100" t="n"/>
      <x:c r="Z126" s="100" t="n"/>
      <x:c r="AA126" s="100" t="n"/>
      <x:c r="AB126" s="100" t="n"/>
      <x:c r="AC126" s="100" t="n"/>
      <x:c r="AD126" s="100" t="n"/>
      <x:c r="AE126" s="100" t="n"/>
      <x:c r="AF126" s="302" t="n"/>
      <x:c r="AG126" s="100" t="n"/>
      <x:c r="AH126" s="302" t="n"/>
      <x:c r="AI126" s="100" t="n"/>
      <x:c r="AJ126" s="302" t="n"/>
      <x:c r="AK126" s="302" t="n"/>
      <x:c r="AL126" s="302" t="n"/>
      <x:c r="AM126" s="302" t="n"/>
      <x:c r="AN126" s="302" t="n"/>
      <x:c r="AO126" s="302" t="n"/>
      <x:c r="AP126" s="302" t="n"/>
      <x:c r="AQ126" s="302" t="n"/>
      <x:c r="AR126" s="302" t="n"/>
      <x:c r="AS126" s="302" t="n"/>
      <x:c r="AT126" s="302" t="n"/>
      <x:c r="AU126" s="302" t="n"/>
      <x:c r="AV126" s="302" t="n"/>
      <x:c r="AW126" s="302" t="n"/>
      <x:c r="AX126" s="302" t="n"/>
      <x:c r="AY126" s="302" t="n"/>
      <x:c r="AZ126" s="302" t="n"/>
      <x:c r="BA126" s="302" t="n"/>
      <x:c r="BB126" s="302" t="n"/>
      <x:c r="BC126" s="302" t="n"/>
      <x:c r="BD126" s="302" t="n"/>
      <x:c r="BE126" s="302" t="n"/>
      <x:c r="BF126" s="302" t="n"/>
      <x:c r="BG126" s="302" t="n"/>
      <x:c r="BH126" s="302" t="n"/>
      <x:c r="BI126" s="302" t="n"/>
      <x:c r="BJ126" s="302" t="n"/>
      <x:c r="BK126" s="302" t="n"/>
      <x:c r="BL126" s="302" t="n"/>
      <x:c r="BM126" s="302" t="n"/>
      <x:c r="BN126" s="302" t="n"/>
      <x:c r="BO126" s="302" t="n"/>
      <x:c r="BP126" s="302" t="n"/>
      <x:c r="BQ126" s="302" t="n"/>
      <x:c r="BR126" s="302" t="n"/>
      <x:c r="BS126" s="302" t="n"/>
      <x:c r="BT126" s="302" t="n"/>
      <x:c r="BU126" s="302" t="n"/>
      <x:c r="BV126" s="302" t="n"/>
      <x:c r="BW126" s="302" t="n"/>
      <x:c r="BX126" s="302" t="n"/>
      <x:c r="BY126" s="302" t="n"/>
      <x:c r="BZ126" s="302" t="n"/>
      <x:c r="CA126" s="302" t="n"/>
      <x:c r="CB126" s="302" t="n"/>
      <x:c r="CC126" s="302" t="n"/>
      <x:c r="CD126" s="302" t="n"/>
      <x:c r="CE126" s="302" t="n"/>
      <x:c r="CF126" s="302" t="n"/>
      <x:c r="CG126" s="302" t="n"/>
      <x:c r="CH126" s="302" t="n"/>
      <x:c r="CI126" s="302" t="n"/>
      <x:c r="CJ126" s="302" t="n"/>
      <x:c r="CK126" s="302" t="n"/>
      <x:c r="CL126" s="302" t="n"/>
      <x:c r="CM126" s="302" t="n"/>
      <x:c r="CN126" s="302" t="n"/>
      <x:c r="CO126" s="302" t="n"/>
      <x:c r="CP126" s="302" t="n"/>
      <x:c r="CQ126" s="302" t="n"/>
      <x:c r="CR126" s="302" t="n"/>
      <x:c r="CS126" s="302" t="n"/>
      <x:c r="CT126" s="302" t="n"/>
      <x:c r="CU126" s="302" t="n"/>
      <x:c r="CV126" s="302" t="n"/>
      <x:c r="CW126" s="302" t="n"/>
      <x:c r="CX126" s="302" t="n"/>
      <x:c r="CY126" s="302" t="n"/>
      <x:c r="CZ126" s="302" t="n"/>
      <x:c r="DA126" s="302" t="n"/>
      <x:c r="DB126" s="302" t="n"/>
      <x:c r="DC126" s="302" t="n"/>
      <x:c r="DD126" s="302" t="n"/>
      <x:c r="DE126" s="302" t="n"/>
      <x:c r="DF126" s="302" t="n"/>
      <x:c r="DG126" s="302" t="n"/>
      <x:c r="DH126" s="302" t="n"/>
      <x:c r="DI126" s="302" t="n"/>
      <x:c r="DJ126" s="302" t="n"/>
      <x:c r="DK126" s="302" t="n"/>
      <x:c r="DL126" s="302" t="n"/>
      <x:c r="DM126" s="302" t="n"/>
      <x:c r="DN126" s="302" t="n"/>
      <x:c r="DO126" s="302" t="n"/>
      <x:c r="DP126" s="302" t="n"/>
      <x:c r="DQ126" s="302" t="n"/>
      <x:c r="DR126" s="302" t="n"/>
      <x:c r="DS126" s="302" t="n"/>
      <x:c r="DT126" s="302" t="n"/>
      <x:c r="DU126" s="302" t="n"/>
      <x:c r="DV126" s="302" t="n"/>
      <x:c r="DW126" s="302" t="n"/>
      <x:c r="DX126" s="302" t="n"/>
      <x:c r="DY126" s="302" t="n"/>
      <x:c r="DZ126" s="302" t="n"/>
      <x:c r="EA126" s="302" t="n"/>
      <x:c r="EB126" s="302" t="n"/>
      <x:c r="EC126" s="302" t="n"/>
      <x:c r="ED126" s="302" t="n"/>
      <x:c r="EE126" s="302" t="n"/>
      <x:c r="EF126" s="302" t="n"/>
      <x:c r="EG126" s="302" t="n"/>
      <x:c r="EH126" s="302" t="n"/>
      <x:c r="EI126" s="302" t="n"/>
      <x:c r="EJ126" s="302" t="n">
        <x:v>0.00031575</x:v>
      </x:c>
      <x:c r="EK126" s="302" t="n"/>
      <x:c r="EL126" s="302" t="n"/>
      <x:c r="EM126" s="302" t="n"/>
      <x:c r="EN126" s="302" t="n"/>
      <x:c r="EO126" s="302" t="n"/>
      <x:c r="EP126" s="302" t="n"/>
      <x:c r="EQ126" s="302" t="n"/>
      <x:c r="ER126" s="302" t="n"/>
      <x:c r="ES126" s="302" t="n"/>
      <x:c r="ET126" s="302" t="n"/>
      <x:c r="EU126" s="302" t="n"/>
      <x:c r="EV126" s="302" t="n"/>
      <x:c r="EW126" s="302" t="n"/>
      <x:c r="EX126" s="302" t="n"/>
      <x:c r="EY126" s="302" t="n"/>
    </x:row>
    <x:row r="127" s="27" customFormat="1">
      <x:c r="A127" s="38" t="n"/>
      <x:c r="B127" s="37" t="n"/>
      <x:c r="C127" s="36" t="n">
        <x:f>E127*D$5</x:f>
        <x:v>0.05052</x:v>
      </x:c>
      <x:c r="D127" s="20" t="inlineStr">
        <x:is>
          <x:t xml:space="preserve">Cassandra Wynia</x:t>
        </x:is>
      </x:c>
      <x:c r="E127" s="36" t="n">
        <x:f>SUM(G127:HS127)</x:f>
        <x:v>0.00031575</x:v>
      </x:c>
      <x:c r="F127" s="126" t="inlineStr">
        <x:is>
          <x:t xml:space="preserve"/>
        </x:is>
      </x:c>
      <x:c r="G127" s="302" t="n"/>
      <x:c r="H127" s="302" t="n"/>
      <x:c r="I127" s="302" t="n"/>
      <x:c r="J127" s="302" t="n"/>
      <x:c r="K127" s="302" t="n"/>
      <x:c r="L127" s="302" t="n"/>
      <x:c r="M127" s="302" t="n"/>
      <x:c r="N127" s="302" t="n"/>
      <x:c r="O127" s="302" t="n"/>
      <x:c r="P127" s="100" t="n"/>
      <x:c r="Q127" s="302" t="n"/>
      <x:c r="R127" s="302" t="n"/>
      <x:c r="S127" s="302" t="n"/>
      <x:c r="T127" s="302" t="n"/>
      <x:c r="U127" s="302" t="n"/>
      <x:c r="V127" s="302" t="n"/>
      <x:c r="W127" s="302" t="n"/>
      <x:c r="X127" s="302" t="n"/>
      <x:c r="Y127" s="100" t="n"/>
      <x:c r="Z127" s="100" t="n"/>
      <x:c r="AA127" s="100" t="n"/>
      <x:c r="AB127" s="100" t="n"/>
      <x:c r="AC127" s="100" t="n"/>
      <x:c r="AD127" s="100" t="n"/>
      <x:c r="AE127" s="100" t="n"/>
      <x:c r="AF127" s="302" t="n"/>
      <x:c r="AG127" s="100" t="n"/>
      <x:c r="AH127" s="302" t="n"/>
      <x:c r="AI127" s="100" t="n"/>
      <x:c r="AJ127" s="302" t="n"/>
      <x:c r="AK127" s="302" t="n"/>
      <x:c r="AL127" s="302" t="n"/>
      <x:c r="AM127" s="302" t="n"/>
      <x:c r="AN127" s="302" t="n"/>
      <x:c r="AO127" s="302" t="n"/>
      <x:c r="AP127" s="302" t="n"/>
      <x:c r="AQ127" s="302" t="n"/>
      <x:c r="AR127" s="302" t="n"/>
      <x:c r="AS127" s="302" t="n"/>
      <x:c r="AT127" s="302" t="n"/>
      <x:c r="AU127" s="302" t="n"/>
      <x:c r="AV127" s="302" t="n"/>
      <x:c r="AW127" s="302" t="n"/>
      <x:c r="AX127" s="302" t="n"/>
      <x:c r="AY127" s="302" t="n"/>
      <x:c r="AZ127" s="302" t="n"/>
      <x:c r="BA127" s="302" t="n"/>
      <x:c r="BB127" s="302" t="n"/>
      <x:c r="BC127" s="302" t="n"/>
      <x:c r="BD127" s="302" t="n"/>
      <x:c r="BE127" s="302" t="n"/>
      <x:c r="BF127" s="302" t="n"/>
      <x:c r="BG127" s="302" t="n"/>
      <x:c r="BH127" s="302" t="n"/>
      <x:c r="BI127" s="302" t="n"/>
      <x:c r="BJ127" s="302" t="n"/>
      <x:c r="BK127" s="302" t="n"/>
      <x:c r="BL127" s="302" t="n"/>
      <x:c r="BM127" s="302" t="n"/>
      <x:c r="BN127" s="302" t="n"/>
      <x:c r="BO127" s="302" t="n"/>
      <x:c r="BP127" s="302" t="n"/>
      <x:c r="BQ127" s="302" t="n"/>
      <x:c r="BR127" s="302" t="n"/>
      <x:c r="BS127" s="302" t="n"/>
      <x:c r="BT127" s="302" t="n"/>
      <x:c r="BU127" s="302" t="n"/>
      <x:c r="BV127" s="302" t="n"/>
      <x:c r="BW127" s="302" t="n"/>
      <x:c r="BX127" s="302" t="n"/>
      <x:c r="BY127" s="302" t="n"/>
      <x:c r="BZ127" s="302" t="n"/>
      <x:c r="CA127" s="302" t="n"/>
      <x:c r="CB127" s="302" t="n"/>
      <x:c r="CC127" s="302" t="n"/>
      <x:c r="CD127" s="302" t="n"/>
      <x:c r="CE127" s="302" t="n"/>
      <x:c r="CF127" s="302" t="n"/>
      <x:c r="CG127" s="302" t="n"/>
      <x:c r="CH127" s="302" t="n"/>
      <x:c r="CI127" s="302" t="n"/>
      <x:c r="CJ127" s="302" t="n"/>
      <x:c r="CK127" s="302" t="n"/>
      <x:c r="CL127" s="302" t="n"/>
      <x:c r="CM127" s="302" t="n"/>
      <x:c r="CN127" s="302" t="n"/>
      <x:c r="CO127" s="302" t="n"/>
      <x:c r="CP127" s="302" t="n"/>
      <x:c r="CQ127" s="302" t="n"/>
      <x:c r="CR127" s="302" t="n"/>
      <x:c r="CS127" s="302" t="n"/>
      <x:c r="CT127" s="302" t="n"/>
      <x:c r="CU127" s="302" t="n"/>
      <x:c r="CV127" s="302" t="n"/>
      <x:c r="CW127" s="302" t="n"/>
      <x:c r="CX127" s="302" t="n"/>
      <x:c r="CY127" s="302" t="n"/>
      <x:c r="CZ127" s="302" t="n"/>
      <x:c r="DA127" s="302" t="n"/>
      <x:c r="DB127" s="302" t="n"/>
      <x:c r="DC127" s="302" t="n"/>
      <x:c r="DD127" s="302" t="n"/>
      <x:c r="DE127" s="302" t="n"/>
      <x:c r="DF127" s="302" t="n"/>
      <x:c r="DG127" s="302" t="n"/>
      <x:c r="DH127" s="302" t="n"/>
      <x:c r="DI127" s="302" t="n"/>
      <x:c r="DJ127" s="302" t="n"/>
      <x:c r="DK127" s="302" t="n"/>
      <x:c r="DL127" s="302" t="n"/>
      <x:c r="DM127" s="302" t="n"/>
      <x:c r="DN127" s="302" t="n"/>
      <x:c r="DO127" s="302" t="n"/>
      <x:c r="DP127" s="302" t="n"/>
      <x:c r="DQ127" s="302" t="n"/>
      <x:c r="DR127" s="302" t="n"/>
      <x:c r="DS127" s="302" t="n"/>
      <x:c r="DT127" s="302" t="n"/>
      <x:c r="DU127" s="302" t="n"/>
      <x:c r="DV127" s="302" t="n"/>
      <x:c r="DW127" s="302" t="n"/>
      <x:c r="DX127" s="302" t="n"/>
      <x:c r="DY127" s="302" t="n"/>
      <x:c r="DZ127" s="302" t="n"/>
      <x:c r="EA127" s="302" t="n"/>
      <x:c r="EB127" s="302" t="n"/>
      <x:c r="EC127" s="302" t="n"/>
      <x:c r="ED127" s="302" t="n"/>
      <x:c r="EE127" s="302" t="n"/>
      <x:c r="EF127" s="302" t="n"/>
      <x:c r="EG127" s="302" t="n"/>
      <x:c r="EH127" s="302" t="n"/>
      <x:c r="EI127" s="302" t="n"/>
      <x:c r="EJ127" s="302" t="n">
        <x:v>0.00031575</x:v>
      </x:c>
      <x:c r="EK127" s="302" t="n"/>
      <x:c r="EL127" s="302" t="n"/>
      <x:c r="EM127" s="302" t="n"/>
      <x:c r="EN127" s="302" t="n"/>
      <x:c r="EO127" s="302" t="n"/>
      <x:c r="EP127" s="302" t="n"/>
      <x:c r="EQ127" s="302" t="n"/>
      <x:c r="ER127" s="302" t="n"/>
      <x:c r="ES127" s="302" t="n"/>
      <x:c r="ET127" s="302" t="n"/>
      <x:c r="EU127" s="302" t="n"/>
      <x:c r="EV127" s="302" t="n"/>
      <x:c r="EW127" s="302" t="n"/>
      <x:c r="EX127" s="302" t="n"/>
      <x:c r="EY127" s="302" t="n"/>
    </x:row>
    <x:row r="128" s="27" customFormat="1">
      <x:c r="A128" s="38" t="n"/>
      <x:c r="B128" s="37" t="n"/>
      <x:c r="C128" s="36" t="n">
        <x:f>E128*D$5</x:f>
        <x:v>0</x:v>
      </x:c>
      <x:c r="D128" s="20" t="n"/>
      <x:c r="E128" s="36" t="n">
        <x:f>SUM(G128:HS128)</x:f>
        <x:v>0</x:v>
      </x:c>
      <x:c r="F128" s="126" t="inlineStr">
        <x:is>
          <x:t xml:space="preserve"/>
        </x:is>
      </x:c>
      <x:c r="G128" s="302" t="n"/>
      <x:c r="H128" s="302" t="n"/>
      <x:c r="I128" s="302" t="n"/>
      <x:c r="J128" s="302" t="n"/>
      <x:c r="K128" s="302" t="n"/>
      <x:c r="L128" s="302" t="n"/>
      <x:c r="M128" s="302" t="n"/>
      <x:c r="N128" s="302" t="n"/>
      <x:c r="O128" s="302" t="n"/>
      <x:c r="P128" s="100" t="n"/>
      <x:c r="Q128" s="302" t="n"/>
      <x:c r="R128" s="302" t="n"/>
      <x:c r="S128" s="302" t="n"/>
      <x:c r="T128" s="302" t="n"/>
      <x:c r="U128" s="302" t="n"/>
      <x:c r="V128" s="302" t="n"/>
      <x:c r="W128" s="302" t="n"/>
      <x:c r="X128" s="302" t="n"/>
      <x:c r="Y128" s="100" t="n"/>
      <x:c r="Z128" s="100" t="n"/>
      <x:c r="AA128" s="100" t="n"/>
      <x:c r="AB128" s="100" t="n"/>
      <x:c r="AC128" s="100" t="n"/>
      <x:c r="AD128" s="100" t="n"/>
      <x:c r="AE128" s="100" t="n"/>
      <x:c r="AF128" s="302" t="n"/>
      <x:c r="AG128" s="100" t="n"/>
      <x:c r="AH128" s="302" t="n"/>
      <x:c r="AI128" s="100" t="n"/>
      <x:c r="AJ128" s="302" t="n"/>
      <x:c r="AK128" s="302" t="n"/>
      <x:c r="AL128" s="302" t="n"/>
      <x:c r="AM128" s="302" t="n"/>
      <x:c r="AN128" s="302" t="n"/>
      <x:c r="AO128" s="302" t="n"/>
      <x:c r="AP128" s="302" t="n"/>
      <x:c r="AQ128" s="302" t="n"/>
      <x:c r="AR128" s="302" t="n"/>
      <x:c r="AS128" s="302" t="n"/>
      <x:c r="AT128" s="302" t="n"/>
      <x:c r="AU128" s="302" t="n"/>
      <x:c r="AV128" s="302" t="n"/>
      <x:c r="AW128" s="302" t="n"/>
      <x:c r="AX128" s="302" t="n"/>
      <x:c r="AY128" s="302" t="n"/>
      <x:c r="AZ128" s="302" t="n"/>
      <x:c r="BA128" s="302" t="n"/>
      <x:c r="BB128" s="302" t="n"/>
      <x:c r="BC128" s="302" t="n"/>
      <x:c r="BD128" s="302" t="n"/>
      <x:c r="BE128" s="302" t="n"/>
      <x:c r="BF128" s="302" t="n"/>
      <x:c r="BG128" s="302" t="n"/>
      <x:c r="BH128" s="302" t="n"/>
      <x:c r="BI128" s="302" t="n"/>
      <x:c r="BJ128" s="302" t="n"/>
      <x:c r="BK128" s="302" t="n"/>
      <x:c r="BL128" s="302" t="n"/>
      <x:c r="BM128" s="302" t="n"/>
      <x:c r="BN128" s="302" t="n"/>
      <x:c r="BO128" s="302" t="n"/>
      <x:c r="BP128" s="302" t="n"/>
      <x:c r="BQ128" s="302" t="n"/>
      <x:c r="BR128" s="302" t="n"/>
      <x:c r="BS128" s="302" t="n"/>
      <x:c r="BT128" s="302" t="n"/>
      <x:c r="BU128" s="302" t="n"/>
      <x:c r="BV128" s="302" t="n"/>
      <x:c r="BW128" s="302" t="n"/>
      <x:c r="BX128" s="302" t="n"/>
      <x:c r="BY128" s="302" t="n"/>
      <x:c r="BZ128" s="302" t="n"/>
      <x:c r="CA128" s="302" t="n"/>
      <x:c r="CB128" s="302" t="n"/>
      <x:c r="CC128" s="302" t="n"/>
      <x:c r="CD128" s="302" t="n"/>
      <x:c r="CE128" s="302" t="n"/>
      <x:c r="CF128" s="302" t="n"/>
      <x:c r="CG128" s="302" t="n"/>
      <x:c r="CH128" s="302" t="n"/>
      <x:c r="CI128" s="302" t="n"/>
      <x:c r="CJ128" s="302" t="n"/>
      <x:c r="CK128" s="302" t="n"/>
      <x:c r="CL128" s="302" t="n"/>
      <x:c r="CM128" s="302" t="n"/>
      <x:c r="CN128" s="302" t="n"/>
      <x:c r="CO128" s="302" t="n"/>
      <x:c r="CP128" s="302" t="n"/>
      <x:c r="CQ128" s="302" t="n"/>
      <x:c r="CR128" s="302" t="n"/>
      <x:c r="CS128" s="302" t="n"/>
      <x:c r="CT128" s="302" t="n"/>
      <x:c r="CU128" s="302" t="n"/>
      <x:c r="CV128" s="302" t="n"/>
      <x:c r="CW128" s="302" t="n"/>
      <x:c r="CX128" s="302" t="n"/>
      <x:c r="CY128" s="302" t="n"/>
      <x:c r="CZ128" s="302" t="n"/>
      <x:c r="DA128" s="302" t="n"/>
      <x:c r="DB128" s="302" t="n"/>
      <x:c r="DC128" s="302" t="n"/>
      <x:c r="DD128" s="302" t="n"/>
      <x:c r="DE128" s="302" t="n"/>
      <x:c r="DF128" s="302" t="n"/>
      <x:c r="DG128" s="302" t="n"/>
      <x:c r="DH128" s="302" t="n"/>
      <x:c r="DI128" s="302" t="n"/>
      <x:c r="DJ128" s="302" t="n"/>
      <x:c r="DK128" s="302" t="n"/>
      <x:c r="DL128" s="302" t="n"/>
      <x:c r="DM128" s="302" t="n"/>
      <x:c r="DN128" s="302" t="n"/>
      <x:c r="DO128" s="302" t="n"/>
      <x:c r="DP128" s="302" t="n"/>
      <x:c r="DQ128" s="302" t="n"/>
      <x:c r="DR128" s="302" t="n"/>
      <x:c r="DS128" s="302" t="n"/>
      <x:c r="DT128" s="302" t="n"/>
      <x:c r="DU128" s="302" t="n"/>
      <x:c r="DV128" s="302" t="n"/>
      <x:c r="DW128" s="302" t="n"/>
      <x:c r="DX128" s="302" t="n"/>
      <x:c r="DY128" s="302" t="n"/>
      <x:c r="DZ128" s="302" t="n"/>
      <x:c r="EA128" s="302" t="n"/>
      <x:c r="EB128" s="302" t="n"/>
      <x:c r="EC128" s="302" t="n"/>
      <x:c r="ED128" s="302" t="n"/>
      <x:c r="EE128" s="302" t="n"/>
      <x:c r="EF128" s="302" t="n"/>
      <x:c r="EG128" s="302" t="n"/>
      <x:c r="EH128" s="302" t="n"/>
      <x:c r="EI128" s="302" t="n"/>
      <x:c r="EJ128" s="302" t="n"/>
      <x:c r="EK128" s="302" t="n"/>
      <x:c r="EL128" s="302" t="n"/>
      <x:c r="EM128" s="302" t="n"/>
      <x:c r="EN128" s="302" t="n"/>
      <x:c r="EO128" s="302" t="n"/>
      <x:c r="EP128" s="302" t="n"/>
      <x:c r="EQ128" s="302" t="n"/>
      <x:c r="ER128" s="302" t="n"/>
      <x:c r="ES128" s="302" t="n"/>
      <x:c r="ET128" s="302" t="n"/>
      <x:c r="EU128" s="302" t="n"/>
      <x:c r="EV128" s="302" t="n"/>
      <x:c r="EW128" s="302" t="n"/>
      <x:c r="EX128" s="302" t="n"/>
      <x:c r="EY128" s="302" t="n"/>
    </x:row>
    <x:row r="129" s="27" customFormat="1">
      <x:c r="A129" s="38" t="n"/>
      <x:c r="B129" s="37" t="n"/>
      <x:c r="C129" s="36" t="n">
        <x:f>E129*D$5</x:f>
        <x:v>0</x:v>
      </x:c>
      <x:c r="D129" s="20" t="n"/>
      <x:c r="E129" s="36" t="n">
        <x:f>SUM(G129:HS129)</x:f>
        <x:v>0</x:v>
      </x:c>
      <x:c r="F129" s="126" t="inlineStr">
        <x:is>
          <x:t xml:space="preserve"/>
        </x:is>
      </x:c>
      <x:c r="G129" s="302" t="n"/>
      <x:c r="H129" s="302" t="n"/>
      <x:c r="I129" s="302" t="n"/>
      <x:c r="J129" s="302" t="n"/>
      <x:c r="K129" s="302" t="n"/>
      <x:c r="L129" s="302" t="n"/>
      <x:c r="M129" s="302" t="n"/>
      <x:c r="N129" s="302" t="n"/>
      <x:c r="O129" s="302" t="n"/>
      <x:c r="P129" s="100" t="n"/>
      <x:c r="Q129" s="302" t="n"/>
      <x:c r="R129" s="302" t="n"/>
      <x:c r="S129" s="302" t="n"/>
      <x:c r="T129" s="302" t="n"/>
      <x:c r="U129" s="302" t="n"/>
      <x:c r="V129" s="302" t="n"/>
      <x:c r="W129" s="302" t="n"/>
      <x:c r="X129" s="302" t="n"/>
      <x:c r="Y129" s="100" t="n"/>
      <x:c r="Z129" s="100" t="n"/>
      <x:c r="AA129" s="100" t="n"/>
      <x:c r="AB129" s="100" t="n"/>
      <x:c r="AC129" s="100" t="n"/>
      <x:c r="AD129" s="100" t="n"/>
      <x:c r="AE129" s="100" t="n"/>
      <x:c r="AF129" s="302" t="n"/>
      <x:c r="AG129" s="100" t="n"/>
      <x:c r="AH129" s="302" t="n"/>
      <x:c r="AI129" s="100" t="n"/>
      <x:c r="AJ129" s="302" t="n"/>
      <x:c r="AK129" s="302" t="n"/>
      <x:c r="AL129" s="302" t="n"/>
      <x:c r="AM129" s="302" t="n"/>
      <x:c r="AN129" s="302" t="n"/>
      <x:c r="AO129" s="302" t="n"/>
      <x:c r="AP129" s="302" t="n"/>
      <x:c r="AQ129" s="302" t="n"/>
      <x:c r="AR129" s="302" t="n"/>
      <x:c r="AS129" s="302" t="n"/>
      <x:c r="AT129" s="302" t="n"/>
      <x:c r="AU129" s="302" t="n"/>
      <x:c r="AV129" s="302" t="n"/>
      <x:c r="AW129" s="302" t="n"/>
      <x:c r="AX129" s="302" t="n"/>
      <x:c r="AY129" s="302" t="n"/>
      <x:c r="AZ129" s="302" t="n"/>
      <x:c r="BA129" s="302" t="n"/>
      <x:c r="BB129" s="302" t="n"/>
      <x:c r="BC129" s="302" t="n"/>
      <x:c r="BD129" s="302" t="n"/>
      <x:c r="BE129" s="302" t="n"/>
      <x:c r="BF129" s="302" t="n"/>
      <x:c r="BG129" s="302" t="n"/>
      <x:c r="BH129" s="302" t="n"/>
      <x:c r="BI129" s="302" t="n"/>
      <x:c r="BJ129" s="302" t="n"/>
      <x:c r="BK129" s="302" t="n"/>
      <x:c r="BL129" s="302" t="n"/>
      <x:c r="BM129" s="302" t="n"/>
      <x:c r="BN129" s="302" t="n"/>
      <x:c r="BO129" s="302" t="n"/>
      <x:c r="BP129" s="302" t="n"/>
      <x:c r="BQ129" s="302" t="n"/>
      <x:c r="BR129" s="302" t="n"/>
      <x:c r="BS129" s="302" t="n"/>
      <x:c r="BT129" s="302" t="n"/>
      <x:c r="BU129" s="302" t="n"/>
      <x:c r="BV129" s="302" t="n"/>
      <x:c r="BW129" s="302" t="n"/>
      <x:c r="BX129" s="302" t="n"/>
      <x:c r="BY129" s="302" t="n"/>
      <x:c r="BZ129" s="302" t="n"/>
      <x:c r="CA129" s="302" t="n"/>
      <x:c r="CB129" s="302" t="n"/>
      <x:c r="CC129" s="302" t="n"/>
      <x:c r="CD129" s="302" t="n"/>
      <x:c r="CE129" s="302" t="n"/>
      <x:c r="CF129" s="302" t="n"/>
      <x:c r="CG129" s="302" t="n"/>
      <x:c r="CH129" s="302" t="n"/>
      <x:c r="CI129" s="302" t="n"/>
      <x:c r="CJ129" s="302" t="n"/>
      <x:c r="CK129" s="302" t="n"/>
      <x:c r="CL129" s="302" t="n"/>
      <x:c r="CM129" s="302" t="n"/>
      <x:c r="CN129" s="302" t="n"/>
      <x:c r="CO129" s="302" t="n"/>
      <x:c r="CP129" s="302" t="n"/>
      <x:c r="CQ129" s="302" t="n"/>
      <x:c r="CR129" s="302" t="n"/>
      <x:c r="CS129" s="302" t="n"/>
      <x:c r="CT129" s="302" t="n"/>
      <x:c r="CU129" s="302" t="n"/>
      <x:c r="CV129" s="302" t="n"/>
      <x:c r="CW129" s="302" t="n"/>
      <x:c r="CX129" s="302" t="n"/>
      <x:c r="CY129" s="302" t="n"/>
      <x:c r="CZ129" s="302" t="n"/>
      <x:c r="DA129" s="302" t="n"/>
      <x:c r="DB129" s="302" t="n"/>
      <x:c r="DC129" s="302" t="n"/>
      <x:c r="DD129" s="302" t="n"/>
      <x:c r="DE129" s="302" t="n"/>
      <x:c r="DF129" s="302" t="n"/>
      <x:c r="DG129" s="302" t="n"/>
      <x:c r="DH129" s="302" t="n"/>
      <x:c r="DI129" s="302" t="n"/>
      <x:c r="DJ129" s="302" t="n"/>
      <x:c r="DK129" s="302" t="n"/>
      <x:c r="DL129" s="302" t="n"/>
      <x:c r="DM129" s="302" t="n"/>
      <x:c r="DN129" s="302" t="n"/>
      <x:c r="DO129" s="302" t="n"/>
      <x:c r="DP129" s="302" t="n"/>
      <x:c r="DQ129" s="302" t="n"/>
      <x:c r="DR129" s="302" t="n"/>
      <x:c r="DS129" s="302" t="n"/>
      <x:c r="DT129" s="302" t="n"/>
      <x:c r="DU129" s="302" t="n"/>
      <x:c r="DV129" s="302" t="n"/>
      <x:c r="DW129" s="302" t="n"/>
      <x:c r="DX129" s="302" t="n"/>
      <x:c r="DY129" s="302" t="n"/>
      <x:c r="DZ129" s="302" t="n"/>
      <x:c r="EA129" s="302" t="n"/>
      <x:c r="EB129" s="302" t="n"/>
      <x:c r="EC129" s="302" t="n"/>
      <x:c r="ED129" s="302" t="n"/>
      <x:c r="EE129" s="302" t="n"/>
      <x:c r="EF129" s="302" t="n"/>
      <x:c r="EG129" s="302" t="n"/>
      <x:c r="EH129" s="302" t="n"/>
      <x:c r="EI129" s="302" t="n"/>
      <x:c r="EJ129" s="302" t="n"/>
      <x:c r="EK129" s="302" t="n"/>
      <x:c r="EL129" s="302" t="n"/>
      <x:c r="EM129" s="302" t="n"/>
      <x:c r="EN129" s="302" t="n"/>
      <x:c r="EO129" s="302" t="n"/>
      <x:c r="EP129" s="302" t="n"/>
      <x:c r="EQ129" s="302" t="n"/>
      <x:c r="ER129" s="302" t="n"/>
      <x:c r="ES129" s="302" t="n"/>
      <x:c r="ET129" s="302" t="n"/>
      <x:c r="EU129" s="302" t="n"/>
      <x:c r="EV129" s="302" t="n"/>
      <x:c r="EW129" s="302" t="n"/>
      <x:c r="EX129" s="302" t="n"/>
      <x:c r="EY129" s="302" t="n"/>
    </x:row>
    <x:row r="130" s="27" customFormat="1">
      <x:c r="A130" s="38" t="n"/>
      <x:c r="B130" s="37" t="n"/>
      <x:c r="C130" s="36" t="n">
        <x:f>E130*D$5</x:f>
        <x:v>0</x:v>
      </x:c>
      <x:c r="D130" s="20" t="n"/>
      <x:c r="E130" s="36" t="n">
        <x:f>SUM(G130:HS130)</x:f>
        <x:v>0</x:v>
      </x:c>
      <x:c r="F130" s="126" t="inlineStr">
        <x:is>
          <x:t xml:space="preserve"/>
        </x:is>
      </x:c>
      <x:c r="G130" s="302" t="n"/>
      <x:c r="H130" s="302" t="n"/>
      <x:c r="I130" s="302" t="n"/>
      <x:c r="J130" s="302" t="n"/>
      <x:c r="K130" s="302" t="n"/>
      <x:c r="L130" s="302" t="n"/>
      <x:c r="M130" s="302" t="n"/>
      <x:c r="N130" s="302" t="n"/>
      <x:c r="O130" s="302" t="n"/>
      <x:c r="P130" s="100" t="n"/>
      <x:c r="Q130" s="302" t="n"/>
      <x:c r="R130" s="302" t="n"/>
      <x:c r="S130" s="302" t="n"/>
      <x:c r="T130" s="302" t="n"/>
      <x:c r="U130" s="302" t="n"/>
      <x:c r="V130" s="302" t="n"/>
      <x:c r="W130" s="302" t="n"/>
      <x:c r="X130" s="302" t="n"/>
      <x:c r="Y130" s="100" t="n"/>
      <x:c r="Z130" s="100" t="n"/>
      <x:c r="AA130" s="100" t="n"/>
      <x:c r="AB130" s="100" t="n"/>
      <x:c r="AC130" s="100" t="n"/>
      <x:c r="AD130" s="100" t="n"/>
      <x:c r="AE130" s="100" t="n"/>
      <x:c r="AF130" s="302" t="n"/>
      <x:c r="AG130" s="100" t="n"/>
      <x:c r="AH130" s="302" t="n"/>
      <x:c r="AI130" s="100" t="n"/>
      <x:c r="AJ130" s="302" t="n"/>
      <x:c r="AK130" s="302" t="n"/>
      <x:c r="AL130" s="302" t="n"/>
      <x:c r="AM130" s="302" t="n"/>
      <x:c r="AN130" s="302" t="n"/>
      <x:c r="AO130" s="302" t="n"/>
      <x:c r="AP130" s="302" t="n"/>
      <x:c r="AQ130" s="302" t="n"/>
      <x:c r="AR130" s="302" t="n"/>
      <x:c r="AS130" s="302" t="n"/>
      <x:c r="AT130" s="302" t="n"/>
      <x:c r="AU130" s="302" t="n"/>
      <x:c r="AV130" s="302" t="n"/>
      <x:c r="AW130" s="302" t="n"/>
      <x:c r="AX130" s="302" t="n"/>
      <x:c r="AY130" s="302" t="n"/>
      <x:c r="AZ130" s="302" t="n"/>
      <x:c r="BA130" s="302" t="n"/>
      <x:c r="BB130" s="302" t="n"/>
      <x:c r="BC130" s="302" t="n"/>
      <x:c r="BD130" s="302" t="n"/>
      <x:c r="BE130" s="302" t="n"/>
      <x:c r="BF130" s="302" t="n"/>
      <x:c r="BG130" s="302" t="n"/>
      <x:c r="BH130" s="302" t="n"/>
      <x:c r="BI130" s="302" t="n"/>
      <x:c r="BJ130" s="302" t="n"/>
      <x:c r="BK130" s="302" t="n"/>
      <x:c r="BL130" s="302" t="n"/>
      <x:c r="BM130" s="302" t="n"/>
      <x:c r="BN130" s="302" t="n"/>
      <x:c r="BO130" s="302" t="n"/>
      <x:c r="BP130" s="302" t="n"/>
      <x:c r="BQ130" s="302" t="n"/>
      <x:c r="BR130" s="302" t="n"/>
      <x:c r="BS130" s="302" t="n"/>
      <x:c r="BT130" s="302" t="n"/>
      <x:c r="BU130" s="302" t="n"/>
      <x:c r="BV130" s="302" t="n"/>
      <x:c r="BW130" s="302" t="n"/>
      <x:c r="BX130" s="302" t="n"/>
      <x:c r="BY130" s="302" t="n"/>
      <x:c r="BZ130" s="302" t="n"/>
      <x:c r="CA130" s="302" t="n"/>
      <x:c r="CB130" s="302" t="n"/>
      <x:c r="CC130" s="302" t="n"/>
      <x:c r="CD130" s="302" t="n"/>
      <x:c r="CE130" s="302" t="n"/>
      <x:c r="CF130" s="302" t="n"/>
      <x:c r="CG130" s="302" t="n"/>
      <x:c r="CH130" s="302" t="n"/>
      <x:c r="CI130" s="302" t="n"/>
      <x:c r="CJ130" s="302" t="n"/>
      <x:c r="CK130" s="302" t="n"/>
      <x:c r="CL130" s="302" t="n"/>
      <x:c r="CM130" s="302" t="n"/>
      <x:c r="CN130" s="302" t="n"/>
      <x:c r="CO130" s="302" t="n"/>
      <x:c r="CP130" s="302" t="n"/>
      <x:c r="CQ130" s="302" t="n"/>
      <x:c r="CR130" s="302" t="n"/>
      <x:c r="CS130" s="302" t="n"/>
      <x:c r="CT130" s="302" t="n"/>
      <x:c r="CU130" s="302" t="n"/>
      <x:c r="CV130" s="302" t="n"/>
      <x:c r="CW130" s="302" t="n"/>
      <x:c r="CX130" s="302" t="n"/>
      <x:c r="CY130" s="302" t="n"/>
      <x:c r="CZ130" s="302" t="n"/>
      <x:c r="DA130" s="302" t="n"/>
      <x:c r="DB130" s="302" t="n"/>
      <x:c r="DC130" s="302" t="n"/>
      <x:c r="DD130" s="302" t="n"/>
      <x:c r="DE130" s="302" t="n"/>
      <x:c r="DF130" s="302" t="n"/>
      <x:c r="DG130" s="302" t="n"/>
      <x:c r="DH130" s="302" t="n"/>
      <x:c r="DI130" s="302" t="n"/>
      <x:c r="DJ130" s="302" t="n"/>
      <x:c r="DK130" s="302" t="n"/>
      <x:c r="DL130" s="302" t="n"/>
      <x:c r="DM130" s="302" t="n"/>
      <x:c r="DN130" s="302" t="n"/>
      <x:c r="DO130" s="302" t="n"/>
      <x:c r="DP130" s="302" t="n"/>
      <x:c r="DQ130" s="302" t="n"/>
      <x:c r="DR130" s="302" t="n"/>
      <x:c r="DS130" s="302" t="n"/>
      <x:c r="DT130" s="302" t="n"/>
      <x:c r="DU130" s="302" t="n"/>
      <x:c r="DV130" s="302" t="n"/>
      <x:c r="DW130" s="302" t="n"/>
      <x:c r="DX130" s="302" t="n"/>
      <x:c r="DY130" s="302" t="n"/>
      <x:c r="DZ130" s="302" t="n"/>
      <x:c r="EA130" s="302" t="n"/>
      <x:c r="EB130" s="302" t="n"/>
      <x:c r="EC130" s="302" t="n"/>
      <x:c r="ED130" s="302" t="n"/>
      <x:c r="EE130" s="302" t="n"/>
      <x:c r="EF130" s="302" t="n"/>
      <x:c r="EG130" s="302" t="n"/>
      <x:c r="EH130" s="302" t="n"/>
      <x:c r="EI130" s="302" t="n"/>
      <x:c r="EJ130" s="302" t="n"/>
      <x:c r="EK130" s="302" t="n"/>
      <x:c r="EL130" s="302" t="n"/>
      <x:c r="EM130" s="302" t="n"/>
      <x:c r="EN130" s="302" t="n"/>
      <x:c r="EO130" s="302" t="n"/>
      <x:c r="EP130" s="302" t="n"/>
      <x:c r="EQ130" s="302" t="n"/>
      <x:c r="ER130" s="302" t="n"/>
      <x:c r="ES130" s="302" t="n"/>
      <x:c r="ET130" s="302" t="n"/>
      <x:c r="EU130" s="302" t="n"/>
      <x:c r="EV130" s="302" t="n"/>
      <x:c r="EW130" s="302" t="n"/>
      <x:c r="EX130" s="302" t="n"/>
      <x:c r="EY130" s="302" t="n"/>
    </x:row>
    <x:row r="131" s="27" customFormat="1">
      <x:c r="A131" s="38" t="n"/>
      <x:c r="B131" s="37" t="n"/>
      <x:c r="C131" s="36" t="n">
        <x:f>E131*D$5</x:f>
        <x:v>0</x:v>
      </x:c>
      <x:c r="D131" s="20" t="n"/>
      <x:c r="E131" s="36" t="n">
        <x:f>SUM(G131:HS131)</x:f>
        <x:v>0</x:v>
      </x:c>
      <x:c r="F131" s="126" t="inlineStr">
        <x:is>
          <x:t xml:space="preserve"/>
        </x:is>
      </x:c>
      <x:c r="G131" s="302" t="n"/>
      <x:c r="H131" s="302" t="n"/>
      <x:c r="I131" s="302" t="n"/>
      <x:c r="J131" s="302" t="n"/>
      <x:c r="K131" s="302" t="n"/>
      <x:c r="L131" s="302" t="n"/>
      <x:c r="M131" s="302" t="n"/>
      <x:c r="N131" s="302" t="n"/>
      <x:c r="O131" s="302" t="n"/>
      <x:c r="P131" s="100" t="n"/>
      <x:c r="Q131" s="302" t="n"/>
      <x:c r="R131" s="302" t="n"/>
      <x:c r="S131" s="302" t="n"/>
      <x:c r="T131" s="302" t="n"/>
      <x:c r="U131" s="302" t="n"/>
      <x:c r="V131" s="302" t="n"/>
      <x:c r="W131" s="302" t="n"/>
      <x:c r="X131" s="302" t="n"/>
      <x:c r="Y131" s="100" t="n"/>
      <x:c r="Z131" s="100" t="n"/>
      <x:c r="AA131" s="100" t="n"/>
      <x:c r="AB131" s="100" t="n"/>
      <x:c r="AC131" s="100" t="n"/>
      <x:c r="AD131" s="100" t="n"/>
      <x:c r="AE131" s="100" t="n"/>
      <x:c r="AF131" s="302" t="n"/>
      <x:c r="AG131" s="100" t="n"/>
      <x:c r="AH131" s="302" t="n"/>
      <x:c r="AI131" s="100" t="n"/>
      <x:c r="AJ131" s="302" t="n"/>
      <x:c r="AK131" s="302" t="n"/>
      <x:c r="AL131" s="302" t="n"/>
      <x:c r="AM131" s="302" t="n"/>
      <x:c r="AN131" s="302" t="n"/>
      <x:c r="AO131" s="302" t="n"/>
      <x:c r="AP131" s="302" t="n"/>
      <x:c r="AQ131" s="302" t="n"/>
      <x:c r="AR131" s="302" t="n"/>
      <x:c r="AS131" s="302" t="n"/>
      <x:c r="AT131" s="302" t="n"/>
      <x:c r="AU131" s="302" t="n"/>
      <x:c r="AV131" s="302" t="n"/>
      <x:c r="AW131" s="302" t="n"/>
      <x:c r="AX131" s="302" t="n"/>
      <x:c r="AY131" s="302" t="n"/>
      <x:c r="AZ131" s="302" t="n"/>
      <x:c r="BA131" s="302" t="n"/>
      <x:c r="BB131" s="302" t="n"/>
      <x:c r="BC131" s="302" t="n"/>
      <x:c r="BD131" s="302" t="n"/>
      <x:c r="BE131" s="302" t="n"/>
      <x:c r="BF131" s="302" t="n"/>
      <x:c r="BG131" s="302" t="n"/>
      <x:c r="BH131" s="302" t="n"/>
      <x:c r="BI131" s="302" t="n"/>
      <x:c r="BJ131" s="302" t="n"/>
      <x:c r="BK131" s="302" t="n"/>
      <x:c r="BL131" s="302" t="n"/>
      <x:c r="BM131" s="302" t="n"/>
      <x:c r="BN131" s="302" t="n"/>
      <x:c r="BO131" s="302" t="n"/>
      <x:c r="BP131" s="302" t="n"/>
      <x:c r="BQ131" s="302" t="n"/>
      <x:c r="BR131" s="302" t="n"/>
      <x:c r="BS131" s="302" t="n"/>
      <x:c r="BT131" s="302" t="n"/>
      <x:c r="BU131" s="302" t="n"/>
      <x:c r="BV131" s="302" t="n"/>
      <x:c r="BW131" s="302" t="n"/>
      <x:c r="BX131" s="302" t="n"/>
      <x:c r="BY131" s="302" t="n"/>
      <x:c r="BZ131" s="302" t="n"/>
      <x:c r="CA131" s="302" t="n"/>
      <x:c r="CB131" s="302" t="n"/>
      <x:c r="CC131" s="302" t="n"/>
      <x:c r="CD131" s="302" t="n"/>
      <x:c r="CE131" s="302" t="n"/>
      <x:c r="CF131" s="302" t="n"/>
      <x:c r="CG131" s="302" t="n"/>
      <x:c r="CH131" s="302" t="n"/>
      <x:c r="CI131" s="302" t="n"/>
      <x:c r="CJ131" s="302" t="n"/>
      <x:c r="CK131" s="302" t="n"/>
      <x:c r="CL131" s="302" t="n"/>
      <x:c r="CM131" s="302" t="n"/>
      <x:c r="CN131" s="302" t="n"/>
      <x:c r="CO131" s="302" t="n"/>
      <x:c r="CP131" s="302" t="n"/>
      <x:c r="CQ131" s="302" t="n"/>
      <x:c r="CR131" s="302" t="n"/>
      <x:c r="CS131" s="302" t="n"/>
      <x:c r="CT131" s="302" t="n"/>
      <x:c r="CU131" s="302" t="n"/>
      <x:c r="CV131" s="302" t="n"/>
      <x:c r="CW131" s="302" t="n"/>
      <x:c r="CX131" s="302" t="n"/>
      <x:c r="CY131" s="302" t="n"/>
      <x:c r="CZ131" s="302" t="n"/>
      <x:c r="DA131" s="302" t="n"/>
      <x:c r="DB131" s="302" t="n"/>
      <x:c r="DC131" s="302" t="n"/>
      <x:c r="DD131" s="302" t="n"/>
      <x:c r="DE131" s="302" t="n"/>
      <x:c r="DF131" s="302" t="n"/>
      <x:c r="DG131" s="302" t="n"/>
      <x:c r="DH131" s="302" t="n"/>
      <x:c r="DI131" s="302" t="n"/>
      <x:c r="DJ131" s="302" t="n"/>
      <x:c r="DK131" s="302" t="n"/>
      <x:c r="DL131" s="302" t="n"/>
      <x:c r="DM131" s="302" t="n"/>
      <x:c r="DN131" s="302" t="n"/>
      <x:c r="DO131" s="302" t="n"/>
      <x:c r="DP131" s="302" t="n"/>
      <x:c r="DQ131" s="302" t="n"/>
      <x:c r="DR131" s="302" t="n"/>
      <x:c r="DS131" s="302" t="n"/>
      <x:c r="DT131" s="302" t="n"/>
      <x:c r="DU131" s="302" t="n"/>
      <x:c r="DV131" s="302" t="n"/>
      <x:c r="DW131" s="302" t="n"/>
      <x:c r="DX131" s="302" t="n"/>
      <x:c r="DY131" s="302" t="n"/>
      <x:c r="DZ131" s="302" t="n"/>
      <x:c r="EA131" s="302" t="n"/>
      <x:c r="EB131" s="302" t="n"/>
      <x:c r="EC131" s="302" t="n"/>
      <x:c r="ED131" s="302" t="n"/>
      <x:c r="EE131" s="302" t="n"/>
      <x:c r="EF131" s="302" t="n"/>
      <x:c r="EG131" s="302" t="n"/>
      <x:c r="EH131" s="302" t="n"/>
      <x:c r="EI131" s="302" t="n"/>
      <x:c r="EJ131" s="302" t="n"/>
      <x:c r="EK131" s="302" t="n"/>
      <x:c r="EL131" s="302" t="n"/>
      <x:c r="EM131" s="302" t="n"/>
      <x:c r="EN131" s="302" t="n"/>
      <x:c r="EO131" s="302" t="n"/>
      <x:c r="EP131" s="302" t="n"/>
      <x:c r="EQ131" s="302" t="n"/>
      <x:c r="ER131" s="302" t="n"/>
      <x:c r="ES131" s="302" t="n"/>
      <x:c r="ET131" s="302" t="n"/>
      <x:c r="EU131" s="302" t="n"/>
      <x:c r="EV131" s="302" t="n"/>
      <x:c r="EW131" s="302" t="n"/>
      <x:c r="EX131" s="302" t="n"/>
      <x:c r="EY131" s="302" t="n"/>
    </x:row>
    <x:row r="132" s="27" customFormat="1">
      <x:c r="A132" s="38" t="n"/>
      <x:c r="B132" s="37" t="n"/>
      <x:c r="C132" s="36" t="n">
        <x:f>E132*D$5</x:f>
        <x:v>0</x:v>
      </x:c>
      <x:c r="D132" s="20" t="n"/>
      <x:c r="E132" s="36" t="n">
        <x:f>SUM(G132:HS132)</x:f>
        <x:v>0</x:v>
      </x:c>
      <x:c r="F132" s="126" t="inlineStr">
        <x:is>
          <x:t xml:space="preserve"/>
        </x:is>
      </x:c>
      <x:c r="G132" s="302" t="n"/>
      <x:c r="H132" s="302" t="n"/>
      <x:c r="I132" s="302" t="n"/>
      <x:c r="J132" s="302" t="n"/>
      <x:c r="K132" s="302" t="n"/>
      <x:c r="L132" s="302" t="n"/>
      <x:c r="M132" s="302" t="n"/>
      <x:c r="N132" s="302" t="n"/>
      <x:c r="O132" s="302" t="n"/>
      <x:c r="P132" s="100" t="n"/>
      <x:c r="Q132" s="302" t="n"/>
      <x:c r="R132" s="302" t="n"/>
      <x:c r="S132" s="302" t="n"/>
      <x:c r="T132" s="302" t="n"/>
      <x:c r="U132" s="302" t="n"/>
      <x:c r="V132" s="302" t="n"/>
      <x:c r="W132" s="302" t="n"/>
      <x:c r="X132" s="302" t="n"/>
      <x:c r="Y132" s="100" t="n"/>
      <x:c r="Z132" s="100" t="n"/>
      <x:c r="AA132" s="100" t="n"/>
      <x:c r="AB132" s="100" t="n"/>
      <x:c r="AC132" s="100" t="n"/>
      <x:c r="AD132" s="100" t="n"/>
      <x:c r="AE132" s="100" t="n"/>
      <x:c r="AF132" s="302" t="n"/>
      <x:c r="AG132" s="100" t="n"/>
      <x:c r="AH132" s="302" t="n"/>
      <x:c r="AI132" s="100" t="n"/>
      <x:c r="AJ132" s="302" t="n"/>
      <x:c r="AK132" s="302" t="n"/>
      <x:c r="AL132" s="302" t="n"/>
      <x:c r="AM132" s="302" t="n"/>
      <x:c r="AN132" s="302" t="n"/>
      <x:c r="AO132" s="302" t="n"/>
      <x:c r="AP132" s="302" t="n"/>
      <x:c r="AQ132" s="302" t="n"/>
      <x:c r="AR132" s="302" t="n"/>
      <x:c r="AS132" s="302" t="n"/>
      <x:c r="AT132" s="302" t="n"/>
      <x:c r="AU132" s="302" t="n"/>
      <x:c r="AV132" s="302" t="n"/>
      <x:c r="AW132" s="302" t="n"/>
      <x:c r="AX132" s="302" t="n"/>
      <x:c r="AY132" s="302" t="n"/>
      <x:c r="AZ132" s="302" t="n"/>
      <x:c r="BA132" s="302" t="n"/>
      <x:c r="BB132" s="302" t="n"/>
      <x:c r="BC132" s="302" t="n"/>
      <x:c r="BD132" s="302" t="n"/>
      <x:c r="BE132" s="302" t="n"/>
      <x:c r="BF132" s="302" t="n"/>
      <x:c r="BG132" s="302" t="n"/>
      <x:c r="BH132" s="302" t="n"/>
      <x:c r="BI132" s="302" t="n"/>
      <x:c r="BJ132" s="302" t="n"/>
      <x:c r="BK132" s="302" t="n"/>
      <x:c r="BL132" s="302" t="n"/>
      <x:c r="BM132" s="302" t="n"/>
      <x:c r="BN132" s="302" t="n"/>
      <x:c r="BO132" s="302" t="n"/>
      <x:c r="BP132" s="302" t="n"/>
      <x:c r="BQ132" s="302" t="n"/>
      <x:c r="BR132" s="302" t="n"/>
      <x:c r="BS132" s="302" t="n"/>
      <x:c r="BT132" s="302" t="n"/>
      <x:c r="BU132" s="302" t="n"/>
      <x:c r="BV132" s="302" t="n"/>
      <x:c r="BW132" s="302" t="n"/>
      <x:c r="BX132" s="302" t="n"/>
      <x:c r="BY132" s="302" t="n"/>
      <x:c r="BZ132" s="302" t="n"/>
      <x:c r="CA132" s="302" t="n"/>
      <x:c r="CB132" s="302" t="n"/>
      <x:c r="CC132" s="302" t="n"/>
      <x:c r="CD132" s="302" t="n"/>
      <x:c r="CE132" s="302" t="n"/>
      <x:c r="CF132" s="302" t="n"/>
      <x:c r="CG132" s="302" t="n"/>
      <x:c r="CH132" s="302" t="n"/>
      <x:c r="CI132" s="302" t="n"/>
      <x:c r="CJ132" s="302" t="n"/>
      <x:c r="CK132" s="302" t="n"/>
      <x:c r="CL132" s="302" t="n"/>
      <x:c r="CM132" s="302" t="n"/>
      <x:c r="CN132" s="302" t="n"/>
      <x:c r="CO132" s="302" t="n"/>
      <x:c r="CP132" s="302" t="n"/>
      <x:c r="CQ132" s="302" t="n"/>
      <x:c r="CR132" s="302" t="n"/>
      <x:c r="CS132" s="302" t="n"/>
      <x:c r="CT132" s="302" t="n"/>
      <x:c r="CU132" s="302" t="n"/>
      <x:c r="CV132" s="302" t="n"/>
      <x:c r="CW132" s="302" t="n"/>
      <x:c r="CX132" s="302" t="n"/>
      <x:c r="CY132" s="302" t="n"/>
      <x:c r="CZ132" s="302" t="n"/>
      <x:c r="DA132" s="302" t="n"/>
      <x:c r="DB132" s="302" t="n"/>
      <x:c r="DC132" s="302" t="n"/>
      <x:c r="DD132" s="302" t="n"/>
      <x:c r="DE132" s="302" t="n"/>
      <x:c r="DF132" s="302" t="n"/>
      <x:c r="DG132" s="302" t="n"/>
      <x:c r="DH132" s="302" t="n"/>
      <x:c r="DI132" s="302" t="n"/>
      <x:c r="DJ132" s="302" t="n"/>
      <x:c r="DK132" s="302" t="n"/>
      <x:c r="DL132" s="302" t="n"/>
      <x:c r="DM132" s="302" t="n"/>
      <x:c r="DN132" s="302" t="n"/>
      <x:c r="DO132" s="302" t="n"/>
      <x:c r="DP132" s="302" t="n"/>
      <x:c r="DQ132" s="302" t="n"/>
      <x:c r="DR132" s="302" t="n"/>
      <x:c r="DS132" s="302" t="n"/>
      <x:c r="DT132" s="302" t="n"/>
      <x:c r="DU132" s="302" t="n"/>
      <x:c r="DV132" s="302" t="n"/>
      <x:c r="DW132" s="302" t="n"/>
      <x:c r="DX132" s="302" t="n"/>
      <x:c r="DY132" s="302" t="n"/>
      <x:c r="DZ132" s="302" t="n"/>
      <x:c r="EA132" s="302" t="n"/>
      <x:c r="EB132" s="302" t="n"/>
      <x:c r="EC132" s="302" t="n"/>
      <x:c r="ED132" s="302" t="n"/>
      <x:c r="EE132" s="302" t="n"/>
      <x:c r="EF132" s="302" t="n"/>
      <x:c r="EG132" s="302" t="n"/>
      <x:c r="EH132" s="302" t="n"/>
      <x:c r="EI132" s="302" t="n"/>
      <x:c r="EJ132" s="302" t="n"/>
      <x:c r="EK132" s="302" t="n"/>
      <x:c r="EL132" s="302" t="n"/>
      <x:c r="EM132" s="302" t="n"/>
      <x:c r="EN132" s="302" t="n"/>
      <x:c r="EO132" s="302" t="n"/>
      <x:c r="EP132" s="302" t="n"/>
      <x:c r="EQ132" s="302" t="n"/>
      <x:c r="ER132" s="302" t="n"/>
      <x:c r="ES132" s="302" t="n"/>
      <x:c r="ET132" s="302" t="n"/>
      <x:c r="EU132" s="302" t="n"/>
      <x:c r="EV132" s="302" t="n"/>
      <x:c r="EW132" s="302" t="n"/>
      <x:c r="EX132" s="302" t="n"/>
      <x:c r="EY132" s="302" t="n"/>
    </x:row>
    <x:row r="133" s="27" customFormat="1">
      <x:c r="A133" s="38" t="n"/>
      <x:c r="B133" s="37" t="n"/>
      <x:c r="C133" s="36" t="n">
        <x:f>E133*D$5</x:f>
        <x:v>0</x:v>
      </x:c>
      <x:c r="D133" s="20" t="n"/>
      <x:c r="E133" s="36" t="n">
        <x:f>SUM(G133:HS133)</x:f>
        <x:v>0</x:v>
      </x:c>
      <x:c r="F133" s="126" t="inlineStr">
        <x:is>
          <x:t xml:space="preserve"/>
        </x:is>
      </x:c>
      <x:c r="G133" s="302" t="n"/>
      <x:c r="H133" s="302" t="n"/>
      <x:c r="I133" s="302" t="n"/>
      <x:c r="J133" s="302" t="n"/>
      <x:c r="K133" s="302" t="n"/>
      <x:c r="L133" s="302" t="n"/>
      <x:c r="M133" s="302" t="n"/>
      <x:c r="N133" s="302" t="n"/>
      <x:c r="O133" s="302" t="n"/>
      <x:c r="P133" s="100" t="n"/>
      <x:c r="Q133" s="302" t="n"/>
      <x:c r="R133" s="302" t="n"/>
      <x:c r="S133" s="302" t="n"/>
      <x:c r="T133" s="302" t="n"/>
      <x:c r="U133" s="302" t="n"/>
      <x:c r="V133" s="302" t="n"/>
      <x:c r="W133" s="302" t="n"/>
      <x:c r="X133" s="302" t="n"/>
      <x:c r="Y133" s="100" t="n"/>
      <x:c r="Z133" s="100" t="n"/>
      <x:c r="AA133" s="100" t="n"/>
      <x:c r="AB133" s="100" t="n"/>
      <x:c r="AC133" s="100" t="n"/>
      <x:c r="AD133" s="100" t="n"/>
      <x:c r="AE133" s="100" t="n"/>
      <x:c r="AF133" s="302" t="n"/>
      <x:c r="AG133" s="100" t="n"/>
      <x:c r="AH133" s="302" t="n"/>
      <x:c r="AI133" s="100" t="n"/>
      <x:c r="AJ133" s="302" t="n"/>
      <x:c r="AK133" s="302" t="n"/>
      <x:c r="AL133" s="302" t="n"/>
      <x:c r="AM133" s="302" t="n"/>
      <x:c r="AN133" s="302" t="n"/>
      <x:c r="AO133" s="302" t="n"/>
      <x:c r="AP133" s="302" t="n"/>
      <x:c r="AQ133" s="302" t="n"/>
      <x:c r="AR133" s="302" t="n"/>
      <x:c r="AS133" s="302" t="n"/>
      <x:c r="AT133" s="302" t="n"/>
      <x:c r="AU133" s="302" t="n"/>
      <x:c r="AV133" s="302" t="n"/>
      <x:c r="AW133" s="302" t="n"/>
      <x:c r="AX133" s="302" t="n"/>
      <x:c r="AY133" s="302" t="n"/>
      <x:c r="AZ133" s="302" t="n"/>
      <x:c r="BA133" s="302" t="n"/>
      <x:c r="BB133" s="302" t="n"/>
      <x:c r="BC133" s="302" t="n"/>
      <x:c r="BD133" s="302" t="n"/>
      <x:c r="BE133" s="302" t="n"/>
      <x:c r="BF133" s="302" t="n"/>
      <x:c r="BG133" s="302" t="n"/>
      <x:c r="BH133" s="302" t="n"/>
      <x:c r="BI133" s="302" t="n"/>
      <x:c r="BJ133" s="302" t="n"/>
      <x:c r="BK133" s="302" t="n"/>
      <x:c r="BL133" s="302" t="n"/>
      <x:c r="BM133" s="302" t="n"/>
      <x:c r="BN133" s="302" t="n"/>
      <x:c r="BO133" s="302" t="n"/>
      <x:c r="BP133" s="302" t="n"/>
      <x:c r="BQ133" s="302" t="n"/>
      <x:c r="BR133" s="302" t="n"/>
      <x:c r="BS133" s="302" t="n"/>
      <x:c r="BT133" s="302" t="n"/>
      <x:c r="BU133" s="302" t="n"/>
      <x:c r="BV133" s="302" t="n"/>
      <x:c r="BW133" s="302" t="n"/>
      <x:c r="BX133" s="302" t="n"/>
      <x:c r="BY133" s="302" t="n"/>
      <x:c r="BZ133" s="302" t="n"/>
      <x:c r="CA133" s="302" t="n"/>
      <x:c r="CB133" s="302" t="n"/>
      <x:c r="CC133" s="302" t="n"/>
      <x:c r="CD133" s="302" t="n"/>
      <x:c r="CE133" s="302" t="n"/>
      <x:c r="CF133" s="302" t="n"/>
      <x:c r="CG133" s="302" t="n"/>
      <x:c r="CH133" s="302" t="n"/>
      <x:c r="CI133" s="302" t="n"/>
      <x:c r="CJ133" s="302" t="n"/>
      <x:c r="CK133" s="302" t="n"/>
      <x:c r="CL133" s="302" t="n"/>
      <x:c r="CM133" s="302" t="n"/>
      <x:c r="CN133" s="302" t="n"/>
      <x:c r="CO133" s="302" t="n"/>
      <x:c r="CP133" s="302" t="n"/>
      <x:c r="CQ133" s="302" t="n"/>
      <x:c r="CR133" s="302" t="n"/>
      <x:c r="CS133" s="302" t="n"/>
      <x:c r="CT133" s="302" t="n"/>
      <x:c r="CU133" s="302" t="n"/>
      <x:c r="CV133" s="302" t="n"/>
      <x:c r="CW133" s="302" t="n"/>
      <x:c r="CX133" s="302" t="n"/>
      <x:c r="CY133" s="302" t="n"/>
      <x:c r="CZ133" s="302" t="n"/>
      <x:c r="DA133" s="302" t="n"/>
      <x:c r="DB133" s="302" t="n"/>
      <x:c r="DC133" s="302" t="n"/>
      <x:c r="DD133" s="302" t="n"/>
      <x:c r="DE133" s="302" t="n"/>
      <x:c r="DF133" s="302" t="n"/>
      <x:c r="DG133" s="302" t="n"/>
      <x:c r="DH133" s="302" t="n"/>
      <x:c r="DI133" s="302" t="n"/>
      <x:c r="DJ133" s="302" t="n"/>
      <x:c r="DK133" s="302" t="n"/>
      <x:c r="DL133" s="302" t="n"/>
      <x:c r="DM133" s="302" t="n"/>
      <x:c r="DN133" s="302" t="n"/>
      <x:c r="DO133" s="302" t="n"/>
      <x:c r="DP133" s="302" t="n"/>
      <x:c r="DQ133" s="302" t="n"/>
      <x:c r="DR133" s="302" t="n"/>
      <x:c r="DS133" s="302" t="n"/>
      <x:c r="DT133" s="302" t="n"/>
      <x:c r="DU133" s="302" t="n"/>
      <x:c r="DV133" s="302" t="n"/>
      <x:c r="DW133" s="302" t="n"/>
      <x:c r="DX133" s="302" t="n"/>
      <x:c r="DY133" s="302" t="n"/>
      <x:c r="DZ133" s="302" t="n"/>
      <x:c r="EA133" s="302" t="n"/>
      <x:c r="EB133" s="302" t="n"/>
      <x:c r="EC133" s="302" t="n"/>
      <x:c r="ED133" s="302" t="n"/>
      <x:c r="EE133" s="302" t="n"/>
      <x:c r="EF133" s="302" t="n"/>
      <x:c r="EG133" s="302" t="n"/>
      <x:c r="EH133" s="302" t="n"/>
      <x:c r="EI133" s="302" t="n"/>
      <x:c r="EJ133" s="302" t="n"/>
      <x:c r="EK133" s="302" t="n"/>
      <x:c r="EL133" s="302" t="n"/>
      <x:c r="EM133" s="302" t="n"/>
      <x:c r="EN133" s="302" t="n"/>
      <x:c r="EO133" s="302" t="n"/>
      <x:c r="EP133" s="302" t="n"/>
      <x:c r="EQ133" s="302" t="n"/>
      <x:c r="ER133" s="302" t="n"/>
      <x:c r="ES133" s="302" t="n"/>
      <x:c r="ET133" s="302" t="n"/>
      <x:c r="EU133" s="302" t="n"/>
      <x:c r="EV133" s="302" t="n"/>
      <x:c r="EW133" s="302" t="n"/>
      <x:c r="EX133" s="302" t="n"/>
      <x:c r="EY133" s="302" t="n"/>
    </x:row>
    <x:row r="134" s="27" customFormat="1">
      <x:c r="A134" s="38" t="n"/>
      <x:c r="B134" s="37" t="n"/>
      <x:c r="C134" s="36" t="n">
        <x:f>E134*D$5</x:f>
        <x:v>0</x:v>
      </x:c>
      <x:c r="D134" s="20" t="n"/>
      <x:c r="E134" s="36" t="n">
        <x:f>SUM(G134:HS134)</x:f>
        <x:v>0</x:v>
      </x:c>
      <x:c r="F134" s="126" t="inlineStr">
        <x:is>
          <x:t xml:space="preserve"/>
        </x:is>
      </x:c>
      <x:c r="G134" s="302" t="n"/>
      <x:c r="H134" s="302" t="n"/>
      <x:c r="I134" s="302" t="n"/>
      <x:c r="J134" s="302" t="n"/>
      <x:c r="K134" s="302" t="n"/>
      <x:c r="L134" s="302" t="n"/>
      <x:c r="M134" s="302" t="n"/>
      <x:c r="N134" s="302" t="n"/>
      <x:c r="O134" s="302" t="n"/>
      <x:c r="P134" s="100" t="n"/>
      <x:c r="Q134" s="302" t="n"/>
      <x:c r="R134" s="302" t="n"/>
      <x:c r="S134" s="302" t="n"/>
      <x:c r="T134" s="302" t="n"/>
      <x:c r="U134" s="302" t="n"/>
      <x:c r="V134" s="302" t="n"/>
      <x:c r="W134" s="302" t="n"/>
      <x:c r="X134" s="302" t="n"/>
      <x:c r="Y134" s="100" t="n"/>
      <x:c r="Z134" s="100" t="n"/>
      <x:c r="AA134" s="100" t="n"/>
      <x:c r="AB134" s="100" t="n"/>
      <x:c r="AC134" s="100" t="n"/>
      <x:c r="AD134" s="100" t="n"/>
      <x:c r="AE134" s="100" t="n"/>
      <x:c r="AF134" s="302" t="n"/>
      <x:c r="AG134" s="100" t="n"/>
      <x:c r="AH134" s="302" t="n"/>
      <x:c r="AI134" s="100" t="n"/>
      <x:c r="AJ134" s="302" t="n"/>
      <x:c r="AK134" s="302" t="n"/>
      <x:c r="AL134" s="302" t="n"/>
      <x:c r="AM134" s="302" t="n"/>
      <x:c r="AN134" s="302" t="n"/>
      <x:c r="AO134" s="302" t="n"/>
      <x:c r="AP134" s="302" t="n"/>
      <x:c r="AQ134" s="302" t="n"/>
      <x:c r="AR134" s="302" t="n"/>
      <x:c r="AS134" s="302" t="n"/>
      <x:c r="AT134" s="302" t="n"/>
      <x:c r="AU134" s="302" t="n"/>
      <x:c r="AV134" s="302" t="n"/>
      <x:c r="AW134" s="302" t="n"/>
      <x:c r="AX134" s="302" t="n"/>
      <x:c r="AY134" s="302" t="n"/>
      <x:c r="AZ134" s="302" t="n"/>
      <x:c r="BA134" s="302" t="n"/>
      <x:c r="BB134" s="302" t="n"/>
      <x:c r="BC134" s="302" t="n"/>
      <x:c r="BD134" s="302" t="n"/>
      <x:c r="BE134" s="302" t="n"/>
      <x:c r="BF134" s="302" t="n"/>
      <x:c r="BG134" s="302" t="n"/>
      <x:c r="BH134" s="302" t="n"/>
      <x:c r="BI134" s="302" t="n"/>
      <x:c r="BJ134" s="302" t="n"/>
      <x:c r="BK134" s="302" t="n"/>
      <x:c r="BL134" s="302" t="n"/>
      <x:c r="BM134" s="302" t="n"/>
      <x:c r="BN134" s="302" t="n"/>
      <x:c r="BO134" s="302" t="n"/>
      <x:c r="BP134" s="302" t="n"/>
      <x:c r="BQ134" s="302" t="n"/>
      <x:c r="BR134" s="302" t="n"/>
      <x:c r="BS134" s="302" t="n"/>
      <x:c r="BT134" s="302" t="n"/>
      <x:c r="BU134" s="302" t="n"/>
      <x:c r="BV134" s="302" t="n"/>
      <x:c r="BW134" s="302" t="n"/>
      <x:c r="BX134" s="302" t="n"/>
      <x:c r="BY134" s="302" t="n"/>
      <x:c r="BZ134" s="302" t="n"/>
      <x:c r="CA134" s="302" t="n"/>
      <x:c r="CB134" s="302" t="n"/>
      <x:c r="CC134" s="302" t="n"/>
      <x:c r="CD134" s="302" t="n"/>
      <x:c r="CE134" s="302" t="n"/>
      <x:c r="CF134" s="302" t="n"/>
      <x:c r="CG134" s="302" t="n"/>
      <x:c r="CH134" s="302" t="n"/>
      <x:c r="CI134" s="302" t="n"/>
      <x:c r="CJ134" s="302" t="n"/>
      <x:c r="CK134" s="302" t="n"/>
      <x:c r="CL134" s="302" t="n"/>
      <x:c r="CM134" s="302" t="n"/>
      <x:c r="CN134" s="302" t="n"/>
      <x:c r="CO134" s="302" t="n"/>
      <x:c r="CP134" s="302" t="n"/>
      <x:c r="CQ134" s="302" t="n"/>
      <x:c r="CR134" s="302" t="n"/>
      <x:c r="CS134" s="302" t="n"/>
      <x:c r="CT134" s="302" t="n"/>
      <x:c r="CU134" s="302" t="n"/>
      <x:c r="CV134" s="302" t="n"/>
      <x:c r="CW134" s="302" t="n"/>
      <x:c r="CX134" s="302" t="n"/>
      <x:c r="CY134" s="302" t="n"/>
      <x:c r="CZ134" s="302" t="n"/>
      <x:c r="DA134" s="302" t="n"/>
      <x:c r="DB134" s="302" t="n"/>
      <x:c r="DC134" s="302" t="n"/>
      <x:c r="DD134" s="302" t="n"/>
      <x:c r="DE134" s="302" t="n"/>
      <x:c r="DF134" s="302" t="n"/>
      <x:c r="DG134" s="302" t="n"/>
      <x:c r="DH134" s="302" t="n"/>
      <x:c r="DI134" s="302" t="n"/>
      <x:c r="DJ134" s="302" t="n"/>
      <x:c r="DK134" s="302" t="n"/>
      <x:c r="DL134" s="302" t="n"/>
      <x:c r="DM134" s="302" t="n"/>
      <x:c r="DN134" s="302" t="n"/>
      <x:c r="DO134" s="302" t="n"/>
      <x:c r="DP134" s="302" t="n"/>
      <x:c r="DQ134" s="302" t="n"/>
      <x:c r="DR134" s="302" t="n"/>
      <x:c r="DS134" s="302" t="n"/>
      <x:c r="DT134" s="302" t="n"/>
      <x:c r="DU134" s="302" t="n"/>
      <x:c r="DV134" s="302" t="n"/>
      <x:c r="DW134" s="302" t="n"/>
      <x:c r="DX134" s="302" t="n"/>
      <x:c r="DY134" s="302" t="n"/>
      <x:c r="DZ134" s="302" t="n"/>
      <x:c r="EA134" s="302" t="n"/>
      <x:c r="EB134" s="302" t="n"/>
      <x:c r="EC134" s="302" t="n"/>
      <x:c r="ED134" s="302" t="n"/>
      <x:c r="EE134" s="302" t="n"/>
      <x:c r="EF134" s="302" t="n"/>
      <x:c r="EG134" s="302" t="n"/>
      <x:c r="EH134" s="302" t="n"/>
      <x:c r="EI134" s="302" t="n"/>
      <x:c r="EJ134" s="302" t="n"/>
      <x:c r="EK134" s="302" t="n"/>
      <x:c r="EL134" s="302" t="n"/>
      <x:c r="EM134" s="302" t="n"/>
      <x:c r="EN134" s="302" t="n"/>
      <x:c r="EO134" s="302" t="n"/>
      <x:c r="EP134" s="302" t="n"/>
      <x:c r="EQ134" s="302" t="n"/>
      <x:c r="ER134" s="302" t="n"/>
      <x:c r="ES134" s="302" t="n"/>
      <x:c r="ET134" s="302" t="n"/>
      <x:c r="EU134" s="302" t="n"/>
      <x:c r="EV134" s="302" t="n"/>
      <x:c r="EW134" s="302" t="n"/>
      <x:c r="EX134" s="302" t="n"/>
      <x:c r="EY134" s="302" t="n"/>
    </x:row>
    <x:row r="135" s="27" customFormat="1">
      <x:c r="A135" s="38" t="n"/>
      <x:c r="B135" s="37" t="n"/>
      <x:c r="C135" s="36" t="n">
        <x:f>E135*D$5</x:f>
        <x:v>0</x:v>
      </x:c>
      <x:c r="D135" s="20" t="n"/>
      <x:c r="E135" s="36" t="n">
        <x:f>SUM(G135:HS135)</x:f>
        <x:v>0</x:v>
      </x:c>
      <x:c r="F135" s="126" t="inlineStr">
        <x:is>
          <x:t xml:space="preserve"/>
        </x:is>
      </x:c>
      <x:c r="G135" s="302" t="n"/>
      <x:c r="H135" s="302" t="n"/>
      <x:c r="I135" s="302" t="n"/>
      <x:c r="J135" s="302" t="n"/>
      <x:c r="K135" s="302" t="n"/>
      <x:c r="L135" s="302" t="n"/>
      <x:c r="M135" s="302" t="n"/>
      <x:c r="N135" s="302" t="n"/>
      <x:c r="O135" s="302" t="n"/>
      <x:c r="P135" s="100" t="n"/>
      <x:c r="Q135" s="302" t="n"/>
      <x:c r="R135" s="302" t="n"/>
      <x:c r="S135" s="302" t="n"/>
      <x:c r="T135" s="302" t="n"/>
      <x:c r="U135" s="302" t="n"/>
      <x:c r="V135" s="302" t="n"/>
      <x:c r="W135" s="302" t="n"/>
      <x:c r="X135" s="302" t="n"/>
      <x:c r="Y135" s="100" t="n"/>
      <x:c r="Z135" s="100" t="n"/>
      <x:c r="AA135" s="100" t="n"/>
      <x:c r="AB135" s="100" t="n"/>
      <x:c r="AC135" s="100" t="n"/>
      <x:c r="AD135" s="100" t="n"/>
      <x:c r="AE135" s="100" t="n"/>
      <x:c r="AF135" s="302" t="n"/>
      <x:c r="AG135" s="100" t="n"/>
      <x:c r="AH135" s="302" t="n"/>
      <x:c r="AI135" s="100" t="n"/>
      <x:c r="AJ135" s="302" t="n"/>
      <x:c r="AK135" s="302" t="n"/>
      <x:c r="AL135" s="302" t="n"/>
      <x:c r="AM135" s="302" t="n"/>
      <x:c r="AN135" s="302" t="n"/>
      <x:c r="AO135" s="302" t="n"/>
      <x:c r="AP135" s="302" t="n"/>
      <x:c r="AQ135" s="302" t="n"/>
      <x:c r="AR135" s="302" t="n"/>
      <x:c r="AS135" s="302" t="n"/>
      <x:c r="AT135" s="302" t="n"/>
      <x:c r="AU135" s="302" t="n"/>
      <x:c r="AV135" s="302" t="n"/>
      <x:c r="AW135" s="302" t="n"/>
      <x:c r="AX135" s="302" t="n"/>
      <x:c r="AY135" s="302" t="n"/>
      <x:c r="AZ135" s="302" t="n"/>
      <x:c r="BA135" s="302" t="n"/>
      <x:c r="BB135" s="302" t="n"/>
      <x:c r="BC135" s="302" t="n"/>
      <x:c r="BD135" s="302" t="n"/>
      <x:c r="BE135" s="302" t="n"/>
      <x:c r="BF135" s="302" t="n"/>
      <x:c r="BG135" s="302" t="n"/>
      <x:c r="BH135" s="302" t="n"/>
      <x:c r="BI135" s="302" t="n"/>
      <x:c r="BJ135" s="302" t="n"/>
      <x:c r="BK135" s="302" t="n"/>
      <x:c r="BL135" s="302" t="n"/>
      <x:c r="BM135" s="302" t="n"/>
      <x:c r="BN135" s="302" t="n"/>
      <x:c r="BO135" s="302" t="n"/>
      <x:c r="BP135" s="302" t="n"/>
      <x:c r="BQ135" s="302" t="n"/>
      <x:c r="BR135" s="302" t="n"/>
      <x:c r="BS135" s="302" t="n"/>
      <x:c r="BT135" s="302" t="n"/>
      <x:c r="BU135" s="302" t="n"/>
      <x:c r="BV135" s="302" t="n"/>
      <x:c r="BW135" s="302" t="n"/>
      <x:c r="BX135" s="302" t="n"/>
      <x:c r="BY135" s="302" t="n"/>
      <x:c r="BZ135" s="302" t="n"/>
      <x:c r="CA135" s="302" t="n"/>
      <x:c r="CB135" s="302" t="n"/>
      <x:c r="CC135" s="302" t="n"/>
      <x:c r="CD135" s="302" t="n"/>
      <x:c r="CE135" s="302" t="n"/>
      <x:c r="CF135" s="302" t="n"/>
      <x:c r="CG135" s="302" t="n"/>
      <x:c r="CH135" s="302" t="n"/>
      <x:c r="CI135" s="302" t="n"/>
      <x:c r="CJ135" s="302" t="n"/>
      <x:c r="CK135" s="302" t="n"/>
      <x:c r="CL135" s="302" t="n"/>
      <x:c r="CM135" s="302" t="n"/>
      <x:c r="CN135" s="302" t="n"/>
      <x:c r="CO135" s="302" t="n"/>
      <x:c r="CP135" s="302" t="n"/>
      <x:c r="CQ135" s="302" t="n"/>
      <x:c r="CR135" s="302" t="n"/>
      <x:c r="CS135" s="302" t="n"/>
      <x:c r="CT135" s="302" t="n"/>
      <x:c r="CU135" s="302" t="n"/>
      <x:c r="CV135" s="302" t="n"/>
      <x:c r="CW135" s="302" t="n"/>
      <x:c r="CX135" s="302" t="n"/>
      <x:c r="CY135" s="302" t="n"/>
      <x:c r="CZ135" s="302" t="n"/>
      <x:c r="DA135" s="302" t="n"/>
      <x:c r="DB135" s="302" t="n"/>
      <x:c r="DC135" s="302" t="n"/>
      <x:c r="DD135" s="302" t="n"/>
      <x:c r="DE135" s="302" t="n"/>
      <x:c r="DF135" s="302" t="n"/>
      <x:c r="DG135" s="302" t="n"/>
      <x:c r="DH135" s="302" t="n"/>
      <x:c r="DI135" s="302" t="n"/>
      <x:c r="DJ135" s="302" t="n"/>
      <x:c r="DK135" s="302" t="n"/>
      <x:c r="DL135" s="302" t="n"/>
      <x:c r="DM135" s="302" t="n"/>
      <x:c r="DN135" s="302" t="n"/>
      <x:c r="DO135" s="302" t="n"/>
      <x:c r="DP135" s="302" t="n"/>
      <x:c r="DQ135" s="302" t="n"/>
      <x:c r="DR135" s="302" t="n"/>
      <x:c r="DS135" s="302" t="n"/>
      <x:c r="DT135" s="302" t="n"/>
      <x:c r="DU135" s="302" t="n"/>
      <x:c r="DV135" s="302" t="n"/>
      <x:c r="DW135" s="302" t="n"/>
      <x:c r="DX135" s="302" t="n"/>
      <x:c r="DY135" s="302" t="n"/>
      <x:c r="DZ135" s="302" t="n"/>
      <x:c r="EA135" s="302" t="n"/>
      <x:c r="EB135" s="302" t="n"/>
      <x:c r="EC135" s="302" t="n"/>
      <x:c r="ED135" s="302" t="n"/>
      <x:c r="EE135" s="302" t="n"/>
      <x:c r="EF135" s="302" t="n"/>
      <x:c r="EG135" s="302" t="n"/>
      <x:c r="EH135" s="302" t="n"/>
      <x:c r="EI135" s="302" t="n"/>
      <x:c r="EJ135" s="302" t="n"/>
      <x:c r="EK135" s="302" t="n"/>
      <x:c r="EL135" s="302" t="n"/>
      <x:c r="EM135" s="302" t="n"/>
      <x:c r="EN135" s="302" t="n"/>
      <x:c r="EO135" s="302" t="n"/>
      <x:c r="EP135" s="302" t="n"/>
      <x:c r="EQ135" s="302" t="n"/>
      <x:c r="ER135" s="302" t="n"/>
      <x:c r="ES135" s="302" t="n"/>
      <x:c r="ET135" s="302" t="n"/>
      <x:c r="EU135" s="302" t="n"/>
      <x:c r="EV135" s="302" t="n"/>
      <x:c r="EW135" s="302" t="n"/>
      <x:c r="EX135" s="302" t="n"/>
      <x:c r="EY135" s="302" t="n"/>
    </x:row>
    <x:row r="136" s="27" customFormat="1">
      <x:c r="A136" s="38" t="n"/>
      <x:c r="B136" s="37" t="n"/>
      <x:c r="C136" s="36" t="n">
        <x:f>E136*D$5</x:f>
        <x:v>0</x:v>
      </x:c>
      <x:c r="D136" s="20" t="n"/>
      <x:c r="E136" s="36" t="n">
        <x:f>SUM(G136:HS136)</x:f>
        <x:v>0</x:v>
      </x:c>
      <x:c r="F136" s="126" t="inlineStr">
        <x:is>
          <x:t xml:space="preserve"/>
        </x:is>
      </x:c>
      <x:c r="G136" s="302" t="n"/>
      <x:c r="H136" s="302" t="n"/>
      <x:c r="I136" s="302" t="n"/>
      <x:c r="J136" s="302" t="n"/>
      <x:c r="K136" s="302" t="n"/>
      <x:c r="L136" s="302" t="n"/>
      <x:c r="M136" s="302" t="n"/>
      <x:c r="N136" s="302" t="n"/>
      <x:c r="O136" s="302" t="n"/>
      <x:c r="P136" s="100" t="n"/>
      <x:c r="Q136" s="302" t="n"/>
      <x:c r="R136" s="302" t="n"/>
      <x:c r="S136" s="302" t="n"/>
      <x:c r="T136" s="302" t="n"/>
      <x:c r="U136" s="302" t="n"/>
      <x:c r="V136" s="302" t="n"/>
      <x:c r="W136" s="302" t="n"/>
      <x:c r="X136" s="302" t="n"/>
      <x:c r="Y136" s="100" t="n"/>
      <x:c r="Z136" s="100" t="n"/>
      <x:c r="AA136" s="100" t="n"/>
      <x:c r="AB136" s="100" t="n"/>
      <x:c r="AC136" s="100" t="n"/>
      <x:c r="AD136" s="100" t="n"/>
      <x:c r="AE136" s="100" t="n"/>
      <x:c r="AF136" s="302" t="n"/>
      <x:c r="AG136" s="100" t="n"/>
      <x:c r="AH136" s="302" t="n"/>
      <x:c r="AI136" s="100" t="n"/>
      <x:c r="AJ136" s="302" t="n"/>
      <x:c r="AK136" s="302" t="n"/>
      <x:c r="AL136" s="302" t="n"/>
      <x:c r="AM136" s="302" t="n"/>
      <x:c r="AN136" s="302" t="n"/>
      <x:c r="AO136" s="302" t="n"/>
      <x:c r="AP136" s="302" t="n"/>
      <x:c r="AQ136" s="302" t="n"/>
      <x:c r="AR136" s="302" t="n"/>
      <x:c r="AS136" s="302" t="n"/>
      <x:c r="AT136" s="302" t="n"/>
      <x:c r="AU136" s="302" t="n"/>
      <x:c r="AV136" s="302" t="n"/>
      <x:c r="AW136" s="302" t="n"/>
      <x:c r="AX136" s="302" t="n"/>
      <x:c r="AY136" s="302" t="n"/>
      <x:c r="AZ136" s="302" t="n"/>
      <x:c r="BA136" s="302" t="n"/>
      <x:c r="BB136" s="302" t="n"/>
      <x:c r="BC136" s="302" t="n"/>
      <x:c r="BD136" s="302" t="n"/>
      <x:c r="BE136" s="302" t="n"/>
      <x:c r="BF136" s="302" t="n"/>
      <x:c r="BG136" s="302" t="n"/>
      <x:c r="BH136" s="302" t="n"/>
      <x:c r="BI136" s="302" t="n"/>
      <x:c r="BJ136" s="302" t="n"/>
      <x:c r="BK136" s="302" t="n"/>
      <x:c r="BL136" s="302" t="n"/>
      <x:c r="BM136" s="302" t="n"/>
      <x:c r="BN136" s="302" t="n"/>
      <x:c r="BO136" s="302" t="n"/>
      <x:c r="BP136" s="302" t="n"/>
      <x:c r="BQ136" s="302" t="n"/>
      <x:c r="BR136" s="302" t="n"/>
      <x:c r="BS136" s="302" t="n"/>
      <x:c r="BT136" s="302" t="n"/>
      <x:c r="BU136" s="302" t="n"/>
      <x:c r="BV136" s="302" t="n"/>
      <x:c r="BW136" s="302" t="n"/>
      <x:c r="BX136" s="302" t="n"/>
      <x:c r="BY136" s="302" t="n"/>
      <x:c r="BZ136" s="302" t="n"/>
      <x:c r="CA136" s="302" t="n"/>
      <x:c r="CB136" s="302" t="n"/>
      <x:c r="CC136" s="302" t="n"/>
      <x:c r="CD136" s="302" t="n"/>
      <x:c r="CE136" s="302" t="n"/>
      <x:c r="CF136" s="302" t="n"/>
      <x:c r="CG136" s="302" t="n"/>
      <x:c r="CH136" s="302" t="n"/>
      <x:c r="CI136" s="302" t="n"/>
      <x:c r="CJ136" s="302" t="n"/>
      <x:c r="CK136" s="302" t="n"/>
      <x:c r="CL136" s="302" t="n"/>
      <x:c r="CM136" s="302" t="n"/>
      <x:c r="CN136" s="302" t="n"/>
      <x:c r="CO136" s="302" t="n"/>
      <x:c r="CP136" s="302" t="n"/>
      <x:c r="CQ136" s="302" t="n"/>
      <x:c r="CR136" s="302" t="n"/>
      <x:c r="CS136" s="302" t="n"/>
      <x:c r="CT136" s="302" t="n"/>
      <x:c r="CU136" s="302" t="n"/>
      <x:c r="CV136" s="302" t="n"/>
      <x:c r="CW136" s="302" t="n"/>
      <x:c r="CX136" s="302" t="n"/>
      <x:c r="CY136" s="302" t="n"/>
      <x:c r="CZ136" s="302" t="n"/>
      <x:c r="DA136" s="302" t="n"/>
      <x:c r="DB136" s="302" t="n"/>
      <x:c r="DC136" s="302" t="n"/>
      <x:c r="DD136" s="302" t="n"/>
      <x:c r="DE136" s="302" t="n"/>
      <x:c r="DF136" s="302" t="n"/>
      <x:c r="DG136" s="302" t="n"/>
      <x:c r="DH136" s="302" t="n"/>
      <x:c r="DI136" s="302" t="n"/>
      <x:c r="DJ136" s="302" t="n"/>
      <x:c r="DK136" s="302" t="n"/>
      <x:c r="DL136" s="302" t="n"/>
      <x:c r="DM136" s="302" t="n"/>
      <x:c r="DN136" s="302" t="n"/>
      <x:c r="DO136" s="302" t="n"/>
      <x:c r="DP136" s="302" t="n"/>
      <x:c r="DQ136" s="302" t="n"/>
      <x:c r="DR136" s="302" t="n"/>
      <x:c r="DS136" s="302" t="n"/>
      <x:c r="DT136" s="302" t="n"/>
      <x:c r="DU136" s="302" t="n"/>
      <x:c r="DV136" s="302" t="n"/>
      <x:c r="DW136" s="302" t="n"/>
      <x:c r="DX136" s="302" t="n"/>
      <x:c r="DY136" s="302" t="n"/>
      <x:c r="DZ136" s="302" t="n"/>
      <x:c r="EA136" s="302" t="n"/>
      <x:c r="EB136" s="302" t="n"/>
      <x:c r="EC136" s="302" t="n"/>
      <x:c r="ED136" s="302" t="n"/>
      <x:c r="EE136" s="302" t="n"/>
      <x:c r="EF136" s="302" t="n"/>
      <x:c r="EG136" s="302" t="n"/>
      <x:c r="EH136" s="302" t="n"/>
      <x:c r="EI136" s="302" t="n"/>
      <x:c r="EJ136" s="302" t="n"/>
      <x:c r="EK136" s="302" t="n"/>
      <x:c r="EL136" s="302" t="n"/>
      <x:c r="EM136" s="302" t="n"/>
      <x:c r="EN136" s="302" t="n"/>
      <x:c r="EO136" s="302" t="n"/>
      <x:c r="EP136" s="302" t="n"/>
      <x:c r="EQ136" s="302" t="n"/>
      <x:c r="ER136" s="302" t="n"/>
      <x:c r="ES136" s="302" t="n"/>
      <x:c r="ET136" s="302" t="n"/>
      <x:c r="EU136" s="302" t="n"/>
      <x:c r="EV136" s="302" t="n"/>
      <x:c r="EW136" s="302" t="n"/>
      <x:c r="EX136" s="302" t="n"/>
      <x:c r="EY136" s="302" t="n"/>
    </x:row>
    <x:row r="137" s="27" customFormat="1">
      <x:c r="A137" s="38" t="n"/>
      <x:c r="B137" s="37" t="n"/>
      <x:c r="C137" s="36" t="n">
        <x:f>E137*D$5</x:f>
        <x:v>0</x:v>
      </x:c>
      <x:c r="D137" s="20" t="n"/>
      <x:c r="E137" s="36" t="n">
        <x:f>SUM(G137:HS137)</x:f>
        <x:v>0</x:v>
      </x:c>
      <x:c r="F137" s="126" t="inlineStr">
        <x:is>
          <x:t xml:space="preserve"/>
        </x:is>
      </x:c>
      <x:c r="G137" s="302" t="n"/>
      <x:c r="H137" s="302" t="n"/>
      <x:c r="I137" s="302" t="n"/>
      <x:c r="J137" s="302" t="n"/>
      <x:c r="K137" s="302" t="n"/>
      <x:c r="L137" s="302" t="n"/>
      <x:c r="M137" s="302" t="n"/>
      <x:c r="N137" s="302" t="n"/>
      <x:c r="O137" s="302" t="n"/>
      <x:c r="P137" s="100" t="n"/>
      <x:c r="Q137" s="302" t="n"/>
      <x:c r="R137" s="302" t="n"/>
      <x:c r="S137" s="302" t="n"/>
      <x:c r="T137" s="302" t="n"/>
      <x:c r="U137" s="302" t="n"/>
      <x:c r="V137" s="302" t="n"/>
      <x:c r="W137" s="302" t="n"/>
      <x:c r="X137" s="302" t="n"/>
      <x:c r="Y137" s="100" t="n"/>
      <x:c r="Z137" s="100" t="n"/>
      <x:c r="AA137" s="100" t="n"/>
      <x:c r="AB137" s="100" t="n"/>
      <x:c r="AC137" s="100" t="n"/>
      <x:c r="AD137" s="100" t="n"/>
      <x:c r="AE137" s="100" t="n"/>
      <x:c r="AF137" s="302" t="n"/>
      <x:c r="AG137" s="100" t="n"/>
      <x:c r="AH137" s="302" t="n"/>
      <x:c r="AI137" s="100" t="n"/>
      <x:c r="AJ137" s="302" t="n"/>
      <x:c r="AK137" s="302" t="n"/>
      <x:c r="AL137" s="302" t="n"/>
      <x:c r="AM137" s="302" t="n"/>
      <x:c r="AN137" s="302" t="n"/>
      <x:c r="AO137" s="302" t="n"/>
      <x:c r="AP137" s="302" t="n"/>
      <x:c r="AQ137" s="302" t="n"/>
      <x:c r="AR137" s="302" t="n"/>
      <x:c r="AS137" s="302" t="n"/>
      <x:c r="AT137" s="302" t="n"/>
      <x:c r="AU137" s="302" t="n"/>
      <x:c r="AV137" s="302" t="n"/>
      <x:c r="AW137" s="302" t="n"/>
      <x:c r="AX137" s="302" t="n"/>
      <x:c r="AY137" s="302" t="n"/>
      <x:c r="AZ137" s="302" t="n"/>
      <x:c r="BA137" s="302" t="n"/>
      <x:c r="BB137" s="302" t="n"/>
      <x:c r="BC137" s="302" t="n"/>
      <x:c r="BD137" s="302" t="n"/>
      <x:c r="BE137" s="302" t="n"/>
      <x:c r="BF137" s="302" t="n"/>
      <x:c r="BG137" s="302" t="n"/>
      <x:c r="BH137" s="302" t="n"/>
      <x:c r="BI137" s="302" t="n"/>
      <x:c r="BJ137" s="302" t="n"/>
      <x:c r="BK137" s="302" t="n"/>
      <x:c r="BL137" s="302" t="n"/>
      <x:c r="BM137" s="302" t="n"/>
      <x:c r="BN137" s="302" t="n"/>
      <x:c r="BO137" s="302" t="n"/>
      <x:c r="BP137" s="302" t="n"/>
      <x:c r="BQ137" s="302" t="n"/>
      <x:c r="BR137" s="302" t="n"/>
      <x:c r="BS137" s="302" t="n"/>
      <x:c r="BT137" s="302" t="n"/>
      <x:c r="BU137" s="302" t="n"/>
      <x:c r="BV137" s="302" t="n"/>
      <x:c r="BW137" s="302" t="n"/>
      <x:c r="BX137" s="302" t="n"/>
      <x:c r="BY137" s="302" t="n"/>
      <x:c r="BZ137" s="302" t="n"/>
      <x:c r="CA137" s="302" t="n"/>
      <x:c r="CB137" s="302" t="n"/>
      <x:c r="CC137" s="302" t="n"/>
      <x:c r="CD137" s="302" t="n"/>
      <x:c r="CE137" s="302" t="n"/>
      <x:c r="CF137" s="302" t="n"/>
      <x:c r="CG137" s="302" t="n"/>
      <x:c r="CH137" s="302" t="n"/>
      <x:c r="CI137" s="302" t="n"/>
      <x:c r="CJ137" s="302" t="n"/>
      <x:c r="CK137" s="302" t="n"/>
      <x:c r="CL137" s="302" t="n"/>
      <x:c r="CM137" s="302" t="n"/>
      <x:c r="CN137" s="302" t="n"/>
      <x:c r="CO137" s="302" t="n"/>
      <x:c r="CP137" s="302" t="n"/>
      <x:c r="CQ137" s="302" t="n"/>
      <x:c r="CR137" s="302" t="n"/>
      <x:c r="CS137" s="302" t="n"/>
      <x:c r="CT137" s="302" t="n"/>
      <x:c r="CU137" s="302" t="n"/>
      <x:c r="CV137" s="302" t="n"/>
      <x:c r="CW137" s="302" t="n"/>
      <x:c r="CX137" s="302" t="n"/>
      <x:c r="CY137" s="302" t="n"/>
      <x:c r="CZ137" s="302" t="n"/>
      <x:c r="DA137" s="302" t="n"/>
      <x:c r="DB137" s="302" t="n"/>
      <x:c r="DC137" s="302" t="n"/>
      <x:c r="DD137" s="302" t="n"/>
      <x:c r="DE137" s="302" t="n"/>
      <x:c r="DF137" s="302" t="n"/>
      <x:c r="DG137" s="302" t="n"/>
      <x:c r="DH137" s="302" t="n"/>
      <x:c r="DI137" s="302" t="n"/>
      <x:c r="DJ137" s="302" t="n"/>
      <x:c r="DK137" s="302" t="n"/>
      <x:c r="DL137" s="302" t="n"/>
      <x:c r="DM137" s="302" t="n"/>
      <x:c r="DN137" s="302" t="n"/>
      <x:c r="DO137" s="302" t="n"/>
      <x:c r="DP137" s="302" t="n"/>
      <x:c r="DQ137" s="302" t="n"/>
      <x:c r="DR137" s="302" t="n"/>
      <x:c r="DS137" s="302" t="n"/>
      <x:c r="DT137" s="302" t="n"/>
      <x:c r="DU137" s="302" t="n"/>
      <x:c r="DV137" s="302" t="n"/>
      <x:c r="DW137" s="302" t="n"/>
      <x:c r="DX137" s="302" t="n"/>
      <x:c r="DY137" s="302" t="n"/>
      <x:c r="DZ137" s="302" t="n"/>
      <x:c r="EA137" s="302" t="n"/>
      <x:c r="EB137" s="302" t="n"/>
      <x:c r="EC137" s="302" t="n"/>
      <x:c r="ED137" s="302" t="n"/>
      <x:c r="EE137" s="302" t="n"/>
      <x:c r="EF137" s="302" t="n"/>
      <x:c r="EG137" s="302" t="n"/>
      <x:c r="EH137" s="302" t="n"/>
      <x:c r="EI137" s="302" t="n"/>
      <x:c r="EJ137" s="302" t="n"/>
      <x:c r="EK137" s="302" t="n"/>
      <x:c r="EL137" s="302" t="n"/>
      <x:c r="EM137" s="302" t="n"/>
      <x:c r="EN137" s="302" t="n"/>
      <x:c r="EO137" s="302" t="n"/>
      <x:c r="EP137" s="302" t="n"/>
      <x:c r="EQ137" s="302" t="n"/>
      <x:c r="ER137" s="302" t="n"/>
      <x:c r="ES137" s="302" t="n"/>
      <x:c r="ET137" s="302" t="n"/>
      <x:c r="EU137" s="302" t="n"/>
      <x:c r="EV137" s="302" t="n"/>
      <x:c r="EW137" s="302" t="n"/>
      <x:c r="EX137" s="302" t="n"/>
      <x:c r="EY137" s="302" t="n"/>
    </x:row>
    <x:row r="138" s="27" customFormat="1">
      <x:c r="A138" s="38" t="n"/>
      <x:c r="B138" s="37" t="n"/>
      <x:c r="C138" s="36" t="n">
        <x:f>E138*D$5</x:f>
        <x:v>0</x:v>
      </x:c>
      <x:c r="D138" s="20" t="n"/>
      <x:c r="E138" s="36" t="n">
        <x:f>SUM(G138:HS138)</x:f>
        <x:v>0</x:v>
      </x:c>
      <x:c r="F138" s="126" t="inlineStr">
        <x:is>
          <x:t xml:space="preserve"/>
        </x:is>
      </x:c>
      <x:c r="G138" s="302" t="n"/>
      <x:c r="H138" s="302" t="n"/>
      <x:c r="I138" s="302" t="n"/>
      <x:c r="J138" s="302" t="n"/>
      <x:c r="K138" s="302" t="n"/>
      <x:c r="L138" s="302" t="n"/>
      <x:c r="M138" s="302" t="n"/>
      <x:c r="N138" s="302" t="n"/>
      <x:c r="O138" s="302" t="n"/>
      <x:c r="P138" s="100" t="n"/>
      <x:c r="Q138" s="302" t="n"/>
      <x:c r="R138" s="302" t="n"/>
      <x:c r="S138" s="302" t="n"/>
      <x:c r="T138" s="302" t="n"/>
      <x:c r="U138" s="302" t="n"/>
      <x:c r="V138" s="302" t="n"/>
      <x:c r="W138" s="302" t="n"/>
      <x:c r="X138" s="302" t="n"/>
      <x:c r="Y138" s="100" t="n"/>
      <x:c r="Z138" s="100" t="n"/>
      <x:c r="AA138" s="100" t="n"/>
      <x:c r="AB138" s="100" t="n"/>
      <x:c r="AC138" s="100" t="n"/>
      <x:c r="AD138" s="100" t="n"/>
      <x:c r="AE138" s="100" t="n"/>
      <x:c r="AF138" s="302" t="n"/>
      <x:c r="AG138" s="100" t="n"/>
      <x:c r="AH138" s="302" t="n"/>
      <x:c r="AI138" s="100" t="n"/>
      <x:c r="AJ138" s="302" t="n"/>
      <x:c r="AK138" s="302" t="n"/>
      <x:c r="AL138" s="302" t="n"/>
      <x:c r="AM138" s="302" t="n"/>
      <x:c r="AN138" s="302" t="n"/>
      <x:c r="AO138" s="302" t="n"/>
      <x:c r="AP138" s="302" t="n"/>
      <x:c r="AQ138" s="302" t="n"/>
      <x:c r="AR138" s="302" t="n"/>
      <x:c r="AS138" s="302" t="n"/>
      <x:c r="AT138" s="302" t="n"/>
      <x:c r="AU138" s="302" t="n"/>
      <x:c r="AV138" s="302" t="n"/>
      <x:c r="AW138" s="302" t="n"/>
      <x:c r="AX138" s="302" t="n"/>
      <x:c r="AY138" s="302" t="n"/>
      <x:c r="AZ138" s="302" t="n"/>
      <x:c r="BA138" s="302" t="n"/>
      <x:c r="BB138" s="302" t="n"/>
      <x:c r="BC138" s="302" t="n"/>
      <x:c r="BD138" s="302" t="n"/>
      <x:c r="BE138" s="302" t="n"/>
      <x:c r="BF138" s="302" t="n"/>
      <x:c r="BG138" s="302" t="n"/>
      <x:c r="BH138" s="302" t="n"/>
      <x:c r="BI138" s="302" t="n"/>
      <x:c r="BJ138" s="302" t="n"/>
      <x:c r="BK138" s="302" t="n"/>
      <x:c r="BL138" s="302" t="n"/>
      <x:c r="BM138" s="302" t="n"/>
      <x:c r="BN138" s="302" t="n"/>
      <x:c r="BO138" s="302" t="n"/>
      <x:c r="BP138" s="302" t="n"/>
      <x:c r="BQ138" s="302" t="n"/>
      <x:c r="BR138" s="302" t="n"/>
      <x:c r="BS138" s="302" t="n"/>
      <x:c r="BT138" s="302" t="n"/>
      <x:c r="BU138" s="302" t="n"/>
      <x:c r="BV138" s="302" t="n"/>
      <x:c r="BW138" s="302" t="n"/>
      <x:c r="BX138" s="302" t="n"/>
      <x:c r="BY138" s="302" t="n"/>
      <x:c r="BZ138" s="302" t="n"/>
      <x:c r="CA138" s="302" t="n"/>
      <x:c r="CB138" s="302" t="n"/>
      <x:c r="CC138" s="302" t="n"/>
      <x:c r="CD138" s="302" t="n"/>
      <x:c r="CE138" s="302" t="n"/>
      <x:c r="CF138" s="302" t="n"/>
      <x:c r="CG138" s="302" t="n"/>
      <x:c r="CH138" s="302" t="n"/>
      <x:c r="CI138" s="302" t="n"/>
      <x:c r="CJ138" s="302" t="n"/>
      <x:c r="CK138" s="302" t="n"/>
      <x:c r="CL138" s="302" t="n"/>
      <x:c r="CM138" s="302" t="n"/>
      <x:c r="CN138" s="302" t="n"/>
      <x:c r="CO138" s="302" t="n"/>
      <x:c r="CP138" s="302" t="n"/>
      <x:c r="CQ138" s="302" t="n"/>
      <x:c r="CR138" s="302" t="n"/>
      <x:c r="CS138" s="302" t="n"/>
      <x:c r="CT138" s="302" t="n"/>
      <x:c r="CU138" s="302" t="n"/>
      <x:c r="CV138" s="302" t="n"/>
      <x:c r="CW138" s="302" t="n"/>
      <x:c r="CX138" s="302" t="n"/>
      <x:c r="CY138" s="302" t="n"/>
      <x:c r="CZ138" s="302" t="n"/>
      <x:c r="DA138" s="302" t="n"/>
      <x:c r="DB138" s="302" t="n"/>
      <x:c r="DC138" s="302" t="n"/>
      <x:c r="DD138" s="302" t="n"/>
      <x:c r="DE138" s="302" t="n"/>
      <x:c r="DF138" s="302" t="n"/>
      <x:c r="DG138" s="302" t="n"/>
      <x:c r="DH138" s="302" t="n"/>
      <x:c r="DI138" s="302" t="n"/>
      <x:c r="DJ138" s="302" t="n"/>
      <x:c r="DK138" s="302" t="n"/>
      <x:c r="DL138" s="302" t="n"/>
      <x:c r="DM138" s="302" t="n"/>
      <x:c r="DN138" s="302" t="n"/>
      <x:c r="DO138" s="302" t="n"/>
      <x:c r="DP138" s="302" t="n"/>
      <x:c r="DQ138" s="302" t="n"/>
      <x:c r="DR138" s="302" t="n"/>
      <x:c r="DS138" s="302" t="n"/>
      <x:c r="DT138" s="302" t="n"/>
      <x:c r="DU138" s="302" t="n"/>
      <x:c r="DV138" s="302" t="n"/>
      <x:c r="DW138" s="302" t="n"/>
      <x:c r="DX138" s="302" t="n"/>
      <x:c r="DY138" s="302" t="n"/>
      <x:c r="DZ138" s="302" t="n"/>
      <x:c r="EA138" s="302" t="n"/>
      <x:c r="EB138" s="302" t="n"/>
      <x:c r="EC138" s="302" t="n"/>
      <x:c r="ED138" s="302" t="n"/>
      <x:c r="EE138" s="302" t="n"/>
      <x:c r="EF138" s="302" t="n"/>
      <x:c r="EG138" s="302" t="n"/>
      <x:c r="EH138" s="302" t="n"/>
      <x:c r="EI138" s="302" t="n"/>
      <x:c r="EJ138" s="302" t="n"/>
      <x:c r="EK138" s="302" t="n"/>
      <x:c r="EL138" s="302" t="n"/>
      <x:c r="EM138" s="302" t="n"/>
      <x:c r="EN138" s="302" t="n"/>
      <x:c r="EO138" s="302" t="n"/>
      <x:c r="EP138" s="302" t="n"/>
      <x:c r="EQ138" s="302" t="n"/>
      <x:c r="ER138" s="302" t="n"/>
      <x:c r="ES138" s="302" t="n"/>
      <x:c r="ET138" s="302" t="n"/>
      <x:c r="EU138" s="302" t="n"/>
      <x:c r="EV138" s="302" t="n"/>
      <x:c r="EW138" s="302" t="n"/>
      <x:c r="EX138" s="302" t="n"/>
      <x:c r="EY138" s="302" t="n"/>
    </x:row>
    <x:row r="139" s="27" customFormat="1">
      <x:c r="A139" s="38" t="n"/>
      <x:c r="B139" s="37" t="n"/>
      <x:c r="C139" s="36" t="n">
        <x:f>E139*D$5</x:f>
        <x:v>0</x:v>
      </x:c>
      <x:c r="D139" s="20" t="n"/>
      <x:c r="E139" s="36" t="n">
        <x:f>SUM(G139:HS139)</x:f>
        <x:v>0</x:v>
      </x:c>
      <x:c r="F139" s="126" t="inlineStr">
        <x:is>
          <x:t xml:space="preserve"/>
        </x:is>
      </x:c>
      <x:c r="G139" s="302" t="n"/>
      <x:c r="H139" s="302" t="n"/>
      <x:c r="I139" s="302" t="n"/>
      <x:c r="J139" s="302" t="n"/>
      <x:c r="K139" s="302" t="n"/>
      <x:c r="L139" s="302" t="n"/>
      <x:c r="M139" s="302" t="n"/>
      <x:c r="N139" s="302" t="n"/>
      <x:c r="O139" s="302" t="n"/>
      <x:c r="P139" s="100" t="n"/>
      <x:c r="Q139" s="302" t="n"/>
      <x:c r="R139" s="302" t="n"/>
      <x:c r="S139" s="302" t="n"/>
      <x:c r="T139" s="302" t="n"/>
      <x:c r="U139" s="302" t="n"/>
      <x:c r="V139" s="302" t="n"/>
      <x:c r="W139" s="302" t="n"/>
      <x:c r="X139" s="302" t="n"/>
      <x:c r="Y139" s="100" t="n"/>
      <x:c r="Z139" s="100" t="n"/>
      <x:c r="AA139" s="100" t="n"/>
      <x:c r="AB139" s="100" t="n"/>
      <x:c r="AC139" s="100" t="n"/>
      <x:c r="AD139" s="100" t="n"/>
      <x:c r="AE139" s="100" t="n"/>
      <x:c r="AF139" s="302" t="n"/>
      <x:c r="AG139" s="100" t="n"/>
      <x:c r="AH139" s="302" t="n"/>
      <x:c r="AI139" s="100" t="n"/>
      <x:c r="AJ139" s="302" t="n"/>
      <x:c r="AK139" s="302" t="n"/>
      <x:c r="AL139" s="302" t="n"/>
      <x:c r="AM139" s="302" t="n"/>
      <x:c r="AN139" s="302" t="n"/>
      <x:c r="AO139" s="302" t="n"/>
      <x:c r="AP139" s="302" t="n"/>
      <x:c r="AQ139" s="302" t="n"/>
      <x:c r="AR139" s="302" t="n"/>
      <x:c r="AS139" s="302" t="n"/>
      <x:c r="AT139" s="302" t="n"/>
      <x:c r="AU139" s="302" t="n"/>
      <x:c r="AV139" s="302" t="n"/>
      <x:c r="AW139" s="302" t="n"/>
      <x:c r="AX139" s="302" t="n"/>
      <x:c r="AY139" s="302" t="n"/>
      <x:c r="AZ139" s="302" t="n"/>
      <x:c r="BA139" s="302" t="n"/>
      <x:c r="BB139" s="302" t="n"/>
      <x:c r="BC139" s="302" t="n"/>
      <x:c r="BD139" s="302" t="n"/>
      <x:c r="BE139" s="302" t="n"/>
      <x:c r="BF139" s="302" t="n"/>
      <x:c r="BG139" s="302" t="n"/>
      <x:c r="BH139" s="302" t="n"/>
      <x:c r="BI139" s="302" t="n"/>
      <x:c r="BJ139" s="302" t="n"/>
      <x:c r="BK139" s="302" t="n"/>
      <x:c r="BL139" s="302" t="n"/>
      <x:c r="BM139" s="302" t="n"/>
      <x:c r="BN139" s="302" t="n"/>
      <x:c r="BO139" s="302" t="n"/>
      <x:c r="BP139" s="302" t="n"/>
      <x:c r="BQ139" s="302" t="n"/>
      <x:c r="BR139" s="302" t="n"/>
      <x:c r="BS139" s="302" t="n"/>
      <x:c r="BT139" s="302" t="n"/>
      <x:c r="BU139" s="302" t="n"/>
      <x:c r="BV139" s="302" t="n"/>
      <x:c r="BW139" s="302" t="n"/>
      <x:c r="BX139" s="302" t="n"/>
      <x:c r="BY139" s="302" t="n"/>
      <x:c r="BZ139" s="302" t="n"/>
      <x:c r="CA139" s="302" t="n"/>
      <x:c r="CB139" s="302" t="n"/>
      <x:c r="CC139" s="302" t="n"/>
      <x:c r="CD139" s="302" t="n"/>
      <x:c r="CE139" s="302" t="n"/>
      <x:c r="CF139" s="302" t="n"/>
      <x:c r="CG139" s="302" t="n"/>
      <x:c r="CH139" s="302" t="n"/>
      <x:c r="CI139" s="302" t="n"/>
      <x:c r="CJ139" s="302" t="n"/>
      <x:c r="CK139" s="302" t="n"/>
      <x:c r="CL139" s="302" t="n"/>
      <x:c r="CM139" s="302" t="n"/>
      <x:c r="CN139" s="302" t="n"/>
      <x:c r="CO139" s="302" t="n"/>
      <x:c r="CP139" s="302" t="n"/>
      <x:c r="CQ139" s="302" t="n"/>
      <x:c r="CR139" s="302" t="n"/>
      <x:c r="CS139" s="302" t="n"/>
      <x:c r="CT139" s="302" t="n"/>
      <x:c r="CU139" s="302" t="n"/>
      <x:c r="CV139" s="302" t="n"/>
      <x:c r="CW139" s="302" t="n"/>
      <x:c r="CX139" s="302" t="n"/>
      <x:c r="CY139" s="302" t="n"/>
      <x:c r="CZ139" s="302" t="n"/>
      <x:c r="DA139" s="302" t="n"/>
      <x:c r="DB139" s="302" t="n"/>
      <x:c r="DC139" s="302" t="n"/>
      <x:c r="DD139" s="302" t="n"/>
      <x:c r="DE139" s="302" t="n"/>
      <x:c r="DF139" s="302" t="n"/>
      <x:c r="DG139" s="302" t="n"/>
      <x:c r="DH139" s="302" t="n"/>
      <x:c r="DI139" s="302" t="n"/>
      <x:c r="DJ139" s="302" t="n"/>
      <x:c r="DK139" s="302" t="n"/>
      <x:c r="DL139" s="302" t="n"/>
      <x:c r="DM139" s="302" t="n"/>
      <x:c r="DN139" s="302" t="n"/>
      <x:c r="DO139" s="302" t="n"/>
      <x:c r="DP139" s="302" t="n"/>
      <x:c r="DQ139" s="302" t="n"/>
      <x:c r="DR139" s="302" t="n"/>
      <x:c r="DS139" s="302" t="n"/>
      <x:c r="DT139" s="302" t="n"/>
      <x:c r="DU139" s="302" t="n"/>
      <x:c r="DV139" s="302" t="n"/>
      <x:c r="DW139" s="302" t="n"/>
      <x:c r="DX139" s="302" t="n"/>
      <x:c r="DY139" s="302" t="n"/>
      <x:c r="DZ139" s="302" t="n"/>
      <x:c r="EA139" s="302" t="n"/>
      <x:c r="EB139" s="302" t="n"/>
      <x:c r="EC139" s="302" t="n"/>
      <x:c r="ED139" s="302" t="n"/>
      <x:c r="EE139" s="302" t="n"/>
      <x:c r="EF139" s="302" t="n"/>
      <x:c r="EG139" s="302" t="n"/>
      <x:c r="EH139" s="302" t="n"/>
      <x:c r="EI139" s="302" t="n"/>
      <x:c r="EJ139" s="302" t="n"/>
      <x:c r="EK139" s="302" t="n"/>
      <x:c r="EL139" s="302" t="n"/>
      <x:c r="EM139" s="302" t="n"/>
      <x:c r="EN139" s="302" t="n"/>
      <x:c r="EO139" s="302" t="n"/>
      <x:c r="EP139" s="302" t="n"/>
      <x:c r="EQ139" s="302" t="n"/>
      <x:c r="ER139" s="302" t="n"/>
      <x:c r="ES139" s="302" t="n"/>
      <x:c r="ET139" s="302" t="n"/>
      <x:c r="EU139" s="302" t="n"/>
      <x:c r="EV139" s="302" t="n"/>
      <x:c r="EW139" s="302" t="n"/>
      <x:c r="EX139" s="302" t="n"/>
      <x:c r="EY139" s="302" t="n"/>
    </x:row>
    <x:row r="140" s="27" customFormat="1">
      <x:c r="A140" s="38" t="n"/>
      <x:c r="B140" s="37" t="n"/>
      <x:c r="C140" s="36" t="n">
        <x:f>E140*D$5</x:f>
        <x:v>0</x:v>
      </x:c>
      <x:c r="D140" s="20" t="n"/>
      <x:c r="E140" s="36" t="n">
        <x:f>SUM(G140:HS140)</x:f>
        <x:v>0</x:v>
      </x:c>
      <x:c r="F140" s="126" t="inlineStr">
        <x:is>
          <x:t xml:space="preserve"/>
        </x:is>
      </x:c>
      <x:c r="G140" s="302" t="n"/>
      <x:c r="H140" s="302" t="n"/>
      <x:c r="I140" s="302" t="n"/>
      <x:c r="J140" s="302" t="n"/>
      <x:c r="K140" s="302" t="n"/>
      <x:c r="L140" s="302" t="n"/>
      <x:c r="M140" s="302" t="n"/>
      <x:c r="N140" s="302" t="n"/>
      <x:c r="O140" s="302" t="n"/>
      <x:c r="P140" s="100" t="n"/>
      <x:c r="Q140" s="302" t="n"/>
      <x:c r="R140" s="302" t="n"/>
      <x:c r="S140" s="302" t="n"/>
      <x:c r="T140" s="302" t="n"/>
      <x:c r="U140" s="302" t="n"/>
      <x:c r="V140" s="302" t="n"/>
      <x:c r="W140" s="302" t="n"/>
      <x:c r="X140" s="302" t="n"/>
      <x:c r="Y140" s="100" t="n"/>
      <x:c r="Z140" s="100" t="n"/>
      <x:c r="AA140" s="100" t="n"/>
      <x:c r="AB140" s="100" t="n"/>
      <x:c r="AC140" s="100" t="n"/>
      <x:c r="AD140" s="100" t="n"/>
      <x:c r="AE140" s="100" t="n"/>
      <x:c r="AF140" s="302" t="n"/>
      <x:c r="AG140" s="100" t="n"/>
      <x:c r="AH140" s="302" t="n"/>
      <x:c r="AI140" s="100" t="n"/>
      <x:c r="AJ140" s="302" t="n"/>
      <x:c r="AK140" s="302" t="n"/>
      <x:c r="AL140" s="302" t="n"/>
      <x:c r="AM140" s="302" t="n"/>
      <x:c r="AN140" s="302" t="n"/>
      <x:c r="AO140" s="302" t="n"/>
      <x:c r="AP140" s="302" t="n"/>
      <x:c r="AQ140" s="302" t="n"/>
      <x:c r="AR140" s="302" t="n"/>
      <x:c r="AS140" s="302" t="n"/>
      <x:c r="AT140" s="302" t="n"/>
      <x:c r="AU140" s="302" t="n"/>
      <x:c r="AV140" s="302" t="n"/>
      <x:c r="AW140" s="302" t="n"/>
      <x:c r="AX140" s="302" t="n"/>
      <x:c r="AY140" s="302" t="n"/>
      <x:c r="AZ140" s="302" t="n"/>
      <x:c r="BA140" s="302" t="n"/>
      <x:c r="BB140" s="302" t="n"/>
      <x:c r="BC140" s="302" t="n"/>
      <x:c r="BD140" s="302" t="n"/>
      <x:c r="BE140" s="302" t="n"/>
      <x:c r="BF140" s="302" t="n"/>
      <x:c r="BG140" s="302" t="n"/>
      <x:c r="BH140" s="302" t="n"/>
      <x:c r="BI140" s="302" t="n"/>
      <x:c r="BJ140" s="302" t="n"/>
      <x:c r="BK140" s="302" t="n"/>
      <x:c r="BL140" s="302" t="n"/>
      <x:c r="BM140" s="302" t="n"/>
      <x:c r="BN140" s="302" t="n"/>
      <x:c r="BO140" s="302" t="n"/>
      <x:c r="BP140" s="302" t="n"/>
      <x:c r="BQ140" s="302" t="n"/>
      <x:c r="BR140" s="302" t="n"/>
      <x:c r="BS140" s="302" t="n"/>
      <x:c r="BT140" s="302" t="n"/>
      <x:c r="BU140" s="302" t="n"/>
      <x:c r="BV140" s="302" t="n"/>
      <x:c r="BW140" s="302" t="n"/>
      <x:c r="BX140" s="302" t="n"/>
      <x:c r="BY140" s="302" t="n"/>
      <x:c r="BZ140" s="302" t="n"/>
      <x:c r="CA140" s="302" t="n"/>
      <x:c r="CB140" s="302" t="n"/>
      <x:c r="CC140" s="302" t="n"/>
      <x:c r="CD140" s="302" t="n"/>
      <x:c r="CE140" s="302" t="n"/>
      <x:c r="CF140" s="302" t="n"/>
      <x:c r="CG140" s="302" t="n"/>
      <x:c r="CH140" s="302" t="n"/>
      <x:c r="CI140" s="302" t="n"/>
      <x:c r="CJ140" s="302" t="n"/>
      <x:c r="CK140" s="302" t="n"/>
      <x:c r="CL140" s="302" t="n"/>
      <x:c r="CM140" s="302" t="n"/>
      <x:c r="CN140" s="302" t="n"/>
      <x:c r="CO140" s="302" t="n"/>
      <x:c r="CP140" s="302" t="n"/>
      <x:c r="CQ140" s="302" t="n"/>
      <x:c r="CR140" s="302" t="n"/>
      <x:c r="CS140" s="302" t="n"/>
      <x:c r="CT140" s="302" t="n"/>
      <x:c r="CU140" s="302" t="n"/>
      <x:c r="CV140" s="302" t="n"/>
      <x:c r="CW140" s="302" t="n"/>
      <x:c r="CX140" s="302" t="n"/>
      <x:c r="CY140" s="302" t="n"/>
      <x:c r="CZ140" s="302" t="n"/>
      <x:c r="DA140" s="302" t="n"/>
      <x:c r="DB140" s="302" t="n"/>
      <x:c r="DC140" s="302" t="n"/>
      <x:c r="DD140" s="302" t="n"/>
      <x:c r="DE140" s="302" t="n"/>
      <x:c r="DF140" s="302" t="n"/>
      <x:c r="DG140" s="302" t="n"/>
      <x:c r="DH140" s="302" t="n"/>
      <x:c r="DI140" s="302" t="n"/>
      <x:c r="DJ140" s="302" t="n"/>
      <x:c r="DK140" s="302" t="n"/>
      <x:c r="DL140" s="302" t="n"/>
      <x:c r="DM140" s="302" t="n"/>
      <x:c r="DN140" s="302" t="n"/>
      <x:c r="DO140" s="302" t="n"/>
      <x:c r="DP140" s="302" t="n"/>
      <x:c r="DQ140" s="302" t="n"/>
      <x:c r="DR140" s="302" t="n"/>
      <x:c r="DS140" s="302" t="n"/>
      <x:c r="DT140" s="302" t="n"/>
      <x:c r="DU140" s="302" t="n"/>
      <x:c r="DV140" s="302" t="n"/>
      <x:c r="DW140" s="302" t="n"/>
      <x:c r="DX140" s="302" t="n"/>
      <x:c r="DY140" s="302" t="n"/>
      <x:c r="DZ140" s="302" t="n"/>
      <x:c r="EA140" s="302" t="n"/>
      <x:c r="EB140" s="302" t="n"/>
      <x:c r="EC140" s="302" t="n"/>
      <x:c r="ED140" s="302" t="n"/>
      <x:c r="EE140" s="302" t="n"/>
      <x:c r="EF140" s="302" t="n"/>
      <x:c r="EG140" s="302" t="n"/>
      <x:c r="EH140" s="302" t="n"/>
      <x:c r="EI140" s="302" t="n"/>
      <x:c r="EJ140" s="302" t="n"/>
      <x:c r="EK140" s="302" t="n"/>
      <x:c r="EL140" s="302" t="n"/>
      <x:c r="EM140" s="302" t="n"/>
      <x:c r="EN140" s="302" t="n"/>
      <x:c r="EO140" s="302" t="n"/>
      <x:c r="EP140" s="302" t="n"/>
      <x:c r="EQ140" s="302" t="n"/>
      <x:c r="ER140" s="302" t="n"/>
      <x:c r="ES140" s="302" t="n"/>
      <x:c r="ET140" s="302" t="n"/>
      <x:c r="EU140" s="302" t="n"/>
      <x:c r="EV140" s="302" t="n"/>
      <x:c r="EW140" s="302" t="n"/>
      <x:c r="EX140" s="302" t="n"/>
      <x:c r="EY140" s="302" t="n"/>
    </x:row>
    <x:row r="141" s="27" customFormat="1">
      <x:c r="A141" s="38" t="n"/>
      <x:c r="B141" s="37" t="n"/>
      <x:c r="C141" s="36" t="n">
        <x:f>E141*D$5</x:f>
        <x:v>0</x:v>
      </x:c>
      <x:c r="D141" s="20" t="n"/>
      <x:c r="E141" s="36" t="n">
        <x:f>SUM(G141:HS141)</x:f>
        <x:v>0</x:v>
      </x:c>
      <x:c r="F141" s="126" t="inlineStr">
        <x:is>
          <x:t xml:space="preserve"/>
        </x:is>
      </x:c>
      <x:c r="G141" s="302" t="n"/>
      <x:c r="H141" s="302" t="n"/>
      <x:c r="I141" s="302" t="n"/>
      <x:c r="J141" s="302" t="n"/>
      <x:c r="K141" s="302" t="n"/>
      <x:c r="L141" s="302" t="n"/>
      <x:c r="M141" s="302" t="n"/>
      <x:c r="N141" s="302" t="n"/>
      <x:c r="O141" s="302" t="n"/>
      <x:c r="P141" s="100" t="n"/>
      <x:c r="Q141" s="302" t="n"/>
      <x:c r="R141" s="302" t="n"/>
      <x:c r="S141" s="302" t="n"/>
      <x:c r="T141" s="302" t="n"/>
      <x:c r="U141" s="302" t="n"/>
      <x:c r="V141" s="302" t="n"/>
      <x:c r="W141" s="302" t="n"/>
      <x:c r="X141" s="302" t="n"/>
      <x:c r="Y141" s="100" t="n"/>
      <x:c r="Z141" s="100" t="n"/>
      <x:c r="AA141" s="100" t="n"/>
      <x:c r="AB141" s="100" t="n"/>
      <x:c r="AC141" s="100" t="n"/>
      <x:c r="AD141" s="100" t="n"/>
      <x:c r="AE141" s="100" t="n"/>
      <x:c r="AF141" s="302" t="n"/>
      <x:c r="AG141" s="100" t="n"/>
      <x:c r="AH141" s="302" t="n"/>
      <x:c r="AI141" s="100" t="n"/>
      <x:c r="AJ141" s="302" t="n"/>
      <x:c r="AK141" s="302" t="n"/>
      <x:c r="AL141" s="302" t="n"/>
      <x:c r="AM141" s="302" t="n"/>
      <x:c r="AN141" s="302" t="n"/>
      <x:c r="AO141" s="302" t="n"/>
      <x:c r="AP141" s="302" t="n"/>
      <x:c r="AQ141" s="302" t="n"/>
      <x:c r="AR141" s="302" t="n"/>
      <x:c r="AS141" s="302" t="n"/>
      <x:c r="AT141" s="302" t="n"/>
      <x:c r="AU141" s="302" t="n"/>
      <x:c r="AV141" s="302" t="n"/>
      <x:c r="AW141" s="302" t="n"/>
      <x:c r="AX141" s="302" t="n"/>
      <x:c r="AY141" s="302" t="n"/>
      <x:c r="AZ141" s="302" t="n"/>
      <x:c r="BA141" s="302" t="n"/>
      <x:c r="BB141" s="302" t="n"/>
      <x:c r="BC141" s="302" t="n"/>
      <x:c r="BD141" s="302" t="n"/>
      <x:c r="BE141" s="302" t="n"/>
      <x:c r="BF141" s="302" t="n"/>
      <x:c r="BG141" s="302" t="n"/>
      <x:c r="BH141" s="302" t="n"/>
      <x:c r="BI141" s="302" t="n"/>
      <x:c r="BJ141" s="302" t="n"/>
      <x:c r="BK141" s="302" t="n"/>
      <x:c r="BL141" s="302" t="n"/>
      <x:c r="BM141" s="302" t="n"/>
      <x:c r="BN141" s="302" t="n"/>
      <x:c r="BO141" s="302" t="n"/>
      <x:c r="BP141" s="302" t="n"/>
      <x:c r="BQ141" s="302" t="n"/>
      <x:c r="BR141" s="302" t="n"/>
      <x:c r="BS141" s="302" t="n"/>
      <x:c r="BT141" s="302" t="n"/>
      <x:c r="BU141" s="302" t="n"/>
      <x:c r="BV141" s="302" t="n"/>
      <x:c r="BW141" s="302" t="n"/>
      <x:c r="BX141" s="302" t="n"/>
      <x:c r="BY141" s="302" t="n"/>
      <x:c r="BZ141" s="302" t="n"/>
      <x:c r="CA141" s="302" t="n"/>
      <x:c r="CB141" s="302" t="n"/>
      <x:c r="CC141" s="302" t="n"/>
      <x:c r="CD141" s="302" t="n"/>
      <x:c r="CE141" s="302" t="n"/>
      <x:c r="CF141" s="302" t="n"/>
      <x:c r="CG141" s="302" t="n"/>
      <x:c r="CH141" s="302" t="n"/>
      <x:c r="CI141" s="302" t="n"/>
      <x:c r="CJ141" s="302" t="n"/>
      <x:c r="CK141" s="302" t="n"/>
      <x:c r="CL141" s="302" t="n"/>
      <x:c r="CM141" s="302" t="n"/>
      <x:c r="CN141" s="302" t="n"/>
      <x:c r="CO141" s="302" t="n"/>
      <x:c r="CP141" s="302" t="n"/>
      <x:c r="CQ141" s="302" t="n"/>
      <x:c r="CR141" s="302" t="n"/>
      <x:c r="CS141" s="302" t="n"/>
      <x:c r="CT141" s="302" t="n"/>
      <x:c r="CU141" s="302" t="n"/>
      <x:c r="CV141" s="302" t="n"/>
      <x:c r="CW141" s="302" t="n"/>
      <x:c r="CX141" s="302" t="n"/>
      <x:c r="CY141" s="302" t="n"/>
      <x:c r="CZ141" s="302" t="n"/>
      <x:c r="DA141" s="302" t="n"/>
      <x:c r="DB141" s="302" t="n"/>
      <x:c r="DC141" s="302" t="n"/>
      <x:c r="DD141" s="302" t="n"/>
      <x:c r="DE141" s="302" t="n"/>
      <x:c r="DF141" s="302" t="n"/>
      <x:c r="DG141" s="302" t="n"/>
      <x:c r="DH141" s="302" t="n"/>
      <x:c r="DI141" s="302" t="n"/>
      <x:c r="DJ141" s="302" t="n"/>
      <x:c r="DK141" s="302" t="n"/>
      <x:c r="DL141" s="302" t="n"/>
      <x:c r="DM141" s="302" t="n"/>
      <x:c r="DN141" s="302" t="n"/>
      <x:c r="DO141" s="302" t="n"/>
      <x:c r="DP141" s="302" t="n"/>
      <x:c r="DQ141" s="302" t="n"/>
      <x:c r="DR141" s="302" t="n"/>
      <x:c r="DS141" s="302" t="n"/>
      <x:c r="DT141" s="302" t="n"/>
      <x:c r="DU141" s="302" t="n"/>
      <x:c r="DV141" s="302" t="n"/>
      <x:c r="DW141" s="302" t="n"/>
      <x:c r="DX141" s="302" t="n"/>
      <x:c r="DY141" s="302" t="n"/>
      <x:c r="DZ141" s="302" t="n"/>
      <x:c r="EA141" s="302" t="n"/>
      <x:c r="EB141" s="302" t="n"/>
      <x:c r="EC141" s="302" t="n"/>
      <x:c r="ED141" s="302" t="n"/>
      <x:c r="EE141" s="302" t="n"/>
      <x:c r="EF141" s="302" t="n"/>
      <x:c r="EG141" s="302" t="n"/>
      <x:c r="EH141" s="302" t="n"/>
      <x:c r="EI141" s="302" t="n"/>
      <x:c r="EJ141" s="302" t="n"/>
      <x:c r="EK141" s="302" t="n"/>
      <x:c r="EL141" s="302" t="n"/>
      <x:c r="EM141" s="302" t="n"/>
      <x:c r="EN141" s="302" t="n"/>
      <x:c r="EO141" s="302" t="n"/>
      <x:c r="EP141" s="302" t="n"/>
      <x:c r="EQ141" s="302" t="n"/>
      <x:c r="ER141" s="302" t="n"/>
      <x:c r="ES141" s="302" t="n"/>
      <x:c r="ET141" s="302" t="n"/>
      <x:c r="EU141" s="302" t="n"/>
      <x:c r="EV141" s="302" t="n"/>
      <x:c r="EW141" s="302" t="n"/>
      <x:c r="EX141" s="302" t="n"/>
      <x:c r="EY141" s="302" t="n"/>
    </x:row>
    <x:row r="142" s="27" customFormat="1">
      <x:c r="A142" s="38" t="n"/>
      <x:c r="B142" s="37" t="n"/>
      <x:c r="C142" s="36" t="n">
        <x:f>E142*D$5</x:f>
        <x:v>0</x:v>
      </x:c>
      <x:c r="D142" s="20" t="n"/>
      <x:c r="E142" s="36" t="n">
        <x:f>SUM(G142:HS142)</x:f>
        <x:v>0</x:v>
      </x:c>
      <x:c r="F142" s="126" t="inlineStr">
        <x:is>
          <x:t xml:space="preserve"/>
        </x:is>
      </x:c>
      <x:c r="G142" s="302" t="n"/>
      <x:c r="H142" s="302" t="n"/>
      <x:c r="I142" s="302" t="n"/>
      <x:c r="J142" s="302" t="n"/>
      <x:c r="K142" s="302" t="n"/>
      <x:c r="L142" s="302" t="n"/>
      <x:c r="M142" s="302" t="n"/>
      <x:c r="N142" s="302" t="n"/>
      <x:c r="O142" s="302" t="n"/>
      <x:c r="P142" s="100" t="n"/>
      <x:c r="Q142" s="302" t="n"/>
      <x:c r="R142" s="302" t="n"/>
      <x:c r="S142" s="302" t="n"/>
      <x:c r="T142" s="302" t="n"/>
      <x:c r="U142" s="302" t="n"/>
      <x:c r="V142" s="302" t="n"/>
      <x:c r="W142" s="302" t="n"/>
      <x:c r="X142" s="302" t="n"/>
      <x:c r="Y142" s="100" t="n"/>
      <x:c r="Z142" s="100" t="n"/>
      <x:c r="AA142" s="100" t="n"/>
      <x:c r="AB142" s="100" t="n"/>
      <x:c r="AC142" s="100" t="n"/>
      <x:c r="AD142" s="100" t="n"/>
      <x:c r="AE142" s="100" t="n"/>
      <x:c r="AF142" s="302" t="n"/>
      <x:c r="AG142" s="100" t="n"/>
      <x:c r="AH142" s="302" t="n"/>
      <x:c r="AI142" s="100" t="n"/>
      <x:c r="AJ142" s="302" t="n"/>
      <x:c r="AK142" s="302" t="n"/>
      <x:c r="AL142" s="302" t="n"/>
      <x:c r="AM142" s="302" t="n"/>
      <x:c r="AN142" s="302" t="n"/>
      <x:c r="AO142" s="302" t="n"/>
      <x:c r="AP142" s="302" t="n"/>
      <x:c r="AQ142" s="302" t="n"/>
      <x:c r="AR142" s="302" t="n"/>
      <x:c r="AS142" s="302" t="n"/>
      <x:c r="AT142" s="302" t="n"/>
      <x:c r="AU142" s="302" t="n"/>
      <x:c r="AV142" s="302" t="n"/>
      <x:c r="AW142" s="302" t="n"/>
      <x:c r="AX142" s="302" t="n"/>
      <x:c r="AY142" s="302" t="n"/>
      <x:c r="AZ142" s="302" t="n"/>
      <x:c r="BA142" s="302" t="n"/>
      <x:c r="BB142" s="302" t="n"/>
      <x:c r="BC142" s="302" t="n"/>
      <x:c r="BD142" s="302" t="n"/>
      <x:c r="BE142" s="302" t="n"/>
      <x:c r="BF142" s="302" t="n"/>
      <x:c r="BG142" s="302" t="n"/>
      <x:c r="BH142" s="302" t="n"/>
      <x:c r="BI142" s="302" t="n"/>
      <x:c r="BJ142" s="302" t="n"/>
      <x:c r="BK142" s="302" t="n"/>
      <x:c r="BL142" s="302" t="n"/>
      <x:c r="BM142" s="302" t="n"/>
      <x:c r="BN142" s="302" t="n"/>
      <x:c r="BO142" s="302" t="n"/>
      <x:c r="BP142" s="302" t="n"/>
      <x:c r="BQ142" s="302" t="n"/>
      <x:c r="BR142" s="302" t="n"/>
      <x:c r="BS142" s="302" t="n"/>
      <x:c r="BT142" s="302" t="n"/>
      <x:c r="BU142" s="302" t="n"/>
      <x:c r="BV142" s="302" t="n"/>
      <x:c r="BW142" s="302" t="n"/>
      <x:c r="BX142" s="302" t="n"/>
      <x:c r="BY142" s="302" t="n"/>
      <x:c r="BZ142" s="302" t="n"/>
      <x:c r="CA142" s="302" t="n"/>
      <x:c r="CB142" s="302" t="n"/>
      <x:c r="CC142" s="302" t="n"/>
      <x:c r="CD142" s="302" t="n"/>
      <x:c r="CE142" s="302" t="n"/>
      <x:c r="CF142" s="302" t="n"/>
      <x:c r="CG142" s="302" t="n"/>
      <x:c r="CH142" s="302" t="n"/>
      <x:c r="CI142" s="302" t="n"/>
      <x:c r="CJ142" s="302" t="n"/>
      <x:c r="CK142" s="302" t="n"/>
      <x:c r="CL142" s="302" t="n"/>
      <x:c r="CM142" s="302" t="n"/>
      <x:c r="CN142" s="302" t="n"/>
      <x:c r="CO142" s="302" t="n"/>
      <x:c r="CP142" s="302" t="n"/>
      <x:c r="CQ142" s="302" t="n"/>
      <x:c r="CR142" s="302" t="n"/>
      <x:c r="CS142" s="302" t="n"/>
      <x:c r="CT142" s="302" t="n"/>
      <x:c r="CU142" s="302" t="n"/>
      <x:c r="CV142" s="302" t="n"/>
      <x:c r="CW142" s="302" t="n"/>
      <x:c r="CX142" s="302" t="n"/>
      <x:c r="CY142" s="302" t="n"/>
      <x:c r="CZ142" s="302" t="n"/>
      <x:c r="DA142" s="302" t="n"/>
      <x:c r="DB142" s="302" t="n"/>
      <x:c r="DC142" s="302" t="n"/>
      <x:c r="DD142" s="302" t="n"/>
      <x:c r="DE142" s="302" t="n"/>
      <x:c r="DF142" s="302" t="n"/>
      <x:c r="DG142" s="302" t="n"/>
      <x:c r="DH142" s="302" t="n"/>
      <x:c r="DI142" s="302" t="n"/>
      <x:c r="DJ142" s="302" t="n"/>
      <x:c r="DK142" s="302" t="n"/>
      <x:c r="DL142" s="302" t="n"/>
      <x:c r="DM142" s="302" t="n"/>
      <x:c r="DN142" s="302" t="n"/>
      <x:c r="DO142" s="302" t="n"/>
      <x:c r="DP142" s="302" t="n"/>
      <x:c r="DQ142" s="302" t="n"/>
      <x:c r="DR142" s="302" t="n"/>
      <x:c r="DS142" s="302" t="n"/>
      <x:c r="DT142" s="302" t="n"/>
      <x:c r="DU142" s="302" t="n"/>
      <x:c r="DV142" s="302" t="n"/>
      <x:c r="DW142" s="302" t="n"/>
      <x:c r="DX142" s="302" t="n"/>
      <x:c r="DY142" s="302" t="n"/>
      <x:c r="DZ142" s="302" t="n"/>
      <x:c r="EA142" s="302" t="n"/>
      <x:c r="EB142" s="302" t="n"/>
      <x:c r="EC142" s="302" t="n"/>
      <x:c r="ED142" s="302" t="n"/>
      <x:c r="EE142" s="302" t="n"/>
      <x:c r="EF142" s="302" t="n"/>
      <x:c r="EG142" s="302" t="n"/>
      <x:c r="EH142" s="302" t="n"/>
      <x:c r="EI142" s="302" t="n"/>
      <x:c r="EJ142" s="302" t="n"/>
      <x:c r="EK142" s="302" t="n"/>
      <x:c r="EL142" s="302" t="n"/>
      <x:c r="EM142" s="302" t="n"/>
      <x:c r="EN142" s="302" t="n"/>
      <x:c r="EO142" s="302" t="n"/>
      <x:c r="EP142" s="302" t="n"/>
      <x:c r="EQ142" s="302" t="n"/>
      <x:c r="ER142" s="302" t="n"/>
      <x:c r="ES142" s="302" t="n"/>
      <x:c r="ET142" s="302" t="n"/>
      <x:c r="EU142" s="302" t="n"/>
      <x:c r="EV142" s="302" t="n"/>
      <x:c r="EW142" s="302" t="n"/>
      <x:c r="EX142" s="302" t="n"/>
      <x:c r="EY142" s="302" t="n"/>
    </x:row>
    <x:row r="143" s="27" customFormat="1">
      <x:c r="A143" s="38" t="n"/>
      <x:c r="B143" s="37" t="n"/>
      <x:c r="C143" s="36" t="n">
        <x:f>E143*D$5</x:f>
        <x:v>0</x:v>
      </x:c>
      <x:c r="D143" s="20" t="n"/>
      <x:c r="E143" s="36" t="n">
        <x:f>SUM(G143:HS143)</x:f>
        <x:v>0</x:v>
      </x:c>
      <x:c r="F143" s="126" t="inlineStr">
        <x:is>
          <x:t xml:space="preserve"/>
        </x:is>
      </x:c>
      <x:c r="G143" s="302" t="n"/>
      <x:c r="H143" s="302" t="n"/>
      <x:c r="I143" s="302" t="n"/>
      <x:c r="J143" s="302" t="n"/>
      <x:c r="K143" s="302" t="n"/>
      <x:c r="L143" s="302" t="n"/>
      <x:c r="M143" s="302" t="n"/>
      <x:c r="N143" s="302" t="n"/>
      <x:c r="O143" s="302" t="n"/>
      <x:c r="P143" s="100" t="n"/>
      <x:c r="Q143" s="302" t="n"/>
      <x:c r="R143" s="302" t="n"/>
      <x:c r="S143" s="302" t="n"/>
      <x:c r="T143" s="302" t="n"/>
      <x:c r="U143" s="302" t="n"/>
      <x:c r="V143" s="302" t="n"/>
      <x:c r="W143" s="302" t="n"/>
      <x:c r="X143" s="302" t="n"/>
      <x:c r="Y143" s="100" t="n"/>
      <x:c r="Z143" s="100" t="n"/>
      <x:c r="AA143" s="100" t="n"/>
      <x:c r="AB143" s="100" t="n"/>
      <x:c r="AC143" s="100" t="n"/>
      <x:c r="AD143" s="100" t="n"/>
      <x:c r="AE143" s="100" t="n"/>
      <x:c r="AF143" s="302" t="n"/>
      <x:c r="AG143" s="100" t="n"/>
      <x:c r="AH143" s="302" t="n"/>
      <x:c r="AI143" s="100" t="n"/>
      <x:c r="AJ143" s="302" t="n"/>
      <x:c r="AK143" s="302" t="n"/>
      <x:c r="AL143" s="302" t="n"/>
      <x:c r="AM143" s="302" t="n"/>
      <x:c r="AN143" s="302" t="n"/>
      <x:c r="AO143" s="302" t="n"/>
      <x:c r="AP143" s="302" t="n"/>
      <x:c r="AQ143" s="302" t="n"/>
      <x:c r="AR143" s="302" t="n"/>
      <x:c r="AS143" s="302" t="n"/>
      <x:c r="AT143" s="302" t="n"/>
      <x:c r="AU143" s="302" t="n"/>
      <x:c r="AV143" s="302" t="n"/>
      <x:c r="AW143" s="302" t="n"/>
      <x:c r="AX143" s="302" t="n"/>
      <x:c r="AY143" s="302" t="n"/>
      <x:c r="AZ143" s="302" t="n"/>
      <x:c r="BA143" s="302" t="n"/>
      <x:c r="BB143" s="302" t="n"/>
      <x:c r="BC143" s="302" t="n"/>
      <x:c r="BD143" s="302" t="n"/>
      <x:c r="BE143" s="302" t="n"/>
      <x:c r="BF143" s="302" t="n"/>
      <x:c r="BG143" s="302" t="n"/>
      <x:c r="BH143" s="302" t="n"/>
      <x:c r="BI143" s="302" t="n"/>
      <x:c r="BJ143" s="302" t="n"/>
      <x:c r="BK143" s="302" t="n"/>
      <x:c r="BL143" s="302" t="n"/>
      <x:c r="BM143" s="302" t="n"/>
      <x:c r="BN143" s="302" t="n"/>
      <x:c r="BO143" s="302" t="n"/>
      <x:c r="BP143" s="302" t="n"/>
      <x:c r="BQ143" s="302" t="n"/>
      <x:c r="BR143" s="302" t="n"/>
      <x:c r="BS143" s="302" t="n"/>
      <x:c r="BT143" s="302" t="n"/>
      <x:c r="BU143" s="302" t="n"/>
      <x:c r="BV143" s="302" t="n"/>
      <x:c r="BW143" s="302" t="n"/>
      <x:c r="BX143" s="302" t="n"/>
      <x:c r="BY143" s="302" t="n"/>
      <x:c r="BZ143" s="302" t="n"/>
      <x:c r="CA143" s="302" t="n"/>
      <x:c r="CB143" s="302" t="n"/>
      <x:c r="CC143" s="302" t="n"/>
      <x:c r="CD143" s="302" t="n"/>
      <x:c r="CE143" s="302" t="n"/>
      <x:c r="CF143" s="302" t="n"/>
      <x:c r="CG143" s="302" t="n"/>
      <x:c r="CH143" s="302" t="n"/>
      <x:c r="CI143" s="302" t="n"/>
      <x:c r="CJ143" s="302" t="n"/>
      <x:c r="CK143" s="302" t="n"/>
      <x:c r="CL143" s="302" t="n"/>
      <x:c r="CM143" s="302" t="n"/>
      <x:c r="CN143" s="302" t="n"/>
      <x:c r="CO143" s="302" t="n"/>
      <x:c r="CP143" s="302" t="n"/>
      <x:c r="CQ143" s="302" t="n"/>
      <x:c r="CR143" s="302" t="n"/>
      <x:c r="CS143" s="302" t="n"/>
      <x:c r="CT143" s="302" t="n"/>
      <x:c r="CU143" s="302" t="n"/>
      <x:c r="CV143" s="302" t="n"/>
      <x:c r="CW143" s="302" t="n"/>
      <x:c r="CX143" s="302" t="n"/>
      <x:c r="CY143" s="302" t="n"/>
      <x:c r="CZ143" s="302" t="n"/>
      <x:c r="DA143" s="302" t="n"/>
      <x:c r="DB143" s="302" t="n"/>
      <x:c r="DC143" s="302" t="n"/>
      <x:c r="DD143" s="302" t="n"/>
      <x:c r="DE143" s="302" t="n"/>
      <x:c r="DF143" s="302" t="n"/>
      <x:c r="DG143" s="302" t="n"/>
      <x:c r="DH143" s="302" t="n"/>
      <x:c r="DI143" s="302" t="n"/>
      <x:c r="DJ143" s="302" t="n"/>
      <x:c r="DK143" s="302" t="n"/>
      <x:c r="DL143" s="302" t="n"/>
      <x:c r="DM143" s="302" t="n"/>
      <x:c r="DN143" s="302" t="n"/>
      <x:c r="DO143" s="302" t="n"/>
      <x:c r="DP143" s="302" t="n"/>
      <x:c r="DQ143" s="302" t="n"/>
      <x:c r="DR143" s="302" t="n"/>
      <x:c r="DS143" s="302" t="n"/>
      <x:c r="DT143" s="302" t="n"/>
      <x:c r="DU143" s="302" t="n"/>
      <x:c r="DV143" s="302" t="n"/>
      <x:c r="DW143" s="302" t="n"/>
      <x:c r="DX143" s="302" t="n"/>
      <x:c r="DY143" s="302" t="n"/>
      <x:c r="DZ143" s="302" t="n"/>
      <x:c r="EA143" s="302" t="n"/>
      <x:c r="EB143" s="302" t="n"/>
      <x:c r="EC143" s="302" t="n"/>
      <x:c r="ED143" s="302" t="n"/>
      <x:c r="EE143" s="302" t="n"/>
      <x:c r="EF143" s="302" t="n"/>
      <x:c r="EG143" s="302" t="n"/>
      <x:c r="EH143" s="302" t="n"/>
      <x:c r="EI143" s="302" t="n"/>
      <x:c r="EJ143" s="302" t="n"/>
      <x:c r="EK143" s="302" t="n"/>
      <x:c r="EL143" s="302" t="n"/>
      <x:c r="EM143" s="302" t="n"/>
      <x:c r="EN143" s="302" t="n"/>
      <x:c r="EO143" s="302" t="n"/>
      <x:c r="EP143" s="302" t="n"/>
      <x:c r="EQ143" s="302" t="n"/>
      <x:c r="ER143" s="302" t="n"/>
      <x:c r="ES143" s="302" t="n"/>
      <x:c r="ET143" s="302" t="n"/>
      <x:c r="EU143" s="302" t="n"/>
      <x:c r="EV143" s="302" t="n"/>
      <x:c r="EW143" s="302" t="n"/>
      <x:c r="EX143" s="302" t="n"/>
      <x:c r="EY143" s="302" t="n"/>
    </x:row>
    <x:row r="144" s="27" customFormat="1">
      <x:c r="A144" s="38" t="n"/>
      <x:c r="B144" s="37" t="n"/>
      <x:c r="C144" s="36" t="n">
        <x:f>E144*D$5</x:f>
        <x:v>0</x:v>
      </x:c>
      <x:c r="D144" s="20" t="n"/>
      <x:c r="E144" s="36" t="n">
        <x:f>SUM(G144:HS144)</x:f>
        <x:v>0</x:v>
      </x:c>
      <x:c r="F144" s="126" t="inlineStr">
        <x:is>
          <x:t xml:space="preserve"/>
        </x:is>
      </x:c>
      <x:c r="G144" s="302" t="n"/>
      <x:c r="H144" s="302" t="n"/>
      <x:c r="I144" s="302" t="n"/>
      <x:c r="J144" s="302" t="n"/>
      <x:c r="K144" s="302" t="n"/>
      <x:c r="L144" s="302" t="n"/>
      <x:c r="M144" s="302" t="n"/>
      <x:c r="N144" s="302" t="n"/>
      <x:c r="O144" s="302" t="n"/>
      <x:c r="P144" s="100" t="n"/>
      <x:c r="Q144" s="302" t="n"/>
      <x:c r="R144" s="302" t="n"/>
      <x:c r="S144" s="302" t="n"/>
      <x:c r="T144" s="302" t="n"/>
      <x:c r="U144" s="302" t="n"/>
      <x:c r="V144" s="302" t="n"/>
      <x:c r="W144" s="302" t="n"/>
      <x:c r="X144" s="302" t="n"/>
      <x:c r="Y144" s="100" t="n"/>
      <x:c r="Z144" s="100" t="n"/>
      <x:c r="AA144" s="100" t="n"/>
      <x:c r="AB144" s="100" t="n"/>
      <x:c r="AC144" s="100" t="n"/>
      <x:c r="AD144" s="100" t="n"/>
      <x:c r="AE144" s="100" t="n"/>
      <x:c r="AF144" s="302" t="n"/>
      <x:c r="AG144" s="100" t="n"/>
      <x:c r="AH144" s="302" t="n"/>
      <x:c r="AI144" s="100" t="n"/>
      <x:c r="AJ144" s="302" t="n"/>
      <x:c r="AK144" s="302" t="n"/>
      <x:c r="AL144" s="302" t="n"/>
      <x:c r="AM144" s="302" t="n"/>
      <x:c r="AN144" s="302" t="n"/>
      <x:c r="AO144" s="302" t="n"/>
      <x:c r="AP144" s="302" t="n"/>
      <x:c r="AQ144" s="302" t="n"/>
      <x:c r="AR144" s="302" t="n"/>
      <x:c r="AS144" s="302" t="n"/>
      <x:c r="AT144" s="302" t="n"/>
      <x:c r="AU144" s="302" t="n"/>
      <x:c r="AV144" s="302" t="n"/>
      <x:c r="AW144" s="302" t="n"/>
      <x:c r="AX144" s="302" t="n"/>
      <x:c r="AY144" s="302" t="n"/>
      <x:c r="AZ144" s="302" t="n"/>
      <x:c r="BA144" s="302" t="n"/>
      <x:c r="BB144" s="302" t="n"/>
      <x:c r="BC144" s="302" t="n"/>
      <x:c r="BD144" s="302" t="n"/>
      <x:c r="BE144" s="302" t="n"/>
      <x:c r="BF144" s="302" t="n"/>
      <x:c r="BG144" s="302" t="n"/>
      <x:c r="BH144" s="302" t="n"/>
      <x:c r="BI144" s="302" t="n"/>
      <x:c r="BJ144" s="302" t="n"/>
      <x:c r="BK144" s="302" t="n"/>
      <x:c r="BL144" s="302" t="n"/>
      <x:c r="BM144" s="302" t="n"/>
      <x:c r="BN144" s="302" t="n"/>
      <x:c r="BO144" s="302" t="n"/>
      <x:c r="BP144" s="302" t="n"/>
      <x:c r="BQ144" s="302" t="n"/>
      <x:c r="BR144" s="302" t="n"/>
      <x:c r="BS144" s="302" t="n"/>
      <x:c r="BT144" s="302" t="n"/>
      <x:c r="BU144" s="302" t="n"/>
      <x:c r="BV144" s="302" t="n"/>
      <x:c r="BW144" s="302" t="n"/>
      <x:c r="BX144" s="302" t="n"/>
      <x:c r="BY144" s="302" t="n"/>
      <x:c r="BZ144" s="302" t="n"/>
      <x:c r="CA144" s="302" t="n"/>
      <x:c r="CB144" s="302" t="n"/>
      <x:c r="CC144" s="302" t="n"/>
      <x:c r="CD144" s="302" t="n"/>
      <x:c r="CE144" s="302" t="n"/>
      <x:c r="CF144" s="302" t="n"/>
      <x:c r="CG144" s="302" t="n"/>
      <x:c r="CH144" s="302" t="n"/>
      <x:c r="CI144" s="302" t="n"/>
      <x:c r="CJ144" s="302" t="n"/>
      <x:c r="CK144" s="302" t="n"/>
      <x:c r="CL144" s="302" t="n"/>
      <x:c r="CM144" s="302" t="n"/>
      <x:c r="CN144" s="302" t="n"/>
      <x:c r="CO144" s="302" t="n"/>
      <x:c r="CP144" s="302" t="n"/>
      <x:c r="CQ144" s="302" t="n"/>
      <x:c r="CR144" s="302" t="n"/>
      <x:c r="CS144" s="302" t="n"/>
      <x:c r="CT144" s="302" t="n"/>
      <x:c r="CU144" s="302" t="n"/>
      <x:c r="CV144" s="302" t="n"/>
      <x:c r="CW144" s="302" t="n"/>
      <x:c r="CX144" s="302" t="n"/>
      <x:c r="CY144" s="302" t="n"/>
      <x:c r="CZ144" s="302" t="n"/>
      <x:c r="DA144" s="302" t="n"/>
      <x:c r="DB144" s="302" t="n"/>
      <x:c r="DC144" s="302" t="n"/>
      <x:c r="DD144" s="302" t="n"/>
      <x:c r="DE144" s="302" t="n"/>
      <x:c r="DF144" s="302" t="n"/>
      <x:c r="DG144" s="302" t="n"/>
      <x:c r="DH144" s="302" t="n"/>
      <x:c r="DI144" s="302" t="n"/>
      <x:c r="DJ144" s="302" t="n"/>
      <x:c r="DK144" s="302" t="n"/>
      <x:c r="DL144" s="302" t="n"/>
      <x:c r="DM144" s="302" t="n"/>
      <x:c r="DN144" s="302" t="n"/>
      <x:c r="DO144" s="302" t="n"/>
      <x:c r="DP144" s="302" t="n"/>
      <x:c r="DQ144" s="302" t="n"/>
      <x:c r="DR144" s="302" t="n"/>
      <x:c r="DS144" s="302" t="n"/>
      <x:c r="DT144" s="302" t="n"/>
      <x:c r="DU144" s="302" t="n"/>
      <x:c r="DV144" s="302" t="n"/>
      <x:c r="DW144" s="302" t="n"/>
      <x:c r="DX144" s="302" t="n"/>
      <x:c r="DY144" s="302" t="n"/>
      <x:c r="DZ144" s="302" t="n"/>
      <x:c r="EA144" s="302" t="n"/>
      <x:c r="EB144" s="302" t="n"/>
      <x:c r="EC144" s="302" t="n"/>
      <x:c r="ED144" s="302" t="n"/>
      <x:c r="EE144" s="302" t="n"/>
      <x:c r="EF144" s="302" t="n"/>
      <x:c r="EG144" s="302" t="n"/>
      <x:c r="EH144" s="302" t="n"/>
      <x:c r="EI144" s="302" t="n"/>
      <x:c r="EJ144" s="302" t="n"/>
      <x:c r="EK144" s="302" t="n"/>
      <x:c r="EL144" s="302" t="n"/>
      <x:c r="EM144" s="302" t="n"/>
      <x:c r="EN144" s="302" t="n"/>
      <x:c r="EO144" s="302" t="n"/>
      <x:c r="EP144" s="302" t="n"/>
      <x:c r="EQ144" s="302" t="n"/>
      <x:c r="ER144" s="302" t="n"/>
      <x:c r="ES144" s="302" t="n"/>
      <x:c r="ET144" s="302" t="n"/>
      <x:c r="EU144" s="302" t="n"/>
      <x:c r="EV144" s="302" t="n"/>
      <x:c r="EW144" s="302" t="n"/>
      <x:c r="EX144" s="302" t="n"/>
      <x:c r="EY144" s="302" t="n"/>
    </x:row>
    <x:row r="145" s="27" customFormat="1">
      <x:c r="A145" s="38" t="n"/>
      <x:c r="B145" s="37" t="n"/>
      <x:c r="C145" s="36" t="n">
        <x:f>E145*D$5</x:f>
        <x:v>0</x:v>
      </x:c>
      <x:c r="D145" s="20" t="n"/>
      <x:c r="E145" s="36" t="n">
        <x:f>SUM(G145:HS145)</x:f>
        <x:v>0</x:v>
      </x:c>
      <x:c r="F145" s="126" t="inlineStr">
        <x:is>
          <x:t xml:space="preserve"/>
        </x:is>
      </x:c>
      <x:c r="G145" s="302" t="n"/>
      <x:c r="H145" s="302" t="n"/>
      <x:c r="I145" s="302" t="n"/>
      <x:c r="J145" s="302" t="n"/>
      <x:c r="K145" s="302" t="n"/>
      <x:c r="L145" s="302" t="n"/>
      <x:c r="M145" s="302" t="n"/>
      <x:c r="N145" s="302" t="n"/>
      <x:c r="O145" s="302" t="n"/>
      <x:c r="P145" s="100" t="n"/>
      <x:c r="Q145" s="302" t="n"/>
      <x:c r="R145" s="302" t="n"/>
      <x:c r="S145" s="302" t="n"/>
      <x:c r="T145" s="302" t="n"/>
      <x:c r="U145" s="302" t="n"/>
      <x:c r="V145" s="302" t="n"/>
      <x:c r="W145" s="302" t="n"/>
      <x:c r="X145" s="302" t="n"/>
      <x:c r="Y145" s="100" t="n"/>
      <x:c r="Z145" s="100" t="n"/>
      <x:c r="AA145" s="100" t="n"/>
      <x:c r="AB145" s="100" t="n"/>
      <x:c r="AC145" s="100" t="n"/>
      <x:c r="AD145" s="100" t="n"/>
      <x:c r="AE145" s="100" t="n"/>
      <x:c r="AF145" s="302" t="n"/>
      <x:c r="AG145" s="100" t="n"/>
      <x:c r="AH145" s="302" t="n"/>
      <x:c r="AI145" s="100" t="n"/>
      <x:c r="AJ145" s="302" t="n"/>
      <x:c r="AK145" s="302" t="n"/>
      <x:c r="AL145" s="302" t="n"/>
      <x:c r="AM145" s="302" t="n"/>
      <x:c r="AN145" s="302" t="n"/>
      <x:c r="AO145" s="302" t="n"/>
      <x:c r="AP145" s="302" t="n"/>
      <x:c r="AQ145" s="302" t="n"/>
      <x:c r="AR145" s="302" t="n"/>
      <x:c r="AS145" s="302" t="n"/>
      <x:c r="AT145" s="302" t="n"/>
      <x:c r="AU145" s="302" t="n"/>
      <x:c r="AV145" s="302" t="n"/>
      <x:c r="AW145" s="302" t="n"/>
      <x:c r="AX145" s="302" t="n"/>
      <x:c r="AY145" s="302" t="n"/>
      <x:c r="AZ145" s="302" t="n"/>
      <x:c r="BA145" s="302" t="n"/>
      <x:c r="BB145" s="302" t="n"/>
      <x:c r="BC145" s="302" t="n"/>
      <x:c r="BD145" s="302" t="n"/>
      <x:c r="BE145" s="302" t="n"/>
      <x:c r="BF145" s="302" t="n"/>
      <x:c r="BG145" s="302" t="n"/>
      <x:c r="BH145" s="302" t="n"/>
      <x:c r="BI145" s="302" t="n"/>
      <x:c r="BJ145" s="302" t="n"/>
      <x:c r="BK145" s="302" t="n"/>
      <x:c r="BL145" s="302" t="n"/>
      <x:c r="BM145" s="302" t="n"/>
      <x:c r="BN145" s="302" t="n"/>
      <x:c r="BO145" s="302" t="n"/>
      <x:c r="BP145" s="302" t="n"/>
      <x:c r="BQ145" s="302" t="n"/>
      <x:c r="BR145" s="302" t="n"/>
      <x:c r="BS145" s="302" t="n"/>
      <x:c r="BT145" s="302" t="n"/>
      <x:c r="BU145" s="302" t="n"/>
      <x:c r="BV145" s="302" t="n"/>
      <x:c r="BW145" s="302" t="n"/>
      <x:c r="BX145" s="302" t="n"/>
      <x:c r="BY145" s="302" t="n"/>
      <x:c r="BZ145" s="302" t="n"/>
      <x:c r="CA145" s="302" t="n"/>
      <x:c r="CB145" s="302" t="n"/>
      <x:c r="CC145" s="302" t="n"/>
      <x:c r="CD145" s="302" t="n"/>
      <x:c r="CE145" s="302" t="n"/>
      <x:c r="CF145" s="302" t="n"/>
      <x:c r="CG145" s="302" t="n"/>
      <x:c r="CH145" s="302" t="n"/>
      <x:c r="CI145" s="302" t="n"/>
      <x:c r="CJ145" s="302" t="n"/>
      <x:c r="CK145" s="302" t="n"/>
      <x:c r="CL145" s="302" t="n"/>
      <x:c r="CM145" s="302" t="n"/>
      <x:c r="CN145" s="302" t="n"/>
      <x:c r="CO145" s="302" t="n"/>
      <x:c r="CP145" s="302" t="n"/>
      <x:c r="CQ145" s="302" t="n"/>
      <x:c r="CR145" s="302" t="n"/>
      <x:c r="CS145" s="302" t="n"/>
      <x:c r="CT145" s="302" t="n"/>
      <x:c r="CU145" s="302" t="n"/>
      <x:c r="CV145" s="302" t="n"/>
      <x:c r="CW145" s="302" t="n"/>
      <x:c r="CX145" s="302" t="n"/>
      <x:c r="CY145" s="302" t="n"/>
      <x:c r="CZ145" s="302" t="n"/>
      <x:c r="DA145" s="302" t="n"/>
      <x:c r="DB145" s="302" t="n"/>
      <x:c r="DC145" s="302" t="n"/>
      <x:c r="DD145" s="302" t="n"/>
      <x:c r="DE145" s="302" t="n"/>
      <x:c r="DF145" s="302" t="n"/>
      <x:c r="DG145" s="302" t="n"/>
      <x:c r="DH145" s="302" t="n"/>
      <x:c r="DI145" s="302" t="n"/>
      <x:c r="DJ145" s="302" t="n"/>
      <x:c r="DK145" s="302" t="n"/>
      <x:c r="DL145" s="302" t="n"/>
      <x:c r="DM145" s="302" t="n"/>
      <x:c r="DN145" s="302" t="n"/>
      <x:c r="DO145" s="302" t="n"/>
      <x:c r="DP145" s="302" t="n"/>
      <x:c r="DQ145" s="302" t="n"/>
      <x:c r="DR145" s="302" t="n"/>
      <x:c r="DS145" s="302" t="n"/>
      <x:c r="DT145" s="302" t="n"/>
      <x:c r="DU145" s="302" t="n"/>
      <x:c r="DV145" s="302" t="n"/>
      <x:c r="DW145" s="302" t="n"/>
      <x:c r="DX145" s="302" t="n"/>
      <x:c r="DY145" s="302" t="n"/>
      <x:c r="DZ145" s="302" t="n"/>
      <x:c r="EA145" s="302" t="n"/>
      <x:c r="EB145" s="302" t="n"/>
      <x:c r="EC145" s="302" t="n"/>
      <x:c r="ED145" s="302" t="n"/>
      <x:c r="EE145" s="302" t="n"/>
      <x:c r="EF145" s="302" t="n"/>
      <x:c r="EG145" s="302" t="n"/>
      <x:c r="EH145" s="302" t="n"/>
      <x:c r="EI145" s="302" t="n"/>
      <x:c r="EJ145" s="302" t="n"/>
      <x:c r="EK145" s="302" t="n"/>
      <x:c r="EL145" s="302" t="n"/>
      <x:c r="EM145" s="302" t="n"/>
      <x:c r="EN145" s="302" t="n"/>
      <x:c r="EO145" s="302" t="n"/>
      <x:c r="EP145" s="302" t="n"/>
      <x:c r="EQ145" s="302" t="n"/>
      <x:c r="ER145" s="302" t="n"/>
      <x:c r="ES145" s="302" t="n"/>
      <x:c r="ET145" s="302" t="n"/>
      <x:c r="EU145" s="302" t="n"/>
      <x:c r="EV145" s="302" t="n"/>
      <x:c r="EW145" s="302" t="n"/>
      <x:c r="EX145" s="302" t="n"/>
      <x:c r="EY145" s="302" t="n"/>
    </x:row>
    <x:row r="146" s="27" customFormat="1">
      <x:c r="A146" s="38" t="n"/>
      <x:c r="B146" s="37" t="n"/>
      <x:c r="C146" s="36" t="n">
        <x:f>E146*D$5</x:f>
        <x:v>0</x:v>
      </x:c>
      <x:c r="D146" s="20" t="n"/>
      <x:c r="E146" s="36" t="n">
        <x:f>SUM(G146:HS146)</x:f>
        <x:v>0</x:v>
      </x:c>
      <x:c r="F146" s="126" t="inlineStr">
        <x:is>
          <x:t xml:space="preserve"/>
        </x:is>
      </x:c>
      <x:c r="G146" s="302" t="n"/>
      <x:c r="H146" s="302" t="n"/>
      <x:c r="I146" s="302" t="n"/>
      <x:c r="J146" s="302" t="n"/>
      <x:c r="K146" s="302" t="n"/>
      <x:c r="L146" s="302" t="n"/>
      <x:c r="M146" s="302" t="n"/>
      <x:c r="N146" s="302" t="n"/>
      <x:c r="O146" s="302" t="n"/>
      <x:c r="P146" s="100" t="n"/>
      <x:c r="Q146" s="302" t="n"/>
      <x:c r="R146" s="302" t="n"/>
      <x:c r="S146" s="302" t="n"/>
      <x:c r="T146" s="302" t="n"/>
      <x:c r="U146" s="302" t="n"/>
      <x:c r="V146" s="302" t="n"/>
      <x:c r="W146" s="302" t="n"/>
      <x:c r="X146" s="302" t="n"/>
      <x:c r="Y146" s="100" t="n"/>
      <x:c r="Z146" s="100" t="n"/>
      <x:c r="AA146" s="100" t="n"/>
      <x:c r="AB146" s="100" t="n"/>
      <x:c r="AC146" s="100" t="n"/>
      <x:c r="AD146" s="100" t="n"/>
      <x:c r="AE146" s="100" t="n"/>
      <x:c r="AF146" s="302" t="n"/>
      <x:c r="AG146" s="100" t="n"/>
      <x:c r="AH146" s="302" t="n"/>
      <x:c r="AI146" s="100" t="n"/>
      <x:c r="AJ146" s="302" t="n"/>
      <x:c r="AK146" s="302" t="n"/>
      <x:c r="AL146" s="302" t="n"/>
      <x:c r="AM146" s="302" t="n"/>
      <x:c r="AN146" s="302" t="n"/>
      <x:c r="AO146" s="302" t="n"/>
      <x:c r="AP146" s="302" t="n"/>
      <x:c r="AQ146" s="302" t="n"/>
      <x:c r="AR146" s="302" t="n"/>
      <x:c r="AS146" s="302" t="n"/>
      <x:c r="AT146" s="302" t="n"/>
      <x:c r="AU146" s="302" t="n"/>
      <x:c r="AV146" s="302" t="n"/>
      <x:c r="AW146" s="302" t="n"/>
      <x:c r="AX146" s="302" t="n"/>
      <x:c r="AY146" s="302" t="n"/>
      <x:c r="AZ146" s="302" t="n"/>
      <x:c r="BA146" s="302" t="n"/>
      <x:c r="BB146" s="302" t="n"/>
      <x:c r="BC146" s="302" t="n"/>
      <x:c r="BD146" s="302" t="n"/>
      <x:c r="BE146" s="302" t="n"/>
      <x:c r="BF146" s="302" t="n"/>
      <x:c r="BG146" s="302" t="n"/>
      <x:c r="BH146" s="302" t="n"/>
      <x:c r="BI146" s="302" t="n"/>
      <x:c r="BJ146" s="302" t="n"/>
      <x:c r="BK146" s="302" t="n"/>
      <x:c r="BL146" s="302" t="n"/>
      <x:c r="BM146" s="302" t="n"/>
      <x:c r="BN146" s="302" t="n"/>
      <x:c r="BO146" s="302" t="n"/>
      <x:c r="BP146" s="302" t="n"/>
      <x:c r="BQ146" s="302" t="n"/>
      <x:c r="BR146" s="302" t="n"/>
      <x:c r="BS146" s="302" t="n"/>
      <x:c r="BT146" s="302" t="n"/>
      <x:c r="BU146" s="302" t="n"/>
      <x:c r="BV146" s="302" t="n"/>
      <x:c r="BW146" s="302" t="n"/>
      <x:c r="BX146" s="302" t="n"/>
      <x:c r="BY146" s="302" t="n"/>
      <x:c r="BZ146" s="302" t="n"/>
      <x:c r="CA146" s="302" t="n"/>
      <x:c r="CB146" s="302" t="n"/>
      <x:c r="CC146" s="302" t="n"/>
      <x:c r="CD146" s="302" t="n"/>
      <x:c r="CE146" s="302" t="n"/>
      <x:c r="CF146" s="302" t="n"/>
      <x:c r="CG146" s="302" t="n"/>
      <x:c r="CH146" s="302" t="n"/>
      <x:c r="CI146" s="302" t="n"/>
      <x:c r="CJ146" s="302" t="n"/>
      <x:c r="CK146" s="302" t="n"/>
      <x:c r="CL146" s="302" t="n"/>
      <x:c r="CM146" s="302" t="n"/>
      <x:c r="CN146" s="302" t="n"/>
      <x:c r="CO146" s="302" t="n"/>
      <x:c r="CP146" s="302" t="n"/>
      <x:c r="CQ146" s="302" t="n"/>
      <x:c r="CR146" s="302" t="n"/>
      <x:c r="CS146" s="302" t="n"/>
      <x:c r="CT146" s="302" t="n"/>
      <x:c r="CU146" s="302" t="n"/>
      <x:c r="CV146" s="302" t="n"/>
      <x:c r="CW146" s="302" t="n"/>
      <x:c r="CX146" s="302" t="n"/>
      <x:c r="CY146" s="302" t="n"/>
      <x:c r="CZ146" s="302" t="n"/>
      <x:c r="DA146" s="302" t="n"/>
      <x:c r="DB146" s="302" t="n"/>
      <x:c r="DC146" s="302" t="n"/>
      <x:c r="DD146" s="302" t="n"/>
      <x:c r="DE146" s="302" t="n"/>
      <x:c r="DF146" s="302" t="n"/>
      <x:c r="DG146" s="302" t="n"/>
      <x:c r="DH146" s="302" t="n"/>
      <x:c r="DI146" s="302" t="n"/>
      <x:c r="DJ146" s="302" t="n"/>
      <x:c r="DK146" s="302" t="n"/>
      <x:c r="DL146" s="302" t="n"/>
      <x:c r="DM146" s="302" t="n"/>
      <x:c r="DN146" s="302" t="n"/>
      <x:c r="DO146" s="302" t="n"/>
      <x:c r="DP146" s="302" t="n"/>
      <x:c r="DQ146" s="302" t="n"/>
      <x:c r="DR146" s="302" t="n"/>
      <x:c r="DS146" s="302" t="n"/>
      <x:c r="DT146" s="302" t="n"/>
      <x:c r="DU146" s="302" t="n"/>
      <x:c r="DV146" s="302" t="n"/>
      <x:c r="DW146" s="302" t="n"/>
      <x:c r="DX146" s="302" t="n"/>
      <x:c r="DY146" s="302" t="n"/>
      <x:c r="DZ146" s="302" t="n"/>
      <x:c r="EA146" s="302" t="n"/>
      <x:c r="EB146" s="302" t="n"/>
      <x:c r="EC146" s="302" t="n"/>
      <x:c r="ED146" s="302" t="n"/>
      <x:c r="EE146" s="302" t="n"/>
      <x:c r="EF146" s="302" t="n"/>
      <x:c r="EG146" s="302" t="n"/>
      <x:c r="EH146" s="302" t="n"/>
      <x:c r="EI146" s="302" t="n"/>
      <x:c r="EJ146" s="302" t="n"/>
      <x:c r="EK146" s="302" t="n"/>
      <x:c r="EL146" s="302" t="n"/>
      <x:c r="EM146" s="302" t="n"/>
      <x:c r="EN146" s="302" t="n"/>
      <x:c r="EO146" s="302" t="n"/>
      <x:c r="EP146" s="302" t="n"/>
      <x:c r="EQ146" s="302" t="n"/>
      <x:c r="ER146" s="302" t="n"/>
      <x:c r="ES146" s="302" t="n"/>
      <x:c r="ET146" s="302" t="n"/>
      <x:c r="EU146" s="302" t="n"/>
      <x:c r="EV146" s="302" t="n"/>
      <x:c r="EW146" s="302" t="n"/>
      <x:c r="EX146" s="302" t="n"/>
      <x:c r="EY146" s="302" t="n"/>
    </x:row>
    <x:row r="147" s="27" customFormat="1">
      <x:c r="A147" s="38" t="n"/>
      <x:c r="B147" s="37" t="n"/>
      <x:c r="C147" s="36" t="n">
        <x:f>E147*D$5</x:f>
        <x:v>0</x:v>
      </x:c>
      <x:c r="D147" s="20" t="n"/>
      <x:c r="E147" s="36" t="n">
        <x:f>SUM(G147:HS147)</x:f>
        <x:v>0</x:v>
      </x:c>
      <x:c r="F147" s="126" t="inlineStr">
        <x:is>
          <x:t xml:space="preserve"/>
        </x:is>
      </x:c>
      <x:c r="G147" s="302" t="n"/>
      <x:c r="H147" s="302" t="n"/>
      <x:c r="I147" s="302" t="n"/>
      <x:c r="J147" s="302" t="n"/>
      <x:c r="K147" s="302" t="n"/>
      <x:c r="L147" s="302" t="n"/>
      <x:c r="M147" s="302" t="n"/>
      <x:c r="N147" s="302" t="n"/>
      <x:c r="O147" s="302" t="n"/>
      <x:c r="P147" s="100" t="n"/>
      <x:c r="Q147" s="302" t="n"/>
      <x:c r="R147" s="302" t="n"/>
      <x:c r="S147" s="302" t="n"/>
      <x:c r="T147" s="302" t="n"/>
      <x:c r="U147" s="302" t="n"/>
      <x:c r="V147" s="302" t="n"/>
      <x:c r="W147" s="302" t="n"/>
      <x:c r="X147" s="302" t="n"/>
      <x:c r="Y147" s="100" t="n"/>
      <x:c r="Z147" s="100" t="n"/>
      <x:c r="AA147" s="100" t="n"/>
      <x:c r="AB147" s="100" t="n"/>
      <x:c r="AC147" s="100" t="n"/>
      <x:c r="AD147" s="100" t="n"/>
      <x:c r="AE147" s="100" t="n"/>
      <x:c r="AF147" s="302" t="n"/>
      <x:c r="AG147" s="100" t="n"/>
      <x:c r="AH147" s="302" t="n"/>
      <x:c r="AI147" s="100" t="n"/>
      <x:c r="AJ147" s="302" t="n"/>
      <x:c r="AK147" s="302" t="n"/>
      <x:c r="AL147" s="302" t="n"/>
      <x:c r="AM147" s="302" t="n"/>
      <x:c r="AN147" s="302" t="n"/>
      <x:c r="AO147" s="302" t="n"/>
      <x:c r="AP147" s="302" t="n"/>
      <x:c r="AQ147" s="302" t="n"/>
      <x:c r="AR147" s="302" t="n"/>
      <x:c r="AS147" s="302" t="n"/>
      <x:c r="AT147" s="302" t="n"/>
      <x:c r="AU147" s="302" t="n"/>
      <x:c r="AV147" s="302" t="n"/>
      <x:c r="AW147" s="302" t="n"/>
      <x:c r="AX147" s="302" t="n"/>
      <x:c r="AY147" s="302" t="n"/>
      <x:c r="AZ147" s="302" t="n"/>
      <x:c r="BA147" s="302" t="n"/>
      <x:c r="BB147" s="302" t="n"/>
      <x:c r="BC147" s="302" t="n"/>
      <x:c r="BD147" s="302" t="n"/>
      <x:c r="BE147" s="302" t="n"/>
      <x:c r="BF147" s="302" t="n"/>
      <x:c r="BG147" s="302" t="n"/>
      <x:c r="BH147" s="302" t="n"/>
      <x:c r="BI147" s="302" t="n"/>
      <x:c r="BJ147" s="302" t="n"/>
      <x:c r="BK147" s="302" t="n"/>
      <x:c r="BL147" s="302" t="n"/>
      <x:c r="BM147" s="302" t="n"/>
      <x:c r="BN147" s="302" t="n"/>
      <x:c r="BO147" s="302" t="n"/>
      <x:c r="BP147" s="302" t="n"/>
      <x:c r="BQ147" s="302" t="n"/>
      <x:c r="BR147" s="302" t="n"/>
      <x:c r="BS147" s="302" t="n"/>
      <x:c r="BT147" s="302" t="n"/>
      <x:c r="BU147" s="302" t="n"/>
      <x:c r="BV147" s="302" t="n"/>
      <x:c r="BW147" s="302" t="n"/>
      <x:c r="BX147" s="302" t="n"/>
      <x:c r="BY147" s="302" t="n"/>
      <x:c r="BZ147" s="302" t="n"/>
      <x:c r="CA147" s="302" t="n"/>
      <x:c r="CB147" s="302" t="n"/>
      <x:c r="CC147" s="302" t="n"/>
      <x:c r="CD147" s="302" t="n"/>
      <x:c r="CE147" s="302" t="n"/>
      <x:c r="CF147" s="302" t="n"/>
      <x:c r="CG147" s="302" t="n"/>
      <x:c r="CH147" s="302" t="n"/>
      <x:c r="CI147" s="302" t="n"/>
      <x:c r="CJ147" s="302" t="n"/>
      <x:c r="CK147" s="302" t="n"/>
      <x:c r="CL147" s="302" t="n"/>
      <x:c r="CM147" s="302" t="n"/>
      <x:c r="CN147" s="302" t="n"/>
      <x:c r="CO147" s="302" t="n"/>
      <x:c r="CP147" s="302" t="n"/>
      <x:c r="CQ147" s="302" t="n"/>
      <x:c r="CR147" s="302" t="n"/>
      <x:c r="CS147" s="302" t="n"/>
      <x:c r="CT147" s="302" t="n"/>
      <x:c r="CU147" s="302" t="n"/>
      <x:c r="CV147" s="302" t="n"/>
      <x:c r="CW147" s="302" t="n"/>
      <x:c r="CX147" s="302" t="n"/>
      <x:c r="CY147" s="302" t="n"/>
      <x:c r="CZ147" s="302" t="n"/>
      <x:c r="DA147" s="302" t="n"/>
      <x:c r="DB147" s="302" t="n"/>
      <x:c r="DC147" s="302" t="n"/>
      <x:c r="DD147" s="302" t="n"/>
      <x:c r="DE147" s="302" t="n"/>
      <x:c r="DF147" s="302" t="n"/>
      <x:c r="DG147" s="302" t="n"/>
      <x:c r="DH147" s="302" t="n"/>
      <x:c r="DI147" s="302" t="n"/>
      <x:c r="DJ147" s="302" t="n"/>
      <x:c r="DK147" s="302" t="n"/>
      <x:c r="DL147" s="302" t="n"/>
      <x:c r="DM147" s="302" t="n"/>
      <x:c r="DN147" s="302" t="n"/>
      <x:c r="DO147" s="302" t="n"/>
      <x:c r="DP147" s="302" t="n"/>
      <x:c r="DQ147" s="302" t="n"/>
      <x:c r="DR147" s="302" t="n"/>
      <x:c r="DS147" s="302" t="n"/>
      <x:c r="DT147" s="302" t="n"/>
      <x:c r="DU147" s="302" t="n"/>
      <x:c r="DV147" s="302" t="n"/>
      <x:c r="DW147" s="302" t="n"/>
      <x:c r="DX147" s="302" t="n"/>
      <x:c r="DY147" s="302" t="n"/>
      <x:c r="DZ147" s="302" t="n"/>
      <x:c r="EA147" s="302" t="n"/>
      <x:c r="EB147" s="302" t="n"/>
      <x:c r="EC147" s="302" t="n"/>
      <x:c r="ED147" s="302" t="n"/>
      <x:c r="EE147" s="302" t="n"/>
      <x:c r="EF147" s="302" t="n"/>
      <x:c r="EG147" s="302" t="n"/>
      <x:c r="EH147" s="302" t="n"/>
      <x:c r="EI147" s="302" t="n"/>
      <x:c r="EJ147" s="302" t="n"/>
      <x:c r="EK147" s="302" t="n"/>
      <x:c r="EL147" s="302" t="n"/>
      <x:c r="EM147" s="302" t="n"/>
      <x:c r="EN147" s="302" t="n"/>
      <x:c r="EO147" s="302" t="n"/>
      <x:c r="EP147" s="302" t="n"/>
      <x:c r="EQ147" s="302" t="n"/>
      <x:c r="ER147" s="302" t="n"/>
      <x:c r="ES147" s="302" t="n"/>
      <x:c r="ET147" s="302" t="n"/>
      <x:c r="EU147" s="302" t="n"/>
      <x:c r="EV147" s="302" t="n"/>
      <x:c r="EW147" s="302" t="n"/>
      <x:c r="EX147" s="302" t="n"/>
      <x:c r="EY147" s="302" t="n"/>
    </x:row>
    <x:row r="148" s="27" customFormat="1">
      <x:c r="A148" s="38" t="n"/>
      <x:c r="B148" s="37" t="n"/>
      <x:c r="C148" s="36" t="n">
        <x:f>E148*D$5</x:f>
        <x:v>0</x:v>
      </x:c>
      <x:c r="D148" s="20" t="n"/>
      <x:c r="E148" s="36" t="n">
        <x:f>SUM(G148:HS148)</x:f>
        <x:v>0</x:v>
      </x:c>
      <x:c r="F148" s="126" t="inlineStr">
        <x:is>
          <x:t xml:space="preserve"/>
        </x:is>
      </x:c>
      <x:c r="G148" s="302" t="n"/>
      <x:c r="H148" s="302" t="n"/>
      <x:c r="I148" s="302" t="n"/>
      <x:c r="J148" s="302" t="n"/>
      <x:c r="K148" s="302" t="n"/>
      <x:c r="L148" s="302" t="n"/>
      <x:c r="M148" s="302" t="n"/>
      <x:c r="N148" s="302" t="n"/>
      <x:c r="O148" s="302" t="n"/>
      <x:c r="P148" s="100" t="n"/>
      <x:c r="Q148" s="302" t="n"/>
      <x:c r="R148" s="302" t="n"/>
      <x:c r="S148" s="302" t="n"/>
      <x:c r="T148" s="302" t="n"/>
      <x:c r="U148" s="302" t="n"/>
      <x:c r="V148" s="302" t="n"/>
      <x:c r="W148" s="302" t="n"/>
      <x:c r="X148" s="302" t="n"/>
      <x:c r="Y148" s="100" t="n"/>
      <x:c r="Z148" s="100" t="n"/>
      <x:c r="AA148" s="100" t="n"/>
      <x:c r="AB148" s="100" t="n"/>
      <x:c r="AC148" s="100" t="n"/>
      <x:c r="AD148" s="100" t="n"/>
      <x:c r="AE148" s="100" t="n"/>
      <x:c r="AF148" s="302" t="n"/>
      <x:c r="AG148" s="100" t="n"/>
      <x:c r="AH148" s="302" t="n"/>
      <x:c r="AI148" s="100" t="n"/>
      <x:c r="AJ148" s="302" t="n"/>
      <x:c r="AK148" s="302" t="n"/>
      <x:c r="AL148" s="302" t="n"/>
      <x:c r="AM148" s="302" t="n"/>
      <x:c r="AN148" s="302" t="n"/>
      <x:c r="AO148" s="302" t="n"/>
      <x:c r="AP148" s="302" t="n"/>
      <x:c r="AQ148" s="302" t="n"/>
      <x:c r="AR148" s="302" t="n"/>
      <x:c r="AS148" s="302" t="n"/>
      <x:c r="AT148" s="302" t="n"/>
      <x:c r="AU148" s="302" t="n"/>
      <x:c r="AV148" s="302" t="n"/>
      <x:c r="AW148" s="302" t="n"/>
      <x:c r="AX148" s="302" t="n"/>
      <x:c r="AY148" s="302" t="n"/>
      <x:c r="AZ148" s="302" t="n"/>
      <x:c r="BA148" s="302" t="n"/>
      <x:c r="BB148" s="302" t="n"/>
      <x:c r="BC148" s="302" t="n"/>
      <x:c r="BD148" s="302" t="n"/>
      <x:c r="BE148" s="302" t="n"/>
      <x:c r="BF148" s="302" t="n"/>
      <x:c r="BG148" s="302" t="n"/>
      <x:c r="BH148" s="302" t="n"/>
      <x:c r="BI148" s="302" t="n"/>
      <x:c r="BJ148" s="302" t="n"/>
      <x:c r="BK148" s="302" t="n"/>
      <x:c r="BL148" s="302" t="n"/>
      <x:c r="BM148" s="302" t="n"/>
      <x:c r="BN148" s="302" t="n"/>
      <x:c r="BO148" s="302" t="n"/>
      <x:c r="BP148" s="302" t="n"/>
      <x:c r="BQ148" s="302" t="n"/>
      <x:c r="BR148" s="302" t="n"/>
      <x:c r="BS148" s="302" t="n"/>
      <x:c r="BT148" s="302" t="n"/>
      <x:c r="BU148" s="302" t="n"/>
      <x:c r="BV148" s="302" t="n"/>
      <x:c r="BW148" s="302" t="n"/>
      <x:c r="BX148" s="302" t="n"/>
      <x:c r="BY148" s="302" t="n"/>
      <x:c r="BZ148" s="302" t="n"/>
      <x:c r="CA148" s="302" t="n"/>
      <x:c r="CB148" s="302" t="n"/>
      <x:c r="CC148" s="302" t="n"/>
      <x:c r="CD148" s="302" t="n"/>
      <x:c r="CE148" s="302" t="n"/>
      <x:c r="CF148" s="302" t="n"/>
      <x:c r="CG148" s="302" t="n"/>
      <x:c r="CH148" s="302" t="n"/>
      <x:c r="CI148" s="302" t="n"/>
      <x:c r="CJ148" s="302" t="n"/>
      <x:c r="CK148" s="302" t="n"/>
      <x:c r="CL148" s="302" t="n"/>
      <x:c r="CM148" s="302" t="n"/>
      <x:c r="CN148" s="302" t="n"/>
      <x:c r="CO148" s="302" t="n"/>
      <x:c r="CP148" s="302" t="n"/>
      <x:c r="CQ148" s="302" t="n"/>
      <x:c r="CR148" s="302" t="n"/>
      <x:c r="CS148" s="302" t="n"/>
      <x:c r="CT148" s="302" t="n"/>
      <x:c r="CU148" s="302" t="n"/>
      <x:c r="CV148" s="302" t="n"/>
      <x:c r="CW148" s="302" t="n"/>
      <x:c r="CX148" s="302" t="n"/>
      <x:c r="CY148" s="302" t="n"/>
      <x:c r="CZ148" s="302" t="n"/>
      <x:c r="DA148" s="302" t="n"/>
      <x:c r="DB148" s="302" t="n"/>
      <x:c r="DC148" s="302" t="n"/>
      <x:c r="DD148" s="302" t="n"/>
      <x:c r="DE148" s="302" t="n"/>
      <x:c r="DF148" s="302" t="n"/>
      <x:c r="DG148" s="302" t="n"/>
      <x:c r="DH148" s="302" t="n"/>
      <x:c r="DI148" s="302" t="n"/>
      <x:c r="DJ148" s="302" t="n"/>
      <x:c r="DK148" s="302" t="n"/>
      <x:c r="DL148" s="302" t="n"/>
      <x:c r="DM148" s="302" t="n"/>
      <x:c r="DN148" s="302" t="n"/>
      <x:c r="DO148" s="302" t="n"/>
      <x:c r="DP148" s="302" t="n"/>
      <x:c r="DQ148" s="302" t="n"/>
      <x:c r="DR148" s="302" t="n"/>
      <x:c r="DS148" s="302" t="n"/>
      <x:c r="DT148" s="302" t="n"/>
      <x:c r="DU148" s="302" t="n"/>
      <x:c r="DV148" s="302" t="n"/>
      <x:c r="DW148" s="302" t="n"/>
      <x:c r="DX148" s="302" t="n"/>
      <x:c r="DY148" s="302" t="n"/>
      <x:c r="DZ148" s="302" t="n"/>
      <x:c r="EA148" s="302" t="n"/>
      <x:c r="EB148" s="302" t="n"/>
      <x:c r="EC148" s="302" t="n"/>
      <x:c r="ED148" s="302" t="n"/>
      <x:c r="EE148" s="302" t="n"/>
      <x:c r="EF148" s="302" t="n"/>
      <x:c r="EG148" s="302" t="n"/>
      <x:c r="EH148" s="302" t="n"/>
      <x:c r="EI148" s="302" t="n"/>
      <x:c r="EJ148" s="302" t="n"/>
      <x:c r="EK148" s="302" t="n"/>
      <x:c r="EL148" s="302" t="n"/>
      <x:c r="EM148" s="302" t="n"/>
      <x:c r="EN148" s="302" t="n"/>
      <x:c r="EO148" s="302" t="n"/>
      <x:c r="EP148" s="302" t="n"/>
      <x:c r="EQ148" s="302" t="n"/>
      <x:c r="ER148" s="302" t="n"/>
      <x:c r="ES148" s="302" t="n"/>
      <x:c r="ET148" s="302" t="n"/>
      <x:c r="EU148" s="302" t="n"/>
      <x:c r="EV148" s="302" t="n"/>
      <x:c r="EW148" s="302" t="n"/>
      <x:c r="EX148" s="302" t="n"/>
      <x:c r="EY148" s="302" t="n"/>
    </x:row>
    <x:row r="149" s="27" customFormat="1">
      <x:c r="A149" s="38" t="n"/>
      <x:c r="B149" s="37" t="n"/>
      <x:c r="C149" s="36" t="n">
        <x:f>E149*D$5</x:f>
        <x:v>0</x:v>
      </x:c>
      <x:c r="D149" s="20" t="n"/>
      <x:c r="E149" s="36" t="n">
        <x:f>SUM(G149:HS149)</x:f>
        <x:v>0</x:v>
      </x:c>
      <x:c r="F149" s="126" t="inlineStr">
        <x:is>
          <x:t xml:space="preserve"/>
        </x:is>
      </x:c>
      <x:c r="G149" s="302" t="n"/>
      <x:c r="H149" s="302" t="n"/>
      <x:c r="I149" s="302" t="n"/>
      <x:c r="J149" s="302" t="n"/>
      <x:c r="K149" s="302" t="n"/>
      <x:c r="L149" s="302" t="n"/>
      <x:c r="M149" s="302" t="n"/>
      <x:c r="N149" s="302" t="n"/>
      <x:c r="O149" s="302" t="n"/>
      <x:c r="P149" s="100" t="n"/>
      <x:c r="Q149" s="302" t="n"/>
      <x:c r="R149" s="302" t="n"/>
      <x:c r="S149" s="302" t="n"/>
      <x:c r="T149" s="302" t="n"/>
      <x:c r="U149" s="302" t="n"/>
      <x:c r="V149" s="302" t="n"/>
      <x:c r="W149" s="302" t="n"/>
      <x:c r="X149" s="302" t="n"/>
      <x:c r="Y149" s="100" t="n"/>
      <x:c r="Z149" s="100" t="n"/>
      <x:c r="AA149" s="100" t="n"/>
      <x:c r="AB149" s="100" t="n"/>
      <x:c r="AC149" s="100" t="n"/>
      <x:c r="AD149" s="100" t="n"/>
      <x:c r="AE149" s="100" t="n"/>
      <x:c r="AF149" s="302" t="n"/>
      <x:c r="AG149" s="100" t="n"/>
      <x:c r="AH149" s="302" t="n"/>
      <x:c r="AI149" s="100" t="n"/>
      <x:c r="AJ149" s="302" t="n"/>
      <x:c r="AK149" s="302" t="n"/>
      <x:c r="AL149" s="302" t="n"/>
      <x:c r="AM149" s="302" t="n"/>
      <x:c r="AN149" s="302" t="n"/>
      <x:c r="AO149" s="302" t="n"/>
      <x:c r="AP149" s="302" t="n"/>
      <x:c r="AQ149" s="302" t="n"/>
      <x:c r="AR149" s="302" t="n"/>
      <x:c r="AS149" s="302" t="n"/>
      <x:c r="AT149" s="302" t="n"/>
      <x:c r="AU149" s="302" t="n"/>
      <x:c r="AV149" s="302" t="n"/>
      <x:c r="AW149" s="302" t="n"/>
      <x:c r="AX149" s="302" t="n"/>
      <x:c r="AY149" s="302" t="n"/>
      <x:c r="AZ149" s="302" t="n"/>
      <x:c r="BA149" s="302" t="n"/>
      <x:c r="BB149" s="302" t="n"/>
      <x:c r="BC149" s="302" t="n"/>
      <x:c r="BD149" s="302" t="n"/>
      <x:c r="BE149" s="302" t="n"/>
      <x:c r="BF149" s="302" t="n"/>
      <x:c r="BG149" s="302" t="n"/>
      <x:c r="BH149" s="302" t="n"/>
      <x:c r="BI149" s="302" t="n"/>
      <x:c r="BJ149" s="302" t="n"/>
      <x:c r="BK149" s="302" t="n"/>
      <x:c r="BL149" s="302" t="n"/>
      <x:c r="BM149" s="302" t="n"/>
      <x:c r="BN149" s="302" t="n"/>
      <x:c r="BO149" s="302" t="n"/>
      <x:c r="BP149" s="302" t="n"/>
      <x:c r="BQ149" s="302" t="n"/>
      <x:c r="BR149" s="302" t="n"/>
      <x:c r="BS149" s="302" t="n"/>
      <x:c r="BT149" s="302" t="n"/>
      <x:c r="BU149" s="302" t="n"/>
      <x:c r="BV149" s="302" t="n"/>
      <x:c r="BW149" s="302" t="n"/>
      <x:c r="BX149" s="302" t="n"/>
      <x:c r="BY149" s="302" t="n"/>
      <x:c r="BZ149" s="302" t="n"/>
      <x:c r="CA149" s="302" t="n"/>
      <x:c r="CB149" s="302" t="n"/>
      <x:c r="CC149" s="302" t="n"/>
      <x:c r="CD149" s="302" t="n"/>
      <x:c r="CE149" s="302" t="n"/>
      <x:c r="CF149" s="302" t="n"/>
      <x:c r="CG149" s="302" t="n"/>
      <x:c r="CH149" s="302" t="n"/>
      <x:c r="CI149" s="302" t="n"/>
      <x:c r="CJ149" s="302" t="n"/>
      <x:c r="CK149" s="302" t="n"/>
      <x:c r="CL149" s="302" t="n"/>
      <x:c r="CM149" s="302" t="n"/>
      <x:c r="CN149" s="302" t="n"/>
      <x:c r="CO149" s="302" t="n"/>
      <x:c r="CP149" s="302" t="n"/>
      <x:c r="CQ149" s="302" t="n"/>
      <x:c r="CR149" s="302" t="n"/>
      <x:c r="CS149" s="302" t="n"/>
      <x:c r="CT149" s="302" t="n"/>
      <x:c r="CU149" s="302" t="n"/>
      <x:c r="CV149" s="302" t="n"/>
      <x:c r="CW149" s="302" t="n"/>
      <x:c r="CX149" s="302" t="n"/>
      <x:c r="CY149" s="302" t="n"/>
      <x:c r="CZ149" s="302" t="n"/>
      <x:c r="DA149" s="302" t="n"/>
      <x:c r="DB149" s="302" t="n"/>
      <x:c r="DC149" s="302" t="n"/>
      <x:c r="DD149" s="302" t="n"/>
      <x:c r="DE149" s="302" t="n"/>
      <x:c r="DF149" s="302" t="n"/>
      <x:c r="DG149" s="302" t="n"/>
      <x:c r="DH149" s="302" t="n"/>
      <x:c r="DI149" s="302" t="n"/>
      <x:c r="DJ149" s="302" t="n"/>
      <x:c r="DK149" s="302" t="n"/>
      <x:c r="DL149" s="302" t="n"/>
      <x:c r="DM149" s="302" t="n"/>
      <x:c r="DN149" s="302" t="n"/>
      <x:c r="DO149" s="302" t="n"/>
      <x:c r="DP149" s="302" t="n"/>
      <x:c r="DQ149" s="302" t="n"/>
      <x:c r="DR149" s="302" t="n"/>
      <x:c r="DS149" s="302" t="n"/>
      <x:c r="DT149" s="302" t="n"/>
      <x:c r="DU149" s="302" t="n"/>
      <x:c r="DV149" s="302" t="n"/>
      <x:c r="DW149" s="302" t="n"/>
      <x:c r="DX149" s="302" t="n"/>
      <x:c r="DY149" s="302" t="n"/>
      <x:c r="DZ149" s="302" t="n"/>
      <x:c r="EA149" s="302" t="n"/>
      <x:c r="EB149" s="302" t="n"/>
      <x:c r="EC149" s="302" t="n"/>
      <x:c r="ED149" s="302" t="n"/>
      <x:c r="EE149" s="302" t="n"/>
      <x:c r="EF149" s="302" t="n"/>
      <x:c r="EG149" s="302" t="n"/>
      <x:c r="EH149" s="302" t="n"/>
      <x:c r="EI149" s="302" t="n"/>
      <x:c r="EJ149" s="302" t="n"/>
      <x:c r="EK149" s="302" t="n"/>
      <x:c r="EL149" s="302" t="n"/>
      <x:c r="EM149" s="302" t="n"/>
      <x:c r="EN149" s="302" t="n"/>
      <x:c r="EO149" s="302" t="n"/>
      <x:c r="EP149" s="302" t="n"/>
      <x:c r="EQ149" s="302" t="n"/>
      <x:c r="ER149" s="302" t="n"/>
      <x:c r="ES149" s="302" t="n"/>
      <x:c r="ET149" s="302" t="n"/>
      <x:c r="EU149" s="302" t="n"/>
      <x:c r="EV149" s="302" t="n"/>
      <x:c r="EW149" s="302" t="n"/>
      <x:c r="EX149" s="302" t="n"/>
      <x:c r="EY149" s="302" t="n"/>
    </x:row>
    <x:row r="150" s="27" customFormat="1">
      <x:c r="A150" s="38" t="n"/>
      <x:c r="B150" s="37" t="n"/>
      <x:c r="C150" s="36" t="n">
        <x:f>E150*D$5</x:f>
        <x:v>0</x:v>
      </x:c>
      <x:c r="D150" s="20" t="n"/>
      <x:c r="E150" s="36" t="n">
        <x:f>SUM(G150:HS150)</x:f>
        <x:v>0</x:v>
      </x:c>
      <x:c r="F150" s="126" t="inlineStr">
        <x:is>
          <x:t xml:space="preserve"/>
        </x:is>
      </x:c>
      <x:c r="G150" s="302" t="n"/>
      <x:c r="H150" s="302" t="n"/>
      <x:c r="I150" s="302" t="n"/>
      <x:c r="J150" s="302" t="n"/>
      <x:c r="K150" s="302" t="n"/>
      <x:c r="L150" s="302" t="n"/>
      <x:c r="M150" s="302" t="n"/>
      <x:c r="N150" s="302" t="n"/>
      <x:c r="O150" s="302" t="n"/>
      <x:c r="P150" s="100" t="n"/>
      <x:c r="Q150" s="302" t="n"/>
      <x:c r="R150" s="302" t="n"/>
      <x:c r="S150" s="302" t="n"/>
      <x:c r="T150" s="302" t="n"/>
      <x:c r="U150" s="302" t="n"/>
      <x:c r="V150" s="302" t="n"/>
      <x:c r="W150" s="302" t="n"/>
      <x:c r="X150" s="302" t="n"/>
      <x:c r="Y150" s="100" t="n"/>
      <x:c r="Z150" s="100" t="n"/>
      <x:c r="AA150" s="100" t="n"/>
      <x:c r="AB150" s="100" t="n"/>
      <x:c r="AC150" s="100" t="n"/>
      <x:c r="AD150" s="100" t="n"/>
      <x:c r="AE150" s="100" t="n"/>
      <x:c r="AF150" s="302" t="n"/>
      <x:c r="AG150" s="100" t="n"/>
      <x:c r="AH150" s="302" t="n"/>
      <x:c r="AI150" s="100" t="n"/>
      <x:c r="AJ150" s="302" t="n"/>
      <x:c r="AK150" s="302" t="n"/>
      <x:c r="AL150" s="302" t="n"/>
      <x:c r="AM150" s="302" t="n"/>
      <x:c r="AN150" s="302" t="n"/>
      <x:c r="AO150" s="302" t="n"/>
      <x:c r="AP150" s="302" t="n"/>
      <x:c r="AQ150" s="302" t="n"/>
      <x:c r="AR150" s="302" t="n"/>
      <x:c r="AS150" s="302" t="n"/>
      <x:c r="AT150" s="302" t="n"/>
      <x:c r="AU150" s="302" t="n"/>
      <x:c r="AV150" s="302" t="n"/>
      <x:c r="AW150" s="302" t="n"/>
      <x:c r="AX150" s="302" t="n"/>
      <x:c r="AY150" s="302" t="n"/>
      <x:c r="AZ150" s="302" t="n"/>
      <x:c r="BA150" s="302" t="n"/>
      <x:c r="BB150" s="302" t="n"/>
      <x:c r="BC150" s="302" t="n"/>
      <x:c r="BD150" s="302" t="n"/>
      <x:c r="BE150" s="302" t="n"/>
      <x:c r="BF150" s="302" t="n"/>
      <x:c r="BG150" s="302" t="n"/>
      <x:c r="BH150" s="302" t="n"/>
      <x:c r="BI150" s="302" t="n"/>
      <x:c r="BJ150" s="302" t="n"/>
      <x:c r="BK150" s="302" t="n"/>
      <x:c r="BL150" s="302" t="n"/>
      <x:c r="BM150" s="302" t="n"/>
      <x:c r="BN150" s="302" t="n"/>
      <x:c r="BO150" s="302" t="n"/>
      <x:c r="BP150" s="302" t="n"/>
      <x:c r="BQ150" s="302" t="n"/>
      <x:c r="BR150" s="302" t="n"/>
      <x:c r="BS150" s="302" t="n"/>
      <x:c r="BT150" s="302" t="n"/>
      <x:c r="BU150" s="302" t="n"/>
      <x:c r="BV150" s="302" t="n"/>
      <x:c r="BW150" s="302" t="n"/>
      <x:c r="BX150" s="302" t="n"/>
      <x:c r="BY150" s="302" t="n"/>
      <x:c r="BZ150" s="302" t="n"/>
      <x:c r="CA150" s="302" t="n"/>
      <x:c r="CB150" s="302" t="n"/>
      <x:c r="CC150" s="302" t="n"/>
      <x:c r="CD150" s="302" t="n"/>
      <x:c r="CE150" s="302" t="n"/>
      <x:c r="CF150" s="302" t="n"/>
      <x:c r="CG150" s="302" t="n"/>
      <x:c r="CH150" s="302" t="n"/>
      <x:c r="CI150" s="302" t="n"/>
      <x:c r="CJ150" s="302" t="n"/>
      <x:c r="CK150" s="302" t="n"/>
      <x:c r="CL150" s="302" t="n"/>
      <x:c r="CM150" s="302" t="n"/>
      <x:c r="CN150" s="302" t="n"/>
      <x:c r="CO150" s="302" t="n"/>
      <x:c r="CP150" s="302" t="n"/>
      <x:c r="CQ150" s="302" t="n"/>
      <x:c r="CR150" s="302" t="n"/>
      <x:c r="CS150" s="302" t="n"/>
      <x:c r="CT150" s="302" t="n"/>
      <x:c r="CU150" s="302" t="n"/>
      <x:c r="CV150" s="302" t="n"/>
      <x:c r="CW150" s="302" t="n"/>
      <x:c r="CX150" s="302" t="n"/>
      <x:c r="CY150" s="302" t="n"/>
      <x:c r="CZ150" s="302" t="n"/>
      <x:c r="DA150" s="302" t="n"/>
      <x:c r="DB150" s="302" t="n"/>
      <x:c r="DC150" s="302" t="n"/>
      <x:c r="DD150" s="302" t="n"/>
      <x:c r="DE150" s="302" t="n"/>
      <x:c r="DF150" s="302" t="n"/>
      <x:c r="DG150" s="302" t="n"/>
      <x:c r="DH150" s="302" t="n"/>
      <x:c r="DI150" s="302" t="n"/>
      <x:c r="DJ150" s="302" t="n"/>
      <x:c r="DK150" s="302" t="n"/>
      <x:c r="DL150" s="302" t="n"/>
      <x:c r="DM150" s="302" t="n"/>
      <x:c r="DN150" s="302" t="n"/>
      <x:c r="DO150" s="302" t="n"/>
      <x:c r="DP150" s="302" t="n"/>
      <x:c r="DQ150" s="302" t="n"/>
      <x:c r="DR150" s="302" t="n"/>
      <x:c r="DS150" s="302" t="n"/>
      <x:c r="DT150" s="302" t="n"/>
      <x:c r="DU150" s="302" t="n"/>
      <x:c r="DV150" s="302" t="n"/>
      <x:c r="DW150" s="302" t="n"/>
      <x:c r="DX150" s="302" t="n"/>
      <x:c r="DY150" s="302" t="n"/>
      <x:c r="DZ150" s="302" t="n"/>
      <x:c r="EA150" s="302" t="n"/>
      <x:c r="EB150" s="302" t="n"/>
      <x:c r="EC150" s="302" t="n"/>
      <x:c r="ED150" s="302" t="n"/>
      <x:c r="EE150" s="302" t="n"/>
      <x:c r="EF150" s="302" t="n"/>
      <x:c r="EG150" s="302" t="n"/>
      <x:c r="EH150" s="302" t="n"/>
      <x:c r="EI150" s="302" t="n"/>
      <x:c r="EJ150" s="302" t="n"/>
      <x:c r="EK150" s="302" t="n"/>
      <x:c r="EL150" s="302" t="n"/>
      <x:c r="EM150" s="302" t="n"/>
      <x:c r="EN150" s="302" t="n"/>
      <x:c r="EO150" s="302" t="n"/>
      <x:c r="EP150" s="302" t="n"/>
      <x:c r="EQ150" s="302" t="n"/>
      <x:c r="ER150" s="302" t="n"/>
      <x:c r="ES150" s="302" t="n"/>
      <x:c r="ET150" s="302" t="n"/>
      <x:c r="EU150" s="302" t="n"/>
      <x:c r="EV150" s="302" t="n"/>
      <x:c r="EW150" s="302" t="n"/>
      <x:c r="EX150" s="302" t="n"/>
      <x:c r="EY150" s="302" t="n"/>
    </x:row>
    <x:row r="151" s="27" customFormat="1">
      <x:c r="A151" s="38" t="n"/>
      <x:c r="B151" s="37" t="n"/>
      <x:c r="C151" s="36" t="n">
        <x:f>E151*D$5</x:f>
        <x:v>0</x:v>
      </x:c>
      <x:c r="D151" s="20" t="n"/>
      <x:c r="E151" s="36" t="n">
        <x:f>SUM(G151:HS151)</x:f>
        <x:v>0</x:v>
      </x:c>
      <x:c r="F151" s="126" t="inlineStr">
        <x:is>
          <x:t xml:space="preserve"/>
        </x:is>
      </x:c>
      <x:c r="G151" s="302" t="n"/>
      <x:c r="H151" s="302" t="n"/>
      <x:c r="I151" s="302" t="n"/>
      <x:c r="J151" s="302" t="n"/>
      <x:c r="K151" s="302" t="n"/>
      <x:c r="L151" s="302" t="n"/>
      <x:c r="M151" s="302" t="n"/>
      <x:c r="N151" s="302" t="n"/>
      <x:c r="O151" s="302" t="n"/>
      <x:c r="P151" s="100" t="n"/>
      <x:c r="Q151" s="302" t="n"/>
      <x:c r="R151" s="302" t="n"/>
      <x:c r="S151" s="302" t="n"/>
      <x:c r="T151" s="302" t="n"/>
      <x:c r="U151" s="302" t="n"/>
      <x:c r="V151" s="302" t="n"/>
      <x:c r="W151" s="302" t="n"/>
      <x:c r="X151" s="302" t="n"/>
      <x:c r="Y151" s="100" t="n"/>
      <x:c r="Z151" s="100" t="n"/>
      <x:c r="AA151" s="100" t="n"/>
      <x:c r="AB151" s="100" t="n"/>
      <x:c r="AC151" s="100" t="n"/>
      <x:c r="AD151" s="100" t="n"/>
      <x:c r="AE151" s="100" t="n"/>
      <x:c r="AF151" s="302" t="n"/>
      <x:c r="AG151" s="100" t="n"/>
      <x:c r="AH151" s="302" t="n"/>
      <x:c r="AI151" s="100" t="n"/>
      <x:c r="AJ151" s="302" t="n"/>
      <x:c r="AK151" s="302" t="n"/>
      <x:c r="AL151" s="302" t="n"/>
      <x:c r="AM151" s="302" t="n"/>
      <x:c r="AN151" s="302" t="n"/>
      <x:c r="AO151" s="302" t="n"/>
      <x:c r="AP151" s="302" t="n"/>
      <x:c r="AQ151" s="302" t="n"/>
      <x:c r="AR151" s="302" t="n"/>
      <x:c r="AS151" s="302" t="n"/>
      <x:c r="AT151" s="302" t="n"/>
      <x:c r="AU151" s="302" t="n"/>
      <x:c r="AV151" s="302" t="n"/>
      <x:c r="AW151" s="302" t="n"/>
      <x:c r="AX151" s="302" t="n"/>
      <x:c r="AY151" s="302" t="n"/>
      <x:c r="AZ151" s="302" t="n"/>
      <x:c r="BA151" s="302" t="n"/>
      <x:c r="BB151" s="302" t="n"/>
      <x:c r="BC151" s="302" t="n"/>
      <x:c r="BD151" s="302" t="n"/>
      <x:c r="BE151" s="302" t="n"/>
      <x:c r="BF151" s="302" t="n"/>
      <x:c r="BG151" s="302" t="n"/>
      <x:c r="BH151" s="302" t="n"/>
      <x:c r="BI151" s="302" t="n"/>
      <x:c r="BJ151" s="302" t="n"/>
      <x:c r="BK151" s="302" t="n"/>
      <x:c r="BL151" s="302" t="n"/>
      <x:c r="BM151" s="302" t="n"/>
      <x:c r="BN151" s="302" t="n"/>
      <x:c r="BO151" s="302" t="n"/>
      <x:c r="BP151" s="302" t="n"/>
      <x:c r="BQ151" s="302" t="n"/>
      <x:c r="BR151" s="302" t="n"/>
      <x:c r="BS151" s="302" t="n"/>
      <x:c r="BT151" s="302" t="n"/>
      <x:c r="BU151" s="302" t="n"/>
      <x:c r="BV151" s="302" t="n"/>
      <x:c r="BW151" s="302" t="n"/>
      <x:c r="BX151" s="302" t="n"/>
      <x:c r="BY151" s="302" t="n"/>
      <x:c r="BZ151" s="302" t="n"/>
      <x:c r="CA151" s="302" t="n"/>
      <x:c r="CB151" s="302" t="n"/>
      <x:c r="CC151" s="302" t="n"/>
      <x:c r="CD151" s="302" t="n"/>
      <x:c r="CE151" s="302" t="n"/>
      <x:c r="CF151" s="302" t="n"/>
      <x:c r="CG151" s="302" t="n"/>
      <x:c r="CH151" s="302" t="n"/>
      <x:c r="CI151" s="302" t="n"/>
      <x:c r="CJ151" s="302" t="n"/>
      <x:c r="CK151" s="302" t="n"/>
      <x:c r="CL151" s="302" t="n"/>
      <x:c r="CM151" s="302" t="n"/>
      <x:c r="CN151" s="302" t="n"/>
      <x:c r="CO151" s="302" t="n"/>
      <x:c r="CP151" s="302" t="n"/>
      <x:c r="CQ151" s="302" t="n"/>
      <x:c r="CR151" s="302" t="n"/>
      <x:c r="CS151" s="302" t="n"/>
      <x:c r="CT151" s="302" t="n"/>
      <x:c r="CU151" s="302" t="n"/>
      <x:c r="CV151" s="302" t="n"/>
      <x:c r="CW151" s="302" t="n"/>
      <x:c r="CX151" s="302" t="n"/>
      <x:c r="CY151" s="302" t="n"/>
      <x:c r="CZ151" s="302" t="n"/>
      <x:c r="DA151" s="302" t="n"/>
      <x:c r="DB151" s="302" t="n"/>
      <x:c r="DC151" s="302" t="n"/>
      <x:c r="DD151" s="302" t="n"/>
      <x:c r="DE151" s="302" t="n"/>
      <x:c r="DF151" s="302" t="n"/>
      <x:c r="DG151" s="302" t="n"/>
      <x:c r="DH151" s="302" t="n"/>
      <x:c r="DI151" s="302" t="n"/>
      <x:c r="DJ151" s="302" t="n"/>
      <x:c r="DK151" s="302" t="n"/>
      <x:c r="DL151" s="302" t="n"/>
      <x:c r="DM151" s="302" t="n"/>
      <x:c r="DN151" s="302" t="n"/>
      <x:c r="DO151" s="302" t="n"/>
      <x:c r="DP151" s="302" t="n"/>
      <x:c r="DQ151" s="302" t="n"/>
      <x:c r="DR151" s="302" t="n"/>
      <x:c r="DS151" s="302" t="n"/>
      <x:c r="DT151" s="302" t="n"/>
      <x:c r="DU151" s="302" t="n"/>
      <x:c r="DV151" s="302" t="n"/>
      <x:c r="DW151" s="302" t="n"/>
      <x:c r="DX151" s="302" t="n"/>
      <x:c r="DY151" s="302" t="n"/>
      <x:c r="DZ151" s="302" t="n"/>
      <x:c r="EA151" s="302" t="n"/>
      <x:c r="EB151" s="302" t="n"/>
      <x:c r="EC151" s="302" t="n"/>
      <x:c r="ED151" s="302" t="n"/>
      <x:c r="EE151" s="302" t="n"/>
      <x:c r="EF151" s="302" t="n"/>
      <x:c r="EG151" s="302" t="n"/>
      <x:c r="EH151" s="302" t="n"/>
      <x:c r="EI151" s="302" t="n"/>
      <x:c r="EJ151" s="302" t="n"/>
      <x:c r="EK151" s="302" t="n"/>
      <x:c r="EL151" s="302" t="n"/>
      <x:c r="EM151" s="302" t="n"/>
      <x:c r="EN151" s="302" t="n"/>
      <x:c r="EO151" s="302" t="n"/>
      <x:c r="EP151" s="302" t="n"/>
      <x:c r="EQ151" s="302" t="n"/>
      <x:c r="ER151" s="302" t="n"/>
      <x:c r="ES151" s="302" t="n"/>
      <x:c r="ET151" s="302" t="n"/>
      <x:c r="EU151" s="302" t="n"/>
      <x:c r="EV151" s="302" t="n"/>
      <x:c r="EW151" s="302" t="n"/>
      <x:c r="EX151" s="302" t="n"/>
      <x:c r="EY151" s="302" t="n"/>
    </x:row>
    <x:row r="152" s="27" customFormat="1">
      <x:c r="A152" s="38" t="n"/>
      <x:c r="B152" s="37" t="n"/>
      <x:c r="C152" s="36" t="n">
        <x:f>E152*D$5</x:f>
        <x:v>0</x:v>
      </x:c>
      <x:c r="D152" s="20" t="n"/>
      <x:c r="E152" s="36" t="n">
        <x:f>SUM(G152:HS152)</x:f>
        <x:v>0</x:v>
      </x:c>
      <x:c r="F152" s="126" t="inlineStr">
        <x:is>
          <x:t xml:space="preserve"/>
        </x:is>
      </x:c>
      <x:c r="G152" s="302" t="n"/>
      <x:c r="H152" s="302" t="n"/>
      <x:c r="I152" s="302" t="n"/>
      <x:c r="J152" s="302" t="n"/>
      <x:c r="K152" s="302" t="n"/>
      <x:c r="L152" s="302" t="n"/>
      <x:c r="M152" s="302" t="n"/>
      <x:c r="N152" s="302" t="n"/>
      <x:c r="O152" s="302" t="n"/>
      <x:c r="P152" s="100" t="n"/>
      <x:c r="Q152" s="302" t="n"/>
      <x:c r="R152" s="302" t="n"/>
      <x:c r="S152" s="302" t="n"/>
      <x:c r="T152" s="302" t="n"/>
      <x:c r="U152" s="302" t="n"/>
      <x:c r="V152" s="302" t="n"/>
      <x:c r="W152" s="302" t="n"/>
      <x:c r="X152" s="302" t="n"/>
      <x:c r="Y152" s="100" t="n"/>
      <x:c r="Z152" s="100" t="n"/>
      <x:c r="AA152" s="100" t="n"/>
      <x:c r="AB152" s="100" t="n"/>
      <x:c r="AC152" s="100" t="n"/>
      <x:c r="AD152" s="100" t="n"/>
      <x:c r="AE152" s="100" t="n"/>
      <x:c r="AF152" s="302" t="n"/>
      <x:c r="AG152" s="100" t="n"/>
      <x:c r="AH152" s="302" t="n"/>
      <x:c r="AI152" s="100" t="n"/>
      <x:c r="AJ152" s="302" t="n"/>
      <x:c r="AK152" s="302" t="n"/>
      <x:c r="AL152" s="302" t="n"/>
      <x:c r="AM152" s="302" t="n"/>
      <x:c r="AN152" s="302" t="n"/>
      <x:c r="AO152" s="302" t="n"/>
      <x:c r="AP152" s="302" t="n"/>
      <x:c r="AQ152" s="302" t="n"/>
      <x:c r="AR152" s="302" t="n"/>
      <x:c r="AS152" s="302" t="n"/>
      <x:c r="AT152" s="302" t="n"/>
      <x:c r="AU152" s="302" t="n"/>
      <x:c r="AV152" s="302" t="n"/>
      <x:c r="AW152" s="302" t="n"/>
      <x:c r="AX152" s="302" t="n"/>
      <x:c r="AY152" s="302" t="n"/>
      <x:c r="AZ152" s="302" t="n"/>
      <x:c r="BA152" s="302" t="n"/>
      <x:c r="BB152" s="302" t="n"/>
      <x:c r="BC152" s="302" t="n"/>
      <x:c r="BD152" s="302" t="n"/>
      <x:c r="BE152" s="302" t="n"/>
      <x:c r="BF152" s="302" t="n"/>
      <x:c r="BG152" s="302" t="n"/>
      <x:c r="BH152" s="302" t="n"/>
      <x:c r="BI152" s="302" t="n"/>
      <x:c r="BJ152" s="302" t="n"/>
      <x:c r="BK152" s="302" t="n"/>
      <x:c r="BL152" s="302" t="n"/>
      <x:c r="BM152" s="302" t="n"/>
      <x:c r="BN152" s="302" t="n"/>
      <x:c r="BO152" s="302" t="n"/>
      <x:c r="BP152" s="302" t="n"/>
      <x:c r="BQ152" s="302" t="n"/>
      <x:c r="BR152" s="302" t="n"/>
      <x:c r="BS152" s="302" t="n"/>
      <x:c r="BT152" s="302" t="n"/>
      <x:c r="BU152" s="302" t="n"/>
      <x:c r="BV152" s="302" t="n"/>
      <x:c r="BW152" s="302" t="n"/>
      <x:c r="BX152" s="302" t="n"/>
      <x:c r="BY152" s="302" t="n"/>
      <x:c r="BZ152" s="302" t="n"/>
      <x:c r="CA152" s="302" t="n"/>
      <x:c r="CB152" s="302" t="n"/>
      <x:c r="CC152" s="302" t="n"/>
      <x:c r="CD152" s="302" t="n"/>
      <x:c r="CE152" s="302" t="n"/>
      <x:c r="CF152" s="302" t="n"/>
      <x:c r="CG152" s="302" t="n"/>
      <x:c r="CH152" s="302" t="n"/>
      <x:c r="CI152" s="302" t="n"/>
      <x:c r="CJ152" s="302" t="n"/>
      <x:c r="CK152" s="302" t="n"/>
      <x:c r="CL152" s="302" t="n"/>
      <x:c r="CM152" s="302" t="n"/>
      <x:c r="CN152" s="302" t="n"/>
      <x:c r="CO152" s="302" t="n"/>
      <x:c r="CP152" s="302" t="n"/>
      <x:c r="CQ152" s="302" t="n"/>
      <x:c r="CR152" s="302" t="n"/>
      <x:c r="CS152" s="302" t="n"/>
      <x:c r="CT152" s="302" t="n"/>
      <x:c r="CU152" s="302" t="n"/>
      <x:c r="CV152" s="302" t="n"/>
      <x:c r="CW152" s="302" t="n"/>
      <x:c r="CX152" s="302" t="n"/>
      <x:c r="CY152" s="302" t="n"/>
      <x:c r="CZ152" s="302" t="n"/>
      <x:c r="DA152" s="302" t="n"/>
      <x:c r="DB152" s="302" t="n"/>
      <x:c r="DC152" s="302" t="n"/>
      <x:c r="DD152" s="302" t="n"/>
      <x:c r="DE152" s="302" t="n"/>
      <x:c r="DF152" s="302" t="n"/>
      <x:c r="DG152" s="302" t="n"/>
      <x:c r="DH152" s="302" t="n"/>
      <x:c r="DI152" s="302" t="n"/>
      <x:c r="DJ152" s="302" t="n"/>
      <x:c r="DK152" s="302" t="n"/>
      <x:c r="DL152" s="302" t="n"/>
      <x:c r="DM152" s="302" t="n"/>
      <x:c r="DN152" s="302" t="n"/>
      <x:c r="DO152" s="302" t="n"/>
      <x:c r="DP152" s="302" t="n"/>
      <x:c r="DQ152" s="302" t="n"/>
      <x:c r="DR152" s="302" t="n"/>
      <x:c r="DS152" s="302" t="n"/>
      <x:c r="DT152" s="302" t="n"/>
      <x:c r="DU152" s="302" t="n"/>
      <x:c r="DV152" s="302" t="n"/>
      <x:c r="DW152" s="302" t="n"/>
      <x:c r="DX152" s="302" t="n"/>
      <x:c r="DY152" s="302" t="n"/>
      <x:c r="DZ152" s="302" t="n"/>
      <x:c r="EA152" s="302" t="n"/>
      <x:c r="EB152" s="302" t="n"/>
      <x:c r="EC152" s="302" t="n"/>
      <x:c r="ED152" s="302" t="n"/>
      <x:c r="EE152" s="302" t="n"/>
      <x:c r="EF152" s="302" t="n"/>
      <x:c r="EG152" s="302" t="n"/>
      <x:c r="EH152" s="302" t="n"/>
      <x:c r="EI152" s="302" t="n"/>
      <x:c r="EJ152" s="302" t="n"/>
      <x:c r="EK152" s="302" t="n"/>
      <x:c r="EL152" s="302" t="n"/>
      <x:c r="EM152" s="302" t="n"/>
      <x:c r="EN152" s="302" t="n"/>
      <x:c r="EO152" s="302" t="n"/>
      <x:c r="EP152" s="302" t="n"/>
      <x:c r="EQ152" s="302" t="n"/>
      <x:c r="ER152" s="302" t="n"/>
      <x:c r="ES152" s="302" t="n"/>
      <x:c r="ET152" s="302" t="n"/>
      <x:c r="EU152" s="302" t="n"/>
      <x:c r="EV152" s="302" t="n"/>
      <x:c r="EW152" s="302" t="n"/>
      <x:c r="EX152" s="302" t="n"/>
      <x:c r="EY152" s="302" t="n"/>
    </x:row>
    <x:row r="153" s="27" customFormat="1">
      <x:c r="A153" s="38" t="n"/>
      <x:c r="B153" s="37" t="n"/>
      <x:c r="C153" s="36" t="n">
        <x:f>E153*D$5</x:f>
        <x:v>0</x:v>
      </x:c>
      <x:c r="D153" s="20" t="n"/>
      <x:c r="E153" s="36" t="n">
        <x:f>SUM(G153:HS153)</x:f>
        <x:v>0</x:v>
      </x:c>
      <x:c r="F153" s="126" t="inlineStr">
        <x:is>
          <x:t xml:space="preserve"/>
        </x:is>
      </x:c>
      <x:c r="G153" s="302" t="n"/>
      <x:c r="H153" s="302" t="n"/>
      <x:c r="I153" s="302" t="n"/>
      <x:c r="J153" s="302" t="n"/>
      <x:c r="K153" s="302" t="n"/>
      <x:c r="L153" s="302" t="n"/>
      <x:c r="M153" s="302" t="n"/>
      <x:c r="N153" s="302" t="n"/>
      <x:c r="O153" s="302" t="n"/>
      <x:c r="P153" s="100" t="n"/>
      <x:c r="Q153" s="302" t="n"/>
      <x:c r="R153" s="302" t="n"/>
      <x:c r="S153" s="302" t="n"/>
      <x:c r="T153" s="302" t="n"/>
      <x:c r="U153" s="302" t="n"/>
      <x:c r="V153" s="302" t="n"/>
      <x:c r="W153" s="302" t="n"/>
      <x:c r="X153" s="302" t="n"/>
      <x:c r="Y153" s="100" t="n"/>
      <x:c r="Z153" s="100" t="n"/>
      <x:c r="AA153" s="100" t="n"/>
      <x:c r="AB153" s="100" t="n"/>
      <x:c r="AC153" s="100" t="n"/>
      <x:c r="AD153" s="100" t="n"/>
      <x:c r="AE153" s="100" t="n"/>
      <x:c r="AF153" s="302" t="n"/>
      <x:c r="AG153" s="100" t="n"/>
      <x:c r="AH153" s="302" t="n"/>
      <x:c r="AI153" s="100" t="n"/>
      <x:c r="AJ153" s="302" t="n"/>
      <x:c r="AK153" s="302" t="n"/>
      <x:c r="AL153" s="302" t="n"/>
      <x:c r="AM153" s="302" t="n"/>
      <x:c r="AN153" s="302" t="n"/>
      <x:c r="AO153" s="302" t="n"/>
      <x:c r="AP153" s="302" t="n"/>
      <x:c r="AQ153" s="302" t="n"/>
      <x:c r="AR153" s="302" t="n"/>
      <x:c r="AS153" s="302" t="n"/>
      <x:c r="AT153" s="302" t="n"/>
      <x:c r="AU153" s="302" t="n"/>
      <x:c r="AV153" s="302" t="n"/>
      <x:c r="AW153" s="302" t="n"/>
      <x:c r="AX153" s="302" t="n"/>
      <x:c r="AY153" s="302" t="n"/>
      <x:c r="AZ153" s="302" t="n"/>
      <x:c r="BA153" s="302" t="n"/>
      <x:c r="BB153" s="302" t="n"/>
      <x:c r="BC153" s="302" t="n"/>
      <x:c r="BD153" s="302" t="n"/>
      <x:c r="BE153" s="302" t="n"/>
      <x:c r="BF153" s="302" t="n"/>
      <x:c r="BG153" s="302" t="n"/>
      <x:c r="BH153" s="302" t="n"/>
      <x:c r="BI153" s="302" t="n"/>
      <x:c r="BJ153" s="302" t="n"/>
      <x:c r="BK153" s="302" t="n"/>
      <x:c r="BL153" s="302" t="n"/>
      <x:c r="BM153" s="302" t="n"/>
      <x:c r="BN153" s="302" t="n"/>
      <x:c r="BO153" s="302" t="n"/>
      <x:c r="BP153" s="302" t="n"/>
      <x:c r="BQ153" s="302" t="n"/>
      <x:c r="BR153" s="302" t="n"/>
      <x:c r="BS153" s="302" t="n"/>
      <x:c r="BT153" s="302" t="n"/>
      <x:c r="BU153" s="302" t="n"/>
      <x:c r="BV153" s="302" t="n"/>
      <x:c r="BW153" s="302" t="n"/>
      <x:c r="BX153" s="302" t="n"/>
      <x:c r="BY153" s="302" t="n"/>
      <x:c r="BZ153" s="302" t="n"/>
      <x:c r="CA153" s="302" t="n"/>
      <x:c r="CB153" s="302" t="n"/>
      <x:c r="CC153" s="302" t="n"/>
      <x:c r="CD153" s="302" t="n"/>
      <x:c r="CE153" s="302" t="n"/>
      <x:c r="CF153" s="302" t="n"/>
      <x:c r="CG153" s="302" t="n"/>
      <x:c r="CH153" s="302" t="n"/>
      <x:c r="CI153" s="302" t="n"/>
      <x:c r="CJ153" s="302" t="n"/>
      <x:c r="CK153" s="302" t="n"/>
      <x:c r="CL153" s="302" t="n"/>
      <x:c r="CM153" s="302" t="n"/>
      <x:c r="CN153" s="302" t="n"/>
      <x:c r="CO153" s="302" t="n"/>
      <x:c r="CP153" s="302" t="n"/>
      <x:c r="CQ153" s="302" t="n"/>
      <x:c r="CR153" s="302" t="n"/>
      <x:c r="CS153" s="302" t="n"/>
      <x:c r="CT153" s="302" t="n"/>
      <x:c r="CU153" s="302" t="n"/>
      <x:c r="CV153" s="302" t="n"/>
      <x:c r="CW153" s="302" t="n"/>
      <x:c r="CX153" s="302" t="n"/>
      <x:c r="CY153" s="302" t="n"/>
      <x:c r="CZ153" s="302" t="n"/>
      <x:c r="DA153" s="302" t="n"/>
      <x:c r="DB153" s="302" t="n"/>
      <x:c r="DC153" s="302" t="n"/>
      <x:c r="DD153" s="302" t="n"/>
      <x:c r="DE153" s="302" t="n"/>
      <x:c r="DF153" s="302" t="n"/>
      <x:c r="DG153" s="302" t="n"/>
      <x:c r="DH153" s="302" t="n"/>
      <x:c r="DI153" s="302" t="n"/>
      <x:c r="DJ153" s="302" t="n"/>
      <x:c r="DK153" s="302" t="n"/>
      <x:c r="DL153" s="302" t="n"/>
      <x:c r="DM153" s="302" t="n"/>
      <x:c r="DN153" s="302" t="n"/>
      <x:c r="DO153" s="302" t="n"/>
      <x:c r="DP153" s="302" t="n"/>
      <x:c r="DQ153" s="302" t="n"/>
      <x:c r="DR153" s="302" t="n"/>
      <x:c r="DS153" s="302" t="n"/>
      <x:c r="DT153" s="302" t="n"/>
      <x:c r="DU153" s="302" t="n"/>
      <x:c r="DV153" s="302" t="n"/>
      <x:c r="DW153" s="302" t="n"/>
      <x:c r="DX153" s="302" t="n"/>
      <x:c r="DY153" s="302" t="n"/>
      <x:c r="DZ153" s="302" t="n"/>
      <x:c r="EA153" s="302" t="n"/>
      <x:c r="EB153" s="302" t="n"/>
      <x:c r="EC153" s="302" t="n"/>
      <x:c r="ED153" s="302" t="n"/>
      <x:c r="EE153" s="302" t="n"/>
      <x:c r="EF153" s="302" t="n"/>
      <x:c r="EG153" s="302" t="n"/>
      <x:c r="EH153" s="302" t="n"/>
      <x:c r="EI153" s="302" t="n"/>
      <x:c r="EJ153" s="302" t="n"/>
      <x:c r="EK153" s="302" t="n"/>
      <x:c r="EL153" s="302" t="n"/>
      <x:c r="EM153" s="302" t="n"/>
      <x:c r="EN153" s="302" t="n"/>
      <x:c r="EO153" s="302" t="n"/>
      <x:c r="EP153" s="302" t="n"/>
      <x:c r="EQ153" s="302" t="n"/>
      <x:c r="ER153" s="302" t="n"/>
      <x:c r="ES153" s="302" t="n"/>
      <x:c r="ET153" s="302" t="n"/>
      <x:c r="EU153" s="302" t="n"/>
      <x:c r="EV153" s="302" t="n"/>
      <x:c r="EW153" s="302" t="n"/>
      <x:c r="EX153" s="302" t="n"/>
      <x:c r="EY153" s="302" t="n"/>
    </x:row>
    <x:row r="154" s="27" customFormat="1">
      <x:c r="A154" s="38" t="n"/>
      <x:c r="B154" s="37" t="n"/>
      <x:c r="C154" s="36" t="n">
        <x:f>E154*D$5</x:f>
        <x:v>0</x:v>
      </x:c>
      <x:c r="D154" s="20" t="n"/>
      <x:c r="E154" s="36" t="n">
        <x:f>SUM(G154:HS154)</x:f>
        <x:v>0</x:v>
      </x:c>
      <x:c r="F154" s="126" t="inlineStr">
        <x:is>
          <x:t xml:space="preserve"/>
        </x:is>
      </x:c>
      <x:c r="G154" s="302" t="n"/>
      <x:c r="H154" s="302" t="n"/>
      <x:c r="I154" s="302" t="n"/>
      <x:c r="J154" s="302" t="n"/>
      <x:c r="K154" s="302" t="n"/>
      <x:c r="L154" s="302" t="n"/>
      <x:c r="M154" s="302" t="n"/>
      <x:c r="N154" s="302" t="n"/>
      <x:c r="O154" s="302" t="n"/>
      <x:c r="P154" s="100" t="n"/>
      <x:c r="Q154" s="302" t="n"/>
      <x:c r="R154" s="302" t="n"/>
      <x:c r="S154" s="302" t="n"/>
      <x:c r="T154" s="302" t="n"/>
      <x:c r="U154" s="302" t="n"/>
      <x:c r="V154" s="302" t="n"/>
      <x:c r="W154" s="302" t="n"/>
      <x:c r="X154" s="302" t="n"/>
      <x:c r="Y154" s="100" t="n"/>
      <x:c r="Z154" s="100" t="n"/>
      <x:c r="AA154" s="100" t="n"/>
      <x:c r="AB154" s="100" t="n"/>
      <x:c r="AC154" s="100" t="n"/>
      <x:c r="AD154" s="100" t="n"/>
      <x:c r="AE154" s="100" t="n"/>
      <x:c r="AF154" s="302" t="n"/>
      <x:c r="AG154" s="100" t="n"/>
      <x:c r="AH154" s="302" t="n"/>
      <x:c r="AI154" s="100" t="n"/>
      <x:c r="AJ154" s="302" t="n"/>
      <x:c r="AK154" s="302" t="n"/>
      <x:c r="AL154" s="302" t="n"/>
      <x:c r="AM154" s="302" t="n"/>
      <x:c r="AN154" s="302" t="n"/>
      <x:c r="AO154" s="302" t="n"/>
      <x:c r="AP154" s="302" t="n"/>
      <x:c r="AQ154" s="302" t="n"/>
      <x:c r="AR154" s="302" t="n"/>
      <x:c r="AS154" s="302" t="n"/>
      <x:c r="AT154" s="302" t="n"/>
      <x:c r="AU154" s="302" t="n"/>
      <x:c r="AV154" s="302" t="n"/>
      <x:c r="AW154" s="302" t="n"/>
      <x:c r="AX154" s="302" t="n"/>
      <x:c r="AY154" s="302" t="n"/>
      <x:c r="AZ154" s="302" t="n"/>
      <x:c r="BA154" s="302" t="n"/>
      <x:c r="BB154" s="302" t="n"/>
      <x:c r="BC154" s="302" t="n"/>
      <x:c r="BD154" s="302" t="n"/>
      <x:c r="BE154" s="302" t="n"/>
      <x:c r="BF154" s="302" t="n"/>
      <x:c r="BG154" s="302" t="n"/>
      <x:c r="BH154" s="302" t="n"/>
      <x:c r="BI154" s="302" t="n"/>
      <x:c r="BJ154" s="302" t="n"/>
      <x:c r="BK154" s="302" t="n"/>
      <x:c r="BL154" s="302" t="n"/>
      <x:c r="BM154" s="302" t="n"/>
      <x:c r="BN154" s="302" t="n"/>
      <x:c r="BO154" s="302" t="n"/>
      <x:c r="BP154" s="302" t="n"/>
      <x:c r="BQ154" s="302" t="n"/>
      <x:c r="BR154" s="302" t="n"/>
      <x:c r="BS154" s="302" t="n"/>
      <x:c r="BT154" s="302" t="n"/>
      <x:c r="BU154" s="302" t="n"/>
      <x:c r="BV154" s="302" t="n"/>
      <x:c r="BW154" s="302" t="n"/>
      <x:c r="BX154" s="302" t="n"/>
      <x:c r="BY154" s="302" t="n"/>
      <x:c r="BZ154" s="302" t="n"/>
      <x:c r="CA154" s="302" t="n"/>
      <x:c r="CB154" s="302" t="n"/>
      <x:c r="CC154" s="302" t="n"/>
      <x:c r="CD154" s="302" t="n"/>
      <x:c r="CE154" s="302" t="n"/>
      <x:c r="CF154" s="302" t="n"/>
      <x:c r="CG154" s="302" t="n"/>
      <x:c r="CH154" s="302" t="n"/>
      <x:c r="CI154" s="302" t="n"/>
      <x:c r="CJ154" s="302" t="n"/>
      <x:c r="CK154" s="302" t="n"/>
      <x:c r="CL154" s="302" t="n"/>
      <x:c r="CM154" s="302" t="n"/>
      <x:c r="CN154" s="302" t="n"/>
      <x:c r="CO154" s="302" t="n"/>
      <x:c r="CP154" s="302" t="n"/>
      <x:c r="CQ154" s="302" t="n"/>
      <x:c r="CR154" s="302" t="n"/>
      <x:c r="CS154" s="302" t="n"/>
      <x:c r="CT154" s="302" t="n"/>
      <x:c r="CU154" s="302" t="n"/>
      <x:c r="CV154" s="302" t="n"/>
      <x:c r="CW154" s="302" t="n"/>
      <x:c r="CX154" s="302" t="n"/>
      <x:c r="CY154" s="302" t="n"/>
      <x:c r="CZ154" s="302" t="n"/>
      <x:c r="DA154" s="302" t="n"/>
      <x:c r="DB154" s="302" t="n"/>
      <x:c r="DC154" s="302" t="n"/>
      <x:c r="DD154" s="302" t="n"/>
      <x:c r="DE154" s="302" t="n"/>
      <x:c r="DF154" s="302" t="n"/>
      <x:c r="DG154" s="302" t="n"/>
      <x:c r="DH154" s="302" t="n"/>
      <x:c r="DI154" s="302" t="n"/>
      <x:c r="DJ154" s="302" t="n"/>
      <x:c r="DK154" s="302" t="n"/>
      <x:c r="DL154" s="302" t="n"/>
      <x:c r="DM154" s="302" t="n"/>
      <x:c r="DN154" s="302" t="n"/>
      <x:c r="DO154" s="302" t="n"/>
      <x:c r="DP154" s="302" t="n"/>
      <x:c r="DQ154" s="302" t="n"/>
      <x:c r="DR154" s="302" t="n"/>
      <x:c r="DS154" s="302" t="n"/>
      <x:c r="DT154" s="302" t="n"/>
      <x:c r="DU154" s="302" t="n"/>
      <x:c r="DV154" s="302" t="n"/>
      <x:c r="DW154" s="302" t="n"/>
      <x:c r="DX154" s="302" t="n"/>
      <x:c r="DY154" s="302" t="n"/>
      <x:c r="DZ154" s="302" t="n"/>
      <x:c r="EA154" s="302" t="n"/>
      <x:c r="EB154" s="302" t="n"/>
      <x:c r="EC154" s="302" t="n"/>
      <x:c r="ED154" s="302" t="n"/>
      <x:c r="EE154" s="302" t="n"/>
      <x:c r="EF154" s="302" t="n"/>
      <x:c r="EG154" s="302" t="n"/>
      <x:c r="EH154" s="302" t="n"/>
      <x:c r="EI154" s="302" t="n"/>
      <x:c r="EJ154" s="302" t="n"/>
      <x:c r="EK154" s="302" t="n"/>
      <x:c r="EL154" s="302" t="n"/>
      <x:c r="EM154" s="302" t="n"/>
      <x:c r="EN154" s="302" t="n"/>
      <x:c r="EO154" s="302" t="n"/>
      <x:c r="EP154" s="302" t="n"/>
      <x:c r="EQ154" s="302" t="n"/>
      <x:c r="ER154" s="302" t="n"/>
      <x:c r="ES154" s="302" t="n"/>
      <x:c r="ET154" s="302" t="n"/>
      <x:c r="EU154" s="302" t="n"/>
      <x:c r="EV154" s="302" t="n"/>
      <x:c r="EW154" s="302" t="n"/>
      <x:c r="EX154" s="302" t="n"/>
      <x:c r="EY154" s="302" t="n"/>
    </x:row>
    <x:row r="155" s="27" customFormat="1">
      <x:c r="A155" s="38" t="n"/>
      <x:c r="B155" s="37" t="n"/>
      <x:c r="C155" s="36" t="n">
        <x:f>E155*D$5</x:f>
        <x:v>0</x:v>
      </x:c>
      <x:c r="D155" s="20" t="n"/>
      <x:c r="E155" s="36" t="n">
        <x:f>SUM(G155:HS155)</x:f>
        <x:v>0</x:v>
      </x:c>
      <x:c r="F155" s="126" t="inlineStr">
        <x:is>
          <x:t xml:space="preserve"/>
        </x:is>
      </x:c>
      <x:c r="G155" s="302" t="n"/>
      <x:c r="H155" s="302" t="n"/>
      <x:c r="I155" s="302" t="n"/>
      <x:c r="J155" s="302" t="n"/>
      <x:c r="K155" s="302" t="n"/>
      <x:c r="L155" s="302" t="n"/>
      <x:c r="M155" s="302" t="n"/>
      <x:c r="N155" s="302" t="n"/>
      <x:c r="O155" s="302" t="n"/>
      <x:c r="P155" s="100" t="n"/>
      <x:c r="Q155" s="302" t="n"/>
      <x:c r="R155" s="302" t="n"/>
      <x:c r="S155" s="302" t="n"/>
      <x:c r="T155" s="302" t="n"/>
      <x:c r="U155" s="302" t="n"/>
      <x:c r="V155" s="302" t="n"/>
      <x:c r="W155" s="302" t="n"/>
      <x:c r="X155" s="302" t="n"/>
      <x:c r="Y155" s="100" t="n"/>
      <x:c r="Z155" s="100" t="n"/>
      <x:c r="AA155" s="100" t="n"/>
      <x:c r="AB155" s="100" t="n"/>
      <x:c r="AC155" s="100" t="n"/>
      <x:c r="AD155" s="100" t="n"/>
      <x:c r="AE155" s="100" t="n"/>
      <x:c r="AF155" s="302" t="n"/>
      <x:c r="AG155" s="100" t="n"/>
      <x:c r="AH155" s="302" t="n"/>
      <x:c r="AI155" s="100" t="n"/>
      <x:c r="AJ155" s="302" t="n"/>
      <x:c r="AK155" s="302" t="n"/>
      <x:c r="AL155" s="302" t="n"/>
      <x:c r="AM155" s="302" t="n"/>
      <x:c r="AN155" s="302" t="n"/>
      <x:c r="AO155" s="302" t="n"/>
      <x:c r="AP155" s="302" t="n"/>
      <x:c r="AQ155" s="302" t="n"/>
      <x:c r="AR155" s="302" t="n"/>
      <x:c r="AS155" s="302" t="n"/>
      <x:c r="AT155" s="302" t="n"/>
      <x:c r="AU155" s="302" t="n"/>
      <x:c r="AV155" s="302" t="n"/>
      <x:c r="AW155" s="302" t="n"/>
      <x:c r="AX155" s="302" t="n"/>
      <x:c r="AY155" s="302" t="n"/>
      <x:c r="AZ155" s="302" t="n"/>
      <x:c r="BA155" s="302" t="n"/>
      <x:c r="BB155" s="302" t="n"/>
      <x:c r="BC155" s="302" t="n"/>
      <x:c r="BD155" s="302" t="n"/>
      <x:c r="BE155" s="302" t="n"/>
      <x:c r="BF155" s="302" t="n"/>
      <x:c r="BG155" s="302" t="n"/>
      <x:c r="BH155" s="302" t="n"/>
      <x:c r="BI155" s="302" t="n"/>
      <x:c r="BJ155" s="302" t="n"/>
      <x:c r="BK155" s="302" t="n"/>
      <x:c r="BL155" s="302" t="n"/>
      <x:c r="BM155" s="302" t="n"/>
      <x:c r="BN155" s="302" t="n"/>
      <x:c r="BO155" s="302" t="n"/>
      <x:c r="BP155" s="302" t="n"/>
      <x:c r="BQ155" s="302" t="n"/>
      <x:c r="BR155" s="302" t="n"/>
      <x:c r="BS155" s="302" t="n"/>
      <x:c r="BT155" s="302" t="n"/>
      <x:c r="BU155" s="302" t="n"/>
      <x:c r="BV155" s="302" t="n"/>
      <x:c r="BW155" s="302" t="n"/>
      <x:c r="BX155" s="302" t="n"/>
      <x:c r="BY155" s="302" t="n"/>
      <x:c r="BZ155" s="302" t="n"/>
      <x:c r="CA155" s="302" t="n"/>
      <x:c r="CB155" s="302" t="n"/>
      <x:c r="CC155" s="302" t="n"/>
      <x:c r="CD155" s="302" t="n"/>
      <x:c r="CE155" s="302" t="n"/>
      <x:c r="CF155" s="302" t="n"/>
      <x:c r="CG155" s="302" t="n"/>
      <x:c r="CH155" s="302" t="n"/>
      <x:c r="CI155" s="302" t="n"/>
      <x:c r="CJ155" s="302" t="n"/>
      <x:c r="CK155" s="302" t="n"/>
      <x:c r="CL155" s="302" t="n"/>
      <x:c r="CM155" s="302" t="n"/>
      <x:c r="CN155" s="302" t="n"/>
      <x:c r="CO155" s="302" t="n"/>
      <x:c r="CP155" s="302" t="n"/>
      <x:c r="CQ155" s="302" t="n"/>
      <x:c r="CR155" s="302" t="n"/>
      <x:c r="CS155" s="302" t="n"/>
      <x:c r="CT155" s="302" t="n"/>
      <x:c r="CU155" s="302" t="n"/>
      <x:c r="CV155" s="302" t="n"/>
      <x:c r="CW155" s="302" t="n"/>
      <x:c r="CX155" s="302" t="n"/>
      <x:c r="CY155" s="302" t="n"/>
      <x:c r="CZ155" s="302" t="n"/>
      <x:c r="DA155" s="302" t="n"/>
      <x:c r="DB155" s="302" t="n"/>
      <x:c r="DC155" s="302" t="n"/>
      <x:c r="DD155" s="302" t="n"/>
      <x:c r="DE155" s="302" t="n"/>
      <x:c r="DF155" s="302" t="n"/>
      <x:c r="DG155" s="302" t="n"/>
      <x:c r="DH155" s="302" t="n"/>
      <x:c r="DI155" s="302" t="n"/>
      <x:c r="DJ155" s="302" t="n"/>
      <x:c r="DK155" s="302" t="n"/>
      <x:c r="DL155" s="302" t="n"/>
      <x:c r="DM155" s="302" t="n"/>
      <x:c r="DN155" s="302" t="n"/>
      <x:c r="DO155" s="302" t="n"/>
      <x:c r="DP155" s="302" t="n"/>
      <x:c r="DQ155" s="302" t="n"/>
      <x:c r="DR155" s="302" t="n"/>
      <x:c r="DS155" s="302" t="n"/>
      <x:c r="DT155" s="302" t="n"/>
      <x:c r="DU155" s="302" t="n"/>
      <x:c r="DV155" s="302" t="n"/>
      <x:c r="DW155" s="302" t="n"/>
      <x:c r="DX155" s="302" t="n"/>
      <x:c r="DY155" s="302" t="n"/>
      <x:c r="DZ155" s="302" t="n"/>
      <x:c r="EA155" s="302" t="n"/>
      <x:c r="EB155" s="302" t="n"/>
      <x:c r="EC155" s="302" t="n"/>
      <x:c r="ED155" s="302" t="n"/>
      <x:c r="EE155" s="302" t="n"/>
      <x:c r="EF155" s="302" t="n"/>
      <x:c r="EG155" s="302" t="n"/>
      <x:c r="EH155" s="302" t="n"/>
      <x:c r="EI155" s="302" t="n"/>
      <x:c r="EJ155" s="302" t="n"/>
      <x:c r="EK155" s="302" t="n"/>
      <x:c r="EL155" s="302" t="n"/>
      <x:c r="EM155" s="302" t="n"/>
      <x:c r="EN155" s="302" t="n"/>
      <x:c r="EO155" s="302" t="n"/>
      <x:c r="EP155" s="302" t="n"/>
      <x:c r="EQ155" s="302" t="n"/>
      <x:c r="ER155" s="302" t="n"/>
      <x:c r="ES155" s="302" t="n"/>
      <x:c r="ET155" s="302" t="n"/>
      <x:c r="EU155" s="302" t="n"/>
      <x:c r="EV155" s="302" t="n"/>
      <x:c r="EW155" s="302" t="n"/>
      <x:c r="EX155" s="302" t="n"/>
      <x:c r="EY155" s="302" t="n"/>
    </x:row>
    <x:row r="156" s="27" customFormat="1">
      <x:c r="A156" s="38" t="n"/>
      <x:c r="B156" s="37" t="n"/>
      <x:c r="C156" s="36" t="n">
        <x:f>E156*D$5</x:f>
        <x:v>0</x:v>
      </x:c>
      <x:c r="D156" s="20" t="n"/>
      <x:c r="E156" s="36" t="n">
        <x:f>SUM(G156:HS156)</x:f>
        <x:v>0</x:v>
      </x:c>
      <x:c r="F156" s="126" t="inlineStr">
        <x:is>
          <x:t xml:space="preserve"/>
        </x:is>
      </x:c>
      <x:c r="G156" s="302" t="n"/>
      <x:c r="H156" s="302" t="n"/>
      <x:c r="I156" s="302" t="n"/>
      <x:c r="J156" s="302" t="n"/>
      <x:c r="K156" s="302" t="n"/>
      <x:c r="L156" s="302" t="n"/>
      <x:c r="M156" s="302" t="n"/>
      <x:c r="N156" s="302" t="n"/>
      <x:c r="O156" s="302" t="n"/>
      <x:c r="P156" s="100" t="n"/>
      <x:c r="Q156" s="302" t="n"/>
      <x:c r="R156" s="302" t="n"/>
      <x:c r="S156" s="302" t="n"/>
      <x:c r="T156" s="302" t="n"/>
      <x:c r="U156" s="302" t="n"/>
      <x:c r="V156" s="302" t="n"/>
      <x:c r="W156" s="302" t="n"/>
      <x:c r="X156" s="302" t="n"/>
      <x:c r="Y156" s="100" t="n"/>
      <x:c r="Z156" s="100" t="n"/>
      <x:c r="AA156" s="100" t="n"/>
      <x:c r="AB156" s="100" t="n"/>
      <x:c r="AC156" s="100" t="n"/>
      <x:c r="AD156" s="100" t="n"/>
      <x:c r="AE156" s="100" t="n"/>
      <x:c r="AF156" s="302" t="n"/>
      <x:c r="AG156" s="100" t="n"/>
      <x:c r="AH156" s="302" t="n"/>
      <x:c r="AI156" s="100" t="n"/>
      <x:c r="AJ156" s="302" t="n"/>
      <x:c r="AK156" s="302" t="n"/>
      <x:c r="AL156" s="302" t="n"/>
      <x:c r="AM156" s="302" t="n"/>
      <x:c r="AN156" s="302" t="n"/>
      <x:c r="AO156" s="302" t="n"/>
      <x:c r="AP156" s="302" t="n"/>
      <x:c r="AQ156" s="302" t="n"/>
      <x:c r="AR156" s="302" t="n"/>
      <x:c r="AS156" s="302" t="n"/>
      <x:c r="AT156" s="302" t="n"/>
      <x:c r="AU156" s="302" t="n"/>
      <x:c r="AV156" s="302" t="n"/>
      <x:c r="AW156" s="302" t="n"/>
      <x:c r="AX156" s="302" t="n"/>
      <x:c r="AY156" s="302" t="n"/>
      <x:c r="AZ156" s="302" t="n"/>
      <x:c r="BA156" s="302" t="n"/>
      <x:c r="BB156" s="302" t="n"/>
      <x:c r="BC156" s="302" t="n"/>
      <x:c r="BD156" s="302" t="n"/>
      <x:c r="BE156" s="302" t="n"/>
      <x:c r="BF156" s="302" t="n"/>
      <x:c r="BG156" s="302" t="n"/>
      <x:c r="BH156" s="302" t="n"/>
      <x:c r="BI156" s="302" t="n"/>
      <x:c r="BJ156" s="302" t="n"/>
      <x:c r="BK156" s="302" t="n"/>
      <x:c r="BL156" s="302" t="n"/>
      <x:c r="BM156" s="302" t="n"/>
      <x:c r="BN156" s="302" t="n"/>
      <x:c r="BO156" s="302" t="n"/>
      <x:c r="BP156" s="302" t="n"/>
      <x:c r="BQ156" s="302" t="n"/>
      <x:c r="BR156" s="302" t="n"/>
      <x:c r="BS156" s="302" t="n"/>
      <x:c r="BT156" s="302" t="n"/>
      <x:c r="BU156" s="302" t="n"/>
      <x:c r="BV156" s="302" t="n"/>
      <x:c r="BW156" s="302" t="n"/>
      <x:c r="BX156" s="302" t="n"/>
      <x:c r="BY156" s="302" t="n"/>
      <x:c r="BZ156" s="302" t="n"/>
      <x:c r="CA156" s="302" t="n"/>
      <x:c r="CB156" s="302" t="n"/>
      <x:c r="CC156" s="302" t="n"/>
      <x:c r="CD156" s="302" t="n"/>
      <x:c r="CE156" s="302" t="n"/>
      <x:c r="CF156" s="302" t="n"/>
      <x:c r="CG156" s="302" t="n"/>
      <x:c r="CH156" s="302" t="n"/>
      <x:c r="CI156" s="302" t="n"/>
      <x:c r="CJ156" s="302" t="n"/>
      <x:c r="CK156" s="302" t="n"/>
      <x:c r="CL156" s="302" t="n"/>
      <x:c r="CM156" s="302" t="n"/>
      <x:c r="CN156" s="302" t="n"/>
      <x:c r="CO156" s="302" t="n"/>
      <x:c r="CP156" s="302" t="n"/>
      <x:c r="CQ156" s="302" t="n"/>
      <x:c r="CR156" s="302" t="n"/>
      <x:c r="CS156" s="302" t="n"/>
      <x:c r="CT156" s="302" t="n"/>
      <x:c r="CU156" s="302" t="n"/>
      <x:c r="CV156" s="302" t="n"/>
      <x:c r="CW156" s="302" t="n"/>
      <x:c r="CX156" s="302" t="n"/>
      <x:c r="CY156" s="302" t="n"/>
      <x:c r="CZ156" s="302" t="n"/>
      <x:c r="DA156" s="302" t="n"/>
      <x:c r="DB156" s="302" t="n"/>
      <x:c r="DC156" s="302" t="n"/>
      <x:c r="DD156" s="302" t="n"/>
      <x:c r="DE156" s="302" t="n"/>
      <x:c r="DF156" s="302" t="n"/>
      <x:c r="DG156" s="302" t="n"/>
      <x:c r="DH156" s="302" t="n"/>
      <x:c r="DI156" s="302" t="n"/>
      <x:c r="DJ156" s="302" t="n"/>
      <x:c r="DK156" s="302" t="n"/>
      <x:c r="DL156" s="302" t="n"/>
      <x:c r="DM156" s="302" t="n"/>
      <x:c r="DN156" s="302" t="n"/>
      <x:c r="DO156" s="302" t="n"/>
      <x:c r="DP156" s="302" t="n"/>
      <x:c r="DQ156" s="302" t="n"/>
      <x:c r="DR156" s="302" t="n"/>
      <x:c r="DS156" s="302" t="n"/>
      <x:c r="DT156" s="302" t="n"/>
      <x:c r="DU156" s="302" t="n"/>
      <x:c r="DV156" s="302" t="n"/>
      <x:c r="DW156" s="302" t="n"/>
      <x:c r="DX156" s="302" t="n"/>
      <x:c r="DY156" s="302" t="n"/>
      <x:c r="DZ156" s="302" t="n"/>
      <x:c r="EA156" s="302" t="n"/>
      <x:c r="EB156" s="302" t="n"/>
      <x:c r="EC156" s="302" t="n"/>
      <x:c r="ED156" s="302" t="n"/>
      <x:c r="EE156" s="302" t="n"/>
      <x:c r="EF156" s="302" t="n"/>
      <x:c r="EG156" s="302" t="n"/>
      <x:c r="EH156" s="302" t="n"/>
      <x:c r="EI156" s="302" t="n"/>
      <x:c r="EJ156" s="302" t="n"/>
      <x:c r="EK156" s="302" t="n"/>
      <x:c r="EL156" s="302" t="n"/>
      <x:c r="EM156" s="302" t="n"/>
      <x:c r="EN156" s="302" t="n"/>
      <x:c r="EO156" s="302" t="n"/>
      <x:c r="EP156" s="302" t="n"/>
      <x:c r="EQ156" s="302" t="n"/>
      <x:c r="ER156" s="302" t="n"/>
      <x:c r="ES156" s="302" t="n"/>
      <x:c r="ET156" s="302" t="n"/>
      <x:c r="EU156" s="302" t="n"/>
      <x:c r="EV156" s="302" t="n"/>
      <x:c r="EW156" s="302" t="n"/>
      <x:c r="EX156" s="302" t="n"/>
      <x:c r="EY156" s="302" t="n"/>
    </x:row>
    <x:row r="157" s="27" customFormat="1">
      <x:c r="A157" s="38" t="n"/>
      <x:c r="B157" s="37" t="n"/>
      <x:c r="C157" s="36" t="n">
        <x:f>E157*D$5</x:f>
        <x:v>0</x:v>
      </x:c>
      <x:c r="D157" s="20" t="n"/>
      <x:c r="E157" s="36" t="n">
        <x:f>SUM(G157:HS157)</x:f>
        <x:v>0</x:v>
      </x:c>
      <x:c r="F157" s="126" t="inlineStr">
        <x:is>
          <x:t xml:space="preserve"/>
        </x:is>
      </x:c>
      <x:c r="G157" s="302" t="n"/>
      <x:c r="H157" s="302" t="n"/>
      <x:c r="I157" s="302" t="n"/>
      <x:c r="J157" s="302" t="n"/>
      <x:c r="K157" s="302" t="n"/>
      <x:c r="L157" s="302" t="n"/>
      <x:c r="M157" s="302" t="n"/>
      <x:c r="N157" s="302" t="n"/>
      <x:c r="O157" s="302" t="n"/>
      <x:c r="P157" s="100" t="n"/>
      <x:c r="Q157" s="302" t="n"/>
      <x:c r="R157" s="302" t="n"/>
      <x:c r="S157" s="302" t="n"/>
      <x:c r="T157" s="302" t="n"/>
      <x:c r="U157" s="302" t="n"/>
      <x:c r="V157" s="302" t="n"/>
      <x:c r="W157" s="302" t="n"/>
      <x:c r="X157" s="302" t="n"/>
      <x:c r="Y157" s="100" t="n"/>
      <x:c r="Z157" s="100" t="n"/>
      <x:c r="AA157" s="100" t="n"/>
      <x:c r="AB157" s="100" t="n"/>
      <x:c r="AC157" s="100" t="n"/>
      <x:c r="AD157" s="100" t="n"/>
      <x:c r="AE157" s="100" t="n"/>
      <x:c r="AF157" s="302" t="n"/>
      <x:c r="AG157" s="100" t="n"/>
      <x:c r="AH157" s="302" t="n"/>
      <x:c r="AI157" s="100" t="n"/>
      <x:c r="AJ157" s="302" t="n"/>
      <x:c r="AK157" s="302" t="n"/>
      <x:c r="AL157" s="302" t="n"/>
      <x:c r="AM157" s="302" t="n"/>
      <x:c r="AN157" s="302" t="n"/>
      <x:c r="AO157" s="302" t="n"/>
      <x:c r="AP157" s="302" t="n"/>
      <x:c r="AQ157" s="302" t="n"/>
      <x:c r="AR157" s="302" t="n"/>
      <x:c r="AS157" s="302" t="n"/>
      <x:c r="AT157" s="302" t="n"/>
      <x:c r="AU157" s="302" t="n"/>
      <x:c r="AV157" s="302" t="n"/>
      <x:c r="AW157" s="302" t="n"/>
      <x:c r="AX157" s="302" t="n"/>
      <x:c r="AY157" s="302" t="n"/>
      <x:c r="AZ157" s="302" t="n"/>
      <x:c r="BA157" s="302" t="n"/>
      <x:c r="BB157" s="302" t="n"/>
      <x:c r="BC157" s="302" t="n"/>
      <x:c r="BD157" s="302" t="n"/>
      <x:c r="BE157" s="302" t="n"/>
      <x:c r="BF157" s="302" t="n"/>
      <x:c r="BG157" s="302" t="n"/>
      <x:c r="BH157" s="302" t="n"/>
      <x:c r="BI157" s="302" t="n"/>
      <x:c r="BJ157" s="302" t="n"/>
      <x:c r="BK157" s="302" t="n"/>
      <x:c r="BL157" s="302" t="n"/>
      <x:c r="BM157" s="302" t="n"/>
      <x:c r="BN157" s="302" t="n"/>
      <x:c r="BO157" s="302" t="n"/>
      <x:c r="BP157" s="302" t="n"/>
      <x:c r="BQ157" s="302" t="n"/>
      <x:c r="BR157" s="302" t="n"/>
      <x:c r="BS157" s="302" t="n"/>
      <x:c r="BT157" s="302" t="n"/>
      <x:c r="BU157" s="302" t="n"/>
      <x:c r="BV157" s="302" t="n"/>
      <x:c r="BW157" s="302" t="n"/>
      <x:c r="BX157" s="302" t="n"/>
      <x:c r="BY157" s="302" t="n"/>
      <x:c r="BZ157" s="302" t="n"/>
      <x:c r="CA157" s="302" t="n"/>
      <x:c r="CB157" s="302" t="n"/>
      <x:c r="CC157" s="302" t="n"/>
      <x:c r="CD157" s="302" t="n"/>
      <x:c r="CE157" s="302" t="n"/>
      <x:c r="CF157" s="302" t="n"/>
      <x:c r="CG157" s="302" t="n"/>
      <x:c r="CH157" s="302" t="n"/>
      <x:c r="CI157" s="302" t="n"/>
      <x:c r="CJ157" s="302" t="n"/>
      <x:c r="CK157" s="302" t="n"/>
      <x:c r="CL157" s="302" t="n"/>
      <x:c r="CM157" s="302" t="n"/>
      <x:c r="CN157" s="302" t="n"/>
      <x:c r="CO157" s="302" t="n"/>
      <x:c r="CP157" s="302" t="n"/>
      <x:c r="CQ157" s="302" t="n"/>
      <x:c r="CR157" s="302" t="n"/>
      <x:c r="CS157" s="302" t="n"/>
      <x:c r="CT157" s="302" t="n"/>
      <x:c r="CU157" s="302" t="n"/>
      <x:c r="CV157" s="302" t="n"/>
      <x:c r="CW157" s="302" t="n"/>
      <x:c r="CX157" s="302" t="n"/>
      <x:c r="CY157" s="302" t="n"/>
      <x:c r="CZ157" s="302" t="n"/>
      <x:c r="DA157" s="302" t="n"/>
      <x:c r="DB157" s="302" t="n"/>
      <x:c r="DC157" s="302" t="n"/>
      <x:c r="DD157" s="302" t="n"/>
      <x:c r="DE157" s="302" t="n"/>
      <x:c r="DF157" s="302" t="n"/>
      <x:c r="DG157" s="302" t="n"/>
      <x:c r="DH157" s="302" t="n"/>
      <x:c r="DI157" s="302" t="n"/>
      <x:c r="DJ157" s="302" t="n"/>
      <x:c r="DK157" s="302" t="n"/>
      <x:c r="DL157" s="302" t="n"/>
      <x:c r="DM157" s="302" t="n"/>
      <x:c r="DN157" s="302" t="n"/>
      <x:c r="DO157" s="302" t="n"/>
      <x:c r="DP157" s="302" t="n"/>
      <x:c r="DQ157" s="302" t="n"/>
      <x:c r="DR157" s="302" t="n"/>
      <x:c r="DS157" s="302" t="n"/>
      <x:c r="DT157" s="302" t="n"/>
      <x:c r="DU157" s="302" t="n"/>
      <x:c r="DV157" s="302" t="n"/>
      <x:c r="DW157" s="302" t="n"/>
      <x:c r="DX157" s="302" t="n"/>
      <x:c r="DY157" s="302" t="n"/>
      <x:c r="DZ157" s="302" t="n"/>
      <x:c r="EA157" s="302" t="n"/>
      <x:c r="EB157" s="302" t="n"/>
      <x:c r="EC157" s="302" t="n"/>
      <x:c r="ED157" s="302" t="n"/>
      <x:c r="EE157" s="302" t="n"/>
      <x:c r="EF157" s="302" t="n"/>
      <x:c r="EG157" s="302" t="n"/>
      <x:c r="EH157" s="302" t="n"/>
      <x:c r="EI157" s="302" t="n"/>
      <x:c r="EJ157" s="302" t="n"/>
      <x:c r="EK157" s="302" t="n"/>
      <x:c r="EL157" s="302" t="n"/>
      <x:c r="EM157" s="302" t="n"/>
      <x:c r="EN157" s="302" t="n"/>
      <x:c r="EO157" s="302" t="n"/>
      <x:c r="EP157" s="302" t="n"/>
      <x:c r="EQ157" s="302" t="n"/>
      <x:c r="ER157" s="302" t="n"/>
      <x:c r="ES157" s="302" t="n"/>
      <x:c r="ET157" s="302" t="n"/>
      <x:c r="EU157" s="302" t="n"/>
      <x:c r="EV157" s="302" t="n"/>
      <x:c r="EW157" s="302" t="n"/>
      <x:c r="EX157" s="302" t="n"/>
      <x:c r="EY157" s="302" t="n"/>
    </x:row>
    <x:row r="158" s="27" customFormat="1">
      <x:c r="A158" s="38" t="n"/>
      <x:c r="B158" s="37" t="n"/>
      <x:c r="C158" s="36" t="n">
        <x:f>E158*D$5</x:f>
        <x:v>0</x:v>
      </x:c>
      <x:c r="D158" s="20" t="n"/>
      <x:c r="E158" s="36" t="n">
        <x:f>SUM(G158:HS158)</x:f>
        <x:v>0</x:v>
      </x:c>
      <x:c r="F158" s="126" t="inlineStr">
        <x:is>
          <x:t xml:space="preserve"/>
        </x:is>
      </x:c>
      <x:c r="G158" s="302" t="n"/>
      <x:c r="H158" s="302" t="n"/>
      <x:c r="I158" s="302" t="n"/>
      <x:c r="J158" s="302" t="n"/>
      <x:c r="K158" s="302" t="n"/>
      <x:c r="L158" s="302" t="n"/>
      <x:c r="M158" s="302" t="n"/>
      <x:c r="N158" s="302" t="n"/>
      <x:c r="O158" s="302" t="n"/>
      <x:c r="P158" s="100" t="n"/>
      <x:c r="Q158" s="302" t="n"/>
      <x:c r="R158" s="302" t="n"/>
      <x:c r="S158" s="302" t="n"/>
      <x:c r="T158" s="302" t="n"/>
      <x:c r="U158" s="302" t="n"/>
      <x:c r="V158" s="302" t="n"/>
      <x:c r="W158" s="302" t="n"/>
      <x:c r="X158" s="302" t="n"/>
      <x:c r="Y158" s="100" t="n"/>
      <x:c r="Z158" s="100" t="n"/>
      <x:c r="AA158" s="100" t="n"/>
      <x:c r="AB158" s="100" t="n"/>
      <x:c r="AC158" s="100" t="n"/>
      <x:c r="AD158" s="100" t="n"/>
      <x:c r="AE158" s="100" t="n"/>
      <x:c r="AF158" s="302" t="n"/>
      <x:c r="AG158" s="100" t="n"/>
      <x:c r="AH158" s="302" t="n"/>
      <x:c r="AI158" s="100" t="n"/>
      <x:c r="AJ158" s="302" t="n"/>
      <x:c r="AK158" s="302" t="n"/>
      <x:c r="AL158" s="302" t="n"/>
      <x:c r="AM158" s="302" t="n"/>
      <x:c r="AN158" s="302" t="n"/>
      <x:c r="AO158" s="302" t="n"/>
      <x:c r="AP158" s="302" t="n"/>
      <x:c r="AQ158" s="302" t="n"/>
      <x:c r="AR158" s="302" t="n"/>
      <x:c r="AS158" s="302" t="n"/>
      <x:c r="AT158" s="302" t="n"/>
      <x:c r="AU158" s="302" t="n"/>
      <x:c r="AV158" s="302" t="n"/>
      <x:c r="AW158" s="302" t="n"/>
      <x:c r="AX158" s="302" t="n"/>
      <x:c r="AY158" s="302" t="n"/>
      <x:c r="AZ158" s="302" t="n"/>
      <x:c r="BA158" s="302" t="n"/>
      <x:c r="BB158" s="302" t="n"/>
      <x:c r="BC158" s="302" t="n"/>
      <x:c r="BD158" s="302" t="n"/>
      <x:c r="BE158" s="302" t="n"/>
      <x:c r="BF158" s="302" t="n"/>
      <x:c r="BG158" s="302" t="n"/>
      <x:c r="BH158" s="302" t="n"/>
      <x:c r="BI158" s="302" t="n"/>
      <x:c r="BJ158" s="302" t="n"/>
      <x:c r="BK158" s="302" t="n"/>
      <x:c r="BL158" s="302" t="n"/>
      <x:c r="BM158" s="302" t="n"/>
      <x:c r="BN158" s="302" t="n"/>
      <x:c r="BO158" s="302" t="n"/>
      <x:c r="BP158" s="302" t="n"/>
      <x:c r="BQ158" s="302" t="n"/>
      <x:c r="BR158" s="302" t="n"/>
      <x:c r="BS158" s="302" t="n"/>
      <x:c r="BT158" s="302" t="n"/>
      <x:c r="BU158" s="302" t="n"/>
      <x:c r="BV158" s="302" t="n"/>
      <x:c r="BW158" s="302" t="n"/>
      <x:c r="BX158" s="302" t="n"/>
      <x:c r="BY158" s="302" t="n"/>
      <x:c r="BZ158" s="302" t="n"/>
      <x:c r="CA158" s="302" t="n"/>
      <x:c r="CB158" s="302" t="n"/>
      <x:c r="CC158" s="302" t="n"/>
      <x:c r="CD158" s="302" t="n"/>
      <x:c r="CE158" s="302" t="n"/>
      <x:c r="CF158" s="302" t="n"/>
      <x:c r="CG158" s="302" t="n"/>
      <x:c r="CH158" s="302" t="n"/>
      <x:c r="CI158" s="302" t="n"/>
      <x:c r="CJ158" s="302" t="n"/>
      <x:c r="CK158" s="302" t="n"/>
      <x:c r="CL158" s="302" t="n"/>
      <x:c r="CM158" s="302" t="n"/>
      <x:c r="CN158" s="302" t="n"/>
      <x:c r="CO158" s="302" t="n"/>
      <x:c r="CP158" s="302" t="n"/>
      <x:c r="CQ158" s="302" t="n"/>
      <x:c r="CR158" s="302" t="n"/>
      <x:c r="CS158" s="302" t="n"/>
      <x:c r="CT158" s="302" t="n"/>
      <x:c r="CU158" s="302" t="n"/>
      <x:c r="CV158" s="302" t="n"/>
      <x:c r="CW158" s="302" t="n"/>
      <x:c r="CX158" s="302" t="n"/>
      <x:c r="CY158" s="302" t="n"/>
      <x:c r="CZ158" s="302" t="n"/>
      <x:c r="DA158" s="302" t="n"/>
      <x:c r="DB158" s="302" t="n"/>
      <x:c r="DC158" s="302" t="n"/>
      <x:c r="DD158" s="302" t="n"/>
      <x:c r="DE158" s="302" t="n"/>
      <x:c r="DF158" s="302" t="n"/>
      <x:c r="DG158" s="302" t="n"/>
      <x:c r="DH158" s="302" t="n"/>
      <x:c r="DI158" s="302" t="n"/>
      <x:c r="DJ158" s="302" t="n"/>
      <x:c r="DK158" s="302" t="n"/>
      <x:c r="DL158" s="302" t="n"/>
      <x:c r="DM158" s="302" t="n"/>
      <x:c r="DN158" s="302" t="n"/>
      <x:c r="DO158" s="302" t="n"/>
      <x:c r="DP158" s="302" t="n"/>
      <x:c r="DQ158" s="302" t="n"/>
      <x:c r="DR158" s="302" t="n"/>
      <x:c r="DS158" s="302" t="n"/>
      <x:c r="DT158" s="302" t="n"/>
      <x:c r="DU158" s="302" t="n"/>
      <x:c r="DV158" s="302" t="n"/>
      <x:c r="DW158" s="302" t="n"/>
      <x:c r="DX158" s="302" t="n"/>
      <x:c r="DY158" s="302" t="n"/>
      <x:c r="DZ158" s="302" t="n"/>
      <x:c r="EA158" s="302" t="n"/>
      <x:c r="EB158" s="302" t="n"/>
      <x:c r="EC158" s="302" t="n"/>
      <x:c r="ED158" s="302" t="n"/>
      <x:c r="EE158" s="302" t="n"/>
      <x:c r="EF158" s="302" t="n"/>
      <x:c r="EG158" s="302" t="n"/>
      <x:c r="EH158" s="302" t="n"/>
      <x:c r="EI158" s="302" t="n"/>
      <x:c r="EJ158" s="302" t="n"/>
      <x:c r="EK158" s="302" t="n"/>
      <x:c r="EL158" s="302" t="n"/>
      <x:c r="EM158" s="302" t="n"/>
      <x:c r="EN158" s="302" t="n"/>
      <x:c r="EO158" s="302" t="n"/>
      <x:c r="EP158" s="302" t="n"/>
      <x:c r="EQ158" s="302" t="n"/>
      <x:c r="ER158" s="302" t="n"/>
      <x:c r="ES158" s="302" t="n"/>
      <x:c r="ET158" s="302" t="n"/>
      <x:c r="EU158" s="302" t="n"/>
      <x:c r="EV158" s="302" t="n"/>
      <x:c r="EW158" s="302" t="n"/>
      <x:c r="EX158" s="302" t="n"/>
      <x:c r="EY158" s="302" t="n"/>
    </x:row>
    <x:row r="159" s="27" customFormat="1">
      <x:c r="A159" s="38" t="n"/>
      <x:c r="B159" s="37" t="n"/>
      <x:c r="C159" s="36" t="n">
        <x:f>E159*D$5</x:f>
        <x:v>0</x:v>
      </x:c>
      <x:c r="D159" s="20" t="n"/>
      <x:c r="E159" s="36" t="n">
        <x:f>SUM(G159:HS159)</x:f>
        <x:v>0</x:v>
      </x:c>
      <x:c r="F159" s="126" t="inlineStr">
        <x:is>
          <x:t xml:space="preserve"/>
        </x:is>
      </x:c>
      <x:c r="G159" s="302" t="n"/>
      <x:c r="H159" s="302" t="n"/>
      <x:c r="I159" s="302" t="n"/>
      <x:c r="J159" s="302" t="n"/>
      <x:c r="K159" s="302" t="n"/>
      <x:c r="L159" s="302" t="n"/>
      <x:c r="M159" s="302" t="n"/>
      <x:c r="N159" s="302" t="n"/>
      <x:c r="O159" s="302" t="n"/>
      <x:c r="P159" s="100" t="n"/>
      <x:c r="Q159" s="302" t="n"/>
      <x:c r="R159" s="302" t="n"/>
      <x:c r="S159" s="302" t="n"/>
      <x:c r="T159" s="302" t="n"/>
      <x:c r="U159" s="302" t="n"/>
      <x:c r="V159" s="302" t="n"/>
      <x:c r="W159" s="302" t="n"/>
      <x:c r="X159" s="302" t="n"/>
      <x:c r="Y159" s="100" t="n"/>
      <x:c r="Z159" s="100" t="n"/>
      <x:c r="AA159" s="100" t="n"/>
      <x:c r="AB159" s="100" t="n"/>
      <x:c r="AC159" s="100" t="n"/>
      <x:c r="AD159" s="100" t="n"/>
      <x:c r="AE159" s="100" t="n"/>
      <x:c r="AF159" s="302" t="n"/>
      <x:c r="AG159" s="100" t="n"/>
      <x:c r="AH159" s="302" t="n"/>
      <x:c r="AI159" s="100" t="n"/>
      <x:c r="AJ159" s="302" t="n"/>
      <x:c r="AK159" s="302" t="n"/>
      <x:c r="AL159" s="302" t="n"/>
      <x:c r="AM159" s="302" t="n"/>
      <x:c r="AN159" s="302" t="n"/>
      <x:c r="AO159" s="302" t="n"/>
      <x:c r="AP159" s="302" t="n"/>
      <x:c r="AQ159" s="302" t="n"/>
      <x:c r="AR159" s="302" t="n"/>
      <x:c r="AS159" s="302" t="n"/>
      <x:c r="AT159" s="302" t="n"/>
      <x:c r="AU159" s="302" t="n"/>
      <x:c r="AV159" s="302" t="n"/>
      <x:c r="AW159" s="302" t="n"/>
      <x:c r="AX159" s="302" t="n"/>
      <x:c r="AY159" s="302" t="n"/>
      <x:c r="AZ159" s="302" t="n"/>
      <x:c r="BA159" s="302" t="n"/>
      <x:c r="BB159" s="302" t="n"/>
      <x:c r="BC159" s="302" t="n"/>
      <x:c r="BD159" s="302" t="n"/>
      <x:c r="BE159" s="302" t="n"/>
      <x:c r="BF159" s="302" t="n"/>
      <x:c r="BG159" s="302" t="n"/>
      <x:c r="BH159" s="302" t="n"/>
      <x:c r="BI159" s="302" t="n"/>
      <x:c r="BJ159" s="302" t="n"/>
      <x:c r="BK159" s="302" t="n"/>
      <x:c r="BL159" s="302" t="n"/>
      <x:c r="BM159" s="302" t="n"/>
      <x:c r="BN159" s="302" t="n"/>
      <x:c r="BO159" s="302" t="n"/>
      <x:c r="BP159" s="302" t="n"/>
      <x:c r="BQ159" s="302" t="n"/>
      <x:c r="BR159" s="302" t="n"/>
      <x:c r="BS159" s="302" t="n"/>
      <x:c r="BT159" s="302" t="n"/>
      <x:c r="BU159" s="302" t="n"/>
      <x:c r="BV159" s="302" t="n"/>
      <x:c r="BW159" s="302" t="n"/>
      <x:c r="BX159" s="302" t="n"/>
      <x:c r="BY159" s="302" t="n"/>
      <x:c r="BZ159" s="302" t="n"/>
      <x:c r="CA159" s="302" t="n"/>
      <x:c r="CB159" s="302" t="n"/>
      <x:c r="CC159" s="302" t="n"/>
      <x:c r="CD159" s="302" t="n"/>
      <x:c r="CE159" s="302" t="n"/>
      <x:c r="CF159" s="302" t="n"/>
      <x:c r="CG159" s="302" t="n"/>
      <x:c r="CH159" s="302" t="n"/>
      <x:c r="CI159" s="302" t="n"/>
      <x:c r="CJ159" s="302" t="n"/>
      <x:c r="CK159" s="302" t="n"/>
      <x:c r="CL159" s="302" t="n"/>
      <x:c r="CM159" s="302" t="n"/>
      <x:c r="CN159" s="302" t="n"/>
      <x:c r="CO159" s="302" t="n"/>
      <x:c r="CP159" s="302" t="n"/>
      <x:c r="CQ159" s="302" t="n"/>
      <x:c r="CR159" s="302" t="n"/>
      <x:c r="CS159" s="302" t="n"/>
      <x:c r="CT159" s="302" t="n"/>
      <x:c r="CU159" s="302" t="n"/>
      <x:c r="CV159" s="302" t="n"/>
      <x:c r="CW159" s="302" t="n"/>
      <x:c r="CX159" s="302" t="n"/>
      <x:c r="CY159" s="302" t="n"/>
      <x:c r="CZ159" s="302" t="n"/>
      <x:c r="DA159" s="302" t="n"/>
      <x:c r="DB159" s="302" t="n"/>
      <x:c r="DC159" s="302" t="n"/>
      <x:c r="DD159" s="302" t="n"/>
      <x:c r="DE159" s="302" t="n"/>
      <x:c r="DF159" s="302" t="n"/>
      <x:c r="DG159" s="302" t="n"/>
      <x:c r="DH159" s="302" t="n"/>
      <x:c r="DI159" s="302" t="n"/>
      <x:c r="DJ159" s="302" t="n"/>
      <x:c r="DK159" s="302" t="n"/>
      <x:c r="DL159" s="302" t="n"/>
      <x:c r="DM159" s="302" t="n"/>
      <x:c r="DN159" s="302" t="n"/>
      <x:c r="DO159" s="302" t="n"/>
      <x:c r="DP159" s="302" t="n"/>
      <x:c r="DQ159" s="302" t="n"/>
      <x:c r="DR159" s="302" t="n"/>
      <x:c r="DS159" s="302" t="n"/>
      <x:c r="DT159" s="302" t="n"/>
      <x:c r="DU159" s="302" t="n"/>
      <x:c r="DV159" s="302" t="n"/>
      <x:c r="DW159" s="302" t="n"/>
      <x:c r="DX159" s="302" t="n"/>
      <x:c r="DY159" s="302" t="n"/>
      <x:c r="DZ159" s="302" t="n"/>
      <x:c r="EA159" s="302" t="n"/>
      <x:c r="EB159" s="302" t="n"/>
      <x:c r="EC159" s="302" t="n"/>
      <x:c r="ED159" s="302" t="n"/>
      <x:c r="EE159" s="302" t="n"/>
      <x:c r="EF159" s="302" t="n"/>
      <x:c r="EG159" s="302" t="n"/>
      <x:c r="EH159" s="302" t="n"/>
      <x:c r="EI159" s="302" t="n"/>
      <x:c r="EJ159" s="302" t="n"/>
      <x:c r="EK159" s="302" t="n"/>
      <x:c r="EL159" s="302" t="n"/>
      <x:c r="EM159" s="302" t="n"/>
      <x:c r="EN159" s="302" t="n"/>
      <x:c r="EO159" s="302" t="n"/>
      <x:c r="EP159" s="302" t="n"/>
      <x:c r="EQ159" s="302" t="n"/>
      <x:c r="ER159" s="302" t="n"/>
      <x:c r="ES159" s="302" t="n"/>
      <x:c r="ET159" s="302" t="n"/>
      <x:c r="EU159" s="302" t="n"/>
      <x:c r="EV159" s="302" t="n"/>
      <x:c r="EW159" s="302" t="n"/>
      <x:c r="EX159" s="302" t="n"/>
      <x:c r="EY159" s="302" t="n"/>
    </x:row>
    <x:row r="160" s="27" customFormat="1">
      <x:c r="A160" s="38" t="n"/>
      <x:c r="B160" s="37" t="n"/>
      <x:c r="C160" s="36" t="n">
        <x:f>E160*D$5</x:f>
        <x:v>0</x:v>
      </x:c>
      <x:c r="D160" s="20" t="n"/>
      <x:c r="E160" s="36" t="n">
        <x:f>SUM(G160:HS160)</x:f>
        <x:v>0</x:v>
      </x:c>
      <x:c r="F160" s="126" t="inlineStr">
        <x:is>
          <x:t xml:space="preserve"/>
        </x:is>
      </x:c>
      <x:c r="G160" s="302" t="n"/>
      <x:c r="H160" s="302" t="n"/>
      <x:c r="I160" s="302" t="n"/>
      <x:c r="J160" s="302" t="n"/>
      <x:c r="K160" s="302" t="n"/>
      <x:c r="L160" s="302" t="n"/>
      <x:c r="M160" s="302" t="n"/>
      <x:c r="N160" s="302" t="n"/>
      <x:c r="O160" s="302" t="n"/>
      <x:c r="P160" s="100" t="n"/>
      <x:c r="Q160" s="302" t="n"/>
      <x:c r="R160" s="302" t="n"/>
      <x:c r="S160" s="302" t="n"/>
      <x:c r="T160" s="302" t="n"/>
      <x:c r="U160" s="302" t="n"/>
      <x:c r="V160" s="302" t="n"/>
      <x:c r="W160" s="302" t="n"/>
      <x:c r="X160" s="302" t="n"/>
      <x:c r="Y160" s="100" t="n"/>
      <x:c r="Z160" s="100" t="n"/>
      <x:c r="AA160" s="100" t="n"/>
      <x:c r="AB160" s="100" t="n"/>
      <x:c r="AC160" s="100" t="n"/>
      <x:c r="AD160" s="100" t="n"/>
      <x:c r="AE160" s="100" t="n"/>
      <x:c r="AF160" s="302" t="n"/>
      <x:c r="AG160" s="100" t="n"/>
      <x:c r="AH160" s="302" t="n"/>
      <x:c r="AI160" s="100" t="n"/>
      <x:c r="AJ160" s="302" t="n"/>
      <x:c r="AK160" s="302" t="n"/>
      <x:c r="AL160" s="302" t="n"/>
      <x:c r="AM160" s="302" t="n"/>
      <x:c r="AN160" s="302" t="n"/>
      <x:c r="AO160" s="302" t="n"/>
      <x:c r="AP160" s="302" t="n"/>
      <x:c r="AQ160" s="302" t="n"/>
      <x:c r="AR160" s="302" t="n"/>
      <x:c r="AS160" s="302" t="n"/>
      <x:c r="AT160" s="302" t="n"/>
      <x:c r="AU160" s="302" t="n"/>
      <x:c r="AV160" s="302" t="n"/>
      <x:c r="AW160" s="302" t="n"/>
      <x:c r="AX160" s="302" t="n"/>
      <x:c r="AY160" s="302" t="n"/>
      <x:c r="AZ160" s="302" t="n"/>
      <x:c r="BA160" s="302" t="n"/>
      <x:c r="BB160" s="302" t="n"/>
      <x:c r="BC160" s="302" t="n"/>
      <x:c r="BD160" s="302" t="n"/>
      <x:c r="BE160" s="302" t="n"/>
      <x:c r="BF160" s="302" t="n"/>
      <x:c r="BG160" s="302" t="n"/>
      <x:c r="BH160" s="302" t="n"/>
      <x:c r="BI160" s="302" t="n"/>
      <x:c r="BJ160" s="302" t="n"/>
      <x:c r="BK160" s="302" t="n"/>
      <x:c r="BL160" s="302" t="n"/>
      <x:c r="BM160" s="302" t="n"/>
      <x:c r="BN160" s="302" t="n"/>
      <x:c r="BO160" s="302" t="n"/>
      <x:c r="BP160" s="302" t="n"/>
      <x:c r="BQ160" s="302" t="n"/>
      <x:c r="BR160" s="302" t="n"/>
      <x:c r="BS160" s="302" t="n"/>
      <x:c r="BT160" s="302" t="n"/>
      <x:c r="BU160" s="302" t="n"/>
      <x:c r="BV160" s="302" t="n"/>
      <x:c r="BW160" s="302" t="n"/>
      <x:c r="BX160" s="302" t="n"/>
      <x:c r="BY160" s="302" t="n"/>
      <x:c r="BZ160" s="302" t="n"/>
      <x:c r="CA160" s="302" t="n"/>
      <x:c r="CB160" s="302" t="n"/>
      <x:c r="CC160" s="302" t="n"/>
      <x:c r="CD160" s="302" t="n"/>
      <x:c r="CE160" s="302" t="n"/>
      <x:c r="CF160" s="302" t="n"/>
      <x:c r="CG160" s="302" t="n"/>
      <x:c r="CH160" s="302" t="n"/>
      <x:c r="CI160" s="302" t="n"/>
      <x:c r="CJ160" s="302" t="n"/>
      <x:c r="CK160" s="302" t="n"/>
      <x:c r="CL160" s="302" t="n"/>
      <x:c r="CM160" s="302" t="n"/>
      <x:c r="CN160" s="302" t="n"/>
      <x:c r="CO160" s="302" t="n"/>
      <x:c r="CP160" s="302" t="n"/>
      <x:c r="CQ160" s="302" t="n"/>
      <x:c r="CR160" s="302" t="n"/>
      <x:c r="CS160" s="302" t="n"/>
      <x:c r="CT160" s="302" t="n"/>
      <x:c r="CU160" s="302" t="n"/>
      <x:c r="CV160" s="302" t="n"/>
      <x:c r="CW160" s="302" t="n"/>
      <x:c r="CX160" s="302" t="n"/>
      <x:c r="CY160" s="302" t="n"/>
      <x:c r="CZ160" s="302" t="n"/>
      <x:c r="DA160" s="302" t="n"/>
      <x:c r="DB160" s="302" t="n"/>
      <x:c r="DC160" s="302" t="n"/>
      <x:c r="DD160" s="302" t="n"/>
      <x:c r="DE160" s="302" t="n"/>
      <x:c r="DF160" s="302" t="n"/>
      <x:c r="DG160" s="302" t="n"/>
      <x:c r="DH160" s="302" t="n"/>
      <x:c r="DI160" s="302" t="n"/>
      <x:c r="DJ160" s="302" t="n"/>
      <x:c r="DK160" s="302" t="n"/>
      <x:c r="DL160" s="302" t="n"/>
      <x:c r="DM160" s="302" t="n"/>
      <x:c r="DN160" s="302" t="n"/>
      <x:c r="DO160" s="302" t="n"/>
      <x:c r="DP160" s="302" t="n"/>
      <x:c r="DQ160" s="302" t="n"/>
      <x:c r="DR160" s="302" t="n"/>
      <x:c r="DS160" s="302" t="n"/>
      <x:c r="DT160" s="302" t="n"/>
      <x:c r="DU160" s="302" t="n"/>
      <x:c r="DV160" s="302" t="n"/>
      <x:c r="DW160" s="302" t="n"/>
      <x:c r="DX160" s="302" t="n"/>
      <x:c r="DY160" s="302" t="n"/>
      <x:c r="DZ160" s="302" t="n"/>
      <x:c r="EA160" s="302" t="n"/>
      <x:c r="EB160" s="302" t="n"/>
      <x:c r="EC160" s="302" t="n"/>
      <x:c r="ED160" s="302" t="n"/>
      <x:c r="EE160" s="302" t="n"/>
      <x:c r="EF160" s="302" t="n"/>
      <x:c r="EG160" s="302" t="n"/>
      <x:c r="EH160" s="302" t="n"/>
      <x:c r="EI160" s="302" t="n"/>
      <x:c r="EJ160" s="302" t="n"/>
      <x:c r="EK160" s="302" t="n"/>
      <x:c r="EL160" s="302" t="n"/>
      <x:c r="EM160" s="302" t="n"/>
      <x:c r="EN160" s="302" t="n"/>
      <x:c r="EO160" s="302" t="n"/>
      <x:c r="EP160" s="302" t="n"/>
      <x:c r="EQ160" s="302" t="n"/>
      <x:c r="ER160" s="302" t="n"/>
      <x:c r="ES160" s="302" t="n"/>
      <x:c r="ET160" s="302" t="n"/>
      <x:c r="EU160" s="302" t="n"/>
      <x:c r="EV160" s="302" t="n"/>
      <x:c r="EW160" s="302" t="n"/>
      <x:c r="EX160" s="302" t="n"/>
      <x:c r="EY160" s="302" t="n"/>
    </x:row>
    <x:row r="161" s="27" customFormat="1">
      <x:c r="A161" s="38" t="n"/>
      <x:c r="B161" s="37" t="n"/>
      <x:c r="C161" s="36" t="n">
        <x:f>E161*D$5</x:f>
        <x:v>0</x:v>
      </x:c>
      <x:c r="D161" s="20" t="n"/>
      <x:c r="E161" s="36" t="n">
        <x:f>SUM(G161:HS161)</x:f>
        <x:v>0</x:v>
      </x:c>
      <x:c r="F161" s="126" t="inlineStr">
        <x:is>
          <x:t xml:space="preserve"/>
        </x:is>
      </x:c>
      <x:c r="G161" s="302" t="n"/>
      <x:c r="H161" s="302" t="n"/>
      <x:c r="I161" s="302" t="n"/>
      <x:c r="J161" s="302" t="n"/>
      <x:c r="K161" s="302" t="n"/>
      <x:c r="L161" s="302" t="n"/>
      <x:c r="M161" s="302" t="n"/>
      <x:c r="N161" s="302" t="n"/>
      <x:c r="O161" s="302" t="n"/>
      <x:c r="P161" s="100" t="n"/>
      <x:c r="Q161" s="302" t="n"/>
      <x:c r="R161" s="302" t="n"/>
      <x:c r="S161" s="302" t="n"/>
      <x:c r="T161" s="302" t="n"/>
      <x:c r="U161" s="302" t="n"/>
      <x:c r="V161" s="302" t="n"/>
      <x:c r="W161" s="302" t="n"/>
      <x:c r="X161" s="302" t="n"/>
      <x:c r="Y161" s="100" t="n"/>
      <x:c r="Z161" s="100" t="n"/>
      <x:c r="AA161" s="100" t="n"/>
      <x:c r="AB161" s="100" t="n"/>
      <x:c r="AC161" s="100" t="n"/>
      <x:c r="AD161" s="100" t="n"/>
      <x:c r="AE161" s="100" t="n"/>
      <x:c r="AF161" s="302" t="n"/>
      <x:c r="AG161" s="100" t="n"/>
      <x:c r="AH161" s="302" t="n"/>
      <x:c r="AI161" s="100" t="n"/>
      <x:c r="AJ161" s="302" t="n"/>
      <x:c r="AK161" s="302" t="n"/>
      <x:c r="AL161" s="302" t="n"/>
      <x:c r="AM161" s="302" t="n"/>
      <x:c r="AN161" s="302" t="n"/>
      <x:c r="AO161" s="302" t="n"/>
      <x:c r="AP161" s="302" t="n"/>
      <x:c r="AQ161" s="302" t="n"/>
      <x:c r="AR161" s="302" t="n"/>
      <x:c r="AS161" s="302" t="n"/>
      <x:c r="AT161" s="302" t="n"/>
      <x:c r="AU161" s="302" t="n"/>
      <x:c r="AV161" s="302" t="n"/>
      <x:c r="AW161" s="302" t="n"/>
      <x:c r="AX161" s="302" t="n"/>
      <x:c r="AY161" s="302" t="n"/>
      <x:c r="AZ161" s="302" t="n"/>
      <x:c r="BA161" s="302" t="n"/>
      <x:c r="BB161" s="302" t="n"/>
      <x:c r="BC161" s="302" t="n"/>
      <x:c r="BD161" s="302" t="n"/>
      <x:c r="BE161" s="302" t="n"/>
      <x:c r="BF161" s="302" t="n"/>
      <x:c r="BG161" s="302" t="n"/>
      <x:c r="BH161" s="302" t="n"/>
      <x:c r="BI161" s="302" t="n"/>
      <x:c r="BJ161" s="302" t="n"/>
      <x:c r="BK161" s="302" t="n"/>
      <x:c r="BL161" s="302" t="n"/>
      <x:c r="BM161" s="302" t="n"/>
      <x:c r="BN161" s="302" t="n"/>
      <x:c r="BO161" s="302" t="n"/>
      <x:c r="BP161" s="302" t="n"/>
      <x:c r="BQ161" s="302" t="n"/>
      <x:c r="BR161" s="302" t="n"/>
      <x:c r="BS161" s="302" t="n"/>
      <x:c r="BT161" s="302" t="n"/>
      <x:c r="BU161" s="302" t="n"/>
      <x:c r="BV161" s="302" t="n"/>
      <x:c r="BW161" s="302" t="n"/>
      <x:c r="BX161" s="302" t="n"/>
      <x:c r="BY161" s="302" t="n"/>
      <x:c r="BZ161" s="302" t="n"/>
      <x:c r="CA161" s="302" t="n"/>
      <x:c r="CB161" s="302" t="n"/>
      <x:c r="CC161" s="302" t="n"/>
      <x:c r="CD161" s="302" t="n"/>
      <x:c r="CE161" s="302" t="n"/>
      <x:c r="CF161" s="302" t="n"/>
      <x:c r="CG161" s="302" t="n"/>
      <x:c r="CH161" s="302" t="n"/>
      <x:c r="CI161" s="302" t="n"/>
      <x:c r="CJ161" s="302" t="n"/>
      <x:c r="CK161" s="302" t="n"/>
      <x:c r="CL161" s="302" t="n"/>
      <x:c r="CM161" s="302" t="n"/>
      <x:c r="CN161" s="302" t="n"/>
      <x:c r="CO161" s="302" t="n"/>
      <x:c r="CP161" s="302" t="n"/>
      <x:c r="CQ161" s="302" t="n"/>
      <x:c r="CR161" s="302" t="n"/>
      <x:c r="CS161" s="302" t="n"/>
      <x:c r="CT161" s="302" t="n"/>
      <x:c r="CU161" s="302" t="n"/>
      <x:c r="CV161" s="302" t="n"/>
      <x:c r="CW161" s="302" t="n"/>
      <x:c r="CX161" s="302" t="n"/>
      <x:c r="CY161" s="302" t="n"/>
      <x:c r="CZ161" s="302" t="n"/>
      <x:c r="DA161" s="302" t="n"/>
      <x:c r="DB161" s="302" t="n"/>
      <x:c r="DC161" s="302" t="n"/>
      <x:c r="DD161" s="302" t="n"/>
      <x:c r="DE161" s="302" t="n"/>
      <x:c r="DF161" s="302" t="n"/>
      <x:c r="DG161" s="302" t="n"/>
      <x:c r="DH161" s="302" t="n"/>
      <x:c r="DI161" s="302" t="n"/>
      <x:c r="DJ161" s="302" t="n"/>
      <x:c r="DK161" s="302" t="n"/>
      <x:c r="DL161" s="302" t="n"/>
      <x:c r="DM161" s="302" t="n"/>
      <x:c r="DN161" s="302" t="n"/>
      <x:c r="DO161" s="302" t="n"/>
      <x:c r="DP161" s="302" t="n"/>
      <x:c r="DQ161" s="302" t="n"/>
      <x:c r="DR161" s="302" t="n"/>
      <x:c r="DS161" s="302" t="n"/>
      <x:c r="DT161" s="302" t="n"/>
      <x:c r="DU161" s="302" t="n"/>
      <x:c r="DV161" s="302" t="n"/>
      <x:c r="DW161" s="302" t="n"/>
      <x:c r="DX161" s="302" t="n"/>
      <x:c r="DY161" s="302" t="n"/>
      <x:c r="DZ161" s="302" t="n"/>
      <x:c r="EA161" s="302" t="n"/>
      <x:c r="EB161" s="302" t="n"/>
      <x:c r="EC161" s="302" t="n"/>
      <x:c r="ED161" s="302" t="n"/>
      <x:c r="EE161" s="302" t="n"/>
      <x:c r="EF161" s="302" t="n"/>
      <x:c r="EG161" s="302" t="n"/>
      <x:c r="EH161" s="302" t="n"/>
      <x:c r="EI161" s="302" t="n"/>
      <x:c r="EJ161" s="302" t="n"/>
      <x:c r="EK161" s="302" t="n"/>
      <x:c r="EL161" s="302" t="n"/>
      <x:c r="EM161" s="302" t="n"/>
      <x:c r="EN161" s="302" t="n"/>
      <x:c r="EO161" s="302" t="n"/>
      <x:c r="EP161" s="302" t="n"/>
      <x:c r="EQ161" s="302" t="n"/>
      <x:c r="ER161" s="302" t="n"/>
      <x:c r="ES161" s="302" t="n"/>
      <x:c r="ET161" s="302" t="n"/>
      <x:c r="EU161" s="302" t="n"/>
      <x:c r="EV161" s="302" t="n"/>
      <x:c r="EW161" s="302" t="n"/>
      <x:c r="EX161" s="302" t="n"/>
      <x:c r="EY161" s="302" t="n"/>
    </x:row>
    <x:row r="162" s="27" customFormat="1">
      <x:c r="A162" s="38" t="n"/>
      <x:c r="B162" s="37" t="n"/>
      <x:c r="C162" s="36" t="n">
        <x:f>E162*D$5</x:f>
        <x:v>0</x:v>
      </x:c>
      <x:c r="D162" s="20" t="n"/>
      <x:c r="E162" s="36" t="n">
        <x:f>SUM(G162:HS162)</x:f>
        <x:v>0</x:v>
      </x:c>
      <x:c r="F162" s="126" t="inlineStr">
        <x:is>
          <x:t xml:space="preserve"/>
        </x:is>
      </x:c>
      <x:c r="G162" s="302" t="n"/>
      <x:c r="H162" s="302" t="n"/>
      <x:c r="I162" s="302" t="n"/>
      <x:c r="J162" s="302" t="n"/>
      <x:c r="K162" s="302" t="n"/>
      <x:c r="L162" s="302" t="n"/>
      <x:c r="M162" s="302" t="n"/>
      <x:c r="N162" s="302" t="n"/>
      <x:c r="O162" s="302" t="n"/>
      <x:c r="P162" s="100" t="n"/>
      <x:c r="Q162" s="302" t="n"/>
      <x:c r="R162" s="302" t="n"/>
      <x:c r="S162" s="302" t="n"/>
      <x:c r="T162" s="302" t="n"/>
      <x:c r="U162" s="302" t="n"/>
      <x:c r="V162" s="302" t="n"/>
      <x:c r="W162" s="302" t="n"/>
      <x:c r="X162" s="302" t="n"/>
      <x:c r="Y162" s="100" t="n"/>
      <x:c r="Z162" s="100" t="n"/>
      <x:c r="AA162" s="100" t="n"/>
      <x:c r="AB162" s="100" t="n"/>
      <x:c r="AC162" s="100" t="n"/>
      <x:c r="AD162" s="100" t="n"/>
      <x:c r="AE162" s="100" t="n"/>
      <x:c r="AF162" s="302" t="n"/>
      <x:c r="AG162" s="100" t="n"/>
      <x:c r="AH162" s="302" t="n"/>
      <x:c r="AI162" s="100" t="n"/>
      <x:c r="AJ162" s="302" t="n"/>
      <x:c r="AK162" s="302" t="n"/>
      <x:c r="AL162" s="302" t="n"/>
      <x:c r="AM162" s="302" t="n"/>
      <x:c r="AN162" s="302" t="n"/>
      <x:c r="AO162" s="302" t="n"/>
      <x:c r="AP162" s="302" t="n"/>
      <x:c r="AQ162" s="302" t="n"/>
      <x:c r="AR162" s="302" t="n"/>
      <x:c r="AS162" s="302" t="n"/>
      <x:c r="AT162" s="302" t="n"/>
      <x:c r="AU162" s="302" t="n"/>
      <x:c r="AV162" s="302" t="n"/>
      <x:c r="AW162" s="302" t="n"/>
      <x:c r="AX162" s="302" t="n"/>
      <x:c r="AY162" s="302" t="n"/>
      <x:c r="AZ162" s="302" t="n"/>
      <x:c r="BA162" s="302" t="n"/>
      <x:c r="BB162" s="302" t="n"/>
      <x:c r="BC162" s="302" t="n"/>
      <x:c r="BD162" s="302" t="n"/>
      <x:c r="BE162" s="302" t="n"/>
      <x:c r="BF162" s="302" t="n"/>
      <x:c r="BG162" s="302" t="n"/>
      <x:c r="BH162" s="302" t="n"/>
      <x:c r="BI162" s="302" t="n"/>
      <x:c r="BJ162" s="302" t="n"/>
      <x:c r="BK162" s="302" t="n"/>
      <x:c r="BL162" s="302" t="n"/>
      <x:c r="BM162" s="302" t="n"/>
      <x:c r="BN162" s="302" t="n"/>
      <x:c r="BO162" s="302" t="n"/>
      <x:c r="BP162" s="302" t="n"/>
      <x:c r="BQ162" s="302" t="n"/>
      <x:c r="BR162" s="302" t="n"/>
      <x:c r="BS162" s="302" t="n"/>
      <x:c r="BT162" s="302" t="n"/>
      <x:c r="BU162" s="302" t="n"/>
      <x:c r="BV162" s="302" t="n"/>
      <x:c r="BW162" s="302" t="n"/>
      <x:c r="BX162" s="302" t="n"/>
      <x:c r="BY162" s="302" t="n"/>
      <x:c r="BZ162" s="302" t="n"/>
      <x:c r="CA162" s="302" t="n"/>
      <x:c r="CB162" s="302" t="n"/>
      <x:c r="CC162" s="302" t="n"/>
      <x:c r="CD162" s="302" t="n"/>
      <x:c r="CE162" s="302" t="n"/>
      <x:c r="CF162" s="302" t="n"/>
      <x:c r="CG162" s="302" t="n"/>
      <x:c r="CH162" s="302" t="n"/>
      <x:c r="CI162" s="302" t="n"/>
      <x:c r="CJ162" s="302" t="n"/>
      <x:c r="CK162" s="302" t="n"/>
      <x:c r="CL162" s="302" t="n"/>
      <x:c r="CM162" s="302" t="n"/>
      <x:c r="CN162" s="302" t="n"/>
      <x:c r="CO162" s="302" t="n"/>
      <x:c r="CP162" s="302" t="n"/>
      <x:c r="CQ162" s="302" t="n"/>
      <x:c r="CR162" s="302" t="n"/>
      <x:c r="CS162" s="302" t="n"/>
      <x:c r="CT162" s="302" t="n"/>
      <x:c r="CU162" s="302" t="n"/>
      <x:c r="CV162" s="302" t="n"/>
      <x:c r="CW162" s="302" t="n"/>
      <x:c r="CX162" s="302" t="n"/>
      <x:c r="CY162" s="302" t="n"/>
      <x:c r="CZ162" s="302" t="n"/>
      <x:c r="DA162" s="302" t="n"/>
      <x:c r="DB162" s="302" t="n"/>
      <x:c r="DC162" s="302" t="n"/>
      <x:c r="DD162" s="302" t="n"/>
      <x:c r="DE162" s="302" t="n"/>
      <x:c r="DF162" s="302" t="n"/>
      <x:c r="DG162" s="302" t="n"/>
      <x:c r="DH162" s="302" t="n"/>
      <x:c r="DI162" s="302" t="n"/>
      <x:c r="DJ162" s="302" t="n"/>
      <x:c r="DK162" s="302" t="n"/>
      <x:c r="DL162" s="302" t="n"/>
      <x:c r="DM162" s="302" t="n"/>
      <x:c r="DN162" s="302" t="n"/>
      <x:c r="DO162" s="302" t="n"/>
      <x:c r="DP162" s="302" t="n"/>
      <x:c r="DQ162" s="302" t="n"/>
      <x:c r="DR162" s="302" t="n"/>
      <x:c r="DS162" s="302" t="n"/>
      <x:c r="DT162" s="302" t="n"/>
      <x:c r="DU162" s="302" t="n"/>
      <x:c r="DV162" s="302" t="n"/>
      <x:c r="DW162" s="302" t="n"/>
      <x:c r="DX162" s="302" t="n"/>
      <x:c r="DY162" s="302" t="n"/>
      <x:c r="DZ162" s="302" t="n"/>
      <x:c r="EA162" s="302" t="n"/>
      <x:c r="EB162" s="302" t="n"/>
      <x:c r="EC162" s="302" t="n"/>
      <x:c r="ED162" s="302" t="n"/>
      <x:c r="EE162" s="302" t="n"/>
      <x:c r="EF162" s="302" t="n"/>
      <x:c r="EG162" s="302" t="n"/>
      <x:c r="EH162" s="302" t="n"/>
      <x:c r="EI162" s="302" t="n"/>
      <x:c r="EJ162" s="302" t="n"/>
      <x:c r="EK162" s="302" t="n"/>
      <x:c r="EL162" s="302" t="n"/>
      <x:c r="EM162" s="302" t="n"/>
      <x:c r="EN162" s="302" t="n"/>
      <x:c r="EO162" s="302" t="n"/>
      <x:c r="EP162" s="302" t="n"/>
      <x:c r="EQ162" s="302" t="n"/>
      <x:c r="ER162" s="302" t="n"/>
      <x:c r="ES162" s="302" t="n"/>
      <x:c r="ET162" s="302" t="n"/>
      <x:c r="EU162" s="302" t="n"/>
      <x:c r="EV162" s="302" t="n"/>
      <x:c r="EW162" s="302" t="n"/>
      <x:c r="EX162" s="302" t="n"/>
      <x:c r="EY162" s="302" t="n"/>
    </x:row>
    <x:row r="163" s="27" customFormat="1">
      <x:c r="A163" s="38" t="n"/>
      <x:c r="B163" s="37" t="n"/>
      <x:c r="C163" s="36" t="n">
        <x:f>E163*D$5</x:f>
        <x:v>0</x:v>
      </x:c>
      <x:c r="D163" s="20" t="n"/>
      <x:c r="E163" s="36" t="n">
        <x:f>SUM(G163:HS163)</x:f>
        <x:v>0</x:v>
      </x:c>
      <x:c r="F163" s="126" t="inlineStr">
        <x:is>
          <x:t xml:space="preserve"/>
        </x:is>
      </x:c>
      <x:c r="G163" s="302" t="n"/>
      <x:c r="H163" s="302" t="n"/>
      <x:c r="I163" s="302" t="n"/>
      <x:c r="J163" s="302" t="n"/>
      <x:c r="K163" s="302" t="n"/>
      <x:c r="L163" s="302" t="n"/>
      <x:c r="M163" s="302" t="n"/>
      <x:c r="N163" s="302" t="n"/>
      <x:c r="O163" s="302" t="n"/>
      <x:c r="P163" s="100" t="n"/>
      <x:c r="Q163" s="302" t="n"/>
      <x:c r="R163" s="302" t="n"/>
      <x:c r="S163" s="302" t="n"/>
      <x:c r="T163" s="302" t="n"/>
      <x:c r="U163" s="302" t="n"/>
      <x:c r="V163" s="302" t="n"/>
      <x:c r="W163" s="302" t="n"/>
      <x:c r="X163" s="302" t="n"/>
      <x:c r="Y163" s="100" t="n"/>
      <x:c r="Z163" s="100" t="n"/>
      <x:c r="AA163" s="100" t="n"/>
      <x:c r="AB163" s="100" t="n"/>
      <x:c r="AC163" s="100" t="n"/>
      <x:c r="AD163" s="100" t="n"/>
      <x:c r="AE163" s="100" t="n"/>
      <x:c r="AF163" s="302" t="n"/>
      <x:c r="AG163" s="100" t="n"/>
      <x:c r="AH163" s="302" t="n"/>
      <x:c r="AI163" s="100" t="n"/>
      <x:c r="AJ163" s="302" t="n"/>
      <x:c r="AK163" s="302" t="n"/>
      <x:c r="AL163" s="302" t="n"/>
      <x:c r="AM163" s="302" t="n"/>
      <x:c r="AN163" s="302" t="n"/>
      <x:c r="AO163" s="302" t="n"/>
      <x:c r="AP163" s="302" t="n"/>
      <x:c r="AQ163" s="302" t="n"/>
      <x:c r="AR163" s="302" t="n"/>
      <x:c r="AS163" s="302" t="n"/>
      <x:c r="AT163" s="302" t="n"/>
      <x:c r="AU163" s="302" t="n"/>
      <x:c r="AV163" s="302" t="n"/>
      <x:c r="AW163" s="302" t="n"/>
      <x:c r="AX163" s="302" t="n"/>
      <x:c r="AY163" s="302" t="n"/>
      <x:c r="AZ163" s="302" t="n"/>
      <x:c r="BA163" s="302" t="n"/>
      <x:c r="BB163" s="302" t="n"/>
      <x:c r="BC163" s="302" t="n"/>
      <x:c r="BD163" s="302" t="n"/>
      <x:c r="BE163" s="302" t="n"/>
      <x:c r="BF163" s="302" t="n"/>
      <x:c r="BG163" s="302" t="n"/>
      <x:c r="BH163" s="302" t="n"/>
      <x:c r="BI163" s="302" t="n"/>
      <x:c r="BJ163" s="302" t="n"/>
      <x:c r="BK163" s="302" t="n"/>
      <x:c r="BL163" s="302" t="n"/>
      <x:c r="BM163" s="302" t="n"/>
      <x:c r="BN163" s="302" t="n"/>
      <x:c r="BO163" s="302" t="n"/>
      <x:c r="BP163" s="302" t="n"/>
      <x:c r="BQ163" s="302" t="n"/>
      <x:c r="BR163" s="302" t="n"/>
      <x:c r="BS163" s="302" t="n"/>
      <x:c r="BT163" s="302" t="n"/>
      <x:c r="BU163" s="302" t="n"/>
      <x:c r="BV163" s="302" t="n"/>
      <x:c r="BW163" s="302" t="n"/>
      <x:c r="BX163" s="302" t="n"/>
      <x:c r="BY163" s="302" t="n"/>
      <x:c r="BZ163" s="302" t="n"/>
      <x:c r="CA163" s="302" t="n"/>
      <x:c r="CB163" s="302" t="n"/>
      <x:c r="CC163" s="302" t="n"/>
      <x:c r="CD163" s="302" t="n"/>
      <x:c r="CE163" s="302" t="n"/>
      <x:c r="CF163" s="302" t="n"/>
      <x:c r="CG163" s="302" t="n"/>
      <x:c r="CH163" s="302" t="n"/>
      <x:c r="CI163" s="302" t="n"/>
      <x:c r="CJ163" s="302" t="n"/>
      <x:c r="CK163" s="302" t="n"/>
      <x:c r="CL163" s="302" t="n"/>
      <x:c r="CM163" s="302" t="n"/>
      <x:c r="CN163" s="302" t="n"/>
      <x:c r="CO163" s="302" t="n"/>
      <x:c r="CP163" s="302" t="n"/>
      <x:c r="CQ163" s="302" t="n"/>
      <x:c r="CR163" s="302" t="n"/>
      <x:c r="CS163" s="302" t="n"/>
      <x:c r="CT163" s="302" t="n"/>
      <x:c r="CU163" s="302" t="n"/>
      <x:c r="CV163" s="302" t="n"/>
      <x:c r="CW163" s="302" t="n"/>
      <x:c r="CX163" s="302" t="n"/>
      <x:c r="CY163" s="302" t="n"/>
      <x:c r="CZ163" s="302" t="n"/>
      <x:c r="DA163" s="302" t="n"/>
      <x:c r="DB163" s="302" t="n"/>
      <x:c r="DC163" s="302" t="n"/>
      <x:c r="DD163" s="302" t="n"/>
      <x:c r="DE163" s="302" t="n"/>
      <x:c r="DF163" s="302" t="n"/>
      <x:c r="DG163" s="302" t="n"/>
      <x:c r="DH163" s="302" t="n"/>
      <x:c r="DI163" s="302" t="n"/>
      <x:c r="DJ163" s="302" t="n"/>
      <x:c r="DK163" s="302" t="n"/>
      <x:c r="DL163" s="302" t="n"/>
      <x:c r="DM163" s="302" t="n"/>
      <x:c r="DN163" s="302" t="n"/>
      <x:c r="DO163" s="302" t="n"/>
      <x:c r="DP163" s="302" t="n"/>
      <x:c r="DQ163" s="302" t="n"/>
      <x:c r="DR163" s="302" t="n"/>
      <x:c r="DS163" s="302" t="n"/>
      <x:c r="DT163" s="302" t="n"/>
      <x:c r="DU163" s="302" t="n"/>
      <x:c r="DV163" s="302" t="n"/>
      <x:c r="DW163" s="302" t="n"/>
      <x:c r="DX163" s="302" t="n"/>
      <x:c r="DY163" s="302" t="n"/>
      <x:c r="DZ163" s="302" t="n"/>
      <x:c r="EA163" s="302" t="n"/>
      <x:c r="EB163" s="302" t="n"/>
      <x:c r="EC163" s="302" t="n"/>
      <x:c r="ED163" s="302" t="n"/>
      <x:c r="EE163" s="302" t="n"/>
      <x:c r="EF163" s="302" t="n"/>
      <x:c r="EG163" s="302" t="n"/>
      <x:c r="EH163" s="302" t="n"/>
      <x:c r="EI163" s="302" t="n"/>
      <x:c r="EJ163" s="302" t="n"/>
      <x:c r="EK163" s="302" t="n"/>
      <x:c r="EL163" s="302" t="n"/>
      <x:c r="EM163" s="302" t="n"/>
      <x:c r="EN163" s="302" t="n"/>
      <x:c r="EO163" s="302" t="n"/>
      <x:c r="EP163" s="302" t="n"/>
      <x:c r="EQ163" s="302" t="n"/>
      <x:c r="ER163" s="302" t="n"/>
      <x:c r="ES163" s="302" t="n"/>
      <x:c r="ET163" s="302" t="n"/>
      <x:c r="EU163" s="302" t="n"/>
      <x:c r="EV163" s="302" t="n"/>
      <x:c r="EW163" s="302" t="n"/>
      <x:c r="EX163" s="302" t="n"/>
      <x:c r="EY163" s="302" t="n"/>
    </x:row>
    <x:row r="164" s="27" customFormat="1">
      <x:c r="A164" s="38" t="n"/>
      <x:c r="B164" s="37" t="n"/>
      <x:c r="C164" s="36" t="n">
        <x:f>E164*D$5</x:f>
        <x:v>0</x:v>
      </x:c>
      <x:c r="D164" s="20" t="n"/>
      <x:c r="E164" s="36" t="n">
        <x:f>SUM(G164:HS164)</x:f>
        <x:v>0</x:v>
      </x:c>
      <x:c r="F164" s="126" t="inlineStr">
        <x:is>
          <x:t xml:space="preserve"/>
        </x:is>
      </x:c>
      <x:c r="G164" s="302" t="n"/>
      <x:c r="H164" s="302" t="n"/>
      <x:c r="I164" s="302" t="n"/>
      <x:c r="J164" s="302" t="n"/>
      <x:c r="K164" s="302" t="n"/>
      <x:c r="L164" s="302" t="n"/>
      <x:c r="M164" s="302" t="n"/>
      <x:c r="N164" s="302" t="n"/>
      <x:c r="O164" s="302" t="n"/>
      <x:c r="P164" s="100" t="n"/>
      <x:c r="Q164" s="302" t="n"/>
      <x:c r="R164" s="302" t="n"/>
      <x:c r="S164" s="302" t="n"/>
      <x:c r="T164" s="302" t="n"/>
      <x:c r="U164" s="302" t="n"/>
      <x:c r="V164" s="302" t="n"/>
      <x:c r="W164" s="302" t="n"/>
      <x:c r="X164" s="302" t="n"/>
      <x:c r="Y164" s="100" t="n"/>
      <x:c r="Z164" s="100" t="n"/>
      <x:c r="AA164" s="100" t="n"/>
      <x:c r="AB164" s="100" t="n"/>
      <x:c r="AC164" s="100" t="n"/>
      <x:c r="AD164" s="100" t="n"/>
      <x:c r="AE164" s="100" t="n"/>
      <x:c r="AF164" s="302" t="n"/>
      <x:c r="AG164" s="100" t="n"/>
      <x:c r="AH164" s="302" t="n"/>
      <x:c r="AI164" s="100" t="n"/>
      <x:c r="AJ164" s="302" t="n"/>
      <x:c r="AK164" s="302" t="n"/>
      <x:c r="AL164" s="302" t="n"/>
      <x:c r="AM164" s="302" t="n"/>
      <x:c r="AN164" s="302" t="n"/>
      <x:c r="AO164" s="302" t="n"/>
      <x:c r="AP164" s="302" t="n"/>
      <x:c r="AQ164" s="302" t="n"/>
      <x:c r="AR164" s="302" t="n"/>
      <x:c r="AS164" s="302" t="n"/>
      <x:c r="AT164" s="302" t="n"/>
      <x:c r="AU164" s="302" t="n"/>
      <x:c r="AV164" s="302" t="n"/>
      <x:c r="AW164" s="302" t="n"/>
      <x:c r="AX164" s="302" t="n"/>
      <x:c r="AY164" s="302" t="n"/>
      <x:c r="AZ164" s="302" t="n"/>
      <x:c r="BA164" s="302" t="n"/>
      <x:c r="BB164" s="302" t="n"/>
      <x:c r="BC164" s="302" t="n"/>
      <x:c r="BD164" s="302" t="n"/>
      <x:c r="BE164" s="302" t="n"/>
      <x:c r="BF164" s="302" t="n"/>
      <x:c r="BG164" s="302" t="n"/>
      <x:c r="BH164" s="302" t="n"/>
      <x:c r="BI164" s="302" t="n"/>
      <x:c r="BJ164" s="302" t="n"/>
      <x:c r="BK164" s="302" t="n"/>
      <x:c r="BL164" s="302" t="n"/>
      <x:c r="BM164" s="302" t="n"/>
      <x:c r="BN164" s="302" t="n"/>
      <x:c r="BO164" s="302" t="n"/>
      <x:c r="BP164" s="302" t="n"/>
      <x:c r="BQ164" s="302" t="n"/>
      <x:c r="BR164" s="302" t="n"/>
      <x:c r="BS164" s="302" t="n"/>
      <x:c r="BT164" s="302" t="n"/>
      <x:c r="BU164" s="302" t="n"/>
      <x:c r="BV164" s="302" t="n"/>
      <x:c r="BW164" s="302" t="n"/>
      <x:c r="BX164" s="302" t="n"/>
      <x:c r="BY164" s="302" t="n"/>
      <x:c r="BZ164" s="302" t="n"/>
      <x:c r="CA164" s="302" t="n"/>
      <x:c r="CB164" s="302" t="n"/>
      <x:c r="CC164" s="302" t="n"/>
      <x:c r="CD164" s="302" t="n"/>
      <x:c r="CE164" s="302" t="n"/>
      <x:c r="CF164" s="302" t="n"/>
      <x:c r="CG164" s="302" t="n"/>
      <x:c r="CH164" s="302" t="n"/>
      <x:c r="CI164" s="302" t="n"/>
      <x:c r="CJ164" s="302" t="n"/>
      <x:c r="CK164" s="302" t="n"/>
      <x:c r="CL164" s="302" t="n"/>
      <x:c r="CM164" s="302" t="n"/>
      <x:c r="CN164" s="302" t="n"/>
      <x:c r="CO164" s="302" t="n"/>
      <x:c r="CP164" s="302" t="n"/>
      <x:c r="CQ164" s="302" t="n"/>
      <x:c r="CR164" s="302" t="n"/>
      <x:c r="CS164" s="302" t="n"/>
      <x:c r="CT164" s="302" t="n"/>
      <x:c r="CU164" s="302" t="n"/>
      <x:c r="CV164" s="302" t="n"/>
      <x:c r="CW164" s="302" t="n"/>
      <x:c r="CX164" s="302" t="n"/>
      <x:c r="CY164" s="302" t="n"/>
      <x:c r="CZ164" s="302" t="n"/>
      <x:c r="DA164" s="302" t="n"/>
      <x:c r="DB164" s="302" t="n"/>
      <x:c r="DC164" s="302" t="n"/>
      <x:c r="DD164" s="302" t="n"/>
      <x:c r="DE164" s="302" t="n"/>
      <x:c r="DF164" s="302" t="n"/>
      <x:c r="DG164" s="302" t="n"/>
      <x:c r="DH164" s="302" t="n"/>
      <x:c r="DI164" s="302" t="n"/>
      <x:c r="DJ164" s="302" t="n"/>
      <x:c r="DK164" s="302" t="n"/>
      <x:c r="DL164" s="302" t="n"/>
      <x:c r="DM164" s="302" t="n"/>
      <x:c r="DN164" s="302" t="n"/>
      <x:c r="DO164" s="302" t="n"/>
      <x:c r="DP164" s="302" t="n"/>
      <x:c r="DQ164" s="302" t="n"/>
      <x:c r="DR164" s="302" t="n"/>
      <x:c r="DS164" s="302" t="n"/>
      <x:c r="DT164" s="302" t="n"/>
      <x:c r="DU164" s="302" t="n"/>
      <x:c r="DV164" s="302" t="n"/>
      <x:c r="DW164" s="302" t="n"/>
      <x:c r="DX164" s="302" t="n"/>
      <x:c r="DY164" s="302" t="n"/>
      <x:c r="DZ164" s="302" t="n"/>
      <x:c r="EA164" s="302" t="n"/>
      <x:c r="EB164" s="302" t="n"/>
      <x:c r="EC164" s="302" t="n"/>
      <x:c r="ED164" s="302" t="n"/>
      <x:c r="EE164" s="302" t="n"/>
      <x:c r="EF164" s="302" t="n"/>
      <x:c r="EG164" s="302" t="n"/>
      <x:c r="EH164" s="302" t="n"/>
      <x:c r="EI164" s="302" t="n"/>
      <x:c r="EJ164" s="302" t="n"/>
      <x:c r="EK164" s="302" t="n"/>
      <x:c r="EL164" s="302" t="n"/>
      <x:c r="EM164" s="302" t="n"/>
      <x:c r="EN164" s="302" t="n"/>
      <x:c r="EO164" s="302" t="n"/>
      <x:c r="EP164" s="302" t="n"/>
      <x:c r="EQ164" s="302" t="n"/>
      <x:c r="ER164" s="302" t="n"/>
      <x:c r="ES164" s="302" t="n"/>
      <x:c r="ET164" s="302" t="n"/>
      <x:c r="EU164" s="302" t="n"/>
      <x:c r="EV164" s="302" t="n"/>
      <x:c r="EW164" s="302" t="n"/>
      <x:c r="EX164" s="302" t="n"/>
      <x:c r="EY164" s="302" t="n"/>
    </x:row>
    <x:row r="165" s="27" customFormat="1">
      <x:c r="A165" s="38" t="n"/>
      <x:c r="B165" s="37" t="n"/>
      <x:c r="C165" s="36" t="n">
        <x:f>E165*D$5</x:f>
        <x:v>0</x:v>
      </x:c>
      <x:c r="D165" s="20" t="n"/>
      <x:c r="E165" s="36" t="n">
        <x:f>SUM(G165:HS165)</x:f>
        <x:v>0</x:v>
      </x:c>
      <x:c r="F165" s="126" t="inlineStr">
        <x:is>
          <x:t xml:space="preserve"/>
        </x:is>
      </x:c>
      <x:c r="G165" s="302" t="n"/>
      <x:c r="H165" s="302" t="n"/>
      <x:c r="I165" s="302" t="n"/>
      <x:c r="J165" s="302" t="n"/>
      <x:c r="K165" s="302" t="n"/>
      <x:c r="L165" s="302" t="n"/>
      <x:c r="M165" s="302" t="n"/>
      <x:c r="N165" s="302" t="n"/>
      <x:c r="O165" s="302" t="n"/>
      <x:c r="P165" s="100" t="n"/>
      <x:c r="Q165" s="302" t="n"/>
      <x:c r="R165" s="302" t="n"/>
      <x:c r="S165" s="302" t="n"/>
      <x:c r="T165" s="302" t="n"/>
      <x:c r="U165" s="302" t="n"/>
      <x:c r="V165" s="302" t="n"/>
      <x:c r="W165" s="302" t="n"/>
      <x:c r="X165" s="302" t="n"/>
      <x:c r="Y165" s="100" t="n"/>
      <x:c r="Z165" s="100" t="n"/>
      <x:c r="AA165" s="100" t="n"/>
      <x:c r="AB165" s="100" t="n"/>
      <x:c r="AC165" s="100" t="n"/>
      <x:c r="AD165" s="100" t="n"/>
      <x:c r="AE165" s="100" t="n"/>
      <x:c r="AF165" s="302" t="n"/>
      <x:c r="AG165" s="100" t="n"/>
      <x:c r="AH165" s="302" t="n"/>
      <x:c r="AI165" s="100" t="n"/>
      <x:c r="AJ165" s="302" t="n"/>
      <x:c r="AK165" s="302" t="n"/>
      <x:c r="AL165" s="302" t="n"/>
      <x:c r="AM165" s="302" t="n"/>
      <x:c r="AN165" s="302" t="n"/>
      <x:c r="AO165" s="302" t="n"/>
      <x:c r="AP165" s="302" t="n"/>
      <x:c r="AQ165" s="302" t="n"/>
      <x:c r="AR165" s="302" t="n"/>
      <x:c r="AS165" s="302" t="n"/>
      <x:c r="AT165" s="302" t="n"/>
      <x:c r="AU165" s="302" t="n"/>
      <x:c r="AV165" s="302" t="n"/>
      <x:c r="AW165" s="302" t="n"/>
      <x:c r="AX165" s="302" t="n"/>
      <x:c r="AY165" s="302" t="n"/>
      <x:c r="AZ165" s="302" t="n"/>
      <x:c r="BA165" s="302" t="n"/>
      <x:c r="BB165" s="302" t="n"/>
      <x:c r="BC165" s="302" t="n"/>
      <x:c r="BD165" s="302" t="n"/>
      <x:c r="BE165" s="302" t="n"/>
      <x:c r="BF165" s="302" t="n"/>
      <x:c r="BG165" s="302" t="n"/>
      <x:c r="BH165" s="302" t="n"/>
      <x:c r="BI165" s="302" t="n"/>
      <x:c r="BJ165" s="302" t="n"/>
      <x:c r="BK165" s="302" t="n"/>
      <x:c r="BL165" s="302" t="n"/>
      <x:c r="BM165" s="302" t="n"/>
      <x:c r="BN165" s="302" t="n"/>
      <x:c r="BO165" s="302" t="n"/>
      <x:c r="BP165" s="302" t="n"/>
      <x:c r="BQ165" s="302" t="n"/>
      <x:c r="BR165" s="302" t="n"/>
      <x:c r="BS165" s="302" t="n"/>
      <x:c r="BT165" s="302" t="n"/>
      <x:c r="BU165" s="302" t="n"/>
      <x:c r="BV165" s="302" t="n"/>
      <x:c r="BW165" s="302" t="n"/>
      <x:c r="BX165" s="302" t="n"/>
      <x:c r="BY165" s="302" t="n"/>
      <x:c r="BZ165" s="302" t="n"/>
      <x:c r="CA165" s="302" t="n"/>
      <x:c r="CB165" s="302" t="n"/>
      <x:c r="CC165" s="302" t="n"/>
      <x:c r="CD165" s="302" t="n"/>
      <x:c r="CE165" s="302" t="n"/>
      <x:c r="CF165" s="302" t="n"/>
      <x:c r="CG165" s="302" t="n"/>
      <x:c r="CH165" s="302" t="n"/>
      <x:c r="CI165" s="302" t="n"/>
      <x:c r="CJ165" s="302" t="n"/>
      <x:c r="CK165" s="302" t="n"/>
      <x:c r="CL165" s="302" t="n"/>
      <x:c r="CM165" s="302" t="n"/>
      <x:c r="CN165" s="302" t="n"/>
      <x:c r="CO165" s="302" t="n"/>
      <x:c r="CP165" s="302" t="n"/>
      <x:c r="CQ165" s="302" t="n"/>
      <x:c r="CR165" s="302" t="n"/>
      <x:c r="CS165" s="302" t="n"/>
      <x:c r="CT165" s="302" t="n"/>
      <x:c r="CU165" s="302" t="n"/>
      <x:c r="CV165" s="302" t="n"/>
      <x:c r="CW165" s="302" t="n"/>
      <x:c r="CX165" s="302" t="n"/>
      <x:c r="CY165" s="302" t="n"/>
      <x:c r="CZ165" s="302" t="n"/>
      <x:c r="DA165" s="302" t="n"/>
      <x:c r="DB165" s="302" t="n"/>
      <x:c r="DC165" s="302" t="n"/>
      <x:c r="DD165" s="302" t="n"/>
      <x:c r="DE165" s="302" t="n"/>
      <x:c r="DF165" s="302" t="n"/>
      <x:c r="DG165" s="302" t="n"/>
      <x:c r="DH165" s="302" t="n"/>
      <x:c r="DI165" s="302" t="n"/>
      <x:c r="DJ165" s="302" t="n"/>
      <x:c r="DK165" s="302" t="n"/>
      <x:c r="DL165" s="302" t="n"/>
      <x:c r="DM165" s="302" t="n"/>
      <x:c r="DN165" s="302" t="n"/>
      <x:c r="DO165" s="302" t="n"/>
      <x:c r="DP165" s="302" t="n"/>
      <x:c r="DQ165" s="302" t="n"/>
      <x:c r="DR165" s="302" t="n"/>
      <x:c r="DS165" s="302" t="n"/>
      <x:c r="DT165" s="302" t="n"/>
      <x:c r="DU165" s="302" t="n"/>
      <x:c r="DV165" s="302" t="n"/>
      <x:c r="DW165" s="302" t="n"/>
      <x:c r="DX165" s="302" t="n"/>
      <x:c r="DY165" s="302" t="n"/>
      <x:c r="DZ165" s="302" t="n"/>
      <x:c r="EA165" s="302" t="n"/>
      <x:c r="EB165" s="302" t="n"/>
      <x:c r="EC165" s="302" t="n"/>
      <x:c r="ED165" s="302" t="n"/>
      <x:c r="EE165" s="302" t="n"/>
      <x:c r="EF165" s="302" t="n"/>
      <x:c r="EG165" s="302" t="n"/>
      <x:c r="EH165" s="302" t="n"/>
      <x:c r="EI165" s="302" t="n"/>
      <x:c r="EJ165" s="302" t="n"/>
      <x:c r="EK165" s="302" t="n"/>
      <x:c r="EL165" s="302" t="n"/>
      <x:c r="EM165" s="302" t="n"/>
      <x:c r="EN165" s="302" t="n"/>
      <x:c r="EO165" s="302" t="n"/>
      <x:c r="EP165" s="302" t="n"/>
      <x:c r="EQ165" s="302" t="n"/>
      <x:c r="ER165" s="302" t="n"/>
      <x:c r="ES165" s="302" t="n"/>
      <x:c r="ET165" s="302" t="n"/>
      <x:c r="EU165" s="302" t="n"/>
      <x:c r="EV165" s="302" t="n"/>
      <x:c r="EW165" s="302" t="n"/>
      <x:c r="EX165" s="302" t="n"/>
      <x:c r="EY165" s="302" t="n"/>
    </x:row>
    <x:row r="166" s="27" customFormat="1">
      <x:c r="A166" s="38" t="n"/>
      <x:c r="B166" s="37" t="n"/>
      <x:c r="C166" s="36" t="n">
        <x:f>E166*D$5</x:f>
        <x:v>0</x:v>
      </x:c>
      <x:c r="D166" s="20" t="n"/>
      <x:c r="E166" s="36" t="n">
        <x:f>SUM(G166:HS166)</x:f>
        <x:v>0</x:v>
      </x:c>
      <x:c r="F166" s="126" t="inlineStr">
        <x:is>
          <x:t xml:space="preserve"/>
        </x:is>
      </x:c>
      <x:c r="G166" s="302" t="n"/>
      <x:c r="H166" s="302" t="n"/>
      <x:c r="I166" s="302" t="n"/>
      <x:c r="J166" s="302" t="n"/>
      <x:c r="K166" s="302" t="n"/>
      <x:c r="L166" s="302" t="n"/>
      <x:c r="M166" s="302" t="n"/>
      <x:c r="N166" s="302" t="n"/>
      <x:c r="O166" s="302" t="n"/>
      <x:c r="P166" s="100" t="n"/>
      <x:c r="Q166" s="302" t="n"/>
      <x:c r="R166" s="302" t="n"/>
      <x:c r="S166" s="302" t="n"/>
      <x:c r="T166" s="302" t="n"/>
      <x:c r="U166" s="302" t="n"/>
      <x:c r="V166" s="302" t="n"/>
      <x:c r="W166" s="302" t="n"/>
      <x:c r="X166" s="302" t="n"/>
      <x:c r="Y166" s="100" t="n"/>
      <x:c r="Z166" s="100" t="n"/>
      <x:c r="AA166" s="100" t="n"/>
      <x:c r="AB166" s="100" t="n"/>
      <x:c r="AC166" s="100" t="n"/>
      <x:c r="AD166" s="100" t="n"/>
      <x:c r="AE166" s="100" t="n"/>
      <x:c r="AF166" s="302" t="n"/>
      <x:c r="AG166" s="100" t="n"/>
      <x:c r="AH166" s="302" t="n"/>
      <x:c r="AI166" s="100" t="n"/>
      <x:c r="AJ166" s="302" t="n"/>
      <x:c r="AK166" s="302" t="n"/>
      <x:c r="AL166" s="302" t="n"/>
      <x:c r="AM166" s="302" t="n"/>
      <x:c r="AN166" s="302" t="n"/>
      <x:c r="AO166" s="302" t="n"/>
      <x:c r="AP166" s="302" t="n"/>
      <x:c r="AQ166" s="302" t="n"/>
      <x:c r="AR166" s="302" t="n"/>
      <x:c r="AS166" s="302" t="n"/>
      <x:c r="AT166" s="302" t="n"/>
      <x:c r="AU166" s="302" t="n"/>
      <x:c r="AV166" s="302" t="n"/>
      <x:c r="AW166" s="302" t="n"/>
      <x:c r="AX166" s="302" t="n"/>
      <x:c r="AY166" s="302" t="n"/>
      <x:c r="AZ166" s="302" t="n"/>
      <x:c r="BA166" s="302" t="n"/>
      <x:c r="BB166" s="302" t="n"/>
      <x:c r="BC166" s="302" t="n"/>
      <x:c r="BD166" s="302" t="n"/>
      <x:c r="BE166" s="302" t="n"/>
      <x:c r="BF166" s="302" t="n"/>
      <x:c r="BG166" s="302" t="n"/>
      <x:c r="BH166" s="302" t="n"/>
      <x:c r="BI166" s="302" t="n"/>
      <x:c r="BJ166" s="302" t="n"/>
      <x:c r="BK166" s="302" t="n"/>
      <x:c r="BL166" s="302" t="n"/>
      <x:c r="BM166" s="302" t="n"/>
      <x:c r="BN166" s="302" t="n"/>
      <x:c r="BO166" s="302" t="n"/>
      <x:c r="BP166" s="302" t="n"/>
      <x:c r="BQ166" s="302" t="n"/>
      <x:c r="BR166" s="302" t="n"/>
      <x:c r="BS166" s="302" t="n"/>
      <x:c r="BT166" s="302" t="n"/>
      <x:c r="BU166" s="302" t="n"/>
      <x:c r="BV166" s="302" t="n"/>
      <x:c r="BW166" s="302" t="n"/>
      <x:c r="BX166" s="302" t="n"/>
      <x:c r="BY166" s="302" t="n"/>
      <x:c r="BZ166" s="302" t="n"/>
      <x:c r="CA166" s="302" t="n"/>
      <x:c r="CB166" s="302" t="n"/>
      <x:c r="CC166" s="302" t="n"/>
      <x:c r="CD166" s="302" t="n"/>
      <x:c r="CE166" s="302" t="n"/>
      <x:c r="CF166" s="302" t="n"/>
      <x:c r="CG166" s="302" t="n"/>
      <x:c r="CH166" s="302" t="n"/>
      <x:c r="CI166" s="302" t="n"/>
      <x:c r="CJ166" s="302" t="n"/>
      <x:c r="CK166" s="302" t="n"/>
      <x:c r="CL166" s="302" t="n"/>
      <x:c r="CM166" s="302" t="n"/>
      <x:c r="CN166" s="302" t="n"/>
      <x:c r="CO166" s="302" t="n"/>
      <x:c r="CP166" s="302" t="n"/>
      <x:c r="CQ166" s="302" t="n"/>
      <x:c r="CR166" s="302" t="n"/>
      <x:c r="CS166" s="302" t="n"/>
      <x:c r="CT166" s="302" t="n"/>
      <x:c r="CU166" s="302" t="n"/>
      <x:c r="CV166" s="302" t="n"/>
      <x:c r="CW166" s="302" t="n"/>
      <x:c r="CX166" s="302" t="n"/>
      <x:c r="CY166" s="302" t="n"/>
      <x:c r="CZ166" s="302" t="n"/>
      <x:c r="DA166" s="302" t="n"/>
      <x:c r="DB166" s="302" t="n"/>
      <x:c r="DC166" s="302" t="n"/>
      <x:c r="DD166" s="302" t="n"/>
      <x:c r="DE166" s="302" t="n"/>
      <x:c r="DF166" s="302" t="n"/>
      <x:c r="DG166" s="302" t="n"/>
      <x:c r="DH166" s="302" t="n"/>
      <x:c r="DI166" s="302" t="n"/>
      <x:c r="DJ166" s="302" t="n"/>
      <x:c r="DK166" s="302" t="n"/>
      <x:c r="DL166" s="302" t="n"/>
      <x:c r="DM166" s="302" t="n"/>
      <x:c r="DN166" s="302" t="n"/>
      <x:c r="DO166" s="302" t="n"/>
      <x:c r="DP166" s="302" t="n"/>
      <x:c r="DQ166" s="302" t="n"/>
      <x:c r="DR166" s="302" t="n"/>
      <x:c r="DS166" s="302" t="n"/>
      <x:c r="DT166" s="302" t="n"/>
      <x:c r="DU166" s="302" t="n"/>
      <x:c r="DV166" s="302" t="n"/>
      <x:c r="DW166" s="302" t="n"/>
      <x:c r="DX166" s="302" t="n"/>
      <x:c r="DY166" s="302" t="n"/>
      <x:c r="DZ166" s="302" t="n"/>
      <x:c r="EA166" s="302" t="n"/>
      <x:c r="EB166" s="302" t="n"/>
      <x:c r="EC166" s="302" t="n"/>
      <x:c r="ED166" s="302" t="n"/>
      <x:c r="EE166" s="302" t="n"/>
      <x:c r="EF166" s="302" t="n"/>
      <x:c r="EG166" s="302" t="n"/>
      <x:c r="EH166" s="302" t="n"/>
      <x:c r="EI166" s="302" t="n"/>
      <x:c r="EJ166" s="302" t="n"/>
      <x:c r="EK166" s="302" t="n"/>
      <x:c r="EL166" s="302" t="n"/>
      <x:c r="EM166" s="302" t="n"/>
      <x:c r="EN166" s="302" t="n"/>
      <x:c r="EO166" s="302" t="n"/>
      <x:c r="EP166" s="302" t="n"/>
      <x:c r="EQ166" s="302" t="n"/>
      <x:c r="ER166" s="302" t="n"/>
      <x:c r="ES166" s="302" t="n"/>
      <x:c r="ET166" s="302" t="n"/>
      <x:c r="EU166" s="302" t="n"/>
      <x:c r="EV166" s="302" t="n"/>
      <x:c r="EW166" s="302" t="n"/>
      <x:c r="EX166" s="302" t="n"/>
      <x:c r="EY166" s="302" t="n"/>
    </x:row>
    <x:row r="167" s="27" customFormat="1">
      <x:c r="A167" s="38" t="n"/>
      <x:c r="B167" s="37" t="n"/>
      <x:c r="C167" s="36" t="n">
        <x:f>E167*D$5</x:f>
        <x:v>0</x:v>
      </x:c>
      <x:c r="D167" s="20" t="n"/>
      <x:c r="E167" s="36" t="n">
        <x:f>SUM(G167:HS167)</x:f>
        <x:v>0</x:v>
      </x:c>
      <x:c r="F167" s="126" t="inlineStr">
        <x:is>
          <x:t xml:space="preserve"/>
        </x:is>
      </x:c>
      <x:c r="G167" s="302" t="n"/>
      <x:c r="H167" s="302" t="n"/>
      <x:c r="I167" s="302" t="n"/>
      <x:c r="J167" s="302" t="n"/>
      <x:c r="K167" s="302" t="n"/>
      <x:c r="L167" s="302" t="n"/>
      <x:c r="M167" s="302" t="n"/>
      <x:c r="N167" s="302" t="n"/>
      <x:c r="O167" s="302" t="n"/>
      <x:c r="P167" s="100" t="n"/>
      <x:c r="Q167" s="302" t="n"/>
      <x:c r="R167" s="302" t="n"/>
      <x:c r="S167" s="302" t="n"/>
      <x:c r="T167" s="302" t="n"/>
      <x:c r="U167" s="302" t="n"/>
      <x:c r="V167" s="302" t="n"/>
      <x:c r="W167" s="302" t="n"/>
      <x:c r="X167" s="302" t="n"/>
      <x:c r="Y167" s="100" t="n"/>
      <x:c r="Z167" s="100" t="n"/>
      <x:c r="AA167" s="100" t="n"/>
      <x:c r="AB167" s="100" t="n"/>
      <x:c r="AC167" s="100" t="n"/>
      <x:c r="AD167" s="100" t="n"/>
      <x:c r="AE167" s="100" t="n"/>
      <x:c r="AF167" s="302" t="n"/>
      <x:c r="AG167" s="100" t="n"/>
      <x:c r="AH167" s="302" t="n"/>
      <x:c r="AI167" s="100" t="n"/>
      <x:c r="AJ167" s="302" t="n"/>
      <x:c r="AK167" s="302" t="n"/>
      <x:c r="AL167" s="302" t="n"/>
      <x:c r="AM167" s="302" t="n"/>
      <x:c r="AN167" s="302" t="n"/>
      <x:c r="AO167" s="302" t="n"/>
      <x:c r="AP167" s="302" t="n"/>
      <x:c r="AQ167" s="302" t="n"/>
      <x:c r="AR167" s="302" t="n"/>
      <x:c r="AS167" s="302" t="n"/>
      <x:c r="AT167" s="302" t="n"/>
      <x:c r="AU167" s="302" t="n"/>
      <x:c r="AV167" s="302" t="n"/>
      <x:c r="AW167" s="302" t="n"/>
      <x:c r="AX167" s="302" t="n"/>
      <x:c r="AY167" s="302" t="n"/>
      <x:c r="AZ167" s="302" t="n"/>
      <x:c r="BA167" s="302" t="n"/>
      <x:c r="BB167" s="302" t="n"/>
      <x:c r="BC167" s="302" t="n"/>
      <x:c r="BD167" s="302" t="n"/>
      <x:c r="BE167" s="302" t="n"/>
      <x:c r="BF167" s="302" t="n"/>
      <x:c r="BG167" s="302" t="n"/>
      <x:c r="BH167" s="302" t="n"/>
      <x:c r="BI167" s="302" t="n"/>
      <x:c r="BJ167" s="302" t="n"/>
      <x:c r="BK167" s="302" t="n"/>
      <x:c r="BL167" s="302" t="n"/>
      <x:c r="BM167" s="302" t="n"/>
      <x:c r="BN167" s="302" t="n"/>
      <x:c r="BO167" s="302" t="n"/>
      <x:c r="BP167" s="302" t="n"/>
      <x:c r="BQ167" s="302" t="n"/>
      <x:c r="BR167" s="302" t="n"/>
      <x:c r="BS167" s="302" t="n"/>
      <x:c r="BT167" s="302" t="n"/>
      <x:c r="BU167" s="302" t="n"/>
      <x:c r="BV167" s="302" t="n"/>
      <x:c r="BW167" s="302" t="n"/>
      <x:c r="BX167" s="302" t="n"/>
      <x:c r="BY167" s="302" t="n"/>
      <x:c r="BZ167" s="302" t="n"/>
      <x:c r="CA167" s="302" t="n"/>
      <x:c r="CB167" s="302" t="n"/>
      <x:c r="CC167" s="302" t="n"/>
      <x:c r="CD167" s="302" t="n"/>
      <x:c r="CE167" s="302" t="n"/>
      <x:c r="CF167" s="302" t="n"/>
      <x:c r="CG167" s="302" t="n"/>
      <x:c r="CH167" s="302" t="n"/>
      <x:c r="CI167" s="302" t="n"/>
      <x:c r="CJ167" s="302" t="n"/>
      <x:c r="CK167" s="302" t="n"/>
      <x:c r="CL167" s="302" t="n"/>
      <x:c r="CM167" s="302" t="n"/>
      <x:c r="CN167" s="302" t="n"/>
      <x:c r="CO167" s="302" t="n"/>
      <x:c r="CP167" s="302" t="n"/>
      <x:c r="CQ167" s="302" t="n"/>
      <x:c r="CR167" s="302" t="n"/>
      <x:c r="CS167" s="302" t="n"/>
      <x:c r="CT167" s="302" t="n"/>
      <x:c r="CU167" s="302" t="n"/>
      <x:c r="CV167" s="302" t="n"/>
      <x:c r="CW167" s="302" t="n"/>
      <x:c r="CX167" s="302" t="n"/>
      <x:c r="CY167" s="302" t="n"/>
      <x:c r="CZ167" s="302" t="n"/>
      <x:c r="DA167" s="302" t="n"/>
      <x:c r="DB167" s="302" t="n"/>
      <x:c r="DC167" s="302" t="n"/>
      <x:c r="DD167" s="302" t="n"/>
      <x:c r="DE167" s="302" t="n"/>
      <x:c r="DF167" s="302" t="n"/>
      <x:c r="DG167" s="302" t="n"/>
      <x:c r="DH167" s="302" t="n"/>
      <x:c r="DI167" s="302" t="n"/>
      <x:c r="DJ167" s="302" t="n"/>
      <x:c r="DK167" s="302" t="n"/>
      <x:c r="DL167" s="302" t="n"/>
      <x:c r="DM167" s="302" t="n"/>
      <x:c r="DN167" s="302" t="n"/>
      <x:c r="DO167" s="302" t="n"/>
      <x:c r="DP167" s="302" t="n"/>
      <x:c r="DQ167" s="302" t="n"/>
      <x:c r="DR167" s="302" t="n"/>
      <x:c r="DS167" s="302" t="n"/>
      <x:c r="DT167" s="302" t="n"/>
      <x:c r="DU167" s="302" t="n"/>
      <x:c r="DV167" s="302" t="n"/>
      <x:c r="DW167" s="302" t="n"/>
      <x:c r="DX167" s="302" t="n"/>
      <x:c r="DY167" s="302" t="n"/>
      <x:c r="DZ167" s="302" t="n"/>
      <x:c r="EA167" s="302" t="n"/>
      <x:c r="EB167" s="302" t="n"/>
      <x:c r="EC167" s="302" t="n"/>
      <x:c r="ED167" s="302" t="n"/>
      <x:c r="EE167" s="302" t="n"/>
      <x:c r="EF167" s="302" t="n"/>
      <x:c r="EG167" s="302" t="n"/>
      <x:c r="EH167" s="302" t="n"/>
      <x:c r="EI167" s="302" t="n"/>
      <x:c r="EJ167" s="302" t="n"/>
      <x:c r="EK167" s="302" t="n"/>
      <x:c r="EL167" s="302" t="n"/>
      <x:c r="EM167" s="302" t="n"/>
      <x:c r="EN167" s="302" t="n"/>
      <x:c r="EO167" s="302" t="n"/>
      <x:c r="EP167" s="302" t="n"/>
      <x:c r="EQ167" s="302" t="n"/>
      <x:c r="ER167" s="302" t="n"/>
      <x:c r="ES167" s="302" t="n"/>
      <x:c r="ET167" s="302" t="n"/>
      <x:c r="EU167" s="302" t="n"/>
      <x:c r="EV167" s="302" t="n"/>
      <x:c r="EW167" s="302" t="n"/>
      <x:c r="EX167" s="302" t="n"/>
      <x:c r="EY167" s="302" t="n"/>
    </x:row>
    <x:row r="168" s="27" customFormat="1">
      <x:c r="A168" s="38" t="n"/>
      <x:c r="B168" s="37" t="n"/>
      <x:c r="C168" s="36" t="n">
        <x:f>E168*D$5</x:f>
        <x:v>0</x:v>
      </x:c>
      <x:c r="D168" s="20" t="n"/>
      <x:c r="E168" s="36" t="n">
        <x:f>SUM(G168:HS168)</x:f>
        <x:v>0</x:v>
      </x:c>
      <x:c r="F168" s="126" t="inlineStr">
        <x:is>
          <x:t xml:space="preserve"/>
        </x:is>
      </x:c>
      <x:c r="G168" s="302" t="n"/>
      <x:c r="H168" s="302" t="n"/>
      <x:c r="I168" s="302" t="n"/>
      <x:c r="J168" s="302" t="n"/>
      <x:c r="K168" s="302" t="n"/>
      <x:c r="L168" s="302" t="n"/>
      <x:c r="M168" s="302" t="n"/>
      <x:c r="N168" s="302" t="n"/>
      <x:c r="O168" s="302" t="n"/>
      <x:c r="P168" s="100" t="n"/>
      <x:c r="Q168" s="302" t="n"/>
      <x:c r="R168" s="302" t="n"/>
      <x:c r="S168" s="302" t="n"/>
      <x:c r="T168" s="302" t="n"/>
      <x:c r="U168" s="302" t="n"/>
      <x:c r="V168" s="302" t="n"/>
      <x:c r="W168" s="302" t="n"/>
      <x:c r="X168" s="302" t="n"/>
      <x:c r="Y168" s="100" t="n"/>
      <x:c r="Z168" s="100" t="n"/>
      <x:c r="AA168" s="100" t="n"/>
      <x:c r="AB168" s="100" t="n"/>
      <x:c r="AC168" s="100" t="n"/>
      <x:c r="AD168" s="100" t="n"/>
      <x:c r="AE168" s="100" t="n"/>
      <x:c r="AF168" s="302" t="n"/>
      <x:c r="AG168" s="100" t="n"/>
      <x:c r="AH168" s="302" t="n"/>
      <x:c r="AI168" s="100" t="n"/>
      <x:c r="AJ168" s="302" t="n"/>
      <x:c r="AK168" s="302" t="n"/>
      <x:c r="AL168" s="302" t="n"/>
      <x:c r="AM168" s="302" t="n"/>
      <x:c r="AN168" s="302" t="n"/>
      <x:c r="AO168" s="302" t="n"/>
      <x:c r="AP168" s="302" t="n"/>
      <x:c r="AQ168" s="302" t="n"/>
      <x:c r="AR168" s="302" t="n"/>
      <x:c r="AS168" s="302" t="n"/>
      <x:c r="AT168" s="302" t="n"/>
      <x:c r="AU168" s="302" t="n"/>
      <x:c r="AV168" s="302" t="n"/>
      <x:c r="AW168" s="302" t="n"/>
      <x:c r="AX168" s="302" t="n"/>
      <x:c r="AY168" s="302" t="n"/>
      <x:c r="AZ168" s="302" t="n"/>
      <x:c r="BA168" s="302" t="n"/>
      <x:c r="BB168" s="302" t="n"/>
      <x:c r="BC168" s="302" t="n"/>
      <x:c r="BD168" s="302" t="n"/>
      <x:c r="BE168" s="302" t="n"/>
      <x:c r="BF168" s="302" t="n"/>
      <x:c r="BG168" s="302" t="n"/>
      <x:c r="BH168" s="302" t="n"/>
      <x:c r="BI168" s="302" t="n"/>
      <x:c r="BJ168" s="302" t="n"/>
      <x:c r="BK168" s="302" t="n"/>
      <x:c r="BL168" s="302" t="n"/>
      <x:c r="BM168" s="302" t="n"/>
      <x:c r="BN168" s="302" t="n"/>
      <x:c r="BO168" s="302" t="n"/>
      <x:c r="BP168" s="302" t="n"/>
      <x:c r="BQ168" s="302" t="n"/>
      <x:c r="BR168" s="302" t="n"/>
      <x:c r="BS168" s="302" t="n"/>
      <x:c r="BT168" s="302" t="n"/>
      <x:c r="BU168" s="302" t="n"/>
      <x:c r="BV168" s="302" t="n"/>
      <x:c r="BW168" s="302" t="n"/>
      <x:c r="BX168" s="302" t="n"/>
      <x:c r="BY168" s="302" t="n"/>
      <x:c r="BZ168" s="302" t="n"/>
      <x:c r="CA168" s="302" t="n"/>
      <x:c r="CB168" s="302" t="n"/>
      <x:c r="CC168" s="302" t="n"/>
      <x:c r="CD168" s="302" t="n"/>
      <x:c r="CE168" s="302" t="n"/>
      <x:c r="CF168" s="302" t="n"/>
      <x:c r="CG168" s="302" t="n"/>
      <x:c r="CH168" s="302" t="n"/>
      <x:c r="CI168" s="302" t="n"/>
      <x:c r="CJ168" s="302" t="n"/>
      <x:c r="CK168" s="302" t="n"/>
      <x:c r="CL168" s="302" t="n"/>
      <x:c r="CM168" s="302" t="n"/>
      <x:c r="CN168" s="302" t="n"/>
      <x:c r="CO168" s="302" t="n"/>
      <x:c r="CP168" s="302" t="n"/>
      <x:c r="CQ168" s="302" t="n"/>
      <x:c r="CR168" s="302" t="n"/>
      <x:c r="CS168" s="302" t="n"/>
      <x:c r="CT168" s="302" t="n"/>
      <x:c r="CU168" s="302" t="n"/>
      <x:c r="CV168" s="302" t="n"/>
      <x:c r="CW168" s="302" t="n"/>
      <x:c r="CX168" s="302" t="n"/>
      <x:c r="CY168" s="302" t="n"/>
      <x:c r="CZ168" s="302" t="n"/>
      <x:c r="DA168" s="302" t="n"/>
      <x:c r="DB168" s="302" t="n"/>
      <x:c r="DC168" s="302" t="n"/>
      <x:c r="DD168" s="302" t="n"/>
      <x:c r="DE168" s="302" t="n"/>
      <x:c r="DF168" s="302" t="n"/>
      <x:c r="DG168" s="302" t="n"/>
      <x:c r="DH168" s="302" t="n"/>
      <x:c r="DI168" s="302" t="n"/>
      <x:c r="DJ168" s="302" t="n"/>
      <x:c r="DK168" s="302" t="n"/>
      <x:c r="DL168" s="302" t="n"/>
      <x:c r="DM168" s="302" t="n"/>
      <x:c r="DN168" s="302" t="n"/>
      <x:c r="DO168" s="302" t="n"/>
      <x:c r="DP168" s="302" t="n"/>
      <x:c r="DQ168" s="302" t="n"/>
      <x:c r="DR168" s="302" t="n"/>
      <x:c r="DS168" s="302" t="n"/>
      <x:c r="DT168" s="302" t="n"/>
      <x:c r="DU168" s="302" t="n"/>
      <x:c r="DV168" s="302" t="n"/>
      <x:c r="DW168" s="302" t="n"/>
      <x:c r="DX168" s="302" t="n"/>
      <x:c r="DY168" s="302" t="n"/>
      <x:c r="DZ168" s="302" t="n"/>
      <x:c r="EA168" s="302" t="n"/>
      <x:c r="EB168" s="302" t="n"/>
      <x:c r="EC168" s="302" t="n"/>
      <x:c r="ED168" s="302" t="n"/>
      <x:c r="EE168" s="302" t="n"/>
      <x:c r="EF168" s="302" t="n"/>
      <x:c r="EG168" s="302" t="n"/>
      <x:c r="EH168" s="302" t="n"/>
      <x:c r="EI168" s="302" t="n"/>
      <x:c r="EJ168" s="302" t="n"/>
      <x:c r="EK168" s="302" t="n"/>
      <x:c r="EL168" s="302" t="n"/>
      <x:c r="EM168" s="302" t="n"/>
      <x:c r="EN168" s="302" t="n"/>
      <x:c r="EO168" s="302" t="n"/>
      <x:c r="EP168" s="302" t="n"/>
      <x:c r="EQ168" s="302" t="n"/>
      <x:c r="ER168" s="302" t="n"/>
      <x:c r="ES168" s="302" t="n"/>
      <x:c r="ET168" s="302" t="n"/>
      <x:c r="EU168" s="302" t="n"/>
      <x:c r="EV168" s="302" t="n"/>
      <x:c r="EW168" s="302" t="n"/>
      <x:c r="EX168" s="302" t="n"/>
      <x:c r="EY168" s="302" t="n"/>
    </x:row>
    <x:row r="169" s="27" customFormat="1">
      <x:c r="A169" s="38" t="n"/>
      <x:c r="B169" s="37" t="n"/>
      <x:c r="C169" s="36" t="n">
        <x:f>E169*D$5</x:f>
        <x:v>0</x:v>
      </x:c>
      <x:c r="D169" s="20" t="n"/>
      <x:c r="E169" s="36" t="n">
        <x:f>SUM(G169:HS169)</x:f>
        <x:v>0</x:v>
      </x:c>
      <x:c r="F169" s="126" t="inlineStr">
        <x:is>
          <x:t xml:space="preserve"/>
        </x:is>
      </x:c>
      <x:c r="G169" s="302" t="n"/>
      <x:c r="H169" s="302" t="n"/>
      <x:c r="I169" s="302" t="n"/>
      <x:c r="J169" s="302" t="n"/>
      <x:c r="K169" s="302" t="n"/>
      <x:c r="L169" s="302" t="n"/>
      <x:c r="M169" s="302" t="n"/>
      <x:c r="N169" s="302" t="n"/>
      <x:c r="O169" s="302" t="n"/>
      <x:c r="P169" s="100" t="n"/>
      <x:c r="Q169" s="302" t="n"/>
      <x:c r="R169" s="302" t="n"/>
      <x:c r="S169" s="302" t="n"/>
      <x:c r="T169" s="302" t="n"/>
      <x:c r="U169" s="302" t="n"/>
      <x:c r="V169" s="302" t="n"/>
      <x:c r="W169" s="302" t="n"/>
      <x:c r="X169" s="302" t="n"/>
      <x:c r="Y169" s="100" t="n"/>
      <x:c r="Z169" s="100" t="n"/>
      <x:c r="AA169" s="100" t="n"/>
      <x:c r="AB169" s="100" t="n"/>
      <x:c r="AC169" s="100" t="n"/>
      <x:c r="AD169" s="100" t="n"/>
      <x:c r="AE169" s="100" t="n"/>
      <x:c r="AF169" s="302" t="n"/>
      <x:c r="AG169" s="100" t="n"/>
      <x:c r="AH169" s="302" t="n"/>
      <x:c r="AI169" s="100" t="n"/>
      <x:c r="AJ169" s="302" t="n"/>
      <x:c r="AK169" s="302" t="n"/>
      <x:c r="AL169" s="302" t="n"/>
      <x:c r="AM169" s="302" t="n"/>
      <x:c r="AN169" s="302" t="n"/>
      <x:c r="AO169" s="302" t="n"/>
      <x:c r="AP169" s="302" t="n"/>
      <x:c r="AQ169" s="302" t="n"/>
      <x:c r="AR169" s="302" t="n"/>
      <x:c r="AS169" s="302" t="n"/>
      <x:c r="AT169" s="302" t="n"/>
      <x:c r="AU169" s="302" t="n"/>
      <x:c r="AV169" s="302" t="n"/>
      <x:c r="AW169" s="302" t="n"/>
      <x:c r="AX169" s="302" t="n"/>
      <x:c r="AY169" s="302" t="n"/>
      <x:c r="AZ169" s="302" t="n"/>
      <x:c r="BA169" s="302" t="n"/>
      <x:c r="BB169" s="302" t="n"/>
      <x:c r="BC169" s="302" t="n"/>
      <x:c r="BD169" s="302" t="n"/>
      <x:c r="BE169" s="302" t="n"/>
      <x:c r="BF169" s="302" t="n"/>
      <x:c r="BG169" s="302" t="n"/>
      <x:c r="BH169" s="302" t="n"/>
      <x:c r="BI169" s="302" t="n"/>
      <x:c r="BJ169" s="302" t="n"/>
      <x:c r="BK169" s="302" t="n"/>
      <x:c r="BL169" s="302" t="n"/>
      <x:c r="BM169" s="302" t="n"/>
      <x:c r="BN169" s="302" t="n"/>
      <x:c r="BO169" s="302" t="n"/>
      <x:c r="BP169" s="302" t="n"/>
      <x:c r="BQ169" s="302" t="n"/>
      <x:c r="BR169" s="302" t="n"/>
      <x:c r="BS169" s="302" t="n"/>
      <x:c r="BT169" s="302" t="n"/>
      <x:c r="BU169" s="302" t="n"/>
      <x:c r="BV169" s="302" t="n"/>
      <x:c r="BW169" s="302" t="n"/>
      <x:c r="BX169" s="302" t="n"/>
      <x:c r="BY169" s="302" t="n"/>
      <x:c r="BZ169" s="302" t="n"/>
      <x:c r="CA169" s="302" t="n"/>
      <x:c r="CB169" s="302" t="n"/>
      <x:c r="CC169" s="302" t="n"/>
      <x:c r="CD169" s="302" t="n"/>
      <x:c r="CE169" s="302" t="n"/>
      <x:c r="CF169" s="302" t="n"/>
      <x:c r="CG169" s="302" t="n"/>
      <x:c r="CH169" s="302" t="n"/>
      <x:c r="CI169" s="302" t="n"/>
      <x:c r="CJ169" s="302" t="n"/>
      <x:c r="CK169" s="302" t="n"/>
      <x:c r="CL169" s="302" t="n"/>
      <x:c r="CM169" s="302" t="n"/>
      <x:c r="CN169" s="302" t="n"/>
      <x:c r="CO169" s="302" t="n"/>
      <x:c r="CP169" s="302" t="n"/>
      <x:c r="CQ169" s="302" t="n"/>
      <x:c r="CR169" s="302" t="n"/>
      <x:c r="CS169" s="302" t="n"/>
      <x:c r="CT169" s="302" t="n"/>
      <x:c r="CU169" s="302" t="n"/>
      <x:c r="CV169" s="302" t="n"/>
      <x:c r="CW169" s="302" t="n"/>
      <x:c r="CX169" s="302" t="n"/>
      <x:c r="CY169" s="302" t="n"/>
      <x:c r="CZ169" s="302" t="n"/>
      <x:c r="DA169" s="302" t="n"/>
      <x:c r="DB169" s="302" t="n"/>
      <x:c r="DC169" s="302" t="n"/>
      <x:c r="DD169" s="302" t="n"/>
      <x:c r="DE169" s="302" t="n"/>
      <x:c r="DF169" s="302" t="n"/>
      <x:c r="DG169" s="302" t="n"/>
      <x:c r="DH169" s="302" t="n"/>
      <x:c r="DI169" s="302" t="n"/>
      <x:c r="DJ169" s="302" t="n"/>
      <x:c r="DK169" s="302" t="n"/>
      <x:c r="DL169" s="302" t="n"/>
      <x:c r="DM169" s="302" t="n"/>
      <x:c r="DN169" s="302" t="n"/>
      <x:c r="DO169" s="302" t="n"/>
      <x:c r="DP169" s="302" t="n"/>
      <x:c r="DQ169" s="302" t="n"/>
      <x:c r="DR169" s="302" t="n"/>
      <x:c r="DS169" s="302" t="n"/>
      <x:c r="DT169" s="302" t="n"/>
      <x:c r="DU169" s="302" t="n"/>
      <x:c r="DV169" s="302" t="n"/>
      <x:c r="DW169" s="302" t="n"/>
      <x:c r="DX169" s="302" t="n"/>
      <x:c r="DY169" s="302" t="n"/>
      <x:c r="DZ169" s="302" t="n"/>
      <x:c r="EA169" s="302" t="n"/>
      <x:c r="EB169" s="302" t="n"/>
      <x:c r="EC169" s="302" t="n"/>
      <x:c r="ED169" s="302" t="n"/>
      <x:c r="EE169" s="302" t="n"/>
      <x:c r="EF169" s="302" t="n"/>
      <x:c r="EG169" s="302" t="n"/>
      <x:c r="EH169" s="302" t="n"/>
      <x:c r="EI169" s="302" t="n"/>
      <x:c r="EJ169" s="302" t="n"/>
      <x:c r="EK169" s="302" t="n"/>
      <x:c r="EL169" s="302" t="n"/>
      <x:c r="EM169" s="302" t="n"/>
      <x:c r="EN169" s="302" t="n"/>
      <x:c r="EO169" s="302" t="n"/>
      <x:c r="EP169" s="302" t="n"/>
      <x:c r="EQ169" s="302" t="n"/>
      <x:c r="ER169" s="302" t="n"/>
      <x:c r="ES169" s="302" t="n"/>
      <x:c r="ET169" s="302" t="n"/>
      <x:c r="EU169" s="302" t="n"/>
      <x:c r="EV169" s="302" t="n"/>
      <x:c r="EW169" s="302" t="n"/>
      <x:c r="EX169" s="302" t="n"/>
      <x:c r="EY169" s="302" t="n"/>
    </x:row>
    <x:row r="170" s="27" customFormat="1">
      <x:c r="A170" s="38" t="n"/>
      <x:c r="B170" s="37" t="n"/>
      <x:c r="C170" s="36" t="n">
        <x:f>E170*D$5</x:f>
        <x:v>0</x:v>
      </x:c>
      <x:c r="D170" s="20" t="n"/>
      <x:c r="E170" s="36" t="n">
        <x:f>SUM(G170:HS170)</x:f>
        <x:v>0</x:v>
      </x:c>
      <x:c r="F170" s="126" t="inlineStr">
        <x:is>
          <x:t xml:space="preserve"/>
        </x:is>
      </x:c>
      <x:c r="G170" s="302" t="n"/>
      <x:c r="H170" s="302" t="n"/>
      <x:c r="I170" s="302" t="n"/>
      <x:c r="J170" s="302" t="n"/>
      <x:c r="K170" s="302" t="n"/>
      <x:c r="L170" s="302" t="n"/>
      <x:c r="M170" s="302" t="n"/>
      <x:c r="N170" s="302" t="n"/>
      <x:c r="O170" s="302" t="n"/>
      <x:c r="P170" s="100" t="n"/>
      <x:c r="Q170" s="302" t="n"/>
      <x:c r="R170" s="302" t="n"/>
      <x:c r="S170" s="302" t="n"/>
      <x:c r="T170" s="302" t="n"/>
      <x:c r="U170" s="302" t="n"/>
      <x:c r="V170" s="302" t="n"/>
      <x:c r="W170" s="302" t="n"/>
      <x:c r="X170" s="302" t="n"/>
      <x:c r="Y170" s="100" t="n"/>
      <x:c r="Z170" s="100" t="n"/>
      <x:c r="AA170" s="100" t="n"/>
      <x:c r="AB170" s="100" t="n"/>
      <x:c r="AC170" s="100" t="n"/>
      <x:c r="AD170" s="100" t="n"/>
      <x:c r="AE170" s="100" t="n"/>
      <x:c r="AF170" s="302" t="n"/>
      <x:c r="AG170" s="100" t="n"/>
      <x:c r="AH170" s="302" t="n"/>
      <x:c r="AI170" s="100" t="n"/>
      <x:c r="AJ170" s="302" t="n"/>
      <x:c r="AK170" s="302" t="n"/>
      <x:c r="AL170" s="302" t="n"/>
      <x:c r="AM170" s="302" t="n"/>
      <x:c r="AN170" s="302" t="n"/>
      <x:c r="AO170" s="302" t="n"/>
      <x:c r="AP170" s="302" t="n"/>
      <x:c r="AQ170" s="302" t="n"/>
      <x:c r="AR170" s="302" t="n"/>
      <x:c r="AS170" s="302" t="n"/>
      <x:c r="AT170" s="302" t="n"/>
      <x:c r="AU170" s="302" t="n"/>
      <x:c r="AV170" s="302" t="n"/>
      <x:c r="AW170" s="302" t="n"/>
      <x:c r="AX170" s="302" t="n"/>
      <x:c r="AY170" s="302" t="n"/>
      <x:c r="AZ170" s="302" t="n"/>
      <x:c r="BA170" s="302" t="n"/>
      <x:c r="BB170" s="302" t="n"/>
      <x:c r="BC170" s="302" t="n"/>
      <x:c r="BD170" s="302" t="n"/>
      <x:c r="BE170" s="302" t="n"/>
      <x:c r="BF170" s="302" t="n"/>
      <x:c r="BG170" s="302" t="n"/>
      <x:c r="BH170" s="302" t="n"/>
      <x:c r="BI170" s="302" t="n"/>
      <x:c r="BJ170" s="302" t="n"/>
      <x:c r="BK170" s="302" t="n"/>
      <x:c r="BL170" s="302" t="n"/>
      <x:c r="BM170" s="302" t="n"/>
      <x:c r="BN170" s="302" t="n"/>
      <x:c r="BO170" s="302" t="n"/>
      <x:c r="BP170" s="302" t="n"/>
      <x:c r="BQ170" s="302" t="n"/>
      <x:c r="BR170" s="302" t="n"/>
      <x:c r="BS170" s="302" t="n"/>
      <x:c r="BT170" s="302" t="n"/>
      <x:c r="BU170" s="302" t="n"/>
      <x:c r="BV170" s="302" t="n"/>
      <x:c r="BW170" s="302" t="n"/>
      <x:c r="BX170" s="302" t="n"/>
      <x:c r="BY170" s="302" t="n"/>
      <x:c r="BZ170" s="302" t="n"/>
      <x:c r="CA170" s="302" t="n"/>
      <x:c r="CB170" s="302" t="n"/>
      <x:c r="CC170" s="302" t="n"/>
      <x:c r="CD170" s="302" t="n"/>
      <x:c r="CE170" s="302" t="n"/>
      <x:c r="CF170" s="302" t="n"/>
      <x:c r="CG170" s="302" t="n"/>
      <x:c r="CH170" s="302" t="n"/>
      <x:c r="CI170" s="302" t="n"/>
      <x:c r="CJ170" s="302" t="n"/>
      <x:c r="CK170" s="302" t="n"/>
      <x:c r="CL170" s="302" t="n"/>
      <x:c r="CM170" s="302" t="n"/>
      <x:c r="CN170" s="302" t="n"/>
      <x:c r="CO170" s="302" t="n"/>
      <x:c r="CP170" s="302" t="n"/>
      <x:c r="CQ170" s="302" t="n"/>
      <x:c r="CR170" s="302" t="n"/>
      <x:c r="CS170" s="302" t="n"/>
      <x:c r="CT170" s="302" t="n"/>
      <x:c r="CU170" s="302" t="n"/>
      <x:c r="CV170" s="302" t="n"/>
      <x:c r="CW170" s="302" t="n"/>
      <x:c r="CX170" s="302" t="n"/>
      <x:c r="CY170" s="302" t="n"/>
      <x:c r="CZ170" s="302" t="n"/>
      <x:c r="DA170" s="302" t="n"/>
      <x:c r="DB170" s="302" t="n"/>
      <x:c r="DC170" s="302" t="n"/>
      <x:c r="DD170" s="302" t="n"/>
      <x:c r="DE170" s="302" t="n"/>
      <x:c r="DF170" s="302" t="n"/>
      <x:c r="DG170" s="302" t="n"/>
      <x:c r="DH170" s="302" t="n"/>
      <x:c r="DI170" s="302" t="n"/>
      <x:c r="DJ170" s="302" t="n"/>
      <x:c r="DK170" s="302" t="n"/>
      <x:c r="DL170" s="302" t="n"/>
      <x:c r="DM170" s="302" t="n"/>
      <x:c r="DN170" s="302" t="n"/>
      <x:c r="DO170" s="302" t="n"/>
      <x:c r="DP170" s="302" t="n"/>
      <x:c r="DQ170" s="302" t="n"/>
      <x:c r="DR170" s="302" t="n"/>
      <x:c r="DS170" s="302" t="n"/>
      <x:c r="DT170" s="302" t="n"/>
      <x:c r="DU170" s="302" t="n"/>
      <x:c r="DV170" s="302" t="n"/>
      <x:c r="DW170" s="302" t="n"/>
      <x:c r="DX170" s="302" t="n"/>
      <x:c r="DY170" s="302" t="n"/>
      <x:c r="DZ170" s="302" t="n"/>
      <x:c r="EA170" s="302" t="n"/>
      <x:c r="EB170" s="302" t="n"/>
      <x:c r="EC170" s="302" t="n"/>
      <x:c r="ED170" s="302" t="n"/>
      <x:c r="EE170" s="302" t="n"/>
      <x:c r="EF170" s="302" t="n"/>
      <x:c r="EG170" s="302" t="n"/>
      <x:c r="EH170" s="302" t="n"/>
      <x:c r="EI170" s="302" t="n"/>
      <x:c r="EJ170" s="302" t="n"/>
      <x:c r="EK170" s="302" t="n"/>
      <x:c r="EL170" s="302" t="n"/>
      <x:c r="EM170" s="302" t="n"/>
      <x:c r="EN170" s="302" t="n"/>
      <x:c r="EO170" s="302" t="n"/>
      <x:c r="EP170" s="302" t="n"/>
      <x:c r="EQ170" s="302" t="n"/>
      <x:c r="ER170" s="302" t="n"/>
      <x:c r="ES170" s="302" t="n"/>
      <x:c r="ET170" s="302" t="n"/>
      <x:c r="EU170" s="302" t="n"/>
      <x:c r="EV170" s="302" t="n"/>
      <x:c r="EW170" s="302" t="n"/>
      <x:c r="EX170" s="302" t="n"/>
      <x:c r="EY170" s="302" t="n"/>
    </x:row>
    <x:row r="171" s="27" customFormat="1">
      <x:c r="A171" s="38" t="n"/>
      <x:c r="B171" s="37" t="n"/>
      <x:c r="C171" s="36" t="n">
        <x:f>E171*D$5</x:f>
        <x:v>0</x:v>
      </x:c>
      <x:c r="D171" s="20" t="n"/>
      <x:c r="E171" s="36" t="n">
        <x:f>SUM(G171:HS171)</x:f>
        <x:v>0</x:v>
      </x:c>
      <x:c r="F171" s="126" t="inlineStr">
        <x:is>
          <x:t xml:space="preserve"/>
        </x:is>
      </x:c>
      <x:c r="G171" s="302" t="n"/>
      <x:c r="H171" s="302" t="n"/>
      <x:c r="I171" s="302" t="n"/>
      <x:c r="J171" s="302" t="n"/>
      <x:c r="K171" s="302" t="n"/>
      <x:c r="L171" s="302" t="n"/>
      <x:c r="M171" s="302" t="n"/>
      <x:c r="N171" s="302" t="n"/>
      <x:c r="O171" s="302" t="n"/>
      <x:c r="P171" s="100" t="n"/>
      <x:c r="Q171" s="302" t="n"/>
      <x:c r="R171" s="302" t="n"/>
      <x:c r="S171" s="302" t="n"/>
      <x:c r="T171" s="302" t="n"/>
      <x:c r="U171" s="302" t="n"/>
      <x:c r="V171" s="302" t="n"/>
      <x:c r="W171" s="302" t="n"/>
      <x:c r="X171" s="302" t="n"/>
      <x:c r="Y171" s="100" t="n"/>
      <x:c r="Z171" s="100" t="n"/>
      <x:c r="AA171" s="100" t="n"/>
      <x:c r="AB171" s="100" t="n"/>
      <x:c r="AC171" s="100" t="n"/>
      <x:c r="AD171" s="100" t="n"/>
      <x:c r="AE171" s="100" t="n"/>
      <x:c r="AF171" s="302" t="n"/>
      <x:c r="AG171" s="100" t="n"/>
      <x:c r="AH171" s="302" t="n"/>
      <x:c r="AI171" s="100" t="n"/>
      <x:c r="AJ171" s="302" t="n"/>
      <x:c r="AK171" s="302" t="n"/>
      <x:c r="AL171" s="302" t="n"/>
      <x:c r="AM171" s="302" t="n"/>
      <x:c r="AN171" s="302" t="n"/>
      <x:c r="AO171" s="302" t="n"/>
      <x:c r="AP171" s="302" t="n"/>
      <x:c r="AQ171" s="302" t="n"/>
      <x:c r="AR171" s="302" t="n"/>
      <x:c r="AS171" s="302" t="n"/>
      <x:c r="AT171" s="302" t="n"/>
      <x:c r="AU171" s="302" t="n"/>
      <x:c r="AV171" s="302" t="n"/>
      <x:c r="AW171" s="302" t="n"/>
      <x:c r="AX171" s="302" t="n"/>
      <x:c r="AY171" s="302" t="n"/>
      <x:c r="AZ171" s="302" t="n"/>
      <x:c r="BA171" s="302" t="n"/>
      <x:c r="BB171" s="302" t="n"/>
      <x:c r="BC171" s="302" t="n"/>
      <x:c r="BD171" s="302" t="n"/>
      <x:c r="BE171" s="302" t="n"/>
      <x:c r="BF171" s="302" t="n"/>
      <x:c r="BG171" s="302" t="n"/>
      <x:c r="BH171" s="302" t="n"/>
      <x:c r="BI171" s="302" t="n"/>
      <x:c r="BJ171" s="302" t="n"/>
      <x:c r="BK171" s="302" t="n"/>
      <x:c r="BL171" s="302" t="n"/>
      <x:c r="BM171" s="302" t="n"/>
      <x:c r="BN171" s="302" t="n"/>
      <x:c r="BO171" s="302" t="n"/>
      <x:c r="BP171" s="302" t="n"/>
      <x:c r="BQ171" s="302" t="n"/>
      <x:c r="BR171" s="302" t="n"/>
      <x:c r="BS171" s="302" t="n"/>
      <x:c r="BT171" s="302" t="n"/>
      <x:c r="BU171" s="302" t="n"/>
      <x:c r="BV171" s="302" t="n"/>
      <x:c r="BW171" s="302" t="n"/>
      <x:c r="BX171" s="302" t="n"/>
      <x:c r="BY171" s="302" t="n"/>
      <x:c r="BZ171" s="302" t="n"/>
      <x:c r="CA171" s="302" t="n"/>
      <x:c r="CB171" s="302" t="n"/>
      <x:c r="CC171" s="302" t="n"/>
      <x:c r="CD171" s="302" t="n"/>
      <x:c r="CE171" s="302" t="n"/>
      <x:c r="CF171" s="302" t="n"/>
      <x:c r="CG171" s="302" t="n"/>
      <x:c r="CH171" s="302" t="n"/>
      <x:c r="CI171" s="302" t="n"/>
      <x:c r="CJ171" s="302" t="n"/>
      <x:c r="CK171" s="302" t="n"/>
      <x:c r="CL171" s="302" t="n"/>
      <x:c r="CM171" s="302" t="n"/>
      <x:c r="CN171" s="302" t="n"/>
      <x:c r="CO171" s="302" t="n"/>
      <x:c r="CP171" s="302" t="n"/>
      <x:c r="CQ171" s="302" t="n"/>
      <x:c r="CR171" s="302" t="n"/>
      <x:c r="CS171" s="302" t="n"/>
      <x:c r="CT171" s="302" t="n"/>
      <x:c r="CU171" s="302" t="n"/>
      <x:c r="CV171" s="302" t="n"/>
      <x:c r="CW171" s="302" t="n"/>
      <x:c r="CX171" s="302" t="n"/>
      <x:c r="CY171" s="302" t="n"/>
      <x:c r="CZ171" s="302" t="n"/>
      <x:c r="DA171" s="302" t="n"/>
      <x:c r="DB171" s="302" t="n"/>
      <x:c r="DC171" s="302" t="n"/>
      <x:c r="DD171" s="302" t="n"/>
      <x:c r="DE171" s="302" t="n"/>
      <x:c r="DF171" s="302" t="n"/>
      <x:c r="DG171" s="302" t="n"/>
      <x:c r="DH171" s="302" t="n"/>
      <x:c r="DI171" s="302" t="n"/>
      <x:c r="DJ171" s="302" t="n"/>
      <x:c r="DK171" s="302" t="n"/>
      <x:c r="DL171" s="302" t="n"/>
      <x:c r="DM171" s="302" t="n"/>
      <x:c r="DN171" s="302" t="n"/>
      <x:c r="DO171" s="302" t="n"/>
      <x:c r="DP171" s="302" t="n"/>
      <x:c r="DQ171" s="302" t="n"/>
      <x:c r="DR171" s="302" t="n"/>
      <x:c r="DS171" s="302" t="n"/>
      <x:c r="DT171" s="302" t="n"/>
      <x:c r="DU171" s="302" t="n"/>
      <x:c r="DV171" s="302" t="n"/>
      <x:c r="DW171" s="302" t="n"/>
      <x:c r="DX171" s="302" t="n"/>
      <x:c r="DY171" s="302" t="n"/>
      <x:c r="DZ171" s="302" t="n"/>
      <x:c r="EA171" s="302" t="n"/>
      <x:c r="EB171" s="302" t="n"/>
      <x:c r="EC171" s="302" t="n"/>
      <x:c r="ED171" s="302" t="n"/>
      <x:c r="EE171" s="302" t="n"/>
      <x:c r="EF171" s="302" t="n"/>
      <x:c r="EG171" s="302" t="n"/>
      <x:c r="EH171" s="302" t="n"/>
      <x:c r="EI171" s="302" t="n"/>
      <x:c r="EJ171" s="302" t="n"/>
      <x:c r="EK171" s="302" t="n"/>
      <x:c r="EL171" s="302" t="n"/>
      <x:c r="EM171" s="302" t="n"/>
      <x:c r="EN171" s="302" t="n"/>
      <x:c r="EO171" s="302" t="n"/>
      <x:c r="EP171" s="302" t="n"/>
      <x:c r="EQ171" s="302" t="n"/>
      <x:c r="ER171" s="302" t="n"/>
      <x:c r="ES171" s="302" t="n"/>
      <x:c r="ET171" s="302" t="n"/>
      <x:c r="EU171" s="302" t="n"/>
      <x:c r="EV171" s="302" t="n"/>
      <x:c r="EW171" s="302" t="n"/>
      <x:c r="EX171" s="302" t="n"/>
      <x:c r="EY171" s="302" t="n"/>
    </x:row>
    <x:row r="172" s="27" customFormat="1">
      <x:c r="A172" s="38" t="n"/>
      <x:c r="B172" s="37" t="n"/>
      <x:c r="C172" s="36" t="n">
        <x:f>E172*D$5</x:f>
        <x:v>0</x:v>
      </x:c>
      <x:c r="D172" s="20" t="n"/>
      <x:c r="E172" s="36" t="n">
        <x:f>SUM(G172:HS172)</x:f>
        <x:v>0</x:v>
      </x:c>
      <x:c r="F172" s="126" t="inlineStr">
        <x:is>
          <x:t xml:space="preserve"/>
        </x:is>
      </x:c>
      <x:c r="G172" s="302" t="n"/>
      <x:c r="H172" s="302" t="n"/>
      <x:c r="I172" s="302" t="n"/>
      <x:c r="J172" s="302" t="n"/>
      <x:c r="K172" s="302" t="n"/>
      <x:c r="L172" s="302" t="n"/>
      <x:c r="M172" s="302" t="n"/>
      <x:c r="N172" s="302" t="n"/>
      <x:c r="O172" s="302" t="n"/>
      <x:c r="P172" s="100" t="n"/>
      <x:c r="Q172" s="302" t="n"/>
      <x:c r="R172" s="302" t="n"/>
      <x:c r="S172" s="302" t="n"/>
      <x:c r="T172" s="302" t="n"/>
      <x:c r="U172" s="302" t="n"/>
      <x:c r="V172" s="302" t="n"/>
      <x:c r="W172" s="302" t="n"/>
      <x:c r="X172" s="302" t="n"/>
      <x:c r="Y172" s="100" t="n"/>
      <x:c r="Z172" s="100" t="n"/>
      <x:c r="AA172" s="100" t="n"/>
      <x:c r="AB172" s="100" t="n"/>
      <x:c r="AC172" s="100" t="n"/>
      <x:c r="AD172" s="100" t="n"/>
      <x:c r="AE172" s="100" t="n"/>
      <x:c r="AF172" s="302" t="n"/>
      <x:c r="AG172" s="100" t="n"/>
      <x:c r="AH172" s="302" t="n"/>
      <x:c r="AI172" s="100" t="n"/>
      <x:c r="AJ172" s="302" t="n"/>
      <x:c r="AK172" s="302" t="n"/>
      <x:c r="AL172" s="302" t="n"/>
      <x:c r="AM172" s="302" t="n"/>
      <x:c r="AN172" s="302" t="n"/>
      <x:c r="AO172" s="302" t="n"/>
      <x:c r="AP172" s="302" t="n"/>
      <x:c r="AQ172" s="302" t="n"/>
      <x:c r="AR172" s="302" t="n"/>
      <x:c r="AS172" s="302" t="n"/>
      <x:c r="AT172" s="302" t="n"/>
      <x:c r="AU172" s="302" t="n"/>
      <x:c r="AV172" s="302" t="n"/>
      <x:c r="AW172" s="302" t="n"/>
      <x:c r="AX172" s="302" t="n"/>
      <x:c r="AY172" s="302" t="n"/>
      <x:c r="AZ172" s="302" t="n"/>
      <x:c r="BA172" s="302" t="n"/>
      <x:c r="BB172" s="302" t="n"/>
      <x:c r="BC172" s="302" t="n"/>
      <x:c r="BD172" s="302" t="n"/>
      <x:c r="BE172" s="302" t="n"/>
      <x:c r="BF172" s="302" t="n"/>
      <x:c r="BG172" s="302" t="n"/>
      <x:c r="BH172" s="302" t="n"/>
      <x:c r="BI172" s="302" t="n"/>
      <x:c r="BJ172" s="302" t="n"/>
      <x:c r="BK172" s="302" t="n"/>
      <x:c r="BL172" s="302" t="n"/>
      <x:c r="BM172" s="302" t="n"/>
      <x:c r="BN172" s="302" t="n"/>
      <x:c r="BO172" s="302" t="n"/>
      <x:c r="BP172" s="302" t="n"/>
      <x:c r="BQ172" s="302" t="n"/>
      <x:c r="BR172" s="302" t="n"/>
      <x:c r="BS172" s="302" t="n"/>
      <x:c r="BT172" s="302" t="n"/>
      <x:c r="BU172" s="302" t="n"/>
      <x:c r="BV172" s="302" t="n"/>
      <x:c r="BW172" s="302" t="n"/>
      <x:c r="BX172" s="302" t="n"/>
      <x:c r="BY172" s="302" t="n"/>
      <x:c r="BZ172" s="302" t="n"/>
      <x:c r="CA172" s="302" t="n"/>
      <x:c r="CB172" s="302" t="n"/>
      <x:c r="CC172" s="302" t="n"/>
      <x:c r="CD172" s="302" t="n"/>
      <x:c r="CE172" s="302" t="n"/>
      <x:c r="CF172" s="302" t="n"/>
      <x:c r="CG172" s="302" t="n"/>
      <x:c r="CH172" s="302" t="n"/>
      <x:c r="CI172" s="302" t="n"/>
      <x:c r="CJ172" s="302" t="n"/>
      <x:c r="CK172" s="302" t="n"/>
      <x:c r="CL172" s="302" t="n"/>
      <x:c r="CM172" s="302" t="n"/>
      <x:c r="CN172" s="302" t="n"/>
      <x:c r="CO172" s="302" t="n"/>
      <x:c r="CP172" s="302" t="n"/>
      <x:c r="CQ172" s="302" t="n"/>
      <x:c r="CR172" s="302" t="n"/>
      <x:c r="CS172" s="302" t="n"/>
      <x:c r="CT172" s="302" t="n"/>
      <x:c r="CU172" s="302" t="n"/>
      <x:c r="CV172" s="302" t="n"/>
      <x:c r="CW172" s="302" t="n"/>
      <x:c r="CX172" s="302" t="n"/>
      <x:c r="CY172" s="302" t="n"/>
      <x:c r="CZ172" s="302" t="n"/>
      <x:c r="DA172" s="302" t="n"/>
      <x:c r="DB172" s="302" t="n"/>
      <x:c r="DC172" s="302" t="n"/>
      <x:c r="DD172" s="302" t="n"/>
      <x:c r="DE172" s="302" t="n"/>
      <x:c r="DF172" s="302" t="n"/>
      <x:c r="DG172" s="302" t="n"/>
      <x:c r="DH172" s="302" t="n"/>
      <x:c r="DI172" s="302" t="n"/>
      <x:c r="DJ172" s="302" t="n"/>
      <x:c r="DK172" s="302" t="n"/>
      <x:c r="DL172" s="302" t="n"/>
      <x:c r="DM172" s="302" t="n"/>
      <x:c r="DN172" s="302" t="n"/>
      <x:c r="DO172" s="302" t="n"/>
      <x:c r="DP172" s="302" t="n"/>
      <x:c r="DQ172" s="302" t="n"/>
      <x:c r="DR172" s="302" t="n"/>
      <x:c r="DS172" s="302" t="n"/>
      <x:c r="DT172" s="302" t="n"/>
      <x:c r="DU172" s="302" t="n"/>
      <x:c r="DV172" s="302" t="n"/>
      <x:c r="DW172" s="302" t="n"/>
      <x:c r="DX172" s="302" t="n"/>
      <x:c r="DY172" s="302" t="n"/>
      <x:c r="DZ172" s="302" t="n"/>
      <x:c r="EA172" s="302" t="n"/>
      <x:c r="EB172" s="302" t="n"/>
      <x:c r="EC172" s="302" t="n"/>
      <x:c r="ED172" s="302" t="n"/>
      <x:c r="EE172" s="302" t="n"/>
      <x:c r="EF172" s="302" t="n"/>
      <x:c r="EG172" s="302" t="n"/>
      <x:c r="EH172" s="302" t="n"/>
      <x:c r="EI172" s="302" t="n"/>
      <x:c r="EJ172" s="302" t="n"/>
      <x:c r="EK172" s="302" t="n"/>
      <x:c r="EL172" s="302" t="n"/>
      <x:c r="EM172" s="302" t="n"/>
      <x:c r="EN172" s="302" t="n"/>
      <x:c r="EO172" s="302" t="n"/>
      <x:c r="EP172" s="302" t="n"/>
      <x:c r="EQ172" s="302" t="n"/>
      <x:c r="ER172" s="302" t="n"/>
      <x:c r="ES172" s="302" t="n"/>
      <x:c r="ET172" s="302" t="n"/>
      <x:c r="EU172" s="302" t="n"/>
      <x:c r="EV172" s="302" t="n"/>
      <x:c r="EW172" s="302" t="n"/>
      <x:c r="EX172" s="302" t="n"/>
      <x:c r="EY172" s="302" t="n"/>
    </x:row>
    <x:row r="173" s="27" customFormat="1">
      <x:c r="A173" s="38" t="n"/>
      <x:c r="B173" s="37" t="n"/>
      <x:c r="C173" s="36" t="n">
        <x:f>E173*D$5</x:f>
        <x:v>0</x:v>
      </x:c>
      <x:c r="D173" s="20" t="n"/>
      <x:c r="E173" s="36" t="n">
        <x:f>SUM(G173:HS173)</x:f>
        <x:v>0</x:v>
      </x:c>
      <x:c r="F173" s="126" t="inlineStr">
        <x:is>
          <x:t xml:space="preserve"/>
        </x:is>
      </x:c>
      <x:c r="G173" s="302" t="n"/>
      <x:c r="H173" s="302" t="n"/>
      <x:c r="I173" s="302" t="n"/>
      <x:c r="J173" s="302" t="n"/>
      <x:c r="K173" s="302" t="n"/>
      <x:c r="L173" s="302" t="n"/>
      <x:c r="M173" s="302" t="n"/>
      <x:c r="N173" s="302" t="n"/>
      <x:c r="O173" s="302" t="n"/>
      <x:c r="P173" s="100" t="n"/>
      <x:c r="Q173" s="302" t="n"/>
      <x:c r="R173" s="302" t="n"/>
      <x:c r="S173" s="302" t="n"/>
      <x:c r="T173" s="302" t="n"/>
      <x:c r="U173" s="302" t="n"/>
      <x:c r="V173" s="302" t="n"/>
      <x:c r="W173" s="302" t="n"/>
      <x:c r="X173" s="302" t="n"/>
      <x:c r="Y173" s="100" t="n"/>
      <x:c r="Z173" s="100" t="n"/>
      <x:c r="AA173" s="100" t="n"/>
      <x:c r="AB173" s="100" t="n"/>
      <x:c r="AC173" s="100" t="n"/>
      <x:c r="AD173" s="100" t="n"/>
      <x:c r="AE173" s="100" t="n"/>
      <x:c r="AF173" s="302" t="n"/>
      <x:c r="AG173" s="100" t="n"/>
      <x:c r="AH173" s="302" t="n"/>
      <x:c r="AI173" s="100" t="n"/>
      <x:c r="AJ173" s="302" t="n"/>
      <x:c r="AK173" s="302" t="n"/>
      <x:c r="AL173" s="302" t="n"/>
      <x:c r="AM173" s="302" t="n"/>
      <x:c r="AN173" s="302" t="n"/>
      <x:c r="AO173" s="302" t="n"/>
      <x:c r="AP173" s="302" t="n"/>
      <x:c r="AQ173" s="302" t="n"/>
      <x:c r="AR173" s="302" t="n"/>
      <x:c r="AS173" s="302" t="n"/>
      <x:c r="AT173" s="302" t="n"/>
      <x:c r="AU173" s="302" t="n"/>
      <x:c r="AV173" s="302" t="n"/>
      <x:c r="AW173" s="302" t="n"/>
      <x:c r="AX173" s="302" t="n"/>
      <x:c r="AY173" s="302" t="n"/>
      <x:c r="AZ173" s="302" t="n"/>
      <x:c r="BA173" s="302" t="n"/>
      <x:c r="BB173" s="302" t="n"/>
      <x:c r="BC173" s="302" t="n"/>
      <x:c r="BD173" s="302" t="n"/>
      <x:c r="BE173" s="302" t="n"/>
      <x:c r="BF173" s="302" t="n"/>
      <x:c r="BG173" s="302" t="n"/>
      <x:c r="BH173" s="302" t="n"/>
      <x:c r="BI173" s="302" t="n"/>
      <x:c r="BJ173" s="302" t="n"/>
      <x:c r="BK173" s="302" t="n"/>
      <x:c r="BL173" s="302" t="n"/>
      <x:c r="BM173" s="302" t="n"/>
      <x:c r="BN173" s="302" t="n"/>
      <x:c r="BO173" s="302" t="n"/>
      <x:c r="BP173" s="302" t="n"/>
      <x:c r="BQ173" s="302" t="n"/>
      <x:c r="BR173" s="302" t="n"/>
      <x:c r="BS173" s="302" t="n"/>
      <x:c r="BT173" s="302" t="n"/>
      <x:c r="BU173" s="302" t="n"/>
      <x:c r="BV173" s="302" t="n"/>
      <x:c r="BW173" s="302" t="n"/>
      <x:c r="BX173" s="302" t="n"/>
      <x:c r="BY173" s="302" t="n"/>
      <x:c r="BZ173" s="302" t="n"/>
      <x:c r="CA173" s="302" t="n"/>
      <x:c r="CB173" s="302" t="n"/>
      <x:c r="CC173" s="302" t="n"/>
      <x:c r="CD173" s="302" t="n"/>
      <x:c r="CE173" s="302" t="n"/>
      <x:c r="CF173" s="302" t="n"/>
      <x:c r="CG173" s="302" t="n"/>
      <x:c r="CH173" s="302" t="n"/>
      <x:c r="CI173" s="302" t="n"/>
      <x:c r="CJ173" s="302" t="n"/>
      <x:c r="CK173" s="302" t="n"/>
      <x:c r="CL173" s="302" t="n"/>
      <x:c r="CM173" s="302" t="n"/>
      <x:c r="CN173" s="302" t="n"/>
      <x:c r="CO173" s="302" t="n"/>
      <x:c r="CP173" s="302" t="n"/>
      <x:c r="CQ173" s="302" t="n"/>
      <x:c r="CR173" s="302" t="n"/>
      <x:c r="CS173" s="302" t="n"/>
      <x:c r="CT173" s="302" t="n"/>
      <x:c r="CU173" s="302" t="n"/>
      <x:c r="CV173" s="302" t="n"/>
      <x:c r="CW173" s="302" t="n"/>
      <x:c r="CX173" s="302" t="n"/>
      <x:c r="CY173" s="302" t="n"/>
      <x:c r="CZ173" s="302" t="n"/>
      <x:c r="DA173" s="302" t="n"/>
      <x:c r="DB173" s="302" t="n"/>
      <x:c r="DC173" s="302" t="n"/>
      <x:c r="DD173" s="302" t="n"/>
      <x:c r="DE173" s="302" t="n"/>
      <x:c r="DF173" s="302" t="n"/>
      <x:c r="DG173" s="302" t="n"/>
      <x:c r="DH173" s="302" t="n"/>
      <x:c r="DI173" s="302" t="n"/>
      <x:c r="DJ173" s="302" t="n"/>
      <x:c r="DK173" s="302" t="n"/>
      <x:c r="DL173" s="302" t="n"/>
      <x:c r="DM173" s="302" t="n"/>
      <x:c r="DN173" s="302" t="n"/>
      <x:c r="DO173" s="302" t="n"/>
      <x:c r="DP173" s="302" t="n"/>
      <x:c r="DQ173" s="302" t="n"/>
      <x:c r="DR173" s="302" t="n"/>
      <x:c r="DS173" s="302" t="n"/>
      <x:c r="DT173" s="302" t="n"/>
      <x:c r="DU173" s="302" t="n"/>
      <x:c r="DV173" s="302" t="n"/>
      <x:c r="DW173" s="302" t="n"/>
      <x:c r="DX173" s="302" t="n"/>
      <x:c r="DY173" s="302" t="n"/>
      <x:c r="DZ173" s="302" t="n"/>
      <x:c r="EA173" s="302" t="n"/>
      <x:c r="EB173" s="302" t="n"/>
      <x:c r="EC173" s="302" t="n"/>
      <x:c r="ED173" s="302" t="n"/>
      <x:c r="EE173" s="302" t="n"/>
      <x:c r="EF173" s="302" t="n"/>
      <x:c r="EG173" s="302" t="n"/>
      <x:c r="EH173" s="302" t="n"/>
      <x:c r="EI173" s="302" t="n"/>
      <x:c r="EJ173" s="302" t="n"/>
      <x:c r="EK173" s="302" t="n"/>
      <x:c r="EL173" s="302" t="n"/>
      <x:c r="EM173" s="302" t="n"/>
      <x:c r="EN173" s="302" t="n"/>
      <x:c r="EO173" s="302" t="n"/>
      <x:c r="EP173" s="302" t="n"/>
      <x:c r="EQ173" s="302" t="n"/>
      <x:c r="ER173" s="302" t="n"/>
      <x:c r="ES173" s="302" t="n"/>
      <x:c r="ET173" s="302" t="n"/>
      <x:c r="EU173" s="302" t="n"/>
      <x:c r="EV173" s="302" t="n"/>
      <x:c r="EW173" s="302" t="n"/>
      <x:c r="EX173" s="302" t="n"/>
      <x:c r="EY173" s="302" t="n"/>
    </x:row>
    <x:row r="174" s="27" customFormat="1">
      <x:c r="A174" s="38" t="n"/>
      <x:c r="B174" s="37" t="n"/>
      <x:c r="C174" s="36" t="n">
        <x:f>E174*D$5</x:f>
        <x:v>0</x:v>
      </x:c>
      <x:c r="D174" s="20" t="n"/>
      <x:c r="E174" s="36" t="n">
        <x:f>SUM(G174:HS174)</x:f>
        <x:v>0</x:v>
      </x:c>
      <x:c r="F174" s="126" t="inlineStr">
        <x:is>
          <x:t xml:space="preserve"/>
        </x:is>
      </x:c>
      <x:c r="G174" s="302" t="n"/>
      <x:c r="H174" s="302" t="n"/>
      <x:c r="I174" s="302" t="n"/>
      <x:c r="J174" s="302" t="n"/>
      <x:c r="K174" s="302" t="n"/>
      <x:c r="L174" s="302" t="n"/>
      <x:c r="M174" s="302" t="n"/>
      <x:c r="N174" s="302" t="n"/>
      <x:c r="O174" s="302" t="n"/>
      <x:c r="P174" s="100" t="n"/>
      <x:c r="Q174" s="302" t="n"/>
      <x:c r="R174" s="302" t="n"/>
      <x:c r="S174" s="302" t="n"/>
      <x:c r="T174" s="302" t="n"/>
      <x:c r="U174" s="302" t="n"/>
      <x:c r="V174" s="302" t="n"/>
      <x:c r="W174" s="302" t="n"/>
      <x:c r="X174" s="302" t="n"/>
      <x:c r="Y174" s="100" t="n"/>
      <x:c r="Z174" s="100" t="n"/>
      <x:c r="AA174" s="100" t="n"/>
      <x:c r="AB174" s="100" t="n"/>
      <x:c r="AC174" s="100" t="n"/>
      <x:c r="AD174" s="100" t="n"/>
      <x:c r="AE174" s="100" t="n"/>
      <x:c r="AF174" s="302" t="n"/>
      <x:c r="AG174" s="100" t="n"/>
      <x:c r="AH174" s="302" t="n"/>
      <x:c r="AI174" s="100" t="n"/>
      <x:c r="AJ174" s="302" t="n"/>
      <x:c r="AK174" s="302" t="n"/>
      <x:c r="AL174" s="302" t="n"/>
      <x:c r="AM174" s="302" t="n"/>
      <x:c r="AN174" s="302" t="n"/>
      <x:c r="AO174" s="302" t="n"/>
      <x:c r="AP174" s="302" t="n"/>
      <x:c r="AQ174" s="302" t="n"/>
      <x:c r="AR174" s="302" t="n"/>
      <x:c r="AS174" s="302" t="n"/>
      <x:c r="AT174" s="302" t="n"/>
      <x:c r="AU174" s="302" t="n"/>
      <x:c r="AV174" s="302" t="n"/>
      <x:c r="AW174" s="302" t="n"/>
      <x:c r="AX174" s="302" t="n"/>
      <x:c r="AY174" s="302" t="n"/>
      <x:c r="AZ174" s="302" t="n"/>
      <x:c r="BA174" s="302" t="n"/>
      <x:c r="BB174" s="302" t="n"/>
      <x:c r="BC174" s="302" t="n"/>
      <x:c r="BD174" s="302" t="n"/>
      <x:c r="BE174" s="302" t="n"/>
      <x:c r="BF174" s="302" t="n"/>
      <x:c r="BG174" s="302" t="n"/>
      <x:c r="BH174" s="302" t="n"/>
      <x:c r="BI174" s="302" t="n"/>
      <x:c r="BJ174" s="302" t="n"/>
      <x:c r="BK174" s="302" t="n"/>
      <x:c r="BL174" s="302" t="n"/>
      <x:c r="BM174" s="302" t="n"/>
      <x:c r="BN174" s="302" t="n"/>
      <x:c r="BO174" s="302" t="n"/>
      <x:c r="BP174" s="302" t="n"/>
      <x:c r="BQ174" s="302" t="n"/>
      <x:c r="BR174" s="302" t="n"/>
      <x:c r="BS174" s="302" t="n"/>
      <x:c r="BT174" s="302" t="n"/>
      <x:c r="BU174" s="302" t="n"/>
      <x:c r="BV174" s="302" t="n"/>
      <x:c r="BW174" s="302" t="n"/>
      <x:c r="BX174" s="302" t="n"/>
      <x:c r="BY174" s="302" t="n"/>
      <x:c r="BZ174" s="302" t="n"/>
      <x:c r="CA174" s="302" t="n"/>
      <x:c r="CB174" s="302" t="n"/>
      <x:c r="CC174" s="302" t="n"/>
      <x:c r="CD174" s="302" t="n"/>
      <x:c r="CE174" s="302" t="n"/>
      <x:c r="CF174" s="302" t="n"/>
      <x:c r="CG174" s="302" t="n"/>
      <x:c r="CH174" s="302" t="n"/>
      <x:c r="CI174" s="302" t="n"/>
      <x:c r="CJ174" s="302" t="n"/>
      <x:c r="CK174" s="302" t="n"/>
      <x:c r="CL174" s="302" t="n"/>
      <x:c r="CM174" s="302" t="n"/>
      <x:c r="CN174" s="302" t="n"/>
      <x:c r="CO174" s="302" t="n"/>
      <x:c r="CP174" s="302" t="n"/>
      <x:c r="CQ174" s="302" t="n"/>
      <x:c r="CR174" s="302" t="n"/>
      <x:c r="CS174" s="302" t="n"/>
      <x:c r="CT174" s="302" t="n"/>
      <x:c r="CU174" s="302" t="n"/>
      <x:c r="CV174" s="302" t="n"/>
      <x:c r="CW174" s="302" t="n"/>
      <x:c r="CX174" s="302" t="n"/>
      <x:c r="CY174" s="302" t="n"/>
      <x:c r="CZ174" s="302" t="n"/>
      <x:c r="DA174" s="302" t="n"/>
      <x:c r="DB174" s="302" t="n"/>
      <x:c r="DC174" s="302" t="n"/>
      <x:c r="DD174" s="302" t="n"/>
      <x:c r="DE174" s="302" t="n"/>
      <x:c r="DF174" s="302" t="n"/>
      <x:c r="DG174" s="302" t="n"/>
      <x:c r="DH174" s="302" t="n"/>
      <x:c r="DI174" s="302" t="n"/>
      <x:c r="DJ174" s="302" t="n"/>
      <x:c r="DK174" s="302" t="n"/>
      <x:c r="DL174" s="302" t="n"/>
      <x:c r="DM174" s="302" t="n"/>
      <x:c r="DN174" s="302" t="n"/>
      <x:c r="DO174" s="302" t="n"/>
      <x:c r="DP174" s="302" t="n"/>
      <x:c r="DQ174" s="302" t="n"/>
      <x:c r="DR174" s="302" t="n"/>
      <x:c r="DS174" s="302" t="n"/>
      <x:c r="DT174" s="302" t="n"/>
      <x:c r="DU174" s="302" t="n"/>
      <x:c r="DV174" s="302" t="n"/>
      <x:c r="DW174" s="302" t="n"/>
      <x:c r="DX174" s="302" t="n"/>
      <x:c r="DY174" s="302" t="n"/>
      <x:c r="DZ174" s="302" t="n"/>
      <x:c r="EA174" s="302" t="n"/>
      <x:c r="EB174" s="302" t="n"/>
      <x:c r="EC174" s="302" t="n"/>
      <x:c r="ED174" s="302" t="n"/>
      <x:c r="EE174" s="302" t="n"/>
      <x:c r="EF174" s="302" t="n"/>
      <x:c r="EG174" s="302" t="n"/>
      <x:c r="EH174" s="302" t="n"/>
      <x:c r="EI174" s="302" t="n"/>
      <x:c r="EJ174" s="302" t="n"/>
      <x:c r="EK174" s="302" t="n"/>
      <x:c r="EL174" s="302" t="n"/>
      <x:c r="EM174" s="302" t="n"/>
      <x:c r="EN174" s="302" t="n"/>
      <x:c r="EO174" s="302" t="n"/>
      <x:c r="EP174" s="302" t="n"/>
      <x:c r="EQ174" s="302" t="n"/>
      <x:c r="ER174" s="302" t="n"/>
      <x:c r="ES174" s="302" t="n"/>
      <x:c r="ET174" s="302" t="n"/>
      <x:c r="EU174" s="302" t="n"/>
      <x:c r="EV174" s="302" t="n"/>
      <x:c r="EW174" s="302" t="n"/>
      <x:c r="EX174" s="302" t="n"/>
      <x:c r="EY174" s="302" t="n"/>
    </x:row>
    <x:row r="175" s="27" customFormat="1">
      <x:c r="A175" s="38" t="n"/>
      <x:c r="B175" s="37" t="n"/>
      <x:c r="C175" s="36" t="n">
        <x:f>E175*D$5</x:f>
        <x:v>0</x:v>
      </x:c>
      <x:c r="D175" s="20" t="n"/>
      <x:c r="E175" s="36" t="n">
        <x:f>SUM(G175:HS175)</x:f>
        <x:v>0</x:v>
      </x:c>
      <x:c r="F175" s="126" t="inlineStr">
        <x:is>
          <x:t xml:space="preserve"/>
        </x:is>
      </x:c>
      <x:c r="G175" s="302" t="n"/>
      <x:c r="H175" s="302" t="n"/>
      <x:c r="I175" s="302" t="n"/>
      <x:c r="J175" s="302" t="n"/>
      <x:c r="K175" s="302" t="n"/>
      <x:c r="L175" s="302" t="n"/>
      <x:c r="M175" s="302" t="n"/>
      <x:c r="N175" s="302" t="n"/>
      <x:c r="O175" s="302" t="n"/>
      <x:c r="P175" s="100" t="n"/>
      <x:c r="Q175" s="302" t="n"/>
      <x:c r="R175" s="302" t="n"/>
      <x:c r="S175" s="302" t="n"/>
      <x:c r="T175" s="302" t="n"/>
      <x:c r="U175" s="302" t="n"/>
      <x:c r="V175" s="302" t="n"/>
      <x:c r="W175" s="302" t="n"/>
      <x:c r="X175" s="302" t="n"/>
      <x:c r="Y175" s="100" t="n"/>
      <x:c r="Z175" s="100" t="n"/>
      <x:c r="AA175" s="100" t="n"/>
      <x:c r="AB175" s="100" t="n"/>
      <x:c r="AC175" s="100" t="n"/>
      <x:c r="AD175" s="100" t="n"/>
      <x:c r="AE175" s="100" t="n"/>
      <x:c r="AF175" s="302" t="n"/>
      <x:c r="AG175" s="100" t="n"/>
      <x:c r="AH175" s="302" t="n"/>
      <x:c r="AI175" s="100" t="n"/>
      <x:c r="AJ175" s="302" t="n"/>
      <x:c r="AK175" s="302" t="n"/>
      <x:c r="AL175" s="302" t="n"/>
      <x:c r="AM175" s="302" t="n"/>
      <x:c r="AN175" s="302" t="n"/>
      <x:c r="AO175" s="302" t="n"/>
      <x:c r="AP175" s="302" t="n"/>
      <x:c r="AQ175" s="302" t="n"/>
      <x:c r="AR175" s="302" t="n"/>
      <x:c r="AS175" s="302" t="n"/>
      <x:c r="AT175" s="302" t="n"/>
      <x:c r="AU175" s="302" t="n"/>
      <x:c r="AV175" s="302" t="n"/>
      <x:c r="AW175" s="302" t="n"/>
      <x:c r="AX175" s="302" t="n"/>
      <x:c r="AY175" s="302" t="n"/>
      <x:c r="AZ175" s="302" t="n"/>
      <x:c r="BA175" s="302" t="n"/>
      <x:c r="BB175" s="302" t="n"/>
      <x:c r="BC175" s="302" t="n"/>
      <x:c r="BD175" s="302" t="n"/>
      <x:c r="BE175" s="302" t="n"/>
      <x:c r="BF175" s="302" t="n"/>
      <x:c r="BG175" s="302" t="n"/>
      <x:c r="BH175" s="302" t="n"/>
      <x:c r="BI175" s="302" t="n"/>
      <x:c r="BJ175" s="302" t="n"/>
      <x:c r="BK175" s="302" t="n"/>
      <x:c r="BL175" s="302" t="n"/>
      <x:c r="BM175" s="302" t="n"/>
      <x:c r="BN175" s="302" t="n"/>
      <x:c r="BO175" s="302" t="n"/>
      <x:c r="BP175" s="302" t="n"/>
      <x:c r="BQ175" s="302" t="n"/>
      <x:c r="BR175" s="302" t="n"/>
      <x:c r="BS175" s="302" t="n"/>
      <x:c r="BT175" s="302" t="n"/>
      <x:c r="BU175" s="302" t="n"/>
      <x:c r="BV175" s="302" t="n"/>
      <x:c r="BW175" s="302" t="n"/>
      <x:c r="BX175" s="302" t="n"/>
      <x:c r="BY175" s="302" t="n"/>
      <x:c r="BZ175" s="302" t="n"/>
      <x:c r="CA175" s="302" t="n"/>
      <x:c r="CB175" s="302" t="n"/>
      <x:c r="CC175" s="302" t="n"/>
      <x:c r="CD175" s="302" t="n"/>
      <x:c r="CE175" s="302" t="n"/>
      <x:c r="CF175" s="302" t="n"/>
      <x:c r="CG175" s="302" t="n"/>
      <x:c r="CH175" s="302" t="n"/>
      <x:c r="CI175" s="302" t="n"/>
      <x:c r="CJ175" s="302" t="n"/>
      <x:c r="CK175" s="302" t="n"/>
      <x:c r="CL175" s="302" t="n"/>
      <x:c r="CM175" s="302" t="n"/>
      <x:c r="CN175" s="302" t="n"/>
      <x:c r="CO175" s="302" t="n"/>
      <x:c r="CP175" s="302" t="n"/>
      <x:c r="CQ175" s="302" t="n"/>
      <x:c r="CR175" s="302" t="n"/>
      <x:c r="CS175" s="302" t="n"/>
      <x:c r="CT175" s="302" t="n"/>
      <x:c r="CU175" s="302" t="n"/>
      <x:c r="CV175" s="302" t="n"/>
      <x:c r="CW175" s="302" t="n"/>
      <x:c r="CX175" s="302" t="n"/>
      <x:c r="CY175" s="302" t="n"/>
      <x:c r="CZ175" s="302" t="n"/>
      <x:c r="DA175" s="302" t="n"/>
      <x:c r="DB175" s="302" t="n"/>
      <x:c r="DC175" s="302" t="n"/>
      <x:c r="DD175" s="302" t="n"/>
      <x:c r="DE175" s="302" t="n"/>
      <x:c r="DF175" s="302" t="n"/>
      <x:c r="DG175" s="302" t="n"/>
      <x:c r="DH175" s="302" t="n"/>
      <x:c r="DI175" s="302" t="n"/>
      <x:c r="DJ175" s="302" t="n"/>
      <x:c r="DK175" s="302" t="n"/>
      <x:c r="DL175" s="302" t="n"/>
      <x:c r="DM175" s="302" t="n"/>
      <x:c r="DN175" s="302" t="n"/>
      <x:c r="DO175" s="302" t="n"/>
      <x:c r="DP175" s="302" t="n"/>
      <x:c r="DQ175" s="302" t="n"/>
      <x:c r="DR175" s="302" t="n"/>
      <x:c r="DS175" s="302" t="n"/>
      <x:c r="DT175" s="302" t="n"/>
      <x:c r="DU175" s="302" t="n"/>
      <x:c r="DV175" s="302" t="n"/>
      <x:c r="DW175" s="302" t="n"/>
      <x:c r="DX175" s="302" t="n"/>
      <x:c r="DY175" s="302" t="n"/>
      <x:c r="DZ175" s="302" t="n"/>
      <x:c r="EA175" s="302" t="n"/>
      <x:c r="EB175" s="302" t="n"/>
      <x:c r="EC175" s="302" t="n"/>
      <x:c r="ED175" s="302" t="n"/>
      <x:c r="EE175" s="302" t="n"/>
      <x:c r="EF175" s="302" t="n"/>
      <x:c r="EG175" s="302" t="n"/>
      <x:c r="EH175" s="302" t="n"/>
      <x:c r="EI175" s="302" t="n"/>
      <x:c r="EJ175" s="302" t="n"/>
      <x:c r="EK175" s="302" t="n"/>
      <x:c r="EL175" s="302" t="n"/>
      <x:c r="EM175" s="302" t="n"/>
      <x:c r="EN175" s="302" t="n"/>
      <x:c r="EO175" s="302" t="n"/>
      <x:c r="EP175" s="302" t="n"/>
      <x:c r="EQ175" s="302" t="n"/>
      <x:c r="ER175" s="302" t="n"/>
      <x:c r="ES175" s="302" t="n"/>
      <x:c r="ET175" s="302" t="n"/>
      <x:c r="EU175" s="302" t="n"/>
      <x:c r="EV175" s="302" t="n"/>
      <x:c r="EW175" s="302" t="n"/>
      <x:c r="EX175" s="302" t="n"/>
      <x:c r="EY175" s="302" t="n"/>
    </x:row>
    <x:row r="176" s="27" customFormat="1">
      <x:c r="A176" s="38" t="n"/>
      <x:c r="B176" s="37" t="n"/>
      <x:c r="C176" s="36" t="n">
        <x:f>E176*D$5</x:f>
        <x:v>0</x:v>
      </x:c>
      <x:c r="D176" s="20" t="n"/>
      <x:c r="E176" s="36" t="n">
        <x:f>SUM(G176:HS176)</x:f>
        <x:v>0</x:v>
      </x:c>
      <x:c r="F176" s="126" t="inlineStr">
        <x:is>
          <x:t xml:space="preserve"/>
        </x:is>
      </x:c>
      <x:c r="G176" s="302" t="n"/>
      <x:c r="H176" s="302" t="n"/>
      <x:c r="I176" s="302" t="n"/>
      <x:c r="J176" s="302" t="n"/>
      <x:c r="K176" s="302" t="n"/>
      <x:c r="L176" s="302" t="n"/>
      <x:c r="M176" s="302" t="n"/>
      <x:c r="N176" s="302" t="n"/>
      <x:c r="O176" s="302" t="n"/>
      <x:c r="P176" s="100" t="n"/>
      <x:c r="Q176" s="302" t="n"/>
      <x:c r="R176" s="302" t="n"/>
      <x:c r="S176" s="302" t="n"/>
      <x:c r="T176" s="302" t="n"/>
      <x:c r="U176" s="302" t="n"/>
      <x:c r="V176" s="302" t="n"/>
      <x:c r="W176" s="302" t="n"/>
      <x:c r="X176" s="302" t="n"/>
      <x:c r="Y176" s="100" t="n"/>
      <x:c r="Z176" s="100" t="n"/>
      <x:c r="AA176" s="100" t="n"/>
      <x:c r="AB176" s="100" t="n"/>
      <x:c r="AC176" s="100" t="n"/>
      <x:c r="AD176" s="100" t="n"/>
      <x:c r="AE176" s="100" t="n"/>
      <x:c r="AF176" s="302" t="n"/>
      <x:c r="AG176" s="100" t="n"/>
      <x:c r="AH176" s="302" t="n"/>
      <x:c r="AI176" s="100" t="n"/>
      <x:c r="AJ176" s="302" t="n"/>
      <x:c r="AK176" s="302" t="n"/>
      <x:c r="AL176" s="302" t="n"/>
      <x:c r="AM176" s="302" t="n"/>
      <x:c r="AN176" s="302" t="n"/>
      <x:c r="AO176" s="302" t="n"/>
      <x:c r="AP176" s="302" t="n"/>
      <x:c r="AQ176" s="302" t="n"/>
      <x:c r="AR176" s="302" t="n"/>
      <x:c r="AS176" s="302" t="n"/>
      <x:c r="AT176" s="302" t="n"/>
      <x:c r="AU176" s="302" t="n"/>
      <x:c r="AV176" s="302" t="n"/>
      <x:c r="AW176" s="302" t="n"/>
      <x:c r="AX176" s="302" t="n"/>
      <x:c r="AY176" s="302" t="n"/>
      <x:c r="AZ176" s="302" t="n"/>
      <x:c r="BA176" s="302" t="n"/>
      <x:c r="BB176" s="302" t="n"/>
      <x:c r="BC176" s="302" t="n"/>
      <x:c r="BD176" s="302" t="n"/>
      <x:c r="BE176" s="302" t="n"/>
      <x:c r="BF176" s="302" t="n"/>
      <x:c r="BG176" s="302" t="n"/>
      <x:c r="BH176" s="302" t="n"/>
      <x:c r="BI176" s="302" t="n"/>
      <x:c r="BJ176" s="302" t="n"/>
      <x:c r="BK176" s="302" t="n"/>
      <x:c r="BL176" s="302" t="n"/>
      <x:c r="BM176" s="302" t="n"/>
      <x:c r="BN176" s="302" t="n"/>
      <x:c r="BO176" s="302" t="n"/>
      <x:c r="BP176" s="302" t="n"/>
      <x:c r="BQ176" s="302" t="n"/>
      <x:c r="BR176" s="302" t="n"/>
      <x:c r="BS176" s="302" t="n"/>
      <x:c r="BT176" s="302" t="n"/>
      <x:c r="BU176" s="302" t="n"/>
      <x:c r="BV176" s="302" t="n"/>
      <x:c r="BW176" s="302" t="n"/>
      <x:c r="BX176" s="302" t="n"/>
      <x:c r="BY176" s="302" t="n"/>
      <x:c r="BZ176" s="302" t="n"/>
      <x:c r="CA176" s="302" t="n"/>
      <x:c r="CB176" s="302" t="n"/>
      <x:c r="CC176" s="302" t="n"/>
      <x:c r="CD176" s="302" t="n"/>
      <x:c r="CE176" s="302" t="n"/>
      <x:c r="CF176" s="302" t="n"/>
      <x:c r="CG176" s="302" t="n"/>
      <x:c r="CH176" s="302" t="n"/>
      <x:c r="CI176" s="302" t="n"/>
      <x:c r="CJ176" s="302" t="n"/>
      <x:c r="CK176" s="302" t="n"/>
      <x:c r="CL176" s="302" t="n"/>
      <x:c r="CM176" s="302" t="n"/>
      <x:c r="CN176" s="302" t="n"/>
      <x:c r="CO176" s="302" t="n"/>
      <x:c r="CP176" s="302" t="n"/>
      <x:c r="CQ176" s="302" t="n"/>
      <x:c r="CR176" s="302" t="n"/>
      <x:c r="CS176" s="302" t="n"/>
      <x:c r="CT176" s="302" t="n"/>
      <x:c r="CU176" s="302" t="n"/>
      <x:c r="CV176" s="302" t="n"/>
      <x:c r="CW176" s="302" t="n"/>
      <x:c r="CX176" s="302" t="n"/>
      <x:c r="CY176" s="302" t="n"/>
      <x:c r="CZ176" s="302" t="n"/>
      <x:c r="DA176" s="302" t="n"/>
      <x:c r="DB176" s="302" t="n"/>
      <x:c r="DC176" s="302" t="n"/>
      <x:c r="DD176" s="302" t="n"/>
      <x:c r="DE176" s="302" t="n"/>
      <x:c r="DF176" s="302" t="n"/>
      <x:c r="DG176" s="302" t="n"/>
      <x:c r="DH176" s="302" t="n"/>
      <x:c r="DI176" s="302" t="n"/>
      <x:c r="DJ176" s="302" t="n"/>
      <x:c r="DK176" s="302" t="n"/>
      <x:c r="DL176" s="302" t="n"/>
      <x:c r="DM176" s="302" t="n"/>
      <x:c r="DN176" s="302" t="n"/>
      <x:c r="DO176" s="302" t="n"/>
      <x:c r="DP176" s="302" t="n"/>
      <x:c r="DQ176" s="302" t="n"/>
      <x:c r="DR176" s="302" t="n"/>
      <x:c r="DS176" s="302" t="n"/>
      <x:c r="DT176" s="302" t="n"/>
      <x:c r="DU176" s="302" t="n"/>
      <x:c r="DV176" s="302" t="n"/>
      <x:c r="DW176" s="302" t="n"/>
      <x:c r="DX176" s="302" t="n"/>
      <x:c r="DY176" s="302" t="n"/>
      <x:c r="DZ176" s="302" t="n"/>
      <x:c r="EA176" s="302" t="n"/>
      <x:c r="EB176" s="302" t="n"/>
      <x:c r="EC176" s="302" t="n"/>
      <x:c r="ED176" s="302" t="n"/>
      <x:c r="EE176" s="302" t="n"/>
      <x:c r="EF176" s="302" t="n"/>
      <x:c r="EG176" s="302" t="n"/>
      <x:c r="EH176" s="302" t="n"/>
      <x:c r="EI176" s="302" t="n"/>
      <x:c r="EJ176" s="302" t="n"/>
      <x:c r="EK176" s="302" t="n"/>
      <x:c r="EL176" s="302" t="n"/>
      <x:c r="EM176" s="302" t="n"/>
      <x:c r="EN176" s="302" t="n"/>
      <x:c r="EO176" s="302" t="n"/>
      <x:c r="EP176" s="302" t="n"/>
      <x:c r="EQ176" s="302" t="n"/>
      <x:c r="ER176" s="302" t="n"/>
      <x:c r="ES176" s="302" t="n"/>
      <x:c r="ET176" s="302" t="n"/>
      <x:c r="EU176" s="302" t="n"/>
      <x:c r="EV176" s="302" t="n"/>
      <x:c r="EW176" s="302" t="n"/>
      <x:c r="EX176" s="302" t="n"/>
      <x:c r="EY176" s="302" t="n"/>
    </x:row>
    <x:row r="177" s="27" customFormat="1">
      <x:c r="A177" s="38" t="n"/>
      <x:c r="B177" s="37" t="n"/>
      <x:c r="C177" s="36" t="n">
        <x:f>E177*D$5</x:f>
        <x:v>0</x:v>
      </x:c>
      <x:c r="D177" s="20" t="n"/>
      <x:c r="E177" s="36" t="n">
        <x:f>SUM(G177:HS177)</x:f>
        <x:v>0</x:v>
      </x:c>
      <x:c r="F177" s="126" t="inlineStr">
        <x:is>
          <x:t xml:space="preserve"/>
        </x:is>
      </x:c>
      <x:c r="G177" s="302" t="n"/>
      <x:c r="H177" s="302" t="n"/>
      <x:c r="I177" s="302" t="n"/>
      <x:c r="J177" s="302" t="n"/>
      <x:c r="K177" s="302" t="n"/>
      <x:c r="L177" s="302" t="n"/>
      <x:c r="M177" s="302" t="n"/>
      <x:c r="N177" s="302" t="n"/>
      <x:c r="O177" s="302" t="n"/>
      <x:c r="P177" s="100" t="n"/>
      <x:c r="Q177" s="302" t="n"/>
      <x:c r="R177" s="302" t="n"/>
      <x:c r="S177" s="302" t="n"/>
      <x:c r="T177" s="302" t="n"/>
      <x:c r="U177" s="302" t="n"/>
      <x:c r="V177" s="302" t="n"/>
      <x:c r="W177" s="302" t="n"/>
      <x:c r="X177" s="302" t="n"/>
      <x:c r="Y177" s="100" t="n"/>
      <x:c r="Z177" s="100" t="n"/>
      <x:c r="AA177" s="100" t="n"/>
      <x:c r="AB177" s="100" t="n"/>
      <x:c r="AC177" s="100" t="n"/>
      <x:c r="AD177" s="100" t="n"/>
      <x:c r="AE177" s="100" t="n"/>
      <x:c r="AF177" s="302" t="n"/>
      <x:c r="AG177" s="100" t="n"/>
      <x:c r="AH177" s="302" t="n"/>
      <x:c r="AI177" s="100" t="n"/>
      <x:c r="AJ177" s="302" t="n"/>
      <x:c r="AK177" s="302" t="n"/>
      <x:c r="AL177" s="302" t="n"/>
      <x:c r="AM177" s="302" t="n"/>
      <x:c r="AN177" s="302" t="n"/>
      <x:c r="AO177" s="302" t="n"/>
      <x:c r="AP177" s="302" t="n"/>
      <x:c r="AQ177" s="302" t="n"/>
      <x:c r="AR177" s="302" t="n"/>
      <x:c r="AS177" s="302" t="n"/>
      <x:c r="AT177" s="302" t="n"/>
      <x:c r="AU177" s="302" t="n"/>
      <x:c r="AV177" s="302" t="n"/>
      <x:c r="AW177" s="302" t="n"/>
      <x:c r="AX177" s="302" t="n"/>
      <x:c r="AY177" s="302" t="n"/>
      <x:c r="AZ177" s="302" t="n"/>
      <x:c r="BA177" s="302" t="n"/>
      <x:c r="BB177" s="302" t="n"/>
      <x:c r="BC177" s="302" t="n"/>
      <x:c r="BD177" s="302" t="n"/>
      <x:c r="BE177" s="302" t="n"/>
      <x:c r="BF177" s="302" t="n"/>
      <x:c r="BG177" s="302" t="n"/>
      <x:c r="BH177" s="302" t="n"/>
      <x:c r="BI177" s="302" t="n"/>
      <x:c r="BJ177" s="302" t="n"/>
      <x:c r="BK177" s="302" t="n"/>
      <x:c r="BL177" s="302" t="n"/>
      <x:c r="BM177" s="302" t="n"/>
      <x:c r="BN177" s="302" t="n"/>
      <x:c r="BO177" s="302" t="n"/>
      <x:c r="BP177" s="302" t="n"/>
      <x:c r="BQ177" s="302" t="n"/>
      <x:c r="BR177" s="302" t="n"/>
      <x:c r="BS177" s="302" t="n"/>
      <x:c r="BT177" s="302" t="n"/>
      <x:c r="BU177" s="302" t="n"/>
      <x:c r="BV177" s="302" t="n"/>
      <x:c r="BW177" s="302" t="n"/>
      <x:c r="BX177" s="302" t="n"/>
      <x:c r="BY177" s="302" t="n"/>
      <x:c r="BZ177" s="302" t="n"/>
      <x:c r="CA177" s="302" t="n"/>
      <x:c r="CB177" s="302" t="n"/>
      <x:c r="CC177" s="302" t="n"/>
      <x:c r="CD177" s="302" t="n"/>
      <x:c r="CE177" s="302" t="n"/>
      <x:c r="CF177" s="302" t="n"/>
      <x:c r="CG177" s="302" t="n"/>
      <x:c r="CH177" s="302" t="n"/>
      <x:c r="CI177" s="302" t="n"/>
      <x:c r="CJ177" s="302" t="n"/>
      <x:c r="CK177" s="302" t="n"/>
      <x:c r="CL177" s="302" t="n"/>
      <x:c r="CM177" s="302" t="n"/>
      <x:c r="CN177" s="302" t="n"/>
      <x:c r="CO177" s="302" t="n"/>
      <x:c r="CP177" s="302" t="n"/>
      <x:c r="CQ177" s="302" t="n"/>
      <x:c r="CR177" s="302" t="n"/>
      <x:c r="CS177" s="302" t="n"/>
      <x:c r="CT177" s="302" t="n"/>
      <x:c r="CU177" s="302" t="n"/>
      <x:c r="CV177" s="302" t="n"/>
      <x:c r="CW177" s="302" t="n"/>
      <x:c r="CX177" s="302" t="n"/>
      <x:c r="CY177" s="302" t="n"/>
      <x:c r="CZ177" s="302" t="n"/>
      <x:c r="DA177" s="302" t="n"/>
      <x:c r="DB177" s="302" t="n"/>
      <x:c r="DC177" s="302" t="n"/>
      <x:c r="DD177" s="302" t="n"/>
      <x:c r="DE177" s="302" t="n"/>
      <x:c r="DF177" s="302" t="n"/>
      <x:c r="DG177" s="302" t="n"/>
      <x:c r="DH177" s="302" t="n"/>
      <x:c r="DI177" s="302" t="n"/>
      <x:c r="DJ177" s="302" t="n"/>
      <x:c r="DK177" s="302" t="n"/>
      <x:c r="DL177" s="302" t="n"/>
      <x:c r="DM177" s="302" t="n"/>
      <x:c r="DN177" s="302" t="n"/>
      <x:c r="DO177" s="302" t="n"/>
      <x:c r="DP177" s="302" t="n"/>
      <x:c r="DQ177" s="302" t="n"/>
      <x:c r="DR177" s="302" t="n"/>
      <x:c r="DS177" s="302" t="n"/>
      <x:c r="DT177" s="302" t="n"/>
      <x:c r="DU177" s="302" t="n"/>
      <x:c r="DV177" s="302" t="n"/>
      <x:c r="DW177" s="302" t="n"/>
      <x:c r="DX177" s="302" t="n"/>
      <x:c r="DY177" s="302" t="n"/>
      <x:c r="DZ177" s="302" t="n"/>
      <x:c r="EA177" s="302" t="n"/>
      <x:c r="EB177" s="302" t="n"/>
      <x:c r="EC177" s="302" t="n"/>
      <x:c r="ED177" s="302" t="n"/>
      <x:c r="EE177" s="302" t="n"/>
      <x:c r="EF177" s="302" t="n"/>
      <x:c r="EG177" s="302" t="n"/>
      <x:c r="EH177" s="302" t="n"/>
      <x:c r="EI177" s="302" t="n"/>
      <x:c r="EJ177" s="302" t="n"/>
      <x:c r="EK177" s="302" t="n"/>
      <x:c r="EL177" s="302" t="n"/>
      <x:c r="EM177" s="302" t="n"/>
      <x:c r="EN177" s="302" t="n"/>
      <x:c r="EO177" s="302" t="n"/>
      <x:c r="EP177" s="302" t="n"/>
      <x:c r="EQ177" s="302" t="n"/>
      <x:c r="ER177" s="302" t="n"/>
      <x:c r="ES177" s="302" t="n"/>
      <x:c r="ET177" s="302" t="n"/>
      <x:c r="EU177" s="302" t="n"/>
      <x:c r="EV177" s="302" t="n"/>
      <x:c r="EW177" s="302" t="n"/>
      <x:c r="EX177" s="302" t="n"/>
      <x:c r="EY177" s="302" t="n"/>
    </x:row>
    <x:row r="178" s="27" customFormat="1">
      <x:c r="A178" s="38" t="n"/>
      <x:c r="B178" s="37" t="n"/>
      <x:c r="C178" s="36" t="n">
        <x:f>E178*D$5</x:f>
        <x:v>0</x:v>
      </x:c>
      <x:c r="D178" s="20" t="n"/>
      <x:c r="E178" s="36" t="n">
        <x:f>SUM(G178:HS178)</x:f>
        <x:v>0</x:v>
      </x:c>
      <x:c r="F178" s="126" t="inlineStr">
        <x:is>
          <x:t xml:space="preserve"/>
        </x:is>
      </x:c>
      <x:c r="G178" s="302" t="n"/>
      <x:c r="H178" s="302" t="n"/>
      <x:c r="I178" s="302" t="n"/>
      <x:c r="J178" s="302" t="n"/>
      <x:c r="K178" s="302" t="n"/>
      <x:c r="L178" s="302" t="n"/>
      <x:c r="M178" s="302" t="n"/>
      <x:c r="N178" s="302" t="n"/>
      <x:c r="O178" s="302" t="n"/>
      <x:c r="P178" s="100" t="n"/>
      <x:c r="Q178" s="302" t="n"/>
      <x:c r="R178" s="302" t="n"/>
      <x:c r="S178" s="302" t="n"/>
      <x:c r="T178" s="302" t="n"/>
      <x:c r="U178" s="302" t="n"/>
      <x:c r="V178" s="302" t="n"/>
      <x:c r="W178" s="302" t="n"/>
      <x:c r="X178" s="302" t="n"/>
      <x:c r="Y178" s="100" t="n"/>
      <x:c r="Z178" s="100" t="n"/>
      <x:c r="AA178" s="100" t="n"/>
      <x:c r="AB178" s="100" t="n"/>
      <x:c r="AC178" s="100" t="n"/>
      <x:c r="AD178" s="100" t="n"/>
      <x:c r="AE178" s="100" t="n"/>
      <x:c r="AF178" s="302" t="n"/>
      <x:c r="AG178" s="100" t="n"/>
      <x:c r="AH178" s="302" t="n"/>
      <x:c r="AI178" s="100" t="n"/>
      <x:c r="AJ178" s="302" t="n"/>
      <x:c r="AK178" s="302" t="n"/>
      <x:c r="AL178" s="302" t="n"/>
      <x:c r="AM178" s="302" t="n"/>
      <x:c r="AN178" s="302" t="n"/>
      <x:c r="AO178" s="302" t="n"/>
      <x:c r="AP178" s="302" t="n"/>
      <x:c r="AQ178" s="302" t="n"/>
      <x:c r="AR178" s="302" t="n"/>
      <x:c r="AS178" s="302" t="n"/>
      <x:c r="AT178" s="302" t="n"/>
      <x:c r="AU178" s="302" t="n"/>
      <x:c r="AV178" s="302" t="n"/>
      <x:c r="AW178" s="302" t="n"/>
      <x:c r="AX178" s="302" t="n"/>
      <x:c r="AY178" s="302" t="n"/>
      <x:c r="AZ178" s="302" t="n"/>
      <x:c r="BA178" s="302" t="n"/>
      <x:c r="BB178" s="302" t="n"/>
      <x:c r="BC178" s="302" t="n"/>
      <x:c r="BD178" s="302" t="n"/>
      <x:c r="BE178" s="302" t="n"/>
      <x:c r="BF178" s="302" t="n"/>
      <x:c r="BG178" s="302" t="n"/>
      <x:c r="BH178" s="302" t="n"/>
      <x:c r="BI178" s="302" t="n"/>
      <x:c r="BJ178" s="302" t="n"/>
      <x:c r="BK178" s="302" t="n"/>
      <x:c r="BL178" s="302" t="n"/>
      <x:c r="BM178" s="302" t="n"/>
      <x:c r="BN178" s="302" t="n"/>
      <x:c r="BO178" s="302" t="n"/>
      <x:c r="BP178" s="302" t="n"/>
      <x:c r="BQ178" s="302" t="n"/>
      <x:c r="BR178" s="302" t="n"/>
      <x:c r="BS178" s="302" t="n"/>
      <x:c r="BT178" s="302" t="n"/>
      <x:c r="BU178" s="302" t="n"/>
      <x:c r="BV178" s="302" t="n"/>
      <x:c r="BW178" s="302" t="n"/>
      <x:c r="BX178" s="302" t="n"/>
      <x:c r="BY178" s="302" t="n"/>
      <x:c r="BZ178" s="302" t="n"/>
      <x:c r="CA178" s="302" t="n"/>
      <x:c r="CB178" s="302" t="n"/>
      <x:c r="CC178" s="302" t="n"/>
      <x:c r="CD178" s="302" t="n"/>
      <x:c r="CE178" s="302" t="n"/>
      <x:c r="CF178" s="302" t="n"/>
      <x:c r="CG178" s="302" t="n"/>
      <x:c r="CH178" s="302" t="n"/>
      <x:c r="CI178" s="302" t="n"/>
      <x:c r="CJ178" s="302" t="n"/>
      <x:c r="CK178" s="302" t="n"/>
      <x:c r="CL178" s="302" t="n"/>
      <x:c r="CM178" s="302" t="n"/>
      <x:c r="CN178" s="302" t="n"/>
      <x:c r="CO178" s="302" t="n"/>
      <x:c r="CP178" s="302" t="n"/>
      <x:c r="CQ178" s="302" t="n"/>
      <x:c r="CR178" s="302" t="n"/>
      <x:c r="CS178" s="302" t="n"/>
      <x:c r="CT178" s="302" t="n"/>
      <x:c r="CU178" s="302" t="n"/>
      <x:c r="CV178" s="302" t="n"/>
      <x:c r="CW178" s="302" t="n"/>
      <x:c r="CX178" s="302" t="n"/>
      <x:c r="CY178" s="302" t="n"/>
      <x:c r="CZ178" s="302" t="n"/>
      <x:c r="DA178" s="302" t="n"/>
      <x:c r="DB178" s="302" t="n"/>
      <x:c r="DC178" s="302" t="n"/>
      <x:c r="DD178" s="302" t="n"/>
      <x:c r="DE178" s="302" t="n"/>
      <x:c r="DF178" s="302" t="n"/>
      <x:c r="DG178" s="302" t="n"/>
      <x:c r="DH178" s="302" t="n"/>
      <x:c r="DI178" s="302" t="n"/>
      <x:c r="DJ178" s="302" t="n"/>
      <x:c r="DK178" s="302" t="n"/>
      <x:c r="DL178" s="302" t="n"/>
      <x:c r="DM178" s="302" t="n"/>
      <x:c r="DN178" s="302" t="n"/>
      <x:c r="DO178" s="302" t="n"/>
      <x:c r="DP178" s="302" t="n"/>
      <x:c r="DQ178" s="302" t="n"/>
      <x:c r="DR178" s="302" t="n"/>
      <x:c r="DS178" s="302" t="n"/>
      <x:c r="DT178" s="302" t="n"/>
      <x:c r="DU178" s="302" t="n"/>
      <x:c r="DV178" s="302" t="n"/>
      <x:c r="DW178" s="302" t="n"/>
      <x:c r="DX178" s="302" t="n"/>
      <x:c r="DY178" s="302" t="n"/>
      <x:c r="DZ178" s="302" t="n"/>
      <x:c r="EA178" s="302" t="n"/>
      <x:c r="EB178" s="302" t="n"/>
      <x:c r="EC178" s="302" t="n"/>
      <x:c r="ED178" s="302" t="n"/>
      <x:c r="EE178" s="302" t="n"/>
      <x:c r="EF178" s="302" t="n"/>
      <x:c r="EG178" s="302" t="n"/>
      <x:c r="EH178" s="302" t="n"/>
      <x:c r="EI178" s="302" t="n"/>
      <x:c r="EJ178" s="302" t="n"/>
      <x:c r="EK178" s="302" t="n"/>
      <x:c r="EL178" s="302" t="n"/>
      <x:c r="EM178" s="302" t="n"/>
      <x:c r="EN178" s="302" t="n"/>
      <x:c r="EO178" s="302" t="n"/>
      <x:c r="EP178" s="302" t="n"/>
      <x:c r="EQ178" s="302" t="n"/>
      <x:c r="ER178" s="302" t="n"/>
      <x:c r="ES178" s="302" t="n"/>
      <x:c r="ET178" s="302" t="n"/>
      <x:c r="EU178" s="302" t="n"/>
      <x:c r="EV178" s="302" t="n"/>
      <x:c r="EW178" s="302" t="n"/>
      <x:c r="EX178" s="302" t="n"/>
      <x:c r="EY178" s="302" t="n"/>
    </x:row>
    <x:row r="179" s="27" customFormat="1">
      <x:c r="A179" s="38" t="n"/>
      <x:c r="B179" s="37" t="n"/>
      <x:c r="C179" s="36" t="n">
        <x:f>E179*D$5</x:f>
        <x:v>0</x:v>
      </x:c>
      <x:c r="D179" s="20" t="n"/>
      <x:c r="E179" s="36" t="n">
        <x:f>SUM(G179:HS179)</x:f>
        <x:v>0</x:v>
      </x:c>
      <x:c r="F179" s="126" t="inlineStr">
        <x:is>
          <x:t xml:space="preserve"/>
        </x:is>
      </x:c>
      <x:c r="G179" s="302" t="n"/>
      <x:c r="H179" s="302" t="n"/>
      <x:c r="I179" s="302" t="n"/>
      <x:c r="J179" s="302" t="n"/>
      <x:c r="K179" s="302" t="n"/>
      <x:c r="L179" s="302" t="n"/>
      <x:c r="M179" s="302" t="n"/>
      <x:c r="N179" s="302" t="n"/>
      <x:c r="O179" s="302" t="n"/>
      <x:c r="P179" s="100" t="n"/>
      <x:c r="Q179" s="302" t="n"/>
      <x:c r="R179" s="302" t="n"/>
      <x:c r="S179" s="302" t="n"/>
      <x:c r="T179" s="302" t="n"/>
      <x:c r="U179" s="302" t="n"/>
      <x:c r="V179" s="302" t="n"/>
      <x:c r="W179" s="302" t="n"/>
      <x:c r="X179" s="302" t="n"/>
      <x:c r="Y179" s="100" t="n"/>
      <x:c r="Z179" s="100" t="n"/>
      <x:c r="AA179" s="100" t="n"/>
      <x:c r="AB179" s="100" t="n"/>
      <x:c r="AC179" s="100" t="n"/>
      <x:c r="AD179" s="100" t="n"/>
      <x:c r="AE179" s="100" t="n"/>
      <x:c r="AF179" s="302" t="n"/>
      <x:c r="AG179" s="100" t="n"/>
      <x:c r="AH179" s="302" t="n"/>
      <x:c r="AI179" s="100" t="n"/>
      <x:c r="AJ179" s="302" t="n"/>
      <x:c r="AK179" s="302" t="n"/>
      <x:c r="AL179" s="302" t="n"/>
      <x:c r="AM179" s="302" t="n"/>
      <x:c r="AN179" s="302" t="n"/>
      <x:c r="AO179" s="302" t="n"/>
      <x:c r="AP179" s="302" t="n"/>
      <x:c r="AQ179" s="302" t="n"/>
      <x:c r="AR179" s="302" t="n"/>
      <x:c r="AS179" s="302" t="n"/>
      <x:c r="AT179" s="302" t="n"/>
      <x:c r="AU179" s="302" t="n"/>
      <x:c r="AV179" s="302" t="n"/>
      <x:c r="AW179" s="302" t="n"/>
      <x:c r="AX179" s="302" t="n"/>
      <x:c r="AY179" s="302" t="n"/>
      <x:c r="AZ179" s="302" t="n"/>
      <x:c r="BA179" s="302" t="n"/>
      <x:c r="BB179" s="302" t="n"/>
      <x:c r="BC179" s="302" t="n"/>
      <x:c r="BD179" s="302" t="n"/>
      <x:c r="BE179" s="302" t="n"/>
      <x:c r="BF179" s="302" t="n"/>
      <x:c r="BG179" s="302" t="n"/>
      <x:c r="BH179" s="302" t="n"/>
      <x:c r="BI179" s="302" t="n"/>
      <x:c r="BJ179" s="302" t="n"/>
      <x:c r="BK179" s="302" t="n"/>
      <x:c r="BL179" s="302" t="n"/>
      <x:c r="BM179" s="302" t="n"/>
      <x:c r="BN179" s="302" t="n"/>
      <x:c r="BO179" s="302" t="n"/>
      <x:c r="BP179" s="302" t="n"/>
      <x:c r="BQ179" s="302" t="n"/>
      <x:c r="BR179" s="302" t="n"/>
      <x:c r="BS179" s="302" t="n"/>
      <x:c r="BT179" s="302" t="n"/>
      <x:c r="BU179" s="302" t="n"/>
      <x:c r="BV179" s="302" t="n"/>
      <x:c r="BW179" s="302" t="n"/>
      <x:c r="BX179" s="302" t="n"/>
      <x:c r="BY179" s="302" t="n"/>
      <x:c r="BZ179" s="302" t="n"/>
      <x:c r="CA179" s="302" t="n"/>
      <x:c r="CB179" s="302" t="n"/>
      <x:c r="CC179" s="302" t="n"/>
      <x:c r="CD179" s="302" t="n"/>
      <x:c r="CE179" s="302" t="n"/>
      <x:c r="CF179" s="302" t="n"/>
      <x:c r="CG179" s="302" t="n"/>
      <x:c r="CH179" s="302" t="n"/>
      <x:c r="CI179" s="302" t="n"/>
      <x:c r="CJ179" s="302" t="n"/>
      <x:c r="CK179" s="302" t="n"/>
      <x:c r="CL179" s="302" t="n"/>
      <x:c r="CM179" s="302" t="n"/>
      <x:c r="CN179" s="302" t="n"/>
      <x:c r="CO179" s="302" t="n"/>
      <x:c r="CP179" s="302" t="n"/>
      <x:c r="CQ179" s="302" t="n"/>
      <x:c r="CR179" s="302" t="n"/>
      <x:c r="CS179" s="302" t="n"/>
      <x:c r="CT179" s="302" t="n"/>
      <x:c r="CU179" s="302" t="n"/>
      <x:c r="CV179" s="302" t="n"/>
      <x:c r="CW179" s="302" t="n"/>
      <x:c r="CX179" s="302" t="n"/>
      <x:c r="CY179" s="302" t="n"/>
      <x:c r="CZ179" s="302" t="n"/>
      <x:c r="DA179" s="302" t="n"/>
      <x:c r="DB179" s="302" t="n"/>
      <x:c r="DC179" s="302" t="n"/>
      <x:c r="DD179" s="302" t="n"/>
      <x:c r="DE179" s="302" t="n"/>
      <x:c r="DF179" s="302" t="n"/>
      <x:c r="DG179" s="302" t="n"/>
      <x:c r="DH179" s="302" t="n"/>
      <x:c r="DI179" s="302" t="n"/>
      <x:c r="DJ179" s="302" t="n"/>
      <x:c r="DK179" s="302" t="n"/>
      <x:c r="DL179" s="302" t="n"/>
      <x:c r="DM179" s="302" t="n"/>
      <x:c r="DN179" s="302" t="n"/>
      <x:c r="DO179" s="302" t="n"/>
      <x:c r="DP179" s="302" t="n"/>
      <x:c r="DQ179" s="302" t="n"/>
      <x:c r="DR179" s="302" t="n"/>
      <x:c r="DS179" s="302" t="n"/>
      <x:c r="DT179" s="302" t="n"/>
      <x:c r="DU179" s="302" t="n"/>
      <x:c r="DV179" s="302" t="n"/>
      <x:c r="DW179" s="302" t="n"/>
      <x:c r="DX179" s="302" t="n"/>
      <x:c r="DY179" s="302" t="n"/>
      <x:c r="DZ179" s="302" t="n"/>
      <x:c r="EA179" s="302" t="n"/>
      <x:c r="EB179" s="302" t="n"/>
      <x:c r="EC179" s="302" t="n"/>
      <x:c r="ED179" s="302" t="n"/>
      <x:c r="EE179" s="302" t="n"/>
      <x:c r="EF179" s="302" t="n"/>
      <x:c r="EG179" s="302" t="n"/>
      <x:c r="EH179" s="302" t="n"/>
      <x:c r="EI179" s="302" t="n"/>
      <x:c r="EJ179" s="302" t="n"/>
      <x:c r="EK179" s="302" t="n"/>
      <x:c r="EL179" s="302" t="n"/>
      <x:c r="EM179" s="302" t="n"/>
      <x:c r="EN179" s="302" t="n"/>
      <x:c r="EO179" s="302" t="n"/>
      <x:c r="EP179" s="302" t="n"/>
      <x:c r="EQ179" s="302" t="n"/>
      <x:c r="ER179" s="302" t="n"/>
      <x:c r="ES179" s="302" t="n"/>
      <x:c r="ET179" s="302" t="n"/>
      <x:c r="EU179" s="302" t="n"/>
      <x:c r="EV179" s="302" t="n"/>
      <x:c r="EW179" s="302" t="n"/>
      <x:c r="EX179" s="302" t="n"/>
      <x:c r="EY179" s="302" t="n"/>
    </x:row>
    <x:row r="180" s="27" customFormat="1">
      <x:c r="A180" s="38" t="n"/>
      <x:c r="B180" s="37" t="n"/>
      <x:c r="C180" s="36" t="n">
        <x:f>E180*D$5</x:f>
        <x:v>0</x:v>
      </x:c>
      <x:c r="D180" s="20" t="n"/>
      <x:c r="E180" s="36" t="n">
        <x:f>SUM(G180:HS180)</x:f>
        <x:v>0</x:v>
      </x:c>
      <x:c r="F180" s="126" t="inlineStr">
        <x:is>
          <x:t xml:space="preserve"/>
        </x:is>
      </x:c>
      <x:c r="G180" s="302" t="n"/>
      <x:c r="H180" s="302" t="n"/>
      <x:c r="I180" s="302" t="n"/>
      <x:c r="J180" s="302" t="n"/>
      <x:c r="K180" s="302" t="n"/>
      <x:c r="L180" s="302" t="n"/>
      <x:c r="M180" s="302" t="n"/>
      <x:c r="N180" s="302" t="n"/>
      <x:c r="O180" s="302" t="n"/>
      <x:c r="P180" s="100" t="n"/>
      <x:c r="Q180" s="302" t="n"/>
      <x:c r="R180" s="302" t="n"/>
      <x:c r="S180" s="302" t="n"/>
      <x:c r="T180" s="302" t="n"/>
      <x:c r="U180" s="302" t="n"/>
      <x:c r="V180" s="302" t="n"/>
      <x:c r="W180" s="302" t="n"/>
      <x:c r="X180" s="302" t="n"/>
      <x:c r="Y180" s="100" t="n"/>
      <x:c r="Z180" s="100" t="n"/>
      <x:c r="AA180" s="100" t="n"/>
      <x:c r="AB180" s="100" t="n"/>
      <x:c r="AC180" s="100" t="n"/>
      <x:c r="AD180" s="100" t="n"/>
      <x:c r="AE180" s="100" t="n"/>
      <x:c r="AF180" s="302" t="n"/>
      <x:c r="AG180" s="100" t="n"/>
      <x:c r="AH180" s="302" t="n"/>
      <x:c r="AI180" s="100" t="n"/>
      <x:c r="AJ180" s="302" t="n"/>
      <x:c r="AK180" s="302" t="n"/>
      <x:c r="AL180" s="302" t="n"/>
      <x:c r="AM180" s="302" t="n"/>
      <x:c r="AN180" s="302" t="n"/>
      <x:c r="AO180" s="302" t="n"/>
      <x:c r="AP180" s="302" t="n"/>
      <x:c r="AQ180" s="302" t="n"/>
      <x:c r="AR180" s="302" t="n"/>
      <x:c r="AS180" s="302" t="n"/>
      <x:c r="AT180" s="302" t="n"/>
      <x:c r="AU180" s="302" t="n"/>
      <x:c r="AV180" s="302" t="n"/>
      <x:c r="AW180" s="302" t="n"/>
      <x:c r="AX180" s="302" t="n"/>
      <x:c r="AY180" s="302" t="n"/>
      <x:c r="AZ180" s="302" t="n"/>
      <x:c r="BA180" s="302" t="n"/>
      <x:c r="BB180" s="302" t="n"/>
      <x:c r="BC180" s="302" t="n"/>
      <x:c r="BD180" s="302" t="n"/>
      <x:c r="BE180" s="302" t="n"/>
      <x:c r="BF180" s="302" t="n"/>
      <x:c r="BG180" s="302" t="n"/>
      <x:c r="BH180" s="302" t="n"/>
      <x:c r="BI180" s="302" t="n"/>
      <x:c r="BJ180" s="302" t="n"/>
      <x:c r="BK180" s="302" t="n"/>
      <x:c r="BL180" s="302" t="n"/>
      <x:c r="BM180" s="302" t="n"/>
      <x:c r="BN180" s="302" t="n"/>
      <x:c r="BO180" s="302" t="n"/>
      <x:c r="BP180" s="302" t="n"/>
      <x:c r="BQ180" s="302" t="n"/>
      <x:c r="BR180" s="302" t="n"/>
      <x:c r="BS180" s="302" t="n"/>
      <x:c r="BT180" s="302" t="n"/>
      <x:c r="BU180" s="302" t="n"/>
      <x:c r="BV180" s="302" t="n"/>
      <x:c r="BW180" s="302" t="n"/>
      <x:c r="BX180" s="302" t="n"/>
      <x:c r="BY180" s="302" t="n"/>
      <x:c r="BZ180" s="302" t="n"/>
      <x:c r="CA180" s="302" t="n"/>
      <x:c r="CB180" s="302" t="n"/>
      <x:c r="CC180" s="302" t="n"/>
      <x:c r="CD180" s="302" t="n"/>
      <x:c r="CE180" s="302" t="n"/>
      <x:c r="CF180" s="302" t="n"/>
      <x:c r="CG180" s="302" t="n"/>
      <x:c r="CH180" s="302" t="n"/>
      <x:c r="CI180" s="302" t="n"/>
      <x:c r="CJ180" s="302" t="n"/>
      <x:c r="CK180" s="302" t="n"/>
      <x:c r="CL180" s="302" t="n"/>
      <x:c r="CM180" s="302" t="n"/>
      <x:c r="CN180" s="302" t="n"/>
      <x:c r="CO180" s="302" t="n"/>
      <x:c r="CP180" s="302" t="n"/>
      <x:c r="CQ180" s="302" t="n"/>
      <x:c r="CR180" s="302" t="n"/>
      <x:c r="CS180" s="302" t="n"/>
      <x:c r="CT180" s="302" t="n"/>
      <x:c r="CU180" s="302" t="n"/>
      <x:c r="CV180" s="302" t="n"/>
      <x:c r="CW180" s="302" t="n"/>
      <x:c r="CX180" s="302" t="n"/>
      <x:c r="CY180" s="302" t="n"/>
      <x:c r="CZ180" s="302" t="n"/>
      <x:c r="DA180" s="302" t="n"/>
      <x:c r="DB180" s="302" t="n"/>
      <x:c r="DC180" s="302" t="n"/>
      <x:c r="DD180" s="302" t="n"/>
      <x:c r="DE180" s="302" t="n"/>
      <x:c r="DF180" s="302" t="n"/>
      <x:c r="DG180" s="302" t="n"/>
      <x:c r="DH180" s="302" t="n"/>
      <x:c r="DI180" s="302" t="n"/>
      <x:c r="DJ180" s="302" t="n"/>
      <x:c r="DK180" s="302" t="n"/>
      <x:c r="DL180" s="302" t="n"/>
      <x:c r="DM180" s="302" t="n"/>
      <x:c r="DN180" s="302" t="n"/>
      <x:c r="DO180" s="302" t="n"/>
      <x:c r="DP180" s="302" t="n"/>
      <x:c r="DQ180" s="302" t="n"/>
      <x:c r="DR180" s="302" t="n"/>
      <x:c r="DS180" s="302" t="n"/>
      <x:c r="DT180" s="302" t="n"/>
      <x:c r="DU180" s="302" t="n"/>
      <x:c r="DV180" s="302" t="n"/>
      <x:c r="DW180" s="302" t="n"/>
      <x:c r="DX180" s="302" t="n"/>
      <x:c r="DY180" s="302" t="n"/>
      <x:c r="DZ180" s="302" t="n"/>
      <x:c r="EA180" s="302" t="n"/>
      <x:c r="EB180" s="302" t="n"/>
      <x:c r="EC180" s="302" t="n"/>
      <x:c r="ED180" s="302" t="n"/>
      <x:c r="EE180" s="302" t="n"/>
      <x:c r="EF180" s="302" t="n"/>
      <x:c r="EG180" s="302" t="n"/>
      <x:c r="EH180" s="302" t="n"/>
      <x:c r="EI180" s="302" t="n"/>
      <x:c r="EJ180" s="302" t="n"/>
      <x:c r="EK180" s="302" t="n"/>
      <x:c r="EL180" s="302" t="n"/>
      <x:c r="EM180" s="302" t="n"/>
      <x:c r="EN180" s="302" t="n"/>
      <x:c r="EO180" s="302" t="n"/>
      <x:c r="EP180" s="302" t="n"/>
      <x:c r="EQ180" s="302" t="n"/>
      <x:c r="ER180" s="302" t="n"/>
      <x:c r="ES180" s="302" t="n"/>
      <x:c r="ET180" s="302" t="n"/>
      <x:c r="EU180" s="302" t="n"/>
      <x:c r="EV180" s="302" t="n"/>
      <x:c r="EW180" s="302" t="n"/>
      <x:c r="EX180" s="302" t="n"/>
      <x:c r="EY180" s="302" t="n"/>
    </x:row>
    <x:row r="181" s="27" customFormat="1">
      <x:c r="A181" s="38" t="n"/>
      <x:c r="B181" s="37" t="n"/>
      <x:c r="C181" s="36" t="n">
        <x:f>E181*D$5</x:f>
        <x:v>0</x:v>
      </x:c>
      <x:c r="D181" s="20" t="n"/>
      <x:c r="E181" s="36" t="n">
        <x:f>SUM(G181:HS181)</x:f>
        <x:v>0</x:v>
      </x:c>
      <x:c r="F181" s="126" t="inlineStr">
        <x:is>
          <x:t xml:space="preserve"/>
        </x:is>
      </x:c>
      <x:c r="G181" s="302" t="n"/>
      <x:c r="H181" s="302" t="n"/>
      <x:c r="I181" s="302" t="n"/>
      <x:c r="J181" s="302" t="n"/>
      <x:c r="K181" s="302" t="n"/>
      <x:c r="L181" s="302" t="n"/>
      <x:c r="M181" s="302" t="n"/>
      <x:c r="N181" s="302" t="n"/>
      <x:c r="O181" s="302" t="n"/>
      <x:c r="P181" s="100" t="n"/>
      <x:c r="Q181" s="302" t="n"/>
      <x:c r="R181" s="302" t="n"/>
      <x:c r="S181" s="302" t="n"/>
      <x:c r="T181" s="302" t="n"/>
      <x:c r="U181" s="302" t="n"/>
      <x:c r="V181" s="302" t="n"/>
      <x:c r="W181" s="302" t="n"/>
      <x:c r="X181" s="302" t="n"/>
      <x:c r="Y181" s="100" t="n"/>
      <x:c r="Z181" s="100" t="n"/>
      <x:c r="AA181" s="100" t="n"/>
      <x:c r="AB181" s="100" t="n"/>
      <x:c r="AC181" s="100" t="n"/>
      <x:c r="AD181" s="100" t="n"/>
      <x:c r="AE181" s="100" t="n"/>
      <x:c r="AF181" s="302" t="n"/>
      <x:c r="AG181" s="100" t="n"/>
      <x:c r="AH181" s="302" t="n"/>
      <x:c r="AI181" s="100" t="n"/>
      <x:c r="AJ181" s="302" t="n"/>
      <x:c r="AK181" s="302" t="n"/>
      <x:c r="AL181" s="302" t="n"/>
      <x:c r="AM181" s="302" t="n"/>
      <x:c r="AN181" s="302" t="n"/>
      <x:c r="AO181" s="302" t="n"/>
      <x:c r="AP181" s="302" t="n"/>
      <x:c r="AQ181" s="302" t="n"/>
      <x:c r="AR181" s="302" t="n"/>
      <x:c r="AS181" s="302" t="n"/>
      <x:c r="AT181" s="302" t="n"/>
      <x:c r="AU181" s="302" t="n"/>
      <x:c r="AV181" s="302" t="n"/>
      <x:c r="AW181" s="302" t="n"/>
      <x:c r="AX181" s="302" t="n"/>
      <x:c r="AY181" s="302" t="n"/>
      <x:c r="AZ181" s="302" t="n"/>
      <x:c r="BA181" s="302" t="n"/>
      <x:c r="BB181" s="302" t="n"/>
      <x:c r="BC181" s="302" t="n"/>
      <x:c r="BD181" s="302" t="n"/>
      <x:c r="BE181" s="302" t="n"/>
      <x:c r="BF181" s="302" t="n"/>
      <x:c r="BG181" s="302" t="n"/>
      <x:c r="BH181" s="302" t="n"/>
      <x:c r="BI181" s="302" t="n"/>
      <x:c r="BJ181" s="302" t="n"/>
      <x:c r="BK181" s="302" t="n"/>
      <x:c r="BL181" s="302" t="n"/>
      <x:c r="BM181" s="302" t="n"/>
      <x:c r="BN181" s="302" t="n"/>
      <x:c r="BO181" s="302" t="n"/>
      <x:c r="BP181" s="302" t="n"/>
      <x:c r="BQ181" s="302" t="n"/>
      <x:c r="BR181" s="302" t="n"/>
      <x:c r="BS181" s="302" t="n"/>
      <x:c r="BT181" s="302" t="n"/>
      <x:c r="BU181" s="302" t="n"/>
      <x:c r="BV181" s="302" t="n"/>
      <x:c r="BW181" s="302" t="n"/>
      <x:c r="BX181" s="302" t="n"/>
      <x:c r="BY181" s="302" t="n"/>
      <x:c r="BZ181" s="302" t="n"/>
      <x:c r="CA181" s="302" t="n"/>
      <x:c r="CB181" s="302" t="n"/>
      <x:c r="CC181" s="302" t="n"/>
      <x:c r="CD181" s="302" t="n"/>
      <x:c r="CE181" s="302" t="n"/>
      <x:c r="CF181" s="302" t="n"/>
      <x:c r="CG181" s="302" t="n"/>
      <x:c r="CH181" s="302" t="n"/>
      <x:c r="CI181" s="302" t="n"/>
      <x:c r="CJ181" s="302" t="n"/>
      <x:c r="CK181" s="302" t="n"/>
      <x:c r="CL181" s="302" t="n"/>
      <x:c r="CM181" s="302" t="n"/>
      <x:c r="CN181" s="302" t="n"/>
      <x:c r="CO181" s="302" t="n"/>
      <x:c r="CP181" s="302" t="n"/>
      <x:c r="CQ181" s="302" t="n"/>
      <x:c r="CR181" s="302" t="n"/>
      <x:c r="CS181" s="302" t="n"/>
      <x:c r="CT181" s="302" t="n"/>
      <x:c r="CU181" s="302" t="n"/>
      <x:c r="CV181" s="302" t="n"/>
      <x:c r="CW181" s="302" t="n"/>
      <x:c r="CX181" s="302" t="n"/>
      <x:c r="CY181" s="302" t="n"/>
      <x:c r="CZ181" s="302" t="n"/>
      <x:c r="DA181" s="302" t="n"/>
      <x:c r="DB181" s="302" t="n"/>
      <x:c r="DC181" s="302" t="n"/>
      <x:c r="DD181" s="302" t="n"/>
      <x:c r="DE181" s="302" t="n"/>
      <x:c r="DF181" s="302" t="n"/>
      <x:c r="DG181" s="302" t="n"/>
      <x:c r="DH181" s="302" t="n"/>
      <x:c r="DI181" s="302" t="n"/>
      <x:c r="DJ181" s="302" t="n"/>
      <x:c r="DK181" s="302" t="n"/>
      <x:c r="DL181" s="302" t="n"/>
      <x:c r="DM181" s="302" t="n"/>
      <x:c r="DN181" s="302" t="n"/>
      <x:c r="DO181" s="302" t="n"/>
      <x:c r="DP181" s="302" t="n"/>
      <x:c r="DQ181" s="302" t="n"/>
      <x:c r="DR181" s="302" t="n"/>
      <x:c r="DS181" s="302" t="n"/>
      <x:c r="DT181" s="302" t="n"/>
      <x:c r="DU181" s="302" t="n"/>
      <x:c r="DV181" s="302" t="n"/>
      <x:c r="DW181" s="302" t="n"/>
      <x:c r="DX181" s="302" t="n"/>
      <x:c r="DY181" s="302" t="n"/>
      <x:c r="DZ181" s="302" t="n"/>
      <x:c r="EA181" s="302" t="n"/>
      <x:c r="EB181" s="302" t="n"/>
      <x:c r="EC181" s="302" t="n"/>
      <x:c r="ED181" s="302" t="n"/>
      <x:c r="EE181" s="302" t="n"/>
      <x:c r="EF181" s="302" t="n"/>
      <x:c r="EG181" s="302" t="n"/>
      <x:c r="EH181" s="302" t="n"/>
      <x:c r="EI181" s="302" t="n"/>
      <x:c r="EJ181" s="302" t="n"/>
      <x:c r="EK181" s="302" t="n"/>
      <x:c r="EL181" s="302" t="n"/>
      <x:c r="EM181" s="302" t="n"/>
      <x:c r="EN181" s="302" t="n"/>
      <x:c r="EO181" s="302" t="n"/>
      <x:c r="EP181" s="302" t="n"/>
      <x:c r="EQ181" s="302" t="n"/>
      <x:c r="ER181" s="302" t="n"/>
      <x:c r="ES181" s="302" t="n"/>
      <x:c r="ET181" s="302" t="n"/>
      <x:c r="EU181" s="302" t="n"/>
      <x:c r="EV181" s="302" t="n"/>
      <x:c r="EW181" s="302" t="n"/>
      <x:c r="EX181" s="302" t="n"/>
      <x:c r="EY181" s="302" t="n"/>
    </x:row>
    <x:row r="182" s="27" customFormat="1">
      <x:c r="A182" s="38" t="n"/>
      <x:c r="B182" s="37" t="n"/>
      <x:c r="C182" s="36" t="n">
        <x:f>E182*D$5</x:f>
        <x:v>0</x:v>
      </x:c>
      <x:c r="D182" s="20" t="n"/>
      <x:c r="E182" s="36" t="n">
        <x:f>SUM(G182:HS182)</x:f>
        <x:v>0</x:v>
      </x:c>
      <x:c r="F182" s="126" t="inlineStr">
        <x:is>
          <x:t xml:space="preserve"/>
        </x:is>
      </x:c>
      <x:c r="G182" s="302" t="n"/>
      <x:c r="H182" s="302" t="n"/>
      <x:c r="I182" s="302" t="n"/>
      <x:c r="J182" s="302" t="n"/>
      <x:c r="K182" s="302" t="n"/>
      <x:c r="L182" s="302" t="n"/>
      <x:c r="M182" s="302" t="n"/>
      <x:c r="N182" s="302" t="n"/>
      <x:c r="O182" s="302" t="n"/>
      <x:c r="P182" s="100" t="n"/>
      <x:c r="Q182" s="302" t="n"/>
      <x:c r="R182" s="302" t="n"/>
      <x:c r="S182" s="302" t="n"/>
      <x:c r="T182" s="302" t="n"/>
      <x:c r="U182" s="302" t="n"/>
      <x:c r="V182" s="302" t="n"/>
      <x:c r="W182" s="302" t="n"/>
      <x:c r="X182" s="302" t="n"/>
      <x:c r="Y182" s="100" t="n"/>
      <x:c r="Z182" s="100" t="n"/>
      <x:c r="AA182" s="100" t="n"/>
      <x:c r="AB182" s="100" t="n"/>
      <x:c r="AC182" s="100" t="n"/>
      <x:c r="AD182" s="100" t="n"/>
      <x:c r="AE182" s="100" t="n"/>
      <x:c r="AF182" s="302" t="n"/>
      <x:c r="AG182" s="100" t="n"/>
      <x:c r="AH182" s="302" t="n"/>
      <x:c r="AI182" s="100" t="n"/>
      <x:c r="AJ182" s="302" t="n"/>
      <x:c r="AK182" s="302" t="n"/>
      <x:c r="AL182" s="302" t="n"/>
      <x:c r="AM182" s="302" t="n"/>
      <x:c r="AN182" s="302" t="n"/>
      <x:c r="AO182" s="302" t="n"/>
      <x:c r="AP182" s="302" t="n"/>
      <x:c r="AQ182" s="302" t="n"/>
      <x:c r="AR182" s="302" t="n"/>
      <x:c r="AS182" s="302" t="n"/>
      <x:c r="AT182" s="302" t="n"/>
      <x:c r="AU182" s="302" t="n"/>
      <x:c r="AV182" s="302" t="n"/>
      <x:c r="AW182" s="302" t="n"/>
      <x:c r="AX182" s="302" t="n"/>
      <x:c r="AY182" s="302" t="n"/>
      <x:c r="AZ182" s="302" t="n"/>
      <x:c r="BA182" s="302" t="n"/>
      <x:c r="BB182" s="302" t="n"/>
      <x:c r="BC182" s="302" t="n"/>
      <x:c r="BD182" s="302" t="n"/>
      <x:c r="BE182" s="302" t="n"/>
      <x:c r="BF182" s="302" t="n"/>
      <x:c r="BG182" s="302" t="n"/>
      <x:c r="BH182" s="302" t="n"/>
      <x:c r="BI182" s="302" t="n"/>
      <x:c r="BJ182" s="302" t="n"/>
      <x:c r="BK182" s="302" t="n"/>
      <x:c r="BL182" s="302" t="n"/>
      <x:c r="BM182" s="302" t="n"/>
      <x:c r="BN182" s="302" t="n"/>
      <x:c r="BO182" s="302" t="n"/>
      <x:c r="BP182" s="302" t="n"/>
      <x:c r="BQ182" s="302" t="n"/>
      <x:c r="BR182" s="302" t="n"/>
      <x:c r="BS182" s="302" t="n"/>
      <x:c r="BT182" s="302" t="n"/>
      <x:c r="BU182" s="302" t="n"/>
      <x:c r="BV182" s="302" t="n"/>
      <x:c r="BW182" s="302" t="n"/>
      <x:c r="BX182" s="302" t="n"/>
      <x:c r="BY182" s="302" t="n"/>
      <x:c r="BZ182" s="302" t="n"/>
      <x:c r="CA182" s="302" t="n"/>
      <x:c r="CB182" s="302" t="n"/>
      <x:c r="CC182" s="302" t="n"/>
      <x:c r="CD182" s="302" t="n"/>
      <x:c r="CE182" s="302" t="n"/>
      <x:c r="CF182" s="302" t="n"/>
      <x:c r="CG182" s="302" t="n"/>
      <x:c r="CH182" s="302" t="n"/>
      <x:c r="CI182" s="302" t="n"/>
      <x:c r="CJ182" s="302" t="n"/>
      <x:c r="CK182" s="302" t="n"/>
      <x:c r="CL182" s="302" t="n"/>
      <x:c r="CM182" s="302" t="n"/>
      <x:c r="CN182" s="302" t="n"/>
      <x:c r="CO182" s="302" t="n"/>
      <x:c r="CP182" s="302" t="n"/>
      <x:c r="CQ182" s="302" t="n"/>
      <x:c r="CR182" s="302" t="n"/>
      <x:c r="CS182" s="302" t="n"/>
      <x:c r="CT182" s="302" t="n"/>
      <x:c r="CU182" s="302" t="n"/>
      <x:c r="CV182" s="302" t="n"/>
      <x:c r="CW182" s="302" t="n"/>
      <x:c r="CX182" s="302" t="n"/>
      <x:c r="CY182" s="302" t="n"/>
      <x:c r="CZ182" s="302" t="n"/>
      <x:c r="DA182" s="302" t="n"/>
      <x:c r="DB182" s="302" t="n"/>
      <x:c r="DC182" s="302" t="n"/>
      <x:c r="DD182" s="302" t="n"/>
      <x:c r="DE182" s="302" t="n"/>
      <x:c r="DF182" s="302" t="n"/>
      <x:c r="DG182" s="302" t="n"/>
      <x:c r="DH182" s="302" t="n"/>
      <x:c r="DI182" s="302" t="n"/>
      <x:c r="DJ182" s="302" t="n"/>
      <x:c r="DK182" s="302" t="n"/>
      <x:c r="DL182" s="302" t="n"/>
      <x:c r="DM182" s="302" t="n"/>
      <x:c r="DN182" s="302" t="n"/>
      <x:c r="DO182" s="302" t="n"/>
      <x:c r="DP182" s="302" t="n"/>
      <x:c r="DQ182" s="302" t="n"/>
      <x:c r="DR182" s="302" t="n"/>
      <x:c r="DS182" s="302" t="n"/>
      <x:c r="DT182" s="302" t="n"/>
      <x:c r="DU182" s="302" t="n"/>
      <x:c r="DV182" s="302" t="n"/>
      <x:c r="DW182" s="302" t="n"/>
      <x:c r="DX182" s="302" t="n"/>
      <x:c r="DY182" s="302" t="n"/>
      <x:c r="DZ182" s="302" t="n"/>
      <x:c r="EA182" s="302" t="n"/>
      <x:c r="EB182" s="302" t="n"/>
      <x:c r="EC182" s="302" t="n"/>
      <x:c r="ED182" s="302" t="n"/>
      <x:c r="EE182" s="302" t="n"/>
      <x:c r="EF182" s="302" t="n"/>
      <x:c r="EG182" s="302" t="n"/>
      <x:c r="EH182" s="302" t="n"/>
      <x:c r="EI182" s="302" t="n"/>
      <x:c r="EJ182" s="302" t="n"/>
      <x:c r="EK182" s="302" t="n"/>
      <x:c r="EL182" s="302" t="n"/>
      <x:c r="EM182" s="302" t="n"/>
      <x:c r="EN182" s="302" t="n"/>
      <x:c r="EO182" s="302" t="n"/>
      <x:c r="EP182" s="302" t="n"/>
      <x:c r="EQ182" s="302" t="n"/>
      <x:c r="ER182" s="302" t="n"/>
      <x:c r="ES182" s="302" t="n"/>
      <x:c r="ET182" s="302" t="n"/>
      <x:c r="EU182" s="302" t="n"/>
      <x:c r="EV182" s="302" t="n"/>
      <x:c r="EW182" s="302" t="n"/>
      <x:c r="EX182" s="302" t="n"/>
      <x:c r="EY182" s="302" t="n"/>
    </x:row>
    <x:row r="183" s="27" customFormat="1">
      <x:c r="A183" s="38" t="n"/>
      <x:c r="B183" s="37" t="n"/>
      <x:c r="C183" s="36" t="n">
        <x:f>E183*D$5</x:f>
        <x:v>0</x:v>
      </x:c>
      <x:c r="D183" s="20" t="n"/>
      <x:c r="E183" s="36" t="n">
        <x:f>SUM(G183:HS183)</x:f>
        <x:v>0</x:v>
      </x:c>
      <x:c r="F183" s="126" t="inlineStr">
        <x:is>
          <x:t xml:space="preserve"/>
        </x:is>
      </x:c>
      <x:c r="G183" s="302" t="n"/>
      <x:c r="H183" s="302" t="n"/>
      <x:c r="I183" s="302" t="n"/>
      <x:c r="J183" s="302" t="n"/>
      <x:c r="K183" s="302" t="n"/>
      <x:c r="L183" s="302" t="n"/>
      <x:c r="M183" s="302" t="n"/>
      <x:c r="N183" s="302" t="n"/>
      <x:c r="O183" s="302" t="n"/>
      <x:c r="P183" s="100" t="n"/>
      <x:c r="Q183" s="302" t="n"/>
      <x:c r="R183" s="302" t="n"/>
      <x:c r="S183" s="302" t="n"/>
      <x:c r="T183" s="302" t="n"/>
      <x:c r="U183" s="302" t="n"/>
      <x:c r="V183" s="302" t="n"/>
      <x:c r="W183" s="302" t="n"/>
      <x:c r="X183" s="302" t="n"/>
      <x:c r="Y183" s="100" t="n"/>
      <x:c r="Z183" s="100" t="n"/>
      <x:c r="AA183" s="100" t="n"/>
      <x:c r="AB183" s="100" t="n"/>
      <x:c r="AC183" s="100" t="n"/>
      <x:c r="AD183" s="100" t="n"/>
      <x:c r="AE183" s="100" t="n"/>
      <x:c r="AF183" s="302" t="n"/>
      <x:c r="AG183" s="100" t="n"/>
      <x:c r="AH183" s="302" t="n"/>
      <x:c r="AI183" s="100" t="n"/>
      <x:c r="AJ183" s="302" t="n"/>
      <x:c r="AK183" s="302" t="n"/>
      <x:c r="AL183" s="302" t="n"/>
      <x:c r="AM183" s="302" t="n"/>
      <x:c r="AN183" s="302" t="n"/>
      <x:c r="AO183" s="302" t="n"/>
      <x:c r="AP183" s="302" t="n"/>
      <x:c r="AQ183" s="302" t="n"/>
      <x:c r="AR183" s="302" t="n"/>
      <x:c r="AS183" s="302" t="n"/>
      <x:c r="AT183" s="302" t="n"/>
      <x:c r="AU183" s="302" t="n"/>
      <x:c r="AV183" s="302" t="n"/>
      <x:c r="AW183" s="302" t="n"/>
      <x:c r="AX183" s="302" t="n"/>
      <x:c r="AY183" s="302" t="n"/>
      <x:c r="AZ183" s="302" t="n"/>
      <x:c r="BA183" s="302" t="n"/>
      <x:c r="BB183" s="302" t="n"/>
      <x:c r="BC183" s="302" t="n"/>
      <x:c r="BD183" s="302" t="n"/>
      <x:c r="BE183" s="302" t="n"/>
      <x:c r="BF183" s="302" t="n"/>
      <x:c r="BG183" s="302" t="n"/>
      <x:c r="BH183" s="302" t="n"/>
      <x:c r="BI183" s="302" t="n"/>
      <x:c r="BJ183" s="302" t="n"/>
      <x:c r="BK183" s="302" t="n"/>
      <x:c r="BL183" s="302" t="n"/>
      <x:c r="BM183" s="302" t="n"/>
      <x:c r="BN183" s="302" t="n"/>
      <x:c r="BO183" s="302" t="n"/>
      <x:c r="BP183" s="302" t="n"/>
      <x:c r="BQ183" s="302" t="n"/>
      <x:c r="BR183" s="302" t="n"/>
      <x:c r="BS183" s="302" t="n"/>
      <x:c r="BT183" s="302" t="n"/>
      <x:c r="BU183" s="302" t="n"/>
      <x:c r="BV183" s="302" t="n"/>
      <x:c r="BW183" s="302" t="n"/>
      <x:c r="BX183" s="302" t="n"/>
      <x:c r="BY183" s="302" t="n"/>
      <x:c r="BZ183" s="302" t="n"/>
      <x:c r="CA183" s="302" t="n"/>
      <x:c r="CB183" s="302" t="n"/>
      <x:c r="CC183" s="302" t="n"/>
      <x:c r="CD183" s="302" t="n"/>
      <x:c r="CE183" s="302" t="n"/>
      <x:c r="CF183" s="302" t="n"/>
      <x:c r="CG183" s="302" t="n"/>
      <x:c r="CH183" s="302" t="n"/>
      <x:c r="CI183" s="302" t="n"/>
      <x:c r="CJ183" s="302" t="n"/>
      <x:c r="CK183" s="302" t="n"/>
      <x:c r="CL183" s="302" t="n"/>
      <x:c r="CM183" s="302" t="n"/>
      <x:c r="CN183" s="302" t="n"/>
      <x:c r="CO183" s="302" t="n"/>
      <x:c r="CP183" s="302" t="n"/>
      <x:c r="CQ183" s="302" t="n"/>
      <x:c r="CR183" s="302" t="n"/>
      <x:c r="CS183" s="302" t="n"/>
      <x:c r="CT183" s="302" t="n"/>
      <x:c r="CU183" s="302" t="n"/>
      <x:c r="CV183" s="302" t="n"/>
      <x:c r="CW183" s="302" t="n"/>
      <x:c r="CX183" s="302" t="n"/>
      <x:c r="CY183" s="302" t="n"/>
      <x:c r="CZ183" s="302" t="n"/>
      <x:c r="DA183" s="302" t="n"/>
      <x:c r="DB183" s="302" t="n"/>
      <x:c r="DC183" s="302" t="n"/>
      <x:c r="DD183" s="302" t="n"/>
      <x:c r="DE183" s="302" t="n"/>
      <x:c r="DF183" s="302" t="n"/>
      <x:c r="DG183" s="302" t="n"/>
      <x:c r="DH183" s="302" t="n"/>
      <x:c r="DI183" s="302" t="n"/>
      <x:c r="DJ183" s="302" t="n"/>
      <x:c r="DK183" s="302" t="n"/>
      <x:c r="DL183" s="302" t="n"/>
      <x:c r="DM183" s="302" t="n"/>
      <x:c r="DN183" s="302" t="n"/>
      <x:c r="DO183" s="302" t="n"/>
      <x:c r="DP183" s="302" t="n"/>
      <x:c r="DQ183" s="302" t="n"/>
      <x:c r="DR183" s="302" t="n"/>
      <x:c r="DS183" s="302" t="n"/>
      <x:c r="DT183" s="302" t="n"/>
      <x:c r="DU183" s="302" t="n"/>
      <x:c r="DV183" s="302" t="n"/>
      <x:c r="DW183" s="302" t="n"/>
      <x:c r="DX183" s="302" t="n"/>
      <x:c r="DY183" s="302" t="n"/>
      <x:c r="DZ183" s="302" t="n"/>
      <x:c r="EA183" s="302" t="n"/>
      <x:c r="EB183" s="302" t="n"/>
      <x:c r="EC183" s="302" t="n"/>
      <x:c r="ED183" s="302" t="n"/>
      <x:c r="EE183" s="302" t="n"/>
      <x:c r="EF183" s="302" t="n"/>
      <x:c r="EG183" s="302" t="n"/>
      <x:c r="EH183" s="302" t="n"/>
      <x:c r="EI183" s="302" t="n"/>
      <x:c r="EJ183" s="302" t="n"/>
      <x:c r="EK183" s="302" t="n"/>
      <x:c r="EL183" s="302" t="n"/>
      <x:c r="EM183" s="302" t="n"/>
      <x:c r="EN183" s="302" t="n"/>
      <x:c r="EO183" s="302" t="n"/>
      <x:c r="EP183" s="302" t="n"/>
      <x:c r="EQ183" s="302" t="n"/>
      <x:c r="ER183" s="302" t="n"/>
      <x:c r="ES183" s="302" t="n"/>
      <x:c r="ET183" s="302" t="n"/>
      <x:c r="EU183" s="302" t="n"/>
      <x:c r="EV183" s="302" t="n"/>
      <x:c r="EW183" s="302" t="n"/>
      <x:c r="EX183" s="302" t="n"/>
      <x:c r="EY183" s="302" t="n"/>
    </x:row>
    <x:row r="184" s="27" customFormat="1">
      <x:c r="A184" s="38" t="n"/>
      <x:c r="B184" s="37" t="n"/>
      <x:c r="C184" s="36" t="n">
        <x:f>E184*D$5</x:f>
        <x:v>0</x:v>
      </x:c>
      <x:c r="D184" s="20" t="n"/>
      <x:c r="E184" s="36" t="n">
        <x:f>SUM(G184:HS184)</x:f>
        <x:v>0</x:v>
      </x:c>
      <x:c r="F184" s="126" t="inlineStr">
        <x:is>
          <x:t xml:space="preserve"/>
        </x:is>
      </x:c>
      <x:c r="G184" s="302" t="n"/>
      <x:c r="H184" s="302" t="n"/>
      <x:c r="I184" s="302" t="n"/>
      <x:c r="J184" s="302" t="n"/>
      <x:c r="K184" s="302" t="n"/>
      <x:c r="L184" s="302" t="n"/>
      <x:c r="M184" s="302" t="n"/>
      <x:c r="N184" s="302" t="n"/>
      <x:c r="O184" s="302" t="n"/>
      <x:c r="P184" s="100" t="n"/>
      <x:c r="Q184" s="302" t="n"/>
      <x:c r="R184" s="302" t="n"/>
      <x:c r="S184" s="302" t="n"/>
      <x:c r="T184" s="302" t="n"/>
      <x:c r="U184" s="302" t="n"/>
      <x:c r="V184" s="302" t="n"/>
      <x:c r="W184" s="302" t="n"/>
      <x:c r="X184" s="302" t="n"/>
      <x:c r="Y184" s="100" t="n"/>
      <x:c r="Z184" s="100" t="n"/>
      <x:c r="AA184" s="100" t="n"/>
      <x:c r="AB184" s="100" t="n"/>
      <x:c r="AC184" s="100" t="n"/>
      <x:c r="AD184" s="100" t="n"/>
      <x:c r="AE184" s="100" t="n"/>
      <x:c r="AF184" s="302" t="n"/>
      <x:c r="AG184" s="100" t="n"/>
      <x:c r="AH184" s="302" t="n"/>
      <x:c r="AI184" s="100" t="n"/>
      <x:c r="AJ184" s="302" t="n"/>
      <x:c r="AK184" s="302" t="n"/>
      <x:c r="AL184" s="302" t="n"/>
      <x:c r="AM184" s="302" t="n"/>
      <x:c r="AN184" s="302" t="n"/>
      <x:c r="AO184" s="302" t="n"/>
      <x:c r="AP184" s="302" t="n"/>
      <x:c r="AQ184" s="302" t="n"/>
      <x:c r="AR184" s="302" t="n"/>
      <x:c r="AS184" s="302" t="n"/>
      <x:c r="AT184" s="302" t="n"/>
      <x:c r="AU184" s="302" t="n"/>
      <x:c r="AV184" s="302" t="n"/>
      <x:c r="AW184" s="302" t="n"/>
      <x:c r="AX184" s="302" t="n"/>
      <x:c r="AY184" s="302" t="n"/>
      <x:c r="AZ184" s="302" t="n"/>
      <x:c r="BA184" s="302" t="n"/>
      <x:c r="BB184" s="302" t="n"/>
      <x:c r="BC184" s="302" t="n"/>
      <x:c r="BD184" s="302" t="n"/>
      <x:c r="BE184" s="302" t="n"/>
      <x:c r="BF184" s="302" t="n"/>
      <x:c r="BG184" s="302" t="n"/>
      <x:c r="BH184" s="302" t="n"/>
      <x:c r="BI184" s="302" t="n"/>
      <x:c r="BJ184" s="302" t="n"/>
      <x:c r="BK184" s="302" t="n"/>
      <x:c r="BL184" s="302" t="n"/>
      <x:c r="BM184" s="302" t="n"/>
      <x:c r="BN184" s="302" t="n"/>
      <x:c r="BO184" s="302" t="n"/>
      <x:c r="BP184" s="302" t="n"/>
      <x:c r="BQ184" s="302" t="n"/>
      <x:c r="BR184" s="302" t="n"/>
      <x:c r="BS184" s="302" t="n"/>
      <x:c r="BT184" s="302" t="n"/>
      <x:c r="BU184" s="302" t="n"/>
      <x:c r="BV184" s="302" t="n"/>
      <x:c r="BW184" s="302" t="n"/>
      <x:c r="BX184" s="302" t="n"/>
      <x:c r="BY184" s="302" t="n"/>
      <x:c r="BZ184" s="302" t="n"/>
      <x:c r="CA184" s="302" t="n"/>
      <x:c r="CB184" s="302" t="n"/>
      <x:c r="CC184" s="302" t="n"/>
      <x:c r="CD184" s="302" t="n"/>
      <x:c r="CE184" s="302" t="n"/>
      <x:c r="CF184" s="302" t="n"/>
      <x:c r="CG184" s="302" t="n"/>
      <x:c r="CH184" s="302" t="n"/>
      <x:c r="CI184" s="302" t="n"/>
      <x:c r="CJ184" s="302" t="n"/>
      <x:c r="CK184" s="302" t="n"/>
      <x:c r="CL184" s="302" t="n"/>
      <x:c r="CM184" s="302" t="n"/>
      <x:c r="CN184" s="302" t="n"/>
      <x:c r="CO184" s="302" t="n"/>
      <x:c r="CP184" s="302" t="n"/>
      <x:c r="CQ184" s="302" t="n"/>
      <x:c r="CR184" s="302" t="n"/>
      <x:c r="CS184" s="302" t="n"/>
      <x:c r="CT184" s="302" t="n"/>
      <x:c r="CU184" s="302" t="n"/>
      <x:c r="CV184" s="302" t="n"/>
      <x:c r="CW184" s="302" t="n"/>
      <x:c r="CX184" s="302" t="n"/>
      <x:c r="CY184" s="302" t="n"/>
      <x:c r="CZ184" s="302" t="n"/>
      <x:c r="DA184" s="302" t="n"/>
      <x:c r="DB184" s="302" t="n"/>
      <x:c r="DC184" s="302" t="n"/>
      <x:c r="DD184" s="302" t="n"/>
      <x:c r="DE184" s="302" t="n"/>
      <x:c r="DF184" s="302" t="n"/>
      <x:c r="DG184" s="302" t="n"/>
      <x:c r="DH184" s="302" t="n"/>
      <x:c r="DI184" s="302" t="n"/>
      <x:c r="DJ184" s="302" t="n"/>
      <x:c r="DK184" s="302" t="n"/>
      <x:c r="DL184" s="302" t="n"/>
      <x:c r="DM184" s="302" t="n"/>
      <x:c r="DN184" s="302" t="n"/>
      <x:c r="DO184" s="302" t="n"/>
      <x:c r="DP184" s="302" t="n"/>
      <x:c r="DQ184" s="302" t="n"/>
      <x:c r="DR184" s="302" t="n"/>
      <x:c r="DS184" s="302" t="n"/>
      <x:c r="DT184" s="302" t="n"/>
      <x:c r="DU184" s="302" t="n"/>
      <x:c r="DV184" s="302" t="n"/>
      <x:c r="DW184" s="302" t="n"/>
      <x:c r="DX184" s="302" t="n"/>
      <x:c r="DY184" s="302" t="n"/>
      <x:c r="DZ184" s="302" t="n"/>
      <x:c r="EA184" s="302" t="n"/>
      <x:c r="EB184" s="302" t="n"/>
      <x:c r="EC184" s="302" t="n"/>
      <x:c r="ED184" s="302" t="n"/>
      <x:c r="EE184" s="302" t="n"/>
      <x:c r="EF184" s="302" t="n"/>
      <x:c r="EG184" s="302" t="n"/>
      <x:c r="EH184" s="302" t="n"/>
      <x:c r="EI184" s="302" t="n"/>
      <x:c r="EJ184" s="302" t="n"/>
      <x:c r="EK184" s="302" t="n"/>
      <x:c r="EL184" s="302" t="n"/>
      <x:c r="EM184" s="302" t="n"/>
      <x:c r="EN184" s="302" t="n"/>
      <x:c r="EO184" s="302" t="n"/>
      <x:c r="EP184" s="302" t="n"/>
      <x:c r="EQ184" s="302" t="n"/>
      <x:c r="ER184" s="302" t="n"/>
      <x:c r="ES184" s="302" t="n"/>
      <x:c r="ET184" s="302" t="n"/>
      <x:c r="EU184" s="302" t="n"/>
      <x:c r="EV184" s="302" t="n"/>
      <x:c r="EW184" s="302" t="n"/>
      <x:c r="EX184" s="302" t="n"/>
      <x:c r="EY184" s="302" t="n"/>
    </x:row>
    <x:row r="185" s="27" customFormat="1">
      <x:c r="A185" s="38" t="n"/>
      <x:c r="B185" s="37" t="n"/>
      <x:c r="C185" s="36" t="n">
        <x:f>E185*D$5</x:f>
        <x:v>0</x:v>
      </x:c>
      <x:c r="D185" s="20" t="n"/>
      <x:c r="E185" s="36" t="n">
        <x:f>SUM(G185:HS185)</x:f>
        <x:v>0</x:v>
      </x:c>
      <x:c r="F185" s="126" t="inlineStr">
        <x:is>
          <x:t xml:space="preserve"/>
        </x:is>
      </x:c>
      <x:c r="G185" s="302" t="n"/>
      <x:c r="H185" s="302" t="n"/>
      <x:c r="I185" s="302" t="n"/>
      <x:c r="J185" s="302" t="n"/>
      <x:c r="K185" s="302" t="n"/>
      <x:c r="L185" s="302" t="n"/>
      <x:c r="M185" s="302" t="n"/>
      <x:c r="N185" s="302" t="n"/>
      <x:c r="O185" s="302" t="n"/>
      <x:c r="P185" s="100" t="n"/>
      <x:c r="Q185" s="302" t="n"/>
      <x:c r="R185" s="302" t="n"/>
      <x:c r="S185" s="302" t="n"/>
      <x:c r="T185" s="302" t="n"/>
      <x:c r="U185" s="302" t="n"/>
      <x:c r="V185" s="302" t="n"/>
      <x:c r="W185" s="302" t="n"/>
      <x:c r="X185" s="302" t="n"/>
      <x:c r="Y185" s="100" t="n"/>
      <x:c r="Z185" s="100" t="n"/>
      <x:c r="AA185" s="100" t="n"/>
      <x:c r="AB185" s="100" t="n"/>
      <x:c r="AC185" s="100" t="n"/>
      <x:c r="AD185" s="100" t="n"/>
      <x:c r="AE185" s="100" t="n"/>
      <x:c r="AF185" s="302" t="n"/>
      <x:c r="AG185" s="100" t="n"/>
      <x:c r="AH185" s="302" t="n"/>
      <x:c r="AI185" s="100" t="n"/>
      <x:c r="AJ185" s="302" t="n"/>
      <x:c r="AK185" s="302" t="n"/>
      <x:c r="AL185" s="302" t="n"/>
      <x:c r="AM185" s="302" t="n"/>
      <x:c r="AN185" s="302" t="n"/>
      <x:c r="AO185" s="302" t="n"/>
      <x:c r="AP185" s="302" t="n"/>
      <x:c r="AQ185" s="302" t="n"/>
      <x:c r="AR185" s="302" t="n"/>
      <x:c r="AS185" s="302" t="n"/>
      <x:c r="AT185" s="302" t="n"/>
      <x:c r="AU185" s="302" t="n"/>
      <x:c r="AV185" s="302" t="n"/>
      <x:c r="AW185" s="302" t="n"/>
      <x:c r="AX185" s="302" t="n"/>
      <x:c r="AY185" s="302" t="n"/>
      <x:c r="AZ185" s="302" t="n"/>
      <x:c r="BA185" s="302" t="n"/>
      <x:c r="BB185" s="302" t="n"/>
      <x:c r="BC185" s="302" t="n"/>
      <x:c r="BD185" s="302" t="n"/>
      <x:c r="BE185" s="302" t="n"/>
      <x:c r="BF185" s="302" t="n"/>
      <x:c r="BG185" s="302" t="n"/>
      <x:c r="BH185" s="302" t="n"/>
      <x:c r="BI185" s="302" t="n"/>
      <x:c r="BJ185" s="302" t="n"/>
      <x:c r="BK185" s="302" t="n"/>
      <x:c r="BL185" s="302" t="n"/>
      <x:c r="BM185" s="302" t="n"/>
      <x:c r="BN185" s="302" t="n"/>
      <x:c r="BO185" s="302" t="n"/>
      <x:c r="BP185" s="302" t="n"/>
      <x:c r="BQ185" s="302" t="n"/>
      <x:c r="BR185" s="302" t="n"/>
      <x:c r="BS185" s="302" t="n"/>
      <x:c r="BT185" s="302" t="n"/>
      <x:c r="BU185" s="302" t="n"/>
      <x:c r="BV185" s="302" t="n"/>
      <x:c r="BW185" s="302" t="n"/>
      <x:c r="BX185" s="302" t="n"/>
      <x:c r="BY185" s="302" t="n"/>
      <x:c r="BZ185" s="302" t="n"/>
      <x:c r="CA185" s="302" t="n"/>
      <x:c r="CB185" s="302" t="n"/>
      <x:c r="CC185" s="302" t="n"/>
      <x:c r="CD185" s="302" t="n"/>
      <x:c r="CE185" s="302" t="n"/>
      <x:c r="CF185" s="302" t="n"/>
      <x:c r="CG185" s="302" t="n"/>
      <x:c r="CH185" s="302" t="n"/>
      <x:c r="CI185" s="302" t="n"/>
      <x:c r="CJ185" s="302" t="n"/>
      <x:c r="CK185" s="302" t="n"/>
      <x:c r="CL185" s="302" t="n"/>
      <x:c r="CM185" s="302" t="n"/>
      <x:c r="CN185" s="302" t="n"/>
      <x:c r="CO185" s="302" t="n"/>
      <x:c r="CP185" s="302" t="n"/>
      <x:c r="CQ185" s="302" t="n"/>
      <x:c r="CR185" s="302" t="n"/>
      <x:c r="CS185" s="302" t="n"/>
      <x:c r="CT185" s="302" t="n"/>
      <x:c r="CU185" s="302" t="n"/>
      <x:c r="CV185" s="302" t="n"/>
      <x:c r="CW185" s="302" t="n"/>
      <x:c r="CX185" s="302" t="n"/>
      <x:c r="CY185" s="302" t="n"/>
      <x:c r="CZ185" s="302" t="n"/>
      <x:c r="DA185" s="302" t="n"/>
      <x:c r="DB185" s="302" t="n"/>
      <x:c r="DC185" s="302" t="n"/>
      <x:c r="DD185" s="302" t="n"/>
      <x:c r="DE185" s="302" t="n"/>
      <x:c r="DF185" s="302" t="n"/>
      <x:c r="DG185" s="302" t="n"/>
      <x:c r="DH185" s="302" t="n"/>
      <x:c r="DI185" s="302" t="n"/>
      <x:c r="DJ185" s="302" t="n"/>
      <x:c r="DK185" s="302" t="n"/>
      <x:c r="DL185" s="302" t="n"/>
      <x:c r="DM185" s="302" t="n"/>
      <x:c r="DN185" s="302" t="n"/>
      <x:c r="DO185" s="302" t="n"/>
      <x:c r="DP185" s="302" t="n"/>
      <x:c r="DQ185" s="302" t="n"/>
      <x:c r="DR185" s="302" t="n"/>
      <x:c r="DS185" s="302" t="n"/>
      <x:c r="DT185" s="302" t="n"/>
      <x:c r="DU185" s="302" t="n"/>
      <x:c r="DV185" s="302" t="n"/>
      <x:c r="DW185" s="302" t="n"/>
      <x:c r="DX185" s="302" t="n"/>
      <x:c r="DY185" s="302" t="n"/>
      <x:c r="DZ185" s="302" t="n"/>
      <x:c r="EA185" s="302" t="n"/>
      <x:c r="EB185" s="302" t="n"/>
      <x:c r="EC185" s="302" t="n"/>
      <x:c r="ED185" s="302" t="n"/>
      <x:c r="EE185" s="302" t="n"/>
      <x:c r="EF185" s="302" t="n"/>
      <x:c r="EG185" s="302" t="n"/>
      <x:c r="EH185" s="302" t="n"/>
      <x:c r="EI185" s="302" t="n"/>
      <x:c r="EJ185" s="302" t="n"/>
      <x:c r="EK185" s="302" t="n"/>
      <x:c r="EL185" s="302" t="n"/>
      <x:c r="EM185" s="302" t="n"/>
      <x:c r="EN185" s="302" t="n"/>
      <x:c r="EO185" s="302" t="n"/>
      <x:c r="EP185" s="302" t="n"/>
      <x:c r="EQ185" s="302" t="n"/>
      <x:c r="ER185" s="302" t="n"/>
      <x:c r="ES185" s="302" t="n"/>
      <x:c r="ET185" s="302" t="n"/>
      <x:c r="EU185" s="302" t="n"/>
      <x:c r="EV185" s="302" t="n"/>
      <x:c r="EW185" s="302" t="n"/>
      <x:c r="EX185" s="302" t="n"/>
      <x:c r="EY185" s="302" t="n"/>
    </x:row>
    <x:row r="186" s="27" customFormat="1">
      <x:c r="A186" s="38" t="n"/>
      <x:c r="B186" s="37" t="n"/>
      <x:c r="C186" s="36" t="n">
        <x:f>E186*D$5</x:f>
        <x:v>0</x:v>
      </x:c>
      <x:c r="D186" s="20" t="n"/>
      <x:c r="E186" s="36" t="n">
        <x:f>SUM(G186:HS186)</x:f>
        <x:v>0</x:v>
      </x:c>
      <x:c r="F186" s="126" t="inlineStr">
        <x:is>
          <x:t xml:space="preserve"/>
        </x:is>
      </x:c>
      <x:c r="G186" s="302" t="n"/>
      <x:c r="H186" s="302" t="n"/>
      <x:c r="I186" s="302" t="n"/>
      <x:c r="J186" s="302" t="n"/>
      <x:c r="K186" s="302" t="n"/>
      <x:c r="L186" s="302" t="n"/>
      <x:c r="M186" s="302" t="n"/>
      <x:c r="N186" s="302" t="n"/>
      <x:c r="O186" s="302" t="n"/>
      <x:c r="P186" s="100" t="n"/>
      <x:c r="Q186" s="302" t="n"/>
      <x:c r="R186" s="302" t="n"/>
      <x:c r="S186" s="302" t="n"/>
      <x:c r="T186" s="302" t="n"/>
      <x:c r="U186" s="302" t="n"/>
      <x:c r="V186" s="302" t="n"/>
      <x:c r="W186" s="302" t="n"/>
      <x:c r="X186" s="302" t="n"/>
      <x:c r="Y186" s="100" t="n"/>
      <x:c r="Z186" s="100" t="n"/>
      <x:c r="AA186" s="100" t="n"/>
      <x:c r="AB186" s="100" t="n"/>
      <x:c r="AC186" s="100" t="n"/>
      <x:c r="AD186" s="100" t="n"/>
      <x:c r="AE186" s="100" t="n"/>
      <x:c r="AF186" s="302" t="n"/>
      <x:c r="AG186" s="100" t="n"/>
      <x:c r="AH186" s="302" t="n"/>
      <x:c r="AI186" s="100" t="n"/>
      <x:c r="AJ186" s="302" t="n"/>
      <x:c r="AK186" s="302" t="n"/>
      <x:c r="AL186" s="302" t="n"/>
      <x:c r="AM186" s="302" t="n"/>
      <x:c r="AN186" s="302" t="n"/>
      <x:c r="AO186" s="302" t="n"/>
      <x:c r="AP186" s="302" t="n"/>
      <x:c r="AQ186" s="302" t="n"/>
      <x:c r="AR186" s="302" t="n"/>
      <x:c r="AS186" s="302" t="n"/>
      <x:c r="AT186" s="302" t="n"/>
      <x:c r="AU186" s="302" t="n"/>
      <x:c r="AV186" s="302" t="n"/>
      <x:c r="AW186" s="302" t="n"/>
      <x:c r="AX186" s="302" t="n"/>
      <x:c r="AY186" s="302" t="n"/>
      <x:c r="AZ186" s="302" t="n"/>
      <x:c r="BA186" s="302" t="n"/>
      <x:c r="BB186" s="302" t="n"/>
      <x:c r="BC186" s="302" t="n"/>
      <x:c r="BD186" s="302" t="n"/>
      <x:c r="BE186" s="302" t="n"/>
      <x:c r="BF186" s="302" t="n"/>
      <x:c r="BG186" s="302" t="n"/>
      <x:c r="BH186" s="302" t="n"/>
      <x:c r="BI186" s="302" t="n"/>
      <x:c r="BJ186" s="302" t="n"/>
      <x:c r="BK186" s="302" t="n"/>
      <x:c r="BL186" s="302" t="n"/>
      <x:c r="BM186" s="302" t="n"/>
      <x:c r="BN186" s="302" t="n"/>
      <x:c r="BO186" s="302" t="n"/>
      <x:c r="BP186" s="302" t="n"/>
      <x:c r="BQ186" s="302" t="n"/>
      <x:c r="BR186" s="302" t="n"/>
      <x:c r="BS186" s="302" t="n"/>
      <x:c r="BT186" s="302" t="n"/>
      <x:c r="BU186" s="302" t="n"/>
      <x:c r="BV186" s="302" t="n"/>
      <x:c r="BW186" s="302" t="n"/>
      <x:c r="BX186" s="302" t="n"/>
      <x:c r="BY186" s="302" t="n"/>
      <x:c r="BZ186" s="302" t="n"/>
      <x:c r="CA186" s="302" t="n"/>
      <x:c r="CB186" s="302" t="n"/>
      <x:c r="CC186" s="302" t="n"/>
      <x:c r="CD186" s="302" t="n"/>
      <x:c r="CE186" s="302" t="n"/>
      <x:c r="CF186" s="302" t="n"/>
      <x:c r="CG186" s="302" t="n"/>
      <x:c r="CH186" s="302" t="n"/>
      <x:c r="CI186" s="302" t="n"/>
      <x:c r="CJ186" s="302" t="n"/>
      <x:c r="CK186" s="302" t="n"/>
      <x:c r="CL186" s="302" t="n"/>
      <x:c r="CM186" s="302" t="n"/>
      <x:c r="CN186" s="302" t="n"/>
      <x:c r="CO186" s="302" t="n"/>
      <x:c r="CP186" s="302" t="n"/>
      <x:c r="CQ186" s="302" t="n"/>
      <x:c r="CR186" s="302" t="n"/>
      <x:c r="CS186" s="302" t="n"/>
      <x:c r="CT186" s="302" t="n"/>
      <x:c r="CU186" s="302" t="n"/>
      <x:c r="CV186" s="302" t="n"/>
      <x:c r="CW186" s="302" t="n"/>
      <x:c r="CX186" s="302" t="n"/>
      <x:c r="CY186" s="302" t="n"/>
      <x:c r="CZ186" s="302" t="n"/>
      <x:c r="DA186" s="302" t="n"/>
      <x:c r="DB186" s="302" t="n"/>
      <x:c r="DC186" s="302" t="n"/>
      <x:c r="DD186" s="302" t="n"/>
      <x:c r="DE186" s="302" t="n"/>
      <x:c r="DF186" s="302" t="n"/>
      <x:c r="DG186" s="302" t="n"/>
      <x:c r="DH186" s="302" t="n"/>
      <x:c r="DI186" s="302" t="n"/>
      <x:c r="DJ186" s="302" t="n"/>
      <x:c r="DK186" s="302" t="n"/>
      <x:c r="DL186" s="302" t="n"/>
      <x:c r="DM186" s="302" t="n"/>
      <x:c r="DN186" s="302" t="n"/>
      <x:c r="DO186" s="302" t="n"/>
      <x:c r="DP186" s="302" t="n"/>
      <x:c r="DQ186" s="302" t="n"/>
      <x:c r="DR186" s="302" t="n"/>
      <x:c r="DS186" s="302" t="n"/>
      <x:c r="DT186" s="302" t="n"/>
      <x:c r="DU186" s="302" t="n"/>
      <x:c r="DV186" s="302" t="n"/>
      <x:c r="DW186" s="302" t="n"/>
      <x:c r="DX186" s="302" t="n"/>
      <x:c r="DY186" s="302" t="n"/>
      <x:c r="DZ186" s="302" t="n"/>
      <x:c r="EA186" s="302" t="n"/>
      <x:c r="EB186" s="302" t="n"/>
      <x:c r="EC186" s="302" t="n"/>
      <x:c r="ED186" s="302" t="n"/>
      <x:c r="EE186" s="302" t="n"/>
      <x:c r="EF186" s="302" t="n"/>
      <x:c r="EG186" s="302" t="n"/>
      <x:c r="EH186" s="302" t="n"/>
      <x:c r="EI186" s="302" t="n"/>
      <x:c r="EJ186" s="302" t="n"/>
      <x:c r="EK186" s="302" t="n"/>
      <x:c r="EL186" s="302" t="n"/>
      <x:c r="EM186" s="302" t="n"/>
      <x:c r="EN186" s="302" t="n"/>
      <x:c r="EO186" s="302" t="n"/>
      <x:c r="EP186" s="302" t="n"/>
      <x:c r="EQ186" s="302" t="n"/>
      <x:c r="ER186" s="302" t="n"/>
      <x:c r="ES186" s="302" t="n"/>
      <x:c r="ET186" s="302" t="n"/>
      <x:c r="EU186" s="302" t="n"/>
      <x:c r="EV186" s="302" t="n"/>
      <x:c r="EW186" s="302" t="n"/>
      <x:c r="EX186" s="302" t="n"/>
      <x:c r="EY186" s="302" t="n"/>
    </x:row>
    <x:row r="187" s="27" customFormat="1">
      <x:c r="A187" s="38" t="n"/>
      <x:c r="B187" s="37" t="n"/>
      <x:c r="C187" s="36" t="n">
        <x:f>E187*D$5</x:f>
        <x:v>0</x:v>
      </x:c>
      <x:c r="D187" s="20" t="n"/>
      <x:c r="E187" s="36" t="n">
        <x:f>SUM(G187:HT187)</x:f>
        <x:v>0</x:v>
      </x:c>
      <x:c r="H187" s="302" t="n"/>
      <x:c r="I187" s="302" t="n"/>
      <x:c r="J187" s="302" t="n"/>
      <x:c r="K187" s="302" t="n"/>
      <x:c r="L187" s="302" t="n"/>
      <x:c r="M187" s="302" t="n"/>
      <x:c r="N187" s="302" t="n"/>
      <x:c r="O187" s="302" t="n"/>
      <x:c r="P187" s="302" t="n"/>
      <x:c r="Q187" s="100" t="n"/>
      <x:c r="R187" s="302" t="n"/>
      <x:c r="S187" s="302" t="n"/>
      <x:c r="T187" s="302" t="n"/>
      <x:c r="U187" s="302" t="n"/>
      <x:c r="V187" s="302" t="n"/>
      <x:c r="W187" s="302" t="n"/>
      <x:c r="X187" s="302" t="n"/>
      <x:c r="Y187" s="302" t="n"/>
      <x:c r="Z187" s="100" t="n"/>
      <x:c r="AA187" s="100" t="n"/>
      <x:c r="AB187" s="100" t="n"/>
      <x:c r="AC187" s="100" t="n"/>
      <x:c r="AD187" s="100" t="n"/>
      <x:c r="AE187" s="100" t="n"/>
      <x:c r="AF187" s="100" t="n"/>
      <x:c r="AG187" s="302" t="n"/>
      <x:c r="AH187" s="100" t="n"/>
      <x:c r="AI187" s="302" t="n"/>
      <x:c r="AJ187" s="100" t="n"/>
      <x:c r="AK187" s="302" t="n"/>
      <x:c r="AL187" s="302" t="n"/>
      <x:c r="AM187" s="302" t="n"/>
      <x:c r="AN187" s="302" t="n"/>
      <x:c r="AO187" s="302" t="n"/>
      <x:c r="AP187" s="302" t="n"/>
      <x:c r="AQ187" s="302" t="n"/>
      <x:c r="AR187" s="302" t="n"/>
      <x:c r="AS187" s="302" t="n"/>
      <x:c r="AT187" s="302" t="n"/>
      <x:c r="AU187" s="302" t="n"/>
      <x:c r="AV187" s="302" t="n"/>
      <x:c r="AW187" s="302" t="n"/>
      <x:c r="AX187" s="302" t="n"/>
      <x:c r="AY187" s="302" t="n"/>
      <x:c r="AZ187" s="302" t="n"/>
      <x:c r="BA187" s="302" t="n"/>
      <x:c r="BB187" s="302" t="n"/>
      <x:c r="BC187" s="302" t="n"/>
      <x:c r="BD187" s="302" t="n"/>
      <x:c r="BE187" s="302" t="n"/>
      <x:c r="BF187" s="302" t="n"/>
      <x:c r="BG187" s="302" t="n"/>
      <x:c r="BH187" s="302" t="n"/>
      <x:c r="BI187" s="302" t="n"/>
      <x:c r="BJ187" s="302" t="n"/>
      <x:c r="BK187" s="302" t="n"/>
      <x:c r="BL187" s="302" t="n"/>
      <x:c r="BM187" s="302" t="n"/>
      <x:c r="BN187" s="302" t="n"/>
      <x:c r="BO187" s="302" t="n"/>
      <x:c r="BP187" s="302" t="n"/>
      <x:c r="BQ187" s="302" t="n"/>
      <x:c r="BR187" s="302" t="n"/>
      <x:c r="BS187" s="302" t="n"/>
      <x:c r="BT187" s="302" t="n"/>
      <x:c r="BU187" s="302" t="n"/>
      <x:c r="BV187" s="302" t="n"/>
      <x:c r="BW187" s="302" t="n"/>
      <x:c r="BX187" s="302" t="n"/>
      <x:c r="BY187" s="302" t="n"/>
      <x:c r="BZ187" s="302" t="n"/>
      <x:c r="CA187" s="302" t="n"/>
      <x:c r="CB187" s="302" t="n"/>
      <x:c r="CC187" s="302" t="n"/>
      <x:c r="CD187" s="302" t="n"/>
      <x:c r="CE187" s="302" t="n"/>
      <x:c r="CF187" s="302" t="n"/>
      <x:c r="CG187" s="302" t="n"/>
      <x:c r="CH187" s="302" t="n"/>
      <x:c r="CI187" s="302" t="n"/>
      <x:c r="CJ187" s="302" t="n"/>
      <x:c r="CK187" s="302" t="n"/>
      <x:c r="CL187" s="302" t="n"/>
      <x:c r="CM187" s="302" t="n"/>
      <x:c r="CN187" s="302" t="n"/>
      <x:c r="CO187" s="302" t="n"/>
      <x:c r="CP187" s="302" t="n"/>
      <x:c r="CQ187" s="302" t="n"/>
      <x:c r="CR187" s="302" t="n"/>
      <x:c r="CS187" s="302" t="n"/>
      <x:c r="CT187" s="302" t="n"/>
      <x:c r="CU187" s="302" t="n"/>
      <x:c r="CV187" s="302" t="n"/>
      <x:c r="CW187" s="302" t="n"/>
      <x:c r="CX187" s="302" t="n"/>
      <x:c r="CY187" s="302" t="n"/>
      <x:c r="CZ187" s="302" t="n"/>
      <x:c r="DA187" s="302" t="n"/>
      <x:c r="DB187" s="302" t="n"/>
      <x:c r="DC187" s="302" t="n"/>
      <x:c r="DD187" s="302" t="n"/>
      <x:c r="DE187" s="302" t="n"/>
      <x:c r="DF187" s="302" t="n"/>
      <x:c r="DG187" s="302" t="n"/>
      <x:c r="DH187" s="302" t="n"/>
      <x:c r="DI187" s="302" t="n"/>
      <x:c r="DJ187" s="302" t="n"/>
      <x:c r="DK187" s="302" t="n"/>
      <x:c r="DL187" s="302" t="n"/>
      <x:c r="DM187" s="302" t="n"/>
      <x:c r="DN187" s="302" t="n"/>
      <x:c r="DO187" s="302" t="n"/>
      <x:c r="DP187" s="302" t="n"/>
      <x:c r="DQ187" s="302" t="n"/>
      <x:c r="DR187" s="302" t="n"/>
      <x:c r="DS187" s="302" t="n"/>
      <x:c r="DT187" s="302" t="n"/>
      <x:c r="DU187" s="302" t="n"/>
      <x:c r="DV187" s="302" t="n"/>
      <x:c r="DW187" s="302" t="n"/>
      <x:c r="DX187" s="302" t="n"/>
      <x:c r="DY187" s="302" t="n"/>
      <x:c r="DZ187" s="302" t="n"/>
      <x:c r="EA187" s="302" t="n"/>
      <x:c r="EB187" s="302" t="n"/>
      <x:c r="EC187" s="302" t="n"/>
      <x:c r="ED187" s="302" t="n"/>
      <x:c r="EE187" s="302" t="n"/>
      <x:c r="EF187" s="302" t="n"/>
      <x:c r="EG187" s="302" t="n"/>
      <x:c r="EH187" s="302" t="n"/>
      <x:c r="EI187" s="302" t="n"/>
      <x:c r="EJ187" s="302" t="n"/>
      <x:c r="EK187" s="302" t="n"/>
      <x:c r="EL187" s="302" t="n"/>
      <x:c r="EM187" s="302" t="n"/>
      <x:c r="EN187" s="302" t="n"/>
      <x:c r="EO187" s="302" t="n"/>
      <x:c r="EP187" s="302" t="n"/>
      <x:c r="EQ187" s="302" t="n"/>
      <x:c r="ER187" s="302" t="n"/>
      <x:c r="ES187" s="302" t="n"/>
      <x:c r="ET187" s="302" t="n"/>
      <x:c r="EU187" s="302" t="n"/>
      <x:c r="EV187" s="302" t="n"/>
      <x:c r="EW187" s="302" t="n"/>
      <x:c r="EX187" s="302" t="n"/>
      <x:c r="EY187" s="302" t="n"/>
      <x:c r="EZ187" s="302" t="n"/>
    </x:row>
    <x:row r="188" s="27" customFormat="1">
      <x:c r="A188" s="38" t="n"/>
      <x:c r="B188" s="37" t="n"/>
      <x:c r="C188" s="36" t="n">
        <x:f>E188*D$5</x:f>
        <x:v>0</x:v>
      </x:c>
      <x:c r="D188" s="20" t="n"/>
      <x:c r="E188" s="36" t="n">
        <x:f>SUM(G188:HT188)</x:f>
        <x:v>0</x:v>
      </x:c>
      <x:c r="H188" s="302" t="n"/>
      <x:c r="I188" s="302" t="n"/>
      <x:c r="J188" s="302" t="n"/>
      <x:c r="K188" s="302" t="n"/>
      <x:c r="L188" s="302" t="n"/>
      <x:c r="M188" s="302" t="n"/>
      <x:c r="N188" s="302" t="n"/>
      <x:c r="O188" s="302" t="n"/>
      <x:c r="P188" s="302" t="n"/>
      <x:c r="Q188" s="100" t="n"/>
      <x:c r="R188" s="302" t="n"/>
      <x:c r="S188" s="302" t="n"/>
      <x:c r="T188" s="302" t="n"/>
      <x:c r="U188" s="302" t="n"/>
      <x:c r="V188" s="302" t="n"/>
      <x:c r="W188" s="302" t="n"/>
      <x:c r="X188" s="302" t="n"/>
      <x:c r="Y188" s="302" t="n"/>
      <x:c r="Z188" s="100" t="n"/>
      <x:c r="AA188" s="100" t="n"/>
      <x:c r="AB188" s="100" t="n"/>
      <x:c r="AC188" s="100" t="n"/>
      <x:c r="AD188" s="100" t="n"/>
      <x:c r="AE188" s="100" t="n"/>
      <x:c r="AF188" s="100" t="n"/>
      <x:c r="AG188" s="302" t="n"/>
      <x:c r="AH188" s="100" t="n"/>
      <x:c r="AI188" s="302" t="n"/>
      <x:c r="AJ188" s="100" t="n"/>
      <x:c r="AK188" s="302" t="n"/>
      <x:c r="AL188" s="302" t="n"/>
      <x:c r="AM188" s="302" t="n"/>
      <x:c r="AN188" s="302" t="n"/>
      <x:c r="AO188" s="302" t="n"/>
      <x:c r="AP188" s="302" t="n"/>
      <x:c r="AQ188" s="302" t="n"/>
      <x:c r="AR188" s="302" t="n"/>
      <x:c r="AS188" s="302" t="n"/>
      <x:c r="AT188" s="302" t="n"/>
      <x:c r="AU188" s="302" t="n"/>
      <x:c r="AV188" s="302" t="n"/>
      <x:c r="AW188" s="302" t="n"/>
      <x:c r="AX188" s="302" t="n"/>
      <x:c r="AY188" s="302" t="n"/>
      <x:c r="AZ188" s="302" t="n"/>
      <x:c r="BA188" s="302" t="n"/>
      <x:c r="BB188" s="302" t="n"/>
      <x:c r="BC188" s="302" t="n"/>
      <x:c r="BD188" s="302" t="n"/>
      <x:c r="BE188" s="302" t="n"/>
      <x:c r="BF188" s="302" t="n"/>
      <x:c r="BG188" s="302" t="n"/>
      <x:c r="BH188" s="302" t="n"/>
      <x:c r="BI188" s="302" t="n"/>
      <x:c r="BJ188" s="302" t="n"/>
      <x:c r="BK188" s="302" t="n"/>
      <x:c r="BL188" s="302" t="n"/>
      <x:c r="BM188" s="302" t="n"/>
      <x:c r="BN188" s="302" t="n"/>
      <x:c r="BO188" s="302" t="n"/>
      <x:c r="BP188" s="302" t="n"/>
      <x:c r="BQ188" s="302" t="n"/>
      <x:c r="BR188" s="302" t="n"/>
      <x:c r="BS188" s="302" t="n"/>
      <x:c r="BT188" s="302" t="n"/>
      <x:c r="BU188" s="302" t="n"/>
      <x:c r="BV188" s="302" t="n"/>
      <x:c r="BW188" s="302" t="n"/>
      <x:c r="BX188" s="302" t="n"/>
      <x:c r="BY188" s="302" t="n"/>
      <x:c r="BZ188" s="302" t="n"/>
      <x:c r="CA188" s="302" t="n"/>
      <x:c r="CB188" s="302" t="n"/>
      <x:c r="CC188" s="302" t="n"/>
      <x:c r="CD188" s="302" t="n"/>
      <x:c r="CE188" s="302" t="n"/>
      <x:c r="CF188" s="302" t="n"/>
      <x:c r="CG188" s="302" t="n"/>
      <x:c r="CH188" s="302" t="n"/>
      <x:c r="CI188" s="302" t="n"/>
      <x:c r="CJ188" s="302" t="n"/>
      <x:c r="CK188" s="302" t="n"/>
      <x:c r="CL188" s="302" t="n"/>
      <x:c r="CM188" s="302" t="n"/>
      <x:c r="CN188" s="302" t="n"/>
      <x:c r="CO188" s="302" t="n"/>
      <x:c r="CP188" s="302" t="n"/>
      <x:c r="CQ188" s="302" t="n"/>
      <x:c r="CR188" s="302" t="n"/>
      <x:c r="CS188" s="302" t="n"/>
      <x:c r="CT188" s="302" t="n"/>
      <x:c r="CU188" s="302" t="n"/>
      <x:c r="CV188" s="302" t="n"/>
      <x:c r="CW188" s="302" t="n"/>
      <x:c r="CX188" s="302" t="n"/>
      <x:c r="CY188" s="302" t="n"/>
      <x:c r="CZ188" s="302" t="n"/>
      <x:c r="DA188" s="302" t="n"/>
      <x:c r="DB188" s="302" t="n"/>
      <x:c r="DC188" s="302" t="n"/>
      <x:c r="DD188" s="302" t="n"/>
      <x:c r="DE188" s="302" t="n"/>
      <x:c r="DF188" s="302" t="n"/>
      <x:c r="DG188" s="302" t="n"/>
      <x:c r="DH188" s="302" t="n"/>
      <x:c r="DI188" s="302" t="n"/>
      <x:c r="DJ188" s="302" t="n"/>
      <x:c r="DK188" s="302" t="n"/>
      <x:c r="DL188" s="302" t="n"/>
      <x:c r="DM188" s="302" t="n"/>
      <x:c r="DN188" s="302" t="n"/>
      <x:c r="DO188" s="302" t="n"/>
      <x:c r="DP188" s="302" t="n"/>
      <x:c r="DQ188" s="302" t="n"/>
      <x:c r="DR188" s="302" t="n"/>
      <x:c r="DS188" s="302" t="n"/>
      <x:c r="DT188" s="302" t="n"/>
      <x:c r="DU188" s="302" t="n"/>
      <x:c r="DV188" s="302" t="n"/>
      <x:c r="DW188" s="302" t="n"/>
      <x:c r="DX188" s="302" t="n"/>
      <x:c r="DY188" s="302" t="n"/>
      <x:c r="DZ188" s="302" t="n"/>
      <x:c r="EA188" s="302" t="n"/>
      <x:c r="EB188" s="302" t="n"/>
      <x:c r="EC188" s="302" t="n"/>
      <x:c r="ED188" s="302" t="n"/>
      <x:c r="EE188" s="302" t="n"/>
      <x:c r="EF188" s="302" t="n"/>
      <x:c r="EG188" s="302" t="n"/>
      <x:c r="EH188" s="302" t="n"/>
      <x:c r="EI188" s="302" t="n"/>
      <x:c r="EJ188" s="302" t="n"/>
      <x:c r="EK188" s="302" t="n"/>
      <x:c r="EL188" s="302" t="n"/>
      <x:c r="EM188" s="302" t="n"/>
      <x:c r="EN188" s="302" t="n"/>
      <x:c r="EO188" s="302" t="n"/>
      <x:c r="EP188" s="302" t="n"/>
      <x:c r="EQ188" s="302" t="n"/>
      <x:c r="ER188" s="302" t="n"/>
      <x:c r="ES188" s="302" t="n"/>
      <x:c r="ET188" s="302" t="n"/>
      <x:c r="EU188" s="302" t="n"/>
      <x:c r="EV188" s="302" t="n"/>
      <x:c r="EW188" s="302" t="n"/>
      <x:c r="EX188" s="302" t="n"/>
      <x:c r="EY188" s="302" t="n"/>
      <x:c r="EZ188" s="302" t="n"/>
    </x:row>
    <x:row r="189" s="27" customFormat="1">
      <x:c r="A189" s="38" t="n"/>
      <x:c r="B189" s="37" t="n"/>
      <x:c r="C189" s="36" t="n">
        <x:f>E189*D$5</x:f>
        <x:v>0</x:v>
      </x:c>
      <x:c r="D189" s="20" t="n"/>
      <x:c r="E189" s="36" t="n">
        <x:f>SUM(G189:HT189)</x:f>
        <x:v>0</x:v>
      </x:c>
      <x:c r="H189" s="302" t="n"/>
      <x:c r="I189" s="302" t="n"/>
      <x:c r="J189" s="302" t="n"/>
      <x:c r="K189" s="302" t="n"/>
      <x:c r="L189" s="302" t="n"/>
      <x:c r="M189" s="302" t="n"/>
      <x:c r="N189" s="302" t="n"/>
      <x:c r="O189" s="302" t="n"/>
      <x:c r="P189" s="302" t="n"/>
      <x:c r="Q189" s="100" t="n"/>
      <x:c r="R189" s="302" t="n"/>
      <x:c r="S189" s="302" t="n"/>
      <x:c r="T189" s="302" t="n"/>
      <x:c r="U189" s="302" t="n"/>
      <x:c r="V189" s="302" t="n"/>
      <x:c r="W189" s="302" t="n"/>
      <x:c r="X189" s="302" t="n"/>
      <x:c r="Y189" s="302" t="n"/>
      <x:c r="Z189" s="100" t="n"/>
      <x:c r="AA189" s="100" t="n"/>
      <x:c r="AB189" s="100" t="n"/>
      <x:c r="AC189" s="100" t="n"/>
      <x:c r="AD189" s="100" t="n"/>
      <x:c r="AE189" s="100" t="n"/>
      <x:c r="AF189" s="100" t="n"/>
      <x:c r="AG189" s="302" t="n"/>
      <x:c r="AH189" s="100" t="n"/>
      <x:c r="AI189" s="302" t="n"/>
      <x:c r="AJ189" s="100" t="n"/>
      <x:c r="AK189" s="302" t="n"/>
      <x:c r="AL189" s="302" t="n"/>
      <x:c r="AM189" s="302" t="n"/>
      <x:c r="AN189" s="302" t="n"/>
      <x:c r="AO189" s="302" t="n"/>
      <x:c r="AP189" s="302" t="n"/>
      <x:c r="AQ189" s="302" t="n"/>
      <x:c r="AR189" s="302" t="n"/>
      <x:c r="AS189" s="302" t="n"/>
      <x:c r="AT189" s="302" t="n"/>
      <x:c r="AU189" s="302" t="n"/>
      <x:c r="AV189" s="302" t="n"/>
      <x:c r="AW189" s="302" t="n"/>
      <x:c r="AX189" s="302" t="n"/>
      <x:c r="AY189" s="302" t="n"/>
      <x:c r="AZ189" s="302" t="n"/>
      <x:c r="BA189" s="302" t="n"/>
      <x:c r="BB189" s="302" t="n"/>
      <x:c r="BC189" s="302" t="n"/>
      <x:c r="BD189" s="302" t="n"/>
      <x:c r="BE189" s="302" t="n"/>
      <x:c r="BF189" s="302" t="n"/>
      <x:c r="BG189" s="302" t="n"/>
      <x:c r="BH189" s="302" t="n"/>
      <x:c r="BI189" s="302" t="n"/>
      <x:c r="BJ189" s="302" t="n"/>
      <x:c r="BK189" s="302" t="n"/>
      <x:c r="BL189" s="302" t="n"/>
      <x:c r="BM189" s="302" t="n"/>
      <x:c r="BN189" s="302" t="n"/>
      <x:c r="BO189" s="302" t="n"/>
      <x:c r="BP189" s="302" t="n"/>
      <x:c r="BQ189" s="302" t="n"/>
      <x:c r="BR189" s="302" t="n"/>
      <x:c r="BS189" s="302" t="n"/>
      <x:c r="BT189" s="302" t="n"/>
      <x:c r="BU189" s="302" t="n"/>
      <x:c r="BV189" s="302" t="n"/>
      <x:c r="BW189" s="302" t="n"/>
      <x:c r="BX189" s="302" t="n"/>
      <x:c r="BY189" s="302" t="n"/>
      <x:c r="BZ189" s="302" t="n"/>
      <x:c r="CA189" s="302" t="n"/>
      <x:c r="CB189" s="302" t="n"/>
      <x:c r="CC189" s="302" t="n"/>
      <x:c r="CD189" s="302" t="n"/>
      <x:c r="CE189" s="302" t="n"/>
      <x:c r="CF189" s="302" t="n"/>
      <x:c r="CG189" s="302" t="n"/>
      <x:c r="CH189" s="302" t="n"/>
      <x:c r="CI189" s="302" t="n"/>
      <x:c r="CJ189" s="302" t="n"/>
      <x:c r="CK189" s="302" t="n"/>
      <x:c r="CL189" s="302" t="n"/>
      <x:c r="CM189" s="302" t="n"/>
      <x:c r="CN189" s="302" t="n"/>
      <x:c r="CO189" s="302" t="n"/>
      <x:c r="CP189" s="302" t="n"/>
      <x:c r="CQ189" s="302" t="n"/>
      <x:c r="CR189" s="302" t="n"/>
      <x:c r="CS189" s="302" t="n"/>
      <x:c r="CT189" s="302" t="n"/>
      <x:c r="CU189" s="302" t="n"/>
      <x:c r="CV189" s="302" t="n"/>
      <x:c r="CW189" s="302" t="n"/>
      <x:c r="CX189" s="302" t="n"/>
      <x:c r="CY189" s="302" t="n"/>
      <x:c r="CZ189" s="302" t="n"/>
      <x:c r="DA189" s="302" t="n"/>
      <x:c r="DB189" s="302" t="n"/>
      <x:c r="DC189" s="302" t="n"/>
      <x:c r="DD189" s="302" t="n"/>
      <x:c r="DE189" s="302" t="n"/>
      <x:c r="DF189" s="302" t="n"/>
      <x:c r="DG189" s="302" t="n"/>
      <x:c r="DH189" s="302" t="n"/>
      <x:c r="DI189" s="302" t="n"/>
      <x:c r="DJ189" s="302" t="n"/>
      <x:c r="DK189" s="302" t="n"/>
      <x:c r="DL189" s="302" t="n"/>
      <x:c r="DM189" s="302" t="n"/>
      <x:c r="DN189" s="302" t="n"/>
      <x:c r="DO189" s="302" t="n"/>
      <x:c r="DP189" s="302" t="n"/>
      <x:c r="DQ189" s="302" t="n"/>
      <x:c r="DR189" s="302" t="n"/>
      <x:c r="DS189" s="302" t="n"/>
      <x:c r="DT189" s="302" t="n"/>
      <x:c r="DU189" s="302" t="n"/>
      <x:c r="DV189" s="302" t="n"/>
      <x:c r="DW189" s="302" t="n"/>
      <x:c r="DX189" s="302" t="n"/>
      <x:c r="DY189" s="302" t="n"/>
      <x:c r="DZ189" s="302" t="n"/>
      <x:c r="EA189" s="302" t="n"/>
      <x:c r="EB189" s="302" t="n"/>
      <x:c r="EC189" s="302" t="n"/>
      <x:c r="ED189" s="302" t="n"/>
      <x:c r="EE189" s="302" t="n"/>
      <x:c r="EF189" s="302" t="n"/>
      <x:c r="EG189" s="302" t="n"/>
      <x:c r="EH189" s="302" t="n"/>
      <x:c r="EI189" s="302" t="n"/>
      <x:c r="EJ189" s="302" t="n"/>
      <x:c r="EK189" s="302" t="n"/>
      <x:c r="EL189" s="302" t="n"/>
      <x:c r="EM189" s="302" t="n"/>
      <x:c r="EN189" s="302" t="n"/>
      <x:c r="EO189" s="302" t="n"/>
      <x:c r="EP189" s="302" t="n"/>
      <x:c r="EQ189" s="302" t="n"/>
      <x:c r="ER189" s="302" t="n"/>
      <x:c r="ES189" s="302" t="n"/>
      <x:c r="ET189" s="302" t="n"/>
      <x:c r="EU189" s="302" t="n"/>
      <x:c r="EV189" s="302" t="n"/>
      <x:c r="EW189" s="302" t="n"/>
      <x:c r="EX189" s="302" t="n"/>
      <x:c r="EY189" s="302" t="n"/>
      <x:c r="EZ189" s="302" t="n"/>
    </x:row>
    <x:row r="190" s="27" customFormat="1">
      <x:c r="A190" s="38" t="n"/>
      <x:c r="B190" s="37" t="n"/>
      <x:c r="C190" s="36" t="n">
        <x:f>E190*D$5</x:f>
        <x:v>0</x:v>
      </x:c>
      <x:c r="D190" s="20" t="n"/>
      <x:c r="E190" s="36" t="n">
        <x:f>SUM(G190:HT190)</x:f>
        <x:v>0</x:v>
      </x:c>
      <x:c r="H190" s="302" t="n"/>
      <x:c r="I190" s="302" t="n"/>
      <x:c r="J190" s="302" t="n"/>
      <x:c r="K190" s="302" t="n"/>
      <x:c r="L190" s="302" t="n"/>
      <x:c r="M190" s="302" t="n"/>
      <x:c r="N190" s="302" t="n"/>
      <x:c r="O190" s="302" t="n"/>
      <x:c r="P190" s="302" t="n"/>
      <x:c r="Q190" s="100" t="n"/>
      <x:c r="R190" s="302" t="n"/>
      <x:c r="S190" s="302" t="n"/>
      <x:c r="T190" s="302" t="n"/>
      <x:c r="U190" s="302" t="n"/>
      <x:c r="V190" s="302" t="n"/>
      <x:c r="W190" s="302" t="n"/>
      <x:c r="X190" s="302" t="n"/>
      <x:c r="Y190" s="302" t="n"/>
      <x:c r="Z190" s="100" t="n"/>
      <x:c r="AA190" s="100" t="n"/>
      <x:c r="AB190" s="100" t="n"/>
      <x:c r="AC190" s="100" t="n"/>
      <x:c r="AD190" s="100" t="n"/>
      <x:c r="AE190" s="100" t="n"/>
      <x:c r="AF190" s="100" t="n"/>
      <x:c r="AG190" s="302" t="n"/>
      <x:c r="AH190" s="100" t="n"/>
      <x:c r="AI190" s="302" t="n"/>
      <x:c r="AJ190" s="100" t="n"/>
      <x:c r="AK190" s="302" t="n"/>
      <x:c r="AL190" s="302" t="n"/>
      <x:c r="AM190" s="302" t="n"/>
      <x:c r="AN190" s="302" t="n"/>
      <x:c r="AO190" s="302" t="n"/>
      <x:c r="AP190" s="302" t="n"/>
      <x:c r="AQ190" s="302" t="n"/>
      <x:c r="AR190" s="302" t="n"/>
      <x:c r="AS190" s="302" t="n"/>
      <x:c r="AT190" s="302" t="n"/>
      <x:c r="AU190" s="302" t="n"/>
      <x:c r="AV190" s="302" t="n"/>
      <x:c r="AW190" s="302" t="n"/>
      <x:c r="AX190" s="302" t="n"/>
      <x:c r="AY190" s="302" t="n"/>
      <x:c r="AZ190" s="302" t="n"/>
      <x:c r="BA190" s="302" t="n"/>
      <x:c r="BB190" s="302" t="n"/>
      <x:c r="BC190" s="302" t="n"/>
      <x:c r="BD190" s="302" t="n"/>
      <x:c r="BE190" s="302" t="n"/>
      <x:c r="BF190" s="302" t="n"/>
      <x:c r="BG190" s="302" t="n"/>
      <x:c r="BH190" s="302" t="n"/>
      <x:c r="BI190" s="302" t="n"/>
      <x:c r="BJ190" s="302" t="n"/>
      <x:c r="BK190" s="302" t="n"/>
      <x:c r="BL190" s="302" t="n"/>
      <x:c r="BM190" s="302" t="n"/>
      <x:c r="BN190" s="302" t="n"/>
      <x:c r="BO190" s="302" t="n"/>
      <x:c r="BP190" s="302" t="n"/>
      <x:c r="BQ190" s="302" t="n"/>
      <x:c r="BR190" s="302" t="n"/>
      <x:c r="BS190" s="302" t="n"/>
      <x:c r="BT190" s="302" t="n"/>
      <x:c r="BU190" s="302" t="n"/>
      <x:c r="BV190" s="302" t="n"/>
      <x:c r="BW190" s="302" t="n"/>
      <x:c r="BX190" s="302" t="n"/>
      <x:c r="BY190" s="302" t="n"/>
      <x:c r="BZ190" s="302" t="n"/>
      <x:c r="CA190" s="302" t="n"/>
      <x:c r="CB190" s="302" t="n"/>
      <x:c r="CC190" s="302" t="n"/>
      <x:c r="CD190" s="302" t="n"/>
      <x:c r="CE190" s="302" t="n"/>
      <x:c r="CF190" s="302" t="n"/>
      <x:c r="CG190" s="302" t="n"/>
      <x:c r="CH190" s="302" t="n"/>
      <x:c r="CI190" s="302" t="n"/>
      <x:c r="CJ190" s="302" t="n"/>
      <x:c r="CK190" s="302" t="n"/>
      <x:c r="CL190" s="302" t="n"/>
      <x:c r="CM190" s="302" t="n"/>
      <x:c r="CN190" s="302" t="n"/>
      <x:c r="CO190" s="302" t="n"/>
      <x:c r="CP190" s="302" t="n"/>
      <x:c r="CQ190" s="302" t="n"/>
      <x:c r="CR190" s="302" t="n"/>
      <x:c r="CS190" s="302" t="n"/>
      <x:c r="CT190" s="302" t="n"/>
      <x:c r="CU190" s="302" t="n"/>
      <x:c r="CV190" s="302" t="n"/>
      <x:c r="CW190" s="302" t="n"/>
      <x:c r="CX190" s="302" t="n"/>
      <x:c r="CY190" s="302" t="n"/>
      <x:c r="CZ190" s="302" t="n"/>
      <x:c r="DA190" s="302" t="n"/>
      <x:c r="DB190" s="302" t="n"/>
      <x:c r="DC190" s="302" t="n"/>
      <x:c r="DD190" s="302" t="n"/>
      <x:c r="DE190" s="302" t="n"/>
      <x:c r="DF190" s="302" t="n"/>
      <x:c r="DG190" s="302" t="n"/>
      <x:c r="DH190" s="302" t="n"/>
      <x:c r="DI190" s="302" t="n"/>
      <x:c r="DJ190" s="302" t="n"/>
      <x:c r="DK190" s="302" t="n"/>
      <x:c r="DL190" s="302" t="n"/>
      <x:c r="DM190" s="302" t="n"/>
      <x:c r="DN190" s="302" t="n"/>
      <x:c r="DO190" s="302" t="n"/>
      <x:c r="DP190" s="302" t="n"/>
      <x:c r="DQ190" s="302" t="n"/>
      <x:c r="DR190" s="302" t="n"/>
      <x:c r="DS190" s="302" t="n"/>
      <x:c r="DT190" s="302" t="n"/>
      <x:c r="DU190" s="302" t="n"/>
      <x:c r="DV190" s="302" t="n"/>
      <x:c r="DW190" s="302" t="n"/>
      <x:c r="DX190" s="302" t="n"/>
      <x:c r="DY190" s="302" t="n"/>
      <x:c r="DZ190" s="302" t="n"/>
      <x:c r="EA190" s="302" t="n"/>
      <x:c r="EB190" s="302" t="n"/>
      <x:c r="EC190" s="302" t="n"/>
      <x:c r="ED190" s="302" t="n"/>
      <x:c r="EE190" s="302" t="n"/>
      <x:c r="EF190" s="302" t="n"/>
      <x:c r="EG190" s="302" t="n"/>
      <x:c r="EH190" s="302" t="n"/>
      <x:c r="EI190" s="302" t="n"/>
      <x:c r="EJ190" s="302" t="n"/>
      <x:c r="EK190" s="302" t="n"/>
      <x:c r="EL190" s="302" t="n"/>
      <x:c r="EM190" s="302" t="n"/>
      <x:c r="EN190" s="302" t="n"/>
      <x:c r="EO190" s="302" t="n"/>
      <x:c r="EP190" s="302" t="n"/>
      <x:c r="EQ190" s="302" t="n"/>
      <x:c r="ER190" s="302" t="n"/>
      <x:c r="ES190" s="302" t="n"/>
      <x:c r="ET190" s="302" t="n"/>
      <x:c r="EU190" s="302" t="n"/>
      <x:c r="EV190" s="302" t="n"/>
      <x:c r="EW190" s="302" t="n"/>
      <x:c r="EX190" s="302" t="n"/>
      <x:c r="EY190" s="302" t="n"/>
      <x:c r="EZ190" s="302" t="n"/>
    </x:row>
    <x:row r="191" s="27" customFormat="1">
      <x:c r="A191" s="38" t="n"/>
      <x:c r="B191" s="37" t="n"/>
      <x:c r="C191" s="36" t="n">
        <x:f>E191*D$5</x:f>
        <x:v>0</x:v>
      </x:c>
      <x:c r="D191" s="20" t="n"/>
      <x:c r="E191" s="36" t="n">
        <x:f>SUM(G191:HT191)</x:f>
        <x:v>0</x:v>
      </x:c>
      <x:c r="H191" s="302" t="n"/>
      <x:c r="I191" s="302" t="n"/>
      <x:c r="J191" s="302" t="n"/>
      <x:c r="K191" s="302" t="n"/>
      <x:c r="L191" s="302" t="n"/>
      <x:c r="M191" s="302" t="n"/>
      <x:c r="N191" s="302" t="n"/>
      <x:c r="O191" s="302" t="n"/>
      <x:c r="P191" s="302" t="n"/>
      <x:c r="Q191" s="100" t="n"/>
      <x:c r="R191" s="302" t="n"/>
      <x:c r="S191" s="302" t="n"/>
      <x:c r="T191" s="302" t="n"/>
      <x:c r="U191" s="302" t="n"/>
      <x:c r="V191" s="302" t="n"/>
      <x:c r="W191" s="302" t="n"/>
      <x:c r="X191" s="302" t="n"/>
      <x:c r="Y191" s="302" t="n"/>
      <x:c r="Z191" s="100" t="n"/>
      <x:c r="AA191" s="100" t="n"/>
      <x:c r="AB191" s="100" t="n"/>
      <x:c r="AC191" s="100" t="n"/>
      <x:c r="AD191" s="100" t="n"/>
      <x:c r="AE191" s="100" t="n"/>
      <x:c r="AF191" s="100" t="n"/>
      <x:c r="AG191" s="302" t="n"/>
      <x:c r="AH191" s="100" t="n"/>
      <x:c r="AI191" s="302" t="n"/>
      <x:c r="AJ191" s="100" t="n"/>
      <x:c r="AK191" s="302" t="n"/>
      <x:c r="AL191" s="302" t="n"/>
      <x:c r="AM191" s="302" t="n"/>
      <x:c r="AN191" s="302" t="n"/>
      <x:c r="AO191" s="302" t="n"/>
      <x:c r="AP191" s="302" t="n"/>
      <x:c r="AQ191" s="302" t="n"/>
      <x:c r="AR191" s="302" t="n"/>
      <x:c r="AS191" s="302" t="n"/>
      <x:c r="AT191" s="302" t="n"/>
      <x:c r="AU191" s="302" t="n"/>
      <x:c r="AV191" s="302" t="n"/>
      <x:c r="AW191" s="302" t="n"/>
      <x:c r="AX191" s="302" t="n"/>
      <x:c r="AY191" s="302" t="n"/>
      <x:c r="AZ191" s="302" t="n"/>
      <x:c r="BA191" s="302" t="n"/>
      <x:c r="BB191" s="302" t="n"/>
      <x:c r="BC191" s="302" t="n"/>
      <x:c r="BD191" s="302" t="n"/>
      <x:c r="BE191" s="302" t="n"/>
      <x:c r="BF191" s="302" t="n"/>
      <x:c r="BG191" s="302" t="n"/>
      <x:c r="BH191" s="302" t="n"/>
      <x:c r="BI191" s="302" t="n"/>
      <x:c r="BJ191" s="302" t="n"/>
      <x:c r="BK191" s="302" t="n"/>
      <x:c r="BL191" s="302" t="n"/>
      <x:c r="BM191" s="302" t="n"/>
      <x:c r="BN191" s="302" t="n"/>
      <x:c r="BO191" s="302" t="n"/>
      <x:c r="BP191" s="302" t="n"/>
      <x:c r="BQ191" s="302" t="n"/>
      <x:c r="BR191" s="302" t="n"/>
      <x:c r="BS191" s="302" t="n"/>
      <x:c r="BT191" s="302" t="n"/>
      <x:c r="BU191" s="302" t="n"/>
      <x:c r="BV191" s="302" t="n"/>
      <x:c r="BW191" s="302" t="n"/>
      <x:c r="BX191" s="302" t="n"/>
      <x:c r="BY191" s="302" t="n"/>
      <x:c r="BZ191" s="302" t="n"/>
      <x:c r="CA191" s="302" t="n"/>
      <x:c r="CB191" s="302" t="n"/>
      <x:c r="CC191" s="302" t="n"/>
      <x:c r="CD191" s="302" t="n"/>
      <x:c r="CE191" s="302" t="n"/>
      <x:c r="CF191" s="302" t="n"/>
      <x:c r="CG191" s="302" t="n"/>
      <x:c r="CH191" s="302" t="n"/>
      <x:c r="CI191" s="302" t="n"/>
      <x:c r="CJ191" s="302" t="n"/>
      <x:c r="CK191" s="302" t="n"/>
      <x:c r="CL191" s="302" t="n"/>
      <x:c r="CM191" s="302" t="n"/>
      <x:c r="CN191" s="302" t="n"/>
      <x:c r="CO191" s="302" t="n"/>
      <x:c r="CP191" s="302" t="n"/>
      <x:c r="CQ191" s="302" t="n"/>
      <x:c r="CR191" s="302" t="n"/>
      <x:c r="CS191" s="302" t="n"/>
      <x:c r="CT191" s="302" t="n"/>
      <x:c r="CU191" s="302" t="n"/>
      <x:c r="CV191" s="302" t="n"/>
      <x:c r="CW191" s="302" t="n"/>
      <x:c r="CX191" s="302" t="n"/>
      <x:c r="CY191" s="302" t="n"/>
      <x:c r="CZ191" s="302" t="n"/>
      <x:c r="DA191" s="302" t="n"/>
      <x:c r="DB191" s="302" t="n"/>
      <x:c r="DC191" s="302" t="n"/>
      <x:c r="DD191" s="302" t="n"/>
      <x:c r="DE191" s="302" t="n"/>
      <x:c r="DF191" s="302" t="n"/>
      <x:c r="DG191" s="302" t="n"/>
      <x:c r="DH191" s="302" t="n"/>
      <x:c r="DI191" s="302" t="n"/>
      <x:c r="DJ191" s="302" t="n"/>
      <x:c r="DK191" s="302" t="n"/>
      <x:c r="DL191" s="302" t="n"/>
      <x:c r="DM191" s="302" t="n"/>
      <x:c r="DN191" s="302" t="n"/>
      <x:c r="DO191" s="302" t="n"/>
      <x:c r="DP191" s="302" t="n"/>
      <x:c r="DQ191" s="302" t="n"/>
      <x:c r="DR191" s="302" t="n"/>
      <x:c r="DS191" s="302" t="n"/>
      <x:c r="DT191" s="302" t="n"/>
      <x:c r="DU191" s="302" t="n"/>
      <x:c r="DV191" s="302" t="n"/>
      <x:c r="DW191" s="302" t="n"/>
      <x:c r="DX191" s="302" t="n"/>
      <x:c r="DY191" s="302" t="n"/>
      <x:c r="DZ191" s="302" t="n"/>
      <x:c r="EA191" s="302" t="n"/>
      <x:c r="EB191" s="302" t="n"/>
      <x:c r="EC191" s="302" t="n"/>
      <x:c r="ED191" s="302" t="n"/>
      <x:c r="EE191" s="302" t="n"/>
      <x:c r="EF191" s="302" t="n"/>
      <x:c r="EG191" s="302" t="n"/>
      <x:c r="EH191" s="302" t="n"/>
      <x:c r="EI191" s="302" t="n"/>
      <x:c r="EJ191" s="302" t="n"/>
      <x:c r="EK191" s="302" t="n"/>
      <x:c r="EL191" s="302" t="n"/>
      <x:c r="EM191" s="302" t="n"/>
      <x:c r="EN191" s="302" t="n"/>
      <x:c r="EO191" s="302" t="n"/>
      <x:c r="EP191" s="302" t="n"/>
      <x:c r="EQ191" s="302" t="n"/>
      <x:c r="ER191" s="302" t="n"/>
      <x:c r="ES191" s="302" t="n"/>
      <x:c r="ET191" s="302" t="n"/>
      <x:c r="EU191" s="302" t="n"/>
      <x:c r="EV191" s="302" t="n"/>
      <x:c r="EW191" s="302" t="n"/>
      <x:c r="EX191" s="302" t="n"/>
      <x:c r="EY191" s="302" t="n"/>
      <x:c r="EZ191" s="302" t="n"/>
    </x:row>
    <x:row r="192" s="27" customFormat="1">
      <x:c r="A192" s="38" t="n"/>
      <x:c r="B192" s="37" t="n"/>
      <x:c r="C192" s="36" t="n">
        <x:f>E192*D$5</x:f>
        <x:v>0</x:v>
      </x:c>
      <x:c r="D192" s="20" t="n"/>
      <x:c r="E192" s="36" t="n">
        <x:f>SUM(G192:HT192)</x:f>
        <x:v>0</x:v>
      </x:c>
      <x:c r="H192" s="302" t="n"/>
      <x:c r="I192" s="302" t="n"/>
      <x:c r="J192" s="302" t="n"/>
      <x:c r="K192" s="302" t="n"/>
      <x:c r="L192" s="302" t="n"/>
      <x:c r="M192" s="302" t="n"/>
      <x:c r="N192" s="302" t="n"/>
      <x:c r="O192" s="302" t="n"/>
      <x:c r="P192" s="302" t="n"/>
      <x:c r="Q192" s="100" t="n"/>
      <x:c r="R192" s="302" t="n"/>
      <x:c r="S192" s="302" t="n"/>
      <x:c r="T192" s="302" t="n"/>
      <x:c r="U192" s="302" t="n"/>
      <x:c r="V192" s="302" t="n"/>
      <x:c r="W192" s="302" t="n"/>
      <x:c r="X192" s="302" t="n"/>
      <x:c r="Y192" s="302" t="n"/>
      <x:c r="Z192" s="100" t="n"/>
      <x:c r="AA192" s="100" t="n"/>
      <x:c r="AB192" s="100" t="n"/>
      <x:c r="AC192" s="100" t="n"/>
      <x:c r="AD192" s="100" t="n"/>
      <x:c r="AE192" s="100" t="n"/>
      <x:c r="AF192" s="100" t="n"/>
      <x:c r="AG192" s="302" t="n"/>
      <x:c r="AH192" s="100" t="n"/>
      <x:c r="AI192" s="302" t="n"/>
      <x:c r="AJ192" s="100" t="n"/>
      <x:c r="AK192" s="302" t="n"/>
      <x:c r="AL192" s="302" t="n"/>
      <x:c r="AM192" s="302" t="n"/>
      <x:c r="AN192" s="302" t="n"/>
      <x:c r="AO192" s="302" t="n"/>
      <x:c r="AP192" s="302" t="n"/>
      <x:c r="AQ192" s="302" t="n"/>
      <x:c r="AR192" s="302" t="n"/>
      <x:c r="AS192" s="302" t="n"/>
      <x:c r="AT192" s="302" t="n"/>
      <x:c r="AU192" s="302" t="n"/>
      <x:c r="AV192" s="302" t="n"/>
      <x:c r="AW192" s="302" t="n"/>
      <x:c r="AX192" s="302" t="n"/>
      <x:c r="AY192" s="302" t="n"/>
      <x:c r="AZ192" s="302" t="n"/>
      <x:c r="BA192" s="302" t="n"/>
      <x:c r="BB192" s="302" t="n"/>
      <x:c r="BC192" s="302" t="n"/>
      <x:c r="BD192" s="302" t="n"/>
      <x:c r="BE192" s="302" t="n"/>
      <x:c r="BF192" s="302" t="n"/>
      <x:c r="BG192" s="302" t="n"/>
      <x:c r="BH192" s="302" t="n"/>
      <x:c r="BI192" s="302" t="n"/>
      <x:c r="BJ192" s="302" t="n"/>
      <x:c r="BK192" s="302" t="n"/>
      <x:c r="BL192" s="302" t="n"/>
      <x:c r="BM192" s="302" t="n"/>
      <x:c r="BN192" s="302" t="n"/>
      <x:c r="BO192" s="302" t="n"/>
      <x:c r="BP192" s="302" t="n"/>
      <x:c r="BQ192" s="302" t="n"/>
      <x:c r="BR192" s="302" t="n"/>
      <x:c r="BS192" s="302" t="n"/>
      <x:c r="BT192" s="302" t="n"/>
      <x:c r="BU192" s="302" t="n"/>
      <x:c r="BV192" s="302" t="n"/>
      <x:c r="BW192" s="302" t="n"/>
      <x:c r="BX192" s="302" t="n"/>
      <x:c r="BY192" s="302" t="n"/>
      <x:c r="BZ192" s="302" t="n"/>
      <x:c r="CA192" s="302" t="n"/>
      <x:c r="CB192" s="302" t="n"/>
      <x:c r="CC192" s="302" t="n"/>
      <x:c r="CD192" s="302" t="n"/>
      <x:c r="CE192" s="302" t="n"/>
      <x:c r="CF192" s="302" t="n"/>
      <x:c r="CG192" s="302" t="n"/>
      <x:c r="CH192" s="302" t="n"/>
      <x:c r="CI192" s="302" t="n"/>
      <x:c r="CJ192" s="302" t="n"/>
      <x:c r="CK192" s="302" t="n"/>
      <x:c r="CL192" s="302" t="n"/>
      <x:c r="CM192" s="302" t="n"/>
      <x:c r="CN192" s="302" t="n"/>
      <x:c r="CO192" s="302" t="n"/>
      <x:c r="CP192" s="302" t="n"/>
      <x:c r="CQ192" s="302" t="n"/>
      <x:c r="CR192" s="302" t="n"/>
      <x:c r="CS192" s="302" t="n"/>
      <x:c r="CT192" s="302" t="n"/>
      <x:c r="CU192" s="302" t="n"/>
      <x:c r="CV192" s="302" t="n"/>
      <x:c r="CW192" s="302" t="n"/>
      <x:c r="CX192" s="302" t="n"/>
      <x:c r="CY192" s="302" t="n"/>
      <x:c r="CZ192" s="302" t="n"/>
      <x:c r="DA192" s="302" t="n"/>
      <x:c r="DB192" s="302" t="n"/>
      <x:c r="DC192" s="302" t="n"/>
      <x:c r="DD192" s="302" t="n"/>
      <x:c r="DE192" s="302" t="n"/>
      <x:c r="DF192" s="302" t="n"/>
      <x:c r="DG192" s="302" t="n"/>
      <x:c r="DH192" s="302" t="n"/>
      <x:c r="DI192" s="302" t="n"/>
      <x:c r="DJ192" s="302" t="n"/>
      <x:c r="DK192" s="302" t="n"/>
      <x:c r="DL192" s="302" t="n"/>
      <x:c r="DM192" s="302" t="n"/>
      <x:c r="DN192" s="302" t="n"/>
      <x:c r="DO192" s="302" t="n"/>
      <x:c r="DP192" s="302" t="n"/>
      <x:c r="DQ192" s="302" t="n"/>
      <x:c r="DR192" s="302" t="n"/>
      <x:c r="DS192" s="302" t="n"/>
      <x:c r="DT192" s="302" t="n"/>
      <x:c r="DU192" s="302" t="n"/>
      <x:c r="DV192" s="302" t="n"/>
      <x:c r="DW192" s="302" t="n"/>
      <x:c r="DX192" s="302" t="n"/>
      <x:c r="DY192" s="302" t="n"/>
      <x:c r="DZ192" s="302" t="n"/>
      <x:c r="EA192" s="302" t="n"/>
      <x:c r="EB192" s="302" t="n"/>
      <x:c r="EC192" s="302" t="n"/>
      <x:c r="ED192" s="302" t="n"/>
      <x:c r="EE192" s="302" t="n"/>
      <x:c r="EF192" s="302" t="n"/>
      <x:c r="EG192" s="302" t="n"/>
      <x:c r="EH192" s="302" t="n"/>
      <x:c r="EI192" s="302" t="n"/>
      <x:c r="EJ192" s="302" t="n"/>
      <x:c r="EK192" s="302" t="n"/>
      <x:c r="EL192" s="302" t="n"/>
      <x:c r="EM192" s="302" t="n"/>
      <x:c r="EN192" s="302" t="n"/>
      <x:c r="EO192" s="302" t="n"/>
      <x:c r="EP192" s="302" t="n"/>
      <x:c r="EQ192" s="302" t="n"/>
      <x:c r="ER192" s="302" t="n"/>
      <x:c r="ES192" s="302" t="n"/>
      <x:c r="ET192" s="302" t="n"/>
      <x:c r="EU192" s="302" t="n"/>
      <x:c r="EV192" s="302" t="n"/>
      <x:c r="EW192" s="302" t="n"/>
      <x:c r="EX192" s="302" t="n"/>
      <x:c r="EY192" s="302" t="n"/>
      <x:c r="EZ192" s="302" t="n"/>
    </x:row>
    <x:row r="193" s="27" customFormat="1">
      <x:c r="A193" s="38" t="n"/>
      <x:c r="B193" s="37" t="n"/>
      <x:c r="C193" s="36" t="n">
        <x:f>E193*D$5</x:f>
        <x:v>0</x:v>
      </x:c>
      <x:c r="D193" s="20" t="n"/>
      <x:c r="E193" s="36" t="n">
        <x:f>SUM(G193:HT193)</x:f>
        <x:v>0</x:v>
      </x:c>
      <x:c r="H193" s="302" t="n"/>
      <x:c r="I193" s="302" t="n"/>
      <x:c r="J193" s="302" t="n"/>
      <x:c r="K193" s="302" t="n"/>
      <x:c r="L193" s="302" t="n"/>
      <x:c r="M193" s="302" t="n"/>
      <x:c r="N193" s="302" t="n"/>
      <x:c r="O193" s="302" t="n"/>
      <x:c r="P193" s="302" t="n"/>
      <x:c r="Q193" s="100" t="n"/>
      <x:c r="R193" s="302" t="n"/>
      <x:c r="S193" s="302" t="n"/>
      <x:c r="T193" s="302" t="n"/>
      <x:c r="U193" s="302" t="n"/>
      <x:c r="V193" s="302" t="n"/>
      <x:c r="W193" s="302" t="n"/>
      <x:c r="X193" s="302" t="n"/>
      <x:c r="Y193" s="302" t="n"/>
      <x:c r="Z193" s="100" t="n"/>
      <x:c r="AA193" s="100" t="n"/>
      <x:c r="AB193" s="100" t="n"/>
      <x:c r="AC193" s="100" t="n"/>
      <x:c r="AD193" s="100" t="n"/>
      <x:c r="AE193" s="100" t="n"/>
      <x:c r="AF193" s="100" t="n"/>
      <x:c r="AG193" s="302" t="n"/>
      <x:c r="AH193" s="100" t="n"/>
      <x:c r="AI193" s="302" t="n"/>
      <x:c r="AJ193" s="100" t="n"/>
      <x:c r="AK193" s="302" t="n"/>
      <x:c r="AL193" s="302" t="n"/>
      <x:c r="AM193" s="302" t="n"/>
      <x:c r="AN193" s="302" t="n"/>
      <x:c r="AO193" s="302" t="n"/>
      <x:c r="AP193" s="302" t="n"/>
      <x:c r="AQ193" s="302" t="n"/>
      <x:c r="AR193" s="302" t="n"/>
      <x:c r="AS193" s="302" t="n"/>
      <x:c r="AT193" s="302" t="n"/>
      <x:c r="AU193" s="302" t="n"/>
      <x:c r="AV193" s="302" t="n"/>
      <x:c r="AW193" s="302" t="n"/>
      <x:c r="AX193" s="302" t="n"/>
      <x:c r="AY193" s="302" t="n"/>
      <x:c r="AZ193" s="302" t="n"/>
      <x:c r="BA193" s="302" t="n"/>
      <x:c r="BB193" s="302" t="n"/>
      <x:c r="BC193" s="302" t="n"/>
      <x:c r="BD193" s="302" t="n"/>
      <x:c r="BE193" s="302" t="n"/>
      <x:c r="BF193" s="302" t="n"/>
      <x:c r="BG193" s="302" t="n"/>
      <x:c r="BH193" s="302" t="n"/>
      <x:c r="BI193" s="302" t="n"/>
      <x:c r="BJ193" s="302" t="n"/>
      <x:c r="BK193" s="302" t="n"/>
      <x:c r="BL193" s="302" t="n"/>
      <x:c r="BM193" s="302" t="n"/>
      <x:c r="BN193" s="302" t="n"/>
      <x:c r="BO193" s="302" t="n"/>
      <x:c r="BP193" s="302" t="n"/>
      <x:c r="BQ193" s="302" t="n"/>
      <x:c r="BR193" s="302" t="n"/>
      <x:c r="BS193" s="302" t="n"/>
      <x:c r="BT193" s="302" t="n"/>
      <x:c r="BU193" s="302" t="n"/>
      <x:c r="BV193" s="302" t="n"/>
      <x:c r="BW193" s="302" t="n"/>
      <x:c r="BX193" s="302" t="n"/>
      <x:c r="BY193" s="302" t="n"/>
      <x:c r="BZ193" s="302" t="n"/>
      <x:c r="CA193" s="302" t="n"/>
      <x:c r="CB193" s="302" t="n"/>
      <x:c r="CC193" s="302" t="n"/>
      <x:c r="CD193" s="302" t="n"/>
      <x:c r="CE193" s="302" t="n"/>
      <x:c r="CF193" s="302" t="n"/>
      <x:c r="CG193" s="302" t="n"/>
      <x:c r="CH193" s="302" t="n"/>
      <x:c r="CI193" s="302" t="n"/>
      <x:c r="CJ193" s="302" t="n"/>
      <x:c r="CK193" s="302" t="n"/>
      <x:c r="CL193" s="302" t="n"/>
      <x:c r="CM193" s="302" t="n"/>
      <x:c r="CN193" s="302" t="n"/>
      <x:c r="CO193" s="302" t="n"/>
      <x:c r="CP193" s="302" t="n"/>
      <x:c r="CQ193" s="302" t="n"/>
      <x:c r="CR193" s="302" t="n"/>
      <x:c r="CS193" s="302" t="n"/>
      <x:c r="CT193" s="302" t="n"/>
      <x:c r="CU193" s="302" t="n"/>
      <x:c r="CV193" s="302" t="n"/>
      <x:c r="CW193" s="302" t="n"/>
      <x:c r="CX193" s="302" t="n"/>
      <x:c r="CY193" s="302" t="n"/>
      <x:c r="CZ193" s="302" t="n"/>
      <x:c r="DA193" s="302" t="n"/>
      <x:c r="DB193" s="302" t="n"/>
      <x:c r="DC193" s="302" t="n"/>
      <x:c r="DD193" s="302" t="n"/>
      <x:c r="DE193" s="302" t="n"/>
      <x:c r="DF193" s="302" t="n"/>
      <x:c r="DG193" s="302" t="n"/>
      <x:c r="DH193" s="302" t="n"/>
      <x:c r="DI193" s="302" t="n"/>
      <x:c r="DJ193" s="302" t="n"/>
      <x:c r="DK193" s="302" t="n"/>
      <x:c r="DL193" s="302" t="n"/>
      <x:c r="DM193" s="302" t="n"/>
      <x:c r="DN193" s="302" t="n"/>
      <x:c r="DO193" s="302" t="n"/>
      <x:c r="DP193" s="302" t="n"/>
      <x:c r="DQ193" s="302" t="n"/>
      <x:c r="DR193" s="302" t="n"/>
      <x:c r="DS193" s="302" t="n"/>
      <x:c r="DT193" s="302" t="n"/>
      <x:c r="DU193" s="302" t="n"/>
      <x:c r="DV193" s="302" t="n"/>
      <x:c r="DW193" s="302" t="n"/>
      <x:c r="DX193" s="302" t="n"/>
      <x:c r="DY193" s="302" t="n"/>
      <x:c r="DZ193" s="302" t="n"/>
      <x:c r="EA193" s="302" t="n"/>
      <x:c r="EB193" s="302" t="n"/>
      <x:c r="EC193" s="302" t="n"/>
      <x:c r="ED193" s="302" t="n"/>
      <x:c r="EE193" s="302" t="n"/>
      <x:c r="EF193" s="302" t="n"/>
      <x:c r="EG193" s="302" t="n"/>
      <x:c r="EH193" s="302" t="n"/>
      <x:c r="EI193" s="302" t="n"/>
      <x:c r="EJ193" s="302" t="n"/>
      <x:c r="EK193" s="302" t="n"/>
      <x:c r="EL193" s="302" t="n"/>
      <x:c r="EM193" s="302" t="n"/>
      <x:c r="EN193" s="302" t="n"/>
      <x:c r="EO193" s="302" t="n"/>
      <x:c r="EP193" s="302" t="n"/>
      <x:c r="EQ193" s="302" t="n"/>
      <x:c r="ER193" s="302" t="n"/>
      <x:c r="ES193" s="302" t="n"/>
      <x:c r="ET193" s="302" t="n"/>
      <x:c r="EU193" s="302" t="n"/>
      <x:c r="EV193" s="302" t="n"/>
      <x:c r="EW193" s="302" t="n"/>
      <x:c r="EX193" s="302" t="n"/>
      <x:c r="EY193" s="302" t="n"/>
      <x:c r="EZ193" s="302" t="n"/>
    </x:row>
    <x:row r="194" s="27" customFormat="1">
      <x:c r="A194" s="38" t="n"/>
      <x:c r="B194" s="37" t="n"/>
      <x:c r="C194" s="36" t="n">
        <x:f>E194*D$5</x:f>
        <x:v>0</x:v>
      </x:c>
      <x:c r="D194" s="20" t="n"/>
      <x:c r="E194" s="36" t="n">
        <x:f>SUM(G194:HT194)</x:f>
        <x:v>0</x:v>
      </x:c>
      <x:c r="H194" s="302" t="n"/>
      <x:c r="I194" s="302" t="n"/>
      <x:c r="J194" s="302" t="n"/>
      <x:c r="K194" s="302" t="n"/>
      <x:c r="L194" s="302" t="n"/>
      <x:c r="M194" s="302" t="n"/>
      <x:c r="N194" s="302" t="n"/>
      <x:c r="O194" s="302" t="n"/>
      <x:c r="P194" s="302" t="n"/>
      <x:c r="Q194" s="100" t="n"/>
      <x:c r="R194" s="302" t="n"/>
      <x:c r="S194" s="302" t="n"/>
      <x:c r="T194" s="302" t="n"/>
      <x:c r="U194" s="302" t="n"/>
      <x:c r="V194" s="302" t="n"/>
      <x:c r="W194" s="302" t="n"/>
      <x:c r="X194" s="302" t="n"/>
      <x:c r="Y194" s="302" t="n"/>
      <x:c r="Z194" s="100" t="n"/>
      <x:c r="AA194" s="100" t="n"/>
      <x:c r="AB194" s="100" t="n"/>
      <x:c r="AC194" s="100" t="n"/>
      <x:c r="AD194" s="100" t="n"/>
      <x:c r="AE194" s="100" t="n"/>
      <x:c r="AF194" s="100" t="n"/>
      <x:c r="AG194" s="302" t="n"/>
      <x:c r="AH194" s="100" t="n"/>
      <x:c r="AI194" s="302" t="n"/>
      <x:c r="AJ194" s="100" t="n"/>
      <x:c r="AK194" s="302" t="n"/>
      <x:c r="AL194" s="302" t="n"/>
      <x:c r="AM194" s="302" t="n"/>
      <x:c r="AN194" s="302" t="n"/>
      <x:c r="AO194" s="302" t="n"/>
      <x:c r="AP194" s="302" t="n"/>
      <x:c r="AQ194" s="302" t="n"/>
      <x:c r="AR194" s="302" t="n"/>
      <x:c r="AS194" s="302" t="n"/>
      <x:c r="AT194" s="302" t="n"/>
      <x:c r="AU194" s="302" t="n"/>
      <x:c r="AV194" s="302" t="n"/>
      <x:c r="AW194" s="302" t="n"/>
      <x:c r="AX194" s="302" t="n"/>
      <x:c r="AY194" s="302" t="n"/>
      <x:c r="AZ194" s="302" t="n"/>
      <x:c r="BA194" s="302" t="n"/>
      <x:c r="BB194" s="302" t="n"/>
      <x:c r="BC194" s="302" t="n"/>
      <x:c r="BD194" s="302" t="n"/>
      <x:c r="BE194" s="302" t="n"/>
      <x:c r="BF194" s="302" t="n"/>
      <x:c r="BG194" s="302" t="n"/>
      <x:c r="BH194" s="302" t="n"/>
      <x:c r="BI194" s="302" t="n"/>
      <x:c r="BJ194" s="302" t="n"/>
      <x:c r="BK194" s="302" t="n"/>
      <x:c r="BL194" s="302" t="n"/>
      <x:c r="BM194" s="302" t="n"/>
      <x:c r="BN194" s="302" t="n"/>
      <x:c r="BO194" s="302" t="n"/>
      <x:c r="BP194" s="302" t="n"/>
      <x:c r="BQ194" s="302" t="n"/>
      <x:c r="BR194" s="302" t="n"/>
      <x:c r="BS194" s="302" t="n"/>
      <x:c r="BT194" s="302" t="n"/>
      <x:c r="BU194" s="302" t="n"/>
      <x:c r="BV194" s="302" t="n"/>
      <x:c r="BW194" s="302" t="n"/>
      <x:c r="BX194" s="302" t="n"/>
      <x:c r="BY194" s="302" t="n"/>
      <x:c r="BZ194" s="302" t="n"/>
      <x:c r="CA194" s="302" t="n"/>
      <x:c r="CB194" s="302" t="n"/>
      <x:c r="CC194" s="302" t="n"/>
      <x:c r="CD194" s="302" t="n"/>
      <x:c r="CE194" s="302" t="n"/>
      <x:c r="CF194" s="302" t="n"/>
      <x:c r="CG194" s="302" t="n"/>
      <x:c r="CH194" s="302" t="n"/>
      <x:c r="CI194" s="302" t="n"/>
      <x:c r="CJ194" s="302" t="n"/>
      <x:c r="CK194" s="302" t="n"/>
      <x:c r="CL194" s="302" t="n"/>
      <x:c r="CM194" s="302" t="n"/>
      <x:c r="CN194" s="302" t="n"/>
      <x:c r="CO194" s="302" t="n"/>
      <x:c r="CP194" s="302" t="n"/>
      <x:c r="CQ194" s="302" t="n"/>
      <x:c r="CR194" s="302" t="n"/>
      <x:c r="CS194" s="302" t="n"/>
      <x:c r="CT194" s="302" t="n"/>
      <x:c r="CU194" s="302" t="n"/>
      <x:c r="CV194" s="302" t="n"/>
      <x:c r="CW194" s="302" t="n"/>
      <x:c r="CX194" s="302" t="n"/>
      <x:c r="CY194" s="302" t="n"/>
      <x:c r="CZ194" s="302" t="n"/>
      <x:c r="DA194" s="302" t="n"/>
      <x:c r="DB194" s="302" t="n"/>
      <x:c r="DC194" s="302" t="n"/>
      <x:c r="DD194" s="302" t="n"/>
      <x:c r="DE194" s="302" t="n"/>
      <x:c r="DF194" s="302" t="n"/>
      <x:c r="DG194" s="302" t="n"/>
      <x:c r="DH194" s="302" t="n"/>
      <x:c r="DI194" s="302" t="n"/>
      <x:c r="DJ194" s="302" t="n"/>
      <x:c r="DK194" s="302" t="n"/>
      <x:c r="DL194" s="302" t="n"/>
      <x:c r="DM194" s="302" t="n"/>
      <x:c r="DN194" s="302" t="n"/>
      <x:c r="DO194" s="302" t="n"/>
      <x:c r="DP194" s="302" t="n"/>
      <x:c r="DQ194" s="302" t="n"/>
      <x:c r="DR194" s="302" t="n"/>
      <x:c r="DS194" s="302" t="n"/>
      <x:c r="DT194" s="302" t="n"/>
      <x:c r="DU194" s="302" t="n"/>
      <x:c r="DV194" s="302" t="n"/>
      <x:c r="DW194" s="302" t="n"/>
      <x:c r="DX194" s="302" t="n"/>
      <x:c r="DY194" s="302" t="n"/>
      <x:c r="DZ194" s="302" t="n"/>
      <x:c r="EA194" s="302" t="n"/>
      <x:c r="EB194" s="302" t="n"/>
      <x:c r="EC194" s="302" t="n"/>
      <x:c r="ED194" s="302" t="n"/>
      <x:c r="EE194" s="302" t="n"/>
      <x:c r="EF194" s="302" t="n"/>
      <x:c r="EG194" s="302" t="n"/>
      <x:c r="EH194" s="302" t="n"/>
      <x:c r="EI194" s="302" t="n"/>
      <x:c r="EJ194" s="302" t="n"/>
      <x:c r="EK194" s="302" t="n"/>
      <x:c r="EL194" s="302" t="n"/>
      <x:c r="EM194" s="302" t="n"/>
      <x:c r="EN194" s="302" t="n"/>
      <x:c r="EO194" s="302" t="n"/>
      <x:c r="EP194" s="302" t="n"/>
      <x:c r="EQ194" s="302" t="n"/>
      <x:c r="ER194" s="302" t="n"/>
      <x:c r="ES194" s="302" t="n"/>
      <x:c r="ET194" s="302" t="n"/>
      <x:c r="EU194" s="302" t="n"/>
      <x:c r="EV194" s="302" t="n"/>
      <x:c r="EW194" s="302" t="n"/>
      <x:c r="EX194" s="302" t="n"/>
      <x:c r="EY194" s="302" t="n"/>
      <x:c r="EZ194" s="302" t="n"/>
    </x:row>
    <x:row r="195" s="27" customFormat="1">
      <x:c r="A195" s="38" t="n"/>
      <x:c r="B195" s="37" t="n"/>
      <x:c r="C195" s="36" t="n">
        <x:f>E195*D$5</x:f>
        <x:v>0</x:v>
      </x:c>
      <x:c r="D195" s="20" t="n"/>
      <x:c r="E195" s="36" t="n">
        <x:f>SUM(G195:HT195)</x:f>
        <x:v>0</x:v>
      </x:c>
      <x:c r="H195" s="302" t="n"/>
      <x:c r="I195" s="302" t="n"/>
      <x:c r="J195" s="302" t="n"/>
      <x:c r="K195" s="302" t="n"/>
      <x:c r="L195" s="302" t="n"/>
      <x:c r="M195" s="302" t="n"/>
      <x:c r="N195" s="302" t="n"/>
      <x:c r="O195" s="302" t="n"/>
      <x:c r="P195" s="302" t="n"/>
      <x:c r="Q195" s="100" t="n"/>
      <x:c r="R195" s="302" t="n"/>
      <x:c r="S195" s="302" t="n"/>
      <x:c r="T195" s="302" t="n"/>
      <x:c r="U195" s="302" t="n"/>
      <x:c r="V195" s="302" t="n"/>
      <x:c r="W195" s="302" t="n"/>
      <x:c r="X195" s="302" t="n"/>
      <x:c r="Y195" s="302" t="n"/>
      <x:c r="Z195" s="100" t="n"/>
      <x:c r="AA195" s="100" t="n"/>
      <x:c r="AB195" s="100" t="n"/>
      <x:c r="AC195" s="100" t="n"/>
      <x:c r="AD195" s="100" t="n"/>
      <x:c r="AE195" s="100" t="n"/>
      <x:c r="AF195" s="100" t="n"/>
      <x:c r="AG195" s="302" t="n"/>
      <x:c r="AH195" s="100" t="n"/>
      <x:c r="AI195" s="302" t="n"/>
      <x:c r="AJ195" s="100" t="n"/>
      <x:c r="AK195" s="302" t="n"/>
      <x:c r="AL195" s="302" t="n"/>
      <x:c r="AM195" s="302" t="n"/>
      <x:c r="AN195" s="302" t="n"/>
      <x:c r="AO195" s="302" t="n"/>
      <x:c r="AP195" s="302" t="n"/>
      <x:c r="AQ195" s="302" t="n"/>
      <x:c r="AR195" s="302" t="n"/>
      <x:c r="AS195" s="302" t="n"/>
      <x:c r="AT195" s="302" t="n"/>
      <x:c r="AU195" s="302" t="n"/>
      <x:c r="AV195" s="302" t="n"/>
      <x:c r="AW195" s="302" t="n"/>
      <x:c r="AX195" s="302" t="n"/>
      <x:c r="AY195" s="302" t="n"/>
      <x:c r="AZ195" s="302" t="n"/>
      <x:c r="BA195" s="302" t="n"/>
      <x:c r="BB195" s="302" t="n"/>
      <x:c r="BC195" s="302" t="n"/>
      <x:c r="BD195" s="302" t="n"/>
      <x:c r="BE195" s="302" t="n"/>
      <x:c r="BF195" s="302" t="n"/>
      <x:c r="BG195" s="302" t="n"/>
      <x:c r="BH195" s="302" t="n"/>
      <x:c r="BI195" s="302" t="n"/>
      <x:c r="BJ195" s="302" t="n"/>
      <x:c r="BK195" s="302" t="n"/>
      <x:c r="BL195" s="302" t="n"/>
      <x:c r="BM195" s="302" t="n"/>
      <x:c r="BN195" s="302" t="n"/>
      <x:c r="BO195" s="302" t="n"/>
      <x:c r="BP195" s="302" t="n"/>
      <x:c r="BQ195" s="302" t="n"/>
      <x:c r="BR195" s="302" t="n"/>
      <x:c r="BS195" s="302" t="n"/>
      <x:c r="BT195" s="302" t="n"/>
      <x:c r="BU195" s="302" t="n"/>
      <x:c r="BV195" s="302" t="n"/>
      <x:c r="BW195" s="302" t="n"/>
      <x:c r="BX195" s="302" t="n"/>
      <x:c r="BY195" s="302" t="n"/>
      <x:c r="BZ195" s="302" t="n"/>
      <x:c r="CA195" s="302" t="n"/>
      <x:c r="CB195" s="302" t="n"/>
      <x:c r="CC195" s="302" t="n"/>
      <x:c r="CD195" s="302" t="n"/>
      <x:c r="CE195" s="302" t="n"/>
      <x:c r="CF195" s="302" t="n"/>
      <x:c r="CG195" s="302" t="n"/>
      <x:c r="CH195" s="302" t="n"/>
      <x:c r="CI195" s="302" t="n"/>
      <x:c r="CJ195" s="302" t="n"/>
      <x:c r="CK195" s="302" t="n"/>
      <x:c r="CL195" s="302" t="n"/>
      <x:c r="CM195" s="302" t="n"/>
      <x:c r="CN195" s="302" t="n"/>
      <x:c r="CO195" s="302" t="n"/>
      <x:c r="CP195" s="302" t="n"/>
      <x:c r="CQ195" s="302" t="n"/>
      <x:c r="CR195" s="302" t="n"/>
      <x:c r="CS195" s="302" t="n"/>
      <x:c r="CT195" s="302" t="n"/>
      <x:c r="CU195" s="302" t="n"/>
      <x:c r="CV195" s="302" t="n"/>
      <x:c r="CW195" s="302" t="n"/>
      <x:c r="CX195" s="302" t="n"/>
      <x:c r="CY195" s="302" t="n"/>
      <x:c r="CZ195" s="302" t="n"/>
      <x:c r="DA195" s="302" t="n"/>
      <x:c r="DB195" s="302" t="n"/>
      <x:c r="DC195" s="302" t="n"/>
      <x:c r="DD195" s="302" t="n"/>
      <x:c r="DE195" s="302" t="n"/>
      <x:c r="DF195" s="302" t="n"/>
      <x:c r="DG195" s="302" t="n"/>
      <x:c r="DH195" s="302" t="n"/>
      <x:c r="DI195" s="302" t="n"/>
      <x:c r="DJ195" s="302" t="n"/>
      <x:c r="DK195" s="302" t="n"/>
      <x:c r="DL195" s="302" t="n"/>
      <x:c r="DM195" s="302" t="n"/>
      <x:c r="DN195" s="302" t="n"/>
      <x:c r="DO195" s="302" t="n"/>
      <x:c r="DP195" s="302" t="n"/>
      <x:c r="DQ195" s="302" t="n"/>
      <x:c r="DR195" s="302" t="n"/>
      <x:c r="DS195" s="302" t="n"/>
      <x:c r="DT195" s="302" t="n"/>
      <x:c r="DU195" s="302" t="n"/>
      <x:c r="DV195" s="302" t="n"/>
      <x:c r="DW195" s="302" t="n"/>
      <x:c r="DX195" s="302" t="n"/>
      <x:c r="DY195" s="302" t="n"/>
      <x:c r="DZ195" s="302" t="n"/>
      <x:c r="EA195" s="302" t="n"/>
      <x:c r="EB195" s="302" t="n"/>
      <x:c r="EC195" s="302" t="n"/>
      <x:c r="ED195" s="302" t="n"/>
      <x:c r="EE195" s="302" t="n"/>
      <x:c r="EF195" s="302" t="n"/>
      <x:c r="EG195" s="302" t="n"/>
      <x:c r="EH195" s="302" t="n"/>
      <x:c r="EI195" s="302" t="n"/>
      <x:c r="EJ195" s="302" t="n"/>
      <x:c r="EK195" s="302" t="n"/>
      <x:c r="EL195" s="302" t="n"/>
      <x:c r="EM195" s="302" t="n"/>
      <x:c r="EN195" s="302" t="n"/>
      <x:c r="EO195" s="302" t="n"/>
      <x:c r="EP195" s="302" t="n"/>
      <x:c r="EQ195" s="302" t="n"/>
      <x:c r="ER195" s="302" t="n"/>
      <x:c r="ES195" s="302" t="n"/>
      <x:c r="ET195" s="302" t="n"/>
      <x:c r="EU195" s="302" t="n"/>
      <x:c r="EV195" s="302" t="n"/>
      <x:c r="EW195" s="302" t="n"/>
      <x:c r="EX195" s="302" t="n"/>
      <x:c r="EY195" s="302" t="n"/>
      <x:c r="EZ195" s="302" t="n"/>
    </x:row>
    <x:row r="196" s="27" customFormat="1">
      <x:c r="A196" s="38" t="n"/>
      <x:c r="B196" s="37" t="n"/>
      <x:c r="C196" s="36" t="n">
        <x:f>E196*D$5</x:f>
        <x:v>0</x:v>
      </x:c>
      <x:c r="D196" s="20" t="n"/>
      <x:c r="E196" s="36" t="n">
        <x:f>SUM(G196:HT196)</x:f>
        <x:v>0</x:v>
      </x:c>
      <x:c r="H196" s="302" t="n"/>
      <x:c r="I196" s="302" t="n"/>
      <x:c r="J196" s="302" t="n"/>
      <x:c r="K196" s="302" t="n"/>
      <x:c r="L196" s="302" t="n"/>
      <x:c r="M196" s="302" t="n"/>
      <x:c r="N196" s="302" t="n"/>
      <x:c r="O196" s="302" t="n"/>
      <x:c r="P196" s="302" t="n"/>
      <x:c r="Q196" s="100" t="n"/>
      <x:c r="R196" s="302" t="n"/>
      <x:c r="S196" s="302" t="n"/>
      <x:c r="T196" s="302" t="n"/>
      <x:c r="U196" s="302" t="n"/>
      <x:c r="V196" s="302" t="n"/>
      <x:c r="W196" s="302" t="n"/>
      <x:c r="X196" s="302" t="n"/>
      <x:c r="Y196" s="302" t="n"/>
      <x:c r="Z196" s="100" t="n"/>
      <x:c r="AA196" s="100" t="n"/>
      <x:c r="AB196" s="100" t="n"/>
      <x:c r="AC196" s="100" t="n"/>
      <x:c r="AD196" s="100" t="n"/>
      <x:c r="AE196" s="100" t="n"/>
      <x:c r="AF196" s="100" t="n"/>
      <x:c r="AG196" s="302" t="n"/>
      <x:c r="AH196" s="100" t="n"/>
      <x:c r="AI196" s="302" t="n"/>
      <x:c r="AJ196" s="100" t="n"/>
      <x:c r="AK196" s="302" t="n"/>
      <x:c r="AL196" s="302" t="n"/>
      <x:c r="AM196" s="302" t="n"/>
      <x:c r="AN196" s="302" t="n"/>
      <x:c r="AO196" s="302" t="n"/>
      <x:c r="AP196" s="302" t="n"/>
      <x:c r="AQ196" s="302" t="n"/>
      <x:c r="AR196" s="302" t="n"/>
      <x:c r="AS196" s="302" t="n"/>
      <x:c r="AT196" s="302" t="n"/>
      <x:c r="AU196" s="302" t="n"/>
      <x:c r="AV196" s="302" t="n"/>
      <x:c r="AW196" s="302" t="n"/>
      <x:c r="AX196" s="302" t="n"/>
      <x:c r="AY196" s="302" t="n"/>
      <x:c r="AZ196" s="302" t="n"/>
      <x:c r="BA196" s="302" t="n"/>
      <x:c r="BB196" s="302" t="n"/>
      <x:c r="BC196" s="302" t="n"/>
      <x:c r="BD196" s="302" t="n"/>
      <x:c r="BE196" s="302" t="n"/>
      <x:c r="BF196" s="302" t="n"/>
      <x:c r="BG196" s="302" t="n"/>
      <x:c r="BH196" s="302" t="n"/>
      <x:c r="BI196" s="302" t="n"/>
      <x:c r="BJ196" s="302" t="n"/>
      <x:c r="BK196" s="302" t="n"/>
      <x:c r="BL196" s="302" t="n"/>
      <x:c r="BM196" s="302" t="n"/>
      <x:c r="BN196" s="302" t="n"/>
      <x:c r="BO196" s="302" t="n"/>
      <x:c r="BP196" s="302" t="n"/>
      <x:c r="BQ196" s="302" t="n"/>
      <x:c r="BR196" s="302" t="n"/>
      <x:c r="BS196" s="302" t="n"/>
      <x:c r="BT196" s="302" t="n"/>
      <x:c r="BU196" s="302" t="n"/>
      <x:c r="BV196" s="302" t="n"/>
      <x:c r="BW196" s="302" t="n"/>
      <x:c r="BX196" s="302" t="n"/>
      <x:c r="BY196" s="302" t="n"/>
      <x:c r="BZ196" s="302" t="n"/>
      <x:c r="CA196" s="302" t="n"/>
      <x:c r="CB196" s="302" t="n"/>
      <x:c r="CC196" s="302" t="n"/>
      <x:c r="CD196" s="302" t="n"/>
      <x:c r="CE196" s="302" t="n"/>
      <x:c r="CF196" s="302" t="n"/>
      <x:c r="CG196" s="302" t="n"/>
      <x:c r="CH196" s="302" t="n"/>
      <x:c r="CI196" s="302" t="n"/>
      <x:c r="CJ196" s="302" t="n"/>
      <x:c r="CK196" s="302" t="n"/>
      <x:c r="CL196" s="302" t="n"/>
      <x:c r="CM196" s="302" t="n"/>
      <x:c r="CN196" s="302" t="n"/>
      <x:c r="CO196" s="302" t="n"/>
      <x:c r="CP196" s="302" t="n"/>
      <x:c r="CQ196" s="302" t="n"/>
      <x:c r="CR196" s="302" t="n"/>
      <x:c r="CS196" s="302" t="n"/>
      <x:c r="CT196" s="302" t="n"/>
      <x:c r="CU196" s="302" t="n"/>
      <x:c r="CV196" s="302" t="n"/>
      <x:c r="CW196" s="302" t="n"/>
      <x:c r="CX196" s="302" t="n"/>
      <x:c r="CY196" s="302" t="n"/>
      <x:c r="CZ196" s="302" t="n"/>
      <x:c r="DA196" s="302" t="n"/>
      <x:c r="DB196" s="302" t="n"/>
      <x:c r="DC196" s="302" t="n"/>
      <x:c r="DD196" s="302" t="n"/>
      <x:c r="DE196" s="302" t="n"/>
      <x:c r="DF196" s="302" t="n"/>
      <x:c r="DG196" s="302" t="n"/>
      <x:c r="DH196" s="302" t="n"/>
      <x:c r="DI196" s="302" t="n"/>
      <x:c r="DJ196" s="302" t="n"/>
      <x:c r="DK196" s="302" t="n"/>
      <x:c r="DL196" s="302" t="n"/>
      <x:c r="DM196" s="302" t="n"/>
      <x:c r="DN196" s="302" t="n"/>
      <x:c r="DO196" s="302" t="n"/>
      <x:c r="DP196" s="302" t="n"/>
      <x:c r="DQ196" s="302" t="n"/>
      <x:c r="DR196" s="302" t="n"/>
      <x:c r="DS196" s="302" t="n"/>
      <x:c r="DT196" s="302" t="n"/>
      <x:c r="DU196" s="302" t="n"/>
      <x:c r="DV196" s="302" t="n"/>
      <x:c r="DW196" s="302" t="n"/>
      <x:c r="DX196" s="302" t="n"/>
      <x:c r="DY196" s="302" t="n"/>
      <x:c r="DZ196" s="302" t="n"/>
      <x:c r="EA196" s="302" t="n"/>
      <x:c r="EB196" s="302" t="n"/>
      <x:c r="EC196" s="302" t="n"/>
      <x:c r="ED196" s="302" t="n"/>
      <x:c r="EE196" s="302" t="n"/>
      <x:c r="EF196" s="302" t="n"/>
      <x:c r="EG196" s="302" t="n"/>
      <x:c r="EH196" s="302" t="n"/>
      <x:c r="EI196" s="302" t="n"/>
      <x:c r="EJ196" s="302" t="n"/>
      <x:c r="EK196" s="302" t="n"/>
      <x:c r="EL196" s="302" t="n"/>
      <x:c r="EM196" s="302" t="n"/>
      <x:c r="EN196" s="302" t="n"/>
      <x:c r="EO196" s="302" t="n"/>
      <x:c r="EP196" s="302" t="n"/>
      <x:c r="EQ196" s="302" t="n"/>
      <x:c r="ER196" s="302" t="n"/>
      <x:c r="ES196" s="302" t="n"/>
      <x:c r="ET196" s="302" t="n"/>
      <x:c r="EU196" s="302" t="n"/>
      <x:c r="EV196" s="302" t="n"/>
      <x:c r="EW196" s="302" t="n"/>
      <x:c r="EX196" s="302" t="n"/>
      <x:c r="EY196" s="302" t="n"/>
      <x:c r="EZ196" s="302" t="n"/>
    </x:row>
    <x:row r="197" s="27" customFormat="1">
      <x:c r="A197" s="38" t="n"/>
      <x:c r="B197" s="37" t="n"/>
      <x:c r="C197" s="36" t="n">
        <x:f>E197*D$5</x:f>
        <x:v>0</x:v>
      </x:c>
      <x:c r="D197" s="20" t="n"/>
      <x:c r="E197" s="36" t="n">
        <x:f>SUM(G197:HT197)</x:f>
        <x:v>0</x:v>
      </x:c>
      <x:c r="H197" s="302" t="n"/>
      <x:c r="I197" s="302" t="n"/>
      <x:c r="J197" s="302" t="n"/>
      <x:c r="K197" s="302" t="n"/>
      <x:c r="L197" s="302" t="n"/>
      <x:c r="M197" s="302" t="n"/>
      <x:c r="N197" s="302" t="n"/>
      <x:c r="O197" s="302" t="n"/>
      <x:c r="P197" s="302" t="n"/>
      <x:c r="Q197" s="100" t="n"/>
      <x:c r="R197" s="302" t="n"/>
      <x:c r="S197" s="302" t="n"/>
      <x:c r="T197" s="302" t="n"/>
      <x:c r="U197" s="302" t="n"/>
      <x:c r="V197" s="302" t="n"/>
      <x:c r="W197" s="302" t="n"/>
      <x:c r="X197" s="302" t="n"/>
      <x:c r="Y197" s="302" t="n"/>
      <x:c r="Z197" s="100" t="n"/>
      <x:c r="AA197" s="100" t="n"/>
      <x:c r="AB197" s="100" t="n"/>
      <x:c r="AC197" s="100" t="n"/>
      <x:c r="AD197" s="100" t="n"/>
      <x:c r="AE197" s="100" t="n"/>
      <x:c r="AF197" s="100" t="n"/>
      <x:c r="AG197" s="302" t="n"/>
      <x:c r="AH197" s="100" t="n"/>
      <x:c r="AI197" s="302" t="n"/>
      <x:c r="AJ197" s="100" t="n"/>
      <x:c r="AK197" s="302" t="n"/>
      <x:c r="AL197" s="302" t="n"/>
      <x:c r="AM197" s="302" t="n"/>
      <x:c r="AN197" s="302" t="n"/>
      <x:c r="AO197" s="302" t="n"/>
      <x:c r="AP197" s="302" t="n"/>
      <x:c r="AQ197" s="302" t="n"/>
      <x:c r="AR197" s="302" t="n"/>
      <x:c r="AS197" s="302" t="n"/>
      <x:c r="AT197" s="302" t="n"/>
      <x:c r="AU197" s="302" t="n"/>
      <x:c r="AV197" s="302" t="n"/>
      <x:c r="AW197" s="302" t="n"/>
      <x:c r="AX197" s="302" t="n"/>
      <x:c r="AY197" s="302" t="n"/>
      <x:c r="AZ197" s="302" t="n"/>
      <x:c r="BA197" s="302" t="n"/>
      <x:c r="BB197" s="302" t="n"/>
      <x:c r="BC197" s="302" t="n"/>
      <x:c r="BD197" s="302" t="n"/>
      <x:c r="BE197" s="302" t="n"/>
      <x:c r="BF197" s="302" t="n"/>
      <x:c r="BG197" s="302" t="n"/>
      <x:c r="BH197" s="302" t="n"/>
      <x:c r="BI197" s="302" t="n"/>
      <x:c r="BJ197" s="302" t="n"/>
      <x:c r="BK197" s="302" t="n"/>
      <x:c r="BL197" s="302" t="n"/>
      <x:c r="BM197" s="302" t="n"/>
      <x:c r="BN197" s="302" t="n"/>
      <x:c r="BO197" s="302" t="n"/>
      <x:c r="BP197" s="302" t="n"/>
      <x:c r="BQ197" s="302" t="n"/>
      <x:c r="BR197" s="302" t="n"/>
      <x:c r="BS197" s="302" t="n"/>
      <x:c r="BT197" s="302" t="n"/>
      <x:c r="BU197" s="302" t="n"/>
      <x:c r="BV197" s="302" t="n"/>
      <x:c r="BW197" s="302" t="n"/>
      <x:c r="BX197" s="302" t="n"/>
      <x:c r="BY197" s="302" t="n"/>
      <x:c r="BZ197" s="302" t="n"/>
      <x:c r="CA197" s="302" t="n"/>
      <x:c r="CB197" s="302" t="n"/>
      <x:c r="CC197" s="302" t="n"/>
      <x:c r="CD197" s="302" t="n"/>
      <x:c r="CE197" s="302" t="n"/>
      <x:c r="CF197" s="302" t="n"/>
      <x:c r="CG197" s="302" t="n"/>
      <x:c r="CH197" s="302" t="n"/>
      <x:c r="CI197" s="302" t="n"/>
      <x:c r="CJ197" s="302" t="n"/>
      <x:c r="CK197" s="302" t="n"/>
      <x:c r="CL197" s="302" t="n"/>
      <x:c r="CM197" s="302" t="n"/>
      <x:c r="CN197" s="302" t="n"/>
      <x:c r="CO197" s="302" t="n"/>
      <x:c r="CP197" s="302" t="n"/>
      <x:c r="CQ197" s="302" t="n"/>
      <x:c r="CR197" s="302" t="n"/>
      <x:c r="CS197" s="302" t="n"/>
      <x:c r="CT197" s="302" t="n"/>
      <x:c r="CU197" s="302" t="n"/>
      <x:c r="CV197" s="302" t="n"/>
      <x:c r="CW197" s="302" t="n"/>
      <x:c r="CX197" s="302" t="n"/>
      <x:c r="CY197" s="302" t="n"/>
      <x:c r="CZ197" s="302" t="n"/>
      <x:c r="DA197" s="302" t="n"/>
      <x:c r="DB197" s="302" t="n"/>
      <x:c r="DC197" s="302" t="n"/>
      <x:c r="DD197" s="302" t="n"/>
      <x:c r="DE197" s="302" t="n"/>
      <x:c r="DF197" s="302" t="n"/>
      <x:c r="DG197" s="302" t="n"/>
      <x:c r="DH197" s="302" t="n"/>
      <x:c r="DI197" s="302" t="n"/>
      <x:c r="DJ197" s="302" t="n"/>
      <x:c r="DK197" s="302" t="n"/>
      <x:c r="DL197" s="302" t="n"/>
      <x:c r="DM197" s="302" t="n"/>
      <x:c r="DN197" s="302" t="n"/>
      <x:c r="DO197" s="302" t="n"/>
      <x:c r="DP197" s="302" t="n"/>
      <x:c r="DQ197" s="302" t="n"/>
      <x:c r="DR197" s="302" t="n"/>
      <x:c r="DS197" s="302" t="n"/>
      <x:c r="DT197" s="302" t="n"/>
      <x:c r="DU197" s="302" t="n"/>
      <x:c r="DV197" s="302" t="n"/>
      <x:c r="DW197" s="302" t="n"/>
      <x:c r="DX197" s="302" t="n"/>
      <x:c r="DY197" s="302" t="n"/>
      <x:c r="DZ197" s="302" t="n"/>
      <x:c r="EA197" s="302" t="n"/>
      <x:c r="EB197" s="302" t="n"/>
      <x:c r="EC197" s="302" t="n"/>
      <x:c r="ED197" s="302" t="n"/>
      <x:c r="EE197" s="302" t="n"/>
      <x:c r="EF197" s="302" t="n"/>
      <x:c r="EG197" s="302" t="n"/>
      <x:c r="EH197" s="302" t="n"/>
      <x:c r="EI197" s="302" t="n"/>
      <x:c r="EJ197" s="302" t="n"/>
      <x:c r="EK197" s="302" t="n"/>
      <x:c r="EL197" s="302" t="n"/>
      <x:c r="EM197" s="302" t="n"/>
      <x:c r="EN197" s="302" t="n"/>
      <x:c r="EO197" s="302" t="n"/>
      <x:c r="EP197" s="302" t="n"/>
      <x:c r="EQ197" s="302" t="n"/>
      <x:c r="ER197" s="302" t="n"/>
      <x:c r="ES197" s="302" t="n"/>
      <x:c r="ET197" s="302" t="n"/>
      <x:c r="EU197" s="302" t="n"/>
      <x:c r="EV197" s="302" t="n"/>
      <x:c r="EW197" s="302" t="n"/>
      <x:c r="EX197" s="302" t="n"/>
      <x:c r="EY197" s="302" t="n"/>
      <x:c r="EZ197" s="302" t="n"/>
    </x:row>
    <x:row r="198" s="27" customFormat="1">
      <x:c r="A198" s="38" t="n"/>
      <x:c r="B198" s="37" t="n"/>
      <x:c r="C198" s="36" t="n">
        <x:f>E198*D$5</x:f>
        <x:v>0</x:v>
      </x:c>
      <x:c r="D198" s="20" t="n"/>
      <x:c r="E198" s="36" t="n">
        <x:f>SUM(G198:HT198)</x:f>
        <x:v>0</x:v>
      </x:c>
      <x:c r="H198" s="302" t="n"/>
      <x:c r="I198" s="302" t="n"/>
      <x:c r="J198" s="302" t="n"/>
      <x:c r="K198" s="302" t="n"/>
      <x:c r="L198" s="302" t="n"/>
      <x:c r="M198" s="302" t="n"/>
      <x:c r="N198" s="302" t="n"/>
      <x:c r="O198" s="302" t="n"/>
      <x:c r="P198" s="302" t="n"/>
      <x:c r="Q198" s="100" t="n"/>
      <x:c r="R198" s="302" t="n"/>
      <x:c r="S198" s="302" t="n"/>
      <x:c r="T198" s="302" t="n"/>
      <x:c r="U198" s="302" t="n"/>
      <x:c r="V198" s="302" t="n"/>
      <x:c r="W198" s="302" t="n"/>
      <x:c r="X198" s="302" t="n"/>
      <x:c r="Y198" s="302" t="n"/>
      <x:c r="Z198" s="100" t="n"/>
      <x:c r="AA198" s="100" t="n"/>
      <x:c r="AB198" s="100" t="n"/>
      <x:c r="AC198" s="100" t="n"/>
      <x:c r="AD198" s="100" t="n"/>
      <x:c r="AE198" s="100" t="n"/>
      <x:c r="AF198" s="100" t="n"/>
      <x:c r="AG198" s="302" t="n"/>
      <x:c r="AH198" s="100" t="n"/>
      <x:c r="AI198" s="302" t="n"/>
      <x:c r="AJ198" s="100" t="n"/>
      <x:c r="AK198" s="302" t="n"/>
      <x:c r="AL198" s="302" t="n"/>
      <x:c r="AM198" s="302" t="n"/>
      <x:c r="AN198" s="302" t="n"/>
      <x:c r="AO198" s="302" t="n"/>
      <x:c r="AP198" s="302" t="n"/>
      <x:c r="AQ198" s="302" t="n"/>
      <x:c r="AR198" s="302" t="n"/>
      <x:c r="AS198" s="302" t="n"/>
      <x:c r="AT198" s="302" t="n"/>
      <x:c r="AU198" s="302" t="n"/>
      <x:c r="AV198" s="302" t="n"/>
      <x:c r="AW198" s="302" t="n"/>
      <x:c r="AX198" s="302" t="n"/>
      <x:c r="AY198" s="302" t="n"/>
      <x:c r="AZ198" s="302" t="n"/>
      <x:c r="BA198" s="302" t="n"/>
      <x:c r="BB198" s="302" t="n"/>
      <x:c r="BC198" s="302" t="n"/>
      <x:c r="BD198" s="302" t="n"/>
      <x:c r="BE198" s="302" t="n"/>
      <x:c r="BF198" s="302" t="n"/>
      <x:c r="BG198" s="302" t="n"/>
      <x:c r="BH198" s="302" t="n"/>
      <x:c r="BI198" s="302" t="n"/>
      <x:c r="BJ198" s="302" t="n"/>
      <x:c r="BK198" s="302" t="n"/>
      <x:c r="BL198" s="302" t="n"/>
      <x:c r="BM198" s="302" t="n"/>
      <x:c r="BN198" s="302" t="n"/>
      <x:c r="BO198" s="302" t="n"/>
      <x:c r="BP198" s="302" t="n"/>
      <x:c r="BQ198" s="302" t="n"/>
      <x:c r="BR198" s="302" t="n"/>
      <x:c r="BS198" s="302" t="n"/>
      <x:c r="BT198" s="302" t="n"/>
      <x:c r="BU198" s="302" t="n"/>
      <x:c r="BV198" s="302" t="n"/>
      <x:c r="BW198" s="302" t="n"/>
      <x:c r="BX198" s="302" t="n"/>
      <x:c r="BY198" s="302" t="n"/>
      <x:c r="BZ198" s="302" t="n"/>
      <x:c r="CA198" s="302" t="n"/>
      <x:c r="CB198" s="302" t="n"/>
      <x:c r="CC198" s="302" t="n"/>
      <x:c r="CD198" s="302" t="n"/>
      <x:c r="CE198" s="302" t="n"/>
      <x:c r="CF198" s="302" t="n"/>
      <x:c r="CG198" s="302" t="n"/>
      <x:c r="CH198" s="302" t="n"/>
      <x:c r="CI198" s="302" t="n"/>
      <x:c r="CJ198" s="302" t="n"/>
      <x:c r="CK198" s="302" t="n"/>
      <x:c r="CL198" s="302" t="n"/>
      <x:c r="CM198" s="302" t="n"/>
      <x:c r="CN198" s="302" t="n"/>
      <x:c r="CO198" s="302" t="n"/>
      <x:c r="CP198" s="302" t="n"/>
      <x:c r="CQ198" s="302" t="n"/>
      <x:c r="CR198" s="302" t="n"/>
      <x:c r="CS198" s="302" t="n"/>
      <x:c r="CT198" s="302" t="n"/>
      <x:c r="CU198" s="302" t="n"/>
      <x:c r="CV198" s="302" t="n"/>
      <x:c r="CW198" s="302" t="n"/>
      <x:c r="CX198" s="302" t="n"/>
      <x:c r="CY198" s="302" t="n"/>
      <x:c r="CZ198" s="302" t="n"/>
      <x:c r="DA198" s="302" t="n"/>
      <x:c r="DB198" s="302" t="n"/>
      <x:c r="DC198" s="302" t="n"/>
      <x:c r="DD198" s="302" t="n"/>
      <x:c r="DE198" s="302" t="n"/>
      <x:c r="DF198" s="302" t="n"/>
      <x:c r="DG198" s="302" t="n"/>
      <x:c r="DH198" s="302" t="n"/>
      <x:c r="DI198" s="302" t="n"/>
      <x:c r="DJ198" s="302" t="n"/>
      <x:c r="DK198" s="302" t="n"/>
      <x:c r="DL198" s="302" t="n"/>
      <x:c r="DM198" s="302" t="n"/>
      <x:c r="DN198" s="302" t="n"/>
      <x:c r="DO198" s="302" t="n"/>
      <x:c r="DP198" s="302" t="n"/>
      <x:c r="DQ198" s="302" t="n"/>
      <x:c r="DR198" s="302" t="n"/>
      <x:c r="DS198" s="302" t="n"/>
      <x:c r="DT198" s="302" t="n"/>
      <x:c r="DU198" s="302" t="n"/>
      <x:c r="DV198" s="302" t="n"/>
      <x:c r="DW198" s="302" t="n"/>
      <x:c r="DX198" s="302" t="n"/>
      <x:c r="DY198" s="302" t="n"/>
      <x:c r="DZ198" s="302" t="n"/>
      <x:c r="EA198" s="302" t="n"/>
      <x:c r="EB198" s="302" t="n"/>
      <x:c r="EC198" s="302" t="n"/>
      <x:c r="ED198" s="302" t="n"/>
      <x:c r="EE198" s="302" t="n"/>
      <x:c r="EF198" s="302" t="n"/>
      <x:c r="EG198" s="302" t="n"/>
      <x:c r="EH198" s="302" t="n"/>
      <x:c r="EI198" s="302" t="n"/>
      <x:c r="EJ198" s="302" t="n"/>
      <x:c r="EK198" s="302" t="n"/>
      <x:c r="EL198" s="302" t="n"/>
      <x:c r="EM198" s="302" t="n"/>
      <x:c r="EN198" s="302" t="n"/>
      <x:c r="EO198" s="302" t="n"/>
      <x:c r="EP198" s="302" t="n"/>
      <x:c r="EQ198" s="302" t="n"/>
      <x:c r="ER198" s="302" t="n"/>
      <x:c r="ES198" s="302" t="n"/>
      <x:c r="ET198" s="302" t="n"/>
      <x:c r="EU198" s="302" t="n"/>
      <x:c r="EV198" s="302" t="n"/>
      <x:c r="EW198" s="302" t="n"/>
      <x:c r="EX198" s="302" t="n"/>
      <x:c r="EY198" s="302" t="n"/>
      <x:c r="EZ198" s="302" t="n"/>
    </x:row>
    <x:row r="199" s="27" customFormat="1">
      <x:c r="A199" s="38" t="n"/>
      <x:c r="B199" s="37" t="n"/>
      <x:c r="C199" s="36" t="n">
        <x:f>E199*D$5</x:f>
        <x:v>0</x:v>
      </x:c>
      <x:c r="D199" s="20" t="n"/>
      <x:c r="E199" s="36" t="n">
        <x:f>SUM(G199:HT199)</x:f>
        <x:v>0</x:v>
      </x:c>
      <x:c r="H199" s="302" t="n"/>
      <x:c r="I199" s="302" t="n"/>
      <x:c r="J199" s="302" t="n"/>
      <x:c r="K199" s="302" t="n"/>
      <x:c r="L199" s="302" t="n"/>
      <x:c r="M199" s="302" t="n"/>
      <x:c r="N199" s="302" t="n"/>
      <x:c r="O199" s="302" t="n"/>
      <x:c r="P199" s="302" t="n"/>
      <x:c r="Q199" s="100" t="n"/>
      <x:c r="R199" s="302" t="n"/>
      <x:c r="S199" s="302" t="n"/>
      <x:c r="T199" s="302" t="n"/>
      <x:c r="U199" s="302" t="n"/>
      <x:c r="V199" s="302" t="n"/>
      <x:c r="W199" s="302" t="n"/>
      <x:c r="X199" s="302" t="n"/>
      <x:c r="Y199" s="302" t="n"/>
      <x:c r="Z199" s="100" t="n"/>
      <x:c r="AA199" s="100" t="n"/>
      <x:c r="AB199" s="100" t="n"/>
      <x:c r="AC199" s="100" t="n"/>
      <x:c r="AD199" s="100" t="n"/>
      <x:c r="AE199" s="100" t="n"/>
      <x:c r="AF199" s="100" t="n"/>
      <x:c r="AG199" s="302" t="n"/>
      <x:c r="AH199" s="100" t="n"/>
      <x:c r="AI199" s="302" t="n"/>
      <x:c r="AJ199" s="100" t="n"/>
      <x:c r="AK199" s="302" t="n"/>
      <x:c r="AL199" s="302" t="n"/>
      <x:c r="AM199" s="302" t="n"/>
      <x:c r="AN199" s="302" t="n"/>
      <x:c r="AO199" s="302" t="n"/>
      <x:c r="AP199" s="302" t="n"/>
      <x:c r="AQ199" s="302" t="n"/>
      <x:c r="AR199" s="302" t="n"/>
      <x:c r="AS199" s="302" t="n"/>
      <x:c r="AT199" s="302" t="n"/>
      <x:c r="AU199" s="302" t="n"/>
      <x:c r="AV199" s="302" t="n"/>
      <x:c r="AW199" s="302" t="n"/>
      <x:c r="AX199" s="302" t="n"/>
      <x:c r="AY199" s="302" t="n"/>
      <x:c r="AZ199" s="302" t="n"/>
      <x:c r="BA199" s="302" t="n"/>
      <x:c r="BB199" s="302" t="n"/>
      <x:c r="BC199" s="302" t="n"/>
      <x:c r="BD199" s="302" t="n"/>
      <x:c r="BE199" s="302" t="n"/>
      <x:c r="BF199" s="302" t="n"/>
      <x:c r="BG199" s="302" t="n"/>
      <x:c r="BH199" s="302" t="n"/>
      <x:c r="BI199" s="302" t="n"/>
      <x:c r="BJ199" s="302" t="n"/>
      <x:c r="BK199" s="302" t="n"/>
      <x:c r="BL199" s="302" t="n"/>
      <x:c r="BM199" s="302" t="n"/>
      <x:c r="BN199" s="302" t="n"/>
      <x:c r="BO199" s="302" t="n"/>
      <x:c r="BP199" s="302" t="n"/>
      <x:c r="BQ199" s="302" t="n"/>
      <x:c r="BR199" s="302" t="n"/>
      <x:c r="BS199" s="302" t="n"/>
      <x:c r="BT199" s="302" t="n"/>
      <x:c r="BU199" s="302" t="n"/>
      <x:c r="BV199" s="302" t="n"/>
      <x:c r="BW199" s="302" t="n"/>
      <x:c r="BX199" s="302" t="n"/>
      <x:c r="BY199" s="302" t="n"/>
      <x:c r="BZ199" s="302" t="n"/>
      <x:c r="CA199" s="302" t="n"/>
      <x:c r="CB199" s="302" t="n"/>
      <x:c r="CC199" s="302" t="n"/>
      <x:c r="CD199" s="302" t="n"/>
      <x:c r="CE199" s="302" t="n"/>
      <x:c r="CF199" s="302" t="n"/>
      <x:c r="CG199" s="302" t="n"/>
      <x:c r="CH199" s="302" t="n"/>
      <x:c r="CI199" s="302" t="n"/>
      <x:c r="CJ199" s="302" t="n"/>
      <x:c r="CK199" s="302" t="n"/>
      <x:c r="CL199" s="302" t="n"/>
      <x:c r="CM199" s="302" t="n"/>
      <x:c r="CN199" s="302" t="n"/>
      <x:c r="CO199" s="302" t="n"/>
      <x:c r="CP199" s="302" t="n"/>
      <x:c r="CQ199" s="302" t="n"/>
      <x:c r="CR199" s="302" t="n"/>
      <x:c r="CS199" s="302" t="n"/>
      <x:c r="CT199" s="302" t="n"/>
      <x:c r="CU199" s="302" t="n"/>
      <x:c r="CV199" s="302" t="n"/>
      <x:c r="CW199" s="302" t="n"/>
      <x:c r="CX199" s="302" t="n"/>
      <x:c r="CY199" s="302" t="n"/>
      <x:c r="CZ199" s="302" t="n"/>
      <x:c r="DA199" s="302" t="n"/>
      <x:c r="DB199" s="302" t="n"/>
      <x:c r="DC199" s="302" t="n"/>
      <x:c r="DD199" s="302" t="n"/>
      <x:c r="DE199" s="302" t="n"/>
      <x:c r="DF199" s="302" t="n"/>
      <x:c r="DG199" s="302" t="n"/>
      <x:c r="DH199" s="302" t="n"/>
      <x:c r="DI199" s="302" t="n"/>
      <x:c r="DJ199" s="302" t="n"/>
      <x:c r="DK199" s="302" t="n"/>
      <x:c r="DL199" s="302" t="n"/>
      <x:c r="DM199" s="302" t="n"/>
      <x:c r="DN199" s="302" t="n"/>
      <x:c r="DO199" s="302" t="n"/>
      <x:c r="DP199" s="302" t="n"/>
      <x:c r="DQ199" s="302" t="n"/>
      <x:c r="DR199" s="302" t="n"/>
      <x:c r="DS199" s="302" t="n"/>
      <x:c r="DT199" s="302" t="n"/>
      <x:c r="DU199" s="302" t="n"/>
      <x:c r="DV199" s="302" t="n"/>
      <x:c r="DW199" s="302" t="n"/>
      <x:c r="DX199" s="302" t="n"/>
      <x:c r="DY199" s="302" t="n"/>
      <x:c r="DZ199" s="302" t="n"/>
      <x:c r="EA199" s="302" t="n"/>
      <x:c r="EB199" s="302" t="n"/>
      <x:c r="EC199" s="302" t="n"/>
      <x:c r="ED199" s="302" t="n"/>
      <x:c r="EE199" s="302" t="n"/>
      <x:c r="EF199" s="302" t="n"/>
      <x:c r="EG199" s="302" t="n"/>
      <x:c r="EH199" s="302" t="n"/>
      <x:c r="EI199" s="302" t="n"/>
      <x:c r="EJ199" s="302" t="n"/>
      <x:c r="EK199" s="302" t="n"/>
      <x:c r="EL199" s="302" t="n"/>
      <x:c r="EM199" s="302" t="n"/>
      <x:c r="EN199" s="302" t="n"/>
      <x:c r="EO199" s="302" t="n"/>
      <x:c r="EP199" s="302" t="n"/>
      <x:c r="EQ199" s="302" t="n"/>
      <x:c r="ER199" s="302" t="n"/>
      <x:c r="ES199" s="302" t="n"/>
      <x:c r="ET199" s="302" t="n"/>
      <x:c r="EU199" s="302" t="n"/>
      <x:c r="EV199" s="302" t="n"/>
      <x:c r="EW199" s="302" t="n"/>
      <x:c r="EX199" s="302" t="n"/>
      <x:c r="EY199" s="302" t="n"/>
      <x:c r="EZ199" s="302" t="n"/>
    </x:row>
    <x:row r="200" s="27" customFormat="1">
      <x:c r="A200" s="38" t="n"/>
      <x:c r="B200" s="37" t="n"/>
      <x:c r="C200" s="36" t="n">
        <x:f>E200*D$5</x:f>
        <x:v>0</x:v>
      </x:c>
      <x:c r="D200" s="20" t="n"/>
      <x:c r="E200" s="36" t="n">
        <x:f>SUM(G200:HT200)</x:f>
        <x:v>0</x:v>
      </x:c>
      <x:c r="H200" s="302" t="n"/>
      <x:c r="I200" s="302" t="n"/>
      <x:c r="J200" s="302" t="n"/>
      <x:c r="K200" s="302" t="n"/>
      <x:c r="L200" s="302" t="n"/>
      <x:c r="M200" s="302" t="n"/>
      <x:c r="N200" s="302" t="n"/>
      <x:c r="O200" s="302" t="n"/>
      <x:c r="P200" s="302" t="n"/>
      <x:c r="Q200" s="100" t="n"/>
      <x:c r="R200" s="302" t="n"/>
      <x:c r="S200" s="302" t="n"/>
      <x:c r="T200" s="302" t="n"/>
      <x:c r="U200" s="302" t="n"/>
      <x:c r="V200" s="302" t="n"/>
      <x:c r="W200" s="302" t="n"/>
      <x:c r="X200" s="302" t="n"/>
      <x:c r="Y200" s="302" t="n"/>
      <x:c r="Z200" s="100" t="n"/>
      <x:c r="AA200" s="100" t="n"/>
      <x:c r="AB200" s="100" t="n"/>
      <x:c r="AC200" s="102" t="n"/>
      <x:c r="AD200" s="102" t="n"/>
      <x:c r="AE200" s="102" t="n"/>
      <x:c r="AF200" s="102" t="n"/>
      <x:c r="AG200" s="302" t="n"/>
      <x:c r="AH200" s="100" t="n"/>
      <x:c r="AI200" s="302" t="n"/>
      <x:c r="AJ200" s="100" t="n"/>
      <x:c r="AK200" s="302" t="n"/>
      <x:c r="AL200" s="302" t="n"/>
      <x:c r="AM200" s="302" t="n"/>
      <x:c r="AN200" s="302" t="n"/>
      <x:c r="AO200" s="302" t="n"/>
      <x:c r="AP200" s="302" t="n"/>
      <x:c r="AQ200" s="302" t="n"/>
      <x:c r="AR200" s="302" t="n"/>
      <x:c r="AS200" s="302" t="n"/>
      <x:c r="AT200" s="302" t="n"/>
      <x:c r="AU200" s="302" t="n"/>
      <x:c r="AV200" s="302" t="n"/>
      <x:c r="AW200" s="302" t="n"/>
      <x:c r="AX200" s="302" t="n"/>
      <x:c r="AY200" s="302" t="n"/>
      <x:c r="AZ200" s="302" t="n"/>
      <x:c r="BA200" s="302" t="n"/>
      <x:c r="BB200" s="302" t="n"/>
      <x:c r="BC200" s="302" t="n"/>
      <x:c r="BD200" s="302" t="n"/>
      <x:c r="BE200" s="302" t="n"/>
      <x:c r="BF200" s="302" t="n"/>
      <x:c r="BG200" s="302" t="n"/>
      <x:c r="BH200" s="302" t="n"/>
      <x:c r="BI200" s="302" t="n"/>
      <x:c r="BJ200" s="302" t="n"/>
      <x:c r="BK200" s="302" t="n"/>
      <x:c r="BL200" s="302" t="n"/>
      <x:c r="BM200" s="302" t="n"/>
      <x:c r="BN200" s="302" t="n"/>
      <x:c r="BO200" s="302" t="n"/>
      <x:c r="BP200" s="302" t="n"/>
      <x:c r="BQ200" s="302" t="n"/>
      <x:c r="BR200" s="302" t="n"/>
      <x:c r="BS200" s="302" t="n"/>
      <x:c r="BT200" s="302" t="n"/>
      <x:c r="BU200" s="302" t="n"/>
      <x:c r="BV200" s="302" t="n"/>
      <x:c r="BW200" s="302" t="n"/>
      <x:c r="BX200" s="302" t="n"/>
      <x:c r="BY200" s="302" t="n"/>
      <x:c r="BZ200" s="302" t="n"/>
      <x:c r="CA200" s="302" t="n"/>
      <x:c r="CB200" s="302" t="n"/>
      <x:c r="CC200" s="302" t="n"/>
      <x:c r="CD200" s="302" t="n"/>
      <x:c r="CE200" s="302" t="n"/>
      <x:c r="CF200" s="302" t="n"/>
      <x:c r="CG200" s="302" t="n"/>
      <x:c r="CH200" s="302" t="n"/>
      <x:c r="CI200" s="302" t="n"/>
      <x:c r="CJ200" s="302" t="n"/>
      <x:c r="CK200" s="302" t="n"/>
      <x:c r="CL200" s="302" t="n"/>
      <x:c r="CM200" s="302" t="n"/>
      <x:c r="CN200" s="302" t="n"/>
      <x:c r="CO200" s="302" t="n"/>
      <x:c r="CP200" s="302" t="n"/>
      <x:c r="CQ200" s="302" t="n"/>
      <x:c r="CR200" s="302" t="n"/>
      <x:c r="CS200" s="302" t="n"/>
      <x:c r="CT200" s="302" t="n"/>
      <x:c r="CU200" s="302" t="n"/>
      <x:c r="CV200" s="302" t="n"/>
      <x:c r="CW200" s="302" t="n"/>
      <x:c r="CX200" s="302" t="n"/>
      <x:c r="CY200" s="302" t="n"/>
      <x:c r="CZ200" s="302" t="n"/>
      <x:c r="DA200" s="302" t="n"/>
      <x:c r="DB200" s="302" t="n"/>
      <x:c r="DC200" s="302" t="n"/>
      <x:c r="DD200" s="302" t="n"/>
      <x:c r="DE200" s="302" t="n"/>
      <x:c r="DF200" s="302" t="n"/>
      <x:c r="DG200" s="302" t="n"/>
      <x:c r="DH200" s="302" t="n"/>
      <x:c r="DI200" s="302" t="n"/>
      <x:c r="DJ200" s="302" t="n"/>
      <x:c r="DK200" s="302" t="n"/>
      <x:c r="DL200" s="302" t="n"/>
      <x:c r="DM200" s="302" t="n"/>
      <x:c r="DN200" s="302" t="n"/>
      <x:c r="DO200" s="302" t="n"/>
      <x:c r="DP200" s="302" t="n"/>
      <x:c r="DQ200" s="302" t="n"/>
      <x:c r="DR200" s="302" t="n"/>
      <x:c r="DS200" s="302" t="n"/>
      <x:c r="DT200" s="302" t="n"/>
      <x:c r="DU200" s="302" t="n"/>
      <x:c r="DV200" s="302" t="n"/>
      <x:c r="DW200" s="302" t="n"/>
      <x:c r="DX200" s="302" t="n"/>
      <x:c r="DY200" s="302" t="n"/>
      <x:c r="DZ200" s="302" t="n"/>
      <x:c r="EA200" s="302" t="n"/>
      <x:c r="EB200" s="302" t="n"/>
      <x:c r="EC200" s="302" t="n"/>
      <x:c r="ED200" s="302" t="n"/>
      <x:c r="EE200" s="302" t="n"/>
      <x:c r="EF200" s="302" t="n"/>
      <x:c r="EG200" s="302" t="n"/>
      <x:c r="EH200" s="302" t="n"/>
      <x:c r="EI200" s="302" t="n"/>
      <x:c r="EJ200" s="302" t="n"/>
      <x:c r="EK200" s="302" t="n"/>
      <x:c r="EL200" s="302" t="n"/>
      <x:c r="EM200" s="302" t="n"/>
      <x:c r="EN200" s="302" t="n"/>
      <x:c r="EO200" s="302" t="n"/>
      <x:c r="EP200" s="302" t="n"/>
      <x:c r="EQ200" s="302" t="n"/>
      <x:c r="ER200" s="302" t="n"/>
      <x:c r="ES200" s="302" t="n"/>
      <x:c r="ET200" s="302" t="n"/>
      <x:c r="EU200" s="302" t="n"/>
      <x:c r="EV200" s="302" t="n"/>
      <x:c r="EW200" s="302" t="n"/>
      <x:c r="EX200" s="302" t="n"/>
      <x:c r="EY200" s="302" t="n"/>
      <x:c r="EZ200" s="302" t="n"/>
    </x:row>
    <x:row r="201" s="27" customFormat="1">
      <x:c r="A201" s="38" t="n"/>
      <x:c r="B201" s="37" t="n"/>
      <x:c r="C201" s="36" t="n">
        <x:f>E201*D$5</x:f>
        <x:v>0</x:v>
      </x:c>
      <x:c r="D201" s="20" t="n"/>
      <x:c r="E201" s="36" t="n">
        <x:f>SUM(G201:HT201)</x:f>
        <x:v>0</x:v>
      </x:c>
      <x:c r="H201" s="302" t="n"/>
      <x:c r="I201" s="302" t="n"/>
      <x:c r="J201" s="302" t="n"/>
      <x:c r="K201" s="302" t="n"/>
      <x:c r="L201" s="302" t="n"/>
      <x:c r="M201" s="302" t="n"/>
      <x:c r="N201" s="302" t="n"/>
      <x:c r="O201" s="302" t="n"/>
      <x:c r="P201" s="302" t="n"/>
      <x:c r="Q201" s="100" t="n"/>
      <x:c r="R201" s="302" t="n"/>
      <x:c r="S201" s="302" t="n"/>
      <x:c r="T201" s="302" t="n"/>
      <x:c r="U201" s="302" t="n"/>
      <x:c r="V201" s="302" t="n"/>
      <x:c r="W201" s="302" t="n"/>
      <x:c r="X201" s="302" t="n"/>
      <x:c r="Y201" s="302" t="n"/>
      <x:c r="Z201" s="100" t="n"/>
      <x:c r="AA201" s="100" t="n"/>
      <x:c r="AB201" s="100" t="n"/>
      <x:c r="AC201" s="95" t="n"/>
      <x:c r="AD201" s="95" t="n"/>
      <x:c r="AE201" s="95" t="n"/>
      <x:c r="AF201" s="95" t="n"/>
      <x:c r="AG201" s="302" t="n"/>
      <x:c r="AH201" s="102" t="n"/>
      <x:c r="AI201" s="302" t="n"/>
      <x:c r="AJ201" s="100" t="n"/>
      <x:c r="AK201" s="302" t="n"/>
      <x:c r="AL201" s="302" t="n"/>
      <x:c r="AM201" s="302" t="n"/>
      <x:c r="AN201" s="302" t="n"/>
      <x:c r="AO201" s="302" t="n"/>
      <x:c r="AP201" s="302" t="n"/>
      <x:c r="AQ201" s="302" t="n"/>
      <x:c r="AR201" s="302" t="n"/>
      <x:c r="AS201" s="302" t="n"/>
      <x:c r="AT201" s="302" t="n"/>
      <x:c r="AU201" s="302" t="n"/>
      <x:c r="AV201" s="302" t="n"/>
      <x:c r="AW201" s="302" t="n"/>
      <x:c r="AX201" s="302" t="n"/>
      <x:c r="AY201" s="302" t="n"/>
      <x:c r="AZ201" s="302" t="n"/>
      <x:c r="BA201" s="302" t="n"/>
      <x:c r="BB201" s="302" t="n"/>
      <x:c r="BC201" s="302" t="n"/>
      <x:c r="BD201" s="302" t="n"/>
      <x:c r="BE201" s="302" t="n"/>
      <x:c r="BF201" s="302" t="n"/>
      <x:c r="BG201" s="302" t="n"/>
      <x:c r="BH201" s="302" t="n"/>
      <x:c r="BI201" s="302" t="n"/>
      <x:c r="BJ201" s="302" t="n"/>
      <x:c r="BK201" s="302" t="n"/>
      <x:c r="BL201" s="302" t="n"/>
      <x:c r="BM201" s="302" t="n"/>
      <x:c r="BN201" s="302" t="n"/>
      <x:c r="BO201" s="302" t="n"/>
      <x:c r="BP201" s="302" t="n"/>
      <x:c r="BQ201" s="302" t="n"/>
      <x:c r="BR201" s="302" t="n"/>
      <x:c r="BS201" s="302" t="n"/>
      <x:c r="BT201" s="302" t="n"/>
      <x:c r="BU201" s="302" t="n"/>
      <x:c r="BV201" s="302" t="n"/>
      <x:c r="BW201" s="302" t="n"/>
      <x:c r="BX201" s="302" t="n"/>
      <x:c r="BY201" s="302" t="n"/>
      <x:c r="BZ201" s="302" t="n"/>
      <x:c r="CA201" s="302" t="n"/>
      <x:c r="CB201" s="302" t="n"/>
      <x:c r="CC201" s="302" t="n"/>
      <x:c r="CD201" s="302" t="n"/>
      <x:c r="CE201" s="302" t="n"/>
      <x:c r="CF201" s="302" t="n"/>
      <x:c r="CG201" s="302" t="n"/>
      <x:c r="CH201" s="302" t="n"/>
      <x:c r="CI201" s="302" t="n"/>
      <x:c r="CJ201" s="302" t="n"/>
      <x:c r="CK201" s="302" t="n"/>
      <x:c r="CL201" s="302" t="n"/>
      <x:c r="CM201" s="302" t="n"/>
      <x:c r="CN201" s="302" t="n"/>
      <x:c r="CO201" s="302" t="n"/>
      <x:c r="CP201" s="302" t="n"/>
      <x:c r="CQ201" s="302" t="n"/>
      <x:c r="CR201" s="302" t="n"/>
      <x:c r="CS201" s="302" t="n"/>
      <x:c r="CT201" s="302" t="n"/>
      <x:c r="CU201" s="302" t="n"/>
      <x:c r="CV201" s="302" t="n"/>
      <x:c r="CW201" s="302" t="n"/>
      <x:c r="CX201" s="302" t="n"/>
      <x:c r="CY201" s="302" t="n"/>
      <x:c r="CZ201" s="302" t="n"/>
      <x:c r="DA201" s="302" t="n"/>
      <x:c r="DB201" s="302" t="n"/>
      <x:c r="DC201" s="302" t="n"/>
      <x:c r="DD201" s="302" t="n"/>
      <x:c r="DE201" s="302" t="n"/>
      <x:c r="DF201" s="302" t="n"/>
      <x:c r="DG201" s="302" t="n"/>
      <x:c r="DH201" s="302" t="n"/>
      <x:c r="DI201" s="302" t="n"/>
      <x:c r="DJ201" s="302" t="n"/>
      <x:c r="DK201" s="302" t="n"/>
      <x:c r="DL201" s="302" t="n"/>
      <x:c r="DM201" s="302" t="n"/>
      <x:c r="DN201" s="302" t="n"/>
      <x:c r="DO201" s="302" t="n"/>
      <x:c r="DP201" s="302" t="n"/>
      <x:c r="DQ201" s="302" t="n"/>
      <x:c r="DR201" s="302" t="n"/>
      <x:c r="DS201" s="302" t="n"/>
      <x:c r="DT201" s="302" t="n"/>
      <x:c r="DU201" s="302" t="n"/>
      <x:c r="DV201" s="302" t="n"/>
      <x:c r="DW201" s="302" t="n"/>
      <x:c r="DX201" s="302" t="n"/>
      <x:c r="DY201" s="302" t="n"/>
      <x:c r="DZ201" s="302" t="n"/>
      <x:c r="EA201" s="302" t="n"/>
      <x:c r="EB201" s="302" t="n"/>
      <x:c r="EC201" s="302" t="n"/>
      <x:c r="ED201" s="302" t="n"/>
      <x:c r="EE201" s="302" t="n"/>
      <x:c r="EF201" s="302" t="n"/>
      <x:c r="EG201" s="302" t="n"/>
      <x:c r="EH201" s="302" t="n"/>
      <x:c r="EI201" s="302" t="n"/>
      <x:c r="EJ201" s="302" t="n"/>
      <x:c r="EK201" s="302" t="n"/>
      <x:c r="EL201" s="302" t="n"/>
      <x:c r="EM201" s="302" t="n"/>
      <x:c r="EN201" s="302" t="n"/>
      <x:c r="EO201" s="302" t="n"/>
      <x:c r="EP201" s="302" t="n"/>
      <x:c r="EQ201" s="302" t="n"/>
      <x:c r="ER201" s="302" t="n"/>
      <x:c r="ES201" s="302" t="n"/>
      <x:c r="ET201" s="302" t="n"/>
      <x:c r="EU201" s="302" t="n"/>
      <x:c r="EV201" s="302" t="n"/>
      <x:c r="EW201" s="302" t="n"/>
      <x:c r="EX201" s="302" t="n"/>
      <x:c r="EY201" s="302" t="n"/>
      <x:c r="EZ201" s="302" t="n"/>
    </x:row>
    <x:row r="202" s="27" customFormat="1">
      <x:c r="A202" s="38" t="n"/>
      <x:c r="B202" s="37" t="n"/>
      <x:c r="C202" s="36" t="n">
        <x:f>E202*D$5</x:f>
        <x:v>0</x:v>
      </x:c>
      <x:c r="D202" s="20" t="n"/>
      <x:c r="E202" s="36" t="n">
        <x:f>SUM(G202:HT202)</x:f>
        <x:v>0</x:v>
      </x:c>
      <x:c r="H202" s="302" t="n"/>
      <x:c r="I202" s="302" t="n"/>
      <x:c r="J202" s="302" t="n"/>
      <x:c r="K202" s="302" t="n"/>
      <x:c r="L202" s="302" t="n"/>
      <x:c r="M202" s="302" t="n"/>
      <x:c r="N202" s="302" t="n"/>
      <x:c r="O202" s="302" t="n"/>
      <x:c r="P202" s="302" t="n"/>
      <x:c r="Q202" s="100" t="n"/>
      <x:c r="R202" s="302" t="n"/>
      <x:c r="S202" s="302" t="n"/>
      <x:c r="T202" s="302" t="n"/>
      <x:c r="U202" s="302" t="n"/>
      <x:c r="V202" s="302" t="n"/>
      <x:c r="W202" s="302" t="n"/>
      <x:c r="X202" s="302" t="n"/>
      <x:c r="Y202" s="302" t="n"/>
      <x:c r="Z202" s="100" t="n"/>
      <x:c r="AA202" s="100" t="n"/>
      <x:c r="AB202" s="100" t="n"/>
      <x:c r="AC202" s="95" t="n"/>
      <x:c r="AD202" s="95" t="n"/>
      <x:c r="AE202" s="95" t="n"/>
      <x:c r="AF202" s="95" t="n"/>
      <x:c r="AG202" s="302" t="n"/>
      <x:c r="AH202" s="95" t="n"/>
      <x:c r="AI202" s="302" t="n"/>
      <x:c r="AJ202" s="100" t="n"/>
      <x:c r="AK202" s="302" t="n"/>
      <x:c r="AL202" s="302" t="n"/>
      <x:c r="AM202" s="302" t="n"/>
      <x:c r="AN202" s="302" t="n"/>
      <x:c r="AO202" s="302" t="n"/>
      <x:c r="AP202" s="302" t="n"/>
      <x:c r="AQ202" s="302" t="n"/>
      <x:c r="AR202" s="302" t="n"/>
      <x:c r="AS202" s="302" t="n"/>
      <x:c r="AT202" s="302" t="n"/>
      <x:c r="AU202" s="302" t="n"/>
      <x:c r="AV202" s="302" t="n"/>
      <x:c r="AW202" s="302" t="n"/>
      <x:c r="AX202" s="302" t="n"/>
      <x:c r="AY202" s="302" t="n"/>
      <x:c r="AZ202" s="302" t="n"/>
      <x:c r="BA202" s="302" t="n"/>
      <x:c r="BB202" s="302" t="n"/>
      <x:c r="BC202" s="302" t="n"/>
      <x:c r="BD202" s="302" t="n"/>
      <x:c r="BE202" s="302" t="n"/>
      <x:c r="BF202" s="302" t="n"/>
      <x:c r="BG202" s="302" t="n"/>
      <x:c r="BH202" s="302" t="n"/>
      <x:c r="BI202" s="302" t="n"/>
      <x:c r="BJ202" s="302" t="n"/>
      <x:c r="BK202" s="302" t="n"/>
      <x:c r="BL202" s="302" t="n"/>
      <x:c r="BM202" s="302" t="n"/>
      <x:c r="BN202" s="302" t="n"/>
      <x:c r="BO202" s="302" t="n"/>
      <x:c r="BP202" s="302" t="n"/>
      <x:c r="BQ202" s="302" t="n"/>
      <x:c r="BR202" s="302" t="n"/>
      <x:c r="BS202" s="302" t="n"/>
      <x:c r="BT202" s="302" t="n"/>
      <x:c r="BU202" s="302" t="n"/>
      <x:c r="BV202" s="302" t="n"/>
      <x:c r="BW202" s="302" t="n"/>
      <x:c r="BX202" s="302" t="n"/>
      <x:c r="BY202" s="302" t="n"/>
      <x:c r="BZ202" s="302" t="n"/>
      <x:c r="CA202" s="302" t="n"/>
      <x:c r="CB202" s="302" t="n"/>
      <x:c r="CC202" s="302" t="n"/>
      <x:c r="CD202" s="302" t="n"/>
      <x:c r="CE202" s="302" t="n"/>
      <x:c r="CF202" s="302" t="n"/>
      <x:c r="CG202" s="302" t="n"/>
      <x:c r="CH202" s="302" t="n"/>
      <x:c r="CI202" s="302" t="n"/>
      <x:c r="CJ202" s="302" t="n"/>
      <x:c r="CK202" s="302" t="n"/>
      <x:c r="CL202" s="302" t="n"/>
      <x:c r="CM202" s="302" t="n"/>
      <x:c r="CN202" s="302" t="n"/>
      <x:c r="CO202" s="302" t="n"/>
      <x:c r="CP202" s="302" t="n"/>
      <x:c r="CQ202" s="302" t="n"/>
      <x:c r="CR202" s="302" t="n"/>
      <x:c r="CS202" s="302" t="n"/>
      <x:c r="CT202" s="302" t="n"/>
      <x:c r="CU202" s="302" t="n"/>
      <x:c r="CV202" s="302" t="n"/>
      <x:c r="CW202" s="302" t="n"/>
      <x:c r="CX202" s="302" t="n"/>
      <x:c r="CY202" s="302" t="n"/>
      <x:c r="CZ202" s="302" t="n"/>
      <x:c r="DA202" s="302" t="n"/>
      <x:c r="DB202" s="302" t="n"/>
      <x:c r="DC202" s="302" t="n"/>
      <x:c r="DD202" s="302" t="n"/>
      <x:c r="DE202" s="302" t="n"/>
      <x:c r="DF202" s="302" t="n"/>
      <x:c r="DG202" s="302" t="n"/>
      <x:c r="DH202" s="302" t="n"/>
      <x:c r="DI202" s="302" t="n"/>
      <x:c r="DJ202" s="302" t="n"/>
      <x:c r="DK202" s="302" t="n"/>
      <x:c r="DL202" s="302" t="n"/>
      <x:c r="DM202" s="302" t="n"/>
      <x:c r="DN202" s="302" t="n"/>
      <x:c r="DO202" s="302" t="n"/>
      <x:c r="DP202" s="302" t="n"/>
      <x:c r="DQ202" s="302" t="n"/>
      <x:c r="DR202" s="302" t="n"/>
      <x:c r="DS202" s="302" t="n"/>
      <x:c r="DT202" s="302" t="n"/>
      <x:c r="DU202" s="302" t="n"/>
      <x:c r="DV202" s="302" t="n"/>
      <x:c r="DW202" s="302" t="n"/>
      <x:c r="DX202" s="302" t="n"/>
      <x:c r="DY202" s="302" t="n"/>
      <x:c r="DZ202" s="302" t="n"/>
      <x:c r="EA202" s="302" t="n"/>
      <x:c r="EB202" s="302" t="n"/>
      <x:c r="EC202" s="302" t="n"/>
      <x:c r="ED202" s="302" t="n"/>
      <x:c r="EE202" s="302" t="n"/>
      <x:c r="EF202" s="302" t="n"/>
      <x:c r="EG202" s="302" t="n"/>
      <x:c r="EH202" s="302" t="n"/>
      <x:c r="EI202" s="302" t="n"/>
      <x:c r="EJ202" s="302" t="n"/>
      <x:c r="EK202" s="302" t="n"/>
      <x:c r="EL202" s="302" t="n"/>
      <x:c r="EM202" s="302" t="n"/>
      <x:c r="EN202" s="302" t="n"/>
      <x:c r="EO202" s="302" t="n"/>
      <x:c r="EP202" s="302" t="n"/>
      <x:c r="EQ202" s="302" t="n"/>
      <x:c r="ER202" s="302" t="n"/>
      <x:c r="ES202" s="302" t="n"/>
      <x:c r="ET202" s="302" t="n"/>
      <x:c r="EU202" s="302" t="n"/>
      <x:c r="EV202" s="302" t="n"/>
      <x:c r="EW202" s="302" t="n"/>
      <x:c r="EX202" s="302" t="n"/>
      <x:c r="EY202" s="302" t="n"/>
      <x:c r="EZ202" s="302" t="n"/>
    </x:row>
    <x:row r="203" s="27" customFormat="1">
      <x:c r="A203" s="38" t="n"/>
      <x:c r="B203" s="37" t="n"/>
      <x:c r="C203" s="36" t="n">
        <x:f>E203*D$5</x:f>
        <x:v>0</x:v>
      </x:c>
      <x:c r="D203" s="20" t="n"/>
      <x:c r="E203" s="36" t="n">
        <x:f>SUM(G203:HT203)</x:f>
        <x:v>0</x:v>
      </x:c>
      <x:c r="H203" s="302" t="n"/>
      <x:c r="I203" s="302" t="n"/>
      <x:c r="J203" s="302" t="n"/>
      <x:c r="K203" s="302" t="n"/>
      <x:c r="L203" s="302" t="n"/>
      <x:c r="M203" s="302" t="n"/>
      <x:c r="N203" s="302" t="n"/>
      <x:c r="O203" s="302" t="n"/>
      <x:c r="P203" s="302" t="n"/>
      <x:c r="Q203" s="100" t="n"/>
      <x:c r="R203" s="302" t="n"/>
      <x:c r="S203" s="302" t="n"/>
      <x:c r="T203" s="302" t="n"/>
      <x:c r="U203" s="302" t="n"/>
      <x:c r="V203" s="302" t="n"/>
      <x:c r="W203" s="302" t="n"/>
      <x:c r="X203" s="302" t="n"/>
      <x:c r="Y203" s="302" t="n"/>
      <x:c r="Z203" s="100" t="n"/>
      <x:c r="AA203" s="100" t="n"/>
      <x:c r="AB203" s="100" t="n"/>
      <x:c r="AC203" s="95" t="n"/>
      <x:c r="AD203" s="95" t="n"/>
      <x:c r="AE203" s="95" t="n"/>
      <x:c r="AF203" s="95" t="n"/>
      <x:c r="AG203" s="302" t="n"/>
      <x:c r="AH203" s="95" t="n"/>
      <x:c r="AI203" s="302" t="n"/>
      <x:c r="AJ203" s="100" t="n"/>
      <x:c r="AK203" s="302" t="n"/>
      <x:c r="AL203" s="302" t="n"/>
      <x:c r="AM203" s="302" t="n"/>
      <x:c r="AN203" s="302" t="n"/>
      <x:c r="AO203" s="302" t="n"/>
      <x:c r="AP203" s="302" t="n"/>
      <x:c r="AQ203" s="302" t="n"/>
      <x:c r="AR203" s="302" t="n"/>
      <x:c r="AS203" s="302" t="n"/>
      <x:c r="AT203" s="302" t="n"/>
      <x:c r="AU203" s="302" t="n"/>
      <x:c r="AV203" s="302" t="n"/>
      <x:c r="AW203" s="302" t="n"/>
      <x:c r="AX203" s="302" t="n"/>
      <x:c r="AY203" s="302" t="n"/>
      <x:c r="AZ203" s="302" t="n"/>
      <x:c r="BA203" s="302" t="n"/>
      <x:c r="BB203" s="302" t="n"/>
      <x:c r="BC203" s="302" t="n"/>
      <x:c r="BD203" s="302" t="n"/>
      <x:c r="BE203" s="302" t="n"/>
      <x:c r="BF203" s="302" t="n"/>
      <x:c r="BG203" s="302" t="n"/>
      <x:c r="BH203" s="302" t="n"/>
      <x:c r="BI203" s="302" t="n"/>
      <x:c r="BJ203" s="302" t="n"/>
      <x:c r="BK203" s="302" t="n"/>
      <x:c r="BL203" s="302" t="n"/>
      <x:c r="BM203" s="302" t="n"/>
      <x:c r="BN203" s="302" t="n"/>
      <x:c r="BO203" s="302" t="n"/>
      <x:c r="BP203" s="302" t="n"/>
      <x:c r="BQ203" s="302" t="n"/>
      <x:c r="BR203" s="302" t="n"/>
      <x:c r="BS203" s="302" t="n"/>
      <x:c r="BT203" s="302" t="n"/>
      <x:c r="BU203" s="302" t="n"/>
      <x:c r="BV203" s="302" t="n"/>
      <x:c r="BW203" s="302" t="n"/>
      <x:c r="BX203" s="302" t="n"/>
      <x:c r="BY203" s="302" t="n"/>
      <x:c r="BZ203" s="302" t="n"/>
      <x:c r="CA203" s="302" t="n"/>
      <x:c r="CB203" s="302" t="n"/>
      <x:c r="CC203" s="302" t="n"/>
      <x:c r="CD203" s="302" t="n"/>
      <x:c r="CE203" s="302" t="n"/>
      <x:c r="CF203" s="302" t="n"/>
      <x:c r="CG203" s="302" t="n"/>
      <x:c r="CH203" s="302" t="n"/>
      <x:c r="CI203" s="302" t="n"/>
      <x:c r="CJ203" s="302" t="n"/>
      <x:c r="CK203" s="302" t="n"/>
      <x:c r="CL203" s="302" t="n"/>
      <x:c r="CM203" s="302" t="n"/>
      <x:c r="CN203" s="302" t="n"/>
      <x:c r="CO203" s="302" t="n"/>
      <x:c r="CP203" s="302" t="n"/>
      <x:c r="CQ203" s="302" t="n"/>
      <x:c r="CR203" s="302" t="n"/>
      <x:c r="CS203" s="302" t="n"/>
      <x:c r="CT203" s="302" t="n"/>
      <x:c r="CU203" s="302" t="n"/>
      <x:c r="CV203" s="302" t="n"/>
      <x:c r="CW203" s="302" t="n"/>
      <x:c r="CX203" s="302" t="n"/>
      <x:c r="CY203" s="302" t="n"/>
      <x:c r="CZ203" s="302" t="n"/>
      <x:c r="DA203" s="302" t="n"/>
      <x:c r="DB203" s="302" t="n"/>
      <x:c r="DC203" s="302" t="n"/>
      <x:c r="DD203" s="302" t="n"/>
      <x:c r="DE203" s="302" t="n"/>
      <x:c r="DF203" s="302" t="n"/>
      <x:c r="DG203" s="302" t="n"/>
      <x:c r="DH203" s="302" t="n"/>
      <x:c r="DI203" s="302" t="n"/>
      <x:c r="DJ203" s="302" t="n"/>
      <x:c r="DK203" s="302" t="n"/>
      <x:c r="DL203" s="302" t="n"/>
      <x:c r="DM203" s="302" t="n"/>
      <x:c r="DN203" s="302" t="n"/>
      <x:c r="DO203" s="302" t="n"/>
      <x:c r="DP203" s="302" t="n"/>
      <x:c r="DQ203" s="302" t="n"/>
      <x:c r="DR203" s="302" t="n"/>
      <x:c r="DS203" s="302" t="n"/>
      <x:c r="DT203" s="302" t="n"/>
      <x:c r="DU203" s="302" t="n"/>
      <x:c r="DV203" s="302" t="n"/>
      <x:c r="DW203" s="302" t="n"/>
      <x:c r="DX203" s="302" t="n"/>
      <x:c r="DY203" s="302" t="n"/>
      <x:c r="DZ203" s="302" t="n"/>
      <x:c r="EA203" s="302" t="n"/>
      <x:c r="EB203" s="302" t="n"/>
      <x:c r="EC203" s="302" t="n"/>
      <x:c r="ED203" s="302" t="n"/>
      <x:c r="EE203" s="302" t="n"/>
      <x:c r="EF203" s="302" t="n"/>
      <x:c r="EG203" s="302" t="n"/>
      <x:c r="EH203" s="302" t="n"/>
      <x:c r="EI203" s="302" t="n"/>
      <x:c r="EJ203" s="302" t="n"/>
      <x:c r="EK203" s="302" t="n"/>
      <x:c r="EL203" s="302" t="n"/>
      <x:c r="EM203" s="302" t="n"/>
      <x:c r="EN203" s="302" t="n"/>
      <x:c r="EO203" s="302" t="n"/>
      <x:c r="EP203" s="302" t="n"/>
      <x:c r="EQ203" s="302" t="n"/>
      <x:c r="ER203" s="302" t="n"/>
      <x:c r="ES203" s="302" t="n"/>
      <x:c r="ET203" s="302" t="n"/>
      <x:c r="EU203" s="302" t="n"/>
      <x:c r="EV203" s="302" t="n"/>
      <x:c r="EW203" s="302" t="n"/>
      <x:c r="EX203" s="302" t="n"/>
      <x:c r="EY203" s="302" t="n"/>
      <x:c r="EZ203" s="302" t="n"/>
    </x:row>
    <x:row r="204" s="27" customFormat="1">
      <x:c r="A204" s="38" t="n"/>
      <x:c r="B204" s="37" t="n"/>
      <x:c r="C204" s="36" t="n">
        <x:f>E204*D$5</x:f>
        <x:v>0</x:v>
      </x:c>
      <x:c r="D204" s="20" t="n"/>
      <x:c r="E204" s="36" t="n">
        <x:f>SUM(G204:HT204)</x:f>
        <x:v>0</x:v>
      </x:c>
      <x:c r="H204" s="302" t="n"/>
      <x:c r="I204" s="302" t="n"/>
      <x:c r="J204" s="302" t="n"/>
      <x:c r="K204" s="302" t="n"/>
      <x:c r="L204" s="302" t="n"/>
      <x:c r="M204" s="302" t="n"/>
      <x:c r="N204" s="302" t="n"/>
      <x:c r="O204" s="302" t="n"/>
      <x:c r="P204" s="302" t="n"/>
      <x:c r="Q204" s="100" t="n"/>
      <x:c r="R204" s="302" t="n"/>
      <x:c r="S204" s="302" t="n"/>
      <x:c r="T204" s="302" t="n"/>
      <x:c r="U204" s="302" t="n"/>
      <x:c r="V204" s="302" t="n"/>
      <x:c r="W204" s="302" t="n"/>
      <x:c r="X204" s="302" t="n"/>
      <x:c r="Y204" s="302" t="n"/>
      <x:c r="Z204" s="100" t="n"/>
      <x:c r="AA204" s="100" t="n"/>
      <x:c r="AB204" s="100" t="n"/>
      <x:c r="AC204" s="95" t="n"/>
      <x:c r="AD204" s="95" t="n"/>
      <x:c r="AE204" s="95" t="n"/>
      <x:c r="AF204" s="95" t="n"/>
      <x:c r="AG204" s="302" t="n"/>
      <x:c r="AH204" s="95" t="n"/>
      <x:c r="AI204" s="302" t="n"/>
      <x:c r="AJ204" s="100" t="n"/>
      <x:c r="AK204" s="302" t="n"/>
      <x:c r="AL204" s="302" t="n"/>
      <x:c r="AM204" s="302" t="n"/>
      <x:c r="AN204" s="302" t="n"/>
      <x:c r="AO204" s="302" t="n"/>
      <x:c r="AP204" s="302" t="n"/>
      <x:c r="AQ204" s="302" t="n"/>
      <x:c r="AR204" s="302" t="n"/>
      <x:c r="AS204" s="302" t="n"/>
      <x:c r="AT204" s="302" t="n"/>
      <x:c r="AU204" s="302" t="n"/>
      <x:c r="AV204" s="302" t="n"/>
      <x:c r="AW204" s="302" t="n"/>
      <x:c r="AX204" s="302" t="n"/>
      <x:c r="AY204" s="302" t="n"/>
      <x:c r="AZ204" s="302" t="n"/>
      <x:c r="BA204" s="302" t="n"/>
      <x:c r="BB204" s="302" t="n"/>
      <x:c r="BC204" s="302" t="n"/>
      <x:c r="BD204" s="302" t="n"/>
      <x:c r="BE204" s="302" t="n"/>
      <x:c r="BF204" s="302" t="n"/>
      <x:c r="BG204" s="302" t="n"/>
      <x:c r="BH204" s="302" t="n"/>
      <x:c r="BI204" s="302" t="n"/>
      <x:c r="BJ204" s="302" t="n"/>
      <x:c r="BK204" s="302" t="n"/>
      <x:c r="BL204" s="302" t="n"/>
      <x:c r="BM204" s="302" t="n"/>
      <x:c r="BN204" s="302" t="n"/>
      <x:c r="BO204" s="302" t="n"/>
      <x:c r="BP204" s="302" t="n"/>
      <x:c r="BQ204" s="302" t="n"/>
      <x:c r="BR204" s="302" t="n"/>
      <x:c r="BS204" s="302" t="n"/>
      <x:c r="BT204" s="302" t="n"/>
      <x:c r="BU204" s="302" t="n"/>
      <x:c r="BV204" s="302" t="n"/>
      <x:c r="BW204" s="302" t="n"/>
      <x:c r="BX204" s="302" t="n"/>
      <x:c r="BY204" s="302" t="n"/>
      <x:c r="BZ204" s="302" t="n"/>
      <x:c r="CA204" s="302" t="n"/>
      <x:c r="CB204" s="302" t="n"/>
      <x:c r="CC204" s="302" t="n"/>
      <x:c r="CD204" s="302" t="n"/>
      <x:c r="CE204" s="302" t="n"/>
      <x:c r="CF204" s="302" t="n"/>
      <x:c r="CG204" s="302" t="n"/>
      <x:c r="CH204" s="302" t="n"/>
      <x:c r="CI204" s="302" t="n"/>
      <x:c r="CJ204" s="302" t="n"/>
      <x:c r="CK204" s="302" t="n"/>
      <x:c r="CL204" s="302" t="n"/>
      <x:c r="CM204" s="302" t="n"/>
      <x:c r="CN204" s="302" t="n"/>
      <x:c r="CO204" s="302" t="n"/>
      <x:c r="CP204" s="302" t="n"/>
      <x:c r="CQ204" s="302" t="n"/>
      <x:c r="CR204" s="302" t="n"/>
      <x:c r="CS204" s="302" t="n"/>
      <x:c r="CT204" s="302" t="n"/>
      <x:c r="CU204" s="302" t="n"/>
      <x:c r="CV204" s="302" t="n"/>
      <x:c r="CW204" s="302" t="n"/>
      <x:c r="CX204" s="302" t="n"/>
      <x:c r="CY204" s="302" t="n"/>
      <x:c r="CZ204" s="302" t="n"/>
      <x:c r="DA204" s="302" t="n"/>
      <x:c r="DB204" s="302" t="n"/>
      <x:c r="DC204" s="302" t="n"/>
      <x:c r="DD204" s="302" t="n"/>
      <x:c r="DE204" s="302" t="n"/>
      <x:c r="DF204" s="302" t="n"/>
      <x:c r="DG204" s="302" t="n"/>
      <x:c r="DH204" s="302" t="n"/>
      <x:c r="DI204" s="302" t="n"/>
      <x:c r="DJ204" s="302" t="n"/>
      <x:c r="DK204" s="302" t="n"/>
      <x:c r="DL204" s="302" t="n"/>
      <x:c r="DM204" s="302" t="n"/>
      <x:c r="DN204" s="302" t="n"/>
      <x:c r="DO204" s="302" t="n"/>
      <x:c r="DP204" s="302" t="n"/>
      <x:c r="DQ204" s="302" t="n"/>
      <x:c r="DR204" s="302" t="n"/>
      <x:c r="DS204" s="302" t="n"/>
      <x:c r="DT204" s="302" t="n"/>
      <x:c r="DU204" s="302" t="n"/>
      <x:c r="DV204" s="302" t="n"/>
      <x:c r="DW204" s="302" t="n"/>
      <x:c r="DX204" s="302" t="n"/>
      <x:c r="DY204" s="302" t="n"/>
      <x:c r="DZ204" s="302" t="n"/>
      <x:c r="EA204" s="302" t="n"/>
      <x:c r="EB204" s="302" t="n"/>
      <x:c r="EC204" s="302" t="n"/>
      <x:c r="ED204" s="302" t="n"/>
      <x:c r="EE204" s="302" t="n"/>
      <x:c r="EF204" s="302" t="n"/>
      <x:c r="EG204" s="302" t="n"/>
      <x:c r="EH204" s="302" t="n"/>
      <x:c r="EI204" s="302" t="n"/>
      <x:c r="EJ204" s="302" t="n"/>
      <x:c r="EK204" s="302" t="n"/>
      <x:c r="EL204" s="302" t="n"/>
      <x:c r="EM204" s="302" t="n"/>
      <x:c r="EN204" s="302" t="n"/>
      <x:c r="EO204" s="302" t="n"/>
      <x:c r="EP204" s="302" t="n"/>
      <x:c r="EQ204" s="302" t="n"/>
      <x:c r="ER204" s="302" t="n"/>
      <x:c r="ES204" s="302" t="n"/>
      <x:c r="ET204" s="302" t="n"/>
      <x:c r="EU204" s="302" t="n"/>
      <x:c r="EV204" s="302" t="n"/>
      <x:c r="EW204" s="302" t="n"/>
      <x:c r="EX204" s="302" t="n"/>
      <x:c r="EY204" s="302" t="n"/>
      <x:c r="EZ204" s="302" t="n"/>
    </x:row>
    <x:row r="205" s="29" customFormat="1">
      <x:c r="A205" s="34" t="n"/>
      <x:c r="B205" s="33" t="n"/>
      <x:c r="C205" s="32" t="n"/>
      <x:c r="D205" s="31" t="n"/>
      <x:c r="E205" s="30" t="n"/>
      <x:c r="H205" s="303" t="n"/>
      <x:c r="I205" s="303" t="n"/>
      <x:c r="J205" s="303" t="n"/>
      <x:c r="K205" s="303" t="n"/>
      <x:c r="L205" s="303" t="n"/>
      <x:c r="M205" s="303" t="n"/>
      <x:c r="N205" s="303" t="n"/>
      <x:c r="O205" s="303" t="n"/>
      <x:c r="P205" s="303" t="n"/>
      <x:c r="Q205" s="100" t="n"/>
      <x:c r="R205" s="303" t="n"/>
      <x:c r="S205" s="303" t="n"/>
      <x:c r="T205" s="303" t="n"/>
      <x:c r="U205" s="303" t="n"/>
      <x:c r="V205" s="303" t="n"/>
      <x:c r="W205" s="303" t="n"/>
      <x:c r="X205" s="303" t="n"/>
      <x:c r="Y205" s="303" t="n"/>
      <x:c r="Z205" s="102" t="n"/>
      <x:c r="AA205" s="100" t="n"/>
      <x:c r="AB205" s="100" t="n"/>
      <x:c r="AC205" s="95" t="n"/>
      <x:c r="AD205" s="95" t="n"/>
      <x:c r="AE205" s="95" t="n"/>
      <x:c r="AF205" s="95" t="n"/>
      <x:c r="AG205" s="303" t="n"/>
      <x:c r="AH205" s="95" t="n"/>
      <x:c r="AI205" s="303" t="n"/>
      <x:c r="AJ205" s="102" t="n"/>
      <x:c r="AK205" s="303" t="n"/>
      <x:c r="AL205" s="303" t="n"/>
      <x:c r="AM205" s="303" t="n"/>
      <x:c r="AN205" s="303" t="n"/>
      <x:c r="AO205" s="303" t="n"/>
      <x:c r="AP205" s="303" t="n"/>
      <x:c r="AQ205" s="303" t="n"/>
      <x:c r="AR205" s="303" t="n"/>
      <x:c r="AS205" s="303" t="n"/>
      <x:c r="AT205" s="303" t="n"/>
      <x:c r="AU205" s="303" t="n"/>
      <x:c r="AV205" s="303" t="n"/>
      <x:c r="AW205" s="303" t="n"/>
      <x:c r="AX205" s="303" t="n"/>
      <x:c r="AY205" s="303" t="n"/>
      <x:c r="AZ205" s="303" t="n"/>
      <x:c r="BA205" s="303" t="n"/>
      <x:c r="BB205" s="303" t="n"/>
      <x:c r="BC205" s="303" t="n"/>
      <x:c r="BD205" s="303" t="n"/>
      <x:c r="BE205" s="303" t="n"/>
      <x:c r="BF205" s="303" t="n"/>
      <x:c r="BG205" s="303" t="n"/>
      <x:c r="BH205" s="303" t="n"/>
      <x:c r="BI205" s="303" t="n"/>
      <x:c r="BJ205" s="303" t="n"/>
      <x:c r="BK205" s="303" t="n"/>
      <x:c r="BL205" s="303" t="n"/>
      <x:c r="BM205" s="303" t="n"/>
      <x:c r="BN205" s="303" t="n"/>
      <x:c r="BO205" s="303" t="n"/>
      <x:c r="BP205" s="303" t="n"/>
      <x:c r="BQ205" s="303" t="n"/>
      <x:c r="BR205" s="303" t="n"/>
      <x:c r="BS205" s="303" t="n"/>
      <x:c r="BT205" s="303" t="n"/>
      <x:c r="BU205" s="303" t="n"/>
      <x:c r="BV205" s="303" t="n"/>
      <x:c r="BW205" s="303" t="n"/>
      <x:c r="BX205" s="303" t="n"/>
      <x:c r="BY205" s="303" t="n"/>
      <x:c r="BZ205" s="303" t="n"/>
      <x:c r="CA205" s="303" t="n"/>
      <x:c r="CB205" s="303" t="n"/>
      <x:c r="CC205" s="303" t="n"/>
      <x:c r="CD205" s="303" t="n"/>
      <x:c r="CE205" s="303" t="n"/>
      <x:c r="CF205" s="303" t="n"/>
      <x:c r="CG205" s="303" t="n"/>
      <x:c r="CH205" s="303" t="n"/>
      <x:c r="CI205" s="303" t="n"/>
      <x:c r="CJ205" s="303" t="n"/>
      <x:c r="CK205" s="303" t="n"/>
      <x:c r="CL205" s="303" t="n"/>
      <x:c r="CM205" s="303" t="n"/>
      <x:c r="CN205" s="303" t="n"/>
      <x:c r="CO205" s="303" t="n"/>
      <x:c r="CP205" s="303" t="n"/>
      <x:c r="CQ205" s="303" t="n"/>
      <x:c r="CR205" s="303" t="n"/>
      <x:c r="CS205" s="303" t="n"/>
      <x:c r="CT205" s="303" t="n"/>
      <x:c r="CU205" s="303" t="n"/>
      <x:c r="CV205" s="303" t="n"/>
      <x:c r="CW205" s="303" t="n"/>
      <x:c r="CX205" s="303" t="n"/>
      <x:c r="CY205" s="303" t="n"/>
      <x:c r="CZ205" s="303" t="n"/>
      <x:c r="DA205" s="303" t="n"/>
      <x:c r="DB205" s="303" t="n"/>
      <x:c r="DC205" s="303" t="n"/>
      <x:c r="DD205" s="303" t="n"/>
      <x:c r="DE205" s="303" t="n"/>
      <x:c r="DF205" s="303" t="n"/>
      <x:c r="DG205" s="303" t="n"/>
      <x:c r="DH205" s="303" t="n"/>
      <x:c r="DI205" s="303" t="n"/>
      <x:c r="DJ205" s="303" t="n"/>
      <x:c r="DK205" s="303" t="n"/>
      <x:c r="DL205" s="303" t="n"/>
      <x:c r="DM205" s="303" t="n"/>
      <x:c r="DN205" s="303" t="n"/>
      <x:c r="DO205" s="303" t="n"/>
      <x:c r="DP205" s="303" t="n"/>
      <x:c r="DQ205" s="303" t="n"/>
      <x:c r="DR205" s="303" t="n"/>
      <x:c r="DS205" s="303" t="n"/>
      <x:c r="DT205" s="303" t="n"/>
      <x:c r="DU205" s="303" t="n"/>
      <x:c r="DV205" s="303" t="n"/>
      <x:c r="DW205" s="303" t="n"/>
      <x:c r="DX205" s="303" t="n"/>
      <x:c r="DY205" s="303" t="n"/>
      <x:c r="DZ205" s="303" t="n"/>
      <x:c r="EA205" s="303" t="n"/>
      <x:c r="EB205" s="303" t="n"/>
      <x:c r="EC205" s="303" t="n"/>
      <x:c r="ED205" s="303" t="n"/>
      <x:c r="EE205" s="303" t="n"/>
      <x:c r="EF205" s="303" t="n"/>
      <x:c r="EG205" s="303" t="n"/>
      <x:c r="EH205" s="303" t="n"/>
      <x:c r="EI205" s="303" t="n"/>
      <x:c r="EJ205" s="303" t="n"/>
      <x:c r="EK205" s="303" t="n"/>
      <x:c r="EL205" s="303" t="n"/>
      <x:c r="EM205" s="303" t="n"/>
      <x:c r="EN205" s="303" t="n"/>
      <x:c r="EO205" s="303" t="n"/>
      <x:c r="EP205" s="303" t="n"/>
      <x:c r="EQ205" s="303" t="n"/>
      <x:c r="ER205" s="303" t="n"/>
      <x:c r="ES205" s="303" t="n"/>
      <x:c r="ET205" s="303" t="n"/>
      <x:c r="EU205" s="303" t="n"/>
      <x:c r="EV205" s="303" t="n"/>
      <x:c r="EW205" s="303" t="n"/>
      <x:c r="EX205" s="303" t="n"/>
      <x:c r="EY205" s="303" t="n"/>
      <x:c r="EZ205" s="303" t="n"/>
    </x:row>
    <x:row r="206" s="26" customFormat="1">
      <x:c r="A206" s="25" t="n"/>
      <x:c r="B206" s="24" t="n"/>
      <x:c r="C206" s="23" t="n"/>
      <x:c r="D206" s="22" t="n"/>
      <x:c r="E206" s="21" t="n"/>
      <x:c r="H206" s="81" t="n"/>
      <x:c r="I206" s="81" t="n"/>
      <x:c r="J206" s="81" t="n"/>
      <x:c r="K206" s="81" t="n"/>
      <x:c r="L206" s="81" t="n"/>
      <x:c r="M206" s="81" t="n"/>
      <x:c r="N206" s="81" t="n"/>
      <x:c r="O206" s="81" t="n"/>
      <x:c r="P206" s="81" t="n"/>
      <x:c r="Q206" s="100" t="n"/>
      <x:c r="R206" s="81" t="n"/>
      <x:c r="S206" s="81" t="n"/>
      <x:c r="T206" s="81" t="n"/>
      <x:c r="U206" s="81" t="n"/>
      <x:c r="V206" s="81" t="n"/>
      <x:c r="W206" s="81" t="n"/>
      <x:c r="X206" s="81" t="n"/>
      <x:c r="Y206" s="81" t="n"/>
      <x:c r="Z206" s="95" t="n"/>
      <x:c r="AA206" s="100" t="n"/>
      <x:c r="AB206" s="102" t="n"/>
      <x:c r="AC206" s="95" t="n"/>
      <x:c r="AD206" s="95" t="n"/>
      <x:c r="AE206" s="95" t="n"/>
      <x:c r="AF206" s="95" t="n"/>
      <x:c r="AG206" s="81" t="n"/>
      <x:c r="AH206" s="95" t="n"/>
      <x:c r="AI206" s="81" t="n"/>
      <x:c r="AJ206" s="95" t="n"/>
      <x:c r="AK206" s="81" t="n"/>
      <x:c r="AL206" s="81" t="n"/>
      <x:c r="AM206" s="81" t="n"/>
      <x:c r="AN206" s="81" t="n"/>
      <x:c r="AO206" s="81" t="n"/>
      <x:c r="AP206" s="81" t="n"/>
      <x:c r="AQ206" s="81" t="n"/>
      <x:c r="AR206" s="81" t="n"/>
      <x:c r="AS206" s="81" t="n"/>
      <x:c r="AT206" s="81" t="n"/>
      <x:c r="AU206" s="81" t="n"/>
      <x:c r="AV206" s="81" t="n"/>
      <x:c r="AW206" s="81" t="n"/>
      <x:c r="AX206" s="81" t="n"/>
      <x:c r="AY206" s="81" t="n"/>
      <x:c r="AZ206" s="81" t="n"/>
      <x:c r="BA206" s="81" t="n"/>
      <x:c r="BB206" s="81" t="n"/>
      <x:c r="BC206" s="81" t="n"/>
      <x:c r="BD206" s="81" t="n"/>
      <x:c r="BE206" s="81" t="n"/>
      <x:c r="BF206" s="81" t="n"/>
      <x:c r="BG206" s="81" t="n"/>
      <x:c r="BH206" s="81" t="n"/>
      <x:c r="BI206" s="81" t="n"/>
      <x:c r="BJ206" s="81" t="n"/>
      <x:c r="BK206" s="81" t="n"/>
      <x:c r="BL206" s="81" t="n"/>
      <x:c r="BM206" s="81" t="n"/>
      <x:c r="BN206" s="81" t="n"/>
      <x:c r="BO206" s="81" t="n"/>
      <x:c r="BP206" s="81" t="n"/>
      <x:c r="BQ206" s="81" t="n"/>
      <x:c r="BR206" s="81" t="n"/>
      <x:c r="BS206" s="81" t="n"/>
      <x:c r="BT206" s="81" t="n"/>
      <x:c r="BU206" s="81" t="n"/>
      <x:c r="BV206" s="81" t="n"/>
      <x:c r="BW206" s="81" t="n"/>
      <x:c r="BX206" s="81" t="n"/>
      <x:c r="BY206" s="81" t="n"/>
      <x:c r="BZ206" s="81" t="n"/>
      <x:c r="CA206" s="81" t="n"/>
      <x:c r="CB206" s="81" t="n"/>
      <x:c r="CC206" s="81" t="n"/>
      <x:c r="CD206" s="81" t="n"/>
      <x:c r="CE206" s="81" t="n"/>
      <x:c r="CF206" s="81" t="n"/>
      <x:c r="CG206" s="81" t="n"/>
      <x:c r="CH206" s="81" t="n"/>
      <x:c r="CI206" s="81" t="n"/>
      <x:c r="CJ206" s="81" t="n"/>
      <x:c r="CK206" s="81" t="n"/>
      <x:c r="CL206" s="81" t="n"/>
      <x:c r="CM206" s="81" t="n"/>
      <x:c r="CN206" s="81" t="n"/>
      <x:c r="CO206" s="81" t="n"/>
      <x:c r="CP206" s="81" t="n"/>
      <x:c r="CQ206" s="81" t="n"/>
      <x:c r="CR206" s="81" t="n"/>
      <x:c r="CS206" s="81" t="n"/>
      <x:c r="CT206" s="81" t="n"/>
      <x:c r="CU206" s="81" t="n"/>
      <x:c r="CV206" s="81" t="n"/>
      <x:c r="CW206" s="81" t="n"/>
      <x:c r="CX206" s="81" t="n"/>
      <x:c r="CY206" s="81" t="n"/>
      <x:c r="CZ206" s="81" t="n"/>
      <x:c r="DA206" s="81" t="n"/>
      <x:c r="DB206" s="81" t="n"/>
      <x:c r="DC206" s="81" t="n"/>
      <x:c r="DD206" s="81" t="n"/>
      <x:c r="DE206" s="81" t="n"/>
      <x:c r="DF206" s="81" t="n"/>
      <x:c r="DG206" s="81" t="n"/>
      <x:c r="DH206" s="81" t="n"/>
      <x:c r="DI206" s="81" t="n"/>
      <x:c r="DJ206" s="81" t="n"/>
      <x:c r="DK206" s="81" t="n"/>
      <x:c r="DL206" s="81" t="n"/>
      <x:c r="DM206" s="81" t="n"/>
      <x:c r="DN206" s="81" t="n"/>
      <x:c r="DO206" s="81" t="n"/>
      <x:c r="DP206" s="81" t="n"/>
      <x:c r="DQ206" s="81" t="n"/>
      <x:c r="DR206" s="81" t="n"/>
      <x:c r="DS206" s="81" t="n"/>
      <x:c r="DT206" s="81" t="n"/>
      <x:c r="DU206" s="81" t="n"/>
      <x:c r="DV206" s="81" t="n"/>
      <x:c r="DW206" s="81" t="n"/>
      <x:c r="DX206" s="81" t="n"/>
      <x:c r="DY206" s="81" t="n"/>
      <x:c r="DZ206" s="81" t="n"/>
      <x:c r="EA206" s="81" t="n"/>
      <x:c r="EB206" s="81" t="n"/>
      <x:c r="EC206" s="81" t="n"/>
      <x:c r="ED206" s="81" t="n"/>
      <x:c r="EE206" s="81" t="n"/>
      <x:c r="EF206" s="81" t="n"/>
      <x:c r="EG206" s="81" t="n"/>
      <x:c r="EH206" s="81" t="n"/>
      <x:c r="EI206" s="81" t="n"/>
      <x:c r="EJ206" s="81" t="n"/>
      <x:c r="EK206" s="81" t="n"/>
      <x:c r="EL206" s="81" t="n"/>
      <x:c r="EM206" s="81" t="n"/>
      <x:c r="EN206" s="81" t="n"/>
      <x:c r="EO206" s="81" t="n"/>
      <x:c r="EP206" s="81" t="n"/>
      <x:c r="EQ206" s="81" t="n"/>
      <x:c r="ER206" s="81" t="n"/>
      <x:c r="ES206" s="81" t="n"/>
      <x:c r="ET206" s="81" t="n"/>
      <x:c r="EU206" s="81" t="n"/>
      <x:c r="EV206" s="81" t="n"/>
      <x:c r="EW206" s="81" t="n"/>
      <x:c r="EX206" s="81" t="n"/>
      <x:c r="EY206" s="81" t="n"/>
      <x:c r="EZ206" s="81" t="n"/>
    </x:row>
    <x:row r="207">
      <x:c r="A207" s="25" t="n"/>
      <x:c r="B207" s="24" t="n"/>
      <x:c r="C207" s="23" t="n"/>
      <x:c r="D207" s="22" t="n"/>
      <x:c r="E207" s="21" t="n"/>
      <x:c r="Q207" s="100" t="n"/>
      <x:c r="AA207" s="100" t="n"/>
    </x:row>
    <x:row r="208">
      <x:c r="Q208" s="100" t="n"/>
      <x:c r="AA208" s="100" t="n"/>
    </x:row>
    <x:row r="209">
      <x:c r="Q209" s="102" t="n"/>
      <x:c r="AA209" s="102" t="n"/>
    </x:row>
  </x:sheetData>
  <x:mergeCells>
    <x:mergeCell ref="CG7:CG8"/>
    <x:mergeCell ref="EX7:EX8"/>
    <x:mergeCell ref="EZ7:EZ8"/>
    <x:mergeCell ref="DH7:DH8"/>
    <x:mergeCell ref="BR7:BR8"/>
    <x:mergeCell ref="BA7:BA8"/>
    <x:mergeCell ref="BC7:BC8"/>
    <x:mergeCell ref="DT7:DT8"/>
    <x:mergeCell ref="M7:M8"/>
    <x:mergeCell ref="DV7:DV8"/>
    <x:mergeCell ref="FD7:FD8"/>
    <x:mergeCell ref="FV7:FV8"/>
    <x:mergeCell ref="BO7:BO8"/>
    <x:mergeCell ref="FX7:FX8"/>
    <x:mergeCell ref="CI7:CI8"/>
    <x:mergeCell ref="DS7:DS8"/>
    <x:mergeCell ref="E1:F1"/>
    <x:mergeCell ref="P7:P8"/>
    <x:mergeCell ref="AM7:AM8"/>
    <x:mergeCell ref="FF7:FF8"/>
    <x:mergeCell ref="CA7:CA8"/>
    <x:mergeCell ref="T7:T8"/>
    <x:mergeCell ref="V7:V8"/>
    <x:mergeCell ref="CM7:CM8"/>
    <x:mergeCell ref="AN7:AN8"/>
    <x:mergeCell ref="AP7:AP8"/>
    <x:mergeCell ref="AF7:AF8"/>
    <x:mergeCell ref="DG7:DG8"/>
    <x:mergeCell ref="EO7:EO8"/>
    <x:mergeCell ref="AH7:AH8"/>
    <x:mergeCell ref="EQ7:EQ8"/>
    <x:mergeCell ref="D2:D4"/>
    <x:mergeCell ref="FI7:FI8"/>
    <x:mergeCell ref="CJ7:CJ8"/>
    <x:mergeCell ref="BB7:BB8"/>
    <x:mergeCell ref="FA7:FA8"/>
    <x:mergeCell ref="BD7:BD8"/>
    <x:mergeCell ref="FC7:FC8"/>
    <x:mergeCell ref="EN7:EN8"/>
    <x:mergeCell ref="AT7:AT8"/>
    <x:mergeCell ref="DK7:DK8"/>
    <x:mergeCell ref="AV7:AV8"/>
    <x:mergeCell ref="CP7:CP8"/>
    <x:mergeCell ref="DM7:DM8"/>
    <x:mergeCell ref="C6:C7"/>
    <x:mergeCell ref="BF7:BF8"/>
    <x:mergeCell ref="FO7:FO8"/>
    <x:mergeCell ref="BH7:BH8"/>
    <x:mergeCell ref="E3:F3"/>
    <x:mergeCell ref="FQ7:FQ8"/>
    <x:mergeCell ref="DY7:DY8"/>
    <x:mergeCell ref="EA7:EA8"/>
    <x:mergeCell ref="DJ7:DJ8"/>
    <x:mergeCell ref="GA7:GA8"/>
    <x:mergeCell ref="BT7:BT8"/>
    <x:mergeCell ref="B3:C3"/>
    <x:mergeCell ref="A2:A6"/>
    <x:mergeCell ref="E5:F5"/>
    <x:mergeCell ref="G7:G8"/>
    <x:mergeCell ref="DP7:DP8"/>
    <x:mergeCell ref="I7:I8"/>
    <x:mergeCell ref="BI7:BI8"/>
    <x:mergeCell ref="S7:S8"/>
    <x:mergeCell ref="EB7:EB8"/>
    <x:mergeCell ref="U7:U8"/>
    <x:mergeCell ref="FL7:FL8"/>
    <x:mergeCell ref="W7:W8"/>
    <x:mergeCell ref="E4:F4"/>
    <x:mergeCell ref="BW7:BW8"/>
    <x:mergeCell ref="CT7:CT8"/>
    <x:mergeCell ref="B2:C2"/>
    <x:mergeCell ref="CF7:CF8"/>
    <x:mergeCell ref="EF7:EF8"/>
    <x:mergeCell ref="AI7:AI8"/>
    <x:mergeCell ref="Y7:Y8"/>
    <x:mergeCell ref="EH7:EH8"/>
    <x:mergeCell ref="CZ7:CZ8"/>
    <x:mergeCell ref="AA7:AA8"/>
    <x:mergeCell ref="CR7:CR8"/>
    <x:mergeCell ref="AS7:AS8"/>
    <x:mergeCell ref="CC7:CC8"/>
    <x:mergeCell ref="AU7:AU8"/>
    <x:mergeCell ref="ET7:ET8"/>
    <x:mergeCell ref="F6:F8"/>
    <x:mergeCell ref="EV7:EV8"/>
    <x:mergeCell ref="CW7:CW8"/>
    <x:mergeCell ref="FN7:FN8"/>
    <x:mergeCell ref="CO7:CO8"/>
    <x:mergeCell ref="FP7:FP8"/>
    <x:mergeCell ref="DI7:DI8"/>
    <x:mergeCell ref="AY7:AY8"/>
    <x:mergeCell ref="AD7:AD8"/>
    <x:mergeCell ref="CU7:CU8"/>
    <x:mergeCell ref="DR7:DR8"/>
    <x:mergeCell ref="FR7:FR8"/>
    <x:mergeCell ref="BK7:BK8"/>
    <x:mergeCell ref="FT7:FT8"/>
    <x:mergeCell ref="DO7:DO8"/>
    <x:mergeCell ref="BQ7:BQ8"/>
    <x:mergeCell ref="DA7:DA8"/>
    <x:mergeCell ref="L7:L8"/>
    <x:mergeCell ref="DU7:DU8"/>
    <x:mergeCell ref="N7:N8"/>
    <x:mergeCell ref="BN7:BN8"/>
    <x:mergeCell ref="BP7:BP8"/>
    <x:mergeCell ref="EG7:EG8"/>
    <x:mergeCell ref="BZ7:BZ8"/>
    <x:mergeCell ref="CB7:CB8"/>
    <x:mergeCell ref="R7:R8"/>
    <x:mergeCell ref="CE7:CE8"/>
    <x:mergeCell ref="AJ7:AJ8"/>
    <x:mergeCell ref="CK7:CK8"/>
    <x:mergeCell ref="AL7:AL8"/>
    <x:mergeCell ref="EK7:EK8"/>
    <x:mergeCell ref="DC7:DC8"/>
    <x:mergeCell ref="EM7:EM8"/>
    <x:mergeCell ref="CN7:CN8"/>
    <x:mergeCell ref="FE7:FE8"/>
    <x:mergeCell ref="AX7:AX8"/>
    <x:mergeCell ref="FG7:FG8"/>
    <x:mergeCell ref="EW7:EW8"/>
    <x:mergeCell ref="EY7:EY8"/>
    <x:mergeCell ref="DB7:DB8"/>
    <x:mergeCell ref="CL7:CL8"/>
    <x:mergeCell ref="AG7:AG8"/>
    <x:mergeCell ref="EP7:EP8"/>
    <x:mergeCell ref="FW7:FW8"/>
    <x:mergeCell ref="FB7:FB8"/>
    <x:mergeCell ref="FY7:FY8"/>
    <x:mergeCell ref="DL7:DL8"/>
    <x:mergeCell ref="DD7:DD8"/>
    <x:mergeCell ref="BV7:BV8"/>
    <x:mergeCell ref="BE7:BE8"/>
    <x:mergeCell ref="DF7:DF8"/>
    <x:mergeCell ref="BG7:BG8"/>
    <x:mergeCell ref="O7:O8"/>
    <x:mergeCell ref="DX7:DX8"/>
    <x:mergeCell ref="Q7:Q8"/>
    <x:mergeCell ref="FH7:FH8"/>
    <x:mergeCell ref="DZ7:DZ8"/>
    <x:mergeCell ref="FZ7:FZ8"/>
    <x:mergeCell ref="BS7:BS8"/>
    <x:mergeCell ref="EJ7:EJ8"/>
    <x:mergeCell ref="BU7:BU8"/>
    <x:mergeCell ref="DW7:DW8"/>
    <x:mergeCell ref="AR7:AR8"/>
    <x:mergeCell ref="B5:C5"/>
    <x:mergeCell ref="EI7:EI8"/>
    <x:mergeCell ref="ED7:ED8"/>
    <x:mergeCell ref="AO7:AO8"/>
    <x:mergeCell ref="D6:D7"/>
    <x:mergeCell ref="BY7:BY8"/>
    <x:mergeCell ref="AQ7:AQ8"/>
    <x:mergeCell ref="B6:B8"/>
    <x:mergeCell ref="B4:C4"/>
    <x:mergeCell ref="ER7:ER8"/>
    <x:mergeCell ref="CS7:CS8"/>
    <x:mergeCell ref="FJ7:FJ8"/>
    <x:mergeCell ref="DE7:DE8"/>
    <x:mergeCell ref="X7:X8"/>
    <x:mergeCell ref="Z7:Z8"/>
    <x:mergeCell ref="CQ7:CQ8"/>
    <x:mergeCell ref="ES7:ES8"/>
    <x:mergeCell ref="EU7:EU8"/>
    <x:mergeCell ref="BM7:BM8"/>
    <x:mergeCell ref="AZ7:AZ8"/>
    <x:mergeCell ref="H7:H8"/>
    <x:mergeCell ref="DQ7:DQ8"/>
    <x:mergeCell ref="J7:J8"/>
    <x:mergeCell ref="E6:E7"/>
    <x:mergeCell ref="BJ7:BJ8"/>
    <x:mergeCell ref="AB7:AB8"/>
    <x:mergeCell ref="FS7:FS8"/>
    <x:mergeCell ref="BL7:BL8"/>
    <x:mergeCell ref="FU7:FU8"/>
    <x:mergeCell ref="FK7:FK8"/>
    <x:mergeCell ref="EC7:EC8"/>
    <x:mergeCell ref="FM7:FM8"/>
    <x:mergeCell ref="EE7:EE8"/>
    <x:mergeCell ref="DN7:DN8"/>
    <x:mergeCell ref="CD7:CD8"/>
    <x:mergeCell ref="BX7:BX8"/>
    <x:mergeCell ref="E2:F2"/>
    <x:mergeCell ref="K7:K8"/>
    <x:mergeCell ref="CY7:CY8"/>
    <x:mergeCell ref="CX7:CX8"/>
    <x:mergeCell ref="CH7:CH8"/>
    <x:mergeCell ref="AK7:AK8"/>
    <x:mergeCell ref="AC7:AC8"/>
    <x:mergeCell ref="EL7:EL8"/>
    <x:mergeCell ref="AE7:AE8"/>
    <x:mergeCell ref="CV7:CV8"/>
    <x:mergeCell ref="AW7:AW8"/>
  </x:mergeCells>
  <x:pageMargins left="0.7" right="0.7" top="0.75" bottom="0.75" header="0.3" footer="0.3"/>
</x:worksheet>
</file>

<file path=xl/worksheets/sheet8.xml><?xml version="1.0" encoding="utf-8"?>
<x:worksheet xmlns:x="http://schemas.openxmlformats.org/spreadsheetml/2006/main">
  <x:sheetFormatPr baseColWidth="8" defaultColWidth="14.42578125" defaultRowHeight="12.75"/>
  <x:cols>
    <x:col min="1" max="1" width="8.140625" style="19" customWidth="1"/>
    <x:col min="2" max="2" width="6.85546875" style="18" customWidth="1"/>
    <x:col min="3" max="3" width="12.5703125" style="17" customWidth="1"/>
    <x:col min="4" max="4" width="51.42578125" style="16" customWidth="1"/>
    <x:col min="5" max="5" width="11.140625" style="15" customWidth="1"/>
    <x:col min="6" max="6" width="6.85546875" style="13" customWidth="1"/>
    <x:col min="7" max="17" width="13" style="13" customWidth="1"/>
    <x:col min="18" max="19" width="13" style="95" customWidth="1"/>
    <x:col min="20" max="30" width="13" style="13" customWidth="1"/>
    <x:col min="31" max="37" width="13" style="95" customWidth="1"/>
    <x:col min="38" max="38" width="13" style="13" customWidth="1"/>
    <x:col min="39" max="39" width="13" style="95" customWidth="1"/>
    <x:col min="40" max="40" width="13" style="13" customWidth="1"/>
    <x:col min="41" max="41" width="13" style="95" customWidth="1"/>
    <x:col min="42" max="182" width="13" style="13" customWidth="1"/>
    <x:col min="183" max="183" width="13" style="14" customWidth="1"/>
    <x:col min="184" max="186" width="13" style="13" customWidth="1"/>
    <x:col min="187" max="16384" width="14.42578125" style="13" customWidth="1"/>
  </x:cols>
  <x:sheetData>
    <x:row r="1" s="569" customFormat="1" ht="13.5" customHeight="1">
      <x:c r="E1" s="477" t="inlineStr">
        <x:is>
          <x:t xml:space="preserve">Instrument</x:t>
        </x:is>
      </x:c>
      <x:c r="F1" s="592" t="n"/>
      <x:c r="G1" s="63" t="inlineStr">
        <x:is>
          <x:t xml:space="preserve"/>
        </x:is>
      </x:c>
      <x:c r="H1" s="116" t="inlineStr">
        <x:is>
          <x:t xml:space="preserve">PAT</x:t>
        </x:is>
      </x:c>
      <x:c r="I1" s="116" t="inlineStr">
        <x:is>
          <x:t xml:space="preserve">DEED</x:t>
        </x:is>
      </x:c>
      <x:c r="J1" s="116" t="inlineStr">
        <x:is>
          <x:t xml:space="preserve">DECREE</x:t>
        </x:is>
      </x:c>
      <x:c r="K1" s="116" t="inlineStr">
        <x:is>
          <x:t xml:space="preserve">MD</x:t>
        </x:is>
      </x:c>
      <x:c r="L1" s="116" t="inlineStr">
        <x:is>
          <x:t xml:space="preserve">WD</x:t>
        </x:is>
      </x:c>
      <x:c r="M1" s="116" t="inlineStr">
        <x:is>
          <x:t xml:space="preserve">WD</x:t>
        </x:is>
      </x:c>
      <x:c r="N1" s="116" t="inlineStr">
        <x:is>
          <x:t xml:space="preserve">MD</x:t>
        </x:is>
      </x:c>
      <x:c r="O1" s="116" t="inlineStr">
        <x:is>
          <x:t xml:space="preserve">MD</x:t>
        </x:is>
      </x:c>
      <x:c r="P1" s="116" t="inlineStr">
        <x:is>
          <x:t xml:space="preserve">MD</x:t>
        </x:is>
      </x:c>
      <x:c r="Q1" s="116" t="inlineStr">
        <x:is>
          <x:t xml:space="preserve">MD</x:t>
        </x:is>
      </x:c>
      <x:c r="R1" s="116" t="inlineStr">
        <x:is>
          <x:t xml:space="preserve">MD</x:t>
        </x:is>
      </x:c>
      <x:c r="S1" s="116" t="inlineStr">
        <x:is>
          <x:t xml:space="preserve">MD</x:t>
        </x:is>
      </x:c>
      <x:c r="T1" s="116" t="inlineStr">
        <x:is>
          <x:t xml:space="preserve">MD</x:t>
        </x:is>
      </x:c>
      <x:c r="U1" s="116" t="inlineStr">
        <x:is>
          <x:t xml:space="preserve">MD</x:t>
        </x:is>
      </x:c>
      <x:c r="V1" s="116" t="inlineStr">
        <x:is>
          <x:t xml:space="preserve">MD</x:t>
        </x:is>
      </x:c>
      <x:c r="W1" s="116" t="inlineStr">
        <x:is>
          <x:t xml:space="preserve">MD</x:t>
        </x:is>
      </x:c>
      <x:c r="X1" s="116" t="inlineStr">
        <x:is>
          <x:t xml:space="preserve">MD</x:t>
        </x:is>
      </x:c>
      <x:c r="Y1" s="116" t="inlineStr">
        <x:is>
          <x:t xml:space="preserve">QCD</x:t>
        </x:is>
      </x:c>
      <x:c r="Z1" s="116" t="inlineStr">
        <x:is>
          <x:t xml:space="preserve">MD</x:t>
        </x:is>
      </x:c>
      <x:c r="AA1" s="116" t="inlineStr">
        <x:is>
          <x:t xml:space="preserve">MD</x:t>
        </x:is>
      </x:c>
      <x:c r="AB1" s="116" t="inlineStr">
        <x:is>
          <x:t xml:space="preserve">MD</x:t>
        </x:is>
      </x:c>
      <x:c r="AC1" s="116" t="inlineStr">
        <x:is>
          <x:t xml:space="preserve">QCD</x:t>
        </x:is>
      </x:c>
      <x:c r="AD1" s="116" t="inlineStr">
        <x:is>
          <x:t xml:space="preserve">QCD</x:t>
        </x:is>
      </x:c>
      <x:c r="AE1" s="116" t="inlineStr">
        <x:is>
          <x:t xml:space="preserve">QCD</x:t>
        </x:is>
      </x:c>
      <x:c r="AF1" s="116" t="inlineStr">
        <x:is>
          <x:t xml:space="preserve">QCD</x:t>
        </x:is>
      </x:c>
      <x:c r="AG1" s="116" t="inlineStr">
        <x:is>
          <x:t xml:space="preserve">QCD</x:t>
        </x:is>
      </x:c>
      <x:c r="AH1" s="116" t="inlineStr">
        <x:is>
          <x:t xml:space="preserve">QCD</x:t>
        </x:is>
      </x:c>
      <x:c r="AI1" s="116" t="inlineStr">
        <x:is>
          <x:t xml:space="preserve">MD</x:t>
        </x:is>
      </x:c>
      <x:c r="AJ1" s="116" t="inlineStr">
        <x:is>
          <x:t xml:space="preserve">QCD</x:t>
        </x:is>
      </x:c>
      <x:c r="AK1" s="116" t="inlineStr">
        <x:is>
          <x:t xml:space="preserve">DECREE</x:t>
        </x:is>
      </x:c>
      <x:c r="AL1" s="116" t="inlineStr">
        <x:is>
          <x:t xml:space="preserve">MD</x:t>
        </x:is>
      </x:c>
      <x:c r="AM1" s="116" t="inlineStr">
        <x:is>
          <x:t xml:space="preserve">MD</x:t>
        </x:is>
      </x:c>
      <x:c r="AN1" s="116" t="inlineStr">
        <x:is>
          <x:t xml:space="preserve">DECREE</x:t>
        </x:is>
      </x:c>
      <x:c r="AO1" s="116" t="inlineStr">
        <x:is>
          <x:t xml:space="preserve">MD</x:t>
        </x:is>
      </x:c>
      <x:c r="AP1" s="95" t="inlineStr">
        <x:is>
          <x:t xml:space="preserve">MD</x:t>
        </x:is>
      </x:c>
      <x:c r="AQ1" s="95" t="inlineStr">
        <x:is>
          <x:t xml:space="preserve">MD</x:t>
        </x:is>
      </x:c>
      <x:c r="AR1" s="95" t="inlineStr">
        <x:is>
          <x:t xml:space="preserve">MD</x:t>
        </x:is>
      </x:c>
      <x:c r="AS1" s="95" t="inlineStr">
        <x:is>
          <x:t xml:space="preserve">MD</x:t>
        </x:is>
      </x:c>
      <x:c r="AT1" s="95" t="inlineStr">
        <x:is>
          <x:t xml:space="preserve">MD</x:t>
        </x:is>
      </x:c>
      <x:c r="AU1" s="95" t="inlineStr">
        <x:is>
          <x:t xml:space="preserve">DECREE</x:t>
        </x:is>
      </x:c>
      <x:c r="AV1" s="95" t="inlineStr">
        <x:is>
          <x:t xml:space="preserve">MD</x:t>
        </x:is>
      </x:c>
      <x:c r="AW1" s="95" t="inlineStr">
        <x:is>
          <x:t xml:space="preserve">DECREE</x:t>
        </x:is>
      </x:c>
      <x:c r="AX1" s="95" t="inlineStr">
        <x:is>
          <x:t xml:space="preserve">WD</x:t>
        </x:is>
      </x:c>
      <x:c r="AY1" s="95" t="inlineStr">
        <x:is>
          <x:t xml:space="preserve">DECREE</x:t>
        </x:is>
      </x:c>
      <x:c r="AZ1" s="95" t="inlineStr">
        <x:is>
          <x:t xml:space="preserve">MD</x:t>
        </x:is>
      </x:c>
      <x:c r="BA1" s="95" t="inlineStr">
        <x:is>
          <x:t xml:space="preserve">MD</x:t>
        </x:is>
      </x:c>
      <x:c r="BB1" s="95" t="inlineStr">
        <x:is>
          <x:t xml:space="preserve">MD</x:t>
        </x:is>
      </x:c>
      <x:c r="BC1" s="95" t="inlineStr">
        <x:is>
          <x:t xml:space="preserve">QCD</x:t>
        </x:is>
      </x:c>
      <x:c r="BD1" s="95" t="inlineStr">
        <x:is>
          <x:t xml:space="preserve">QCD</x:t>
        </x:is>
      </x:c>
      <x:c r="BE1" s="95" t="inlineStr">
        <x:is>
          <x:t xml:space="preserve">MD</x:t>
        </x:is>
      </x:c>
      <x:c r="BF1" s="95" t="inlineStr">
        <x:is>
          <x:t xml:space="preserve">MD</x:t>
        </x:is>
      </x:c>
      <x:c r="BG1" s="95" t="inlineStr">
        <x:is>
          <x:t xml:space="preserve">MD</x:t>
        </x:is>
      </x:c>
      <x:c r="BH1" s="95" t="inlineStr">
        <x:is>
          <x:t xml:space="preserve">MD</x:t>
        </x:is>
      </x:c>
      <x:c r="BI1" s="95" t="inlineStr">
        <x:is>
          <x:t xml:space="preserve">MD</x:t>
        </x:is>
      </x:c>
      <x:c r="BJ1" s="95" t="inlineStr">
        <x:is>
          <x:t xml:space="preserve">DECREE</x:t>
        </x:is>
      </x:c>
      <x:c r="BK1" s="95" t="inlineStr">
        <x:is>
          <x:t xml:space="preserve">MD</x:t>
        </x:is>
      </x:c>
      <x:c r="BL1" s="95" t="inlineStr">
        <x:is>
          <x:t xml:space="preserve">MD</x:t>
        </x:is>
      </x:c>
      <x:c r="BM1" s="95" t="inlineStr">
        <x:is>
          <x:t xml:space="preserve">QCD</x:t>
        </x:is>
      </x:c>
      <x:c r="BN1" s="95" t="inlineStr">
        <x:is>
          <x:t xml:space="preserve">DECREE</x:t>
        </x:is>
      </x:c>
      <x:c r="BO1" s="95" t="inlineStr">
        <x:is>
          <x:t xml:space="preserve">QCD</x:t>
        </x:is>
      </x:c>
      <x:c r="BP1" s="95" t="inlineStr">
        <x:is>
          <x:t xml:space="preserve">MD</x:t>
        </x:is>
      </x:c>
      <x:c r="BQ1" s="95" t="inlineStr">
        <x:is>
          <x:t xml:space="preserve">QCD</x:t>
        </x:is>
      </x:c>
      <x:c r="BR1" s="95" t="inlineStr">
        <x:is>
          <x:t xml:space="preserve">MD</x:t>
        </x:is>
      </x:c>
      <x:c r="BS1" s="95" t="inlineStr">
        <x:is>
          <x:t xml:space="preserve">DEED</x:t>
        </x:is>
      </x:c>
      <x:c r="BT1" s="95" t="inlineStr">
        <x:is>
          <x:t xml:space="preserve">QCD</x:t>
        </x:is>
      </x:c>
      <x:c r="BU1" s="95" t="inlineStr">
        <x:is>
          <x:t xml:space="preserve">QCD</x:t>
        </x:is>
      </x:c>
      <x:c r="BV1" s="95" t="inlineStr">
        <x:is>
          <x:t xml:space="preserve">WD</x:t>
        </x:is>
      </x:c>
      <x:c r="BW1" s="95" t="inlineStr">
        <x:is>
          <x:t xml:space="preserve">WD</x:t>
        </x:is>
      </x:c>
      <x:c r="BX1" s="95" t="inlineStr">
        <x:is>
          <x:t xml:space="preserve">WD</x:t>
        </x:is>
      </x:c>
      <x:c r="BY1" s="95" t="inlineStr">
        <x:is>
          <x:t xml:space="preserve">QCD</x:t>
        </x:is>
      </x:c>
      <x:c r="BZ1" s="95" t="inlineStr">
        <x:is>
          <x:t xml:space="preserve">QCD</x:t>
        </x:is>
      </x:c>
      <x:c r="CA1" s="95" t="inlineStr">
        <x:is>
          <x:t xml:space="preserve">QCD</x:t>
        </x:is>
      </x:c>
      <x:c r="CB1" s="95" t="n"/>
      <x:c r="CC1" s="95" t="n"/>
      <x:c r="CD1" s="95" t="n"/>
      <x:c r="CE1" s="95" t="n"/>
      <x:c r="CF1" s="95" t="n"/>
      <x:c r="CG1" s="95" t="n"/>
      <x:c r="CH1" s="95" t="n"/>
      <x:c r="CI1" s="95" t="n"/>
      <x:c r="CJ1" s="95" t="n"/>
      <x:c r="CK1" s="95" t="n"/>
      <x:c r="CL1" s="95" t="n"/>
      <x:c r="CM1" s="95" t="n"/>
      <x:c r="CN1" s="95" t="n"/>
      <x:c r="CO1" s="95" t="n"/>
      <x:c r="CP1" s="95" t="n"/>
      <x:c r="CQ1" s="95" t="n"/>
      <x:c r="CR1" s="95" t="n"/>
      <x:c r="CS1" s="95" t="n"/>
      <x:c r="CT1" s="95" t="n"/>
      <x:c r="CU1" s="95" t="n"/>
      <x:c r="CV1" s="95" t="n"/>
      <x:c r="CW1" s="95" t="n"/>
      <x:c r="CX1" s="95" t="n"/>
      <x:c r="CY1" s="95" t="n"/>
      <x:c r="CZ1" s="95" t="n"/>
      <x:c r="DA1" s="95" t="n"/>
      <x:c r="DB1" s="95" t="n"/>
      <x:c r="DC1" s="95" t="n"/>
      <x:c r="DD1" s="95" t="n"/>
      <x:c r="DE1" s="95" t="n"/>
      <x:c r="DF1" s="95" t="n"/>
      <x:c r="DG1" s="95" t="n"/>
      <x:c r="DH1" s="95" t="n"/>
      <x:c r="DI1" s="95" t="n"/>
      <x:c r="DJ1" s="95" t="n"/>
      <x:c r="DK1" s="95" t="n"/>
      <x:c r="DL1" s="95" t="n"/>
      <x:c r="DM1" s="95" t="n"/>
      <x:c r="DN1" s="95" t="n"/>
      <x:c r="DO1" s="95" t="n"/>
      <x:c r="DP1" s="95" t="n"/>
      <x:c r="DQ1" s="95" t="n"/>
      <x:c r="DR1" s="95" t="n"/>
      <x:c r="DS1" s="95" t="n"/>
      <x:c r="DT1" s="95" t="n"/>
      <x:c r="DU1" s="95" t="n"/>
      <x:c r="DV1" s="95" t="n"/>
      <x:c r="DW1" s="95" t="n"/>
      <x:c r="DX1" s="95" t="n"/>
      <x:c r="DY1" s="95" t="n"/>
      <x:c r="DZ1" s="95" t="n"/>
      <x:c r="EA1" s="95" t="n"/>
      <x:c r="EB1" s="95" t="n"/>
      <x:c r="EC1" s="95" t="n"/>
      <x:c r="ED1" s="95" t="n"/>
      <x:c r="EE1" s="95" t="n"/>
      <x:c r="EF1" s="95" t="n"/>
      <x:c r="EG1" s="95" t="n"/>
      <x:c r="EH1" s="95" t="n"/>
      <x:c r="EI1" s="95" t="n"/>
      <x:c r="EJ1" s="95" t="n"/>
      <x:c r="EK1" s="95" t="n"/>
      <x:c r="EL1" s="95" t="n"/>
      <x:c r="EM1" s="95" t="n"/>
      <x:c r="EN1" s="95" t="n"/>
      <x:c r="EO1" s="95" t="n"/>
      <x:c r="EP1" s="95" t="n"/>
      <x:c r="EQ1" s="95" t="n"/>
      <x:c r="ER1" s="95" t="n"/>
      <x:c r="ES1" s="95" t="n"/>
      <x:c r="ET1" s="95" t="n"/>
      <x:c r="EU1" s="95" t="n"/>
      <x:c r="EV1" s="95" t="n"/>
      <x:c r="EW1" s="95" t="n"/>
      <x:c r="EX1" s="95" t="n"/>
      <x:c r="EY1" s="95" t="n"/>
      <x:c r="EZ1" s="95" t="n"/>
      <x:c r="FA1" s="95" t="n"/>
      <x:c r="FB1" s="95" t="n"/>
      <x:c r="FC1" s="95" t="n"/>
      <x:c r="FD1" s="95" t="n"/>
      <x:c r="FE1" s="95" t="n"/>
      <x:c r="FF1" s="95" t="n"/>
      <x:c r="FG1" s="95" t="n"/>
      <x:c r="FH1" s="95" t="n"/>
      <x:c r="FI1" s="95" t="n"/>
      <x:c r="FJ1" s="95" t="n"/>
      <x:c r="FK1" s="95" t="n"/>
      <x:c r="FL1" s="95" t="n"/>
      <x:c r="FM1" s="95" t="n"/>
      <x:c r="FN1" s="95" t="n"/>
      <x:c r="FO1" s="95" t="n"/>
      <x:c r="FP1" s="95" t="n"/>
      <x:c r="FQ1" s="95" t="n"/>
      <x:c r="FR1" s="95" t="n"/>
      <x:c r="FS1" s="95" t="n"/>
      <x:c r="FT1" s="95" t="n"/>
      <x:c r="FU1" s="95" t="n"/>
      <x:c r="FV1" s="95" t="n"/>
      <x:c r="FW1" s="95" t="n"/>
    </x:row>
    <x:row r="2" s="62" customFormat="1" ht="12.75" customHeight="1">
      <x:c r="A2" s="614" t="inlineStr">
        <x:is>
          <x:t xml:space="preserve">3</x:t>
        </x:is>
      </x:c>
      <x:c r="B2" s="615" t="inlineStr">
        <x:is>
          <x:t xml:space="preserve">TRACT</x:t>
        </x:is>
      </x:c>
      <x:c r="C2" s="593" t="n"/>
      <x:c r="D2" s="643" t="inlineStr">
        <x:is>
          <x:t xml:space="preserve">SE/4 NE/4, containing 40 acres</x:t>
        </x:is>
      </x:c>
      <x:c r="E2" s="617" t="inlineStr">
        <x:is>
          <x:t xml:space="preserve">Image Number</x:t>
        </x:is>
      </x:c>
      <x:c r="F2" s="618" t="n"/>
      <x:c r="G2" s="63" t="n"/>
      <x:c r="H2" s="118" t="inlineStr">
        <x:is>
          <x:t xml:space="preserve">1909-002932</x:t>
        </x:is>
      </x:c>
      <x:c r="I2" s="118" t="inlineStr">
        <x:is>
          <x:t xml:space="preserve">1913-000413</x:t>
        </x:is>
      </x:c>
      <x:c r="J2" s="118" t="inlineStr">
        <x:is>
          <x:t xml:space="preserve">1945-000816</x:t>
        </x:is>
      </x:c>
      <x:c r="K2" s="118" t="inlineStr">
        <x:is>
          <x:t xml:space="preserve">1949-001867</x:t>
        </x:is>
      </x:c>
      <x:c r="L2" s="118" t="inlineStr">
        <x:is>
          <x:t xml:space="preserve">1950-000383</x:t>
        </x:is>
      </x:c>
      <x:c r="M2" s="118" t="inlineStr">
        <x:is>
          <x:t xml:space="preserve">1953-000493</x:t>
        </x:is>
      </x:c>
      <x:c r="N2" s="118" t="inlineStr">
        <x:is>
          <x:t xml:space="preserve">1962-001141</x:t>
        </x:is>
      </x:c>
      <x:c r="O2" s="118" t="inlineStr">
        <x:is>
          <x:t xml:space="preserve">1962-001145</x:t>
        </x:is>
      </x:c>
      <x:c r="P2" s="118" t="inlineStr">
        <x:is>
          <x:t xml:space="preserve">1962-001389</x:t>
        </x:is>
      </x:c>
      <x:c r="Q2" s="118" t="inlineStr">
        <x:is>
          <x:t xml:space="preserve">1962-001390</x:t>
        </x:is>
      </x:c>
      <x:c r="R2" s="118" t="inlineStr">
        <x:is>
          <x:t xml:space="preserve">1974-001639</x:t>
        </x:is>
      </x:c>
      <x:c r="S2" s="118" t="inlineStr">
        <x:is>
          <x:t xml:space="preserve">1974-001700</x:t>
        </x:is>
      </x:c>
      <x:c r="T2" s="118" t="inlineStr">
        <x:is>
          <x:t xml:space="preserve">1974-002044</x:t>
        </x:is>
      </x:c>
      <x:c r="U2" s="118" t="inlineStr">
        <x:is>
          <x:t xml:space="preserve">1975-000869</x:t>
        </x:is>
      </x:c>
      <x:c r="V2" s="118" t="inlineStr">
        <x:is>
          <x:t xml:space="preserve">1981-005180</x:t>
        </x:is>
      </x:c>
      <x:c r="W2" s="118" t="inlineStr">
        <x:is>
          <x:t xml:space="preserve">1981-005181</x:t>
        </x:is>
      </x:c>
      <x:c r="X2" s="118" t="inlineStr">
        <x:is>
          <x:t xml:space="preserve">1982-004342</x:t>
        </x:is>
      </x:c>
      <x:c r="Y2" s="118" t="inlineStr">
        <x:is>
          <x:t xml:space="preserve">1985-002650</x:t>
        </x:is>
      </x:c>
      <x:c r="Z2" s="118" t="inlineStr">
        <x:is>
          <x:t xml:space="preserve">1986-000268</x:t>
        </x:is>
      </x:c>
      <x:c r="AA2" s="118" t="inlineStr">
        <x:is>
          <x:t xml:space="preserve">1988-005620</x:t>
        </x:is>
      </x:c>
      <x:c r="AB2" s="118" t="inlineStr">
        <x:is>
          <x:t xml:space="preserve">1989-006590</x:t>
        </x:is>
      </x:c>
      <x:c r="AC2" s="118" t="inlineStr">
        <x:is>
          <x:t xml:space="preserve">1990-001925</x:t>
        </x:is>
      </x:c>
      <x:c r="AD2" s="118" t="inlineStr">
        <x:is>
          <x:t xml:space="preserve">1990-002146</x:t>
        </x:is>
      </x:c>
      <x:c r="AE2" s="118" t="inlineStr">
        <x:is>
          <x:t xml:space="preserve">1990-002451</x:t>
        </x:is>
      </x:c>
      <x:c r="AF2" s="118" t="inlineStr">
        <x:is>
          <x:t xml:space="preserve">1990-003160</x:t>
        </x:is>
      </x:c>
      <x:c r="AG2" s="118" t="inlineStr">
        <x:is>
          <x:t xml:space="preserve">1990-003924</x:t>
        </x:is>
      </x:c>
      <x:c r="AH2" s="118" t="inlineStr">
        <x:is>
          <x:t xml:space="preserve">1990-004213</x:t>
        </x:is>
      </x:c>
      <x:c r="AI2" s="118" t="inlineStr">
        <x:is>
          <x:t xml:space="preserve">1990-005042</x:t>
        </x:is>
      </x:c>
      <x:c r="AJ2" s="118" t="inlineStr">
        <x:is>
          <x:t xml:space="preserve">1990-005043</x:t>
        </x:is>
      </x:c>
      <x:c r="AK2" s="118" t="inlineStr">
        <x:is>
          <x:t xml:space="preserve">1990-006747</x:t>
        </x:is>
      </x:c>
      <x:c r="AL2" s="118" t="inlineStr">
        <x:is>
          <x:t xml:space="preserve">1992-001067</x:t>
        </x:is>
      </x:c>
      <x:c r="AM2" s="118" t="inlineStr">
        <x:is>
          <x:t xml:space="preserve">1992-001682</x:t>
        </x:is>
      </x:c>
      <x:c r="AN2" s="118" t="inlineStr">
        <x:is>
          <x:t xml:space="preserve">1993-000918</x:t>
        </x:is>
      </x:c>
      <x:c r="AO2" s="118" t="inlineStr">
        <x:is>
          <x:t xml:space="preserve">1994-006415</x:t>
        </x:is>
      </x:c>
      <x:c r="AP2" s="96" t="inlineStr">
        <x:is>
          <x:t xml:space="preserve">1995-003404</x:t>
        </x:is>
      </x:c>
      <x:c r="AQ2" s="96" t="inlineStr">
        <x:is>
          <x:t xml:space="preserve">2000-007685</x:t>
        </x:is>
      </x:c>
      <x:c r="AR2" s="96" t="inlineStr">
        <x:is>
          <x:t xml:space="preserve">2001-000957</x:t>
        </x:is>
      </x:c>
      <x:c r="AS2" s="96" t="inlineStr">
        <x:is>
          <x:t xml:space="preserve">2001-001414</x:t>
        </x:is>
      </x:c>
      <x:c r="AT2" s="96" t="inlineStr">
        <x:is>
          <x:t xml:space="preserve">2001-001463</x:t>
        </x:is>
      </x:c>
      <x:c r="AU2" s="96" t="inlineStr">
        <x:is>
          <x:t xml:space="preserve">2001-002342</x:t>
        </x:is>
      </x:c>
      <x:c r="AV2" s="96" t="inlineStr">
        <x:is>
          <x:t xml:space="preserve">2002-004595</x:t>
        </x:is>
      </x:c>
      <x:c r="AW2" s="96" t="inlineStr">
        <x:is>
          <x:t xml:space="preserve">2003-005699</x:t>
        </x:is>
      </x:c>
      <x:c r="AX2" s="96" t="inlineStr">
        <x:is>
          <x:t xml:space="preserve">2003-004945</x:t>
        </x:is>
      </x:c>
      <x:c r="AY2" s="96" t="inlineStr">
        <x:is>
          <x:t xml:space="preserve">2004-000099</x:t>
        </x:is>
      </x:c>
      <x:c r="AZ2" s="96" t="inlineStr">
        <x:is>
          <x:t xml:space="preserve">2004-005901</x:t>
        </x:is>
      </x:c>
      <x:c r="BA2" s="96" t="inlineStr">
        <x:is>
          <x:t xml:space="preserve">2005-000158</x:t>
        </x:is>
      </x:c>
      <x:c r="BB2" s="96" t="inlineStr">
        <x:is>
          <x:t xml:space="preserve">2005-007551</x:t>
        </x:is>
      </x:c>
      <x:c r="BC2" s="96" t="inlineStr">
        <x:is>
          <x:t xml:space="preserve">2006-000154</x:t>
        </x:is>
      </x:c>
      <x:c r="BD2" s="96" t="inlineStr">
        <x:is>
          <x:t xml:space="preserve">2007-001848</x:t>
        </x:is>
      </x:c>
      <x:c r="BE2" s="96" t="inlineStr">
        <x:is>
          <x:t xml:space="preserve">2011-001007</x:t>
        </x:is>
      </x:c>
      <x:c r="BF2" s="96" t="inlineStr">
        <x:is>
          <x:t xml:space="preserve">2011-001008</x:t>
        </x:is>
      </x:c>
      <x:c r="BG2" s="96" t="inlineStr">
        <x:is>
          <x:t xml:space="preserve">2011-001009</x:t>
        </x:is>
      </x:c>
      <x:c r="BH2" s="96" t="inlineStr">
        <x:is>
          <x:t xml:space="preserve">2011-008134</x:t>
        </x:is>
      </x:c>
      <x:c r="BI2" s="96" t="inlineStr">
        <x:is>
          <x:t xml:space="preserve">2012-004060</x:t>
        </x:is>
      </x:c>
      <x:c r="BJ2" s="96" t="inlineStr">
        <x:is>
          <x:t xml:space="preserve">2013-000518</x:t>
        </x:is>
      </x:c>
      <x:c r="BK2" s="96" t="inlineStr">
        <x:is>
          <x:t xml:space="preserve">2014-003089</x:t>
        </x:is>
      </x:c>
      <x:c r="BL2" s="96" t="inlineStr">
        <x:is>
          <x:t xml:space="preserve">2014-006293</x:t>
        </x:is>
      </x:c>
      <x:c r="BM2" s="96" t="inlineStr">
        <x:is>
          <x:t xml:space="preserve">2018-002650</x:t>
        </x:is>
      </x:c>
      <x:c r="BN2" s="96" t="inlineStr">
        <x:is>
          <x:t xml:space="preserve">2026-002877</x:t>
        </x:is>
      </x:c>
      <x:c r="BO2" s="96" t="inlineStr">
        <x:is>
          <x:t xml:space="preserve">2020-001374</x:t>
        </x:is>
      </x:c>
      <x:c r="BP2" s="96" t="inlineStr">
        <x:is>
          <x:t xml:space="preserve">2021-001068</x:t>
        </x:is>
      </x:c>
      <x:c r="BQ2" s="96" t="inlineStr">
        <x:is>
          <x:t xml:space="preserve">2025-001343</x:t>
        </x:is>
      </x:c>
      <x:c r="BR2" s="96" t="inlineStr">
        <x:is>
          <x:t xml:space="preserve">2026-000691</x:t>
        </x:is>
      </x:c>
      <x:c r="BS2" s="96" t="inlineStr">
        <x:is>
          <x:t xml:space="preserve">1922-000463</x:t>
        </x:is>
      </x:c>
      <x:c r="BT2" s="96" t="inlineStr">
        <x:is>
          <x:t xml:space="preserve">1931-000994</x:t>
        </x:is>
      </x:c>
      <x:c r="BU2" s="96" t="inlineStr">
        <x:is>
          <x:t xml:space="preserve">1997-006370</x:t>
        </x:is>
      </x:c>
      <x:c r="BV2" s="96" t="inlineStr">
        <x:is>
          <x:t xml:space="preserve">1945-000171</x:t>
        </x:is>
      </x:c>
      <x:c r="BW2" s="96" t="inlineStr">
        <x:is>
          <x:t xml:space="preserve">1949-000809</x:t>
        </x:is>
      </x:c>
      <x:c r="BX2" s="96" t="inlineStr">
        <x:is>
          <x:t xml:space="preserve">1949-000814</x:t>
        </x:is>
      </x:c>
      <x:c r="BY2" s="96" t="inlineStr">
        <x:is>
          <x:t xml:space="preserve">1997-005183</x:t>
        </x:is>
      </x:c>
      <x:c r="BZ2" s="96" t="inlineStr">
        <x:is>
          <x:t xml:space="preserve">2001-000619</x:t>
        </x:is>
      </x:c>
      <x:c r="CA2" s="96" t="inlineStr">
        <x:is>
          <x:t xml:space="preserve">2001-001092</x:t>
        </x:is>
      </x:c>
      <x:c r="CB2" s="96" t="n"/>
      <x:c r="CC2" s="96" t="n"/>
      <x:c r="CD2" s="96" t="n"/>
      <x:c r="CE2" s="96" t="n"/>
      <x:c r="CF2" s="96" t="n"/>
      <x:c r="CG2" s="96" t="n"/>
      <x:c r="CH2" s="96" t="n"/>
      <x:c r="CI2" s="96" t="n"/>
      <x:c r="CJ2" s="96" t="n"/>
      <x:c r="CK2" s="96" t="n"/>
      <x:c r="CL2" s="96" t="n"/>
      <x:c r="CM2" s="96" t="n"/>
      <x:c r="CN2" s="96" t="n"/>
      <x:c r="CO2" s="96" t="n"/>
      <x:c r="CP2" s="96" t="n"/>
      <x:c r="CQ2" s="96" t="n"/>
      <x:c r="CR2" s="96" t="n"/>
      <x:c r="CS2" s="96" t="n"/>
      <x:c r="CT2" s="96" t="n"/>
      <x:c r="CU2" s="96" t="n"/>
      <x:c r="CV2" s="96" t="n"/>
      <x:c r="CW2" s="96" t="n"/>
      <x:c r="CX2" s="96" t="n"/>
      <x:c r="CY2" s="96" t="n"/>
      <x:c r="CZ2" s="96" t="n"/>
      <x:c r="DA2" s="96" t="n"/>
      <x:c r="DB2" s="96" t="n"/>
      <x:c r="DC2" s="96" t="n"/>
      <x:c r="DD2" s="96" t="n"/>
      <x:c r="DE2" s="96" t="n"/>
      <x:c r="DF2" s="96" t="n"/>
      <x:c r="DG2" s="96" t="n"/>
      <x:c r="DH2" s="96" t="n"/>
      <x:c r="DI2" s="96" t="n"/>
      <x:c r="DJ2" s="96" t="n"/>
      <x:c r="DK2" s="96" t="n"/>
      <x:c r="DL2" s="96" t="n"/>
      <x:c r="DM2" s="96" t="n"/>
      <x:c r="DN2" s="96" t="n"/>
      <x:c r="DO2" s="96" t="n"/>
      <x:c r="DP2" s="96" t="n"/>
      <x:c r="DQ2" s="96" t="n"/>
      <x:c r="DR2" s="96" t="n"/>
      <x:c r="DS2" s="96" t="n"/>
      <x:c r="DT2" s="96" t="n"/>
      <x:c r="DU2" s="96" t="n"/>
      <x:c r="DV2" s="96" t="n"/>
      <x:c r="DW2" s="96" t="n"/>
      <x:c r="DX2" s="96" t="n"/>
      <x:c r="DY2" s="96" t="n"/>
      <x:c r="DZ2" s="96" t="n"/>
      <x:c r="EA2" s="96" t="n"/>
      <x:c r="EB2" s="96" t="n"/>
      <x:c r="EC2" s="96" t="n"/>
      <x:c r="ED2" s="96" t="n"/>
      <x:c r="EE2" s="96" t="n"/>
      <x:c r="EF2" s="96" t="n"/>
      <x:c r="EG2" s="96" t="n"/>
      <x:c r="EH2" s="96" t="n"/>
      <x:c r="EI2" s="96" t="n"/>
      <x:c r="EJ2" s="96" t="n"/>
      <x:c r="EK2" s="96" t="n"/>
      <x:c r="EL2" s="96" t="n"/>
      <x:c r="EM2" s="96" t="n"/>
      <x:c r="EN2" s="96" t="n"/>
      <x:c r="EO2" s="96" t="n"/>
      <x:c r="EP2" s="96" t="n"/>
      <x:c r="EQ2" s="96" t="n"/>
      <x:c r="ER2" s="96" t="n"/>
      <x:c r="ES2" s="96" t="n"/>
      <x:c r="ET2" s="96" t="n"/>
      <x:c r="EU2" s="96" t="n"/>
      <x:c r="EV2" s="96" t="n"/>
      <x:c r="EW2" s="96" t="n"/>
      <x:c r="EX2" s="96" t="n"/>
      <x:c r="EY2" s="96" t="n"/>
      <x:c r="EZ2" s="96" t="n"/>
      <x:c r="FA2" s="96" t="n"/>
      <x:c r="FB2" s="96" t="n"/>
      <x:c r="FC2" s="96" t="n"/>
      <x:c r="FD2" s="96" t="n"/>
      <x:c r="FE2" s="96" t="n"/>
      <x:c r="FF2" s="96" t="n"/>
      <x:c r="FG2" s="96" t="n"/>
      <x:c r="FH2" s="96" t="n"/>
      <x:c r="FI2" s="96" t="n"/>
      <x:c r="FJ2" s="96" t="n"/>
      <x:c r="FK2" s="96" t="n"/>
      <x:c r="FL2" s="96" t="n"/>
      <x:c r="FM2" s="96" t="n"/>
      <x:c r="FN2" s="96" t="n"/>
      <x:c r="FO2" s="96" t="n"/>
      <x:c r="FP2" s="96" t="n"/>
      <x:c r="FQ2" s="96" t="n"/>
      <x:c r="FR2" s="96" t="n"/>
      <x:c r="FS2" s="96" t="n"/>
      <x:c r="FT2" s="96" t="n"/>
      <x:c r="FU2" s="96" t="n"/>
      <x:c r="FV2" s="96" t="n"/>
      <x:c r="FW2" s="96" t="n"/>
      <x:c r="FX2" s="59" t="n"/>
      <x:c r="FY2" s="59" t="n"/>
      <x:c r="FZ2" s="59" t="n"/>
    </x:row>
    <x:row r="3" s="62" customFormat="1" ht="23.100000381469727" customHeight="1">
      <x:c r="A3" s="619" t="n"/>
      <x:c r="B3" s="620" t="inlineStr">
        <x:is>
          <x:t xml:space="preserve">DESCRIPTION</x:t>
        </x:is>
      </x:c>
      <x:c r="C3" s="593" t="n"/>
      <x:c r="D3" s="621" t="n"/>
      <x:c r="E3" s="622" t="inlineStr">
        <x:is>
          <x:t xml:space="preserve">Book / Page </x:t>
        </x:is>
      </x:c>
      <x:c r="F3" s="618" t="n"/>
      <x:c r="G3" s="63" t="n"/>
      <x:c r="H3" s="6" t="inlineStr">
        <x:is>
          <x:t xml:space="preserve">PAT6/7</x:t>
        </x:is>
      </x:c>
      <x:c r="I3" s="6" t="inlineStr">
        <x:is>
          <x:t xml:space="preserve">D19/268</x:t>
        </x:is>
      </x:c>
      <x:c r="J3" s="6" t="inlineStr">
        <x:is>
          <x:t xml:space="preserve">MIS22/628</x:t>
        </x:is>
      </x:c>
      <x:c r="K3" s="6" t="inlineStr">
        <x:is>
          <x:t xml:space="preserve">D63/97</x:t>
        </x:is>
      </x:c>
      <x:c r="L3" s="6" t="inlineStr">
        <x:is>
          <x:t xml:space="preserve">D59/410</x:t>
        </x:is>
      </x:c>
      <x:c r="M3" s="6" t="inlineStr">
        <x:is>
          <x:t xml:space="preserve">D67/154</x:t>
        </x:is>
      </x:c>
      <x:c r="N3" s="6" t="inlineStr">
        <x:is>
          <x:t xml:space="preserve">MIS47/164</x:t>
        </x:is>
      </x:c>
      <x:c r="O3" s="6" t="inlineStr">
        <x:is>
          <x:t xml:space="preserve">MIS47/169</x:t>
        </x:is>
      </x:c>
      <x:c r="P3" s="6" t="inlineStr">
        <x:is>
          <x:t xml:space="preserve">MIS47/558</x:t>
        </x:is>
      </x:c>
      <x:c r="Q3" s="6" t="inlineStr">
        <x:is>
          <x:t xml:space="preserve">MIS47/559</x:t>
        </x:is>
      </x:c>
      <x:c r="R3" s="6" t="inlineStr">
        <x:is>
          <x:t xml:space="preserve">163/565</x:t>
        </x:is>
      </x:c>
      <x:c r="S3" s="6" t="inlineStr">
        <x:is>
          <x:t xml:space="preserve">164/66</x:t>
        </x:is>
      </x:c>
      <x:c r="T3" s="6" t="inlineStr">
        <x:is>
          <x:t xml:space="preserve">165/87</x:t>
        </x:is>
      </x:c>
      <x:c r="U3" s="6" t="inlineStr">
        <x:is>
          <x:t xml:space="preserve">176/144</x:t>
        </x:is>
      </x:c>
      <x:c r="V3" s="6" t="inlineStr">
        <x:is>
          <x:t xml:space="preserve">341/154</x:t>
        </x:is>
      </x:c>
      <x:c r="W3" s="6" t="inlineStr">
        <x:is>
          <x:t xml:space="preserve">341/155</x:t>
        </x:is>
      </x:c>
      <x:c r="X3" s="6" t="inlineStr">
        <x:is>
          <x:t xml:space="preserve">432/110</x:t>
        </x:is>
      </x:c>
      <x:c r="Y3" s="6" t="inlineStr">
        <x:is>
          <x:t xml:space="preserve">710/34</x:t>
        </x:is>
      </x:c>
      <x:c r="Z3" s="6" t="inlineStr">
        <x:is>
          <x:t xml:space="preserve">781/183</x:t>
        </x:is>
      </x:c>
      <x:c r="AA3" s="6" t="inlineStr">
        <x:is>
          <x:t xml:space="preserve">998/204</x:t>
        </x:is>
      </x:c>
      <x:c r="AB3" s="118" t="inlineStr">
        <x:is>
          <x:t xml:space="preserve">1100/48</x:t>
        </x:is>
      </x:c>
      <x:c r="AC3" s="118" t="inlineStr">
        <x:is>
          <x:t xml:space="preserve">1126/98</x:t>
        </x:is>
      </x:c>
      <x:c r="AD3" s="6" t="inlineStr">
        <x:is>
          <x:t xml:space="preserve">1128/39</x:t>
        </x:is>
      </x:c>
      <x:c r="AE3" s="6" t="inlineStr">
        <x:is>
          <x:t xml:space="preserve">1131/89</x:t>
        </x:is>
      </x:c>
      <x:c r="AF3" s="6" t="inlineStr">
        <x:is>
          <x:t xml:space="preserve">1140/26</x:t>
        </x:is>
      </x:c>
      <x:c r="AG3" s="6" t="inlineStr">
        <x:is>
          <x:t xml:space="preserve">1147/242</x:t>
        </x:is>
      </x:c>
      <x:c r="AH3" s="6" t="inlineStr">
        <x:is>
          <x:t xml:space="preserve">1151/107</x:t>
        </x:is>
      </x:c>
      <x:c r="AI3" s="6" t="inlineStr">
        <x:is>
          <x:t xml:space="preserve">1159/224</x:t>
        </x:is>
      </x:c>
      <x:c r="AJ3" s="6" t="inlineStr">
        <x:is>
          <x:t xml:space="preserve">1159/225</x:t>
        </x:is>
      </x:c>
      <x:c r="AK3" s="6" t="inlineStr">
        <x:is>
          <x:t xml:space="preserve">1176/54</x:t>
        </x:is>
      </x:c>
      <x:c r="AL3" s="118" t="inlineStr">
        <x:is>
          <x:t xml:space="preserve">1267/168</x:t>
        </x:is>
      </x:c>
      <x:c r="AM3" s="5" t="inlineStr">
        <x:is>
          <x:t xml:space="preserve">1274/277</x:t>
        </x:is>
      </x:c>
      <x:c r="AN3" s="118" t="inlineStr">
        <x:is>
          <x:t xml:space="preserve">1324/22</x:t>
        </x:is>
      </x:c>
      <x:c r="AO3" s="118" t="inlineStr">
        <x:is>
          <x:t xml:space="preserve">1422/9</x:t>
        </x:is>
      </x:c>
      <x:c r="AP3" s="107" t="inlineStr">
        <x:is>
          <x:t xml:space="preserve">1457/173</x:t>
        </x:is>
      </x:c>
      <x:c r="AQ3" s="107" t="inlineStr">
        <x:is>
          <x:t xml:space="preserve">1611/503</x:t>
        </x:is>
      </x:c>
      <x:c r="AR3" s="108" t="inlineStr">
        <x:is>
          <x:t xml:space="preserve">1637/26</x:t>
        </x:is>
      </x:c>
      <x:c r="AS3" s="107" t="inlineStr">
        <x:is>
          <x:t xml:space="preserve">1639/206</x:t>
        </x:is>
      </x:c>
      <x:c r="AT3" s="107" t="inlineStr">
        <x:is>
          <x:t xml:space="preserve">1639/426</x:t>
        </x:is>
      </x:c>
      <x:c r="AU3" s="96" t="inlineStr">
        <x:is>
          <x:t xml:space="preserve">1643/389</x:t>
        </x:is>
      </x:c>
      <x:c r="AV3" s="96" t="inlineStr">
        <x:is>
          <x:t xml:space="preserve">1695/238</x:t>
        </x:is>
      </x:c>
      <x:c r="AW3" s="96" t="inlineStr">
        <x:is>
          <x:t xml:space="preserve">1728/457</x:t>
        </x:is>
      </x:c>
      <x:c r="AX3" s="96" t="inlineStr">
        <x:is>
          <x:t xml:space="preserve">1724/582</x:t>
        </x:is>
      </x:c>
      <x:c r="AY3" s="96" t="inlineStr">
        <x:is>
          <x:t xml:space="preserve">1734/14</x:t>
        </x:is>
      </x:c>
      <x:c r="AZ3" s="96" t="inlineStr">
        <x:is>
          <x:t xml:space="preserve">1765/306</x:t>
        </x:is>
      </x:c>
      <x:c r="BA3" s="96" t="inlineStr">
        <x:is>
          <x:t xml:space="preserve">1774/309</x:t>
        </x:is>
      </x:c>
      <x:c r="BB3" s="96" t="inlineStr">
        <x:is>
          <x:t xml:space="preserve">1812/138</x:t>
        </x:is>
      </x:c>
      <x:c r="BC3" s="96" t="inlineStr">
        <x:is>
          <x:t xml:space="preserve">1819/157</x:t>
        </x:is>
      </x:c>
      <x:c r="BD3" s="96" t="inlineStr">
        <x:is>
          <x:t xml:space="preserve">1872/277</x:t>
        </x:is>
      </x:c>
      <x:c r="BE3" s="96" t="inlineStr">
        <x:is>
          <x:t xml:space="preserve">2063/491</x:t>
        </x:is>
      </x:c>
      <x:c r="BF3" s="96" t="inlineStr">
        <x:is>
          <x:t xml:space="preserve">2063/494</x:t>
        </x:is>
      </x:c>
      <x:c r="BG3" s="96" t="inlineStr">
        <x:is>
          <x:t xml:space="preserve">2063/497</x:t>
        </x:is>
      </x:c>
      <x:c r="BH3" s="96" t="inlineStr">
        <x:is>
          <x:t xml:space="preserve">2106/387</x:t>
        </x:is>
      </x:c>
      <x:c r="BI3" s="96" t="inlineStr">
        <x:is>
          <x:t xml:space="preserve">2141/3</x:t>
        </x:is>
      </x:c>
      <x:c r="BJ3" s="96" t="inlineStr">
        <x:is>
          <x:t xml:space="preserve">2177/33</x:t>
        </x:is>
      </x:c>
      <x:c r="BK3" s="96" t="inlineStr">
        <x:is>
          <x:t xml:space="preserve">2251/529</x:t>
        </x:is>
      </x:c>
      <x:c r="BL3" s="96" t="inlineStr">
        <x:is>
          <x:t xml:space="preserve">2273/223</x:t>
        </x:is>
      </x:c>
      <x:c r="BM3" s="96" t="inlineStr">
        <x:is>
          <x:t xml:space="preserve">2406/228</x:t>
        </x:is>
      </x:c>
      <x:c r="BN3" s="96" t="inlineStr">
        <x:is>
          <x:t xml:space="preserve">2700/395</x:t>
        </x:is>
      </x:c>
      <x:c r="BO3" s="96" t="inlineStr">
        <x:is>
          <x:t xml:space="preserve">2450/598</x:t>
        </x:is>
      </x:c>
      <x:c r="BP3" s="96" t="inlineStr">
        <x:is>
          <x:t xml:space="preserve">2467/476</x:t>
        </x:is>
      </x:c>
      <x:c r="BQ3" s="96" t="inlineStr">
        <x:is>
          <x:t xml:space="preserve">2617/228</x:t>
        </x:is>
      </x:c>
      <x:c r="BR3" s="96" t="inlineStr">
        <x:is>
          <x:t xml:space="preserve">2682/183</x:t>
        </x:is>
      </x:c>
      <x:c r="BS3" s="96" t="inlineStr">
        <x:is>
          <x:t xml:space="preserve">D31/637</x:t>
        </x:is>
      </x:c>
      <x:c r="BT3" s="96" t="inlineStr">
        <x:is>
          <x:t xml:space="preserve">D43/608</x:t>
        </x:is>
      </x:c>
      <x:c r="BU3" s="96" t="inlineStr">
        <x:is>
          <x:t xml:space="preserve">1510/566</x:t>
        </x:is>
      </x:c>
      <x:c r="BV3" s="96" t="inlineStr">
        <x:is>
          <x:t xml:space="preserve">D55/254</x:t>
        </x:is>
      </x:c>
      <x:c r="BW3" s="96" t="inlineStr">
        <x:is>
          <x:t xml:space="preserve">D59/246</x:t>
        </x:is>
      </x:c>
      <x:c r="BX3" s="96" t="inlineStr">
        <x:is>
          <x:t xml:space="preserve">D59/251</x:t>
        </x:is>
      </x:c>
      <x:c r="BY3" s="96" t="inlineStr">
        <x:is>
          <x:t xml:space="preserve">1511/32</x:t>
        </x:is>
      </x:c>
      <x:c r="BZ3" s="96" t="inlineStr">
        <x:is>
          <x:t xml:space="preserve">1634/367</x:t>
        </x:is>
      </x:c>
      <x:c r="CA3" s="96" t="inlineStr">
        <x:is>
          <x:t xml:space="preserve">1637/476</x:t>
        </x:is>
      </x:c>
      <x:c r="CB3" s="96" t="n"/>
      <x:c r="CC3" s="96" t="n"/>
      <x:c r="CD3" s="96" t="n"/>
      <x:c r="CE3" s="96" t="n"/>
      <x:c r="CF3" s="96" t="n"/>
      <x:c r="CG3" s="96" t="n"/>
      <x:c r="CH3" s="96" t="n"/>
      <x:c r="CI3" s="96" t="n"/>
      <x:c r="CJ3" s="96" t="n"/>
      <x:c r="CK3" s="96" t="n"/>
      <x:c r="CL3" s="96" t="n"/>
      <x:c r="CM3" s="96" t="n"/>
      <x:c r="CN3" s="96" t="n"/>
      <x:c r="CO3" s="96" t="n"/>
      <x:c r="CP3" s="96" t="n"/>
      <x:c r="CQ3" s="96" t="n"/>
      <x:c r="CR3" s="96" t="n"/>
      <x:c r="CS3" s="96" t="n"/>
      <x:c r="CT3" s="96" t="n"/>
      <x:c r="CU3" s="96" t="n"/>
      <x:c r="CV3" s="96" t="n"/>
      <x:c r="CW3" s="96" t="n"/>
      <x:c r="CX3" s="96" t="n"/>
      <x:c r="CY3" s="96" t="n"/>
      <x:c r="CZ3" s="96" t="n"/>
      <x:c r="DA3" s="96" t="n"/>
      <x:c r="DB3" s="96" t="n"/>
      <x:c r="DC3" s="96" t="n"/>
      <x:c r="DD3" s="96" t="n"/>
      <x:c r="DE3" s="96" t="n"/>
      <x:c r="DF3" s="96" t="n"/>
      <x:c r="DG3" s="96" t="n"/>
      <x:c r="DH3" s="96" t="n"/>
      <x:c r="DI3" s="96" t="n"/>
      <x:c r="DJ3" s="96" t="n"/>
      <x:c r="DK3" s="96" t="n"/>
      <x:c r="DL3" s="96" t="n"/>
      <x:c r="DM3" s="96" t="n"/>
      <x:c r="DN3" s="96" t="n"/>
      <x:c r="DO3" s="96" t="n"/>
      <x:c r="DP3" s="96" t="n"/>
      <x:c r="DQ3" s="96" t="n"/>
      <x:c r="DR3" s="96" t="n"/>
      <x:c r="DS3" s="96" t="n"/>
      <x:c r="DT3" s="96" t="n"/>
      <x:c r="DU3" s="96" t="n"/>
      <x:c r="DV3" s="96" t="n"/>
      <x:c r="DW3" s="96" t="n"/>
      <x:c r="DX3" s="96" t="n"/>
      <x:c r="DY3" s="96" t="n"/>
      <x:c r="DZ3" s="96" t="n"/>
      <x:c r="EA3" s="96" t="n"/>
      <x:c r="EB3" s="96" t="n"/>
      <x:c r="EC3" s="96" t="n"/>
      <x:c r="ED3" s="96" t="n"/>
      <x:c r="EE3" s="96" t="n"/>
      <x:c r="EF3" s="96" t="n"/>
      <x:c r="EG3" s="96" t="n"/>
      <x:c r="EH3" s="96" t="n"/>
      <x:c r="EI3" s="96" t="n"/>
      <x:c r="EJ3" s="96" t="n"/>
      <x:c r="EK3" s="96" t="n"/>
      <x:c r="EL3" s="96" t="n"/>
      <x:c r="EM3" s="96" t="n"/>
      <x:c r="EN3" s="96" t="n"/>
      <x:c r="EO3" s="96" t="n"/>
      <x:c r="EP3" s="96" t="n"/>
      <x:c r="EQ3" s="96" t="n"/>
      <x:c r="ER3" s="96" t="n"/>
      <x:c r="ES3" s="96" t="n"/>
      <x:c r="ET3" s="96" t="n"/>
      <x:c r="EU3" s="96" t="n"/>
      <x:c r="EV3" s="96" t="n"/>
      <x:c r="EW3" s="96" t="n"/>
      <x:c r="EX3" s="96" t="n"/>
      <x:c r="EY3" s="96" t="n"/>
      <x:c r="EZ3" s="96" t="n"/>
      <x:c r="FA3" s="96" t="n"/>
      <x:c r="FB3" s="96" t="n"/>
      <x:c r="FC3" s="96" t="n"/>
      <x:c r="FD3" s="96" t="n"/>
      <x:c r="FE3" s="96" t="n"/>
      <x:c r="FF3" s="96" t="n"/>
      <x:c r="FG3" s="96" t="n"/>
      <x:c r="FH3" s="96" t="n"/>
      <x:c r="FI3" s="96" t="n"/>
      <x:c r="FJ3" s="96" t="n"/>
      <x:c r="FK3" s="96" t="n"/>
      <x:c r="FL3" s="96" t="n"/>
      <x:c r="FM3" s="96" t="n"/>
      <x:c r="FN3" s="96" t="n"/>
      <x:c r="FO3" s="96" t="n"/>
      <x:c r="FP3" s="96" t="n"/>
      <x:c r="FQ3" s="96" t="n"/>
      <x:c r="FR3" s="96" t="n"/>
      <x:c r="FS3" s="96" t="n"/>
      <x:c r="FT3" s="96" t="n"/>
      <x:c r="FU3" s="96" t="n"/>
      <x:c r="FV3" s="96" t="n"/>
      <x:c r="FW3" s="96" t="n"/>
      <x:c r="FX3" s="59" t="n"/>
      <x:c r="FY3" s="59" t="n"/>
      <x:c r="FZ3" s="59" t="n"/>
    </x:row>
    <x:row r="4" s="62" customFormat="1" ht="12.75" customHeight="1">
      <x:c r="A4" s="619" t="n"/>
      <x:c r="B4" s="623" t="n"/>
      <x:c r="C4" s="593" t="n"/>
      <x:c r="D4" s="644" t="n"/>
      <x:c r="E4" s="491" t="inlineStr">
        <x:is>
          <x:t xml:space="preserve">Date </x:t>
        </x:is>
      </x:c>
      <x:c r="F4" s="618" t="n"/>
      <x:c r="G4" s="60" t="n"/>
      <x:c r="H4" s="5" t="n">
        <x:v>3652</x:v>
      </x:c>
      <x:c r="I4" s="5" t="n">
        <x:v>4759</x:v>
      </x:c>
      <x:c r="J4" s="5" t="n">
        <x:v>16439</x:v>
      </x:c>
      <x:c r="K4" s="5" t="n">
        <x:v>18170</x:v>
      </x:c>
      <x:c r="L4" s="5" t="n">
        <x:v>18420</x:v>
      </x:c>
      <x:c r="M4" s="5" t="n">
        <x:v>19396</x:v>
      </x:c>
      <x:c r="N4" s="5" t="n">
        <x:v>22906</x:v>
      </x:c>
      <x:c r="O4" s="5" t="n">
        <x:v>22906</x:v>
      </x:c>
      <x:c r="P4" s="5" t="n">
        <x:v>22938</x:v>
      </x:c>
      <x:c r="Q4" s="5" t="n">
        <x:v>22938</x:v>
      </x:c>
      <x:c r="R4" s="5" t="n">
        <x:v>27163</x:v>
      </x:c>
      <x:c r="S4" s="5" t="n">
        <x:v>27171</x:v>
      </x:c>
      <x:c r="T4" s="5" t="n">
        <x:v>27207</x:v>
      </x:c>
      <x:c r="U4" s="5" t="n">
        <x:v>27481</x:v>
      </x:c>
      <x:c r="V4" s="5" t="n">
        <x:v>29714</x:v>
      </x:c>
      <x:c r="W4" s="5" t="n">
        <x:v>29714</x:v>
      </x:c>
      <x:c r="X4" s="5" t="n">
        <x:v>30054</x:v>
      </x:c>
      <x:c r="Y4" s="5" t="n">
        <x:v>31158</x:v>
      </x:c>
      <x:c r="Z4" s="5" t="n">
        <x:v>31418</x:v>
      </x:c>
      <x:c r="AA4" s="5" t="n">
        <x:v>32405</x:v>
      </x:c>
      <x:c r="AB4" s="120" t="n">
        <x:v>32847</x:v>
      </x:c>
      <x:c r="AC4" s="120" t="n">
        <x:v>32969</x:v>
      </x:c>
      <x:c r="AD4" s="5" t="n">
        <x:v>32975</x:v>
      </x:c>
      <x:c r="AE4" s="5" t="n">
        <x:v>32993</x:v>
      </x:c>
      <x:c r="AF4" s="5" t="n">
        <x:v>33025</x:v>
      </x:c>
      <x:c r="AG4" s="5" t="n">
        <x:v>33059</x:v>
      </x:c>
      <x:c r="AH4" s="5" t="n">
        <x:v>33073</x:v>
      </x:c>
      <x:c r="AI4" s="5" t="n">
        <x:v>33114</x:v>
      </x:c>
      <x:c r="AJ4" s="5" t="n">
        <x:v>33114</x:v>
      </x:c>
      <x:c r="AK4" s="5" t="n">
        <x:v>33205</x:v>
      </x:c>
      <x:c r="AL4" s="120" t="n">
        <x:v>33693</x:v>
      </x:c>
      <x:c r="AM4" s="5" t="n">
        <x:v>33737</x:v>
      </x:c>
      <x:c r="AN4" s="120" t="n">
        <x:v>34032</x:v>
      </x:c>
      <x:c r="AO4" s="120" t="n">
        <x:v>34542</x:v>
      </x:c>
      <x:c r="AP4" s="108" t="n">
        <x:v>34754</x:v>
      </x:c>
      <x:c r="AQ4" s="108" t="n">
        <x:v>36647</x:v>
      </x:c>
      <x:c r="AR4" s="108" t="n">
        <x:v>36922</x:v>
      </x:c>
      <x:c r="AS4" s="108" t="n">
        <x:v>36957</x:v>
      </x:c>
      <x:c r="AT4" s="108" t="n">
        <x:v>36963</x:v>
      </x:c>
      <x:c r="AU4" s="97" t="n">
        <x:v>37014</x:v>
      </x:c>
      <x:c r="AV4" s="97" t="n">
        <x:v>37586</x:v>
      </x:c>
      <x:c r="AW4" s="97" t="n">
        <x:v>37802</x:v>
      </x:c>
      <x:c r="AX4" s="97" t="n">
        <x:v>37848</x:v>
      </x:c>
      <x:c r="AY4" s="97" t="n">
        <x:v>37990</x:v>
      </x:c>
      <x:c r="AZ4" s="97" t="n">
        <x:v>38275</x:v>
      </x:c>
      <x:c r="BA4" s="97" t="n">
        <x:v>38362</x:v>
      </x:c>
      <x:c r="BB4" s="97" t="n">
        <x:v>38650</x:v>
      </x:c>
      <x:c r="BC4" s="97" t="n">
        <x:v>38699</x:v>
      </x:c>
      <x:c r="BD4" s="97" t="n">
        <x:v>39162</x:v>
      </x:c>
      <x:c r="BE4" s="97" t="n">
        <x:v>40577</x:v>
      </x:c>
      <x:c r="BF4" s="97" t="n">
        <x:v>40577</x:v>
      </x:c>
      <x:c r="BG4" s="97" t="n">
        <x:v>40583</x:v>
      </x:c>
      <x:c r="BH4" s="97" t="n">
        <x:v>40876</x:v>
      </x:c>
      <x:c r="BI4" s="97" t="n">
        <x:v>41059</x:v>
      </x:c>
      <x:c r="BJ4" s="97" t="n">
        <x:v>41290</x:v>
      </x:c>
      <x:c r="BK4" s="97" t="n">
        <x:v>41746</x:v>
      </x:c>
      <x:c r="BL4" s="97" t="n">
        <x:v>41926</x:v>
      </x:c>
      <x:c r="BM4" s="97" t="n">
        <x:v>43363</x:v>
      </x:c>
      <x:c r="BN4" s="97" t="n">
        <x:v>43500</x:v>
      </x:c>
      <x:c r="BO4" s="97" t="n">
        <x:v>44071</x:v>
      </x:c>
      <x:c r="BP4" s="97" t="n">
        <x:v>44348</x:v>
      </x:c>
      <x:c r="BQ4" s="97" t="n">
        <x:v>45726</x:v>
      </x:c>
      <x:c r="BR4" s="97" t="n">
        <x:v>45971</x:v>
      </x:c>
      <x:c r="BS4" s="97" t="n">
        <x:v>7905</x:v>
      </x:c>
      <x:c r="BT4" s="97" t="n">
        <x:v>11290</x:v>
      </x:c>
      <x:c r="BU4" s="97" t="n">
        <x:v>35430</x:v>
      </x:c>
      <x:c r="BV4" s="97" t="n">
        <x:v>16434</x:v>
      </x:c>
      <x:c r="BW4" s="97" t="n">
        <x:v>18015</x:v>
      </x:c>
      <x:c r="BX4" s="97" t="n">
        <x:v>17950</x:v>
      </x:c>
      <x:c r="BY4" s="97" t="n">
        <x:v>35432</x:v>
      </x:c>
      <x:c r="BZ4" s="97" t="n">
        <x:v>36881</x:v>
      </x:c>
      <x:c r="CA4" s="97" t="n">
        <x:v>36955</x:v>
      </x:c>
      <x:c r="CB4" s="97" t="n"/>
      <x:c r="CC4" s="97" t="n"/>
      <x:c r="CD4" s="97" t="n"/>
      <x:c r="CE4" s="97" t="n"/>
      <x:c r="CF4" s="97" t="n"/>
      <x:c r="CG4" s="97" t="n"/>
      <x:c r="CH4" s="97" t="n"/>
      <x:c r="CI4" s="97" t="n"/>
      <x:c r="CJ4" s="97" t="n"/>
      <x:c r="CK4" s="97" t="n"/>
      <x:c r="CL4" s="97" t="n"/>
      <x:c r="CM4" s="97" t="n"/>
      <x:c r="CN4" s="97" t="n"/>
      <x:c r="CO4" s="97" t="n"/>
      <x:c r="CP4" s="97" t="n"/>
      <x:c r="CQ4" s="97" t="n"/>
      <x:c r="CR4" s="97" t="n"/>
      <x:c r="CS4" s="97" t="n"/>
      <x:c r="CT4" s="97" t="n"/>
      <x:c r="CU4" s="97" t="n"/>
      <x:c r="CV4" s="97" t="n"/>
      <x:c r="CW4" s="97" t="n"/>
      <x:c r="CX4" s="97" t="n"/>
      <x:c r="CY4" s="97" t="n"/>
      <x:c r="CZ4" s="97" t="n"/>
      <x:c r="DA4" s="97" t="n"/>
      <x:c r="DB4" s="97" t="n"/>
      <x:c r="DC4" s="97" t="n"/>
      <x:c r="DD4" s="97" t="n"/>
      <x:c r="DE4" s="97" t="n"/>
      <x:c r="DF4" s="97" t="n"/>
      <x:c r="DG4" s="97" t="n"/>
      <x:c r="DH4" s="97" t="n"/>
      <x:c r="DI4" s="97" t="n"/>
      <x:c r="DJ4" s="97" t="n"/>
      <x:c r="DK4" s="97" t="n"/>
      <x:c r="DL4" s="97" t="n"/>
      <x:c r="DM4" s="97" t="n"/>
      <x:c r="DN4" s="97" t="n"/>
      <x:c r="DO4" s="97" t="n"/>
      <x:c r="DP4" s="97" t="n"/>
      <x:c r="DQ4" s="97" t="n"/>
      <x:c r="DR4" s="97" t="n"/>
      <x:c r="DS4" s="97" t="n"/>
      <x:c r="DT4" s="97" t="n"/>
      <x:c r="DU4" s="97" t="n"/>
      <x:c r="DV4" s="97" t="n"/>
      <x:c r="DW4" s="97" t="n"/>
      <x:c r="DX4" s="97" t="n"/>
      <x:c r="DY4" s="97" t="n"/>
      <x:c r="DZ4" s="97" t="n"/>
      <x:c r="EA4" s="97" t="n"/>
      <x:c r="EB4" s="97" t="n"/>
      <x:c r="EC4" s="97" t="n"/>
      <x:c r="ED4" s="97" t="n"/>
      <x:c r="EE4" s="97" t="n"/>
      <x:c r="EF4" s="97" t="n"/>
      <x:c r="EG4" s="97" t="n"/>
      <x:c r="EH4" s="97" t="n"/>
      <x:c r="EI4" s="97" t="n"/>
      <x:c r="EJ4" s="97" t="n"/>
      <x:c r="EK4" s="97" t="n"/>
      <x:c r="EL4" s="97" t="n"/>
      <x:c r="EM4" s="97" t="n"/>
      <x:c r="EN4" s="97" t="n"/>
      <x:c r="EO4" s="97" t="n"/>
      <x:c r="EP4" s="97" t="n"/>
      <x:c r="EQ4" s="97" t="n"/>
      <x:c r="ER4" s="97" t="n"/>
      <x:c r="ES4" s="97" t="n"/>
      <x:c r="ET4" s="97" t="n"/>
      <x:c r="EU4" s="97" t="n"/>
      <x:c r="EV4" s="97" t="n"/>
      <x:c r="EW4" s="97" t="n"/>
      <x:c r="EX4" s="97" t="n"/>
      <x:c r="EY4" s="97" t="n"/>
      <x:c r="EZ4" s="97" t="n"/>
      <x:c r="FA4" s="97" t="n"/>
      <x:c r="FB4" s="97" t="n"/>
      <x:c r="FC4" s="97" t="n"/>
      <x:c r="FD4" s="97" t="n"/>
      <x:c r="FE4" s="97" t="n"/>
      <x:c r="FF4" s="97" t="n"/>
      <x:c r="FG4" s="97" t="n"/>
      <x:c r="FH4" s="97" t="n"/>
      <x:c r="FI4" s="97" t="n"/>
      <x:c r="FJ4" s="97" t="n"/>
      <x:c r="FK4" s="97" t="n"/>
      <x:c r="FL4" s="97" t="n"/>
      <x:c r="FM4" s="97" t="n"/>
      <x:c r="FN4" s="97" t="n"/>
      <x:c r="FO4" s="97" t="n"/>
      <x:c r="FP4" s="97" t="n"/>
      <x:c r="FQ4" s="97" t="n"/>
      <x:c r="FR4" s="97" t="n"/>
      <x:c r="FS4" s="97" t="n"/>
      <x:c r="FT4" s="97" t="n"/>
      <x:c r="FU4" s="97" t="n"/>
      <x:c r="FV4" s="97" t="n"/>
      <x:c r="FW4" s="97" t="n"/>
      <x:c r="FX4" s="58" t="n"/>
      <x:c r="FY4" s="58" t="n"/>
      <x:c r="FZ4" s="58" t="n"/>
      <x:c r="GA4" s="57" t="n"/>
    </x:row>
    <x:row r="5" s="57" customFormat="1" ht="27.75" customHeight="1">
      <x:c r="A5" s="619" t="n"/>
      <x:c r="B5" s="625" t="inlineStr">
        <x:is>
          <x:t xml:space="preserve">TRACT ACRES</x:t>
        </x:is>
      </x:c>
      <x:c r="C5" s="626" t="n"/>
      <x:c r="D5" s="65" t="n">
        <x:v>40</x:v>
      </x:c>
      <x:c r="E5" s="627" t="inlineStr">
        <x:is>
          <x:t xml:space="preserve">Conveyance </x:t>
        </x:is>
      </x:c>
      <x:c r="F5" s="628" t="n"/>
      <x:c r="G5" s="60" t="n"/>
      <x:c r="H5" s="118" t="inlineStr">
        <x:is>
          <x:t xml:space="preserve">ARTI</x:t>
        </x:is>
      </x:c>
      <x:c r="I5" s="118" t="inlineStr">
        <x:is>
          <x:t xml:space="preserve">ARTI</x:t>
        </x:is>
      </x:c>
      <x:c r="J5" s="118" t="inlineStr">
        <x:is>
          <x:t xml:space="preserve">ARTI</x:t>
        </x:is>
      </x:c>
      <x:c r="K5" s="118" t="inlineStr">
        <x:is>
          <x:t xml:space="preserve">21.538462 NMA</x:t>
        </x:is>
      </x:c>
      <x:c r="L5" s="118" t="inlineStr">
        <x:is>
          <x:t xml:space="preserve">ARTI</x:t>
        </x:is>
      </x:c>
      <x:c r="M5" s="118" t="inlineStr">
        <x:is>
          <x:t xml:space="preserve">ARTI</x:t>
        </x:is>
      </x:c>
      <x:c r="N5" s="118" t="inlineStr">
        <x:is>
          <x:t xml:space="preserve">286.110629 NMA</x:t>
        </x:is>
      </x:c>
      <x:c r="O5" s="118" t="inlineStr">
        <x:is>
          <x:t xml:space="preserve">209.814462 NMA</x:t>
        </x:is>
      </x:c>
      <x:c r="P5" s="118" t="inlineStr">
        <x:is>
          <x:t xml:space="preserve">38.148084 NMA</x:t>
        </x:is>
      </x:c>
      <x:c r="Q5" s="118" t="inlineStr">
        <x:is>
          <x:t xml:space="preserve">38.148084 NMA</x:t>
        </x:is>
      </x:c>
      <x:c r="R5" s="118" t="inlineStr">
        <x:is>
          <x:t xml:space="preserve">64.615385 NMA</x:t>
        </x:is>
      </x:c>
      <x:c r="S5" s="118" t="inlineStr">
        <x:is>
          <x:t xml:space="preserve">43.076923 NMA</x:t>
        </x:is>
      </x:c>
      <x:c r="T5" s="118" t="inlineStr">
        <x:is>
          <x:t xml:space="preserve">10.769231 NMA</x:t>
        </x:is>
      </x:c>
      <x:c r="U5" s="118" t="inlineStr">
        <x:is>
          <x:t xml:space="preserve">10.769231 NMA</x:t>
        </x:is>
      </x:c>
      <x:c r="V5" s="118" t="inlineStr">
        <x:is>
          <x:t xml:space="preserve">10.769231 NMA</x:t>
        </x:is>
      </x:c>
      <x:c r="W5" s="118" t="inlineStr">
        <x:is>
          <x:t xml:space="preserve">5.384615 NMA</x:t>
        </x:is>
      </x:c>
      <x:c r="X5" s="118" t="inlineStr">
        <x:is>
          <x:t xml:space="preserve">43.076923 NMA</x:t>
        </x:is>
      </x:c>
      <x:c r="Y5" s="118" t="inlineStr">
        <x:is>
          <x:t xml:space="preserve">ARTI</x:t>
        </x:is>
      </x:c>
      <x:c r="Z5" s="118" t="inlineStr">
        <x:is>
          <x:t xml:space="preserve">2.153846 NMA</x:t>
        </x:is>
      </x:c>
      <x:c r="AA5" s="118" t="inlineStr">
        <x:is>
          <x:t xml:space="preserve">ARTI</x:t>
        </x:is>
      </x:c>
      <x:c r="AB5" s="118" t="inlineStr">
        <x:is>
          <x:t xml:space="preserve">10.769231 NMA</x:t>
        </x:is>
      </x:c>
      <x:c r="AC5" s="118" t="inlineStr">
        <x:is>
          <x:t xml:space="preserve">ARTI</x:t>
        </x:is>
      </x:c>
      <x:c r="AD5" s="118" t="inlineStr">
        <x:is>
          <x:t xml:space="preserve">ARTI</x:t>
        </x:is>
      </x:c>
      <x:c r="AE5" s="118" t="inlineStr">
        <x:is>
          <x:t xml:space="preserve">ARTI</x:t>
        </x:is>
      </x:c>
      <x:c r="AF5" s="118" t="inlineStr">
        <x:is>
          <x:t xml:space="preserve">ARTI</x:t>
        </x:is>
      </x:c>
      <x:c r="AG5" s="118" t="inlineStr">
        <x:is>
          <x:t xml:space="preserve">ARTI</x:t>
        </x:is>
      </x:c>
      <x:c r="AH5" s="118" t="inlineStr">
        <x:is>
          <x:t xml:space="preserve">ARTI</x:t>
        </x:is>
      </x:c>
      <x:c r="AI5" s="118" t="inlineStr">
        <x:is>
          <x:t xml:space="preserve">5.384615 NMA</x:t>
        </x:is>
      </x:c>
      <x:c r="AJ5" s="118" t="inlineStr">
        <x:is>
          <x:t xml:space="preserve">ARTI</x:t>
        </x:is>
      </x:c>
      <x:c r="AK5" s="118" t="inlineStr">
        <x:is>
          <x:t xml:space="preserve">ARTI</x:t>
        </x:is>
      </x:c>
      <x:c r="AL5" s="118" t="inlineStr">
        <x:is>
          <x:t xml:space="preserve">ARTI</x:t>
        </x:is>
      </x:c>
      <x:c r="AM5" s="118" t="inlineStr">
        <x:is>
          <x:t xml:space="preserve">1.076923 NMA</x:t>
        </x:is>
      </x:c>
      <x:c r="AN5" s="118" t="inlineStr">
        <x:is>
          <x:t xml:space="preserve">Interest not stated — confirm from image.</x:t>
        </x:is>
      </x:c>
      <x:c r="AO5" s="118" t="inlineStr">
        <x:is>
          <x:t xml:space="preserve">2.153846 NMA</x:t>
        </x:is>
      </x:c>
      <x:c r="AP5" s="96" t="inlineStr">
        <x:is>
          <x:t xml:space="preserve">ARTI</x:t>
        </x:is>
      </x:c>
      <x:c r="AQ5" s="96" t="inlineStr">
        <x:is>
          <x:t xml:space="preserve">ARTI</x:t>
        </x:is>
      </x:c>
      <x:c r="AR5" s="96" t="inlineStr">
        <x:is>
          <x:t xml:space="preserve">ARTI</x:t>
        </x:is>
      </x:c>
      <x:c r="AS5" s="96" t="inlineStr">
        <x:is>
          <x:t xml:space="preserve">ARTI</x:t>
        </x:is>
      </x:c>
      <x:c r="AT5" s="96" t="inlineStr">
        <x:is>
          <x:t xml:space="preserve">ARTI</x:t>
        </x:is>
      </x:c>
      <x:c r="AU5" s="96" t="inlineStr">
        <x:is>
          <x:t xml:space="preserve">ARTI</x:t>
        </x:is>
      </x:c>
      <x:c r="AV5" s="96" t="inlineStr">
        <x:is>
          <x:t xml:space="preserve">Interest not stated — confirm from image.</x:t>
        </x:is>
      </x:c>
      <x:c r="AW5" s="96" t="inlineStr">
        <x:is>
          <x:t xml:space="preserve">ARTI</x:t>
        </x:is>
      </x:c>
      <x:c r="AX5" s="96" t="inlineStr">
        <x:is>
          <x:t xml:space="preserve">ARTI</x:t>
        </x:is>
      </x:c>
      <x:c r="AY5" s="96" t="inlineStr">
        <x:is>
          <x:t xml:space="preserve">ARTI</x:t>
        </x:is>
      </x:c>
      <x:c r="AZ5" s="96" t="inlineStr">
        <x:is>
          <x:t xml:space="preserve">ARTI</x:t>
        </x:is>
      </x:c>
      <x:c r="BA5" s="96" t="inlineStr">
        <x:is>
          <x:t xml:space="preserve">ARTI</x:t>
        </x:is>
      </x:c>
      <x:c r="BB5" s="96" t="inlineStr">
        <x:is>
          <x:t xml:space="preserve">ARTI</x:t>
        </x:is>
      </x:c>
      <x:c r="BC5" s="96" t="inlineStr">
        <x:is>
          <x:t xml:space="preserve">256.666667 NMA</x:t>
        </x:is>
      </x:c>
      <x:c r="BD5" s="96" t="inlineStr">
        <x:is>
          <x:t xml:space="preserve">ARTI</x:t>
        </x:is>
      </x:c>
      <x:c r="BE5" s="96" t="inlineStr">
        <x:is>
          <x:t xml:space="preserve">ARTI</x:t>
        </x:is>
      </x:c>
      <x:c r="BF5" s="96" t="inlineStr">
        <x:is>
          <x:t xml:space="preserve">ARTI</x:t>
        </x:is>
      </x:c>
      <x:c r="BG5" s="96" t="inlineStr">
        <x:is>
          <x:t xml:space="preserve">ARTI</x:t>
        </x:is>
      </x:c>
      <x:c r="BH5" s="96" t="inlineStr">
        <x:is>
          <x:t xml:space="preserve">0.252694 NMA</x:t>
        </x:is>
      </x:c>
      <x:c r="BI5" s="96" t="inlineStr">
        <x:is>
          <x:t xml:space="preserve">ARTI</x:t>
        </x:is>
      </x:c>
      <x:c r="BJ5" s="96" t="inlineStr">
        <x:is>
          <x:t xml:space="preserve">ARTI</x:t>
        </x:is>
      </x:c>
      <x:c r="BK5" s="96" t="inlineStr">
        <x:is>
          <x:t xml:space="preserve">118.461538 NMA</x:t>
        </x:is>
      </x:c>
      <x:c r="BL5" s="96" t="inlineStr">
        <x:is>
          <x:t xml:space="preserve">ARTI</x:t>
        </x:is>
      </x:c>
      <x:c r="BM5" s="96" t="inlineStr">
        <x:is>
          <x:t xml:space="preserve">ARTI</x:t>
        </x:is>
      </x:c>
      <x:c r="BN5" s="96" t="inlineStr">
        <x:is>
          <x:t xml:space="preserve">ARTI</x:t>
        </x:is>
      </x:c>
      <x:c r="BO5" s="96" t="inlineStr">
        <x:is>
          <x:t xml:space="preserve">ARTI</x:t>
        </x:is>
      </x:c>
      <x:c r="BP5" s="96" t="inlineStr">
        <x:is>
          <x:t xml:space="preserve">ARTI</x:t>
        </x:is>
      </x:c>
      <x:c r="BQ5" s="96" t="inlineStr">
        <x:is>
          <x:t xml:space="preserve">ARTI</x:t>
        </x:is>
      </x:c>
      <x:c r="BR5" s="96" t="inlineStr">
        <x:is>
          <x:t xml:space="preserve">ARTI</x:t>
        </x:is>
      </x:c>
      <x:c r="BS5" s="96" t="inlineStr">
        <x:is>
          <x:t xml:space="preserve">ARTI</x:t>
        </x:is>
      </x:c>
      <x:c r="BT5" s="96" t="inlineStr">
        <x:is>
          <x:t xml:space="preserve">ARTI</x:t>
        </x:is>
      </x:c>
      <x:c r="BU5" s="96" t="inlineStr">
        <x:is>
          <x:t xml:space="preserve">ARTI</x:t>
        </x:is>
      </x:c>
      <x:c r="BV5" s="96" t="inlineStr">
        <x:is>
          <x:t xml:space="preserve">ARTI</x:t>
        </x:is>
      </x:c>
      <x:c r="BW5" s="96" t="inlineStr">
        <x:is>
          <x:t xml:space="preserve">ARTI</x:t>
        </x:is>
      </x:c>
      <x:c r="BX5" s="96" t="inlineStr">
        <x:is>
          <x:t xml:space="preserve">220 NMA</x:t>
        </x:is>
      </x:c>
      <x:c r="BY5" s="96" t="inlineStr">
        <x:is>
          <x:t xml:space="preserve">ARTI</x:t>
        </x:is>
      </x:c>
      <x:c r="BZ5" s="96" t="inlineStr">
        <x:is>
          <x:t xml:space="preserve">ARTI</x:t>
        </x:is>
      </x:c>
      <x:c r="CA5" s="96" t="inlineStr">
        <x:is>
          <x:t xml:space="preserve">ARTI</x:t>
        </x:is>
      </x:c>
      <x:c r="CB5" s="96" t="n"/>
      <x:c r="CC5" s="96" t="n"/>
      <x:c r="CD5" s="96" t="n"/>
      <x:c r="CE5" s="96" t="n"/>
      <x:c r="CF5" s="96" t="n"/>
      <x:c r="CG5" s="96" t="n"/>
      <x:c r="CH5" s="96" t="n"/>
      <x:c r="CI5" s="96" t="n"/>
      <x:c r="CJ5" s="96" t="n"/>
      <x:c r="CK5" s="96" t="n"/>
      <x:c r="CL5" s="96" t="n"/>
      <x:c r="CM5" s="96" t="n"/>
      <x:c r="CN5" s="96" t="n"/>
      <x:c r="CO5" s="96" t="n"/>
      <x:c r="CP5" s="96" t="n"/>
      <x:c r="CQ5" s="96" t="n"/>
      <x:c r="CR5" s="96" t="n"/>
      <x:c r="CS5" s="96" t="n"/>
      <x:c r="CT5" s="96" t="n"/>
      <x:c r="CU5" s="96" t="n"/>
      <x:c r="CV5" s="96" t="n"/>
      <x:c r="CW5" s="96" t="n"/>
      <x:c r="CX5" s="96" t="n"/>
      <x:c r="CY5" s="96" t="n"/>
      <x:c r="CZ5" s="96" t="n"/>
      <x:c r="DA5" s="96" t="n"/>
      <x:c r="DB5" s="96" t="n"/>
      <x:c r="DC5" s="96" t="n"/>
      <x:c r="DD5" s="96" t="n"/>
      <x:c r="DE5" s="96" t="n"/>
      <x:c r="DF5" s="96" t="n"/>
      <x:c r="DG5" s="96" t="n"/>
      <x:c r="DH5" s="96" t="n"/>
      <x:c r="DI5" s="96" t="n"/>
      <x:c r="DJ5" s="96" t="n"/>
      <x:c r="DK5" s="96" t="n"/>
      <x:c r="DL5" s="96" t="n"/>
      <x:c r="DM5" s="96" t="n"/>
      <x:c r="DN5" s="96" t="n"/>
      <x:c r="DO5" s="96" t="n"/>
      <x:c r="DP5" s="96" t="n"/>
      <x:c r="DQ5" s="96" t="n"/>
      <x:c r="DR5" s="96" t="n"/>
      <x:c r="DS5" s="96" t="n"/>
      <x:c r="DT5" s="96" t="n"/>
      <x:c r="DU5" s="96" t="n"/>
      <x:c r="DV5" s="96" t="n"/>
      <x:c r="DW5" s="96" t="n"/>
      <x:c r="DX5" s="96" t="n"/>
      <x:c r="DY5" s="96" t="n"/>
      <x:c r="DZ5" s="96" t="n"/>
      <x:c r="EA5" s="96" t="n"/>
      <x:c r="EB5" s="96" t="n"/>
      <x:c r="EC5" s="96" t="n"/>
      <x:c r="ED5" s="96" t="n"/>
      <x:c r="EE5" s="96" t="n"/>
      <x:c r="EF5" s="96" t="n"/>
      <x:c r="EG5" s="96" t="n"/>
      <x:c r="EH5" s="96" t="n"/>
      <x:c r="EI5" s="96" t="n"/>
      <x:c r="EJ5" s="96" t="n"/>
      <x:c r="EK5" s="96" t="n"/>
      <x:c r="EL5" s="96" t="n"/>
      <x:c r="EM5" s="96" t="n"/>
      <x:c r="EN5" s="96" t="n"/>
      <x:c r="EO5" s="96" t="n"/>
      <x:c r="EP5" s="96" t="n"/>
      <x:c r="EQ5" s="96" t="n"/>
      <x:c r="ER5" s="96" t="n"/>
      <x:c r="ES5" s="96" t="n"/>
      <x:c r="ET5" s="96" t="n"/>
      <x:c r="EU5" s="96" t="n"/>
      <x:c r="EV5" s="96" t="n"/>
      <x:c r="EW5" s="96" t="n"/>
      <x:c r="EX5" s="96" t="n"/>
      <x:c r="EY5" s="96" t="n"/>
      <x:c r="EZ5" s="96" t="n"/>
      <x:c r="FA5" s="96" t="n"/>
      <x:c r="FB5" s="96" t="n"/>
      <x:c r="FC5" s="96" t="n"/>
      <x:c r="FD5" s="96" t="n"/>
      <x:c r="FE5" s="96" t="n"/>
      <x:c r="FF5" s="96" t="n"/>
      <x:c r="FG5" s="96" t="n"/>
      <x:c r="FH5" s="96" t="n"/>
      <x:c r="FI5" s="96" t="n"/>
      <x:c r="FJ5" s="96" t="n"/>
      <x:c r="FK5" s="96" t="n"/>
      <x:c r="FL5" s="96" t="n"/>
      <x:c r="FM5" s="96" t="n"/>
      <x:c r="FN5" s="96" t="n"/>
      <x:c r="FO5" s="96" t="n"/>
      <x:c r="FP5" s="96" t="n"/>
      <x:c r="FQ5" s="96" t="n"/>
      <x:c r="FR5" s="96" t="n"/>
      <x:c r="FS5" s="96" t="n"/>
      <x:c r="FT5" s="96" t="n"/>
      <x:c r="FU5" s="96" t="n"/>
      <x:c r="FV5" s="96" t="n"/>
      <x:c r="FW5" s="96" t="n"/>
      <x:c r="FX5" s="59" t="n"/>
      <x:c r="FY5" s="59" t="n"/>
      <x:c r="FZ5" s="59" t="n"/>
    </x:row>
    <x:row r="6" s="55" customFormat="1" ht="14.25" customHeight="1">
      <x:c r="A6" s="629" t="n"/>
      <x:c r="B6" s="630" t="inlineStr">
        <x:is>
          <x:t xml:space="preserve">BASE OGL</x:t>
        </x:is>
      </x:c>
      <x:c r="C6" s="631" t="n">
        <x:v>40</x:v>
      </x:c>
      <x:c r="D6" s="632" t="inlineStr">
        <x:is>
          <x:t xml:space="preserve">Tract 3</x:t>
        </x:is>
      </x:c>
      <x:c r="E6" s="631" t="n">
        <x:f>SUBTOTAL(9,E9:E201)</x:f>
        <x:v>0.9999999999999973</x:v>
      </x:c>
      <x:c r="F6" s="633" t="inlineStr">
        <x:is>
          <x:t xml:space="preserve">SURFACE</x:t>
        </x:is>
      </x:c>
      <x:c r="G6" s="64" t="n"/>
      <x:c r="H6" s="64" t="str">
        <x:f>IF(H7=0,"","RECHECK")</x:f>
      </x:c>
      <x:c r="I6" s="64" t="n"/>
      <x:c r="J6" s="64" t="n"/>
      <x:c r="K6" s="64" t="str">
        <x:f>IF(K7=0,"","RECHECK")</x:f>
      </x:c>
      <x:c r="L6" s="64" t="n"/>
      <x:c r="M6" s="64" t="str">
        <x:f>IF(M7=0,"","RECHECK")</x:f>
      </x:c>
      <x:c r="N6" s="64" t="str">
        <x:f>IF(N7=0,"","RECHECK")</x:f>
      </x:c>
      <x:c r="O6" s="64" t="str">
        <x:f>IF(O7=0,"","RECHECK")</x:f>
      </x:c>
      <x:c r="P6" s="64" t="str">
        <x:f>IF(P7=0,"","RECHECK")</x:f>
      </x:c>
      <x:c r="Q6" s="64" t="n"/>
      <x:c r="R6" s="98" t="str">
        <x:f>IF(R7=0,"","RECHECK")</x:f>
      </x:c>
      <x:c r="S6" s="98" t="n"/>
      <x:c r="T6" s="64" t="str">
        <x:f>IF(T7=0,"","RECHECK")</x:f>
      </x:c>
      <x:c r="U6" s="64" t="str">
        <x:f>IF(U7=0,"","RECHECK")</x:f>
      </x:c>
      <x:c r="V6" s="64" t="str">
        <x:f>IF(V7=0,"","RECHECK")</x:f>
      </x:c>
      <x:c r="W6" s="64" t="str">
        <x:f>IF(W7=0,"","RECHECK")</x:f>
      </x:c>
      <x:c r="X6" s="64" t="str">
        <x:f>IF(X7=0,"","RECHECK")</x:f>
      </x:c>
      <x:c r="Y6" s="64" t="str">
        <x:f>IF(Y7=0,"","RECHECK")</x:f>
      </x:c>
      <x:c r="Z6" s="64" t="str">
        <x:f>IF(Z7=0,"","RECHECK")</x:f>
      </x:c>
      <x:c r="AA6" s="64" t="str">
        <x:f>IF(AA7=0,"","RECHECK")</x:f>
      </x:c>
      <x:c r="AB6" s="64" t="str">
        <x:f>IF(AB7=0,"","RECHECK")</x:f>
      </x:c>
      <x:c r="AC6" s="64" t="str">
        <x:f>IF(AC7=0,"","RECHECK")</x:f>
      </x:c>
      <x:c r="AD6" s="64" t="str">
        <x:f>IF(AD7=0,"","RECHECK")</x:f>
      </x:c>
      <x:c r="AE6" s="98" t="str">
        <x:f>IF(AE7=0,"","RECHECK")</x:f>
      </x:c>
      <x:c r="AF6" s="98" t="str">
        <x:f>IF(AF7=0,"","RECHECK")</x:f>
      </x:c>
      <x:c r="AG6" s="98" t="n"/>
      <x:c r="AH6" s="98" t="n"/>
      <x:c r="AI6" s="98" t="str">
        <x:f>IF(AI7=0,"","RECHECK")</x:f>
      </x:c>
      <x:c r="AJ6" s="98" t="str">
        <x:f>IF(AJ7=0,"","RECHECK")</x:f>
      </x:c>
      <x:c r="AK6" s="98" t="str">
        <x:f>IF(AK7=0,"","RECHECK")</x:f>
      </x:c>
      <x:c r="AL6" s="64" t="str">
        <x:f>IF(AL7=0,"","RECHECK")</x:f>
      </x:c>
      <x:c r="AM6" s="98" t="str">
        <x:f>IF(AM7=0,"","RECHECK")</x:f>
      </x:c>
      <x:c r="AN6" s="64" t="str">
        <x:f>IF(AN7=0,"","RECHECK")</x:f>
      </x:c>
      <x:c r="AO6" s="98" t="str">
        <x:f>IF(AO7=0,"","RECHECK")</x:f>
      </x:c>
      <x:c r="AP6" s="64" t="str">
        <x:f>IF(AP7=0,"","RECHECK")</x:f>
      </x:c>
      <x:c r="AQ6" s="64" t="str">
        <x:f>IF(AQ7=0,"","RECHECK")</x:f>
      </x:c>
      <x:c r="AR6" s="64" t="str">
        <x:f>IF(AR7=0,"","RECHECK")</x:f>
      </x:c>
      <x:c r="AS6" s="64" t="str">
        <x:f>IF(AS7=0,"","RECHECK")</x:f>
      </x:c>
      <x:c r="AT6" s="64" t="str">
        <x:f>IF(AT7=0,"","RECHECK")</x:f>
      </x:c>
      <x:c r="AU6" s="64" t="str">
        <x:f>IF(AU7=0,"","RECHECK")</x:f>
      </x:c>
      <x:c r="AV6" s="64" t="str">
        <x:f>IF(AV7=0,"","RECHECK")</x:f>
      </x:c>
      <x:c r="AW6" s="64" t="str">
        <x:f>IF(AW7=0,"","RECHECK")</x:f>
      </x:c>
      <x:c r="AX6" s="64" t="str">
        <x:f>IF(AX7=0,"","RECHECK")</x:f>
      </x:c>
      <x:c r="AY6" s="64" t="str">
        <x:f>IF(AY7=0,"","RECHECK")</x:f>
      </x:c>
      <x:c r="AZ6" s="64" t="str">
        <x:f>IF(AZ7=0,"","RECHECK")</x:f>
      </x:c>
      <x:c r="BA6" s="64" t="str">
        <x:f>IF(BA7=0,"","RECHECK")</x:f>
      </x:c>
      <x:c r="BB6" s="64" t="str">
        <x:f>IF(BB7=0,"","RECHECK")</x:f>
      </x:c>
      <x:c r="BC6" s="64" t="str">
        <x:f>IF(BC7=0,"","RECHECK")</x:f>
      </x:c>
      <x:c r="BD6" s="64" t="str">
        <x:f>IF(BD7=0,"","RECHECK")</x:f>
      </x:c>
      <x:c r="BE6" s="64" t="str">
        <x:f>IF(BE7=0,"","RECHECK")</x:f>
      </x:c>
      <x:c r="BF6" s="64" t="str">
        <x:f>IF(BF7=0,"","RECHECK")</x:f>
      </x:c>
      <x:c r="BG6" s="64" t="str">
        <x:f>IF(BG7=0,"","RECHECK")</x:f>
      </x:c>
      <x:c r="BH6" s="64" t="str">
        <x:f>IF(BH7=0,"","RECHECK")</x:f>
      </x:c>
      <x:c r="BI6" s="64" t="str">
        <x:f>IF(BI7=0,"","RECHECK")</x:f>
      </x:c>
      <x:c r="BJ6" s="64" t="str">
        <x:f>IF(BJ7=0,"","RECHECK")</x:f>
      </x:c>
      <x:c r="BK6" s="64" t="str">
        <x:f>IF(BK7=0,"","RECHECK")</x:f>
      </x:c>
      <x:c r="BL6" s="64" t="str">
        <x:f>IF(BL7=0,"","RECHECK")</x:f>
      </x:c>
      <x:c r="BM6" s="64" t="str">
        <x:f>IF(BM7=0,"","RECHECK")</x:f>
      </x:c>
      <x:c r="BN6" s="64" t="str">
        <x:f>IF(BN7=0,"","RECHECK")</x:f>
      </x:c>
      <x:c r="BO6" s="64" t="str">
        <x:f>IF(BO7=0,"","RECHECK")</x:f>
      </x:c>
      <x:c r="BP6" s="64" t="str">
        <x:f>IF(BP7=0,"","RECHECK")</x:f>
      </x:c>
      <x:c r="BQ6" s="64" t="str">
        <x:f>IF(BQ7=0,"","RECHECK")</x:f>
      </x:c>
      <x:c r="BR6" s="64" t="str">
        <x:f>IF(BR7=0,"","RECHECK")</x:f>
      </x:c>
      <x:c r="BS6" s="64" t="str">
        <x:f>IF(BS7=0,"","RECHECK")</x:f>
      </x:c>
      <x:c r="BT6" s="64" t="str">
        <x:f>IF(BT7=0,"","RECHECK")</x:f>
      </x:c>
      <x:c r="BU6" s="64" t="str">
        <x:f>IF(BU7=0,"","RECHECK")</x:f>
      </x:c>
      <x:c r="BV6" s="64" t="str">
        <x:f>IF(BV7=0,"","RECHECK")</x:f>
      </x:c>
      <x:c r="BW6" s="64" t="str">
        <x:f>IF(BW7=0,"","RECHECK")</x:f>
      </x:c>
      <x:c r="BX6" s="64" t="str">
        <x:f>IF(BX7=0,"","RECHECK")</x:f>
      </x:c>
      <x:c r="BY6" s="64" t="str">
        <x:f>IF(BY7=0,"","RECHECK")</x:f>
      </x:c>
      <x:c r="BZ6" s="64" t="str">
        <x:f>IF(BZ7=0,"","RECHECK")</x:f>
      </x:c>
      <x:c r="CA6" s="64" t="str">
        <x:f>IF(CA7=0,"","RECHECK")</x:f>
      </x:c>
      <x:c r="CB6" s="64" t="str">
        <x:f>IF(CB7=0,"","RECHECK")</x:f>
      </x:c>
      <x:c r="CC6" s="64" t="str">
        <x:f>IF(CC7=0,"","RECHECK")</x:f>
      </x:c>
      <x:c r="CD6" s="64" t="str">
        <x:f>IF(CD7=0,"","RECHECK")</x:f>
      </x:c>
      <x:c r="CE6" s="64" t="str">
        <x:f>IF(CE7=0,"","RECHECK")</x:f>
      </x:c>
      <x:c r="CF6" s="64" t="str">
        <x:f>IF(CF7=0,"","RECHECK")</x:f>
      </x:c>
      <x:c r="CG6" s="64" t="str">
        <x:f>IF(CG7=0,"","RECHECK")</x:f>
      </x:c>
      <x:c r="CH6" s="64" t="str">
        <x:f>IF(CH7=0,"","RECHECK")</x:f>
      </x:c>
      <x:c r="CI6" s="64" t="str">
        <x:f>IF(CI7=0,"","RECHECK")</x:f>
      </x:c>
      <x:c r="CJ6" s="64" t="str">
        <x:f>IF(CJ7=0,"","RECHECK")</x:f>
      </x:c>
      <x:c r="CK6" s="64" t="str">
        <x:f>IF(CK7=0,"","RECHECK")</x:f>
      </x:c>
      <x:c r="CL6" s="64" t="str">
        <x:f>IF(CL7=0,"","RECHECK")</x:f>
      </x:c>
      <x:c r="CM6" s="64" t="str">
        <x:f>IF(CM7=0,"","RECHECK")</x:f>
      </x:c>
      <x:c r="CN6" s="64" t="str">
        <x:f>IF(CN7=0,"","RECHECK")</x:f>
      </x:c>
      <x:c r="CO6" s="64" t="str">
        <x:f>IF(CO7=0,"","RECHECK")</x:f>
      </x:c>
      <x:c r="CP6" s="64" t="str">
        <x:f>IF(CP7=0,"","RECHECK")</x:f>
      </x:c>
      <x:c r="CQ6" s="64" t="str">
        <x:f>IF(CQ7=0,"","RECHECK")</x:f>
      </x:c>
      <x:c r="CR6" s="64" t="str">
        <x:f>IF(CR7=0,"","RECHECK")</x:f>
      </x:c>
      <x:c r="CS6" s="64" t="str">
        <x:f>IF(CS7=0,"","RECHECK")</x:f>
      </x:c>
      <x:c r="CT6" s="64" t="str">
        <x:f>IF(CT7=0,"","RECHECK")</x:f>
      </x:c>
      <x:c r="CU6" s="64" t="str">
        <x:f>IF(CU7=0,"","RECHECK")</x:f>
      </x:c>
      <x:c r="CV6" s="64" t="str">
        <x:f>IF(CV7=0,"","RECHECK")</x:f>
      </x:c>
      <x:c r="CW6" s="64" t="str">
        <x:f>IF(CW7=0,"","RECHECK")</x:f>
      </x:c>
      <x:c r="CX6" s="64" t="str">
        <x:f>IF(CX7=0,"","RECHECK")</x:f>
      </x:c>
      <x:c r="CY6" s="64" t="str">
        <x:f>IF(CY7=0,"","RECHECK")</x:f>
      </x:c>
      <x:c r="CZ6" s="64" t="str">
        <x:f>IF(CZ7=0,"","RECHECK")</x:f>
      </x:c>
      <x:c r="DA6" s="64" t="str">
        <x:f>IF(DA7=0,"","RECHECK")</x:f>
      </x:c>
      <x:c r="DB6" s="64" t="str">
        <x:f>IF(DB7=0,"","RECHECK")</x:f>
      </x:c>
      <x:c r="DC6" s="64" t="str">
        <x:f>IF(DC7=0,"","RECHECK")</x:f>
      </x:c>
      <x:c r="DD6" s="64" t="str">
        <x:f>IF(DD7=0,"","RECHECK")</x:f>
      </x:c>
      <x:c r="DE6" s="64" t="str">
        <x:f>IF(DE7=0,"","RECHECK")</x:f>
      </x:c>
      <x:c r="DF6" s="64" t="str">
        <x:f>IF(DF7=0,"","RECHECK")</x:f>
      </x:c>
      <x:c r="DG6" s="64" t="str">
        <x:f>IF(DG7=0,"","RECHECK")</x:f>
      </x:c>
      <x:c r="DH6" s="64" t="str">
        <x:f>IF(DH7=0,"","RECHECK")</x:f>
      </x:c>
      <x:c r="DI6" s="64" t="str">
        <x:f>IF(DI7=0,"","RECHECK")</x:f>
      </x:c>
      <x:c r="DJ6" s="64" t="str">
        <x:f>IF(DJ7=0,"","RECHECK")</x:f>
      </x:c>
      <x:c r="DK6" s="64" t="str">
        <x:f>IF(DK7=0,"","RECHECK")</x:f>
      </x:c>
      <x:c r="DL6" s="64" t="str">
        <x:f>IF(DL7=0,"","RECHECK")</x:f>
      </x:c>
      <x:c r="DM6" s="64" t="str">
        <x:f>IF(DM7=0,"","RECHECK")</x:f>
      </x:c>
      <x:c r="DN6" s="64" t="str">
        <x:f>IF(DN7=0,"","RECHECK")</x:f>
      </x:c>
      <x:c r="DO6" s="64" t="str">
        <x:f>IF(DO7=0,"","RECHECK")</x:f>
      </x:c>
      <x:c r="DP6" s="64" t="str">
        <x:f>IF(DP7=0,"","RECHECK")</x:f>
      </x:c>
      <x:c r="DQ6" s="64" t="str">
        <x:f>IF(DQ7=0,"","RECHECK")</x:f>
      </x:c>
      <x:c r="DR6" s="64" t="str">
        <x:f>IF(DR7=0,"","RECHECK")</x:f>
      </x:c>
      <x:c r="DS6" s="64" t="str">
        <x:f>IF(DS7=0,"","RECHECK")</x:f>
      </x:c>
      <x:c r="DT6" s="64" t="str">
        <x:f>IF(DT7=0,"","RECHECK")</x:f>
      </x:c>
      <x:c r="DU6" s="64" t="str">
        <x:f>IF(DU7=0,"","RECHECK")</x:f>
      </x:c>
      <x:c r="DV6" s="64" t="str">
        <x:f>IF(DV7=0,"","RECHECK")</x:f>
      </x:c>
      <x:c r="DW6" s="64" t="str">
        <x:f>IF(DW7=0,"","RECHECK")</x:f>
      </x:c>
      <x:c r="DX6" s="64" t="str">
        <x:f>IF(DX7=0,"","RECHECK")</x:f>
      </x:c>
      <x:c r="DY6" s="64" t="str">
        <x:f>IF(DY7=0,"","RECHECK")</x:f>
      </x:c>
      <x:c r="DZ6" s="64" t="str">
        <x:f>IF(DZ7=0,"","RECHECK")</x:f>
      </x:c>
      <x:c r="EA6" s="64" t="str">
        <x:f>IF(EA7=0,"","RECHECK")</x:f>
      </x:c>
      <x:c r="EB6" s="64" t="str">
        <x:f>IF(EB7=0,"","RECHECK")</x:f>
      </x:c>
      <x:c r="EC6" s="64" t="str">
        <x:f>IF(EC7=0,"","RECHECK")</x:f>
      </x:c>
      <x:c r="ED6" s="64" t="str">
        <x:f>IF(ED7=0,"","RECHECK")</x:f>
      </x:c>
      <x:c r="EE6" s="64" t="str">
        <x:f>IF(EE7=0,"","RECHECK")</x:f>
      </x:c>
      <x:c r="EF6" s="64" t="str">
        <x:f>IF(EF7=0,"","RECHECK")</x:f>
      </x:c>
      <x:c r="EG6" s="64" t="str">
        <x:f>IF(EG7=0,"","RECHECK")</x:f>
      </x:c>
      <x:c r="EH6" s="64" t="str">
        <x:f>IF(EH7=0,"","RECHECK")</x:f>
      </x:c>
      <x:c r="EI6" s="64" t="str">
        <x:f>IF(EI7=0,"","RECHECK")</x:f>
      </x:c>
      <x:c r="EJ6" s="64" t="str">
        <x:f>IF(EJ7=0,"","RECHECK")</x:f>
      </x:c>
      <x:c r="EK6" s="64" t="str">
        <x:f>IF(EK7=0,"","RECHECK")</x:f>
      </x:c>
      <x:c r="EL6" s="64" t="str">
        <x:f>IF(EL7=0,"","RECHECK")</x:f>
      </x:c>
      <x:c r="EM6" s="64" t="str">
        <x:f>IF(EM7=0,"","RECHECK")</x:f>
      </x:c>
      <x:c r="EN6" s="64" t="str">
        <x:f>IF(EN7=0,"","RECHECK")</x:f>
      </x:c>
      <x:c r="EO6" s="64" t="str">
        <x:f>IF(EO7=0,"","RECHECK")</x:f>
      </x:c>
      <x:c r="EP6" s="64" t="str">
        <x:f>IF(EP7=0,"","RECHECK")</x:f>
      </x:c>
      <x:c r="EQ6" s="64" t="str">
        <x:f>IF(EQ7=0,"","RECHECK")</x:f>
      </x:c>
      <x:c r="ER6" s="64" t="str">
        <x:f>IF(ER7=0,"","RECHECK")</x:f>
      </x:c>
      <x:c r="ES6" s="64" t="str">
        <x:f>IF(ES7=0,"","RECHECK")</x:f>
      </x:c>
      <x:c r="ET6" s="64" t="str">
        <x:f>IF(ET7=0,"","RECHECK")</x:f>
      </x:c>
      <x:c r="EU6" s="64" t="str">
        <x:f>IF(EU7=0,"","RECHECK")</x:f>
      </x:c>
      <x:c r="EV6" s="64" t="str">
        <x:f>IF(EV7=0,"","RECHECK")</x:f>
      </x:c>
      <x:c r="EW6" s="64" t="str">
        <x:f>IF(EW7=0,"","RECHECK")</x:f>
      </x:c>
      <x:c r="EX6" s="64" t="str">
        <x:f>IF(EX7=0,"","RECHECK")</x:f>
      </x:c>
      <x:c r="EY6" s="64" t="str">
        <x:f>IF(EY7=0,"","RECHECK")</x:f>
      </x:c>
      <x:c r="EZ6" s="64" t="str">
        <x:f>IF(EZ7=0,"","RECHECK")</x:f>
      </x:c>
      <x:c r="FA6" s="64" t="str">
        <x:f>IF(FA7=0,"","RECHECK")</x:f>
      </x:c>
      <x:c r="FB6" s="64" t="str">
        <x:f>IF(FB7=0,"","RECHECK")</x:f>
      </x:c>
      <x:c r="FC6" s="64" t="str">
        <x:f>IF(FC7=0,"","RECHECK")</x:f>
      </x:c>
      <x:c r="FD6" s="64" t="str">
        <x:f>IF(FD7=0,"","RECHECK")</x:f>
      </x:c>
      <x:c r="FE6" s="64" t="str">
        <x:f>IF(FE7=0,"","RECHECK")</x:f>
      </x:c>
      <x:c r="FF6" s="64" t="str">
        <x:f>IF(FF7=0,"","RECHECK")</x:f>
      </x:c>
      <x:c r="FG6" s="64" t="str">
        <x:f>IF(FG7=0,"","RECHECK")</x:f>
      </x:c>
      <x:c r="FH6" s="64" t="str">
        <x:f>IF(FH7=0,"","RECHECK")</x:f>
      </x:c>
      <x:c r="FI6" s="64" t="str">
        <x:f>IF(FI7=0,"","RECHECK")</x:f>
      </x:c>
      <x:c r="FJ6" s="64" t="str">
        <x:f>IF(FJ7=0,"","RECHECK")</x:f>
      </x:c>
      <x:c r="FK6" s="64" t="str">
        <x:f>IF(FK7=0,"","RECHECK")</x:f>
      </x:c>
      <x:c r="FL6" s="64" t="str">
        <x:f>IF(FL7=0,"","RECHECK")</x:f>
      </x:c>
      <x:c r="FM6" s="64" t="str">
        <x:f>IF(FM7=0,"","RECHECK")</x:f>
      </x:c>
      <x:c r="FN6" s="64" t="str">
        <x:f>IF(FN7=0,"","RECHECK")</x:f>
      </x:c>
      <x:c r="FO6" s="64" t="str">
        <x:f>IF(FO7=0,"","RECHECK")</x:f>
      </x:c>
      <x:c r="FP6" s="64" t="str">
        <x:f>IF(FP7=0,"","RECHECK")</x:f>
      </x:c>
      <x:c r="FQ6" s="64" t="str">
        <x:f>IF(FQ7=0,"","RECHECK")</x:f>
      </x:c>
      <x:c r="FR6" s="64" t="str">
        <x:f>IF(FR7=0,"","RECHECK")</x:f>
      </x:c>
      <x:c r="FS6" s="64" t="str">
        <x:f>IF(FS7=0,"","RECHECK")</x:f>
      </x:c>
      <x:c r="FT6" s="64" t="str">
        <x:f>IF(FT7=0,"","RECHECK")</x:f>
      </x:c>
      <x:c r="FU6" s="64" t="str">
        <x:f>IF(FU7=0,"","RECHECK")</x:f>
      </x:c>
      <x:c r="FV6" s="64" t="str">
        <x:f>IF(FV7=0,"","RECHECK")</x:f>
      </x:c>
      <x:c r="FW6" s="64" t="str">
        <x:f>IF(FW7=0,"","RECHECK")</x:f>
      </x:c>
      <x:c r="FX6" s="64" t="str">
        <x:f>IF(FX7=0,"","RECHECK")</x:f>
      </x:c>
      <x:c r="FY6" s="64" t="str">
        <x:f>IF(FY7=0,"","RECHECK")</x:f>
      </x:c>
      <x:c r="FZ6" s="64" t="str">
        <x:f>IF(FZ7=0,"","RECHECK")</x:f>
      </x:c>
    </x:row>
    <x:row r="7" s="53" customFormat="1" ht="14.25" customHeight="1">
      <x:c r="A7" s="54" t="n"/>
      <x:c r="B7" s="593" t="n"/>
      <x:c r="C7" s="634" t="n"/>
      <x:c r="D7" s="634" t="n"/>
      <x:c r="E7" s="634" t="n"/>
      <x:c r="F7" s="635" t="n"/>
      <x:c r="G7" s="636" t="n">
        <x:f>SUBTOTAL(9,G10:G202)</x:f>
        <x:v>1</x:v>
      </x:c>
      <x:c r="H7" s="637" t="n">
        <x:f>SUBTOTAL(9,H10:H202)</x:f>
        <x:v>0</x:v>
      </x:c>
      <x:c r="I7" s="637" t="n">
        <x:f>SUBTOTAL(9,I10:I202)</x:f>
        <x:v>0</x:v>
      </x:c>
      <x:c r="J7" s="637" t="n">
        <x:f>SUBTOTAL(9,J10:J202)</x:f>
        <x:v>-5.551115123125783e-17</x:v>
      </x:c>
      <x:c r="K7" s="637" t="n">
        <x:f>SUBTOTAL(9,K10:K202)</x:f>
        <x:v>0</x:v>
      </x:c>
      <x:c r="L7" s="637" t="n">
        <x:f>SUBTOTAL(9,L10:L202)</x:f>
        <x:v>0</x:v>
      </x:c>
      <x:c r="M7" s="637" t="n">
        <x:f>SUBTOTAL(9,M10:M202)</x:f>
        <x:v>0</x:v>
      </x:c>
      <x:c r="N7" s="637" t="n">
        <x:f>SUBTOTAL(9,N10:N202)</x:f>
        <x:v>0</x:v>
      </x:c>
      <x:c r="O7" s="637" t="n">
        <x:f>SUBTOTAL(9,O10:O202)</x:f>
        <x:v>0</x:v>
      </x:c>
      <x:c r="P7" s="637" t="n">
        <x:f>SUBTOTAL(9,P10:P202)</x:f>
        <x:v>0</x:v>
      </x:c>
      <x:c r="Q7" s="637" t="n">
        <x:f>SUBTOTAL(9,Q10:Q202)</x:f>
        <x:v>0</x:v>
      </x:c>
      <x:c r="R7" s="638" t="n">
        <x:f>SUBTOTAL(9,R10:R206)</x:f>
        <x:v>0</x:v>
      </x:c>
      <x:c r="S7" s="638" t="n">
        <x:f>SUBTOTAL(9,S10:S206)</x:f>
        <x:v>0</x:v>
      </x:c>
      <x:c r="T7" s="637" t="n">
        <x:f>SUBTOTAL(9,T10:T202)</x:f>
        <x:v>0</x:v>
      </x:c>
      <x:c r="U7" s="637" t="n">
        <x:f>SUBTOTAL(9,U10:U202)</x:f>
        <x:v>0</x:v>
      </x:c>
      <x:c r="V7" s="637" t="n">
        <x:f>SUBTOTAL(9,V10:V202)</x:f>
        <x:v>0</x:v>
      </x:c>
      <x:c r="W7" s="637" t="n">
        <x:f>SUBTOTAL(9,W10:W202)</x:f>
        <x:v>0</x:v>
      </x:c>
      <x:c r="X7" s="637" t="n">
        <x:f>SUBTOTAL(9,X10:X202)</x:f>
        <x:v>0</x:v>
      </x:c>
      <x:c r="Y7" s="637" t="n">
        <x:f>SUBTOTAL(9,Y10:Y202)</x:f>
        <x:v>0</x:v>
      </x:c>
      <x:c r="Z7" s="637" t="n">
        <x:f>SUBTOTAL(9,Z10:Z202)</x:f>
        <x:v>0</x:v>
      </x:c>
      <x:c r="AA7" s="637" t="n">
        <x:f>SUBTOTAL(9,AA10:AA202)</x:f>
        <x:v>0</x:v>
      </x:c>
      <x:c r="AB7" s="637" t="n">
        <x:f>SUBTOTAL(9,AB10:AB202)</x:f>
        <x:v>0</x:v>
      </x:c>
      <x:c r="AC7" s="637" t="n">
        <x:f>SUBTOTAL(9,AC10:AC202)</x:f>
        <x:v>0</x:v>
      </x:c>
      <x:c r="AD7" s="637" t="n">
        <x:f>SUBTOTAL(9,AD10:AD202)</x:f>
        <x:v>0</x:v>
      </x:c>
      <x:c r="AE7" s="638" t="n">
        <x:f>SUBTOTAL(9,AE10:AE202)</x:f>
        <x:v>0</x:v>
      </x:c>
      <x:c r="AF7" s="638" t="n">
        <x:f>SUBTOTAL(9,AF10:AF206)</x:f>
        <x:v>0</x:v>
      </x:c>
      <x:c r="AG7" s="638" t="n">
        <x:f>SUBTOTAL(9,AG10:AG210)</x:f>
        <x:v>0</x:v>
      </x:c>
      <x:c r="AH7" s="638" t="n">
        <x:f>SUBTOTAL(9,AH10:AH204)</x:f>
        <x:v>0</x:v>
      </x:c>
      <x:c r="AI7" s="638" t="n">
        <x:f>SUBTOTAL(9,AI10:AI204)</x:f>
        <x:v>0</x:v>
      </x:c>
      <x:c r="AJ7" s="638" t="n">
        <x:f>SUBTOTAL(9,AJ10:AJ204)</x:f>
        <x:v>0</x:v>
      </x:c>
      <x:c r="AK7" s="638" t="n">
        <x:f>SUBTOTAL(9,AK10:AK204)</x:f>
        <x:v>-9.992007221626409e-16</x:v>
      </x:c>
      <x:c r="AL7" s="637" t="n">
        <x:f>SUBTOTAL(9,AL10:AL202)</x:f>
        <x:v>0</x:v>
      </x:c>
      <x:c r="AM7" s="638" t="n">
        <x:f>SUBTOTAL(9,AM10:AM201)</x:f>
        <x:v>0</x:v>
      </x:c>
      <x:c r="AN7" s="637" t="n">
        <x:f>SUBTOTAL(9,AN10:AN202)</x:f>
        <x:v>0</x:v>
      </x:c>
      <x:c r="AO7" s="638" t="n">
        <x:f>SUBTOTAL(9,AO10:AO204)</x:f>
        <x:v>0</x:v>
      </x:c>
      <x:c r="AP7" s="637" t="n">
        <x:f>SUBTOTAL(9,AP10:AP202)</x:f>
        <x:v>0</x:v>
      </x:c>
      <x:c r="AQ7" s="637" t="n">
        <x:f>SUBTOTAL(9,AQ10:AQ202)</x:f>
        <x:v>0</x:v>
      </x:c>
      <x:c r="AR7" s="637" t="n">
        <x:f>SUBTOTAL(9,AR10:AR202)</x:f>
        <x:v>0</x:v>
      </x:c>
      <x:c r="AS7" s="637" t="n">
        <x:f>SUBTOTAL(9,AS10:AS202)</x:f>
        <x:v>0</x:v>
      </x:c>
      <x:c r="AT7" s="637" t="n">
        <x:f>SUBTOTAL(9,AT10:AT202)</x:f>
        <x:v>0</x:v>
      </x:c>
      <x:c r="AU7" s="637" t="n">
        <x:f>SUBTOTAL(9,AU10:AU202)</x:f>
        <x:v>0</x:v>
      </x:c>
      <x:c r="AV7" s="637" t="n">
        <x:f>SUBTOTAL(9,AV10:AV202)</x:f>
        <x:v>0</x:v>
      </x:c>
      <x:c r="AW7" s="637" t="n">
        <x:f>SUBTOTAL(9,AW10:AW202)</x:f>
        <x:v>0</x:v>
      </x:c>
      <x:c r="AX7" s="637" t="n">
        <x:f>SUBTOTAL(9,AX10:AX202)</x:f>
        <x:v>0</x:v>
      </x:c>
      <x:c r="AY7" s="637" t="n">
        <x:f>SUBTOTAL(9,AY10:AY202)</x:f>
        <x:v>0</x:v>
      </x:c>
      <x:c r="AZ7" s="637" t="n">
        <x:f>SUBTOTAL(9,AZ10:AZ202)</x:f>
        <x:v>0</x:v>
      </x:c>
      <x:c r="BA7" s="637" t="n">
        <x:f>SUBTOTAL(9,BA10:BA202)</x:f>
        <x:v>0</x:v>
      </x:c>
      <x:c r="BB7" s="637" t="n">
        <x:f>SUBTOTAL(9,BB10:BB202)</x:f>
        <x:v>0</x:v>
      </x:c>
      <x:c r="BC7" s="637" t="n">
        <x:f>SUBTOTAL(9,BC10:BC202)</x:f>
        <x:v>0</x:v>
      </x:c>
      <x:c r="BD7" s="637" t="n">
        <x:f>SUBTOTAL(9,BD10:BD202)</x:f>
        <x:v>0</x:v>
      </x:c>
      <x:c r="BE7" s="637" t="n">
        <x:f>SUBTOTAL(9,BE10:BE202)</x:f>
        <x:v>-9.992007221626409e-16</x:v>
      </x:c>
      <x:c r="BF7" s="637" t="n">
        <x:f>SUBTOTAL(9,BF10:BF202)</x:f>
        <x:v>-1.1102230246251565e-15</x:v>
      </x:c>
      <x:c r="BG7" s="637" t="n">
        <x:f>SUBTOTAL(9,BG10:BG202)</x:f>
        <x:v>0</x:v>
      </x:c>
      <x:c r="BH7" s="637" t="n">
        <x:f>SUBTOTAL(9,BH10:BH202)</x:f>
        <x:v>0</x:v>
      </x:c>
      <x:c r="BI7" s="637" t="n">
        <x:f>SUBTOTAL(9,BI10:BI202)</x:f>
        <x:v>-1.1102230246251565e-16</x:v>
      </x:c>
      <x:c r="BJ7" s="637" t="n">
        <x:f>SUBTOTAL(9,BJ10:BJ202)</x:f>
        <x:v>0</x:v>
      </x:c>
      <x:c r="BK7" s="637" t="n">
        <x:f>SUBTOTAL(9,BK10:BK202)</x:f>
        <x:v>0</x:v>
      </x:c>
      <x:c r="BL7" s="637" t="n">
        <x:f>SUBTOTAL(9,BL10:BL202)</x:f>
        <x:v>0</x:v>
      </x:c>
      <x:c r="BM7" s="637" t="n">
        <x:f>SUBTOTAL(9,BM10:BM202)</x:f>
        <x:v>0</x:v>
      </x:c>
      <x:c r="BN7" s="637" t="n">
        <x:f>SUBTOTAL(9,BN10:BN202)</x:f>
        <x:v>0</x:v>
      </x:c>
      <x:c r="BO7" s="637" t="n">
        <x:f>SUBTOTAL(9,BO10:BO202)</x:f>
        <x:v>0</x:v>
      </x:c>
      <x:c r="BP7" s="637" t="n">
        <x:f>SUBTOTAL(9,BP10:BP202)</x:f>
        <x:v>0</x:v>
      </x:c>
      <x:c r="BQ7" s="637" t="n">
        <x:f>SUBTOTAL(9,BQ10:BQ202)</x:f>
        <x:v>0</x:v>
      </x:c>
      <x:c r="BR7" s="637" t="n">
        <x:f>SUBTOTAL(9,BR10:BR202)</x:f>
        <x:v>0</x:v>
      </x:c>
      <x:c r="BS7" s="637" t="n">
        <x:f>SUBTOTAL(9,BS10:BS202)</x:f>
        <x:v>0</x:v>
      </x:c>
      <x:c r="BT7" s="637" t="n">
        <x:f>SUBTOTAL(9,BT10:BT202)</x:f>
        <x:v>0</x:v>
      </x:c>
      <x:c r="BU7" s="637" t="n">
        <x:f>SUBTOTAL(9,BU10:BU202)</x:f>
        <x:v>0</x:v>
      </x:c>
      <x:c r="BV7" s="637" t="n">
        <x:f>SUBTOTAL(9,BV10:BV202)</x:f>
        <x:v>0</x:v>
      </x:c>
      <x:c r="BW7" s="637" t="n">
        <x:f>SUBTOTAL(9,BW10:BW202)</x:f>
        <x:v>0</x:v>
      </x:c>
      <x:c r="BX7" s="637" t="n">
        <x:f>SUBTOTAL(9,BX10:BX202)</x:f>
        <x:v>0</x:v>
      </x:c>
      <x:c r="BY7" s="637" t="n">
        <x:f>SUBTOTAL(9,BY10:BY202)</x:f>
        <x:v>0</x:v>
      </x:c>
      <x:c r="BZ7" s="637" t="n">
        <x:f>SUBTOTAL(9,BZ10:BZ202)</x:f>
        <x:v>0</x:v>
      </x:c>
      <x:c r="CA7" s="637" t="n">
        <x:f>SUBTOTAL(9,CA10:CA202)</x:f>
        <x:v>0</x:v>
      </x:c>
      <x:c r="CB7" s="637" t="n">
        <x:f>SUBTOTAL(9,CB10:CB202)</x:f>
        <x:v>0</x:v>
      </x:c>
      <x:c r="CC7" s="637" t="n">
        <x:f>SUBTOTAL(9,CC10:CC202)</x:f>
        <x:v>0</x:v>
      </x:c>
      <x:c r="CD7" s="637" t="n">
        <x:f>SUBTOTAL(9,CD10:CD202)</x:f>
        <x:v>0</x:v>
      </x:c>
      <x:c r="CE7" s="637" t="n">
        <x:f>SUBTOTAL(9,CE10:CE202)</x:f>
        <x:v>0</x:v>
      </x:c>
      <x:c r="CF7" s="637" t="n">
        <x:f>SUBTOTAL(9,CF10:CF202)</x:f>
        <x:v>0</x:v>
      </x:c>
      <x:c r="CG7" s="637" t="n">
        <x:f>SUBTOTAL(9,CG10:CG202)</x:f>
        <x:v>0</x:v>
      </x:c>
      <x:c r="CH7" s="637" t="n">
        <x:f>SUBTOTAL(9,CH10:CH202)</x:f>
        <x:v>0</x:v>
      </x:c>
      <x:c r="CI7" s="637" t="n">
        <x:f>SUBTOTAL(9,CI10:CI202)</x:f>
        <x:v>0</x:v>
      </x:c>
      <x:c r="CJ7" s="637" t="n">
        <x:f>SUBTOTAL(9,CJ10:CJ202)</x:f>
        <x:v>0</x:v>
      </x:c>
      <x:c r="CK7" s="637" t="n">
        <x:f>SUBTOTAL(9,CK10:CK202)</x:f>
        <x:v>0</x:v>
      </x:c>
      <x:c r="CL7" s="637" t="n">
        <x:f>SUBTOTAL(9,CL10:CL202)</x:f>
        <x:v>0</x:v>
      </x:c>
      <x:c r="CM7" s="637" t="n">
        <x:f>SUBTOTAL(9,CM10:CM202)</x:f>
        <x:v>0</x:v>
      </x:c>
      <x:c r="CN7" s="637" t="n">
        <x:f>SUBTOTAL(9,CN10:CN202)</x:f>
        <x:v>0</x:v>
      </x:c>
      <x:c r="CO7" s="637" t="n">
        <x:f>SUBTOTAL(9,CO10:CO202)</x:f>
        <x:v>0</x:v>
      </x:c>
      <x:c r="CP7" s="637" t="n">
        <x:f>SUBTOTAL(9,CP10:CP202)</x:f>
        <x:v>0</x:v>
      </x:c>
      <x:c r="CQ7" s="637" t="n">
        <x:f>SUBTOTAL(9,CQ10:CQ202)</x:f>
        <x:v>0</x:v>
      </x:c>
      <x:c r="CR7" s="637" t="n">
        <x:f>SUBTOTAL(9,CR10:CR202)</x:f>
        <x:v>0</x:v>
      </x:c>
      <x:c r="CS7" s="637" t="n">
        <x:f>SUBTOTAL(9,CS10:CS202)</x:f>
        <x:v>0</x:v>
      </x:c>
      <x:c r="CT7" s="637" t="n">
        <x:f>SUBTOTAL(9,CT10:CT202)</x:f>
        <x:v>0</x:v>
      </x:c>
      <x:c r="CU7" s="637" t="n">
        <x:f>SUBTOTAL(9,CU10:CU202)</x:f>
        <x:v>0</x:v>
      </x:c>
      <x:c r="CV7" s="637" t="n">
        <x:f>SUBTOTAL(9,CV10:CV202)</x:f>
        <x:v>0</x:v>
      </x:c>
      <x:c r="CW7" s="637" t="n">
        <x:f>SUBTOTAL(9,CW10:CW202)</x:f>
        <x:v>0</x:v>
      </x:c>
      <x:c r="CX7" s="637" t="n">
        <x:f>SUBTOTAL(9,CX10:CX202)</x:f>
        <x:v>0</x:v>
      </x:c>
      <x:c r="CY7" s="637" t="n">
        <x:f>SUBTOTAL(9,CY10:CY202)</x:f>
        <x:v>0</x:v>
      </x:c>
      <x:c r="CZ7" s="637" t="n">
        <x:f>SUBTOTAL(9,CZ10:CZ202)</x:f>
        <x:v>0</x:v>
      </x:c>
      <x:c r="DA7" s="637" t="n">
        <x:f>SUBTOTAL(9,DA10:DA202)</x:f>
        <x:v>0</x:v>
      </x:c>
      <x:c r="DB7" s="637" t="n">
        <x:f>SUBTOTAL(9,DB10:DB202)</x:f>
        <x:v>0</x:v>
      </x:c>
      <x:c r="DC7" s="637" t="n">
        <x:f>SUBTOTAL(9,DC10:DC202)</x:f>
        <x:v>0</x:v>
      </x:c>
      <x:c r="DD7" s="637" t="n">
        <x:f>SUBTOTAL(9,DD10:DD202)</x:f>
        <x:v>0</x:v>
      </x:c>
      <x:c r="DE7" s="637" t="n">
        <x:f>SUBTOTAL(9,DE10:DE202)</x:f>
        <x:v>0</x:v>
      </x:c>
      <x:c r="DF7" s="637" t="n">
        <x:f>SUBTOTAL(9,DF10:DF202)</x:f>
        <x:v>0</x:v>
      </x:c>
      <x:c r="DG7" s="637" t="n">
        <x:f>SUBTOTAL(9,DG10:DG202)</x:f>
        <x:v>0</x:v>
      </x:c>
      <x:c r="DH7" s="637" t="n">
        <x:f>SUBTOTAL(9,DH10:DH202)</x:f>
        <x:v>0</x:v>
      </x:c>
      <x:c r="DI7" s="637" t="n">
        <x:f>SUBTOTAL(9,DI10:DI202)</x:f>
        <x:v>0</x:v>
      </x:c>
      <x:c r="DJ7" s="637" t="n">
        <x:f>SUBTOTAL(9,DJ10:DJ202)</x:f>
        <x:v>0</x:v>
      </x:c>
      <x:c r="DK7" s="637" t="n">
        <x:f>SUBTOTAL(9,DK10:DK202)</x:f>
        <x:v>0</x:v>
      </x:c>
      <x:c r="DL7" s="637" t="n">
        <x:f>SUBTOTAL(9,DL10:DL202)</x:f>
        <x:v>0</x:v>
      </x:c>
      <x:c r="DM7" s="637" t="n">
        <x:f>SUBTOTAL(9,DM10:DM202)</x:f>
        <x:v>0</x:v>
      </x:c>
      <x:c r="DN7" s="637" t="n">
        <x:f>SUBTOTAL(9,DN10:DN202)</x:f>
        <x:v>0</x:v>
      </x:c>
      <x:c r="DO7" s="637" t="n">
        <x:f>SUBTOTAL(9,DO10:DO202)</x:f>
        <x:v>0</x:v>
      </x:c>
      <x:c r="DP7" s="637" t="n">
        <x:f>SUBTOTAL(9,DP10:DP202)</x:f>
        <x:v>0</x:v>
      </x:c>
      <x:c r="DQ7" s="637" t="n">
        <x:f>SUBTOTAL(9,DQ10:DQ202)</x:f>
        <x:v>0</x:v>
      </x:c>
      <x:c r="DR7" s="637" t="n">
        <x:f>SUBTOTAL(9,DR10:DR202)</x:f>
        <x:v>0</x:v>
      </x:c>
      <x:c r="DS7" s="637" t="n">
        <x:f>SUBTOTAL(9,DS10:DS202)</x:f>
        <x:v>0</x:v>
      </x:c>
      <x:c r="DT7" s="637" t="n">
        <x:f>SUBTOTAL(9,DT10:DT202)</x:f>
        <x:v>0</x:v>
      </x:c>
      <x:c r="DU7" s="637" t="n">
        <x:f>SUBTOTAL(9,DU10:DU202)</x:f>
        <x:v>0</x:v>
      </x:c>
      <x:c r="DV7" s="637" t="n">
        <x:f>SUBTOTAL(9,DV10:DV202)</x:f>
        <x:v>0</x:v>
      </x:c>
      <x:c r="DW7" s="637" t="n">
        <x:f>SUBTOTAL(9,DW10:DW202)</x:f>
        <x:v>0</x:v>
      </x:c>
      <x:c r="DX7" s="637" t="n">
        <x:f>SUBTOTAL(9,DX10:DX202)</x:f>
        <x:v>0</x:v>
      </x:c>
      <x:c r="DY7" s="637" t="n">
        <x:f>SUBTOTAL(9,DY10:DY202)</x:f>
        <x:v>0</x:v>
      </x:c>
      <x:c r="DZ7" s="637" t="n">
        <x:f>SUBTOTAL(9,DZ10:DZ202)</x:f>
        <x:v>0</x:v>
      </x:c>
      <x:c r="EA7" s="637" t="n">
        <x:f>SUBTOTAL(9,EA10:EA202)</x:f>
        <x:v>0</x:v>
      </x:c>
      <x:c r="EB7" s="637" t="n">
        <x:f>SUBTOTAL(9,EB10:EB202)</x:f>
        <x:v>0</x:v>
      </x:c>
      <x:c r="EC7" s="637" t="n">
        <x:f>SUBTOTAL(9,EC10:EC202)</x:f>
        <x:v>0</x:v>
      </x:c>
      <x:c r="ED7" s="637" t="n">
        <x:f>SUBTOTAL(9,ED10:ED202)</x:f>
        <x:v>0</x:v>
      </x:c>
      <x:c r="EE7" s="637" t="n">
        <x:f>SUBTOTAL(9,EE10:EE202)</x:f>
        <x:v>0</x:v>
      </x:c>
      <x:c r="EF7" s="637" t="n">
        <x:f>SUBTOTAL(9,EF10:EF202)</x:f>
        <x:v>0</x:v>
      </x:c>
      <x:c r="EG7" s="637" t="n">
        <x:f>SUBTOTAL(9,EG10:EG202)</x:f>
        <x:v>0</x:v>
      </x:c>
      <x:c r="EH7" s="637" t="n">
        <x:f>SUBTOTAL(9,EH10:EH202)</x:f>
        <x:v>0</x:v>
      </x:c>
      <x:c r="EI7" s="637" t="n">
        <x:f>SUBTOTAL(9,EI10:EI202)</x:f>
        <x:v>0</x:v>
      </x:c>
      <x:c r="EJ7" s="637" t="n">
        <x:f>SUBTOTAL(9,EJ10:EJ202)</x:f>
        <x:v>0</x:v>
      </x:c>
      <x:c r="EK7" s="637" t="n">
        <x:f>SUBTOTAL(9,EK10:EK202)</x:f>
        <x:v>0</x:v>
      </x:c>
      <x:c r="EL7" s="637" t="n">
        <x:f>SUBTOTAL(9,EL10:EL202)</x:f>
        <x:v>0</x:v>
      </x:c>
      <x:c r="EM7" s="637" t="n">
        <x:f>SUBTOTAL(9,EM10:EM202)</x:f>
        <x:v>0</x:v>
      </x:c>
      <x:c r="EN7" s="637" t="n">
        <x:f>SUBTOTAL(9,EN10:EN202)</x:f>
        <x:v>0</x:v>
      </x:c>
      <x:c r="EO7" s="637" t="n">
        <x:f>SUBTOTAL(9,EO10:EO202)</x:f>
        <x:v>0</x:v>
      </x:c>
      <x:c r="EP7" s="637" t="n">
        <x:f>SUBTOTAL(9,EP10:EP202)</x:f>
        <x:v>0</x:v>
      </x:c>
      <x:c r="EQ7" s="637" t="n">
        <x:f>SUBTOTAL(9,EQ10:EQ202)</x:f>
        <x:v>0</x:v>
      </x:c>
      <x:c r="ER7" s="637" t="n">
        <x:f>SUBTOTAL(9,ER10:ER202)</x:f>
        <x:v>0</x:v>
      </x:c>
      <x:c r="ES7" s="637" t="n">
        <x:f>SUBTOTAL(9,ES10:ES202)</x:f>
        <x:v>0</x:v>
      </x:c>
      <x:c r="ET7" s="637" t="n">
        <x:f>SUBTOTAL(9,ET10:ET202)</x:f>
        <x:v>0</x:v>
      </x:c>
      <x:c r="EU7" s="637" t="n">
        <x:f>SUBTOTAL(9,EU10:EU202)</x:f>
        <x:v>0</x:v>
      </x:c>
      <x:c r="EV7" s="637" t="n">
        <x:f>SUBTOTAL(9,EV10:EV202)</x:f>
        <x:v>0</x:v>
      </x:c>
      <x:c r="EW7" s="637" t="n">
        <x:f>SUBTOTAL(9,EW10:EW202)</x:f>
        <x:v>0</x:v>
      </x:c>
      <x:c r="EX7" s="637" t="n">
        <x:f>SUBTOTAL(9,EX10:EX202)</x:f>
        <x:v>0</x:v>
      </x:c>
      <x:c r="EY7" s="637" t="n">
        <x:f>SUBTOTAL(9,EY10:EY202)</x:f>
        <x:v>0</x:v>
      </x:c>
      <x:c r="EZ7" s="637" t="n">
        <x:f>SUBTOTAL(9,EZ10:EZ202)</x:f>
        <x:v>0</x:v>
      </x:c>
      <x:c r="FA7" s="637" t="n">
        <x:f>SUBTOTAL(9,FA10:FA202)</x:f>
        <x:v>0</x:v>
      </x:c>
      <x:c r="FB7" s="637" t="n">
        <x:f>SUBTOTAL(9,FB10:FB202)</x:f>
        <x:v>0</x:v>
      </x:c>
      <x:c r="FC7" s="637" t="n">
        <x:f>SUBTOTAL(9,FC10:FC202)</x:f>
        <x:v>0</x:v>
      </x:c>
      <x:c r="FD7" s="637" t="n">
        <x:f>SUBTOTAL(9,FD10:FD202)</x:f>
        <x:v>0</x:v>
      </x:c>
      <x:c r="FE7" s="637" t="n">
        <x:f>SUBTOTAL(9,FE10:FE202)</x:f>
        <x:v>0</x:v>
      </x:c>
      <x:c r="FF7" s="637" t="n">
        <x:f>SUBTOTAL(9,FF10:FF202)</x:f>
        <x:v>0</x:v>
      </x:c>
      <x:c r="FG7" s="637" t="n">
        <x:f>SUBTOTAL(9,FG10:FG202)</x:f>
        <x:v>0</x:v>
      </x:c>
      <x:c r="FH7" s="637" t="n">
        <x:f>SUBTOTAL(9,FH10:FH202)</x:f>
        <x:v>0</x:v>
      </x:c>
      <x:c r="FI7" s="637" t="n">
        <x:f>SUBTOTAL(9,FI10:FI202)</x:f>
        <x:v>0</x:v>
      </x:c>
      <x:c r="FJ7" s="637" t="n">
        <x:f>SUBTOTAL(9,FJ10:FJ202)</x:f>
        <x:v>0</x:v>
      </x:c>
      <x:c r="FK7" s="637" t="n">
        <x:f>SUBTOTAL(9,FK10:FK202)</x:f>
        <x:v>0</x:v>
      </x:c>
      <x:c r="FL7" s="637" t="n">
        <x:f>SUBTOTAL(9,FL10:FL202)</x:f>
        <x:v>0</x:v>
      </x:c>
      <x:c r="FM7" s="637" t="n">
        <x:f>SUBTOTAL(9,FM10:FM202)</x:f>
        <x:v>0</x:v>
      </x:c>
      <x:c r="FN7" s="637" t="n">
        <x:f>SUBTOTAL(9,FN10:FN202)</x:f>
        <x:v>0</x:v>
      </x:c>
      <x:c r="FO7" s="637" t="n">
        <x:f>SUBTOTAL(9,FO10:FO202)</x:f>
        <x:v>0</x:v>
      </x:c>
      <x:c r="FP7" s="637" t="n">
        <x:f>SUBTOTAL(9,FP10:FP202)</x:f>
        <x:v>0</x:v>
      </x:c>
      <x:c r="FQ7" s="637" t="n">
        <x:f>SUBTOTAL(9,FQ10:FQ202)</x:f>
        <x:v>0</x:v>
      </x:c>
      <x:c r="FR7" s="637" t="n">
        <x:f>SUBTOTAL(9,FR10:FR202)</x:f>
        <x:v>0</x:v>
      </x:c>
      <x:c r="FS7" s="637" t="n">
        <x:f>SUBTOTAL(9,FS10:FS202)</x:f>
        <x:v>0</x:v>
      </x:c>
      <x:c r="FT7" s="637" t="n">
        <x:f>SUBTOTAL(9,FT10:FT202)</x:f>
        <x:v>0</x:v>
      </x:c>
      <x:c r="FU7" s="637" t="n">
        <x:f>SUBTOTAL(9,FU10:FU202)</x:f>
        <x:v>0</x:v>
      </x:c>
      <x:c r="FV7" s="637" t="n">
        <x:f>SUBTOTAL(9,FV10:FV202)</x:f>
        <x:v>0</x:v>
      </x:c>
      <x:c r="FW7" s="637" t="n">
        <x:f>SUBTOTAL(9,FW10:FW202)</x:f>
        <x:v>0</x:v>
      </x:c>
      <x:c r="FX7" s="637" t="n">
        <x:f>SUBTOTAL(9,FX10:FX202)</x:f>
        <x:v>0</x:v>
      </x:c>
      <x:c r="FY7" s="637" t="n">
        <x:f>SUBTOTAL(9,FY10:FY202)</x:f>
        <x:v>0</x:v>
      </x:c>
      <x:c r="FZ7" s="637" t="n">
        <x:f>SUBTOTAL(9,FZ10:FZ202)</x:f>
        <x:v>0</x:v>
      </x:c>
    </x:row>
    <x:row r="8" s="26" customFormat="1" ht="14.25" customHeight="1">
      <x:c r="A8" s="52" t="inlineStr">
        <x:is>
          <x:t xml:space="preserve">NOTES</x:t>
        </x:is>
      </x:c>
      <x:c r="B8" s="639" t="n"/>
      <x:c r="C8" s="51" t="inlineStr">
        <x:is>
          <x:t xml:space="preserve">NET ACRES</x:t>
        </x:is>
      </x:c>
      <x:c r="D8" s="50" t="inlineStr">
        <x:is>
          <x:t xml:space="preserve">OWNERS</x:t>
        </x:is>
      </x:c>
      <x:c r="E8" s="49" t="inlineStr">
        <x:is>
          <x:t xml:space="preserve">TOTAL </x:t>
        </x:is>
      </x:c>
      <x:c r="F8" s="640" t="n"/>
      <x:c r="G8" s="641" t="n"/>
      <x:c r="H8" s="642" t="n"/>
      <x:c r="I8" s="642" t="n"/>
      <x:c r="J8" s="642" t="n"/>
      <x:c r="K8" s="642" t="n"/>
      <x:c r="L8" s="642" t="n"/>
      <x:c r="M8" s="642" t="n"/>
      <x:c r="N8" s="642" t="n"/>
      <x:c r="O8" s="642" t="n"/>
      <x:c r="P8" s="642" t="n"/>
      <x:c r="Q8" s="642" t="n"/>
      <x:c r="R8" s="642" t="n"/>
      <x:c r="S8" s="642" t="n"/>
      <x:c r="T8" s="642" t="n"/>
      <x:c r="U8" s="642" t="n"/>
      <x:c r="V8" s="642" t="n"/>
      <x:c r="W8" s="642" t="n"/>
      <x:c r="X8" s="642" t="n"/>
      <x:c r="Y8" s="642" t="n"/>
      <x:c r="Z8" s="642" t="n"/>
      <x:c r="AA8" s="642" t="n"/>
      <x:c r="AB8" s="642" t="n"/>
      <x:c r="AC8" s="642" t="n"/>
      <x:c r="AD8" s="642" t="n"/>
      <x:c r="AE8" s="642" t="n"/>
      <x:c r="AF8" s="642" t="n"/>
      <x:c r="AG8" s="642" t="n"/>
      <x:c r="AH8" s="642" t="n"/>
      <x:c r="AI8" s="642" t="n"/>
      <x:c r="AJ8" s="642" t="n"/>
      <x:c r="AK8" s="642" t="n"/>
      <x:c r="AL8" s="642" t="n"/>
      <x:c r="AM8" s="642" t="n"/>
      <x:c r="AN8" s="642" t="n"/>
      <x:c r="AO8" s="642" t="n"/>
      <x:c r="AP8" s="642" t="n"/>
      <x:c r="AQ8" s="642" t="n"/>
      <x:c r="AR8" s="642" t="n"/>
      <x:c r="AS8" s="642" t="n"/>
      <x:c r="AT8" s="642" t="n"/>
      <x:c r="AU8" s="642" t="n"/>
      <x:c r="AV8" s="642" t="n"/>
      <x:c r="AW8" s="642" t="n"/>
      <x:c r="AX8" s="642" t="n"/>
      <x:c r="AY8" s="642" t="n"/>
      <x:c r="AZ8" s="642" t="n"/>
      <x:c r="BA8" s="642" t="n"/>
      <x:c r="BB8" s="642" t="n"/>
      <x:c r="BC8" s="642" t="n"/>
      <x:c r="BD8" s="642" t="n"/>
      <x:c r="BE8" s="642" t="n"/>
      <x:c r="BF8" s="642" t="n"/>
      <x:c r="BG8" s="642" t="n"/>
      <x:c r="BH8" s="642" t="n"/>
      <x:c r="BI8" s="642" t="n"/>
      <x:c r="BJ8" s="642" t="n"/>
      <x:c r="BK8" s="642" t="n"/>
      <x:c r="BL8" s="642" t="n"/>
      <x:c r="BM8" s="642" t="n"/>
      <x:c r="BN8" s="642" t="n"/>
      <x:c r="BO8" s="642" t="n"/>
      <x:c r="BP8" s="642" t="n"/>
      <x:c r="BQ8" s="642" t="n"/>
      <x:c r="BR8" s="642" t="n"/>
      <x:c r="BS8" s="642" t="n"/>
      <x:c r="BT8" s="642" t="n"/>
      <x:c r="BU8" s="642" t="n"/>
      <x:c r="BV8" s="642" t="n"/>
      <x:c r="BW8" s="642" t="n"/>
      <x:c r="BX8" s="642" t="n"/>
      <x:c r="BY8" s="642" t="n"/>
      <x:c r="BZ8" s="642" t="n"/>
      <x:c r="CA8" s="642" t="n"/>
      <x:c r="CB8" s="642" t="n"/>
      <x:c r="CC8" s="642" t="n"/>
      <x:c r="CD8" s="642" t="n"/>
      <x:c r="CE8" s="642" t="n"/>
      <x:c r="CF8" s="642" t="n"/>
      <x:c r="CG8" s="642" t="n"/>
      <x:c r="CH8" s="642" t="n"/>
      <x:c r="CI8" s="642" t="n"/>
      <x:c r="CJ8" s="642" t="n"/>
      <x:c r="CK8" s="642" t="n"/>
      <x:c r="CL8" s="642" t="n"/>
      <x:c r="CM8" s="642" t="n"/>
      <x:c r="CN8" s="642" t="n"/>
      <x:c r="CO8" s="642" t="n"/>
      <x:c r="CP8" s="642" t="n"/>
      <x:c r="CQ8" s="642" t="n"/>
      <x:c r="CR8" s="642" t="n"/>
      <x:c r="CS8" s="642" t="n"/>
      <x:c r="CT8" s="642" t="n"/>
      <x:c r="CU8" s="642" t="n"/>
      <x:c r="CV8" s="642" t="n"/>
      <x:c r="CW8" s="642" t="n"/>
      <x:c r="CX8" s="642" t="n"/>
      <x:c r="CY8" s="642" t="n"/>
      <x:c r="CZ8" s="642" t="n"/>
      <x:c r="DA8" s="642" t="n"/>
      <x:c r="DB8" s="642" t="n"/>
      <x:c r="DC8" s="642" t="n"/>
      <x:c r="DD8" s="642" t="n"/>
      <x:c r="DE8" s="642" t="n"/>
      <x:c r="DF8" s="642" t="n"/>
      <x:c r="DG8" s="642" t="n"/>
      <x:c r="DH8" s="642" t="n"/>
      <x:c r="DI8" s="642" t="n"/>
      <x:c r="DJ8" s="642" t="n"/>
      <x:c r="DK8" s="642" t="n"/>
      <x:c r="DL8" s="642" t="n"/>
      <x:c r="DM8" s="642" t="n"/>
      <x:c r="DN8" s="642" t="n"/>
      <x:c r="DO8" s="642" t="n"/>
      <x:c r="DP8" s="642" t="n"/>
      <x:c r="DQ8" s="642" t="n"/>
      <x:c r="DR8" s="642" t="n"/>
      <x:c r="DS8" s="642" t="n"/>
      <x:c r="DT8" s="642" t="n"/>
      <x:c r="DU8" s="642" t="n"/>
      <x:c r="DV8" s="642" t="n"/>
      <x:c r="DW8" s="642" t="n"/>
      <x:c r="DX8" s="642" t="n"/>
      <x:c r="DY8" s="642" t="n"/>
      <x:c r="DZ8" s="642" t="n"/>
      <x:c r="EA8" s="642" t="n"/>
      <x:c r="EB8" s="642" t="n"/>
      <x:c r="EC8" s="642" t="n"/>
      <x:c r="ED8" s="642" t="n"/>
      <x:c r="EE8" s="642" t="n"/>
      <x:c r="EF8" s="642" t="n"/>
      <x:c r="EG8" s="642" t="n"/>
      <x:c r="EH8" s="642" t="n"/>
      <x:c r="EI8" s="642" t="n"/>
      <x:c r="EJ8" s="642" t="n"/>
      <x:c r="EK8" s="642" t="n"/>
      <x:c r="EL8" s="642" t="n"/>
      <x:c r="EM8" s="642" t="n"/>
      <x:c r="EN8" s="642" t="n"/>
      <x:c r="EO8" s="642" t="n"/>
      <x:c r="EP8" s="642" t="n"/>
      <x:c r="EQ8" s="642" t="n"/>
      <x:c r="ER8" s="642" t="n"/>
      <x:c r="ES8" s="642" t="n"/>
      <x:c r="ET8" s="642" t="n"/>
      <x:c r="EU8" s="642" t="n"/>
      <x:c r="EV8" s="642" t="n"/>
      <x:c r="EW8" s="642" t="n"/>
      <x:c r="EX8" s="642" t="n"/>
      <x:c r="EY8" s="642" t="n"/>
      <x:c r="EZ8" s="642" t="n"/>
      <x:c r="FA8" s="642" t="n"/>
      <x:c r="FB8" s="642" t="n"/>
      <x:c r="FC8" s="642" t="n"/>
      <x:c r="FD8" s="642" t="n"/>
      <x:c r="FE8" s="642" t="n"/>
      <x:c r="FF8" s="642" t="n"/>
      <x:c r="FG8" s="642" t="n"/>
      <x:c r="FH8" s="642" t="n"/>
      <x:c r="FI8" s="642" t="n"/>
      <x:c r="FJ8" s="642" t="n"/>
      <x:c r="FK8" s="642" t="n"/>
      <x:c r="FL8" s="642" t="n"/>
      <x:c r="FM8" s="642" t="n"/>
      <x:c r="FN8" s="642" t="n"/>
      <x:c r="FO8" s="642" t="n"/>
      <x:c r="FP8" s="642" t="n"/>
      <x:c r="FQ8" s="642" t="n"/>
      <x:c r="FR8" s="642" t="n"/>
      <x:c r="FS8" s="642" t="n"/>
      <x:c r="FT8" s="642" t="n"/>
      <x:c r="FU8" s="642" t="n"/>
      <x:c r="FV8" s="642" t="n"/>
      <x:c r="FW8" s="642" t="n"/>
      <x:c r="FX8" s="642" t="n"/>
      <x:c r="FY8" s="642" t="n"/>
      <x:c r="FZ8" s="642" t="n"/>
    </x:row>
    <x:row r="9" s="40" customFormat="1" ht="12.75" customHeight="1">
      <x:c r="A9" s="48" t="n"/>
      <x:c r="B9" s="47" t="n"/>
      <x:c r="C9" s="45" t="n"/>
      <x:c r="D9" s="46" t="n"/>
      <x:c r="E9" s="45" t="n"/>
      <x:c r="F9" s="44" t="n"/>
      <x:c r="G9" s="43" t="n"/>
      <x:c r="H9" s="41" t="n"/>
      <x:c r="I9" s="42" t="n"/>
      <x:c r="J9" s="41" t="n"/>
      <x:c r="K9" s="41" t="n"/>
      <x:c r="L9" s="41" t="n"/>
      <x:c r="M9" s="41" t="n"/>
      <x:c r="N9" s="41" t="n"/>
      <x:c r="O9" s="41" t="n"/>
      <x:c r="P9" s="41" t="n"/>
      <x:c r="Q9" s="41" t="n"/>
      <x:c r="R9" s="99" t="n"/>
      <x:c r="S9" s="99" t="n"/>
      <x:c r="T9" s="41" t="n"/>
      <x:c r="U9" s="41" t="n"/>
      <x:c r="V9" s="41" t="n"/>
      <x:c r="W9" s="41" t="n"/>
      <x:c r="X9" s="41" t="n"/>
      <x:c r="Y9" s="41" t="n"/>
      <x:c r="Z9" s="41" t="n"/>
      <x:c r="AA9" s="41" t="n"/>
      <x:c r="AB9" s="41" t="n"/>
      <x:c r="AC9" s="41" t="n"/>
      <x:c r="AD9" s="41" t="n"/>
      <x:c r="AE9" s="99" t="n"/>
      <x:c r="AF9" s="99" t="n"/>
      <x:c r="AG9" s="99" t="n"/>
      <x:c r="AH9" s="99" t="n"/>
      <x:c r="AI9" s="99" t="n"/>
      <x:c r="AJ9" s="99" t="n"/>
      <x:c r="AK9" s="99" t="n"/>
      <x:c r="AL9" s="41" t="n"/>
      <x:c r="AM9" s="99" t="n"/>
      <x:c r="AN9" s="41" t="n"/>
      <x:c r="AO9" s="99" t="n"/>
      <x:c r="AP9" s="41" t="n"/>
      <x:c r="AQ9" s="41" t="n"/>
      <x:c r="AR9" s="41" t="n"/>
      <x:c r="AS9" s="41" t="n"/>
      <x:c r="AT9" s="41" t="n"/>
      <x:c r="AU9" s="41" t="n"/>
      <x:c r="AV9" s="41" t="n"/>
      <x:c r="AW9" s="41" t="n"/>
      <x:c r="AX9" s="41" t="n"/>
      <x:c r="AY9" s="41" t="n"/>
      <x:c r="AZ9" s="41" t="n"/>
      <x:c r="BA9" s="41" t="n"/>
      <x:c r="BB9" s="41" t="n"/>
      <x:c r="BC9" s="41" t="n"/>
      <x:c r="BD9" s="41" t="n"/>
      <x:c r="BE9" s="41" t="n"/>
      <x:c r="BF9" s="41" t="n"/>
      <x:c r="BG9" s="41" t="n"/>
      <x:c r="BH9" s="41" t="n"/>
      <x:c r="BI9" s="41" t="n"/>
      <x:c r="BJ9" s="41" t="n"/>
      <x:c r="BK9" s="41" t="n"/>
      <x:c r="BL9" s="41" t="n"/>
      <x:c r="BM9" s="41" t="n"/>
      <x:c r="BN9" s="41" t="n"/>
      <x:c r="BO9" s="41" t="n"/>
      <x:c r="BP9" s="41" t="n"/>
      <x:c r="BQ9" s="41" t="n"/>
      <x:c r="BR9" s="41" t="n"/>
      <x:c r="BS9" s="41" t="n"/>
      <x:c r="BT9" s="41" t="n"/>
      <x:c r="BU9" s="41" t="n"/>
      <x:c r="BV9" s="41" t="n"/>
      <x:c r="BW9" s="41" t="n"/>
      <x:c r="BX9" s="41" t="n"/>
      <x:c r="BY9" s="41" t="n"/>
      <x:c r="BZ9" s="41" t="n"/>
      <x:c r="CA9" s="41" t="n"/>
      <x:c r="CB9" s="41" t="n"/>
      <x:c r="CC9" s="41" t="n"/>
      <x:c r="CD9" s="41" t="n"/>
      <x:c r="CE9" s="41" t="n"/>
      <x:c r="CF9" s="41" t="n"/>
      <x:c r="CG9" s="41" t="n"/>
      <x:c r="CH9" s="41" t="n"/>
      <x:c r="CI9" s="41" t="n"/>
      <x:c r="CJ9" s="41" t="n"/>
      <x:c r="CK9" s="41" t="n"/>
      <x:c r="CL9" s="41" t="n"/>
      <x:c r="CM9" s="41" t="n"/>
      <x:c r="CN9" s="41" t="n"/>
      <x:c r="CO9" s="41" t="n"/>
      <x:c r="CP9" s="41" t="n"/>
      <x:c r="CQ9" s="41" t="n"/>
      <x:c r="CR9" s="41" t="n"/>
      <x:c r="CS9" s="41" t="n"/>
      <x:c r="CT9" s="41" t="n"/>
      <x:c r="CU9" s="41" t="n"/>
      <x:c r="CV9" s="41" t="n"/>
      <x:c r="CW9" s="41" t="n"/>
      <x:c r="CX9" s="41" t="n"/>
      <x:c r="CY9" s="41" t="n"/>
      <x:c r="CZ9" s="41" t="n"/>
      <x:c r="DA9" s="41" t="n"/>
      <x:c r="DB9" s="41" t="n"/>
      <x:c r="DC9" s="41" t="n"/>
      <x:c r="DD9" s="41" t="n"/>
      <x:c r="DE9" s="41" t="n"/>
      <x:c r="DF9" s="41" t="n"/>
      <x:c r="DG9" s="41" t="n"/>
      <x:c r="DH9" s="41" t="n"/>
      <x:c r="DI9" s="41" t="n"/>
      <x:c r="DJ9" s="41" t="n"/>
      <x:c r="DK9" s="41" t="n"/>
      <x:c r="DL9" s="41" t="n"/>
      <x:c r="DM9" s="41" t="n"/>
      <x:c r="DN9" s="41" t="n"/>
      <x:c r="DO9" s="41" t="n"/>
      <x:c r="DP9" s="41" t="n"/>
      <x:c r="DQ9" s="41" t="n"/>
      <x:c r="DR9" s="41" t="n"/>
      <x:c r="DS9" s="41" t="n"/>
      <x:c r="DT9" s="41" t="n"/>
      <x:c r="DU9" s="41" t="n"/>
      <x:c r="DV9" s="41" t="n"/>
      <x:c r="DW9" s="41" t="n"/>
      <x:c r="DX9" s="41" t="n"/>
      <x:c r="DY9" s="41" t="n"/>
      <x:c r="DZ9" s="41" t="n"/>
      <x:c r="EA9" s="41" t="n"/>
      <x:c r="EB9" s="41" t="n"/>
      <x:c r="EC9" s="41" t="n"/>
      <x:c r="ED9" s="41" t="n"/>
      <x:c r="EE9" s="41" t="n"/>
      <x:c r="EF9" s="41" t="n"/>
      <x:c r="EG9" s="41" t="n"/>
      <x:c r="EH9" s="41" t="n"/>
      <x:c r="EI9" s="41" t="n"/>
      <x:c r="EJ9" s="41" t="n"/>
      <x:c r="EK9" s="41" t="n"/>
      <x:c r="EL9" s="41" t="n"/>
      <x:c r="EM9" s="41" t="n"/>
      <x:c r="EN9" s="41" t="n"/>
      <x:c r="EO9" s="41" t="n"/>
      <x:c r="EP9" s="41" t="n"/>
      <x:c r="EQ9" s="41" t="n"/>
      <x:c r="ER9" s="41" t="n"/>
      <x:c r="ES9" s="41" t="n"/>
      <x:c r="ET9" s="41" t="n"/>
      <x:c r="EU9" s="41" t="n"/>
      <x:c r="EV9" s="41" t="n"/>
      <x:c r="EW9" s="41" t="n"/>
      <x:c r="EX9" s="41" t="n"/>
      <x:c r="EY9" s="41" t="n"/>
      <x:c r="EZ9" s="41" t="n"/>
      <x:c r="FA9" s="41" t="n"/>
      <x:c r="FB9" s="41" t="n"/>
      <x:c r="FC9" s="41" t="n"/>
      <x:c r="FD9" s="41" t="n"/>
      <x:c r="FE9" s="41" t="n"/>
      <x:c r="FF9" s="41" t="n"/>
      <x:c r="FG9" s="41" t="n"/>
      <x:c r="FH9" s="41" t="n"/>
      <x:c r="FI9" s="41" t="n"/>
      <x:c r="FJ9" s="41" t="n"/>
      <x:c r="FK9" s="41" t="n"/>
      <x:c r="FL9" s="41" t="n"/>
      <x:c r="FM9" s="41" t="n"/>
      <x:c r="FN9" s="41" t="n"/>
      <x:c r="FO9" s="41" t="n"/>
      <x:c r="FP9" s="41" t="n"/>
      <x:c r="FQ9" s="41" t="n"/>
      <x:c r="FR9" s="41" t="n"/>
      <x:c r="FS9" s="41" t="n"/>
      <x:c r="FT9" s="41" t="n"/>
      <x:c r="FU9" s="41" t="n"/>
      <x:c r="FV9" s="41" t="n"/>
      <x:c r="FW9" s="41" t="n"/>
      <x:c r="FX9" s="41" t="n"/>
      <x:c r="FY9" s="41" t="n"/>
      <x:c r="FZ9" s="41" t="n"/>
    </x:row>
    <x:row r="10" s="27" customFormat="1">
      <x:c r="A10" s="38" t="n"/>
      <x:c r="B10" s="37" t="n"/>
      <x:c r="C10" s="36" t="n">
        <x:f>E10*D$5</x:f>
        <x:v>0</x:v>
      </x:c>
      <x:c r="D10" s="103" t="inlineStr">
        <x:is>
          <x:t xml:space="preserve">United States of America</x:t>
        </x:is>
      </x:c>
      <x:c r="E10" s="36" t="n">
        <x:f>SUM(G10:HS10)</x:f>
        <x:v>0</x:v>
      </x:c>
      <x:c r="F10" s="35" t="inlineStr">
        <x:is>
          <x:t xml:space="preserve"/>
        </x:is>
      </x:c>
      <x:c r="G10" s="121" t="n">
        <x:v>1</x:v>
      </x:c>
      <x:c r="H10" s="122" t="n">
        <x:v>-1</x:v>
      </x:c>
      <x:c r="I10" s="121" t="n"/>
      <x:c r="J10" s="121" t="n"/>
      <x:c r="K10" s="122" t="n"/>
      <x:c r="L10" s="121" t="n"/>
      <x:c r="M10" s="121" t="n"/>
      <x:c r="N10" s="121" t="n"/>
      <x:c r="O10" s="121" t="n"/>
      <x:c r="P10" s="121" t="n"/>
      <x:c r="Q10" s="121" t="n"/>
      <x:c r="R10" s="123" t="n"/>
      <x:c r="S10" s="123" t="n"/>
      <x:c r="T10" s="121" t="n"/>
      <x:c r="U10" s="121" t="n"/>
      <x:c r="V10" s="121" t="n"/>
      <x:c r="W10" s="121" t="n"/>
      <x:c r="X10" s="121" t="n"/>
      <x:c r="Y10" s="121" t="n"/>
      <x:c r="Z10" s="121" t="n"/>
      <x:c r="AA10" s="121" t="n"/>
      <x:c r="AB10" s="121" t="n"/>
      <x:c r="AC10" s="121" t="n"/>
      <x:c r="AD10" s="121" t="n"/>
      <x:c r="AE10" s="123" t="n"/>
      <x:c r="AF10" s="123" t="n"/>
      <x:c r="AG10" s="123" t="n"/>
      <x:c r="AH10" s="123" t="n"/>
      <x:c r="AI10" s="123" t="n"/>
      <x:c r="AJ10" s="123" t="n"/>
      <x:c r="AK10" s="123" t="n"/>
      <x:c r="AL10" s="121" t="n"/>
      <x:c r="AM10" s="123" t="n"/>
      <x:c r="AN10" s="121" t="n"/>
      <x:c r="AO10" s="123" t="n"/>
      <x:c r="AP10" s="121" t="n"/>
      <x:c r="AQ10" s="121" t="n"/>
      <x:c r="AR10" s="28" t="n"/>
      <x:c r="AS10" s="28" t="n"/>
      <x:c r="AT10" s="28" t="n"/>
      <x:c r="AU10" s="28" t="n"/>
      <x:c r="AV10" s="28" t="n"/>
      <x:c r="AW10" s="28" t="n"/>
      <x:c r="AX10" s="28" t="n"/>
      <x:c r="AY10" s="28" t="n"/>
      <x:c r="AZ10" s="28" t="n"/>
      <x:c r="BA10" s="28" t="n"/>
      <x:c r="BB10" s="28" t="n"/>
      <x:c r="BC10" s="28" t="n"/>
      <x:c r="BD10" s="28" t="n"/>
      <x:c r="BE10" s="28" t="n"/>
      <x:c r="BF10" s="28" t="n"/>
      <x:c r="BG10" s="28" t="n"/>
      <x:c r="BH10" s="28" t="n"/>
      <x:c r="BI10" s="28" t="n"/>
      <x:c r="BJ10" s="28" t="n"/>
      <x:c r="BK10" s="28" t="n"/>
      <x:c r="BL10" s="28" t="n"/>
      <x:c r="BM10" s="28" t="n"/>
      <x:c r="BN10" s="28" t="n"/>
      <x:c r="BO10" s="28" t="n"/>
      <x:c r="BP10" s="28" t="n"/>
      <x:c r="BQ10" s="28" t="n"/>
      <x:c r="BR10" s="28" t="n"/>
      <x:c r="BS10" s="28" t="n"/>
      <x:c r="BT10" s="28" t="n"/>
      <x:c r="BU10" s="28" t="n"/>
      <x:c r="BV10" s="28" t="n"/>
      <x:c r="BW10" s="28" t="n"/>
      <x:c r="BX10" s="28" t="n"/>
      <x:c r="BY10" s="28" t="n"/>
      <x:c r="BZ10" s="28" t="n"/>
      <x:c r="CA10" s="28" t="n"/>
      <x:c r="CB10" s="28" t="n"/>
      <x:c r="CC10" s="28" t="n"/>
      <x:c r="CD10" s="28" t="n"/>
      <x:c r="CE10" s="28" t="n"/>
      <x:c r="CF10" s="28" t="n"/>
      <x:c r="CG10" s="28" t="n"/>
      <x:c r="CH10" s="28" t="n"/>
      <x:c r="CI10" s="28" t="n"/>
      <x:c r="CJ10" s="28" t="n"/>
      <x:c r="CK10" s="28" t="n"/>
      <x:c r="CL10" s="28" t="n"/>
      <x:c r="CM10" s="28" t="n"/>
      <x:c r="CN10" s="28" t="n"/>
      <x:c r="CO10" s="28" t="n"/>
      <x:c r="CP10" s="28" t="n"/>
      <x:c r="CQ10" s="28" t="n"/>
      <x:c r="CR10" s="28" t="n"/>
      <x:c r="CS10" s="28" t="n"/>
      <x:c r="CT10" s="28" t="n"/>
      <x:c r="CU10" s="28" t="n"/>
      <x:c r="CV10" s="28" t="n"/>
      <x:c r="CW10" s="28" t="n"/>
      <x:c r="CX10" s="28" t="n"/>
      <x:c r="CY10" s="28" t="n"/>
      <x:c r="CZ10" s="28" t="n"/>
      <x:c r="DA10" s="28" t="n"/>
      <x:c r="DB10" s="28" t="n"/>
      <x:c r="DC10" s="28" t="n"/>
      <x:c r="DD10" s="28" t="n"/>
      <x:c r="DE10" s="28" t="n"/>
      <x:c r="DF10" s="28" t="n"/>
      <x:c r="DG10" s="28" t="n"/>
      <x:c r="DH10" s="28" t="n"/>
      <x:c r="DI10" s="28" t="n"/>
      <x:c r="DJ10" s="28" t="n"/>
      <x:c r="DK10" s="28" t="n"/>
      <x:c r="DL10" s="28" t="n"/>
      <x:c r="DM10" s="28" t="n"/>
      <x:c r="DN10" s="28" t="n"/>
      <x:c r="DO10" s="28" t="n"/>
      <x:c r="DP10" s="28" t="n"/>
      <x:c r="DQ10" s="28" t="n"/>
      <x:c r="DR10" s="28" t="n"/>
      <x:c r="DS10" s="28" t="n"/>
      <x:c r="DT10" s="28" t="n"/>
      <x:c r="DU10" s="28" t="n"/>
      <x:c r="DV10" s="28" t="n"/>
      <x:c r="DW10" s="28" t="n"/>
      <x:c r="DX10" s="28" t="n"/>
      <x:c r="DY10" s="28" t="n"/>
      <x:c r="DZ10" s="28" t="n"/>
      <x:c r="EA10" s="28" t="n"/>
      <x:c r="EB10" s="28" t="n"/>
      <x:c r="EC10" s="28" t="n"/>
      <x:c r="ED10" s="28" t="n"/>
      <x:c r="EE10" s="28" t="n"/>
      <x:c r="EF10" s="28" t="n"/>
      <x:c r="EG10" s="28" t="n"/>
      <x:c r="EH10" s="28" t="n"/>
      <x:c r="EI10" s="28" t="n"/>
      <x:c r="EJ10" s="28" t="n"/>
      <x:c r="EK10" s="28" t="n"/>
      <x:c r="EL10" s="28" t="n"/>
      <x:c r="EM10" s="28" t="n"/>
      <x:c r="EN10" s="28" t="n"/>
      <x:c r="EO10" s="28" t="n"/>
      <x:c r="EP10" s="28" t="n"/>
      <x:c r="EQ10" s="28" t="n"/>
      <x:c r="ER10" s="28" t="n"/>
      <x:c r="ES10" s="28" t="n"/>
      <x:c r="ET10" s="28" t="n"/>
      <x:c r="EU10" s="28" t="n"/>
      <x:c r="EV10" s="28" t="n"/>
      <x:c r="EW10" s="28" t="n"/>
      <x:c r="EX10" s="28" t="n"/>
      <x:c r="EY10" s="28" t="n"/>
      <x:c r="EZ10" s="28" t="n"/>
      <x:c r="FA10" s="28" t="n"/>
      <x:c r="FB10" s="28" t="n"/>
      <x:c r="FC10" s="28" t="n"/>
      <x:c r="FD10" s="28" t="n"/>
      <x:c r="FE10" s="28" t="n"/>
      <x:c r="FF10" s="28" t="n"/>
      <x:c r="FG10" s="28" t="n"/>
      <x:c r="FH10" s="28" t="n"/>
      <x:c r="FI10" s="28" t="n"/>
      <x:c r="FJ10" s="28" t="n"/>
      <x:c r="FK10" s="28" t="n"/>
      <x:c r="FL10" s="28" t="n"/>
      <x:c r="FM10" s="28" t="n"/>
      <x:c r="FN10" s="28" t="n"/>
      <x:c r="FO10" s="28" t="n"/>
      <x:c r="FP10" s="28" t="n"/>
      <x:c r="FQ10" s="28" t="n"/>
      <x:c r="FR10" s="28" t="n"/>
      <x:c r="FS10" s="28" t="n"/>
      <x:c r="FT10" s="28" t="n"/>
      <x:c r="FU10" s="28" t="n"/>
      <x:c r="FV10" s="28" t="n"/>
      <x:c r="FW10" s="28" t="n"/>
      <x:c r="FX10" s="28" t="n"/>
      <x:c r="FY10" s="28" t="n"/>
      <x:c r="FZ10" s="28" t="n"/>
    </x:row>
    <x:row r="11" s="27" customFormat="1">
      <x:c r="A11" s="20" t="n"/>
      <x:c r="B11" s="37" t="n"/>
      <x:c r="C11" s="86" t="n">
        <x:f>E11*D$5</x:f>
        <x:v>0</x:v>
      </x:c>
      <x:c r="D11" s="103" t="inlineStr">
        <x:is>
          <x:t xml:space="preserve">Ernest Brooks and Mary Brooks, HW</x:t>
        </x:is>
      </x:c>
      <x:c r="E11" s="86" t="n">
        <x:f>SUM(G11:HS11)</x:f>
        <x:v>0</x:v>
      </x:c>
      <x:c r="F11" s="35" t="inlineStr">
        <x:is>
          <x:t xml:space="preserve"/>
        </x:is>
      </x:c>
      <x:c r="G11" s="121" t="n"/>
      <x:c r="H11" s="121" t="n">
        <x:v>1</x:v>
      </x:c>
      <x:c r="I11" s="121" t="n">
        <x:v>-1</x:v>
      </x:c>
      <x:c r="J11" s="122" t="n"/>
      <x:c r="K11" s="121" t="n"/>
      <x:c r="L11" s="121" t="n"/>
      <x:c r="M11" s="121" t="n"/>
      <x:c r="N11" s="121" t="n"/>
      <x:c r="O11" s="121" t="n"/>
      <x:c r="P11" s="121" t="n"/>
      <x:c r="Q11" s="123" t="n"/>
      <x:c r="R11" s="123" t="n"/>
      <x:c r="S11" s="121" t="n"/>
      <x:c r="T11" s="121" t="n"/>
      <x:c r="U11" s="121" t="n"/>
      <x:c r="V11" s="121" t="n"/>
      <x:c r="W11" s="121" t="n"/>
      <x:c r="X11" s="121" t="n"/>
      <x:c r="Y11" s="121" t="n"/>
      <x:c r="Z11" s="121" t="n"/>
      <x:c r="AA11" s="121" t="n"/>
      <x:c r="AB11" s="121" t="n"/>
      <x:c r="AC11" s="121" t="n"/>
      <x:c r="AD11" s="124" t="n"/>
      <x:c r="AE11" s="123" t="n"/>
      <x:c r="AF11" s="123" t="n"/>
      <x:c r="AG11" s="123" t="n"/>
      <x:c r="AH11" s="123" t="n"/>
      <x:c r="AI11" s="123" t="n"/>
      <x:c r="AJ11" s="123" t="n"/>
      <x:c r="AK11" s="121" t="n"/>
      <x:c r="AL11" s="123" t="n"/>
      <x:c r="AM11" s="121" t="n"/>
      <x:c r="AN11" s="123" t="n"/>
      <x:c r="AO11" s="121" t="n"/>
      <x:c r="AP11" s="121" t="n"/>
      <x:c r="AQ11" s="28" t="n"/>
      <x:c r="AR11" s="28" t="n"/>
      <x:c r="AS11" s="28" t="n"/>
      <x:c r="AT11" s="28" t="n"/>
      <x:c r="AU11" s="28" t="n"/>
      <x:c r="AV11" s="28" t="n"/>
      <x:c r="AW11" s="28" t="n"/>
      <x:c r="AX11" s="28" t="n"/>
      <x:c r="AY11" s="28" t="n"/>
      <x:c r="AZ11" s="28" t="n"/>
      <x:c r="BA11" s="28" t="n"/>
      <x:c r="BB11" s="28" t="n"/>
      <x:c r="BC11" s="28" t="n"/>
      <x:c r="BD11" s="28" t="n"/>
      <x:c r="BE11" s="28" t="n"/>
      <x:c r="BF11" s="28" t="n"/>
      <x:c r="BG11" s="28" t="n"/>
      <x:c r="BH11" s="28" t="n"/>
      <x:c r="BI11" s="28" t="n"/>
      <x:c r="BJ11" s="28" t="n"/>
      <x:c r="BK11" s="28" t="n"/>
      <x:c r="BL11" s="28" t="n"/>
      <x:c r="BM11" s="28" t="n"/>
      <x:c r="BN11" s="28" t="n"/>
      <x:c r="BO11" s="28" t="n"/>
      <x:c r="BP11" s="28" t="n"/>
      <x:c r="BQ11" s="28" t="n"/>
      <x:c r="BR11" s="28" t="n"/>
      <x:c r="BS11" s="28" t="n"/>
      <x:c r="BT11" s="28" t="n"/>
      <x:c r="BU11" s="28" t="n"/>
      <x:c r="BV11" s="28" t="n"/>
      <x:c r="BW11" s="28" t="n"/>
      <x:c r="BX11" s="28" t="n"/>
      <x:c r="BY11" s="28" t="n"/>
      <x:c r="BZ11" s="28" t="n"/>
      <x:c r="CA11" s="28" t="n"/>
      <x:c r="CB11" s="28" t="n"/>
      <x:c r="CC11" s="28" t="n"/>
      <x:c r="CD11" s="28" t="n"/>
      <x:c r="CE11" s="28" t="n"/>
      <x:c r="CF11" s="28" t="n"/>
      <x:c r="CG11" s="28" t="n"/>
      <x:c r="CH11" s="28" t="n"/>
      <x:c r="CI11" s="28" t="n"/>
      <x:c r="CJ11" s="28" t="n"/>
      <x:c r="CK11" s="28" t="n"/>
      <x:c r="CL11" s="28" t="n"/>
      <x:c r="CM11" s="28" t="n"/>
      <x:c r="CN11" s="28" t="n"/>
      <x:c r="CO11" s="28" t="n"/>
      <x:c r="CP11" s="28" t="n"/>
      <x:c r="CQ11" s="28" t="n"/>
      <x:c r="CR11" s="28" t="n"/>
      <x:c r="CS11" s="28" t="n"/>
      <x:c r="CT11" s="28" t="n"/>
      <x:c r="CU11" s="28" t="n"/>
      <x:c r="CV11" s="28" t="n"/>
      <x:c r="CW11" s="28" t="n"/>
      <x:c r="CX11" s="28" t="n"/>
      <x:c r="CY11" s="28" t="n"/>
      <x:c r="CZ11" s="28" t="n"/>
      <x:c r="DA11" s="28" t="n"/>
      <x:c r="DB11" s="28" t="n"/>
      <x:c r="DC11" s="28" t="n"/>
      <x:c r="DD11" s="28" t="n"/>
      <x:c r="DE11" s="28" t="n"/>
      <x:c r="DF11" s="28" t="n"/>
      <x:c r="DG11" s="28" t="n"/>
      <x:c r="DH11" s="28" t="n"/>
      <x:c r="DI11" s="28" t="n"/>
      <x:c r="DJ11" s="28" t="n"/>
      <x:c r="DK11" s="28" t="n"/>
      <x:c r="DL11" s="28" t="n"/>
      <x:c r="DM11" s="28" t="n"/>
      <x:c r="DN11" s="28" t="n"/>
      <x:c r="DO11" s="28" t="n"/>
      <x:c r="DP11" s="28" t="n"/>
      <x:c r="DQ11" s="28" t="n"/>
      <x:c r="DR11" s="28" t="n"/>
      <x:c r="DS11" s="28" t="n"/>
      <x:c r="DT11" s="28" t="n"/>
      <x:c r="DU11" s="28" t="n"/>
      <x:c r="DV11" s="28" t="n"/>
      <x:c r="DW11" s="28" t="n"/>
      <x:c r="DX11" s="28" t="n"/>
      <x:c r="DY11" s="28" t="n"/>
      <x:c r="DZ11" s="28" t="n"/>
      <x:c r="EA11" s="28" t="n"/>
      <x:c r="EB11" s="28" t="n"/>
      <x:c r="EC11" s="28" t="n"/>
      <x:c r="ED11" s="28" t="n"/>
      <x:c r="EE11" s="28" t="n"/>
      <x:c r="EF11" s="28" t="n"/>
      <x:c r="EG11" s="28" t="n"/>
      <x:c r="EH11" s="28" t="n"/>
      <x:c r="EI11" s="28" t="n"/>
      <x:c r="EJ11" s="28" t="n"/>
      <x:c r="EK11" s="28" t="n"/>
      <x:c r="EL11" s="28" t="n"/>
      <x:c r="EM11" s="28" t="n"/>
      <x:c r="EN11" s="28" t="n"/>
      <x:c r="EO11" s="28" t="n"/>
      <x:c r="EP11" s="28" t="n"/>
      <x:c r="EQ11" s="28" t="n"/>
      <x:c r="ER11" s="28" t="n"/>
      <x:c r="ES11" s="28" t="n"/>
      <x:c r="ET11" s="28" t="n"/>
      <x:c r="EU11" s="28" t="n"/>
      <x:c r="EV11" s="28" t="n"/>
      <x:c r="EW11" s="28" t="n"/>
      <x:c r="EX11" s="28" t="n"/>
      <x:c r="EY11" s="28" t="n"/>
      <x:c r="EZ11" s="28" t="n"/>
      <x:c r="FA11" s="28" t="n"/>
      <x:c r="FB11" s="28" t="n"/>
      <x:c r="FC11" s="28" t="n"/>
      <x:c r="FD11" s="28" t="n"/>
      <x:c r="FE11" s="28" t="n"/>
      <x:c r="FF11" s="28" t="n"/>
      <x:c r="FG11" s="28" t="n"/>
      <x:c r="FH11" s="28" t="n"/>
      <x:c r="FI11" s="28" t="n"/>
      <x:c r="FJ11" s="28" t="n"/>
      <x:c r="FK11" s="28" t="n"/>
      <x:c r="FL11" s="28" t="n"/>
      <x:c r="FM11" s="28" t="n"/>
      <x:c r="FN11" s="28" t="n"/>
      <x:c r="FO11" s="28" t="n"/>
      <x:c r="FP11" s="28" t="n"/>
      <x:c r="FQ11" s="28" t="n"/>
      <x:c r="FR11" s="28" t="n"/>
      <x:c r="FS11" s="28" t="n"/>
      <x:c r="FT11" s="28" t="n"/>
      <x:c r="FU11" s="28" t="n"/>
      <x:c r="FV11" s="28" t="n"/>
      <x:c r="FW11" s="28" t="n"/>
      <x:c r="FX11" s="28" t="n"/>
      <x:c r="FY11" s="28" t="n"/>
    </x:row>
    <x:row r="12" s="27" customFormat="1">
      <x:c r="A12" s="20" t="n"/>
      <x:c r="B12" s="37" t="n"/>
      <x:c r="C12" s="86" t="n">
        <x:f>E12*D$5</x:f>
        <x:v>20</x:v>
      </x:c>
      <x:c r="D12" s="4" t="inlineStr">
        <x:is>
          <x:t xml:space="preserve">Susie Danforth</x:t>
        </x:is>
      </x:c>
      <x:c r="E12" s="86" t="n">
        <x:f>SUM(G12:HS12)</x:f>
        <x:v>0.5</x:v>
      </x:c>
      <x:c r="F12" s="35" t="inlineStr">
        <x:is>
          <x:t xml:space="preserve"/>
        </x:is>
      </x:c>
      <x:c r="G12" s="121" t="n"/>
      <x:c r="H12" s="121" t="n"/>
      <x:c r="I12" s="121" t="n">
        <x:v>0.5</x:v>
      </x:c>
      <x:c r="J12" s="121" t="n"/>
      <x:c r="K12" s="121" t="n"/>
      <x:c r="L12" s="121" t="n"/>
      <x:c r="M12" s="121" t="n"/>
      <x:c r="N12" s="121" t="n"/>
      <x:c r="O12" s="121" t="n"/>
      <x:c r="P12" s="121" t="n"/>
      <x:c r="Q12" s="123" t="n"/>
      <x:c r="R12" s="123" t="n"/>
      <x:c r="S12" s="121" t="n"/>
      <x:c r="T12" s="121" t="n"/>
      <x:c r="U12" s="121" t="n"/>
      <x:c r="V12" s="121" t="n"/>
      <x:c r="W12" s="121" t="n"/>
      <x:c r="X12" s="121" t="n"/>
      <x:c r="Y12" s="121" t="n"/>
      <x:c r="Z12" s="121" t="n"/>
      <x:c r="AA12" s="121" t="n"/>
      <x:c r="AB12" s="121" t="n"/>
      <x:c r="AC12" s="121" t="n"/>
      <x:c r="AD12" s="124" t="n"/>
      <x:c r="AE12" s="123" t="n"/>
      <x:c r="AF12" s="123" t="n"/>
      <x:c r="AG12" s="123" t="n"/>
      <x:c r="AH12" s="123" t="n"/>
      <x:c r="AI12" s="123" t="n"/>
      <x:c r="AJ12" s="123" t="n"/>
      <x:c r="AK12" s="121" t="n"/>
      <x:c r="AL12" s="124" t="n"/>
      <x:c r="AM12" s="121" t="n"/>
      <x:c r="AN12" s="123" t="n"/>
      <x:c r="AO12" s="121" t="n"/>
      <x:c r="AP12" s="121" t="n"/>
      <x:c r="AQ12" s="28" t="n"/>
      <x:c r="AR12" s="28" t="n"/>
      <x:c r="AS12" s="28" t="n"/>
      <x:c r="AT12" s="28" t="n"/>
      <x:c r="AU12" s="28" t="n"/>
      <x:c r="AV12" s="28" t="n"/>
      <x:c r="AW12" s="28" t="n"/>
      <x:c r="AX12" s="28" t="n"/>
      <x:c r="AY12" s="28" t="n"/>
      <x:c r="AZ12" s="28" t="n"/>
      <x:c r="BA12" s="28" t="n"/>
      <x:c r="BB12" s="28" t="n"/>
      <x:c r="BC12" s="28" t="n"/>
      <x:c r="BD12" s="28" t="n"/>
      <x:c r="BE12" s="28" t="n"/>
      <x:c r="BF12" s="28" t="n"/>
      <x:c r="BG12" s="28" t="n"/>
      <x:c r="BH12" s="28" t="n"/>
      <x:c r="BI12" s="28" t="n"/>
      <x:c r="BJ12" s="28" t="n"/>
      <x:c r="BK12" s="28" t="n"/>
      <x:c r="BL12" s="28" t="n"/>
      <x:c r="BM12" s="28" t="n"/>
      <x:c r="BN12" s="28" t="n"/>
      <x:c r="BO12" s="28" t="n"/>
      <x:c r="BP12" s="28" t="n"/>
      <x:c r="BQ12" s="28" t="n"/>
      <x:c r="BR12" s="28" t="n"/>
      <x:c r="BS12" s="28" t="n"/>
      <x:c r="BT12" s="28" t="n"/>
      <x:c r="BU12" s="28" t="n"/>
      <x:c r="BV12" s="28" t="n"/>
      <x:c r="BW12" s="28" t="n"/>
      <x:c r="BX12" s="28" t="n"/>
      <x:c r="BY12" s="28" t="n"/>
      <x:c r="BZ12" s="28" t="n"/>
      <x:c r="CA12" s="28" t="n"/>
      <x:c r="CB12" s="28" t="n"/>
      <x:c r="CC12" s="28" t="n"/>
      <x:c r="CD12" s="28" t="n"/>
      <x:c r="CE12" s="28" t="n"/>
      <x:c r="CF12" s="28" t="n"/>
      <x:c r="CG12" s="28" t="n"/>
      <x:c r="CH12" s="28" t="n"/>
      <x:c r="CI12" s="28" t="n"/>
      <x:c r="CJ12" s="28" t="n"/>
      <x:c r="CK12" s="28" t="n"/>
      <x:c r="CL12" s="28" t="n"/>
      <x:c r="CM12" s="28" t="n"/>
      <x:c r="CN12" s="28" t="n"/>
      <x:c r="CO12" s="28" t="n"/>
      <x:c r="CP12" s="28" t="n"/>
      <x:c r="CQ12" s="28" t="n"/>
      <x:c r="CR12" s="28" t="n"/>
      <x:c r="CS12" s="28" t="n"/>
      <x:c r="CT12" s="28" t="n"/>
      <x:c r="CU12" s="28" t="n"/>
      <x:c r="CV12" s="28" t="n"/>
      <x:c r="CW12" s="28" t="n"/>
      <x:c r="CX12" s="28" t="n"/>
      <x:c r="CY12" s="28" t="n"/>
      <x:c r="CZ12" s="28" t="n"/>
      <x:c r="DA12" s="28" t="n"/>
      <x:c r="DB12" s="28" t="n"/>
      <x:c r="DC12" s="28" t="n"/>
      <x:c r="DD12" s="28" t="n"/>
      <x:c r="DE12" s="28" t="n"/>
      <x:c r="DF12" s="28" t="n"/>
      <x:c r="DG12" s="28" t="n"/>
      <x:c r="DH12" s="28" t="n"/>
      <x:c r="DI12" s="28" t="n"/>
      <x:c r="DJ12" s="28" t="n"/>
      <x:c r="DK12" s="28" t="n"/>
      <x:c r="DL12" s="28" t="n"/>
      <x:c r="DM12" s="28" t="n"/>
      <x:c r="DN12" s="28" t="n"/>
      <x:c r="DO12" s="28" t="n"/>
      <x:c r="DP12" s="28" t="n"/>
      <x:c r="DQ12" s="28" t="n"/>
      <x:c r="DR12" s="28" t="n"/>
      <x:c r="DS12" s="28" t="n"/>
      <x:c r="DT12" s="28" t="n"/>
      <x:c r="DU12" s="28" t="n"/>
      <x:c r="DV12" s="28" t="n"/>
      <x:c r="DW12" s="28" t="n"/>
      <x:c r="DX12" s="28" t="n"/>
      <x:c r="DY12" s="28" t="n"/>
      <x:c r="DZ12" s="28" t="n"/>
      <x:c r="EA12" s="28" t="n"/>
      <x:c r="EB12" s="28" t="n"/>
      <x:c r="EC12" s="28" t="n"/>
      <x:c r="ED12" s="28" t="n"/>
      <x:c r="EE12" s="28" t="n"/>
      <x:c r="EF12" s="28" t="n"/>
      <x:c r="EG12" s="28" t="n"/>
      <x:c r="EH12" s="28" t="n"/>
      <x:c r="EI12" s="28" t="n"/>
      <x:c r="EJ12" s="28" t="n"/>
      <x:c r="EK12" s="28" t="n"/>
      <x:c r="EL12" s="28" t="n"/>
      <x:c r="EM12" s="28" t="n"/>
      <x:c r="EN12" s="28" t="n"/>
      <x:c r="EO12" s="28" t="n"/>
      <x:c r="EP12" s="28" t="n"/>
      <x:c r="EQ12" s="28" t="n"/>
      <x:c r="ER12" s="28" t="n"/>
      <x:c r="ES12" s="28" t="n"/>
      <x:c r="ET12" s="28" t="n"/>
      <x:c r="EU12" s="28" t="n"/>
      <x:c r="EV12" s="28" t="n"/>
      <x:c r="EW12" s="28" t="n"/>
      <x:c r="EX12" s="28" t="n"/>
      <x:c r="EY12" s="28" t="n"/>
      <x:c r="EZ12" s="28" t="n"/>
      <x:c r="FA12" s="28" t="n"/>
      <x:c r="FB12" s="28" t="n"/>
      <x:c r="FC12" s="28" t="n"/>
      <x:c r="FD12" s="28" t="n"/>
      <x:c r="FE12" s="28" t="n"/>
      <x:c r="FF12" s="28" t="n"/>
      <x:c r="FG12" s="28" t="n"/>
      <x:c r="FH12" s="28" t="n"/>
      <x:c r="FI12" s="28" t="n"/>
      <x:c r="FJ12" s="28" t="n"/>
      <x:c r="FK12" s="28" t="n"/>
      <x:c r="FL12" s="28" t="n"/>
      <x:c r="FM12" s="28" t="n"/>
      <x:c r="FN12" s="28" t="n"/>
      <x:c r="FO12" s="28" t="n"/>
      <x:c r="FP12" s="28" t="n"/>
      <x:c r="FQ12" s="28" t="n"/>
      <x:c r="FR12" s="28" t="n"/>
      <x:c r="FS12" s="28" t="n"/>
      <x:c r="FT12" s="28" t="n"/>
      <x:c r="FU12" s="28" t="n"/>
      <x:c r="FV12" s="28" t="n"/>
      <x:c r="FW12" s="28" t="n"/>
      <x:c r="FX12" s="28" t="n"/>
      <x:c r="FY12" s="28" t="n"/>
    </x:row>
    <x:row r="13" s="27" customFormat="1">
      <x:c r="A13" s="20" t="n"/>
      <x:c r="B13" s="37" t="n"/>
      <x:c r="C13" s="86" t="n">
        <x:f>E13*D$5</x:f>
        <x:v>20</x:v>
      </x:c>
      <x:c r="D13" s="4" t="inlineStr">
        <x:is>
          <x:t xml:space="preserve">W. C. Danforth</x:t>
        </x:is>
      </x:c>
      <x:c r="E13" s="86" t="n">
        <x:f>SUM(G13:HS13)</x:f>
        <x:v>0.5</x:v>
      </x:c>
      <x:c r="F13" s="35" t="inlineStr">
        <x:is>
          <x:t xml:space="preserve"/>
        </x:is>
      </x:c>
      <x:c r="G13" s="121" t="n"/>
      <x:c r="H13" s="121" t="n"/>
      <x:c r="I13" s="121" t="n">
        <x:v>0.5</x:v>
      </x:c>
      <x:c r="J13" s="121" t="n"/>
      <x:c r="K13" s="121" t="n"/>
      <x:c r="L13" s="121" t="n"/>
      <x:c r="M13" s="121" t="n"/>
      <x:c r="N13" s="121" t="n"/>
      <x:c r="O13" s="122" t="n"/>
      <x:c r="P13" s="121" t="n"/>
      <x:c r="Q13" s="123" t="n"/>
      <x:c r="R13" s="123" t="n"/>
      <x:c r="S13" s="121" t="n"/>
      <x:c r="T13" s="121" t="n"/>
      <x:c r="U13" s="121" t="n"/>
      <x:c r="V13" s="121" t="n"/>
      <x:c r="W13" s="121" t="n"/>
      <x:c r="X13" s="121" t="n"/>
      <x:c r="Y13" s="121" t="n"/>
      <x:c r="Z13" s="121" t="n"/>
      <x:c r="AA13" s="121" t="n"/>
      <x:c r="AB13" s="121" t="n"/>
      <x:c r="AC13" s="121" t="n"/>
      <x:c r="AD13" s="123" t="n"/>
      <x:c r="AE13" s="123" t="n"/>
      <x:c r="AF13" s="124" t="n"/>
      <x:c r="AG13" s="123" t="n"/>
      <x:c r="AH13" s="123" t="n"/>
      <x:c r="AI13" s="123" t="n"/>
      <x:c r="AJ13" s="123" t="n"/>
      <x:c r="AK13" s="121" t="n"/>
      <x:c r="AL13" s="123" t="n"/>
      <x:c r="AM13" s="121" t="n"/>
      <x:c r="AN13" s="123" t="n"/>
      <x:c r="AO13" s="121" t="n"/>
      <x:c r="AP13" s="121" t="n"/>
      <x:c r="AQ13" s="28" t="n"/>
      <x:c r="AR13" s="28" t="n"/>
      <x:c r="AS13" s="28" t="n"/>
      <x:c r="AT13" s="28" t="n"/>
      <x:c r="AU13" s="28" t="n"/>
      <x:c r="AV13" s="28" t="n"/>
      <x:c r="AW13" s="28" t="n"/>
      <x:c r="AX13" s="28" t="n"/>
      <x:c r="AY13" s="28" t="n"/>
      <x:c r="AZ13" s="28" t="n"/>
      <x:c r="BA13" s="28" t="n"/>
      <x:c r="BB13" s="28" t="n"/>
      <x:c r="BC13" s="28" t="n"/>
      <x:c r="BD13" s="28" t="n"/>
      <x:c r="BE13" s="28" t="n"/>
      <x:c r="BF13" s="28" t="n"/>
      <x:c r="BG13" s="28" t="n"/>
      <x:c r="BH13" s="28" t="n"/>
      <x:c r="BI13" s="28" t="n"/>
      <x:c r="BJ13" s="28" t="n"/>
      <x:c r="BK13" s="28" t="n"/>
      <x:c r="BL13" s="28" t="n"/>
      <x:c r="BM13" s="28" t="n"/>
      <x:c r="BN13" s="28" t="n"/>
      <x:c r="BO13" s="28" t="n"/>
      <x:c r="BP13" s="28" t="n"/>
      <x:c r="BQ13" s="28" t="n"/>
      <x:c r="BR13" s="28" t="n"/>
      <x:c r="BS13" s="28" t="n"/>
      <x:c r="BT13" s="28" t="n"/>
      <x:c r="BU13" s="28" t="n"/>
      <x:c r="BV13" s="28" t="n"/>
      <x:c r="BW13" s="28" t="n"/>
      <x:c r="BX13" s="28" t="n"/>
      <x:c r="BY13" s="28" t="n"/>
      <x:c r="BZ13" s="28" t="n"/>
      <x:c r="CA13" s="28" t="n"/>
      <x:c r="CB13" s="28" t="n"/>
      <x:c r="CC13" s="28" t="n"/>
      <x:c r="CD13" s="28" t="n"/>
      <x:c r="CE13" s="28" t="n"/>
      <x:c r="CF13" s="28" t="n"/>
      <x:c r="CG13" s="28" t="n"/>
      <x:c r="CH13" s="28" t="n"/>
      <x:c r="CI13" s="28" t="n"/>
      <x:c r="CJ13" s="28" t="n"/>
      <x:c r="CK13" s="28" t="n"/>
      <x:c r="CL13" s="28" t="n"/>
      <x:c r="CM13" s="28" t="n"/>
      <x:c r="CN13" s="28" t="n"/>
      <x:c r="CO13" s="28" t="n"/>
      <x:c r="CP13" s="28" t="n"/>
      <x:c r="CQ13" s="28" t="n"/>
      <x:c r="CR13" s="28" t="n"/>
      <x:c r="CS13" s="28" t="n"/>
      <x:c r="CT13" s="28" t="n"/>
      <x:c r="CU13" s="28" t="n"/>
      <x:c r="CV13" s="28" t="n"/>
      <x:c r="CW13" s="28" t="n"/>
      <x:c r="CX13" s="28" t="n"/>
      <x:c r="CY13" s="28" t="n"/>
      <x:c r="CZ13" s="28" t="n"/>
      <x:c r="DA13" s="28" t="n"/>
      <x:c r="DB13" s="28" t="n"/>
      <x:c r="DC13" s="28" t="n"/>
      <x:c r="DD13" s="28" t="n"/>
      <x:c r="DE13" s="28" t="n"/>
      <x:c r="DF13" s="28" t="n"/>
      <x:c r="DG13" s="28" t="n"/>
      <x:c r="DH13" s="28" t="n"/>
      <x:c r="DI13" s="28" t="n"/>
      <x:c r="DJ13" s="28" t="n"/>
      <x:c r="DK13" s="28" t="n"/>
      <x:c r="DL13" s="28" t="n"/>
      <x:c r="DM13" s="28" t="n"/>
      <x:c r="DN13" s="28" t="n"/>
      <x:c r="DO13" s="28" t="n"/>
      <x:c r="DP13" s="28" t="n"/>
      <x:c r="DQ13" s="28" t="n"/>
      <x:c r="DR13" s="28" t="n"/>
      <x:c r="DS13" s="28" t="n"/>
      <x:c r="DT13" s="28" t="n"/>
      <x:c r="DU13" s="28" t="n"/>
      <x:c r="DV13" s="28" t="n"/>
      <x:c r="DW13" s="28" t="n"/>
      <x:c r="DX13" s="28" t="n"/>
      <x:c r="DY13" s="28" t="n"/>
      <x:c r="DZ13" s="28" t="n"/>
      <x:c r="EA13" s="28" t="n"/>
      <x:c r="EB13" s="28" t="n"/>
      <x:c r="EC13" s="28" t="n"/>
      <x:c r="ED13" s="28" t="n"/>
      <x:c r="EE13" s="28" t="n"/>
      <x:c r="EF13" s="28" t="n"/>
      <x:c r="EG13" s="28" t="n"/>
      <x:c r="EH13" s="28" t="n"/>
      <x:c r="EI13" s="28" t="n"/>
      <x:c r="EJ13" s="28" t="n"/>
      <x:c r="EK13" s="28" t="n"/>
      <x:c r="EL13" s="28" t="n"/>
      <x:c r="EM13" s="28" t="n"/>
      <x:c r="EN13" s="28" t="n"/>
      <x:c r="EO13" s="28" t="n"/>
      <x:c r="EP13" s="28" t="n"/>
      <x:c r="EQ13" s="28" t="n"/>
      <x:c r="ER13" s="28" t="n"/>
      <x:c r="ES13" s="28" t="n"/>
      <x:c r="ET13" s="28" t="n"/>
      <x:c r="EU13" s="28" t="n"/>
      <x:c r="EV13" s="28" t="n"/>
      <x:c r="EW13" s="28" t="n"/>
      <x:c r="EX13" s="28" t="n"/>
      <x:c r="EY13" s="28" t="n"/>
      <x:c r="EZ13" s="28" t="n"/>
      <x:c r="FA13" s="28" t="n"/>
      <x:c r="FB13" s="28" t="n"/>
      <x:c r="FC13" s="28" t="n"/>
      <x:c r="FD13" s="28" t="n"/>
      <x:c r="FE13" s="28" t="n"/>
      <x:c r="FF13" s="28" t="n"/>
      <x:c r="FG13" s="28" t="n"/>
      <x:c r="FH13" s="28" t="n"/>
      <x:c r="FI13" s="28" t="n"/>
      <x:c r="FJ13" s="28" t="n"/>
      <x:c r="FK13" s="28" t="n"/>
      <x:c r="FL13" s="28" t="n"/>
      <x:c r="FM13" s="28" t="n"/>
      <x:c r="FN13" s="28" t="n"/>
      <x:c r="FO13" s="28" t="n"/>
      <x:c r="FP13" s="28" t="n"/>
      <x:c r="FQ13" s="28" t="n"/>
      <x:c r="FR13" s="28" t="n"/>
      <x:c r="FS13" s="28" t="n"/>
      <x:c r="FT13" s="28" t="n"/>
      <x:c r="FU13" s="28" t="n"/>
      <x:c r="FV13" s="28" t="n"/>
      <x:c r="FW13" s="28" t="n"/>
      <x:c r="FX13" s="28" t="n"/>
      <x:c r="FY13" s="28" t="n"/>
    </x:row>
    <x:row r="14" s="27" customFormat="1" ht="24" customHeight="1">
      <x:c r="B14" s="80" t="n"/>
      <x:c r="C14" s="36" t="n">
        <x:f>E14*D$5</x:f>
        <x:v>-40</x:v>
      </x:c>
      <x:c r="D14" s="410" t="inlineStr">
        <x:is>
          <x:t xml:space="preserve">Beckham County Court, RE: In the Matter of the Estate of Benjamin H. Shotwell, Deceased</x:t>
        </x:is>
      </x:c>
      <x:c r="E14" s="411" t="n">
        <x:f>SUM(G14:HS14)</x:f>
        <x:v>-1</x:v>
      </x:c>
      <x:c r="F14" s="35" t="inlineStr">
        <x:is>
          <x:t xml:space="preserve"/>
        </x:is>
      </x:c>
      <x:c r="G14" s="121" t="n"/>
      <x:c r="H14" s="122" t="n"/>
      <x:c r="I14" s="121" t="n"/>
      <x:c r="J14" s="121" t="n">
        <x:v>-1</x:v>
      </x:c>
      <x:c r="K14" s="121" t="n"/>
      <x:c r="L14" s="121" t="n"/>
      <x:c r="M14" s="121" t="n"/>
      <x:c r="N14" s="121" t="n"/>
      <x:c r="O14" s="121" t="n"/>
      <x:c r="P14" s="121" t="n"/>
      <x:c r="Q14" s="123" t="n"/>
      <x:c r="R14" s="123" t="n"/>
      <x:c r="S14" s="121" t="n"/>
      <x:c r="T14" s="121" t="n"/>
      <x:c r="U14" s="121" t="n"/>
      <x:c r="V14" s="121" t="n"/>
      <x:c r="W14" s="121" t="n"/>
      <x:c r="X14" s="121" t="n"/>
      <x:c r="Y14" s="121" t="n"/>
      <x:c r="Z14" s="121" t="n"/>
      <x:c r="AA14" s="121" t="n"/>
      <x:c r="AB14" s="121" t="n"/>
      <x:c r="AC14" s="121" t="n"/>
      <x:c r="AD14" s="123" t="n"/>
      <x:c r="AE14" s="123" t="n"/>
      <x:c r="AF14" s="124" t="n"/>
      <x:c r="AG14" s="122" t="n"/>
      <x:c r="AH14" s="122" t="n"/>
      <x:c r="AI14" s="122" t="n"/>
      <x:c r="AJ14" s="122" t="n"/>
      <x:c r="AK14" s="121" t="n"/>
      <x:c r="AL14" s="123" t="n"/>
      <x:c r="AM14" s="121" t="n"/>
      <x:c r="AN14" s="123" t="n"/>
      <x:c r="AO14" s="121" t="n"/>
      <x:c r="AP14" s="121" t="n"/>
      <x:c r="AQ14" s="28" t="n"/>
      <x:c r="AR14" s="28" t="n"/>
      <x:c r="AS14" s="28" t="n"/>
      <x:c r="AT14" s="28" t="n"/>
      <x:c r="AU14" s="28" t="n"/>
      <x:c r="AV14" s="28" t="n"/>
      <x:c r="AW14" s="28" t="n"/>
      <x:c r="AX14" s="28" t="n"/>
      <x:c r="AY14" s="28" t="n"/>
      <x:c r="AZ14" s="28" t="n"/>
      <x:c r="BA14" s="28" t="n"/>
      <x:c r="BB14" s="28" t="n"/>
      <x:c r="BC14" s="28" t="n"/>
      <x:c r="BD14" s="28" t="n"/>
      <x:c r="BE14" s="28" t="n"/>
      <x:c r="BF14" s="28" t="n"/>
      <x:c r="BG14" s="28" t="n"/>
      <x:c r="BH14" s="28" t="n"/>
      <x:c r="BI14" s="28" t="n"/>
      <x:c r="BJ14" s="28" t="n"/>
      <x:c r="BK14" s="28" t="n"/>
      <x:c r="BL14" s="28" t="n"/>
      <x:c r="BM14" s="28" t="n"/>
      <x:c r="BN14" s="28" t="n"/>
      <x:c r="BO14" s="28" t="n"/>
      <x:c r="BP14" s="28" t="n"/>
      <x:c r="BQ14" s="28" t="n"/>
      <x:c r="BR14" s="28" t="n"/>
      <x:c r="BS14" s="28" t="n"/>
      <x:c r="BT14" s="28" t="n"/>
      <x:c r="BU14" s="28" t="n"/>
      <x:c r="BV14" s="28" t="n"/>
      <x:c r="BW14" s="28" t="n"/>
      <x:c r="BX14" s="28" t="n"/>
      <x:c r="BY14" s="28" t="n"/>
      <x:c r="BZ14" s="28" t="n"/>
      <x:c r="CA14" s="28" t="n"/>
      <x:c r="CB14" s="28" t="n"/>
      <x:c r="CC14" s="28" t="n"/>
      <x:c r="CD14" s="28" t="n"/>
      <x:c r="CE14" s="28" t="n"/>
      <x:c r="CF14" s="28" t="n"/>
      <x:c r="CG14" s="28" t="n"/>
      <x:c r="CH14" s="28" t="n"/>
      <x:c r="CI14" s="28" t="n"/>
      <x:c r="CJ14" s="28" t="n"/>
      <x:c r="CK14" s="28" t="n"/>
      <x:c r="CL14" s="28" t="n"/>
      <x:c r="CM14" s="28" t="n"/>
      <x:c r="CN14" s="28" t="n"/>
      <x:c r="CO14" s="28" t="n"/>
      <x:c r="CP14" s="28" t="n"/>
      <x:c r="CQ14" s="28" t="n"/>
      <x:c r="CR14" s="28" t="n"/>
      <x:c r="CS14" s="28" t="n"/>
      <x:c r="CT14" s="28" t="n"/>
      <x:c r="CU14" s="28" t="n"/>
      <x:c r="CV14" s="28" t="n"/>
      <x:c r="CW14" s="28" t="n"/>
      <x:c r="CX14" s="28" t="n"/>
      <x:c r="CY14" s="28" t="n"/>
      <x:c r="CZ14" s="28" t="n"/>
      <x:c r="DA14" s="28" t="n"/>
      <x:c r="DB14" s="28" t="n"/>
      <x:c r="DC14" s="28" t="n"/>
      <x:c r="DD14" s="28" t="n"/>
      <x:c r="DE14" s="28" t="n"/>
      <x:c r="DF14" s="28" t="n"/>
      <x:c r="DG14" s="28" t="n"/>
      <x:c r="DH14" s="28" t="n"/>
      <x:c r="DI14" s="28" t="n"/>
      <x:c r="DJ14" s="28" t="n"/>
      <x:c r="DK14" s="28" t="n"/>
      <x:c r="DL14" s="28" t="n"/>
      <x:c r="DM14" s="28" t="n"/>
      <x:c r="DN14" s="28" t="n"/>
      <x:c r="DO14" s="28" t="n"/>
      <x:c r="DP14" s="28" t="n"/>
      <x:c r="DQ14" s="28" t="n"/>
      <x:c r="DR14" s="28" t="n"/>
      <x:c r="DS14" s="28" t="n"/>
      <x:c r="DT14" s="28" t="n"/>
      <x:c r="DU14" s="28" t="n"/>
      <x:c r="DV14" s="28" t="n"/>
      <x:c r="DW14" s="28" t="n"/>
      <x:c r="DX14" s="28" t="n"/>
      <x:c r="DY14" s="28" t="n"/>
      <x:c r="DZ14" s="28" t="n"/>
      <x:c r="EA14" s="28" t="n"/>
      <x:c r="EB14" s="28" t="n"/>
      <x:c r="EC14" s="28" t="n"/>
      <x:c r="ED14" s="28" t="n"/>
      <x:c r="EE14" s="28" t="n"/>
      <x:c r="EF14" s="28" t="n"/>
      <x:c r="EG14" s="28" t="n"/>
      <x:c r="EH14" s="28" t="n"/>
      <x:c r="EI14" s="28" t="n"/>
      <x:c r="EJ14" s="28" t="n"/>
      <x:c r="EK14" s="28" t="n"/>
      <x:c r="EL14" s="28" t="n"/>
      <x:c r="EM14" s="28" t="n"/>
      <x:c r="EN14" s="28" t="n"/>
      <x:c r="EO14" s="28" t="n"/>
      <x:c r="EP14" s="28" t="n"/>
      <x:c r="EQ14" s="28" t="n"/>
      <x:c r="ER14" s="28" t="n"/>
      <x:c r="ES14" s="28" t="n"/>
      <x:c r="ET14" s="28" t="n"/>
      <x:c r="EU14" s="28" t="n"/>
      <x:c r="EV14" s="28" t="n"/>
      <x:c r="EW14" s="28" t="n"/>
      <x:c r="EX14" s="28" t="n"/>
      <x:c r="EY14" s="28" t="n"/>
      <x:c r="EZ14" s="28" t="n"/>
      <x:c r="FA14" s="28" t="n"/>
      <x:c r="FB14" s="28" t="n"/>
      <x:c r="FC14" s="28" t="n"/>
      <x:c r="FD14" s="28" t="n"/>
      <x:c r="FE14" s="28" t="n"/>
      <x:c r="FF14" s="28" t="n"/>
      <x:c r="FG14" s="28" t="n"/>
      <x:c r="FH14" s="28" t="n"/>
      <x:c r="FI14" s="28" t="n"/>
      <x:c r="FJ14" s="28" t="n"/>
      <x:c r="FK14" s="28" t="n"/>
      <x:c r="FL14" s="28" t="n"/>
      <x:c r="FM14" s="28" t="n"/>
      <x:c r="FN14" s="28" t="n"/>
      <x:c r="FO14" s="28" t="n"/>
      <x:c r="FP14" s="28" t="n"/>
      <x:c r="FQ14" s="28" t="n"/>
      <x:c r="FR14" s="28" t="n"/>
      <x:c r="FS14" s="28" t="n"/>
      <x:c r="FT14" s="28" t="n"/>
      <x:c r="FU14" s="28" t="n"/>
      <x:c r="FV14" s="28" t="n"/>
      <x:c r="FW14" s="28" t="n"/>
      <x:c r="FX14" s="28" t="n"/>
      <x:c r="FY14" s="28" t="n"/>
    </x:row>
    <x:row r="15" s="27" customFormat="1">
      <x:c r="A15" s="79" t="n"/>
      <x:c r="B15" s="79" t="n"/>
      <x:c r="C15" s="36" t="n">
        <x:f>E15*D$5</x:f>
        <x:v>18</x:v>
      </x:c>
      <x:c r="D15" s="4" t="inlineStr">
        <x:is>
          <x:t xml:space="preserve">Maggie Bennett</x:t>
        </x:is>
      </x:c>
      <x:c r="E15" s="36" t="n">
        <x:f>SUM(G15:HS15)</x:f>
        <x:v>0.45</x:v>
      </x:c>
      <x:c r="F15" s="35" t="inlineStr">
        <x:is>
          <x:t xml:space="preserve"/>
        </x:is>
      </x:c>
      <x:c r="G15" s="121" t="n"/>
      <x:c r="H15" s="121" t="n"/>
      <x:c r="I15" s="121" t="n"/>
      <x:c r="J15" s="121" t="n">
        <x:v>0.2</x:v>
      </x:c>
      <x:c r="K15" s="121" t="n"/>
      <x:c r="L15" s="121" t="n"/>
      <x:c r="M15" s="121" t="n"/>
      <x:c r="N15" s="121" t="n"/>
      <x:c r="O15" s="121" t="n"/>
      <x:c r="P15" s="121" t="n"/>
      <x:c r="Q15" s="123" t="n"/>
      <x:c r="R15" s="123" t="n"/>
      <x:c r="S15" s="121" t="n"/>
      <x:c r="T15" s="121" t="n"/>
      <x:c r="U15" s="121" t="n"/>
      <x:c r="V15" s="121" t="n"/>
      <x:c r="W15" s="121" t="n"/>
      <x:c r="X15" s="121" t="n"/>
      <x:c r="Y15" s="121" t="n"/>
      <x:c r="Z15" s="121" t="n"/>
      <x:c r="AA15" s="121" t="n"/>
      <x:c r="AB15" s="121" t="n"/>
      <x:c r="AC15" s="121" t="n"/>
      <x:c r="AD15" s="123" t="n"/>
      <x:c r="AE15" s="123" t="n"/>
      <x:c r="AF15" s="123" t="n"/>
      <x:c r="AG15" s="122" t="n"/>
      <x:c r="AH15" s="122" t="n"/>
      <x:c r="AI15" s="122" t="n"/>
      <x:c r="AJ15" s="122" t="n"/>
      <x:c r="AK15" s="121" t="n"/>
      <x:c r="AL15" s="123" t="n"/>
      <x:c r="AM15" s="121" t="n"/>
      <x:c r="AN15" s="123" t="n"/>
      <x:c r="AO15" s="121" t="n"/>
      <x:c r="AP15" s="121" t="n"/>
      <x:c r="AQ15" s="28" t="n"/>
      <x:c r="AR15" s="28" t="n"/>
      <x:c r="AS15" s="28" t="n"/>
      <x:c r="AT15" s="28" t="n"/>
      <x:c r="AU15" s="28" t="n"/>
      <x:c r="AV15" s="28" t="n"/>
      <x:c r="AW15" s="28" t="n"/>
      <x:c r="AX15" s="28" t="n"/>
      <x:c r="AY15" s="28" t="n"/>
      <x:c r="AZ15" s="28" t="n"/>
      <x:c r="BA15" s="28" t="n"/>
      <x:c r="BB15" s="28" t="n"/>
      <x:c r="BC15" s="28" t="n"/>
      <x:c r="BD15" s="28" t="n"/>
      <x:c r="BE15" s="28" t="n"/>
      <x:c r="BF15" s="28" t="n"/>
      <x:c r="BG15" s="28" t="n"/>
      <x:c r="BH15" s="28" t="n"/>
      <x:c r="BI15" s="28" t="n"/>
      <x:c r="BJ15" s="28" t="n"/>
      <x:c r="BK15" s="28" t="n"/>
      <x:c r="BL15" s="28" t="n"/>
      <x:c r="BM15" s="28" t="n"/>
      <x:c r="BN15" s="28" t="n"/>
      <x:c r="BO15" s="28" t="n"/>
      <x:c r="BP15" s="28" t="n"/>
      <x:c r="BQ15" s="28" t="n"/>
      <x:c r="BR15" s="28" t="n"/>
      <x:c r="BS15" s="28" t="n"/>
      <x:c r="BT15" s="28" t="n">
        <x:v>0.25</x:v>
      </x:c>
      <x:c r="BU15" s="28" t="n"/>
      <x:c r="BV15" s="28" t="n"/>
      <x:c r="BW15" s="28" t="n"/>
      <x:c r="BX15" s="28" t="n"/>
      <x:c r="BY15" s="28" t="n"/>
      <x:c r="BZ15" s="28" t="n"/>
      <x:c r="CA15" s="28" t="n"/>
      <x:c r="CB15" s="28" t="n"/>
      <x:c r="CC15" s="28" t="n"/>
      <x:c r="CD15" s="28" t="n"/>
      <x:c r="CE15" s="28" t="n"/>
      <x:c r="CF15" s="28" t="n"/>
      <x:c r="CG15" s="28" t="n"/>
      <x:c r="CH15" s="28" t="n"/>
      <x:c r="CI15" s="28" t="n"/>
      <x:c r="CJ15" s="28" t="n"/>
      <x:c r="CK15" s="28" t="n"/>
      <x:c r="CL15" s="28" t="n"/>
      <x:c r="CM15" s="28" t="n"/>
      <x:c r="CN15" s="28" t="n"/>
      <x:c r="CO15" s="28" t="n"/>
      <x:c r="CP15" s="28" t="n"/>
      <x:c r="CQ15" s="28" t="n"/>
      <x:c r="CR15" s="28" t="n"/>
      <x:c r="CS15" s="28" t="n"/>
      <x:c r="CT15" s="28" t="n"/>
      <x:c r="CU15" s="28" t="n"/>
      <x:c r="CV15" s="28" t="n"/>
      <x:c r="CW15" s="28" t="n"/>
      <x:c r="CX15" s="28" t="n"/>
      <x:c r="CY15" s="28" t="n"/>
      <x:c r="CZ15" s="28" t="n"/>
      <x:c r="DA15" s="28" t="n"/>
      <x:c r="DB15" s="28" t="n"/>
      <x:c r="DC15" s="28" t="n"/>
      <x:c r="DD15" s="28" t="n"/>
      <x:c r="DE15" s="28" t="n"/>
      <x:c r="DF15" s="28" t="n"/>
      <x:c r="DG15" s="28" t="n"/>
      <x:c r="DH15" s="28" t="n"/>
      <x:c r="DI15" s="28" t="n"/>
      <x:c r="DJ15" s="28" t="n"/>
      <x:c r="DK15" s="28" t="n"/>
      <x:c r="DL15" s="28" t="n"/>
      <x:c r="DM15" s="28" t="n"/>
      <x:c r="DN15" s="28" t="n"/>
      <x:c r="DO15" s="28" t="n"/>
      <x:c r="DP15" s="28" t="n"/>
      <x:c r="DQ15" s="28" t="n"/>
      <x:c r="DR15" s="28" t="n"/>
      <x:c r="DS15" s="28" t="n"/>
      <x:c r="DT15" s="28" t="n"/>
      <x:c r="DU15" s="28" t="n"/>
      <x:c r="DV15" s="28" t="n"/>
      <x:c r="DW15" s="28" t="n"/>
      <x:c r="DX15" s="28" t="n"/>
      <x:c r="DY15" s="28" t="n"/>
      <x:c r="DZ15" s="28" t="n"/>
      <x:c r="EA15" s="28" t="n"/>
      <x:c r="EB15" s="28" t="n"/>
      <x:c r="EC15" s="28" t="n"/>
      <x:c r="ED15" s="28" t="n"/>
      <x:c r="EE15" s="28" t="n"/>
      <x:c r="EF15" s="28" t="n"/>
      <x:c r="EG15" s="28" t="n"/>
      <x:c r="EH15" s="28" t="n"/>
      <x:c r="EI15" s="28" t="n"/>
      <x:c r="EJ15" s="28" t="n"/>
      <x:c r="EK15" s="28" t="n"/>
      <x:c r="EL15" s="28" t="n"/>
      <x:c r="EM15" s="28" t="n"/>
      <x:c r="EN15" s="28" t="n"/>
      <x:c r="EO15" s="28" t="n"/>
      <x:c r="EP15" s="28" t="n"/>
      <x:c r="EQ15" s="28" t="n"/>
      <x:c r="ER15" s="28" t="n"/>
      <x:c r="ES15" s="28" t="n"/>
      <x:c r="ET15" s="28" t="n"/>
      <x:c r="EU15" s="28" t="n"/>
      <x:c r="EV15" s="28" t="n"/>
      <x:c r="EW15" s="28" t="n"/>
      <x:c r="EX15" s="28" t="n"/>
      <x:c r="EY15" s="28" t="n"/>
      <x:c r="EZ15" s="28" t="n"/>
      <x:c r="FA15" s="28" t="n"/>
      <x:c r="FB15" s="28" t="n"/>
      <x:c r="FC15" s="28" t="n"/>
      <x:c r="FD15" s="28" t="n"/>
      <x:c r="FE15" s="28" t="n"/>
      <x:c r="FF15" s="28" t="n"/>
      <x:c r="FG15" s="28" t="n"/>
      <x:c r="FH15" s="28" t="n"/>
      <x:c r="FI15" s="28" t="n"/>
      <x:c r="FJ15" s="28" t="n"/>
      <x:c r="FK15" s="28" t="n"/>
      <x:c r="FL15" s="28" t="n"/>
      <x:c r="FM15" s="28" t="n"/>
      <x:c r="FN15" s="28" t="n"/>
      <x:c r="FO15" s="28" t="n"/>
      <x:c r="FP15" s="28" t="n"/>
      <x:c r="FQ15" s="28" t="n"/>
      <x:c r="FR15" s="28" t="n"/>
      <x:c r="FS15" s="28" t="n"/>
      <x:c r="FT15" s="28" t="n"/>
      <x:c r="FU15" s="28" t="n"/>
      <x:c r="FV15" s="28" t="n"/>
      <x:c r="FW15" s="28" t="n"/>
      <x:c r="FX15" s="28" t="n"/>
      <x:c r="FY15" s="28" t="n"/>
    </x:row>
    <x:row r="16" s="27" customFormat="1">
      <x:c r="A16" s="38" t="n"/>
      <x:c r="B16" s="37" t="n"/>
      <x:c r="C16" s="36" t="n">
        <x:f>E16*D$5</x:f>
        <x:v>18</x:v>
      </x:c>
      <x:c r="D16" s="4" t="inlineStr">
        <x:is>
          <x:t xml:space="preserve">Eli L. Shotwell</x:t>
        </x:is>
      </x:c>
      <x:c r="E16" s="36" t="n">
        <x:f>SUM(G16:HS16)</x:f>
        <x:v>0.45</x:v>
      </x:c>
      <x:c r="F16" s="35" t="inlineStr">
        <x:is>
          <x:t xml:space="preserve"/>
        </x:is>
      </x:c>
      <x:c r="G16" s="121" t="n"/>
      <x:c r="H16" s="122" t="n"/>
      <x:c r="I16" s="121" t="n"/>
      <x:c r="J16" s="121" t="n">
        <x:v>0.2</x:v>
      </x:c>
      <x:c r="K16" s="121" t="n"/>
      <x:c r="L16" s="121" t="n"/>
      <x:c r="M16" s="121" t="n"/>
      <x:c r="N16" s="121" t="n"/>
      <x:c r="O16" s="121" t="n"/>
      <x:c r="P16" s="122" t="n"/>
      <x:c r="Q16" s="123" t="n"/>
      <x:c r="R16" s="123" t="n"/>
      <x:c r="S16" s="121" t="n"/>
      <x:c r="T16" s="121" t="n"/>
      <x:c r="U16" s="121" t="n"/>
      <x:c r="V16" s="121" t="n"/>
      <x:c r="W16" s="121" t="n"/>
      <x:c r="X16" s="121" t="n"/>
      <x:c r="Y16" s="121" t="n"/>
      <x:c r="Z16" s="121" t="n"/>
      <x:c r="AA16" s="122" t="n"/>
      <x:c r="AB16" s="121" t="n"/>
      <x:c r="AC16" s="121" t="n"/>
      <x:c r="AD16" s="123" t="n"/>
      <x:c r="AE16" s="123" t="n"/>
      <x:c r="AF16" s="123" t="n"/>
      <x:c r="AG16" s="122" t="n"/>
      <x:c r="AH16" s="122" t="n"/>
      <x:c r="AI16" s="122" t="n"/>
      <x:c r="AJ16" s="122" t="n"/>
      <x:c r="AK16" s="121" t="n"/>
      <x:c r="AL16" s="123" t="n"/>
      <x:c r="AM16" s="121" t="n"/>
      <x:c r="AN16" s="123" t="n"/>
      <x:c r="AO16" s="121" t="n"/>
      <x:c r="AP16" s="121" t="n"/>
      <x:c r="AQ16" s="28" t="n"/>
      <x:c r="AR16" s="28" t="n"/>
      <x:c r="AS16" s="28" t="n"/>
      <x:c r="AT16" s="28" t="n"/>
      <x:c r="AU16" s="28" t="n"/>
      <x:c r="AV16" s="28" t="n"/>
      <x:c r="AW16" s="28" t="n"/>
      <x:c r="AX16" s="28" t="n"/>
      <x:c r="AY16" s="28" t="n"/>
      <x:c r="AZ16" s="28" t="n"/>
      <x:c r="BA16" s="28" t="n"/>
      <x:c r="BB16" s="28" t="n"/>
      <x:c r="BC16" s="28" t="n"/>
      <x:c r="BD16" s="28" t="n"/>
      <x:c r="BE16" s="28" t="n"/>
      <x:c r="BF16" s="28" t="n"/>
      <x:c r="BG16" s="28" t="n"/>
      <x:c r="BH16" s="28" t="n"/>
      <x:c r="BI16" s="28" t="n"/>
      <x:c r="BJ16" s="28" t="n"/>
      <x:c r="BK16" s="28" t="n"/>
      <x:c r="BL16" s="28" t="n"/>
      <x:c r="BM16" s="28" t="n"/>
      <x:c r="BN16" s="28" t="n"/>
      <x:c r="BO16" s="28" t="n"/>
      <x:c r="BP16" s="28" t="n"/>
      <x:c r="BQ16" s="28" t="n"/>
      <x:c r="BR16" s="28" t="n"/>
      <x:c r="BS16" s="28" t="n"/>
      <x:c r="BT16" s="28" t="n">
        <x:v>0.25</x:v>
      </x:c>
      <x:c r="BU16" s="28" t="n"/>
      <x:c r="BV16" s="28" t="n"/>
      <x:c r="BW16" s="28" t="n"/>
      <x:c r="BX16" s="28" t="n"/>
      <x:c r="BY16" s="28" t="n"/>
      <x:c r="BZ16" s="28" t="n"/>
      <x:c r="CA16" s="28" t="n"/>
      <x:c r="CB16" s="28" t="n"/>
      <x:c r="CC16" s="28" t="n"/>
      <x:c r="CD16" s="28" t="n"/>
      <x:c r="CE16" s="28" t="n"/>
      <x:c r="CF16" s="28" t="n"/>
      <x:c r="CG16" s="28" t="n"/>
      <x:c r="CH16" s="28" t="n"/>
      <x:c r="CI16" s="28" t="n"/>
      <x:c r="CJ16" s="28" t="n"/>
      <x:c r="CK16" s="28" t="n"/>
      <x:c r="CL16" s="28" t="n"/>
      <x:c r="CM16" s="28" t="n"/>
      <x:c r="CN16" s="28" t="n"/>
      <x:c r="CO16" s="28" t="n"/>
      <x:c r="CP16" s="28" t="n"/>
      <x:c r="CQ16" s="28" t="n"/>
      <x:c r="CR16" s="28" t="n"/>
      <x:c r="CS16" s="28" t="n"/>
      <x:c r="CT16" s="28" t="n"/>
      <x:c r="CU16" s="28" t="n"/>
      <x:c r="CV16" s="28" t="n"/>
      <x:c r="CW16" s="28" t="n"/>
      <x:c r="CX16" s="28" t="n"/>
      <x:c r="CY16" s="28" t="n"/>
      <x:c r="CZ16" s="28" t="n"/>
      <x:c r="DA16" s="28" t="n"/>
      <x:c r="DB16" s="28" t="n"/>
      <x:c r="DC16" s="28" t="n"/>
      <x:c r="DD16" s="28" t="n"/>
      <x:c r="DE16" s="28" t="n"/>
      <x:c r="DF16" s="28" t="n"/>
      <x:c r="DG16" s="28" t="n"/>
      <x:c r="DH16" s="28" t="n"/>
      <x:c r="DI16" s="28" t="n"/>
      <x:c r="DJ16" s="28" t="n"/>
      <x:c r="DK16" s="28" t="n"/>
      <x:c r="DL16" s="28" t="n"/>
      <x:c r="DM16" s="28" t="n"/>
      <x:c r="DN16" s="28" t="n"/>
      <x:c r="DO16" s="28" t="n"/>
      <x:c r="DP16" s="28" t="n"/>
      <x:c r="DQ16" s="28" t="n"/>
      <x:c r="DR16" s="28" t="n"/>
      <x:c r="DS16" s="28" t="n"/>
      <x:c r="DT16" s="28" t="n"/>
      <x:c r="DU16" s="28" t="n"/>
      <x:c r="DV16" s="28" t="n"/>
      <x:c r="DW16" s="28" t="n"/>
      <x:c r="DX16" s="28" t="n"/>
      <x:c r="DY16" s="28" t="n"/>
      <x:c r="DZ16" s="28" t="n"/>
      <x:c r="EA16" s="28" t="n"/>
      <x:c r="EB16" s="28" t="n"/>
      <x:c r="EC16" s="28" t="n"/>
      <x:c r="ED16" s="28" t="n"/>
      <x:c r="EE16" s="28" t="n"/>
      <x:c r="EF16" s="28" t="n"/>
      <x:c r="EG16" s="28" t="n"/>
      <x:c r="EH16" s="28" t="n"/>
      <x:c r="EI16" s="28" t="n"/>
      <x:c r="EJ16" s="28" t="n"/>
      <x:c r="EK16" s="28" t="n"/>
      <x:c r="EL16" s="28" t="n"/>
      <x:c r="EM16" s="28" t="n"/>
      <x:c r="EN16" s="28" t="n"/>
      <x:c r="EO16" s="28" t="n"/>
      <x:c r="EP16" s="28" t="n"/>
      <x:c r="EQ16" s="28" t="n"/>
      <x:c r="ER16" s="28" t="n"/>
      <x:c r="ES16" s="28" t="n"/>
      <x:c r="ET16" s="28" t="n"/>
      <x:c r="EU16" s="28" t="n"/>
      <x:c r="EV16" s="28" t="n"/>
      <x:c r="EW16" s="28" t="n"/>
      <x:c r="EX16" s="28" t="n"/>
      <x:c r="EY16" s="28" t="n"/>
      <x:c r="EZ16" s="28" t="n"/>
      <x:c r="FA16" s="28" t="n"/>
      <x:c r="FB16" s="28" t="n"/>
      <x:c r="FC16" s="28" t="n"/>
      <x:c r="FD16" s="28" t="n"/>
      <x:c r="FE16" s="28" t="n"/>
      <x:c r="FF16" s="28" t="n"/>
      <x:c r="FG16" s="28" t="n"/>
      <x:c r="FH16" s="28" t="n"/>
      <x:c r="FI16" s="28" t="n"/>
      <x:c r="FJ16" s="28" t="n"/>
      <x:c r="FK16" s="28" t="n"/>
      <x:c r="FL16" s="28" t="n"/>
      <x:c r="FM16" s="28" t="n"/>
      <x:c r="FN16" s="28" t="n"/>
      <x:c r="FO16" s="28" t="n"/>
      <x:c r="FP16" s="28" t="n"/>
      <x:c r="FQ16" s="28" t="n"/>
      <x:c r="FR16" s="28" t="n"/>
      <x:c r="FS16" s="28" t="n"/>
      <x:c r="FT16" s="28" t="n"/>
      <x:c r="FU16" s="28" t="n"/>
      <x:c r="FV16" s="28" t="n"/>
      <x:c r="FW16" s="28" t="n"/>
      <x:c r="FX16" s="28" t="n"/>
      <x:c r="FY16" s="28" t="n"/>
    </x:row>
    <x:row r="17" s="27" customFormat="1">
      <x:c r="A17" s="38" t="n"/>
      <x:c r="B17" s="37" t="n"/>
      <x:c r="C17" s="36" t="n">
        <x:f>E17*D$5</x:f>
        <x:v>18</x:v>
      </x:c>
      <x:c r="D17" s="4" t="inlineStr">
        <x:is>
          <x:t xml:space="preserve">Pearl L. Davis</x:t>
        </x:is>
      </x:c>
      <x:c r="E17" s="36" t="n">
        <x:f>SUM(G17:HS17)</x:f>
        <x:v>0.45</x:v>
      </x:c>
      <x:c r="F17" s="35" t="inlineStr">
        <x:is>
          <x:t xml:space="preserve"/>
        </x:is>
      </x:c>
      <x:c r="G17" s="121" t="n"/>
      <x:c r="H17" s="122" t="n"/>
      <x:c r="I17" s="121" t="n"/>
      <x:c r="J17" s="121" t="n">
        <x:v>0.2</x:v>
      </x:c>
      <x:c r="K17" s="121" t="n"/>
      <x:c r="L17" s="121" t="n"/>
      <x:c r="M17" s="121" t="n"/>
      <x:c r="N17" s="121" t="n"/>
      <x:c r="O17" s="121" t="n"/>
      <x:c r="P17" s="121" t="n"/>
      <x:c r="Q17" s="123" t="n"/>
      <x:c r="R17" s="123" t="n"/>
      <x:c r="S17" s="121" t="n"/>
      <x:c r="T17" s="121" t="n"/>
      <x:c r="U17" s="121" t="n"/>
      <x:c r="V17" s="121" t="n"/>
      <x:c r="W17" s="121" t="n"/>
      <x:c r="X17" s="121" t="n"/>
      <x:c r="Y17" s="121" t="n"/>
      <x:c r="Z17" s="121" t="n"/>
      <x:c r="AA17" s="121" t="n"/>
      <x:c r="AB17" s="121" t="n"/>
      <x:c r="AC17" s="121" t="n"/>
      <x:c r="AD17" s="123" t="n"/>
      <x:c r="AE17" s="123" t="n"/>
      <x:c r="AF17" s="123" t="n"/>
      <x:c r="AG17" s="122" t="n"/>
      <x:c r="AH17" s="122" t="n"/>
      <x:c r="AI17" s="122" t="n"/>
      <x:c r="AJ17" s="122" t="n"/>
      <x:c r="AK17" s="121" t="n"/>
      <x:c r="AL17" s="123" t="n"/>
      <x:c r="AM17" s="121" t="n"/>
      <x:c r="AN17" s="123" t="n"/>
      <x:c r="AO17" s="121" t="n"/>
      <x:c r="AP17" s="121" t="n"/>
      <x:c r="AQ17" s="28" t="n"/>
      <x:c r="AR17" s="28" t="n"/>
      <x:c r="AS17" s="28" t="n"/>
      <x:c r="AT17" s="28" t="n"/>
      <x:c r="AU17" s="28" t="n"/>
      <x:c r="AV17" s="28" t="n"/>
      <x:c r="AW17" s="28" t="n"/>
      <x:c r="AX17" s="28" t="n"/>
      <x:c r="AY17" s="28" t="n"/>
      <x:c r="AZ17" s="28" t="n"/>
      <x:c r="BA17" s="28" t="n"/>
      <x:c r="BB17" s="28" t="n"/>
      <x:c r="BC17" s="28" t="n"/>
      <x:c r="BD17" s="28" t="n"/>
      <x:c r="BE17" s="28" t="n"/>
      <x:c r="BF17" s="28" t="n"/>
      <x:c r="BG17" s="28" t="n"/>
      <x:c r="BH17" s="28" t="n"/>
      <x:c r="BI17" s="28" t="n"/>
      <x:c r="BJ17" s="28" t="n"/>
      <x:c r="BK17" s="28" t="n"/>
      <x:c r="BL17" s="28" t="n"/>
      <x:c r="BM17" s="28" t="n"/>
      <x:c r="BN17" s="28" t="n"/>
      <x:c r="BO17" s="28" t="n"/>
      <x:c r="BP17" s="28" t="n"/>
      <x:c r="BQ17" s="28" t="n"/>
      <x:c r="BR17" s="28" t="n"/>
      <x:c r="BS17" s="28" t="n"/>
      <x:c r="BT17" s="28" t="n">
        <x:v>0.25</x:v>
      </x:c>
      <x:c r="BU17" s="28" t="n"/>
      <x:c r="BV17" s="28" t="n"/>
      <x:c r="BW17" s="28" t="n"/>
      <x:c r="BX17" s="28" t="n"/>
      <x:c r="BY17" s="28" t="n"/>
      <x:c r="BZ17" s="28" t="n"/>
      <x:c r="CA17" s="28" t="n"/>
      <x:c r="CB17" s="28" t="n"/>
      <x:c r="CC17" s="28" t="n"/>
      <x:c r="CD17" s="28" t="n"/>
      <x:c r="CE17" s="28" t="n"/>
      <x:c r="CF17" s="28" t="n"/>
      <x:c r="CG17" s="28" t="n"/>
      <x:c r="CH17" s="28" t="n"/>
      <x:c r="CI17" s="28" t="n"/>
      <x:c r="CJ17" s="28" t="n"/>
      <x:c r="CK17" s="28" t="n"/>
      <x:c r="CL17" s="28" t="n"/>
      <x:c r="CM17" s="28" t="n"/>
      <x:c r="CN17" s="28" t="n"/>
      <x:c r="CO17" s="28" t="n"/>
      <x:c r="CP17" s="28" t="n"/>
      <x:c r="CQ17" s="28" t="n"/>
      <x:c r="CR17" s="28" t="n"/>
      <x:c r="CS17" s="28" t="n"/>
      <x:c r="CT17" s="28" t="n"/>
      <x:c r="CU17" s="28" t="n"/>
      <x:c r="CV17" s="28" t="n"/>
      <x:c r="CW17" s="28" t="n"/>
      <x:c r="CX17" s="28" t="n"/>
      <x:c r="CY17" s="28" t="n"/>
      <x:c r="CZ17" s="28" t="n"/>
      <x:c r="DA17" s="28" t="n"/>
      <x:c r="DB17" s="28" t="n"/>
      <x:c r="DC17" s="28" t="n"/>
      <x:c r="DD17" s="28" t="n"/>
      <x:c r="DE17" s="28" t="n"/>
      <x:c r="DF17" s="28" t="n"/>
      <x:c r="DG17" s="28" t="n"/>
      <x:c r="DH17" s="28" t="n"/>
      <x:c r="DI17" s="28" t="n"/>
      <x:c r="DJ17" s="28" t="n"/>
      <x:c r="DK17" s="28" t="n"/>
      <x:c r="DL17" s="28" t="n"/>
      <x:c r="DM17" s="28" t="n"/>
      <x:c r="DN17" s="28" t="n"/>
      <x:c r="DO17" s="28" t="n"/>
      <x:c r="DP17" s="28" t="n"/>
      <x:c r="DQ17" s="28" t="n"/>
      <x:c r="DR17" s="28" t="n"/>
      <x:c r="DS17" s="28" t="n"/>
      <x:c r="DT17" s="28" t="n"/>
      <x:c r="DU17" s="28" t="n"/>
      <x:c r="DV17" s="28" t="n"/>
      <x:c r="DW17" s="28" t="n"/>
      <x:c r="DX17" s="28" t="n"/>
      <x:c r="DY17" s="28" t="n"/>
      <x:c r="DZ17" s="28" t="n"/>
      <x:c r="EA17" s="28" t="n"/>
      <x:c r="EB17" s="28" t="n"/>
      <x:c r="EC17" s="28" t="n"/>
      <x:c r="ED17" s="28" t="n"/>
      <x:c r="EE17" s="28" t="n"/>
      <x:c r="EF17" s="28" t="n"/>
      <x:c r="EG17" s="28" t="n"/>
      <x:c r="EH17" s="28" t="n"/>
      <x:c r="EI17" s="28" t="n"/>
      <x:c r="EJ17" s="28" t="n"/>
      <x:c r="EK17" s="28" t="n"/>
      <x:c r="EL17" s="28" t="n"/>
      <x:c r="EM17" s="28" t="n"/>
      <x:c r="EN17" s="28" t="n"/>
      <x:c r="EO17" s="28" t="n"/>
      <x:c r="EP17" s="28" t="n"/>
      <x:c r="EQ17" s="28" t="n"/>
      <x:c r="ER17" s="28" t="n"/>
      <x:c r="ES17" s="28" t="n"/>
      <x:c r="ET17" s="28" t="n"/>
      <x:c r="EU17" s="28" t="n"/>
      <x:c r="EV17" s="28" t="n"/>
      <x:c r="EW17" s="28" t="n"/>
      <x:c r="EX17" s="28" t="n"/>
      <x:c r="EY17" s="28" t="n"/>
      <x:c r="EZ17" s="28" t="n"/>
      <x:c r="FA17" s="28" t="n"/>
      <x:c r="FB17" s="28" t="n"/>
      <x:c r="FC17" s="28" t="n"/>
      <x:c r="FD17" s="28" t="n"/>
      <x:c r="FE17" s="28" t="n"/>
      <x:c r="FF17" s="28" t="n"/>
      <x:c r="FG17" s="28" t="n"/>
      <x:c r="FH17" s="28" t="n"/>
      <x:c r="FI17" s="28" t="n"/>
      <x:c r="FJ17" s="28" t="n"/>
      <x:c r="FK17" s="28" t="n"/>
      <x:c r="FL17" s="28" t="n"/>
      <x:c r="FM17" s="28" t="n"/>
      <x:c r="FN17" s="28" t="n"/>
      <x:c r="FO17" s="28" t="n"/>
      <x:c r="FP17" s="28" t="n"/>
      <x:c r="FQ17" s="28" t="n"/>
      <x:c r="FR17" s="28" t="n"/>
      <x:c r="FS17" s="28" t="n"/>
      <x:c r="FT17" s="28" t="n"/>
      <x:c r="FU17" s="28" t="n"/>
      <x:c r="FV17" s="28" t="n"/>
      <x:c r="FW17" s="28" t="n"/>
      <x:c r="FX17" s="28" t="n"/>
      <x:c r="FY17" s="28" t="n"/>
    </x:row>
    <x:row r="18" s="27" customFormat="1">
      <x:c r="A18" s="38" t="n"/>
      <x:c r="B18" s="39" t="n"/>
      <x:c r="C18" s="36" t="n">
        <x:f>E18*D$5</x:f>
        <x:v>18</x:v>
      </x:c>
      <x:c r="D18" s="4" t="inlineStr">
        <x:is>
          <x:t xml:space="preserve">Roy T. Shotwell</x:t>
        </x:is>
      </x:c>
      <x:c r="E18" s="36" t="n">
        <x:f>SUM(G18:HS18)</x:f>
        <x:v>0.45</x:v>
      </x:c>
      <x:c r="F18" s="35" t="inlineStr">
        <x:is>
          <x:t xml:space="preserve"/>
        </x:is>
      </x:c>
      <x:c r="G18" s="121" t="n"/>
      <x:c r="H18" s="121" t="n"/>
      <x:c r="I18" s="121" t="n"/>
      <x:c r="J18" s="121" t="n">
        <x:v>0.2</x:v>
      </x:c>
      <x:c r="K18" s="121" t="n"/>
      <x:c r="L18" s="121" t="n"/>
      <x:c r="M18" s="121" t="n"/>
      <x:c r="N18" s="121" t="n"/>
      <x:c r="O18" s="122" t="n"/>
      <x:c r="P18" s="128" t="n"/>
      <x:c r="Q18" s="124" t="n"/>
      <x:c r="R18" s="123" t="n"/>
      <x:c r="S18" s="129" t="n"/>
      <x:c r="T18" s="121" t="n"/>
      <x:c r="U18" s="121" t="n"/>
      <x:c r="V18" s="121" t="n"/>
      <x:c r="W18" s="121" t="n"/>
      <x:c r="X18" s="121" t="n"/>
      <x:c r="Y18" s="121" t="n"/>
      <x:c r="Z18" s="121" t="n"/>
      <x:c r="AA18" s="121" t="n"/>
      <x:c r="AB18" s="121" t="n"/>
      <x:c r="AC18" s="121" t="n"/>
      <x:c r="AD18" s="123" t="n"/>
      <x:c r="AE18" s="123" t="n"/>
      <x:c r="AF18" s="123" t="n"/>
      <x:c r="AG18" s="122" t="n"/>
      <x:c r="AH18" s="122" t="n"/>
      <x:c r="AI18" s="122" t="n"/>
      <x:c r="AJ18" s="122" t="n"/>
      <x:c r="AK18" s="121" t="n"/>
      <x:c r="AL18" s="124" t="n"/>
      <x:c r="AM18" s="121" t="n"/>
      <x:c r="AN18" s="123" t="n"/>
      <x:c r="AO18" s="121" t="n"/>
      <x:c r="AP18" s="121" t="n"/>
      <x:c r="AQ18" s="28" t="n"/>
      <x:c r="AR18" s="28" t="n"/>
      <x:c r="AS18" s="28" t="n"/>
      <x:c r="AT18" s="28" t="n"/>
      <x:c r="AU18" s="28" t="n"/>
      <x:c r="AV18" s="28" t="n"/>
      <x:c r="AW18" s="28" t="n"/>
      <x:c r="AX18" s="28" t="n"/>
      <x:c r="AY18" s="28" t="n"/>
      <x:c r="AZ18" s="28" t="n"/>
      <x:c r="BA18" s="28" t="n"/>
      <x:c r="BB18" s="28" t="n"/>
      <x:c r="BC18" s="28" t="n"/>
      <x:c r="BD18" s="28" t="n"/>
      <x:c r="BE18" s="28" t="n"/>
      <x:c r="BF18" s="28" t="n"/>
      <x:c r="BG18" s="28" t="n"/>
      <x:c r="BH18" s="28" t="n"/>
      <x:c r="BI18" s="28" t="n"/>
      <x:c r="BJ18" s="28" t="n"/>
      <x:c r="BK18" s="28" t="n"/>
      <x:c r="BL18" s="28" t="n"/>
      <x:c r="BM18" s="28" t="n"/>
      <x:c r="BN18" s="28" t="n"/>
      <x:c r="BO18" s="28" t="n"/>
      <x:c r="BP18" s="28" t="n"/>
      <x:c r="BQ18" s="28" t="n"/>
      <x:c r="BR18" s="28" t="n"/>
      <x:c r="BS18" s="28" t="n"/>
      <x:c r="BT18" s="28" t="n">
        <x:v>0.25</x:v>
      </x:c>
      <x:c r="BU18" s="28" t="n"/>
      <x:c r="BV18" s="28" t="n"/>
      <x:c r="BW18" s="28" t="n"/>
      <x:c r="BX18" s="28" t="n"/>
      <x:c r="BY18" s="28" t="n"/>
      <x:c r="BZ18" s="28" t="n"/>
      <x:c r="CA18" s="28" t="n"/>
      <x:c r="CB18" s="28" t="n"/>
      <x:c r="CC18" s="28" t="n"/>
      <x:c r="CD18" s="28" t="n"/>
      <x:c r="CE18" s="28" t="n"/>
      <x:c r="CF18" s="28" t="n"/>
      <x:c r="CG18" s="28" t="n"/>
      <x:c r="CH18" s="28" t="n"/>
      <x:c r="CI18" s="28" t="n"/>
      <x:c r="CJ18" s="28" t="n"/>
      <x:c r="CK18" s="28" t="n"/>
      <x:c r="CL18" s="28" t="n"/>
      <x:c r="CM18" s="28" t="n"/>
      <x:c r="CN18" s="28" t="n"/>
      <x:c r="CO18" s="28" t="n"/>
      <x:c r="CP18" s="28" t="n"/>
      <x:c r="CQ18" s="28" t="n"/>
      <x:c r="CR18" s="28" t="n"/>
      <x:c r="CS18" s="28" t="n"/>
      <x:c r="CT18" s="28" t="n"/>
      <x:c r="CU18" s="28" t="n"/>
      <x:c r="CV18" s="28" t="n"/>
      <x:c r="CW18" s="28" t="n"/>
      <x:c r="CX18" s="28" t="n"/>
      <x:c r="CY18" s="28" t="n"/>
      <x:c r="CZ18" s="28" t="n"/>
      <x:c r="DA18" s="28" t="n"/>
      <x:c r="DB18" s="28" t="n"/>
      <x:c r="DC18" s="28" t="n"/>
      <x:c r="DD18" s="28" t="n"/>
      <x:c r="DE18" s="28" t="n"/>
      <x:c r="DF18" s="28" t="n"/>
      <x:c r="DG18" s="28" t="n"/>
      <x:c r="DH18" s="28" t="n"/>
      <x:c r="DI18" s="28" t="n"/>
      <x:c r="DJ18" s="28" t="n"/>
      <x:c r="DK18" s="28" t="n"/>
      <x:c r="DL18" s="28" t="n"/>
      <x:c r="DM18" s="28" t="n"/>
      <x:c r="DN18" s="28" t="n"/>
      <x:c r="DO18" s="28" t="n"/>
      <x:c r="DP18" s="28" t="n"/>
      <x:c r="DQ18" s="28" t="n"/>
      <x:c r="DR18" s="28" t="n"/>
      <x:c r="DS18" s="28" t="n"/>
      <x:c r="DT18" s="28" t="n"/>
      <x:c r="DU18" s="28" t="n"/>
      <x:c r="DV18" s="28" t="n"/>
      <x:c r="DW18" s="28" t="n"/>
      <x:c r="DX18" s="28" t="n"/>
      <x:c r="DY18" s="28" t="n"/>
      <x:c r="DZ18" s="28" t="n"/>
      <x:c r="EA18" s="28" t="n"/>
      <x:c r="EB18" s="28" t="n"/>
      <x:c r="EC18" s="28" t="n"/>
      <x:c r="ED18" s="28" t="n"/>
      <x:c r="EE18" s="28" t="n"/>
      <x:c r="EF18" s="28" t="n"/>
      <x:c r="EG18" s="28" t="n"/>
      <x:c r="EH18" s="28" t="n"/>
      <x:c r="EI18" s="28" t="n"/>
      <x:c r="EJ18" s="28" t="n"/>
      <x:c r="EK18" s="28" t="n"/>
      <x:c r="EL18" s="28" t="n"/>
      <x:c r="EM18" s="28" t="n"/>
      <x:c r="EN18" s="28" t="n"/>
      <x:c r="EO18" s="28" t="n"/>
      <x:c r="EP18" s="28" t="n"/>
      <x:c r="EQ18" s="28" t="n"/>
      <x:c r="ER18" s="28" t="n"/>
      <x:c r="ES18" s="28" t="n"/>
      <x:c r="ET18" s="28" t="n"/>
      <x:c r="EU18" s="28" t="n"/>
      <x:c r="EV18" s="28" t="n"/>
      <x:c r="EW18" s="28" t="n"/>
      <x:c r="EX18" s="28" t="n"/>
      <x:c r="EY18" s="28" t="n"/>
      <x:c r="EZ18" s="28" t="n"/>
      <x:c r="FA18" s="28" t="n"/>
      <x:c r="FB18" s="28" t="n"/>
      <x:c r="FC18" s="28" t="n"/>
      <x:c r="FD18" s="28" t="n"/>
      <x:c r="FE18" s="28" t="n"/>
      <x:c r="FF18" s="28" t="n"/>
      <x:c r="FG18" s="28" t="n"/>
      <x:c r="FH18" s="28" t="n"/>
      <x:c r="FI18" s="28" t="n"/>
      <x:c r="FJ18" s="28" t="n"/>
      <x:c r="FK18" s="28" t="n"/>
      <x:c r="FL18" s="28" t="n"/>
      <x:c r="FM18" s="28" t="n"/>
      <x:c r="FN18" s="28" t="n"/>
      <x:c r="FO18" s="28" t="n"/>
      <x:c r="FP18" s="28" t="n"/>
      <x:c r="FQ18" s="28" t="n"/>
      <x:c r="FR18" s="28" t="n"/>
      <x:c r="FS18" s="28" t="n"/>
      <x:c r="FT18" s="28" t="n"/>
      <x:c r="FU18" s="28" t="n"/>
      <x:c r="FV18" s="28" t="n"/>
      <x:c r="FW18" s="28" t="n"/>
      <x:c r="FX18" s="28" t="n"/>
      <x:c r="FY18" s="28" t="n"/>
    </x:row>
    <x:row r="19" s="27" customFormat="1">
      <x:c r="A19" s="38" t="n"/>
      <x:c r="B19" s="39" t="n"/>
      <x:c r="C19" s="36" t="n">
        <x:f>E19*D$5</x:f>
        <x:v>8</x:v>
      </x:c>
      <x:c r="D19" s="523" t="inlineStr">
        <x:is>
          <x:t xml:space="preserve">Ida M. Cuff</x:t>
        </x:is>
      </x:c>
      <x:c r="E19" s="36" t="n">
        <x:f>SUM(G19:HS19)</x:f>
        <x:v>0.2</x:v>
      </x:c>
      <x:c r="F19" s="35" t="inlineStr">
        <x:is>
          <x:t xml:space="preserve"/>
        </x:is>
      </x:c>
      <x:c r="G19" s="121" t="n"/>
      <x:c r="H19" s="121" t="n"/>
      <x:c r="I19" s="121" t="n"/>
      <x:c r="J19" s="121" t="n">
        <x:v>0.2</x:v>
      </x:c>
      <x:c r="K19" s="121" t="n"/>
      <x:c r="L19" s="121" t="n"/>
      <x:c r="M19" s="121" t="n"/>
      <x:c r="N19" s="121" t="n"/>
      <x:c r="O19" s="122" t="n"/>
      <x:c r="P19" s="128" t="n"/>
      <x:c r="Q19" s="128" t="n"/>
      <x:c r="R19" s="123" t="n"/>
      <x:c r="S19" s="129" t="n"/>
      <x:c r="T19" s="121" t="n"/>
      <x:c r="U19" s="121" t="n"/>
      <x:c r="V19" s="121" t="n"/>
      <x:c r="W19" s="121" t="n"/>
      <x:c r="X19" s="121" t="n"/>
      <x:c r="Y19" s="121" t="n"/>
      <x:c r="Z19" s="121" t="n"/>
      <x:c r="AA19" s="121" t="n"/>
      <x:c r="AB19" s="121" t="n"/>
      <x:c r="AC19" s="121" t="n"/>
      <x:c r="AD19" s="123" t="n"/>
      <x:c r="AE19" s="123" t="n"/>
      <x:c r="AF19" s="123" t="n"/>
      <x:c r="AG19" s="122" t="n"/>
      <x:c r="AH19" s="122" t="n"/>
      <x:c r="AI19" s="122" t="n"/>
      <x:c r="AJ19" s="122" t="n"/>
      <x:c r="AK19" s="121" t="n"/>
      <x:c r="AL19" s="123" t="n"/>
      <x:c r="AM19" s="121" t="n"/>
      <x:c r="AN19" s="123" t="n"/>
      <x:c r="AO19" s="121" t="n"/>
      <x:c r="AP19" s="121" t="n"/>
      <x:c r="AQ19" s="28" t="n"/>
      <x:c r="AR19" s="28" t="n"/>
      <x:c r="AS19" s="28" t="n"/>
      <x:c r="AT19" s="28" t="n"/>
      <x:c r="AU19" s="28" t="n"/>
      <x:c r="AV19" s="28" t="n"/>
      <x:c r="AW19" s="28" t="n"/>
      <x:c r="AX19" s="28" t="n"/>
      <x:c r="AY19" s="28" t="n"/>
      <x:c r="AZ19" s="28" t="n"/>
      <x:c r="BA19" s="28" t="n"/>
      <x:c r="BB19" s="28" t="n"/>
      <x:c r="BC19" s="28" t="n"/>
      <x:c r="BD19" s="28" t="n"/>
      <x:c r="BE19" s="28" t="n"/>
      <x:c r="BF19" s="28" t="n"/>
      <x:c r="BG19" s="28" t="n"/>
      <x:c r="BH19" s="28" t="n"/>
      <x:c r="BI19" s="28" t="n"/>
      <x:c r="BJ19" s="28" t="n"/>
      <x:c r="BK19" s="28" t="n"/>
      <x:c r="BL19" s="28" t="n"/>
      <x:c r="BM19" s="28" t="n"/>
      <x:c r="BN19" s="28" t="n"/>
      <x:c r="BO19" s="28" t="n"/>
      <x:c r="BP19" s="28" t="n"/>
      <x:c r="BQ19" s="28" t="n"/>
      <x:c r="BR19" s="28" t="n"/>
      <x:c r="BS19" s="28" t="n"/>
      <x:c r="BT19" s="28" t="n"/>
      <x:c r="BU19" s="28" t="n"/>
      <x:c r="BV19" s="28" t="n"/>
      <x:c r="BW19" s="28" t="n"/>
      <x:c r="BX19" s="28" t="n"/>
      <x:c r="BY19" s="28" t="n"/>
      <x:c r="BZ19" s="28" t="n"/>
      <x:c r="CA19" s="28" t="n"/>
      <x:c r="CB19" s="28" t="n"/>
      <x:c r="CC19" s="28" t="n"/>
      <x:c r="CD19" s="28" t="n"/>
      <x:c r="CE19" s="28" t="n"/>
      <x:c r="CF19" s="28" t="n"/>
      <x:c r="CG19" s="28" t="n"/>
      <x:c r="CH19" s="28" t="n"/>
      <x:c r="CI19" s="28" t="n"/>
      <x:c r="CJ19" s="28" t="n"/>
      <x:c r="CK19" s="28" t="n"/>
      <x:c r="CL19" s="28" t="n"/>
      <x:c r="CM19" s="28" t="n"/>
      <x:c r="CN19" s="28" t="n"/>
      <x:c r="CO19" s="28" t="n"/>
      <x:c r="CP19" s="28" t="n"/>
      <x:c r="CQ19" s="28" t="n"/>
      <x:c r="CR19" s="28" t="n"/>
      <x:c r="CS19" s="28" t="n"/>
      <x:c r="CT19" s="28" t="n"/>
      <x:c r="CU19" s="28" t="n"/>
      <x:c r="CV19" s="28" t="n"/>
      <x:c r="CW19" s="28" t="n"/>
      <x:c r="CX19" s="28" t="n"/>
      <x:c r="CY19" s="28" t="n"/>
      <x:c r="CZ19" s="28" t="n"/>
      <x:c r="DA19" s="28" t="n"/>
      <x:c r="DB19" s="28" t="n"/>
      <x:c r="DC19" s="28" t="n"/>
      <x:c r="DD19" s="28" t="n"/>
      <x:c r="DE19" s="28" t="n"/>
      <x:c r="DF19" s="28" t="n"/>
      <x:c r="DG19" s="28" t="n"/>
      <x:c r="DH19" s="28" t="n"/>
      <x:c r="DI19" s="28" t="n"/>
      <x:c r="DJ19" s="28" t="n"/>
      <x:c r="DK19" s="28" t="n"/>
      <x:c r="DL19" s="28" t="n"/>
      <x:c r="DM19" s="28" t="n"/>
      <x:c r="DN19" s="28" t="n"/>
      <x:c r="DO19" s="28" t="n"/>
      <x:c r="DP19" s="28" t="n"/>
      <x:c r="DQ19" s="28" t="n"/>
      <x:c r="DR19" s="28" t="n"/>
      <x:c r="DS19" s="28" t="n"/>
      <x:c r="DT19" s="28" t="n"/>
      <x:c r="DU19" s="28" t="n"/>
      <x:c r="DV19" s="28" t="n"/>
      <x:c r="DW19" s="28" t="n"/>
      <x:c r="DX19" s="28" t="n"/>
      <x:c r="DY19" s="28" t="n"/>
      <x:c r="DZ19" s="28" t="n"/>
      <x:c r="EA19" s="28" t="n"/>
      <x:c r="EB19" s="28" t="n"/>
      <x:c r="EC19" s="28" t="n"/>
      <x:c r="ED19" s="28" t="n"/>
      <x:c r="EE19" s="28" t="n"/>
      <x:c r="EF19" s="28" t="n"/>
      <x:c r="EG19" s="28" t="n"/>
      <x:c r="EH19" s="28" t="n"/>
      <x:c r="EI19" s="28" t="n"/>
      <x:c r="EJ19" s="28" t="n"/>
      <x:c r="EK19" s="28" t="n"/>
      <x:c r="EL19" s="28" t="n"/>
      <x:c r="EM19" s="28" t="n"/>
      <x:c r="EN19" s="28" t="n"/>
      <x:c r="EO19" s="28" t="n"/>
      <x:c r="EP19" s="28" t="n"/>
      <x:c r="EQ19" s="28" t="n"/>
      <x:c r="ER19" s="28" t="n"/>
      <x:c r="ES19" s="28" t="n"/>
      <x:c r="ET19" s="28" t="n"/>
      <x:c r="EU19" s="28" t="n"/>
      <x:c r="EV19" s="28" t="n"/>
      <x:c r="EW19" s="28" t="n"/>
      <x:c r="EX19" s="28" t="n"/>
      <x:c r="EY19" s="28" t="n"/>
      <x:c r="EZ19" s="28" t="n"/>
      <x:c r="FA19" s="28" t="n"/>
      <x:c r="FB19" s="28" t="n"/>
      <x:c r="FC19" s="28" t="n"/>
      <x:c r="FD19" s="28" t="n"/>
      <x:c r="FE19" s="28" t="n"/>
      <x:c r="FF19" s="28" t="n"/>
      <x:c r="FG19" s="28" t="n"/>
      <x:c r="FH19" s="28" t="n"/>
      <x:c r="FI19" s="28" t="n"/>
      <x:c r="FJ19" s="28" t="n"/>
      <x:c r="FK19" s="28" t="n"/>
      <x:c r="FL19" s="28" t="n"/>
      <x:c r="FM19" s="28" t="n"/>
      <x:c r="FN19" s="28" t="n"/>
      <x:c r="FO19" s="28" t="n"/>
      <x:c r="FP19" s="28" t="n"/>
      <x:c r="FQ19" s="28" t="n"/>
      <x:c r="FR19" s="28" t="n"/>
      <x:c r="FS19" s="28" t="n"/>
      <x:c r="FT19" s="28" t="n"/>
      <x:c r="FU19" s="28" t="n"/>
      <x:c r="FV19" s="28" t="n"/>
      <x:c r="FW19" s="28" t="n"/>
      <x:c r="FX19" s="28" t="n"/>
      <x:c r="FY19" s="28" t="n"/>
    </x:row>
    <x:row r="20" s="27" customFormat="1">
      <x:c r="A20" s="38" t="n"/>
      <x:c r="B20" s="39" t="n"/>
      <x:c r="C20" s="86" t="n">
        <x:f>E20*D$5</x:f>
        <x:v>-43.07692307692307</x:v>
      </x:c>
      <x:c r="D20" s="412" t="inlineStr">
        <x:is>
          <x:t xml:space="preserve">H. M. Carter and Ethel Carter, HW</x:t>
        </x:is>
      </x:c>
      <x:c r="E20" s="413" t="n">
        <x:f>SUM(G20:HS20)</x:f>
        <x:v>-1.0769230769230769</x:v>
      </x:c>
      <x:c r="F20" s="35" t="inlineStr">
        <x:is>
          <x:t xml:space="preserve"/>
        </x:is>
      </x:c>
      <x:c r="G20" s="121" t="n"/>
      <x:c r="H20" s="122" t="n"/>
      <x:c r="I20" s="121" t="n"/>
      <x:c r="J20" s="121" t="n"/>
      <x:c r="K20" s="121" t="n">
        <x:v>-0.0769230769230769</x:v>
      </x:c>
      <x:c r="L20" s="121" t="n">
        <x:v>-1</x:v>
      </x:c>
      <x:c r="M20" s="121" t="n"/>
      <x:c r="N20" s="121" t="n"/>
      <x:c r="O20" s="122" t="n"/>
      <x:c r="P20" s="128" t="n"/>
      <x:c r="Q20" s="128" t="n"/>
      <x:c r="R20" s="123" t="n"/>
      <x:c r="S20" s="129" t="n"/>
      <x:c r="T20" s="121" t="n"/>
      <x:c r="U20" s="121" t="n"/>
      <x:c r="V20" s="121" t="n"/>
      <x:c r="W20" s="121" t="n"/>
      <x:c r="X20" s="121" t="n"/>
      <x:c r="Y20" s="121" t="n"/>
      <x:c r="Z20" s="121" t="n"/>
      <x:c r="AA20" s="121" t="n"/>
      <x:c r="AB20" s="121" t="n"/>
      <x:c r="AC20" s="121" t="n"/>
      <x:c r="AD20" s="123" t="n"/>
      <x:c r="AE20" s="123" t="n"/>
      <x:c r="AF20" s="123" t="n"/>
      <x:c r="AG20" s="123" t="n"/>
      <x:c r="AH20" s="123" t="n"/>
      <x:c r="AI20" s="123" t="n"/>
      <x:c r="AJ20" s="123" t="n"/>
      <x:c r="AK20" s="121" t="n"/>
      <x:c r="AL20" s="123" t="n"/>
      <x:c r="AM20" s="121" t="n"/>
      <x:c r="AN20" s="123" t="n"/>
      <x:c r="AO20" s="121" t="n"/>
      <x:c r="AP20" s="121" t="n"/>
      <x:c r="AQ20" s="28" t="n"/>
      <x:c r="AR20" s="28" t="n"/>
      <x:c r="AS20" s="28" t="n"/>
      <x:c r="AT20" s="28" t="n"/>
      <x:c r="AU20" s="28" t="n"/>
      <x:c r="AV20" s="28" t="n"/>
      <x:c r="AW20" s="28" t="n"/>
      <x:c r="AX20" s="28" t="n"/>
      <x:c r="AY20" s="28" t="n"/>
      <x:c r="AZ20" s="28" t="n"/>
      <x:c r="BA20" s="28" t="n"/>
      <x:c r="BB20" s="28" t="n"/>
      <x:c r="BC20" s="28" t="n"/>
      <x:c r="BD20" s="28" t="n"/>
      <x:c r="BE20" s="28" t="n"/>
      <x:c r="BF20" s="28" t="n"/>
      <x:c r="BG20" s="28" t="n"/>
      <x:c r="BH20" s="28" t="n"/>
      <x:c r="BI20" s="28" t="n"/>
      <x:c r="BJ20" s="28" t="n"/>
      <x:c r="BK20" s="28" t="n"/>
      <x:c r="BL20" s="28" t="n"/>
      <x:c r="BM20" s="28" t="n"/>
      <x:c r="BN20" s="28" t="n"/>
      <x:c r="BO20" s="28" t="n"/>
      <x:c r="BP20" s="28" t="n"/>
      <x:c r="BQ20" s="28" t="n"/>
      <x:c r="BR20" s="28" t="n"/>
      <x:c r="BS20" s="28" t="n"/>
      <x:c r="BT20" s="28" t="n"/>
      <x:c r="BU20" s="28" t="n"/>
      <x:c r="BV20" s="28" t="n"/>
      <x:c r="BW20" s="28" t="n"/>
      <x:c r="BX20" s="28" t="n"/>
      <x:c r="BY20" s="28" t="n"/>
      <x:c r="BZ20" s="28" t="n"/>
      <x:c r="CA20" s="28" t="n"/>
      <x:c r="CB20" s="28" t="n"/>
      <x:c r="CC20" s="28" t="n"/>
      <x:c r="CD20" s="28" t="n"/>
      <x:c r="CE20" s="28" t="n"/>
      <x:c r="CF20" s="28" t="n"/>
      <x:c r="CG20" s="28" t="n"/>
      <x:c r="CH20" s="28" t="n"/>
      <x:c r="CI20" s="28" t="n"/>
      <x:c r="CJ20" s="28" t="n"/>
      <x:c r="CK20" s="28" t="n"/>
      <x:c r="CL20" s="28" t="n"/>
      <x:c r="CM20" s="28" t="n"/>
      <x:c r="CN20" s="28" t="n"/>
      <x:c r="CO20" s="28" t="n"/>
      <x:c r="CP20" s="28" t="n"/>
      <x:c r="CQ20" s="28" t="n"/>
      <x:c r="CR20" s="28" t="n"/>
      <x:c r="CS20" s="28" t="n"/>
      <x:c r="CT20" s="28" t="n"/>
      <x:c r="CU20" s="28" t="n"/>
      <x:c r="CV20" s="28" t="n"/>
      <x:c r="CW20" s="28" t="n"/>
      <x:c r="CX20" s="28" t="n"/>
      <x:c r="CY20" s="28" t="n"/>
      <x:c r="CZ20" s="28" t="n"/>
      <x:c r="DA20" s="28" t="n"/>
      <x:c r="DB20" s="28" t="n"/>
      <x:c r="DC20" s="28" t="n"/>
      <x:c r="DD20" s="28" t="n"/>
      <x:c r="DE20" s="28" t="n"/>
      <x:c r="DF20" s="28" t="n"/>
      <x:c r="DG20" s="28" t="n"/>
      <x:c r="DH20" s="28" t="n"/>
      <x:c r="DI20" s="28" t="n"/>
      <x:c r="DJ20" s="28" t="n"/>
      <x:c r="DK20" s="28" t="n"/>
      <x:c r="DL20" s="28" t="n"/>
      <x:c r="DM20" s="28" t="n"/>
      <x:c r="DN20" s="28" t="n"/>
      <x:c r="DO20" s="28" t="n"/>
      <x:c r="DP20" s="28" t="n"/>
      <x:c r="DQ20" s="28" t="n"/>
      <x:c r="DR20" s="28" t="n"/>
      <x:c r="DS20" s="28" t="n"/>
      <x:c r="DT20" s="28" t="n"/>
      <x:c r="DU20" s="28" t="n"/>
      <x:c r="DV20" s="28" t="n"/>
      <x:c r="DW20" s="28" t="n"/>
      <x:c r="DX20" s="28" t="n"/>
      <x:c r="DY20" s="28" t="n"/>
      <x:c r="DZ20" s="28" t="n"/>
      <x:c r="EA20" s="28" t="n"/>
      <x:c r="EB20" s="28" t="n"/>
      <x:c r="EC20" s="28" t="n"/>
      <x:c r="ED20" s="28" t="n"/>
      <x:c r="EE20" s="28" t="n"/>
      <x:c r="EF20" s="28" t="n"/>
      <x:c r="EG20" s="28" t="n"/>
      <x:c r="EH20" s="28" t="n"/>
      <x:c r="EI20" s="28" t="n"/>
      <x:c r="EJ20" s="28" t="n"/>
      <x:c r="EK20" s="28" t="n"/>
      <x:c r="EL20" s="28" t="n"/>
      <x:c r="EM20" s="28" t="n"/>
      <x:c r="EN20" s="28" t="n"/>
      <x:c r="EO20" s="28" t="n"/>
      <x:c r="EP20" s="28" t="n"/>
      <x:c r="EQ20" s="28" t="n"/>
      <x:c r="ER20" s="28" t="n"/>
      <x:c r="ES20" s="28" t="n"/>
      <x:c r="ET20" s="28" t="n"/>
      <x:c r="EU20" s="28" t="n"/>
      <x:c r="EV20" s="28" t="n"/>
      <x:c r="EW20" s="28" t="n"/>
      <x:c r="EX20" s="28" t="n"/>
      <x:c r="EY20" s="28" t="n"/>
      <x:c r="EZ20" s="28" t="n"/>
      <x:c r="FA20" s="28" t="n"/>
      <x:c r="FB20" s="28" t="n"/>
      <x:c r="FC20" s="28" t="n"/>
      <x:c r="FD20" s="28" t="n"/>
      <x:c r="FE20" s="28" t="n"/>
      <x:c r="FF20" s="28" t="n"/>
      <x:c r="FG20" s="28" t="n"/>
      <x:c r="FH20" s="28" t="n"/>
      <x:c r="FI20" s="28" t="n"/>
      <x:c r="FJ20" s="28" t="n"/>
      <x:c r="FK20" s="28" t="n"/>
      <x:c r="FL20" s="28" t="n"/>
      <x:c r="FM20" s="28" t="n"/>
      <x:c r="FN20" s="28" t="n"/>
      <x:c r="FO20" s="28" t="n"/>
      <x:c r="FP20" s="28" t="n"/>
      <x:c r="FQ20" s="28" t="n"/>
      <x:c r="FR20" s="28" t="n"/>
      <x:c r="FS20" s="28" t="n"/>
      <x:c r="FT20" s="28" t="n"/>
      <x:c r="FU20" s="28" t="n"/>
      <x:c r="FV20" s="28" t="n"/>
      <x:c r="FW20" s="28" t="n"/>
      <x:c r="FX20" s="28" t="n"/>
      <x:c r="FY20" s="28" t="n"/>
    </x:row>
    <x:row r="21" s="27" customFormat="1">
      <x:c r="A21" s="38" t="n"/>
      <x:c r="B21" s="37" t="n"/>
      <x:c r="C21" s="36" t="n">
        <x:f>E21*D$5</x:f>
        <x:v>1.5384615384615379</x:v>
      </x:c>
      <x:c r="D21" s="4" t="inlineStr">
        <x:is>
          <x:t xml:space="preserve">G. C. Mitchel</x:t>
        </x:is>
      </x:c>
      <x:c r="E21" s="36" t="n">
        <x:f>SUM(G21:HS21)</x:f>
        <x:v>0.03846153846153845</x:v>
      </x:c>
      <x:c r="F21" s="35" t="inlineStr">
        <x:is>
          <x:t xml:space="preserve"/>
        </x:is>
      </x:c>
      <x:c r="G21" s="121" t="n"/>
      <x:c r="H21" s="121" t="n"/>
      <x:c r="I21" s="121" t="n"/>
      <x:c r="J21" s="121" t="n"/>
      <x:c r="K21" s="121" t="n">
        <x:v>0.03846153846153845</x:v>
      </x:c>
      <x:c r="L21" s="121" t="n"/>
      <x:c r="M21" s="121" t="n"/>
      <x:c r="N21" s="121" t="n"/>
      <x:c r="O21" s="121" t="n"/>
      <x:c r="P21" s="128" t="n"/>
      <x:c r="Q21" s="128" t="n"/>
      <x:c r="R21" s="123" t="n"/>
      <x:c r="S21" s="129" t="n"/>
      <x:c r="T21" s="121" t="n"/>
      <x:c r="U21" s="121" t="n"/>
      <x:c r="V21" s="121" t="n"/>
      <x:c r="W21" s="121" t="n"/>
      <x:c r="X21" s="121" t="n"/>
      <x:c r="Y21" s="121" t="n"/>
      <x:c r="Z21" s="121" t="n"/>
      <x:c r="AA21" s="121" t="n"/>
      <x:c r="AB21" s="121" t="n"/>
      <x:c r="AC21" s="121" t="n"/>
      <x:c r="AD21" s="123" t="n"/>
      <x:c r="AE21" s="123" t="n"/>
      <x:c r="AF21" s="123" t="n"/>
      <x:c r="AG21" s="123" t="n"/>
      <x:c r="AH21" s="123" t="n"/>
      <x:c r="AI21" s="123" t="n"/>
      <x:c r="AJ21" s="123" t="n"/>
      <x:c r="AK21" s="121" t="n"/>
      <x:c r="AL21" s="123" t="n"/>
      <x:c r="AM21" s="122" t="n"/>
      <x:c r="AN21" s="123" t="n"/>
      <x:c r="AO21" s="121" t="n"/>
      <x:c r="AP21" s="121" t="n"/>
      <x:c r="AQ21" s="28" t="n"/>
      <x:c r="AR21" s="28" t="n"/>
      <x:c r="AS21" s="28" t="n"/>
      <x:c r="AT21" s="28" t="n"/>
      <x:c r="AU21" s="28" t="n"/>
      <x:c r="AV21" s="28" t="n"/>
      <x:c r="AW21" s="28" t="n"/>
      <x:c r="AX21" s="28" t="n"/>
      <x:c r="AY21" s="28" t="n"/>
      <x:c r="AZ21" s="28" t="n"/>
      <x:c r="BA21" s="28" t="n"/>
      <x:c r="BB21" s="28" t="n"/>
      <x:c r="BC21" s="28" t="n"/>
      <x:c r="BD21" s="28" t="n"/>
      <x:c r="BE21" s="28" t="n"/>
      <x:c r="BF21" s="28" t="n"/>
      <x:c r="BG21" s="28" t="n"/>
      <x:c r="BH21" s="28" t="n"/>
      <x:c r="BI21" s="28" t="n"/>
      <x:c r="BJ21" s="28" t="n"/>
      <x:c r="BK21" s="28" t="n"/>
      <x:c r="BL21" s="28" t="n"/>
      <x:c r="BM21" s="28" t="n"/>
      <x:c r="BN21" s="28" t="n"/>
      <x:c r="BO21" s="28" t="n"/>
      <x:c r="BP21" s="28" t="n"/>
      <x:c r="BQ21" s="28" t="n"/>
      <x:c r="BR21" s="28" t="n"/>
      <x:c r="BS21" s="28" t="n"/>
      <x:c r="BT21" s="28" t="n"/>
      <x:c r="BU21" s="28" t="n"/>
      <x:c r="BV21" s="28" t="n"/>
      <x:c r="BW21" s="28" t="n"/>
      <x:c r="BX21" s="28" t="n"/>
      <x:c r="BY21" s="28" t="n"/>
      <x:c r="BZ21" s="28" t="n"/>
      <x:c r="CA21" s="28" t="n"/>
      <x:c r="CB21" s="28" t="n"/>
      <x:c r="CC21" s="28" t="n"/>
      <x:c r="CD21" s="28" t="n"/>
      <x:c r="CE21" s="28" t="n"/>
      <x:c r="CF21" s="28" t="n"/>
      <x:c r="CG21" s="28" t="n"/>
      <x:c r="CH21" s="28" t="n"/>
      <x:c r="CI21" s="28" t="n"/>
      <x:c r="CJ21" s="28" t="n"/>
      <x:c r="CK21" s="28" t="n"/>
      <x:c r="CL21" s="28" t="n"/>
      <x:c r="CM21" s="28" t="n"/>
      <x:c r="CN21" s="28" t="n"/>
      <x:c r="CO21" s="28" t="n"/>
      <x:c r="CP21" s="28" t="n"/>
      <x:c r="CQ21" s="28" t="n"/>
      <x:c r="CR21" s="28" t="n"/>
      <x:c r="CS21" s="28" t="n"/>
      <x:c r="CT21" s="28" t="n"/>
      <x:c r="CU21" s="28" t="n"/>
      <x:c r="CV21" s="28" t="n"/>
      <x:c r="CW21" s="28" t="n"/>
      <x:c r="CX21" s="28" t="n"/>
      <x:c r="CY21" s="28" t="n"/>
      <x:c r="CZ21" s="28" t="n"/>
      <x:c r="DA21" s="28" t="n"/>
      <x:c r="DB21" s="28" t="n"/>
      <x:c r="DC21" s="28" t="n"/>
      <x:c r="DD21" s="28" t="n"/>
      <x:c r="DE21" s="28" t="n"/>
      <x:c r="DF21" s="28" t="n"/>
      <x:c r="DG21" s="28" t="n"/>
      <x:c r="DH21" s="28" t="n"/>
      <x:c r="DI21" s="28" t="n"/>
      <x:c r="DJ21" s="28" t="n"/>
      <x:c r="DK21" s="28" t="n"/>
      <x:c r="DL21" s="28" t="n"/>
      <x:c r="DM21" s="28" t="n"/>
      <x:c r="DN21" s="28" t="n"/>
      <x:c r="DO21" s="28" t="n"/>
      <x:c r="DP21" s="28" t="n"/>
      <x:c r="DQ21" s="28" t="n"/>
      <x:c r="DR21" s="28" t="n"/>
      <x:c r="DS21" s="28" t="n"/>
      <x:c r="DT21" s="28" t="n"/>
      <x:c r="DU21" s="28" t="n"/>
      <x:c r="DV21" s="28" t="n"/>
      <x:c r="DW21" s="28" t="n"/>
      <x:c r="DX21" s="28" t="n"/>
      <x:c r="DY21" s="28" t="n"/>
      <x:c r="DZ21" s="28" t="n"/>
      <x:c r="EA21" s="28" t="n"/>
      <x:c r="EB21" s="28" t="n"/>
      <x:c r="EC21" s="28" t="n"/>
      <x:c r="ED21" s="28" t="n"/>
      <x:c r="EE21" s="28" t="n"/>
      <x:c r="EF21" s="28" t="n"/>
      <x:c r="EG21" s="28" t="n"/>
      <x:c r="EH21" s="28" t="n"/>
      <x:c r="EI21" s="28" t="n"/>
      <x:c r="EJ21" s="28" t="n"/>
      <x:c r="EK21" s="28" t="n"/>
      <x:c r="EL21" s="28" t="n"/>
      <x:c r="EM21" s="28" t="n"/>
      <x:c r="EN21" s="28" t="n"/>
      <x:c r="EO21" s="28" t="n"/>
      <x:c r="EP21" s="28" t="n"/>
      <x:c r="EQ21" s="28" t="n"/>
      <x:c r="ER21" s="28" t="n"/>
      <x:c r="ES21" s="28" t="n"/>
      <x:c r="ET21" s="28" t="n"/>
      <x:c r="EU21" s="28" t="n"/>
      <x:c r="EV21" s="28" t="n"/>
      <x:c r="EW21" s="28" t="n"/>
      <x:c r="EX21" s="28" t="n"/>
      <x:c r="EY21" s="28" t="n"/>
      <x:c r="EZ21" s="28" t="n"/>
      <x:c r="FA21" s="28" t="n"/>
      <x:c r="FB21" s="28" t="n"/>
      <x:c r="FC21" s="28" t="n"/>
      <x:c r="FD21" s="28" t="n"/>
      <x:c r="FE21" s="28" t="n"/>
      <x:c r="FF21" s="28" t="n"/>
      <x:c r="FG21" s="28" t="n"/>
      <x:c r="FH21" s="28" t="n"/>
      <x:c r="FI21" s="28" t="n"/>
      <x:c r="FJ21" s="28" t="n"/>
      <x:c r="FK21" s="28" t="n"/>
      <x:c r="FL21" s="28" t="n"/>
      <x:c r="FM21" s="28" t="n"/>
      <x:c r="FN21" s="28" t="n"/>
      <x:c r="FO21" s="28" t="n"/>
      <x:c r="FP21" s="28" t="n"/>
      <x:c r="FQ21" s="28" t="n"/>
      <x:c r="FR21" s="28" t="n"/>
      <x:c r="FS21" s="28" t="n"/>
      <x:c r="FT21" s="28" t="n"/>
      <x:c r="FU21" s="28" t="n"/>
      <x:c r="FV21" s="28" t="n"/>
      <x:c r="FW21" s="28" t="n"/>
      <x:c r="FX21" s="28" t="n"/>
      <x:c r="FY21" s="28" t="n"/>
    </x:row>
    <x:row r="22" s="27" customFormat="1">
      <x:c r="A22" s="38" t="n"/>
      <x:c r="B22" s="37" t="n"/>
      <x:c r="C22" s="86" t="n">
        <x:f>E22*D$5</x:f>
        <x:v>14.871794871794856</x:v>
      </x:c>
      <x:c r="D22" s="4" t="inlineStr">
        <x:is>
          <x:t xml:space="preserve">Glenn D. Mitchel</x:t>
        </x:is>
      </x:c>
      <x:c r="E22" s="86" t="n">
        <x:f>SUM(G22:HS22)</x:f>
        <x:v>0.3717948717948714</x:v>
      </x:c>
      <x:c r="F22" s="35" t="inlineStr">
        <x:is>
          <x:t xml:space="preserve"/>
        </x:is>
      </x:c>
      <x:c r="G22" s="121" t="n"/>
      <x:c r="H22" s="121" t="n"/>
      <x:c r="I22" s="121" t="n"/>
      <x:c r="J22" s="121" t="n"/>
      <x:c r="K22" s="121" t="n">
        <x:v>0.03846153846153845</x:v>
      </x:c>
      <x:c r="L22" s="121" t="n"/>
      <x:c r="M22" s="121" t="n"/>
      <x:c r="N22" s="121" t="n"/>
      <x:c r="O22" s="121" t="n"/>
      <x:c r="P22" s="128" t="n"/>
      <x:c r="Q22" s="128" t="n"/>
      <x:c r="R22" s="123" t="n"/>
      <x:c r="S22" s="129" t="n"/>
      <x:c r="T22" s="121" t="n"/>
      <x:c r="U22" s="121" t="n"/>
      <x:c r="V22" s="121" t="n"/>
      <x:c r="W22" s="121" t="n"/>
      <x:c r="X22" s="121" t="n"/>
      <x:c r="Y22" s="121" t="n"/>
      <x:c r="Z22" s="121" t="n"/>
      <x:c r="AA22" s="121" t="n"/>
      <x:c r="AB22" s="121" t="n"/>
      <x:c r="AC22" s="121" t="n"/>
      <x:c r="AD22" s="123" t="n"/>
      <x:c r="AE22" s="123" t="n"/>
      <x:c r="AF22" s="123" t="n"/>
      <x:c r="AG22" s="123" t="n"/>
      <x:c r="AH22" s="123" t="n"/>
      <x:c r="AI22" s="123" t="n"/>
      <x:c r="AJ22" s="123" t="n"/>
      <x:c r="AK22" s="121" t="n">
        <x:v>0.333333333333333</x:v>
      </x:c>
      <x:c r="AL22" s="123" t="n"/>
      <x:c r="AM22" s="122" t="n"/>
      <x:c r="AN22" s="123" t="n"/>
      <x:c r="AO22" s="121" t="n"/>
      <x:c r="AP22" s="121" t="n"/>
      <x:c r="AQ22" s="28" t="n"/>
      <x:c r="AR22" s="28" t="n"/>
      <x:c r="AS22" s="28" t="n"/>
      <x:c r="AT22" s="28" t="n"/>
      <x:c r="AU22" s="28" t="n"/>
      <x:c r="AV22" s="28" t="n"/>
      <x:c r="AW22" s="28" t="n"/>
      <x:c r="AX22" s="28" t="n"/>
      <x:c r="AY22" s="28" t="n"/>
      <x:c r="AZ22" s="28" t="n"/>
      <x:c r="BA22" s="28" t="n"/>
      <x:c r="BB22" s="28" t="n"/>
      <x:c r="BC22" s="28" t="n"/>
      <x:c r="BD22" s="28" t="n"/>
      <x:c r="BE22" s="28" t="n"/>
      <x:c r="BF22" s="28" t="n"/>
      <x:c r="BG22" s="28" t="n"/>
      <x:c r="BH22" s="28" t="n"/>
      <x:c r="BI22" s="28" t="n"/>
      <x:c r="BJ22" s="28" t="n"/>
      <x:c r="BK22" s="28" t="n"/>
      <x:c r="BL22" s="28" t="n"/>
      <x:c r="BM22" s="28" t="n"/>
      <x:c r="BN22" s="28" t="n"/>
      <x:c r="BO22" s="28" t="n"/>
      <x:c r="BP22" s="28" t="n"/>
      <x:c r="BQ22" s="28" t="n"/>
      <x:c r="BR22" s="28" t="n"/>
      <x:c r="BS22" s="28" t="n"/>
      <x:c r="BT22" s="28" t="n"/>
      <x:c r="BU22" s="28" t="n"/>
      <x:c r="BV22" s="28" t="n"/>
      <x:c r="BW22" s="28" t="n"/>
      <x:c r="BX22" s="28" t="n"/>
      <x:c r="BY22" s="28" t="n"/>
      <x:c r="BZ22" s="28" t="n"/>
      <x:c r="CA22" s="28" t="n"/>
      <x:c r="CB22" s="28" t="n"/>
      <x:c r="CC22" s="28" t="n"/>
      <x:c r="CD22" s="28" t="n"/>
      <x:c r="CE22" s="28" t="n"/>
      <x:c r="CF22" s="28" t="n"/>
      <x:c r="CG22" s="28" t="n"/>
      <x:c r="CH22" s="28" t="n"/>
      <x:c r="CI22" s="28" t="n"/>
      <x:c r="CJ22" s="28" t="n"/>
      <x:c r="CK22" s="28" t="n"/>
      <x:c r="CL22" s="28" t="n"/>
      <x:c r="CM22" s="28" t="n"/>
      <x:c r="CN22" s="28" t="n"/>
      <x:c r="CO22" s="28" t="n"/>
      <x:c r="CP22" s="28" t="n"/>
      <x:c r="CQ22" s="28" t="n"/>
      <x:c r="CR22" s="28" t="n"/>
      <x:c r="CS22" s="28" t="n"/>
      <x:c r="CT22" s="28" t="n"/>
      <x:c r="CU22" s="28" t="n"/>
      <x:c r="CV22" s="28" t="n"/>
      <x:c r="CW22" s="28" t="n"/>
      <x:c r="CX22" s="28" t="n"/>
      <x:c r="CY22" s="28" t="n"/>
      <x:c r="CZ22" s="28" t="n"/>
      <x:c r="DA22" s="28" t="n"/>
      <x:c r="DB22" s="28" t="n"/>
      <x:c r="DC22" s="28" t="n"/>
      <x:c r="DD22" s="28" t="n"/>
      <x:c r="DE22" s="28" t="n"/>
      <x:c r="DF22" s="28" t="n"/>
      <x:c r="DG22" s="28" t="n"/>
      <x:c r="DH22" s="28" t="n"/>
      <x:c r="DI22" s="28" t="n"/>
      <x:c r="DJ22" s="28" t="n"/>
      <x:c r="DK22" s="28" t="n"/>
      <x:c r="DL22" s="28" t="n"/>
      <x:c r="DM22" s="28" t="n"/>
      <x:c r="DN22" s="28" t="n"/>
      <x:c r="DO22" s="28" t="n"/>
      <x:c r="DP22" s="28" t="n"/>
      <x:c r="DQ22" s="28" t="n"/>
      <x:c r="DR22" s="28" t="n"/>
      <x:c r="DS22" s="28" t="n"/>
      <x:c r="DT22" s="28" t="n"/>
      <x:c r="DU22" s="28" t="n"/>
      <x:c r="DV22" s="28" t="n"/>
      <x:c r="DW22" s="28" t="n"/>
      <x:c r="DX22" s="28" t="n"/>
      <x:c r="DY22" s="28" t="n"/>
      <x:c r="DZ22" s="28" t="n"/>
      <x:c r="EA22" s="28" t="n"/>
      <x:c r="EB22" s="28" t="n"/>
      <x:c r="EC22" s="28" t="n"/>
      <x:c r="ED22" s="28" t="n"/>
      <x:c r="EE22" s="28" t="n"/>
      <x:c r="EF22" s="28" t="n"/>
      <x:c r="EG22" s="28" t="n"/>
      <x:c r="EH22" s="28" t="n"/>
      <x:c r="EI22" s="28" t="n"/>
      <x:c r="EJ22" s="28" t="n"/>
      <x:c r="EK22" s="28" t="n"/>
      <x:c r="EL22" s="28" t="n"/>
      <x:c r="EM22" s="28" t="n"/>
      <x:c r="EN22" s="28" t="n"/>
      <x:c r="EO22" s="28" t="n"/>
      <x:c r="EP22" s="28" t="n"/>
      <x:c r="EQ22" s="28" t="n"/>
      <x:c r="ER22" s="28" t="n"/>
      <x:c r="ES22" s="28" t="n"/>
      <x:c r="ET22" s="28" t="n"/>
      <x:c r="EU22" s="28" t="n"/>
      <x:c r="EV22" s="28" t="n"/>
      <x:c r="EW22" s="28" t="n"/>
      <x:c r="EX22" s="28" t="n"/>
      <x:c r="EY22" s="28" t="n"/>
      <x:c r="EZ22" s="28" t="n"/>
      <x:c r="FA22" s="28" t="n"/>
      <x:c r="FB22" s="28" t="n"/>
      <x:c r="FC22" s="28" t="n"/>
      <x:c r="FD22" s="28" t="n"/>
      <x:c r="FE22" s="28" t="n"/>
      <x:c r="FF22" s="28" t="n"/>
      <x:c r="FG22" s="28" t="n"/>
      <x:c r="FH22" s="28" t="n"/>
      <x:c r="FI22" s="28" t="n"/>
      <x:c r="FJ22" s="28" t="n"/>
      <x:c r="FK22" s="28" t="n"/>
      <x:c r="FL22" s="28" t="n"/>
      <x:c r="FM22" s="28" t="n"/>
      <x:c r="FN22" s="28" t="n"/>
      <x:c r="FO22" s="28" t="n"/>
      <x:c r="FP22" s="28" t="n"/>
      <x:c r="FQ22" s="28" t="n"/>
      <x:c r="FR22" s="28" t="n"/>
      <x:c r="FS22" s="28" t="n"/>
      <x:c r="FT22" s="28" t="n"/>
      <x:c r="FU22" s="28" t="n"/>
      <x:c r="FV22" s="28" t="n"/>
      <x:c r="FW22" s="28" t="n"/>
      <x:c r="FX22" s="28" t="n"/>
      <x:c r="FY22" s="28" t="n"/>
    </x:row>
    <x:row r="23" s="27" customFormat="1">
      <x:c r="A23" s="125" t="n"/>
      <x:c r="B23" s="39" t="n"/>
      <x:c r="C23" s="86" t="n">
        <x:f>E23*D$5</x:f>
        <x:v>100</x:v>
      </x:c>
      <x:c r="D23" s="4" t="inlineStr">
        <x:is>
          <x:t xml:space="preserve">Marvin G. Mitchell and Carrie Lou Mitchell, HW, JTWROS</x:t>
        </x:is>
      </x:c>
      <x:c r="E23" s="86" t="n">
        <x:f>SUM(G23:HS23)</x:f>
        <x:v>2.5</x:v>
      </x:c>
      <x:c r="F23" s="35" t="inlineStr">
        <x:is>
          <x:t xml:space="preserve"/>
        </x:is>
      </x:c>
      <x:c r="G23" s="121" t="n"/>
      <x:c r="H23" s="121" t="n"/>
      <x:c r="I23" s="121" t="n"/>
      <x:c r="J23" s="121" t="n"/>
      <x:c r="K23" s="121" t="n"/>
      <x:c r="L23" s="121" t="n">
        <x:v>1</x:v>
      </x:c>
      <x:c r="M23" s="121" t="n"/>
      <x:c r="N23" s="121" t="n"/>
      <x:c r="O23" s="121" t="n"/>
      <x:c r="P23" s="121" t="n"/>
      <x:c r="Q23" s="124" t="n"/>
      <x:c r="R23" s="123" t="n"/>
      <x:c r="S23" s="121" t="n"/>
      <x:c r="T23" s="129" t="n"/>
      <x:c r="U23" s="121" t="n"/>
      <x:c r="V23" s="121" t="n"/>
      <x:c r="W23" s="121" t="n"/>
      <x:c r="X23" s="121" t="n"/>
      <x:c r="Y23" s="121" t="n"/>
      <x:c r="Z23" s="121" t="n"/>
      <x:c r="AA23" s="121" t="n"/>
      <x:c r="AB23" s="121" t="n"/>
      <x:c r="AC23" s="121" t="n"/>
      <x:c r="AD23" s="123" t="n"/>
      <x:c r="AE23" s="123" t="n"/>
      <x:c r="AF23" s="123" t="n"/>
      <x:c r="AG23" s="123" t="n"/>
      <x:c r="AH23" s="123" t="n"/>
      <x:c r="AI23" s="123" t="n"/>
      <x:c r="AJ23" s="123" t="n"/>
      <x:c r="AK23" s="121" t="n"/>
      <x:c r="AL23" s="123" t="n"/>
      <x:c r="AM23" s="122" t="n"/>
      <x:c r="AN23" s="123" t="n"/>
      <x:c r="AO23" s="121" t="n"/>
      <x:c r="AP23" s="121" t="n"/>
      <x:c r="AQ23" s="28" t="n"/>
      <x:c r="AR23" s="28" t="n"/>
      <x:c r="AS23" s="28" t="n"/>
      <x:c r="AT23" s="28" t="n"/>
      <x:c r="AU23" s="28" t="n"/>
      <x:c r="AV23" s="28" t="n"/>
      <x:c r="AW23" s="28" t="n"/>
      <x:c r="AX23" s="28" t="n"/>
      <x:c r="AY23" s="28" t="n"/>
      <x:c r="AZ23" s="28" t="n"/>
      <x:c r="BA23" s="28" t="n"/>
      <x:c r="BB23" s="28" t="n"/>
      <x:c r="BC23" s="28" t="n"/>
      <x:c r="BD23" s="28" t="n"/>
      <x:c r="BE23" s="28" t="n"/>
      <x:c r="BF23" s="28" t="n"/>
      <x:c r="BG23" s="28" t="n"/>
      <x:c r="BH23" s="28" t="n"/>
      <x:c r="BI23" s="28" t="n"/>
      <x:c r="BJ23" s="28" t="n"/>
      <x:c r="BK23" s="28" t="n"/>
      <x:c r="BL23" s="28" t="n"/>
      <x:c r="BM23" s="28" t="n"/>
      <x:c r="BN23" s="28" t="n"/>
      <x:c r="BO23" s="28" t="n"/>
      <x:c r="BP23" s="28" t="n"/>
      <x:c r="BQ23" s="28" t="n"/>
      <x:c r="BR23" s="28" t="n"/>
      <x:c r="BS23" s="28" t="n"/>
      <x:c r="BT23" s="28" t="n"/>
      <x:c r="BU23" s="28" t="n"/>
      <x:c r="BV23" s="28" t="n"/>
      <x:c r="BW23" s="28" t="n">
        <x:v>1</x:v>
      </x:c>
      <x:c r="BX23" s="28" t="n">
        <x:v>0.5</x:v>
      </x:c>
      <x:c r="BY23" s="28" t="n"/>
      <x:c r="BZ23" s="28" t="n"/>
      <x:c r="CA23" s="28" t="n"/>
      <x:c r="CB23" s="28" t="n"/>
      <x:c r="CC23" s="28" t="n"/>
      <x:c r="CD23" s="28" t="n"/>
      <x:c r="CE23" s="28" t="n"/>
      <x:c r="CF23" s="28" t="n"/>
      <x:c r="CG23" s="28" t="n"/>
      <x:c r="CH23" s="28" t="n"/>
      <x:c r="CI23" s="28" t="n"/>
      <x:c r="CJ23" s="28" t="n"/>
      <x:c r="CK23" s="28" t="n"/>
      <x:c r="CL23" s="28" t="n"/>
      <x:c r="CM23" s="28" t="n"/>
      <x:c r="CN23" s="28" t="n"/>
      <x:c r="CO23" s="28" t="n"/>
      <x:c r="CP23" s="28" t="n"/>
      <x:c r="CQ23" s="28" t="n"/>
      <x:c r="CR23" s="28" t="n"/>
      <x:c r="CS23" s="28" t="n"/>
      <x:c r="CT23" s="28" t="n"/>
      <x:c r="CU23" s="28" t="n"/>
      <x:c r="CV23" s="28" t="n"/>
      <x:c r="CW23" s="28" t="n"/>
      <x:c r="CX23" s="28" t="n"/>
      <x:c r="CY23" s="28" t="n"/>
      <x:c r="CZ23" s="28" t="n"/>
      <x:c r="DA23" s="28" t="n"/>
      <x:c r="DB23" s="28" t="n"/>
      <x:c r="DC23" s="28" t="n"/>
      <x:c r="DD23" s="28" t="n"/>
      <x:c r="DE23" s="28" t="n"/>
      <x:c r="DF23" s="28" t="n"/>
      <x:c r="DG23" s="28" t="n"/>
      <x:c r="DH23" s="28" t="n"/>
      <x:c r="DI23" s="28" t="n"/>
      <x:c r="DJ23" s="28" t="n"/>
      <x:c r="DK23" s="28" t="n"/>
      <x:c r="DL23" s="28" t="n"/>
      <x:c r="DM23" s="28" t="n"/>
      <x:c r="DN23" s="28" t="n"/>
      <x:c r="DO23" s="28" t="n"/>
      <x:c r="DP23" s="28" t="n"/>
      <x:c r="DQ23" s="28" t="n"/>
      <x:c r="DR23" s="28" t="n"/>
      <x:c r="DS23" s="28" t="n"/>
      <x:c r="DT23" s="28" t="n"/>
      <x:c r="DU23" s="28" t="n"/>
      <x:c r="DV23" s="28" t="n"/>
      <x:c r="DW23" s="28" t="n"/>
      <x:c r="DX23" s="28" t="n"/>
      <x:c r="DY23" s="28" t="n"/>
      <x:c r="DZ23" s="28" t="n"/>
      <x:c r="EA23" s="28" t="n"/>
      <x:c r="EB23" s="28" t="n"/>
      <x:c r="EC23" s="28" t="n"/>
      <x:c r="ED23" s="28" t="n"/>
      <x:c r="EE23" s="28" t="n"/>
      <x:c r="EF23" s="28" t="n"/>
      <x:c r="EG23" s="28" t="n"/>
      <x:c r="EH23" s="28" t="n"/>
      <x:c r="EI23" s="28" t="n"/>
      <x:c r="EJ23" s="28" t="n"/>
      <x:c r="EK23" s="28" t="n"/>
      <x:c r="EL23" s="28" t="n"/>
      <x:c r="EM23" s="28" t="n"/>
      <x:c r="EN23" s="28" t="n"/>
      <x:c r="EO23" s="28" t="n"/>
      <x:c r="EP23" s="28" t="n"/>
      <x:c r="EQ23" s="28" t="n"/>
      <x:c r="ER23" s="28" t="n"/>
      <x:c r="ES23" s="28" t="n"/>
      <x:c r="ET23" s="28" t="n"/>
      <x:c r="EU23" s="28" t="n"/>
      <x:c r="EV23" s="28" t="n"/>
      <x:c r="EW23" s="28" t="n"/>
      <x:c r="EX23" s="28" t="n"/>
      <x:c r="EY23" s="28" t="n"/>
      <x:c r="EZ23" s="28" t="n"/>
      <x:c r="FA23" s="28" t="n"/>
      <x:c r="FB23" s="28" t="n"/>
      <x:c r="FC23" s="28" t="n"/>
      <x:c r="FD23" s="28" t="n"/>
      <x:c r="FE23" s="28" t="n"/>
      <x:c r="FF23" s="28" t="n"/>
      <x:c r="FG23" s="28" t="n"/>
      <x:c r="FH23" s="28" t="n"/>
      <x:c r="FI23" s="28" t="n"/>
      <x:c r="FJ23" s="28" t="n"/>
      <x:c r="FK23" s="28" t="n"/>
      <x:c r="FL23" s="28" t="n"/>
      <x:c r="FM23" s="28" t="n"/>
      <x:c r="FN23" s="28" t="n"/>
      <x:c r="FO23" s="28" t="n"/>
      <x:c r="FP23" s="28" t="n"/>
      <x:c r="FQ23" s="28" t="n"/>
      <x:c r="FR23" s="28" t="n"/>
      <x:c r="FS23" s="28" t="n"/>
      <x:c r="FT23" s="28" t="n"/>
      <x:c r="FU23" s="28" t="n"/>
      <x:c r="FV23" s="28" t="n"/>
      <x:c r="FW23" s="28" t="n"/>
      <x:c r="FX23" s="28" t="n"/>
      <x:c r="FY23" s="28" t="n"/>
    </x:row>
    <x:row r="24" s="27" customFormat="1">
      <x:c r="A24" s="125" t="n"/>
      <x:c r="B24" s="39" t="n"/>
      <x:c r="C24" s="86" t="n">
        <x:f>E24*D$5</x:f>
        <x:v>-40</x:v>
      </x:c>
      <x:c r="D24" s="410" t="inlineStr">
        <x:is>
          <x:t xml:space="preserve">Elvin J. Ridling and Dorothy Jean Ridling, HW</x:t>
        </x:is>
      </x:c>
      <x:c r="E24" s="413" t="n">
        <x:f>SUM(G24:HS24)</x:f>
        <x:v>-1</x:v>
      </x:c>
      <x:c r="F24" s="35" t="inlineStr">
        <x:is>
          <x:t xml:space="preserve"/>
        </x:is>
      </x:c>
      <x:c r="G24" s="121" t="n"/>
      <x:c r="H24" s="121" t="n"/>
      <x:c r="I24" s="121" t="n"/>
      <x:c r="J24" s="121" t="n"/>
      <x:c r="K24" s="121" t="n"/>
      <x:c r="L24" s="121" t="n"/>
      <x:c r="M24" s="121" t="n">
        <x:v>-1</x:v>
      </x:c>
      <x:c r="N24" s="121" t="n"/>
      <x:c r="O24" s="121" t="n"/>
      <x:c r="P24" s="121" t="n"/>
      <x:c r="Q24" s="124" t="n"/>
      <x:c r="R24" s="123" t="n"/>
      <x:c r="S24" s="121" t="n"/>
      <x:c r="T24" s="129" t="n"/>
      <x:c r="U24" s="121" t="n"/>
      <x:c r="V24" s="121" t="n"/>
      <x:c r="W24" s="121" t="n"/>
      <x:c r="X24" s="121" t="n"/>
      <x:c r="Y24" s="121" t="n"/>
      <x:c r="Z24" s="121" t="n"/>
      <x:c r="AA24" s="121" t="n"/>
      <x:c r="AB24" s="121" t="n"/>
      <x:c r="AC24" s="121" t="n"/>
      <x:c r="AD24" s="123" t="n"/>
      <x:c r="AE24" s="123" t="n"/>
      <x:c r="AF24" s="123" t="n"/>
      <x:c r="AG24" s="123" t="n"/>
      <x:c r="AH24" s="123" t="n"/>
      <x:c r="AI24" s="123" t="n"/>
      <x:c r="AJ24" s="123" t="n"/>
      <x:c r="AK24" s="121" t="n"/>
      <x:c r="AL24" s="123" t="n"/>
      <x:c r="AM24" s="122" t="n"/>
      <x:c r="AN24" s="123" t="n"/>
      <x:c r="AO24" s="121" t="n"/>
      <x:c r="AP24" s="121" t="n"/>
      <x:c r="AQ24" s="28" t="n"/>
      <x:c r="AR24" s="28" t="n"/>
      <x:c r="AS24" s="28" t="n"/>
      <x:c r="AT24" s="28" t="n"/>
      <x:c r="AU24" s="28" t="n"/>
      <x:c r="AV24" s="28" t="n"/>
      <x:c r="AW24" s="28" t="n"/>
      <x:c r="AX24" s="28" t="n"/>
      <x:c r="AY24" s="28" t="n"/>
      <x:c r="AZ24" s="28" t="n"/>
      <x:c r="BA24" s="28" t="n"/>
      <x:c r="BB24" s="28" t="n"/>
      <x:c r="BC24" s="28" t="n"/>
      <x:c r="BD24" s="28" t="n"/>
      <x:c r="BE24" s="28" t="n"/>
      <x:c r="BF24" s="28" t="n"/>
      <x:c r="BG24" s="28" t="n"/>
      <x:c r="BH24" s="28" t="n"/>
      <x:c r="BI24" s="28" t="n"/>
      <x:c r="BJ24" s="28" t="n"/>
      <x:c r="BK24" s="28" t="n"/>
      <x:c r="BL24" s="28" t="n"/>
      <x:c r="BM24" s="28" t="n"/>
      <x:c r="BN24" s="28" t="n"/>
      <x:c r="BO24" s="28" t="n"/>
      <x:c r="BP24" s="28" t="n"/>
      <x:c r="BQ24" s="28" t="n"/>
      <x:c r="BR24" s="28" t="n"/>
      <x:c r="BS24" s="28" t="n"/>
      <x:c r="BT24" s="28" t="n"/>
      <x:c r="BU24" s="28" t="n"/>
      <x:c r="BV24" s="28" t="n"/>
      <x:c r="BW24" s="28" t="n"/>
      <x:c r="BX24" s="28" t="n"/>
      <x:c r="BY24" s="28" t="n"/>
      <x:c r="BZ24" s="28" t="n"/>
      <x:c r="CA24" s="28" t="n"/>
      <x:c r="CB24" s="28" t="n"/>
      <x:c r="CC24" s="28" t="n"/>
      <x:c r="CD24" s="28" t="n"/>
      <x:c r="CE24" s="28" t="n"/>
      <x:c r="CF24" s="28" t="n"/>
      <x:c r="CG24" s="28" t="n"/>
      <x:c r="CH24" s="28" t="n"/>
      <x:c r="CI24" s="28" t="n"/>
      <x:c r="CJ24" s="28" t="n"/>
      <x:c r="CK24" s="28" t="n"/>
      <x:c r="CL24" s="28" t="n"/>
      <x:c r="CM24" s="28" t="n"/>
      <x:c r="CN24" s="28" t="n"/>
      <x:c r="CO24" s="28" t="n"/>
      <x:c r="CP24" s="28" t="n"/>
      <x:c r="CQ24" s="28" t="n"/>
      <x:c r="CR24" s="28" t="n"/>
      <x:c r="CS24" s="28" t="n"/>
      <x:c r="CT24" s="28" t="n"/>
      <x:c r="CU24" s="28" t="n"/>
      <x:c r="CV24" s="28" t="n"/>
      <x:c r="CW24" s="28" t="n"/>
      <x:c r="CX24" s="28" t="n"/>
      <x:c r="CY24" s="28" t="n"/>
      <x:c r="CZ24" s="28" t="n"/>
      <x:c r="DA24" s="28" t="n"/>
      <x:c r="DB24" s="28" t="n"/>
      <x:c r="DC24" s="28" t="n"/>
      <x:c r="DD24" s="28" t="n"/>
      <x:c r="DE24" s="28" t="n"/>
      <x:c r="DF24" s="28" t="n"/>
      <x:c r="DG24" s="28" t="n"/>
      <x:c r="DH24" s="28" t="n"/>
      <x:c r="DI24" s="28" t="n"/>
      <x:c r="DJ24" s="28" t="n"/>
      <x:c r="DK24" s="28" t="n"/>
      <x:c r="DL24" s="28" t="n"/>
      <x:c r="DM24" s="28" t="n"/>
      <x:c r="DN24" s="28" t="n"/>
      <x:c r="DO24" s="28" t="n"/>
      <x:c r="DP24" s="28" t="n"/>
      <x:c r="DQ24" s="28" t="n"/>
      <x:c r="DR24" s="28" t="n"/>
      <x:c r="DS24" s="28" t="n"/>
      <x:c r="DT24" s="28" t="n"/>
      <x:c r="DU24" s="28" t="n"/>
      <x:c r="DV24" s="28" t="n"/>
      <x:c r="DW24" s="28" t="n"/>
      <x:c r="DX24" s="28" t="n"/>
      <x:c r="DY24" s="28" t="n"/>
      <x:c r="DZ24" s="28" t="n"/>
      <x:c r="EA24" s="28" t="n"/>
      <x:c r="EB24" s="28" t="n"/>
      <x:c r="EC24" s="28" t="n"/>
      <x:c r="ED24" s="28" t="n"/>
      <x:c r="EE24" s="28" t="n"/>
      <x:c r="EF24" s="28" t="n"/>
      <x:c r="EG24" s="28" t="n"/>
      <x:c r="EH24" s="28" t="n"/>
      <x:c r="EI24" s="28" t="n"/>
      <x:c r="EJ24" s="28" t="n"/>
      <x:c r="EK24" s="28" t="n"/>
      <x:c r="EL24" s="28" t="n"/>
      <x:c r="EM24" s="28" t="n"/>
      <x:c r="EN24" s="28" t="n"/>
      <x:c r="EO24" s="28" t="n"/>
      <x:c r="EP24" s="28" t="n"/>
      <x:c r="EQ24" s="28" t="n"/>
      <x:c r="ER24" s="28" t="n"/>
      <x:c r="ES24" s="28" t="n"/>
      <x:c r="ET24" s="28" t="n"/>
      <x:c r="EU24" s="28" t="n"/>
      <x:c r="EV24" s="28" t="n"/>
      <x:c r="EW24" s="28" t="n"/>
      <x:c r="EX24" s="28" t="n"/>
      <x:c r="EY24" s="28" t="n"/>
      <x:c r="EZ24" s="28" t="n"/>
      <x:c r="FA24" s="28" t="n"/>
      <x:c r="FB24" s="28" t="n"/>
      <x:c r="FC24" s="28" t="n"/>
      <x:c r="FD24" s="28" t="n"/>
      <x:c r="FE24" s="28" t="n"/>
      <x:c r="FF24" s="28" t="n"/>
      <x:c r="FG24" s="28" t="n"/>
      <x:c r="FH24" s="28" t="n"/>
      <x:c r="FI24" s="28" t="n"/>
      <x:c r="FJ24" s="28" t="n"/>
      <x:c r="FK24" s="28" t="n"/>
      <x:c r="FL24" s="28" t="n"/>
      <x:c r="FM24" s="28" t="n"/>
      <x:c r="FN24" s="28" t="n"/>
      <x:c r="FO24" s="28" t="n"/>
      <x:c r="FP24" s="28" t="n"/>
      <x:c r="FQ24" s="28" t="n"/>
      <x:c r="FR24" s="28" t="n"/>
      <x:c r="FS24" s="28" t="n"/>
      <x:c r="FT24" s="28" t="n"/>
      <x:c r="FU24" s="28" t="n"/>
      <x:c r="FV24" s="28" t="n"/>
      <x:c r="FW24" s="28" t="n"/>
      <x:c r="FX24" s="28" t="n"/>
      <x:c r="FY24" s="28" t="n"/>
    </x:row>
    <x:row r="25" s="27" customFormat="1">
      <x:c r="A25" s="125" t="n"/>
      <x:c r="B25" s="39" t="n"/>
      <x:c r="C25" s="86" t="n">
        <x:f>E25*D$5</x:f>
        <x:v>40</x:v>
      </x:c>
      <x:c r="D25" s="104" t="inlineStr">
        <x:is>
          <x:t xml:space="preserve">M. G. Mitchell and Carrie Lou Mitchell, HW, JTWROS</x:t>
        </x:is>
      </x:c>
      <x:c r="E25" s="86" t="n">
        <x:f>SUM(G25:HS25)</x:f>
        <x:v>1</x:v>
      </x:c>
      <x:c r="F25" s="35" t="inlineStr">
        <x:is>
          <x:t xml:space="preserve"/>
        </x:is>
      </x:c>
      <x:c r="G25" s="121" t="n"/>
      <x:c r="H25" s="121" t="n"/>
      <x:c r="I25" s="121" t="n"/>
      <x:c r="J25" s="121" t="n"/>
      <x:c r="K25" s="121" t="n"/>
      <x:c r="L25" s="121" t="n"/>
      <x:c r="M25" s="121" t="n">
        <x:v>1</x:v>
      </x:c>
      <x:c r="N25" s="121" t="n"/>
      <x:c r="O25" s="121" t="n"/>
      <x:c r="P25" s="121" t="n"/>
      <x:c r="Q25" s="124" t="n"/>
      <x:c r="R25" s="123" t="n"/>
      <x:c r="S25" s="121" t="n"/>
      <x:c r="T25" s="121" t="n"/>
      <x:c r="U25" s="129" t="n"/>
      <x:c r="V25" s="121" t="n"/>
      <x:c r="W25" s="121" t="n"/>
      <x:c r="X25" s="121" t="n"/>
      <x:c r="Y25" s="121" t="n"/>
      <x:c r="Z25" s="121" t="n"/>
      <x:c r="AA25" s="121" t="n"/>
      <x:c r="AB25" s="121" t="n"/>
      <x:c r="AC25" s="121" t="n"/>
      <x:c r="AD25" s="123" t="n"/>
      <x:c r="AE25" s="123" t="n"/>
      <x:c r="AF25" s="123" t="n"/>
      <x:c r="AG25" s="123" t="n"/>
      <x:c r="AH25" s="123" t="n"/>
      <x:c r="AI25" s="6" t="n"/>
      <x:c r="AJ25" s="123" t="n"/>
      <x:c r="AK25" s="121" t="n"/>
      <x:c r="AL25" s="123" t="n"/>
      <x:c r="AM25" s="121" t="n"/>
      <x:c r="AN25" s="123" t="n"/>
      <x:c r="AO25" s="121" t="n"/>
      <x:c r="AP25" s="121" t="n"/>
      <x:c r="AQ25" s="28" t="n"/>
      <x:c r="AR25" s="28" t="n"/>
      <x:c r="AS25" s="28" t="n"/>
      <x:c r="AT25" s="28" t="n"/>
      <x:c r="AU25" s="28" t="n"/>
      <x:c r="AV25" s="28" t="n"/>
      <x:c r="AW25" s="28" t="n"/>
      <x:c r="AX25" s="28" t="n"/>
      <x:c r="AY25" s="28" t="n"/>
      <x:c r="AZ25" s="28" t="n"/>
      <x:c r="BA25" s="28" t="n"/>
      <x:c r="BB25" s="28" t="n"/>
      <x:c r="BC25" s="28" t="n"/>
      <x:c r="BD25" s="28" t="n"/>
      <x:c r="BE25" s="28" t="n"/>
      <x:c r="BF25" s="28" t="n"/>
      <x:c r="BG25" s="28" t="n"/>
      <x:c r="BH25" s="28" t="n"/>
      <x:c r="BI25" s="28" t="n"/>
      <x:c r="BJ25" s="28" t="n"/>
      <x:c r="BK25" s="28" t="n"/>
      <x:c r="BL25" s="28" t="n"/>
      <x:c r="BM25" s="28" t="n"/>
      <x:c r="BN25" s="28" t="n"/>
      <x:c r="BO25" s="28" t="n"/>
      <x:c r="BP25" s="28" t="n"/>
      <x:c r="BQ25" s="28" t="n"/>
      <x:c r="BR25" s="28" t="n"/>
      <x:c r="BS25" s="28" t="n"/>
      <x:c r="BT25" s="28" t="n"/>
      <x:c r="BU25" s="28" t="n"/>
      <x:c r="BV25" s="28" t="n"/>
      <x:c r="BW25" s="28" t="n"/>
      <x:c r="BX25" s="28" t="n"/>
      <x:c r="BY25" s="28" t="n"/>
      <x:c r="BZ25" s="28" t="n"/>
      <x:c r="CA25" s="28" t="n"/>
      <x:c r="CB25" s="28" t="n"/>
      <x:c r="CC25" s="28" t="n"/>
      <x:c r="CD25" s="28" t="n"/>
      <x:c r="CE25" s="28" t="n"/>
      <x:c r="CF25" s="28" t="n"/>
      <x:c r="CG25" s="28" t="n"/>
      <x:c r="CH25" s="28" t="n"/>
      <x:c r="CI25" s="28" t="n"/>
      <x:c r="CJ25" s="28" t="n"/>
      <x:c r="CK25" s="28" t="n"/>
      <x:c r="CL25" s="28" t="n"/>
      <x:c r="CM25" s="28" t="n"/>
      <x:c r="CN25" s="28" t="n"/>
      <x:c r="CO25" s="28" t="n"/>
      <x:c r="CP25" s="28" t="n"/>
      <x:c r="CQ25" s="28" t="n"/>
      <x:c r="CR25" s="28" t="n"/>
      <x:c r="CS25" s="28" t="n"/>
      <x:c r="CT25" s="28" t="n"/>
      <x:c r="CU25" s="28" t="n"/>
      <x:c r="CV25" s="28" t="n"/>
      <x:c r="CW25" s="28" t="n"/>
      <x:c r="CX25" s="28" t="n"/>
      <x:c r="CY25" s="28" t="n"/>
      <x:c r="CZ25" s="28" t="n"/>
      <x:c r="DA25" s="28" t="n"/>
      <x:c r="DB25" s="28" t="n"/>
      <x:c r="DC25" s="28" t="n"/>
      <x:c r="DD25" s="28" t="n"/>
      <x:c r="DE25" s="28" t="n"/>
      <x:c r="DF25" s="28" t="n"/>
      <x:c r="DG25" s="28" t="n"/>
      <x:c r="DH25" s="28" t="n"/>
      <x:c r="DI25" s="28" t="n"/>
      <x:c r="DJ25" s="28" t="n"/>
      <x:c r="DK25" s="28" t="n"/>
      <x:c r="DL25" s="28" t="n"/>
      <x:c r="DM25" s="28" t="n"/>
      <x:c r="DN25" s="28" t="n"/>
      <x:c r="DO25" s="28" t="n"/>
      <x:c r="DP25" s="28" t="n"/>
      <x:c r="DQ25" s="28" t="n"/>
      <x:c r="DR25" s="28" t="n"/>
      <x:c r="DS25" s="28" t="n"/>
      <x:c r="DT25" s="28" t="n"/>
      <x:c r="DU25" s="28" t="n"/>
      <x:c r="DV25" s="28" t="n"/>
      <x:c r="DW25" s="28" t="n"/>
      <x:c r="DX25" s="28" t="n"/>
      <x:c r="DY25" s="28" t="n"/>
      <x:c r="DZ25" s="28" t="n"/>
      <x:c r="EA25" s="28" t="n"/>
      <x:c r="EB25" s="28" t="n"/>
      <x:c r="EC25" s="28" t="n"/>
      <x:c r="ED25" s="28" t="n"/>
      <x:c r="EE25" s="28" t="n"/>
      <x:c r="EF25" s="28" t="n"/>
      <x:c r="EG25" s="28" t="n"/>
      <x:c r="EH25" s="28" t="n"/>
      <x:c r="EI25" s="28" t="n"/>
      <x:c r="EJ25" s="28" t="n"/>
      <x:c r="EK25" s="28" t="n"/>
      <x:c r="EL25" s="28" t="n"/>
      <x:c r="EM25" s="28" t="n"/>
      <x:c r="EN25" s="28" t="n"/>
      <x:c r="EO25" s="28" t="n"/>
      <x:c r="EP25" s="28" t="n"/>
      <x:c r="EQ25" s="28" t="n"/>
      <x:c r="ER25" s="28" t="n"/>
      <x:c r="ES25" s="28" t="n"/>
      <x:c r="ET25" s="28" t="n"/>
      <x:c r="EU25" s="28" t="n"/>
      <x:c r="EV25" s="28" t="n"/>
      <x:c r="EW25" s="28" t="n"/>
      <x:c r="EX25" s="28" t="n"/>
      <x:c r="EY25" s="28" t="n"/>
      <x:c r="EZ25" s="28" t="n"/>
      <x:c r="FA25" s="28" t="n"/>
      <x:c r="FB25" s="28" t="n"/>
      <x:c r="FC25" s="28" t="n"/>
      <x:c r="FD25" s="28" t="n"/>
      <x:c r="FE25" s="28" t="n"/>
      <x:c r="FF25" s="28" t="n"/>
      <x:c r="FG25" s="28" t="n"/>
      <x:c r="FH25" s="28" t="n"/>
      <x:c r="FI25" s="28" t="n"/>
      <x:c r="FJ25" s="28" t="n"/>
      <x:c r="FK25" s="28" t="n"/>
      <x:c r="FL25" s="28" t="n"/>
      <x:c r="FM25" s="28" t="n"/>
      <x:c r="FN25" s="28" t="n"/>
      <x:c r="FO25" s="28" t="n"/>
      <x:c r="FP25" s="28" t="n"/>
      <x:c r="FQ25" s="28" t="n"/>
      <x:c r="FR25" s="28" t="n"/>
      <x:c r="FS25" s="28" t="n"/>
      <x:c r="FT25" s="28" t="n"/>
      <x:c r="FU25" s="28" t="n"/>
      <x:c r="FV25" s="28" t="n"/>
      <x:c r="FW25" s="28" t="n"/>
      <x:c r="FX25" s="28" t="n"/>
      <x:c r="FY25" s="28" t="n"/>
    </x:row>
    <x:row r="26" s="27" customFormat="1">
      <x:c r="A26" s="125" t="n"/>
      <x:c r="B26" s="39" t="n"/>
      <x:c r="C26" s="86" t="n">
        <x:f>E26*D$5</x:f>
        <x:v>-26.01005722212588</x:v>
      </x:c>
      <x:c r="D26" s="412" t="inlineStr">
        <x:is>
          <x:t xml:space="preserve">W. L. Ayers and Hazel Ayers, HW</x:t>
        </x:is>
      </x:c>
      <x:c r="E26" s="413" t="n">
        <x:f>SUM(G26:HS26)</x:f>
        <x:v>-0.650251430553147</x:v>
      </x:c>
      <x:c r="F26" s="35" t="inlineStr">
        <x:is>
          <x:t xml:space="preserve"/>
        </x:is>
      </x:c>
      <x:c r="G26" s="121" t="n"/>
      <x:c r="H26" s="121" t="n"/>
      <x:c r="I26" s="121" t="n"/>
      <x:c r="J26" s="121" t="n"/>
      <x:c r="K26" s="121" t="n"/>
      <x:c r="L26" s="121" t="n"/>
      <x:c r="M26" s="121" t="n"/>
      <x:c r="N26" s="121" t="n">
        <x:v>-0.650251430553147</x:v>
      </x:c>
      <x:c r="O26" s="121" t="n"/>
      <x:c r="P26" s="121" t="n"/>
      <x:c r="Q26" s="123" t="n"/>
      <x:c r="R26" s="123" t="n"/>
      <x:c r="S26" s="121" t="n"/>
      <x:c r="T26" s="121" t="n"/>
      <x:c r="U26" s="129" t="n"/>
      <x:c r="V26" s="121" t="n"/>
      <x:c r="W26" s="121" t="n"/>
      <x:c r="X26" s="121" t="n"/>
      <x:c r="Y26" s="121" t="n"/>
      <x:c r="Z26" s="121" t="n"/>
      <x:c r="AA26" s="121" t="n"/>
      <x:c r="AB26" s="121" t="n"/>
      <x:c r="AC26" s="121" t="n"/>
      <x:c r="AD26" s="123" t="n"/>
      <x:c r="AE26" s="123" t="n"/>
      <x:c r="AF26" s="123" t="n"/>
      <x:c r="AG26" s="123" t="n"/>
      <x:c r="AH26" s="123" t="n"/>
      <x:c r="AI26" s="5" t="n"/>
      <x:c r="AJ26" s="123" t="n"/>
      <x:c r="AK26" s="121" t="n"/>
      <x:c r="AL26" s="123" t="n"/>
      <x:c r="AM26" s="122" t="n"/>
      <x:c r="AN26" s="123" t="n"/>
      <x:c r="AO26" s="121" t="n"/>
      <x:c r="AP26" s="121" t="n"/>
      <x:c r="AQ26" s="28" t="n"/>
      <x:c r="AR26" s="28" t="n"/>
      <x:c r="AS26" s="28" t="n"/>
      <x:c r="AT26" s="28" t="n"/>
      <x:c r="AU26" s="28" t="n"/>
      <x:c r="AV26" s="28" t="n"/>
      <x:c r="AW26" s="28" t="n"/>
      <x:c r="AX26" s="28" t="n"/>
      <x:c r="AY26" s="28" t="n"/>
      <x:c r="AZ26" s="28" t="n"/>
      <x:c r="BA26" s="28" t="n"/>
      <x:c r="BB26" s="28" t="n"/>
      <x:c r="BC26" s="28" t="n"/>
      <x:c r="BD26" s="28" t="n"/>
      <x:c r="BE26" s="28" t="n"/>
      <x:c r="BF26" s="28" t="n"/>
      <x:c r="BG26" s="28" t="n"/>
      <x:c r="BH26" s="28" t="n"/>
      <x:c r="BI26" s="28" t="n"/>
      <x:c r="BJ26" s="28" t="n"/>
      <x:c r="BK26" s="28" t="n"/>
      <x:c r="BL26" s="28" t="n"/>
      <x:c r="BM26" s="28" t="n"/>
      <x:c r="BN26" s="28" t="n"/>
      <x:c r="BO26" s="28" t="n"/>
      <x:c r="BP26" s="28" t="n"/>
      <x:c r="BQ26" s="28" t="n"/>
      <x:c r="BR26" s="28" t="n"/>
      <x:c r="BS26" s="28" t="n"/>
      <x:c r="BT26" s="28" t="n"/>
      <x:c r="BU26" s="28" t="n"/>
      <x:c r="BV26" s="28" t="n"/>
      <x:c r="BW26" s="28" t="n"/>
      <x:c r="BX26" s="28" t="n"/>
      <x:c r="BY26" s="28" t="n"/>
      <x:c r="BZ26" s="28" t="n"/>
      <x:c r="CA26" s="28" t="n"/>
      <x:c r="CB26" s="28" t="n"/>
      <x:c r="CC26" s="28" t="n"/>
      <x:c r="CD26" s="28" t="n"/>
      <x:c r="CE26" s="28" t="n"/>
      <x:c r="CF26" s="28" t="n"/>
      <x:c r="CG26" s="28" t="n"/>
      <x:c r="CH26" s="28" t="n"/>
      <x:c r="CI26" s="28" t="n"/>
      <x:c r="CJ26" s="28" t="n"/>
      <x:c r="CK26" s="28" t="n"/>
      <x:c r="CL26" s="28" t="n"/>
      <x:c r="CM26" s="28" t="n"/>
      <x:c r="CN26" s="28" t="n"/>
      <x:c r="CO26" s="28" t="n"/>
      <x:c r="CP26" s="28" t="n"/>
      <x:c r="CQ26" s="28" t="n"/>
      <x:c r="CR26" s="28" t="n"/>
      <x:c r="CS26" s="28" t="n"/>
      <x:c r="CT26" s="28" t="n"/>
      <x:c r="CU26" s="28" t="n"/>
      <x:c r="CV26" s="28" t="n"/>
      <x:c r="CW26" s="28" t="n"/>
      <x:c r="CX26" s="28" t="n"/>
      <x:c r="CY26" s="28" t="n"/>
      <x:c r="CZ26" s="28" t="n"/>
      <x:c r="DA26" s="28" t="n"/>
      <x:c r="DB26" s="28" t="n"/>
      <x:c r="DC26" s="28" t="n"/>
      <x:c r="DD26" s="28" t="n"/>
      <x:c r="DE26" s="28" t="n"/>
      <x:c r="DF26" s="28" t="n"/>
      <x:c r="DG26" s="28" t="n"/>
      <x:c r="DH26" s="28" t="n"/>
      <x:c r="DI26" s="28" t="n"/>
      <x:c r="DJ26" s="28" t="n"/>
      <x:c r="DK26" s="28" t="n"/>
      <x:c r="DL26" s="28" t="n"/>
      <x:c r="DM26" s="28" t="n"/>
      <x:c r="DN26" s="28" t="n"/>
      <x:c r="DO26" s="28" t="n"/>
      <x:c r="DP26" s="28" t="n"/>
      <x:c r="DQ26" s="28" t="n"/>
      <x:c r="DR26" s="28" t="n"/>
      <x:c r="DS26" s="28" t="n"/>
      <x:c r="DT26" s="28" t="n"/>
      <x:c r="DU26" s="28" t="n"/>
      <x:c r="DV26" s="28" t="n"/>
      <x:c r="DW26" s="28" t="n"/>
      <x:c r="DX26" s="28" t="n"/>
      <x:c r="DY26" s="28" t="n"/>
      <x:c r="DZ26" s="28" t="n"/>
      <x:c r="EA26" s="28" t="n"/>
      <x:c r="EB26" s="28" t="n"/>
      <x:c r="EC26" s="28" t="n"/>
      <x:c r="ED26" s="28" t="n"/>
      <x:c r="EE26" s="28" t="n"/>
      <x:c r="EF26" s="28" t="n"/>
      <x:c r="EG26" s="28" t="n"/>
      <x:c r="EH26" s="28" t="n"/>
      <x:c r="EI26" s="28" t="n"/>
      <x:c r="EJ26" s="28" t="n"/>
      <x:c r="EK26" s="28" t="n"/>
      <x:c r="EL26" s="28" t="n"/>
      <x:c r="EM26" s="28" t="n"/>
      <x:c r="EN26" s="28" t="n"/>
      <x:c r="EO26" s="28" t="n"/>
      <x:c r="EP26" s="28" t="n"/>
      <x:c r="EQ26" s="28" t="n"/>
      <x:c r="ER26" s="28" t="n"/>
      <x:c r="ES26" s="28" t="n"/>
      <x:c r="ET26" s="28" t="n"/>
      <x:c r="EU26" s="28" t="n"/>
      <x:c r="EV26" s="28" t="n"/>
      <x:c r="EW26" s="28" t="n"/>
      <x:c r="EX26" s="28" t="n"/>
      <x:c r="EY26" s="28" t="n"/>
      <x:c r="EZ26" s="28" t="n"/>
      <x:c r="FA26" s="28" t="n"/>
      <x:c r="FB26" s="28" t="n"/>
      <x:c r="FC26" s="28" t="n"/>
      <x:c r="FD26" s="28" t="n"/>
      <x:c r="FE26" s="28" t="n"/>
      <x:c r="FF26" s="28" t="n"/>
      <x:c r="FG26" s="28" t="n"/>
      <x:c r="FH26" s="28" t="n"/>
      <x:c r="FI26" s="28" t="n"/>
      <x:c r="FJ26" s="28" t="n"/>
      <x:c r="FK26" s="28" t="n"/>
      <x:c r="FL26" s="28" t="n"/>
      <x:c r="FM26" s="28" t="n"/>
      <x:c r="FN26" s="28" t="n"/>
      <x:c r="FO26" s="28" t="n"/>
      <x:c r="FP26" s="28" t="n"/>
      <x:c r="FQ26" s="28" t="n"/>
      <x:c r="FR26" s="28" t="n"/>
      <x:c r="FS26" s="28" t="n"/>
      <x:c r="FT26" s="28" t="n"/>
      <x:c r="FU26" s="28" t="n"/>
      <x:c r="FV26" s="28" t="n"/>
      <x:c r="FW26" s="28" t="n"/>
      <x:c r="FX26" s="28" t="n"/>
      <x:c r="FY26" s="28" t="n"/>
    </x:row>
    <x:row r="27" s="27" customFormat="1">
      <x:c r="A27" s="125" t="n"/>
      <x:c r="B27" s="39" t="n"/>
      <x:c r="C27" s="36" t="n">
        <x:f>E27*D$5</x:f>
        <x:v>19.074041962892316</x:v>
      </x:c>
      <x:c r="D27" s="104" t="inlineStr">
        <x:is>
          <x:t xml:space="preserve">Robert O. Lister Jr.</x:t>
        </x:is>
      </x:c>
      <x:c r="E27" s="36" t="n">
        <x:f>SUM(G27:HS27)</x:f>
        <x:v>0.4768510490723079</x:v>
      </x:c>
      <x:c r="F27" s="35" t="inlineStr">
        <x:is>
          <x:t xml:space="preserve"/>
        </x:is>
      </x:c>
      <x:c r="G27" s="121" t="n"/>
      <x:c r="H27" s="121" t="n"/>
      <x:c r="I27" s="121" t="n"/>
      <x:c r="J27" s="121" t="n"/>
      <x:c r="K27" s="121" t="n"/>
      <x:c r="L27" s="121" t="n"/>
      <x:c r="M27" s="6" t="n"/>
      <x:c r="N27" s="121" t="n">
        <x:v>0.650251430553147</x:v>
      </x:c>
      <x:c r="O27" s="121" t="n"/>
      <x:c r="P27" s="121" t="n">
        <x:v>-0.0867001907404196</x:v>
      </x:c>
      <x:c r="Q27" s="123" t="n">
        <x:v>-0.0867001907404196</x:v>
      </x:c>
      <x:c r="R27" s="123" t="n"/>
      <x:c r="S27" s="121" t="n"/>
      <x:c r="T27" s="121" t="n"/>
      <x:c r="U27" s="121" t="n"/>
      <x:c r="V27" s="129" t="n"/>
      <x:c r="W27" s="121" t="n"/>
      <x:c r="X27" s="121" t="n"/>
      <x:c r="Y27" s="121" t="n"/>
      <x:c r="Z27" s="121" t="n"/>
      <x:c r="AA27" s="121" t="n"/>
      <x:c r="AB27" s="121" t="n"/>
      <x:c r="AC27" s="121" t="n"/>
      <x:c r="AD27" s="123" t="n"/>
      <x:c r="AE27" s="123" t="n"/>
      <x:c r="AF27" s="123" t="n"/>
      <x:c r="AG27" s="123" t="n"/>
      <x:c r="AH27" s="123" t="n"/>
      <x:c r="AI27" s="5" t="n"/>
      <x:c r="AJ27" s="123" t="n"/>
      <x:c r="AK27" s="121" t="n"/>
      <x:c r="AL27" s="123" t="n"/>
      <x:c r="AM27" s="121" t="n"/>
      <x:c r="AN27" s="123" t="n"/>
      <x:c r="AO27" s="121" t="n"/>
      <x:c r="AP27" s="121" t="n"/>
      <x:c r="AQ27" s="28" t="n"/>
      <x:c r="AR27" s="28" t="n"/>
      <x:c r="AS27" s="28" t="n"/>
    </x:row>
    <x:row r="28" s="27" customFormat="1">
      <x:c r="A28" s="125" t="n"/>
      <x:c r="B28" s="39" t="n"/>
      <x:c r="C28" s="36" t="n">
        <x:f>E28*D$5</x:f>
        <x:v>-19.07404196289232</x:v>
      </x:c>
      <x:c r="D28" s="410" t="inlineStr">
        <x:is>
          <x:t xml:space="preserve">Robert O. Lister, Jr. and Marie Lister, HW</x:t>
        </x:is>
      </x:c>
      <x:c r="E28" s="411" t="n">
        <x:f>SUM(G28:HS28)</x:f>
        <x:v>-0.476851049072308</x:v>
      </x:c>
      <x:c r="F28" s="35" t="inlineStr">
        <x:is>
          <x:t xml:space="preserve"/>
        </x:is>
      </x:c>
      <x:c r="G28" s="121" t="n"/>
      <x:c r="H28" s="121" t="n"/>
      <x:c r="I28" s="121" t="n"/>
      <x:c r="J28" s="121" t="n"/>
      <x:c r="K28" s="121" t="n"/>
      <x:c r="L28" s="121" t="n"/>
      <x:c r="M28" s="5" t="n"/>
      <x:c r="N28" s="121" t="n"/>
      <x:c r="O28" s="121" t="n">
        <x:v>-0.476851049072308</x:v>
      </x:c>
      <x:c r="P28" s="121" t="n"/>
      <x:c r="Q28" s="123" t="n"/>
      <x:c r="R28" s="123" t="n"/>
      <x:c r="S28" s="121" t="n"/>
      <x:c r="T28" s="121" t="n"/>
      <x:c r="U28" s="121" t="n"/>
      <x:c r="V28" s="129" t="n"/>
      <x:c r="W28" s="121" t="n"/>
      <x:c r="X28" s="121" t="n"/>
      <x:c r="Y28" s="121" t="n"/>
      <x:c r="Z28" s="121" t="n"/>
      <x:c r="AA28" s="121" t="n"/>
      <x:c r="AB28" s="121" t="n"/>
      <x:c r="AC28" s="121" t="n"/>
      <x:c r="AD28" s="123" t="n"/>
      <x:c r="AE28" s="123" t="n"/>
      <x:c r="AF28" s="123" t="n"/>
      <x:c r="AG28" s="123" t="n"/>
      <x:c r="AH28" s="123" t="n"/>
      <x:c r="AI28" s="5" t="n"/>
      <x:c r="AJ28" s="123" t="n"/>
      <x:c r="AK28" s="121" t="n"/>
      <x:c r="AL28" s="123" t="n"/>
      <x:c r="AM28" s="121" t="n"/>
      <x:c r="AN28" s="123" t="n"/>
      <x:c r="AO28" s="121" t="n"/>
      <x:c r="AP28" s="121" t="n"/>
      <x:c r="AQ28" s="28" t="n"/>
      <x:c r="AR28" s="28" t="n"/>
      <x:c r="AS28" s="28" t="n"/>
    </x:row>
    <x:row r="29" s="27" customFormat="1">
      <x:c r="A29" s="125" t="n"/>
      <x:c r="B29" s="39" t="n"/>
      <x:c r="C29" s="86" t="n">
        <x:f>E29*D$5</x:f>
        <x:v>19.07404196289232</x:v>
      </x:c>
      <x:c r="D29" s="103" t="inlineStr">
        <x:is>
          <x:t xml:space="preserve">Carrie Lou Mitchell</x:t>
        </x:is>
      </x:c>
      <x:c r="E29" s="86" t="n">
        <x:f>SUM(G29:HS29)</x:f>
        <x:v>0.476851049072308</x:v>
      </x:c>
      <x:c r="F29" s="35" t="inlineStr">
        <x:is>
          <x:t xml:space="preserve"/>
        </x:is>
      </x:c>
      <x:c r="G29" s="121" t="n"/>
      <x:c r="H29" s="121" t="n"/>
      <x:c r="I29" s="121" t="n"/>
      <x:c r="J29" s="121" t="n"/>
      <x:c r="K29" s="121" t="n"/>
      <x:c r="L29" s="121" t="n"/>
      <x:c r="M29" s="5" t="n"/>
      <x:c r="N29" s="121" t="n"/>
      <x:c r="O29" s="121" t="n">
        <x:v>0.476851049072308</x:v>
      </x:c>
      <x:c r="P29" s="121" t="n"/>
      <x:c r="Q29" s="123" t="n"/>
      <x:c r="R29" s="123" t="n"/>
      <x:c r="S29" s="121" t="n"/>
      <x:c r="T29" s="121" t="n"/>
      <x:c r="U29" s="121" t="n"/>
      <x:c r="V29" s="129" t="n"/>
      <x:c r="W29" s="121" t="n"/>
      <x:c r="X29" s="121" t="n"/>
      <x:c r="Y29" s="121" t="n"/>
      <x:c r="Z29" s="121" t="n"/>
      <x:c r="AA29" s="121" t="n"/>
      <x:c r="AB29" s="121" t="n"/>
      <x:c r="AC29" s="121" t="n"/>
      <x:c r="AD29" s="123" t="n"/>
      <x:c r="AE29" s="123" t="n"/>
      <x:c r="AF29" s="123" t="n"/>
      <x:c r="AG29" s="123" t="n"/>
      <x:c r="AH29" s="123" t="n"/>
      <x:c r="AI29" s="5" t="n"/>
      <x:c r="AJ29" s="123" t="n"/>
      <x:c r="AK29" s="121" t="n"/>
      <x:c r="AL29" s="123" t="n"/>
      <x:c r="AM29" s="121" t="n"/>
      <x:c r="AN29" s="123" t="n"/>
      <x:c r="AO29" s="121" t="n"/>
      <x:c r="AP29" s="121" t="n"/>
      <x:c r="AQ29" s="28" t="n"/>
      <x:c r="AR29" s="28" t="n"/>
      <x:c r="AS29" s="28" t="n"/>
    </x:row>
    <x:row r="30" s="27" customFormat="1">
      <x:c r="A30" s="125" t="n"/>
      <x:c r="B30" s="39" t="n"/>
      <x:c r="C30" s="36" t="n">
        <x:f>E30*D$5</x:f>
        <x:v>3.4680076296167837</x:v>
      </x:c>
      <x:c r="D30" s="4" t="inlineStr">
        <x:is>
          <x:t xml:space="preserve">A. C. Campbell</x:t>
        </x:is>
      </x:c>
      <x:c r="E30" s="36" t="n">
        <x:f>SUM(G30:HS30)</x:f>
        <x:v>0.0867001907404196</x:v>
      </x:c>
      <x:c r="F30" s="35" t="inlineStr">
        <x:is>
          <x:t xml:space="preserve"/>
        </x:is>
      </x:c>
      <x:c r="G30" s="121" t="n"/>
      <x:c r="H30" s="121" t="n"/>
      <x:c r="I30" s="121" t="n"/>
      <x:c r="J30" s="121" t="n"/>
      <x:c r="K30" s="121" t="n"/>
      <x:c r="L30" s="121" t="n"/>
      <x:c r="M30" s="117" t="n"/>
      <x:c r="N30" s="121" t="n"/>
      <x:c r="O30" s="121" t="n"/>
      <x:c r="P30" s="121" t="n">
        <x:v>0.0867001907404196</x:v>
      </x:c>
      <x:c r="Q30" s="123" t="n"/>
      <x:c r="R30" s="123" t="n"/>
      <x:c r="S30" s="121" t="n"/>
      <x:c r="T30" s="121" t="n"/>
      <x:c r="U30" s="121" t="n"/>
      <x:c r="V30" s="121" t="n"/>
      <x:c r="W30" s="129" t="n"/>
      <x:c r="X30" s="129" t="n"/>
      <x:c r="Y30" s="129" t="n"/>
      <x:c r="Z30" s="129" t="n"/>
      <x:c r="AA30" s="129" t="n"/>
      <x:c r="AB30" s="121" t="n"/>
      <x:c r="AC30" s="121" t="n"/>
      <x:c r="AD30" s="123" t="n"/>
      <x:c r="AE30" s="123" t="n"/>
      <x:c r="AF30" s="123" t="n"/>
      <x:c r="AG30" s="123" t="n"/>
      <x:c r="AH30" s="123" t="n"/>
      <x:c r="AI30" s="118" t="n"/>
      <x:c r="AJ30" s="123" t="n"/>
      <x:c r="AK30" s="121" t="n"/>
      <x:c r="AL30" s="123" t="n"/>
      <x:c r="AM30" s="121" t="n"/>
      <x:c r="AN30" s="123" t="n"/>
      <x:c r="AO30" s="121" t="n"/>
      <x:c r="AP30" s="121" t="n"/>
      <x:c r="AQ30" s="28" t="n"/>
      <x:c r="AR30" s="28" t="n"/>
      <x:c r="AS30" s="28" t="n"/>
    </x:row>
    <x:row r="31" s="27" customFormat="1">
      <x:c r="A31" s="125" t="n"/>
      <x:c r="B31" s="39" t="n"/>
      <x:c r="C31" s="86" t="n">
        <x:f>E31*D$5</x:f>
        <x:v>3.4680076296167837</x:v>
      </x:c>
      <x:c r="D31" s="4" t="inlineStr">
        <x:is>
          <x:t xml:space="preserve">J. W. Klopfenstein</x:t>
        </x:is>
      </x:c>
      <x:c r="E31" s="86" t="n">
        <x:f>SUM(G31:HS31)</x:f>
        <x:v>0.0867001907404196</x:v>
      </x:c>
      <x:c r="F31" s="35" t="inlineStr">
        <x:is>
          <x:t xml:space="preserve"/>
        </x:is>
      </x:c>
      <x:c r="G31" s="121" t="n"/>
      <x:c r="H31" s="121" t="n"/>
      <x:c r="I31" s="121" t="n"/>
      <x:c r="J31" s="121" t="n"/>
      <x:c r="K31" s="121" t="n"/>
      <x:c r="L31" s="121" t="n"/>
      <x:c r="M31" s="117" t="n"/>
      <x:c r="N31" s="121" t="n"/>
      <x:c r="O31" s="121" t="n"/>
      <x:c r="P31" s="121" t="n"/>
      <x:c r="Q31" s="123" t="n">
        <x:v>0.0867001907404196</x:v>
      </x:c>
      <x:c r="R31" s="123" t="n"/>
      <x:c r="S31" s="121" t="n"/>
      <x:c r="T31" s="121" t="n"/>
      <x:c r="U31" s="121" t="n"/>
      <x:c r="V31" s="121" t="n"/>
      <x:c r="W31" s="129" t="n"/>
      <x:c r="X31" s="129" t="n"/>
      <x:c r="Y31" s="121" t="n"/>
      <x:c r="Z31" s="121" t="n"/>
      <x:c r="AA31" s="121" t="n"/>
      <x:c r="AB31" s="121" t="n"/>
      <x:c r="AC31" s="121" t="n"/>
      <x:c r="AD31" s="123" t="n"/>
      <x:c r="AE31" s="123" t="n"/>
      <x:c r="AF31" s="123" t="n"/>
      <x:c r="AG31" s="123" t="n"/>
      <x:c r="AH31" s="123" t="n"/>
      <x:c r="AI31" s="118" t="n"/>
      <x:c r="AJ31" s="123" t="n"/>
      <x:c r="AK31" s="121" t="n"/>
      <x:c r="AL31" s="123" t="n"/>
      <x:c r="AM31" s="121" t="n"/>
      <x:c r="AN31" s="123" t="n"/>
      <x:c r="AO31" s="121" t="n"/>
      <x:c r="AP31" s="121" t="n"/>
      <x:c r="AQ31" s="28" t="n"/>
      <x:c r="AR31" s="28" t="n"/>
      <x:c r="AS31" s="28" t="n"/>
    </x:row>
    <x:row r="32" s="27" customFormat="1">
      <x:c r="A32" s="125" t="n"/>
      <x:c r="B32" s="39" t="n"/>
      <x:c r="C32" s="86" t="n">
        <x:f>E32*D$5</x:f>
        <x:v>-9.23076923076924</x:v>
      </x:c>
      <x:c r="D32" s="410" t="inlineStr">
        <x:is>
          <x:t xml:space="preserve">L. E. Thurman and Veronica Thurman, HW</x:t>
        </x:is>
      </x:c>
      <x:c r="E32" s="413" t="n">
        <x:f>SUM(G32:HS32)</x:f>
        <x:v>-0.230769230769231</x:v>
      </x:c>
      <x:c r="F32" s="35" t="inlineStr">
        <x:is>
          <x:t xml:space="preserve"/>
        </x:is>
      </x:c>
      <x:c r="G32" s="121" t="n"/>
      <x:c r="H32" s="121" t="n"/>
      <x:c r="I32" s="121" t="n"/>
      <x:c r="J32" s="121" t="n"/>
      <x:c r="K32" s="121" t="n"/>
      <x:c r="L32" s="121" t="n"/>
      <x:c r="M32" s="117" t="n"/>
      <x:c r="N32" s="121" t="n"/>
      <x:c r="O32" s="121" t="n"/>
      <x:c r="P32" s="121" t="n"/>
      <x:c r="Q32" s="123" t="n"/>
      <x:c r="R32" s="123" t="n">
        <x:v>-0.230769230769231</x:v>
      </x:c>
      <x:c r="S32" s="121" t="n"/>
      <x:c r="T32" s="121" t="n"/>
      <x:c r="U32" s="121" t="n"/>
      <x:c r="V32" s="121" t="n"/>
      <x:c r="W32" s="129" t="n"/>
      <x:c r="X32" s="121" t="n"/>
      <x:c r="Y32" s="129" t="n"/>
      <x:c r="Z32" s="121" t="n"/>
      <x:c r="AA32" s="121" t="n"/>
      <x:c r="AB32" s="121" t="n"/>
      <x:c r="AC32" s="121" t="n"/>
      <x:c r="AD32" s="123" t="n"/>
      <x:c r="AE32" s="123" t="n"/>
      <x:c r="AF32" s="123" t="n"/>
      <x:c r="AG32" s="123" t="n"/>
      <x:c r="AH32" s="123" t="n"/>
      <x:c r="AI32" s="118" t="n"/>
      <x:c r="AJ32" s="123" t="n"/>
      <x:c r="AK32" s="121" t="n"/>
      <x:c r="AL32" s="123" t="n"/>
      <x:c r="AM32" s="121" t="n"/>
      <x:c r="AN32" s="123" t="n"/>
      <x:c r="AO32" s="121" t="n"/>
      <x:c r="AP32" s="121" t="n"/>
      <x:c r="AQ32" s="28" t="n"/>
      <x:c r="AR32" s="28" t="n"/>
      <x:c r="AS32" s="28" t="n"/>
    </x:row>
    <x:row r="33" s="27" customFormat="1">
      <x:c r="A33" s="125" t="n"/>
      <x:c r="B33" s="39" t="n"/>
      <x:c r="C33" s="36" t="n">
        <x:f>E33*D$5</x:f>
        <x:v>5.551115123125783e-16</x:v>
      </x:c>
      <x:c r="D33" s="103" t="inlineStr">
        <x:is>
          <x:t xml:space="preserve">Marie Lister</x:t>
        </x:is>
      </x:c>
      <x:c r="E33" s="36" t="n">
        <x:f>SUM(G33:HS33)</x:f>
        <x:v>1.3877787807814457e-17</x:v>
      </x:c>
      <x:c r="F33" s="35" t="inlineStr">
        <x:is>
          <x:t xml:space="preserve"/>
        </x:is>
      </x:c>
      <x:c r="G33" s="121" t="n"/>
      <x:c r="H33" s="121" t="n"/>
      <x:c r="I33" s="121" t="n"/>
      <x:c r="J33" s="121" t="n"/>
      <x:c r="K33" s="121" t="n"/>
      <x:c r="L33" s="121" t="n"/>
      <x:c r="M33" s="121" t="n"/>
      <x:c r="N33" s="121" t="n"/>
      <x:c r="O33" s="121" t="n"/>
      <x:c r="P33" s="121" t="n"/>
      <x:c r="Q33" s="123" t="n"/>
      <x:c r="R33" s="123" t="n">
        <x:v>0.230769230769231</x:v>
      </x:c>
      <x:c r="S33" s="121" t="n">
        <x:v>-0.153846153846154</x:v>
      </x:c>
      <x:c r="T33" s="121" t="n">
        <x:v>-0.0384615384615385</x:v>
      </x:c>
      <x:c r="U33" s="121" t="n">
        <x:v>-0.0384615384615385</x:v>
      </x:c>
      <x:c r="V33" s="121" t="n"/>
      <x:c r="W33" s="129" t="n"/>
      <x:c r="X33" s="121" t="n"/>
      <x:c r="Y33" s="121" t="n"/>
      <x:c r="Z33" s="129" t="n"/>
      <x:c r="AA33" s="121" t="n"/>
      <x:c r="AB33" s="121" t="n"/>
      <x:c r="AC33" s="121" t="n"/>
      <x:c r="AD33" s="123" t="n"/>
      <x:c r="AE33" s="123" t="n"/>
      <x:c r="AF33" s="123" t="n"/>
      <x:c r="AG33" s="123" t="n"/>
      <x:c r="AH33" s="123" t="n"/>
      <x:c r="AI33" s="123" t="n"/>
      <x:c r="AJ33" s="123" t="n"/>
      <x:c r="AK33" s="121" t="n"/>
      <x:c r="AL33" s="123" t="n"/>
      <x:c r="AM33" s="121" t="n"/>
      <x:c r="AN33" s="123" t="n"/>
      <x:c r="AO33" s="121" t="n"/>
      <x:c r="AP33" s="121" t="n"/>
      <x:c r="AQ33" s="28" t="n"/>
      <x:c r="AR33" s="28" t="n"/>
      <x:c r="AS33" s="28" t="n"/>
    </x:row>
    <x:row r="34" s="27" customFormat="1">
      <x:c r="A34" s="125" t="n"/>
      <x:c r="B34" s="39" t="n"/>
      <x:c r="C34" s="36" t="n">
        <x:f>E34*D$5</x:f>
        <x:v>0</x:v>
      </x:c>
      <x:c r="D34" s="103" t="inlineStr">
        <x:is>
          <x:t xml:space="preserve">W. H. Sorenson</x:t>
        </x:is>
      </x:c>
      <x:c r="E34" s="36" t="n">
        <x:f>SUM(G34:HS34)</x:f>
        <x:v>0</x:v>
      </x:c>
      <x:c r="F34" s="35" t="inlineStr">
        <x:is>
          <x:t xml:space="preserve"/>
        </x:is>
      </x:c>
      <x:c r="G34" s="121" t="n"/>
      <x:c r="H34" s="121" t="n"/>
      <x:c r="I34" s="121" t="n"/>
      <x:c r="J34" s="121" t="n"/>
      <x:c r="K34" s="121" t="n"/>
      <x:c r="L34" s="121" t="n"/>
      <x:c r="M34" s="121" t="n"/>
      <x:c r="N34" s="121" t="n"/>
      <x:c r="O34" s="121" t="n"/>
      <x:c r="P34" s="121" t="n"/>
      <x:c r="Q34" s="123" t="n"/>
      <x:c r="R34" s="123" t="n"/>
      <x:c r="S34" s="121" t="n">
        <x:v>0.153846153846154</x:v>
      </x:c>
      <x:c r="T34" s="121" t="n"/>
      <x:c r="U34" s="121" t="n"/>
      <x:c r="V34" s="121" t="n"/>
      <x:c r="W34" s="129" t="n"/>
      <x:c r="X34" s="121" t="n">
        <x:v>-0.153846153846154</x:v>
      </x:c>
      <x:c r="Y34" s="121" t="n"/>
      <x:c r="Z34" s="121" t="n"/>
      <x:c r="AA34" s="129" t="n"/>
      <x:c r="AB34" s="121" t="n"/>
      <x:c r="AC34" s="121" t="n"/>
      <x:c r="AD34" s="121" t="n"/>
      <x:c r="AE34" s="123" t="n"/>
      <x:c r="AF34" s="123" t="n"/>
      <x:c r="AG34" s="123" t="n"/>
      <x:c r="AH34" s="123" t="n"/>
      <x:c r="AI34" s="123" t="n"/>
      <x:c r="AJ34" s="123" t="n"/>
      <x:c r="AK34" s="121" t="n"/>
      <x:c r="AL34" s="123" t="n"/>
      <x:c r="AM34" s="121" t="n"/>
      <x:c r="AN34" s="123" t="n"/>
      <x:c r="AO34" s="121" t="n"/>
      <x:c r="AP34" s="121" t="n"/>
      <x:c r="AQ34" s="28" t="n"/>
      <x:c r="AR34" s="28" t="n"/>
      <x:c r="AS34" s="28" t="n"/>
    </x:row>
    <x:row r="35" s="27" customFormat="1">
      <x:c r="A35" s="125" t="n"/>
      <x:c r="B35" s="39" t="n"/>
      <x:c r="C35" s="36" t="n">
        <x:f>E35*D$5</x:f>
        <x:v>1.5384615384615399</x:v>
      </x:c>
      <x:c r="D35" s="4" t="inlineStr">
        <x:is>
          <x:t xml:space="preserve">Mann Childrens Trust</x:t>
        </x:is>
      </x:c>
      <x:c r="E35" s="36" t="n">
        <x:f>SUM(G35:HS35)</x:f>
        <x:v>0.0384615384615385</x:v>
      </x:c>
      <x:c r="F35" s="35" t="inlineStr">
        <x:is>
          <x:t xml:space="preserve"/>
        </x:is>
      </x:c>
      <x:c r="G35" s="121" t="n"/>
      <x:c r="H35" s="121" t="n"/>
      <x:c r="I35" s="121" t="n"/>
      <x:c r="J35" s="121" t="n"/>
      <x:c r="K35" s="121" t="n"/>
      <x:c r="L35" s="121" t="n"/>
      <x:c r="M35" s="121" t="n"/>
      <x:c r="N35" s="121" t="n"/>
      <x:c r="O35" s="121" t="n"/>
      <x:c r="P35" s="121" t="n"/>
      <x:c r="Q35" s="123" t="n"/>
      <x:c r="R35" s="123" t="n"/>
      <x:c r="S35" s="121" t="n"/>
      <x:c r="T35" s="121" t="n">
        <x:v>0.0384615384615385</x:v>
      </x:c>
      <x:c r="U35" s="121" t="n"/>
      <x:c r="V35" s="121" t="n"/>
      <x:c r="W35" s="129" t="n"/>
      <x:c r="X35" s="121" t="n"/>
      <x:c r="Y35" s="121" t="n"/>
      <x:c r="Z35" s="121" t="n"/>
      <x:c r="AA35" s="121" t="n"/>
      <x:c r="AB35" s="121" t="n"/>
      <x:c r="AC35" s="121" t="n"/>
      <x:c r="AD35" s="121" t="n"/>
      <x:c r="AE35" s="123" t="n"/>
      <x:c r="AF35" s="123" t="n"/>
      <x:c r="AG35" s="123" t="n"/>
      <x:c r="AH35" s="123" t="n"/>
      <x:c r="AI35" s="123" t="n"/>
      <x:c r="AJ35" s="123" t="n"/>
      <x:c r="AK35" s="121" t="n"/>
      <x:c r="AL35" s="121" t="n"/>
      <x:c r="AM35" s="121" t="n"/>
      <x:c r="AN35" s="123" t="n"/>
      <x:c r="AO35" s="121" t="n"/>
      <x:c r="AP35" s="121" t="n"/>
      <x:c r="AQ35" s="28" t="n"/>
      <x:c r="AR35" s="28" t="n"/>
      <x:c r="AS35" s="28" t="n"/>
    </x:row>
    <x:row r="36" s="27" customFormat="1">
      <x:c r="A36" s="125" t="n"/>
      <x:c r="B36" s="39" t="n"/>
      <x:c r="C36" s="36" t="n">
        <x:f>E36*D$5</x:f>
        <x:v>1.5384615384615399</x:v>
      </x:c>
      <x:c r="D36" s="4" t="inlineStr">
        <x:is>
          <x:t xml:space="preserve">J. E. Barnett</x:t>
        </x:is>
      </x:c>
      <x:c r="E36" s="36" t="n">
        <x:f>SUM(G36:HS36)</x:f>
        <x:v>0.0384615384615385</x:v>
      </x:c>
      <x:c r="F36" s="35" t="inlineStr">
        <x:is>
          <x:t xml:space="preserve"/>
        </x:is>
      </x:c>
      <x:c r="G36" s="121" t="n"/>
      <x:c r="H36" s="121" t="n"/>
      <x:c r="I36" s="121" t="n"/>
      <x:c r="J36" s="121" t="n"/>
      <x:c r="K36" s="121" t="n"/>
      <x:c r="L36" s="121" t="n"/>
      <x:c r="M36" s="121" t="n"/>
      <x:c r="N36" s="121" t="n"/>
      <x:c r="O36" s="121" t="n"/>
      <x:c r="P36" s="121" t="n"/>
      <x:c r="Q36" s="123" t="n"/>
      <x:c r="R36" s="123" t="n"/>
      <x:c r="S36" s="121" t="n"/>
      <x:c r="T36" s="121" t="n"/>
      <x:c r="U36" s="121" t="n">
        <x:v>0.0384615384615385</x:v>
      </x:c>
      <x:c r="V36" s="121" t="n"/>
      <x:c r="W36" s="121" t="n"/>
      <x:c r="X36" s="121" t="n"/>
      <x:c r="Y36" s="121" t="n"/>
      <x:c r="Z36" s="121" t="n"/>
      <x:c r="AA36" s="121" t="n"/>
      <x:c r="AB36" s="121" t="n"/>
      <x:c r="AC36" s="121" t="n"/>
      <x:c r="AD36" s="121" t="n"/>
      <x:c r="AE36" s="123" t="n"/>
      <x:c r="AF36" s="124" t="n"/>
      <x:c r="AG36" s="123" t="n"/>
      <x:c r="AH36" s="123" t="n"/>
      <x:c r="AI36" s="123" t="n"/>
      <x:c r="AJ36" s="123" t="n"/>
      <x:c r="AK36" s="121" t="n"/>
      <x:c r="AL36" s="123" t="n"/>
      <x:c r="AM36" s="121" t="n"/>
      <x:c r="AN36" s="124" t="n"/>
      <x:c r="AO36" s="121" t="n"/>
      <x:c r="AP36" s="121" t="n"/>
      <x:c r="AQ36" s="28" t="n"/>
      <x:c r="AR36" s="28" t="n"/>
      <x:c r="AS36" s="28" t="n"/>
    </x:row>
    <x:row r="37" s="27" customFormat="1">
      <x:c r="A37" s="125" t="n"/>
      <x:c r="B37" s="39" t="n"/>
      <x:c r="C37" s="86" t="n">
        <x:f>E37*D$5</x:f>
        <x:v>-1.5384615384615399</x:v>
      </x:c>
      <x:c r="D37" s="410" t="inlineStr">
        <x:is>
          <x:t xml:space="preserve">Glenn D. Mitchel Hazel P. Mitchel, HW</x:t>
        </x:is>
      </x:c>
      <x:c r="E37" s="413" t="n">
        <x:f>SUM(G37:HX37)</x:f>
        <x:v>-0.0384615384615385</x:v>
      </x:c>
      <x:c r="F37" s="35" t="inlineStr">
        <x:is>
          <x:t xml:space="preserve"/>
        </x:is>
      </x:c>
      <x:c r="G37" s="121" t="n"/>
      <x:c r="H37" s="122" t="n"/>
      <x:c r="I37" s="121" t="n"/>
      <x:c r="J37" s="122" t="n"/>
      <x:c r="K37" s="122" t="n"/>
      <x:c r="L37" s="123" t="n"/>
      <x:c r="M37" s="123" t="n"/>
      <x:c r="N37" s="123" t="n"/>
      <x:c r="O37" s="123" t="n"/>
      <x:c r="P37" s="123" t="n"/>
      <x:c r="Q37" s="123" t="n"/>
      <x:c r="R37" s="123" t="n"/>
      <x:c r="S37" s="123" t="n"/>
      <x:c r="T37" s="123" t="n"/>
      <x:c r="U37" s="123" t="n"/>
      <x:c r="V37" s="123" t="n">
        <x:v>-0.0384615384615385</x:v>
      </x:c>
      <x:c r="W37" s="123" t="n"/>
      <x:c r="X37" s="123" t="n"/>
      <x:c r="Y37" s="121" t="n"/>
      <x:c r="Z37" s="123" t="n"/>
      <x:c r="AA37" s="123" t="n"/>
      <x:c r="AB37" s="123" t="n"/>
      <x:c r="AC37" s="123" t="n"/>
      <x:c r="AD37" s="121" t="n"/>
      <x:c r="AE37" s="123" t="n"/>
      <x:c r="AF37" s="124" t="n"/>
      <x:c r="AG37" s="124" t="n"/>
      <x:c r="AH37" s="124" t="n"/>
      <x:c r="AI37" s="123" t="n"/>
      <x:c r="AJ37" s="123" t="n"/>
      <x:c r="AK37" s="123" t="n"/>
      <x:c r="AL37" s="121" t="n"/>
      <x:c r="AM37" s="123" t="n"/>
      <x:c r="AN37" s="123" t="n"/>
      <x:c r="AO37" s="123" t="n"/>
      <x:c r="AP37" s="123" t="n"/>
      <x:c r="AQ37" s="100" t="n"/>
      <x:c r="AR37" s="100" t="n"/>
      <x:c r="AS37" s="100" t="n"/>
      <x:c r="AT37" s="100" t="n"/>
      <x:c r="AU37" s="100" t="n"/>
      <x:c r="AV37" s="100" t="n"/>
      <x:c r="AW37" s="100" t="n"/>
      <x:c r="AX37" s="100" t="n"/>
      <x:c r="AY37" s="100" t="n"/>
      <x:c r="AZ37" s="100" t="n"/>
      <x:c r="BA37" s="100" t="n"/>
      <x:c r="BB37" s="100" t="n"/>
      <x:c r="BC37" s="100" t="n"/>
      <x:c r="BD37" s="100" t="n"/>
      <x:c r="BE37" s="100" t="n"/>
      <x:c r="BF37" s="100" t="n"/>
      <x:c r="BG37" s="100" t="n"/>
      <x:c r="BH37" s="100" t="n"/>
      <x:c r="BI37" s="100" t="n"/>
      <x:c r="BJ37" s="100" t="n"/>
      <x:c r="BK37" s="100" t="n"/>
      <x:c r="BL37" s="100" t="n"/>
      <x:c r="BM37" s="100" t="n"/>
      <x:c r="BN37" s="100" t="n"/>
      <x:c r="BO37" s="100" t="n"/>
      <x:c r="BP37" s="100" t="n"/>
      <x:c r="BQ37" s="100" t="n"/>
      <x:c r="BR37" s="100" t="n"/>
      <x:c r="BS37" s="100" t="n"/>
      <x:c r="BT37" s="100" t="n"/>
      <x:c r="BU37" s="100" t="n"/>
      <x:c r="BV37" s="100" t="n"/>
      <x:c r="BW37" s="100" t="n"/>
      <x:c r="BX37" s="100" t="n"/>
      <x:c r="BY37" s="100" t="n"/>
      <x:c r="BZ37" s="100" t="n"/>
      <x:c r="CA37" s="100" t="n"/>
      <x:c r="CB37" s="100" t="n"/>
      <x:c r="CC37" s="100" t="n"/>
      <x:c r="CD37" s="100" t="n"/>
      <x:c r="CE37" s="100" t="n"/>
      <x:c r="CF37" s="100" t="n"/>
      <x:c r="CG37" s="100" t="n"/>
      <x:c r="CH37" s="100" t="n"/>
      <x:c r="CI37" s="100" t="n"/>
      <x:c r="CJ37" s="100" t="n"/>
      <x:c r="CK37" s="100" t="n"/>
      <x:c r="CL37" s="100" t="n"/>
      <x:c r="CM37" s="100" t="n"/>
      <x:c r="CN37" s="100" t="n"/>
      <x:c r="CO37" s="100" t="n"/>
      <x:c r="CP37" s="100" t="n"/>
      <x:c r="CQ37" s="100" t="n"/>
      <x:c r="CR37" s="100" t="n"/>
      <x:c r="CS37" s="100" t="n"/>
      <x:c r="CT37" s="100" t="n"/>
      <x:c r="CU37" s="100" t="n"/>
      <x:c r="CV37" s="100" t="n"/>
      <x:c r="CW37" s="100" t="n"/>
      <x:c r="CX37" s="100" t="n"/>
      <x:c r="CY37" s="100" t="n"/>
      <x:c r="CZ37" s="100" t="n"/>
      <x:c r="DA37" s="100" t="n"/>
      <x:c r="DB37" s="100" t="n"/>
      <x:c r="DC37" s="100" t="n"/>
      <x:c r="DD37" s="100" t="n"/>
      <x:c r="DE37" s="100" t="n"/>
      <x:c r="DF37" s="100" t="n"/>
      <x:c r="DG37" s="100" t="n"/>
      <x:c r="DH37" s="100" t="n"/>
      <x:c r="DI37" s="100" t="n"/>
      <x:c r="DJ37" s="100" t="n"/>
      <x:c r="DK37" s="100" t="n"/>
      <x:c r="DL37" s="100" t="n"/>
      <x:c r="DM37" s="100" t="n"/>
      <x:c r="DN37" s="100" t="n"/>
      <x:c r="DO37" s="100" t="n"/>
      <x:c r="DP37" s="100" t="n"/>
      <x:c r="DQ37" s="100" t="n"/>
      <x:c r="DR37" s="100" t="n"/>
      <x:c r="DS37" s="100" t="n"/>
      <x:c r="DT37" s="100" t="n"/>
      <x:c r="DU37" s="100" t="n"/>
      <x:c r="DV37" s="100" t="n"/>
      <x:c r="DW37" s="100" t="n"/>
      <x:c r="DX37" s="100" t="n"/>
      <x:c r="DY37" s="100" t="n"/>
      <x:c r="DZ37" s="100" t="n"/>
      <x:c r="EA37" s="100" t="n"/>
      <x:c r="EB37" s="100" t="n"/>
      <x:c r="EC37" s="100" t="n"/>
      <x:c r="ED37" s="100" t="n"/>
      <x:c r="EE37" s="100" t="n"/>
      <x:c r="EF37" s="100" t="n"/>
      <x:c r="EG37" s="100" t="n"/>
      <x:c r="EH37" s="100" t="n"/>
      <x:c r="EI37" s="100" t="n"/>
      <x:c r="EJ37" s="100" t="n"/>
      <x:c r="EK37" s="100" t="n"/>
      <x:c r="EL37" s="100" t="n"/>
      <x:c r="EM37" s="100" t="n"/>
      <x:c r="EN37" s="100" t="n"/>
      <x:c r="EO37" s="100" t="n"/>
      <x:c r="EP37" s="100" t="n"/>
      <x:c r="EQ37" s="100" t="n"/>
      <x:c r="ER37" s="100" t="n"/>
      <x:c r="ES37" s="100" t="n"/>
      <x:c r="ET37" s="100" t="n"/>
      <x:c r="EU37" s="100" t="n"/>
      <x:c r="EV37" s="100" t="n"/>
      <x:c r="EW37" s="100" t="n"/>
      <x:c r="EX37" s="100" t="n"/>
      <x:c r="EY37" s="100" t="n"/>
      <x:c r="EZ37" s="100" t="n"/>
      <x:c r="FA37" s="100" t="n"/>
      <x:c r="FB37" s="100" t="n"/>
      <x:c r="FC37" s="100" t="n"/>
      <x:c r="FD37" s="100" t="n"/>
      <x:c r="FE37" s="100" t="n"/>
      <x:c r="FF37" s="100" t="n"/>
      <x:c r="FG37" s="100" t="n"/>
      <x:c r="FH37" s="100" t="n"/>
      <x:c r="FI37" s="100" t="n"/>
      <x:c r="FJ37" s="100" t="n"/>
      <x:c r="FK37" s="100" t="n"/>
      <x:c r="FL37" s="100" t="n"/>
      <x:c r="FM37" s="100" t="n"/>
      <x:c r="FN37" s="100" t="n"/>
      <x:c r="FO37" s="100" t="n"/>
      <x:c r="FP37" s="100" t="n"/>
      <x:c r="FQ37" s="100" t="n"/>
      <x:c r="FR37" s="100" t="n"/>
      <x:c r="FS37" s="100" t="n"/>
      <x:c r="FT37" s="100" t="n"/>
      <x:c r="FU37" s="100" t="n"/>
      <x:c r="FV37" s="100" t="n"/>
      <x:c r="FW37" s="100" t="n"/>
      <x:c r="FX37" s="100" t="n"/>
      <x:c r="FY37" s="100" t="n"/>
      <x:c r="FZ37" s="100" t="n"/>
      <x:c r="GA37" s="100" t="n"/>
      <x:c r="GB37" s="100" t="n"/>
      <x:c r="GC37" s="100" t="n"/>
      <x:c r="GD37" s="100" t="n"/>
    </x:row>
    <x:row r="38" s="27" customFormat="1">
      <x:c r="A38" s="125" t="n"/>
      <x:c r="B38" s="39" t="n"/>
      <x:c r="C38" s="36" t="n">
        <x:f>E38*D$5</x:f>
        <x:v>0.7692307692307719</x:v>
      </x:c>
      <x:c r="D38" s="4" t="inlineStr">
        <x:is>
          <x:t xml:space="preserve">Nolan E. Britton, Inc.</x:t>
        </x:is>
      </x:c>
      <x:c r="E38" s="36" t="n">
        <x:f>SUM(G38:HS38)</x:f>
        <x:v>0.019230769230769298</x:v>
      </x:c>
      <x:c r="F38" s="35" t="inlineStr">
        <x:is>
          <x:t xml:space="preserve"/>
        </x:is>
      </x:c>
      <x:c r="G38" s="121" t="n"/>
      <x:c r="H38" s="121" t="n"/>
      <x:c r="I38" s="121" t="n"/>
      <x:c r="J38" s="121" t="n"/>
      <x:c r="K38" s="121" t="n"/>
      <x:c r="L38" s="121" t="n"/>
      <x:c r="M38" s="121" t="n"/>
      <x:c r="N38" s="121" t="n"/>
      <x:c r="O38" s="121" t="n"/>
      <x:c r="P38" s="121" t="n"/>
      <x:c r="Q38" s="123" t="n"/>
      <x:c r="R38" s="123" t="n"/>
      <x:c r="S38" s="121" t="n"/>
      <x:c r="T38" s="121" t="n"/>
      <x:c r="U38" s="121" t="n"/>
      <x:c r="V38" s="121" t="n">
        <x:v>0.0384615384615385</x:v>
      </x:c>
      <x:c r="W38" s="121" t="n">
        <x:v>-0.0192307692307692</x:v>
      </x:c>
      <x:c r="X38" s="121" t="n"/>
      <x:c r="Y38" s="121" t="n"/>
      <x:c r="Z38" s="121" t="n"/>
      <x:c r="AA38" s="121" t="n"/>
      <x:c r="AB38" s="121" t="n"/>
      <x:c r="AC38" s="121" t="n"/>
      <x:c r="AD38" s="121" t="n"/>
      <x:c r="AE38" s="123" t="n"/>
      <x:c r="AF38" s="124" t="n"/>
      <x:c r="AG38" s="124" t="n"/>
      <x:c r="AH38" s="123" t="n"/>
      <x:c r="AI38" s="123" t="n"/>
      <x:c r="AJ38" s="124" t="n"/>
      <x:c r="AK38" s="121" t="n"/>
      <x:c r="AL38" s="121" t="n"/>
      <x:c r="AM38" s="121" t="n"/>
      <x:c r="AN38" s="124" t="n"/>
      <x:c r="AO38" s="121" t="n"/>
      <x:c r="AP38" s="121" t="n"/>
      <x:c r="AQ38" s="28" t="n"/>
      <x:c r="AR38" s="28" t="n"/>
      <x:c r="AS38" s="28" t="n"/>
    </x:row>
    <x:row r="39" s="27" customFormat="1">
      <x:c r="A39" s="125" t="n"/>
      <x:c r="B39" s="39" t="n"/>
      <x:c r="C39" s="36" t="n">
        <x:f>E39*D$5</x:f>
        <x:v>-39.23076923076923</x:v>
      </x:c>
      <x:c r="D39" s="410" t="inlineStr">
        <x:is>
          <x:t xml:space="preserve">Chinook Resources, Inc.</x:t>
        </x:is>
      </x:c>
      <x:c r="E39" s="411" t="n">
        <x:f>SUM(G39:HG39)</x:f>
        <x:v>-0.9807692307692308</x:v>
      </x:c>
      <x:c r="F39" s="35" t="inlineStr">
        <x:is>
          <x:t xml:space="preserve"/>
        </x:is>
      </x:c>
      <x:c r="G39" s="121" t="n"/>
      <x:c r="H39" s="122" t="n"/>
      <x:c r="I39" s="122" t="n"/>
      <x:c r="J39" s="122" t="n"/>
      <x:c r="K39" s="122" t="n"/>
      <x:c r="L39" s="123" t="n"/>
      <x:c r="M39" s="123" t="n"/>
      <x:c r="N39" s="123" t="n"/>
      <x:c r="O39" s="123" t="n"/>
      <x:c r="P39" s="123" t="n"/>
      <x:c r="Q39" s="123" t="n"/>
      <x:c r="R39" s="123" t="n"/>
      <x:c r="S39" s="123" t="n"/>
      <x:c r="T39" s="123" t="n"/>
      <x:c r="U39" s="123" t="n"/>
      <x:c r="V39" s="123" t="n"/>
      <x:c r="W39" s="123" t="n">
        <x:v>0.0192307692307692</x:v>
      </x:c>
      <x:c r="X39" s="123" t="n"/>
      <x:c r="Y39" s="123" t="n">
        <x:v>-1</x:v>
      </x:c>
      <x:c r="Z39" s="123" t="n"/>
      <x:c r="AA39" s="123" t="n"/>
      <x:c r="AB39" s="123" t="n"/>
      <x:c r="AC39" s="123" t="n"/>
      <x:c r="AD39" s="123" t="n"/>
      <x:c r="AE39" s="123" t="n"/>
      <x:c r="AF39" s="124" t="n"/>
      <x:c r="AG39" s="124" t="n"/>
      <x:c r="AH39" s="124" t="n"/>
      <x:c r="AI39" s="123" t="n"/>
      <x:c r="AJ39" s="123" t="n"/>
      <x:c r="AK39" s="123" t="n"/>
      <x:c r="AL39" s="123" t="n"/>
      <x:c r="AM39" s="123" t="n"/>
      <x:c r="AN39" s="123" t="n"/>
      <x:c r="AO39" s="123" t="n"/>
      <x:c r="AP39" s="123" t="n"/>
      <x:c r="AQ39" s="100" t="n"/>
      <x:c r="AR39" s="100" t="n"/>
      <x:c r="AS39" s="100" t="n"/>
      <x:c r="AT39" s="100" t="n"/>
      <x:c r="AU39" s="100" t="n"/>
      <x:c r="AV39" s="100" t="n"/>
      <x:c r="AW39" s="100" t="n"/>
      <x:c r="AX39" s="100" t="n"/>
      <x:c r="AY39" s="100" t="n"/>
      <x:c r="AZ39" s="100" t="n"/>
      <x:c r="BA39" s="100" t="n"/>
      <x:c r="BB39" s="100" t="n"/>
      <x:c r="BC39" s="100" t="n"/>
      <x:c r="BD39" s="100" t="n"/>
      <x:c r="BE39" s="100" t="n"/>
      <x:c r="BF39" s="100" t="n"/>
      <x:c r="BG39" s="100" t="n"/>
      <x:c r="BH39" s="100" t="n"/>
      <x:c r="BI39" s="100" t="n"/>
      <x:c r="BJ39" s="100" t="n"/>
      <x:c r="BK39" s="100" t="n"/>
      <x:c r="BL39" s="100" t="n"/>
      <x:c r="BM39" s="100" t="n"/>
      <x:c r="BN39" s="100" t="n"/>
      <x:c r="BO39" s="100" t="n"/>
      <x:c r="BP39" s="100" t="n"/>
      <x:c r="BQ39" s="100" t="n"/>
      <x:c r="BR39" s="100" t="n"/>
      <x:c r="BS39" s="100" t="n"/>
      <x:c r="BT39" s="100" t="n"/>
      <x:c r="BU39" s="100" t="n"/>
      <x:c r="BV39" s="100" t="n"/>
      <x:c r="BW39" s="100" t="n"/>
      <x:c r="BX39" s="100" t="n"/>
      <x:c r="BY39" s="100" t="n"/>
      <x:c r="BZ39" s="100" t="n"/>
      <x:c r="CA39" s="100" t="n"/>
      <x:c r="CB39" s="100" t="n"/>
      <x:c r="CC39" s="100" t="n"/>
      <x:c r="CD39" s="100" t="n"/>
      <x:c r="CE39" s="100" t="n"/>
      <x:c r="CF39" s="100" t="n"/>
      <x:c r="CG39" s="100" t="n"/>
      <x:c r="CH39" s="100" t="n"/>
      <x:c r="CI39" s="100" t="n"/>
      <x:c r="CJ39" s="100" t="n"/>
      <x:c r="CK39" s="100" t="n"/>
      <x:c r="CL39" s="100" t="n"/>
      <x:c r="CM39" s="100" t="n"/>
      <x:c r="CN39" s="100" t="n"/>
      <x:c r="CO39" s="100" t="n"/>
      <x:c r="CP39" s="100" t="n"/>
      <x:c r="CQ39" s="100" t="n"/>
      <x:c r="CR39" s="100" t="n"/>
      <x:c r="CS39" s="100" t="n"/>
      <x:c r="CT39" s="100" t="n"/>
      <x:c r="CU39" s="100" t="n"/>
      <x:c r="CV39" s="100" t="n"/>
      <x:c r="CW39" s="100" t="n"/>
      <x:c r="CX39" s="100" t="n"/>
      <x:c r="CY39" s="100" t="n"/>
      <x:c r="CZ39" s="100" t="n"/>
      <x:c r="DA39" s="100" t="n"/>
      <x:c r="DB39" s="100" t="n"/>
      <x:c r="DC39" s="100" t="n"/>
      <x:c r="DD39" s="100" t="n"/>
      <x:c r="DE39" s="100" t="n"/>
      <x:c r="DF39" s="100" t="n"/>
      <x:c r="DG39" s="100" t="n"/>
      <x:c r="DH39" s="100" t="n"/>
      <x:c r="DI39" s="100" t="n"/>
      <x:c r="DJ39" s="100" t="n"/>
      <x:c r="DK39" s="100" t="n"/>
      <x:c r="DL39" s="100" t="n"/>
      <x:c r="DM39" s="100" t="n"/>
      <x:c r="DN39" s="100" t="n"/>
      <x:c r="DO39" s="100" t="n"/>
      <x:c r="DP39" s="100" t="n"/>
      <x:c r="DQ39" s="100" t="n"/>
      <x:c r="DR39" s="100" t="n"/>
      <x:c r="DS39" s="100" t="n"/>
      <x:c r="DT39" s="100" t="n"/>
      <x:c r="DU39" s="100" t="n"/>
      <x:c r="DV39" s="100" t="n"/>
      <x:c r="DW39" s="100" t="n"/>
      <x:c r="DX39" s="100" t="n"/>
      <x:c r="DY39" s="100" t="n"/>
      <x:c r="DZ39" s="100" t="n"/>
      <x:c r="EA39" s="100" t="n"/>
      <x:c r="EB39" s="100" t="n"/>
      <x:c r="EC39" s="100" t="n"/>
      <x:c r="ED39" s="100" t="n"/>
      <x:c r="EE39" s="100" t="n"/>
      <x:c r="EF39" s="100" t="n"/>
      <x:c r="EG39" s="100" t="n"/>
      <x:c r="EH39" s="100" t="n"/>
      <x:c r="EI39" s="100" t="n"/>
      <x:c r="EJ39" s="100" t="n"/>
      <x:c r="EK39" s="100" t="n"/>
      <x:c r="EL39" s="100" t="n"/>
      <x:c r="EM39" s="100" t="n"/>
      <x:c r="EN39" s="100" t="n"/>
      <x:c r="EO39" s="100" t="n"/>
      <x:c r="EP39" s="100" t="n"/>
      <x:c r="EQ39" s="100" t="n"/>
      <x:c r="ER39" s="100" t="n"/>
      <x:c r="ES39" s="100" t="n"/>
      <x:c r="ET39" s="100" t="n"/>
      <x:c r="EU39" s="100" t="n"/>
      <x:c r="EV39" s="100" t="n"/>
      <x:c r="EW39" s="100" t="n"/>
      <x:c r="EX39" s="100" t="n"/>
      <x:c r="EY39" s="100" t="n"/>
      <x:c r="EZ39" s="100" t="n"/>
      <x:c r="FA39" s="100" t="n"/>
      <x:c r="FB39" s="100" t="n"/>
      <x:c r="FC39" s="100" t="n"/>
      <x:c r="FD39" s="100" t="n"/>
      <x:c r="FE39" s="100" t="n"/>
      <x:c r="FF39" s="100" t="n"/>
      <x:c r="FG39" s="100" t="n"/>
      <x:c r="FH39" s="100" t="n"/>
      <x:c r="FI39" s="100" t="n"/>
      <x:c r="FJ39" s="100" t="n"/>
      <x:c r="FK39" s="100" t="n"/>
      <x:c r="FL39" s="100" t="n"/>
      <x:c r="FM39" s="100" t="n"/>
    </x:row>
    <x:row r="40" s="27" customFormat="1" ht="24" customHeight="1">
      <x:c r="A40" s="125" t="n"/>
      <x:c r="B40" s="39" t="n"/>
      <x:c r="C40" s="86" t="n">
        <x:f>E40*D$5</x:f>
        <x:v>6.1538461538461595</x:v>
      </x:c>
      <x:c r="D40" s="4" t="inlineStr">
        <x:is>
          <x:t xml:space="preserve">Sorenson Oil &amp; Gas Trust, Michelle Sorenson Johnson, Trustee, Marchelle Sorenson Uaigle, Trustee</x:t>
        </x:is>
      </x:c>
      <x:c r="E40" s="86" t="n">
        <x:f>SUM(G40:HG40)</x:f>
        <x:v>0.153846153846154</x:v>
      </x:c>
      <x:c r="F40" s="35" t="inlineStr">
        <x:is>
          <x:t xml:space="preserve"/>
        </x:is>
      </x:c>
      <x:c r="G40" s="121" t="n"/>
      <x:c r="H40" s="122" t="n"/>
      <x:c r="I40" s="122" t="n"/>
      <x:c r="J40" s="122" t="n"/>
      <x:c r="K40" s="122" t="n"/>
      <x:c r="L40" s="123" t="n"/>
      <x:c r="M40" s="123" t="n"/>
      <x:c r="N40" s="123" t="n"/>
      <x:c r="O40" s="123" t="n"/>
      <x:c r="P40" s="123" t="n"/>
      <x:c r="Q40" s="123" t="n"/>
      <x:c r="R40" s="123" t="n"/>
      <x:c r="S40" s="123" t="n"/>
      <x:c r="T40" s="123" t="n"/>
      <x:c r="U40" s="123" t="n"/>
      <x:c r="V40" s="123" t="n"/>
      <x:c r="W40" s="123" t="n"/>
      <x:c r="X40" s="123" t="n">
        <x:v>0.153846153846154</x:v>
      </x:c>
      <x:c r="Y40" s="123" t="n"/>
      <x:c r="Z40" s="123" t="n"/>
      <x:c r="AA40" s="123" t="n"/>
      <x:c r="AB40" s="123" t="n"/>
      <x:c r="AC40" s="123" t="n"/>
      <x:c r="AD40" s="123" t="n"/>
      <x:c r="AE40" s="123" t="n"/>
      <x:c r="AF40" s="123" t="n"/>
      <x:c r="AG40" s="124" t="n"/>
      <x:c r="AH40" s="123" t="n"/>
      <x:c r="AI40" s="123" t="n"/>
      <x:c r="AJ40" s="124" t="n"/>
      <x:c r="AK40" s="123" t="n"/>
      <x:c r="AL40" s="123" t="n"/>
      <x:c r="AM40" s="123" t="n"/>
      <x:c r="AN40" s="123" t="n"/>
      <x:c r="AO40" s="123" t="n"/>
      <x:c r="AP40" s="123" t="n"/>
      <x:c r="AQ40" s="100" t="n"/>
      <x:c r="AR40" s="100" t="n"/>
      <x:c r="AS40" s="100" t="n"/>
      <x:c r="AT40" s="100" t="n"/>
      <x:c r="AU40" s="100" t="n"/>
      <x:c r="AV40" s="100" t="n"/>
      <x:c r="AW40" s="100" t="n"/>
      <x:c r="AX40" s="100" t="n"/>
      <x:c r="AY40" s="100" t="n"/>
      <x:c r="AZ40" s="100" t="n"/>
      <x:c r="BA40" s="100" t="n"/>
      <x:c r="BB40" s="100" t="n"/>
      <x:c r="BC40" s="100" t="n"/>
      <x:c r="BD40" s="100" t="n"/>
      <x:c r="BE40" s="100" t="n"/>
      <x:c r="BF40" s="100" t="n"/>
      <x:c r="BG40" s="100" t="n"/>
      <x:c r="BH40" s="100" t="n"/>
      <x:c r="BI40" s="100" t="n"/>
      <x:c r="BJ40" s="100" t="n"/>
      <x:c r="BK40" s="100" t="n"/>
      <x:c r="BL40" s="100" t="n"/>
      <x:c r="BM40" s="100" t="n"/>
      <x:c r="BN40" s="100" t="n"/>
      <x:c r="BO40" s="100" t="n"/>
      <x:c r="BP40" s="100" t="n"/>
      <x:c r="BQ40" s="100" t="n"/>
      <x:c r="BR40" s="100" t="n"/>
      <x:c r="BS40" s="100" t="n"/>
      <x:c r="BT40" s="100" t="n"/>
      <x:c r="BU40" s="100" t="n"/>
      <x:c r="BV40" s="100" t="n"/>
      <x:c r="BW40" s="100" t="n"/>
      <x:c r="BX40" s="100" t="n"/>
      <x:c r="BY40" s="100" t="n"/>
      <x:c r="BZ40" s="100" t="n"/>
      <x:c r="CA40" s="100" t="n"/>
      <x:c r="CB40" s="100" t="n"/>
      <x:c r="CC40" s="100" t="n"/>
      <x:c r="CD40" s="100" t="n"/>
      <x:c r="CE40" s="100" t="n"/>
      <x:c r="CF40" s="100" t="n"/>
      <x:c r="CG40" s="100" t="n"/>
      <x:c r="CH40" s="100" t="n"/>
      <x:c r="CI40" s="100" t="n"/>
      <x:c r="CJ40" s="100" t="n"/>
      <x:c r="CK40" s="100" t="n"/>
      <x:c r="CL40" s="100" t="n"/>
      <x:c r="CM40" s="100" t="n"/>
      <x:c r="CN40" s="100" t="n"/>
      <x:c r="CO40" s="100" t="n"/>
      <x:c r="CP40" s="100" t="n"/>
      <x:c r="CQ40" s="100" t="n"/>
      <x:c r="CR40" s="100" t="n"/>
      <x:c r="CS40" s="100" t="n"/>
      <x:c r="CT40" s="100" t="n"/>
      <x:c r="CU40" s="100" t="n"/>
      <x:c r="CV40" s="100" t="n"/>
      <x:c r="CW40" s="100" t="n"/>
      <x:c r="CX40" s="100" t="n"/>
      <x:c r="CY40" s="100" t="n"/>
      <x:c r="CZ40" s="100" t="n"/>
      <x:c r="DA40" s="100" t="n"/>
      <x:c r="DB40" s="100" t="n"/>
      <x:c r="DC40" s="100" t="n"/>
      <x:c r="DD40" s="100" t="n"/>
      <x:c r="DE40" s="100" t="n"/>
      <x:c r="DF40" s="100" t="n"/>
      <x:c r="DG40" s="100" t="n"/>
      <x:c r="DH40" s="100" t="n"/>
      <x:c r="DI40" s="100" t="n"/>
      <x:c r="DJ40" s="100" t="n"/>
      <x:c r="DK40" s="100" t="n"/>
      <x:c r="DL40" s="100" t="n"/>
      <x:c r="DM40" s="100" t="n"/>
      <x:c r="DN40" s="100" t="n"/>
      <x:c r="DO40" s="100" t="n"/>
      <x:c r="DP40" s="100" t="n"/>
      <x:c r="DQ40" s="100" t="n"/>
      <x:c r="DR40" s="100" t="n"/>
      <x:c r="DS40" s="100" t="n"/>
      <x:c r="DT40" s="100" t="n"/>
      <x:c r="DU40" s="100" t="n"/>
      <x:c r="DV40" s="100" t="n"/>
      <x:c r="DW40" s="100" t="n"/>
      <x:c r="DX40" s="100" t="n"/>
      <x:c r="DY40" s="100" t="n"/>
      <x:c r="DZ40" s="100" t="n"/>
      <x:c r="EA40" s="100" t="n"/>
      <x:c r="EB40" s="100" t="n"/>
      <x:c r="EC40" s="100" t="n"/>
      <x:c r="ED40" s="100" t="n"/>
      <x:c r="EE40" s="100" t="n"/>
      <x:c r="EF40" s="100" t="n"/>
      <x:c r="EG40" s="100" t="n"/>
      <x:c r="EH40" s="100" t="n"/>
      <x:c r="EI40" s="100" t="n"/>
      <x:c r="EJ40" s="100" t="n"/>
      <x:c r="EK40" s="100" t="n"/>
      <x:c r="EL40" s="100" t="n"/>
      <x:c r="EM40" s="100" t="n"/>
      <x:c r="EN40" s="100" t="n"/>
      <x:c r="EO40" s="100" t="n"/>
      <x:c r="EP40" s="100" t="n"/>
      <x:c r="EQ40" s="100" t="n"/>
      <x:c r="ER40" s="100" t="n"/>
      <x:c r="ES40" s="100" t="n"/>
      <x:c r="ET40" s="100" t="n"/>
      <x:c r="EU40" s="100" t="n"/>
      <x:c r="EV40" s="100" t="n"/>
      <x:c r="EW40" s="100" t="n"/>
      <x:c r="EX40" s="100" t="n"/>
      <x:c r="EY40" s="100" t="n"/>
      <x:c r="EZ40" s="100" t="n"/>
      <x:c r="FA40" s="100" t="n"/>
      <x:c r="FB40" s="100" t="n"/>
      <x:c r="FC40" s="100" t="n"/>
      <x:c r="FD40" s="100" t="n"/>
      <x:c r="FE40" s="100" t="n"/>
      <x:c r="FF40" s="100" t="n"/>
      <x:c r="FG40" s="100" t="n"/>
      <x:c r="FH40" s="100" t="n"/>
      <x:c r="FI40" s="100" t="n"/>
      <x:c r="FJ40" s="100" t="n"/>
      <x:c r="FK40" s="100" t="n"/>
      <x:c r="FL40" s="100" t="n"/>
      <x:c r="FM40" s="100" t="n"/>
    </x:row>
    <x:row r="41" s="27" customFormat="1">
      <x:c r="A41" s="125" t="n"/>
      <x:c r="B41" s="39" t="n"/>
      <x:c r="C41" s="36" t="n">
        <x:f>E41*D$5</x:f>
        <x:v>40</x:v>
      </x:c>
      <x:c r="D41" s="4" t="inlineStr">
        <x:is>
          <x:t xml:space="preserve">Continental Illinois Energy Development Corp</x:t>
        </x:is>
      </x:c>
      <x:c r="E41" s="36" t="n">
        <x:f>SUM(G41:HG41)</x:f>
        <x:v>1</x:v>
      </x:c>
      <x:c r="F41" s="35" t="inlineStr">
        <x:is>
          <x:t xml:space="preserve"/>
        </x:is>
      </x:c>
      <x:c r="G41" s="121" t="n"/>
      <x:c r="H41" s="122" t="n"/>
      <x:c r="I41" s="122" t="n"/>
      <x:c r="J41" s="122" t="n"/>
      <x:c r="K41" s="122" t="n"/>
      <x:c r="L41" s="123" t="n"/>
      <x:c r="M41" s="123" t="n"/>
      <x:c r="N41" s="123" t="n"/>
      <x:c r="O41" s="123" t="n"/>
      <x:c r="P41" s="123" t="n"/>
      <x:c r="Q41" s="123" t="n"/>
      <x:c r="R41" s="123" t="n"/>
      <x:c r="S41" s="123" t="n"/>
      <x:c r="T41" s="123" t="n"/>
      <x:c r="U41" s="123" t="n"/>
      <x:c r="V41" s="123" t="n"/>
      <x:c r="W41" s="123" t="n"/>
      <x:c r="X41" s="123" t="n"/>
      <x:c r="Y41" s="123" t="n">
        <x:v>1</x:v>
      </x:c>
      <x:c r="Z41" s="123" t="n"/>
      <x:c r="AA41" s="123" t="n"/>
      <x:c r="AB41" s="123" t="n"/>
      <x:c r="AC41" s="123" t="n"/>
      <x:c r="AD41" s="123" t="n"/>
      <x:c r="AE41" s="123" t="n"/>
      <x:c r="AF41" s="123" t="n"/>
      <x:c r="AG41" s="123" t="n"/>
      <x:c r="AH41" s="124" t="n"/>
      <x:c r="AI41" s="124" t="n"/>
      <x:c r="AJ41" s="123" t="n"/>
      <x:c r="AK41" s="123" t="n"/>
      <x:c r="AL41" s="123" t="n"/>
      <x:c r="AM41" s="123" t="n"/>
      <x:c r="AN41" s="123" t="n"/>
      <x:c r="AO41" s="123" t="n"/>
      <x:c r="AP41" s="123" t="n"/>
      <x:c r="AQ41" s="100" t="n"/>
      <x:c r="AR41" s="100" t="n"/>
      <x:c r="AS41" s="100" t="n"/>
      <x:c r="AT41" s="100" t="n"/>
      <x:c r="AU41" s="100" t="n"/>
      <x:c r="AV41" s="100" t="n"/>
      <x:c r="AW41" s="100" t="n"/>
      <x:c r="AX41" s="100" t="n"/>
      <x:c r="AY41" s="100" t="n"/>
      <x:c r="AZ41" s="100" t="n"/>
      <x:c r="BA41" s="100" t="n"/>
      <x:c r="BB41" s="100" t="n"/>
      <x:c r="BC41" s="100" t="n"/>
      <x:c r="BD41" s="100" t="n"/>
      <x:c r="BE41" s="100" t="n"/>
      <x:c r="BF41" s="100" t="n"/>
      <x:c r="BG41" s="100" t="n"/>
      <x:c r="BH41" s="100" t="n"/>
      <x:c r="BI41" s="100" t="n"/>
      <x:c r="BJ41" s="100" t="n"/>
      <x:c r="BK41" s="100" t="n"/>
      <x:c r="BL41" s="100" t="n"/>
      <x:c r="BM41" s="100" t="n"/>
      <x:c r="BN41" s="100" t="n"/>
      <x:c r="BO41" s="100" t="n"/>
      <x:c r="BP41" s="100" t="n"/>
      <x:c r="BQ41" s="100" t="n"/>
      <x:c r="BR41" s="100" t="n"/>
      <x:c r="BS41" s="100" t="n"/>
      <x:c r="BT41" s="100" t="n"/>
      <x:c r="BU41" s="100" t="n"/>
      <x:c r="BV41" s="100" t="n"/>
      <x:c r="BW41" s="100" t="n"/>
      <x:c r="BX41" s="100" t="n"/>
      <x:c r="BY41" s="100" t="n"/>
      <x:c r="BZ41" s="100" t="n"/>
      <x:c r="CA41" s="100" t="n"/>
      <x:c r="CB41" s="100" t="n"/>
      <x:c r="CC41" s="100" t="n"/>
      <x:c r="CD41" s="100" t="n"/>
      <x:c r="CE41" s="100" t="n"/>
      <x:c r="CF41" s="100" t="n"/>
      <x:c r="CG41" s="100" t="n"/>
      <x:c r="CH41" s="100" t="n"/>
      <x:c r="CI41" s="100" t="n"/>
      <x:c r="CJ41" s="100" t="n"/>
      <x:c r="CK41" s="100" t="n"/>
      <x:c r="CL41" s="100" t="n"/>
      <x:c r="CM41" s="100" t="n"/>
      <x:c r="CN41" s="100" t="n"/>
      <x:c r="CO41" s="100" t="n"/>
      <x:c r="CP41" s="100" t="n"/>
      <x:c r="CQ41" s="100" t="n"/>
      <x:c r="CR41" s="100" t="n"/>
      <x:c r="CS41" s="100" t="n"/>
      <x:c r="CT41" s="100" t="n"/>
      <x:c r="CU41" s="100" t="n"/>
      <x:c r="CV41" s="100" t="n"/>
      <x:c r="CW41" s="100" t="n"/>
      <x:c r="CX41" s="100" t="n"/>
      <x:c r="CY41" s="100" t="n"/>
      <x:c r="CZ41" s="100" t="n"/>
      <x:c r="DA41" s="100" t="n"/>
      <x:c r="DB41" s="100" t="n"/>
      <x:c r="DC41" s="100" t="n"/>
      <x:c r="DD41" s="100" t="n"/>
      <x:c r="DE41" s="100" t="n"/>
      <x:c r="DF41" s="100" t="n"/>
      <x:c r="DG41" s="100" t="n"/>
      <x:c r="DH41" s="100" t="n"/>
      <x:c r="DI41" s="100" t="n"/>
      <x:c r="DJ41" s="100" t="n"/>
      <x:c r="DK41" s="100" t="n"/>
      <x:c r="DL41" s="100" t="n"/>
      <x:c r="DM41" s="100" t="n"/>
      <x:c r="DN41" s="100" t="n"/>
      <x:c r="DO41" s="100" t="n"/>
      <x:c r="DP41" s="100" t="n"/>
      <x:c r="DQ41" s="100" t="n"/>
      <x:c r="DR41" s="100" t="n"/>
      <x:c r="DS41" s="100" t="n"/>
      <x:c r="DT41" s="100" t="n"/>
      <x:c r="DU41" s="100" t="n"/>
      <x:c r="DV41" s="100" t="n"/>
      <x:c r="DW41" s="100" t="n"/>
      <x:c r="DX41" s="100" t="n"/>
      <x:c r="DY41" s="100" t="n"/>
      <x:c r="DZ41" s="100" t="n"/>
      <x:c r="EA41" s="100" t="n"/>
      <x:c r="EB41" s="100" t="n"/>
      <x:c r="EC41" s="100" t="n"/>
      <x:c r="ED41" s="100" t="n"/>
      <x:c r="EE41" s="100" t="n"/>
      <x:c r="EF41" s="100" t="n"/>
      <x:c r="EG41" s="100" t="n"/>
      <x:c r="EH41" s="100" t="n"/>
      <x:c r="EI41" s="100" t="n"/>
      <x:c r="EJ41" s="100" t="n"/>
      <x:c r="EK41" s="100" t="n"/>
      <x:c r="EL41" s="100" t="n"/>
      <x:c r="EM41" s="100" t="n"/>
      <x:c r="EN41" s="100" t="n"/>
      <x:c r="EO41" s="100" t="n"/>
      <x:c r="EP41" s="100" t="n"/>
      <x:c r="EQ41" s="100" t="n"/>
      <x:c r="ER41" s="100" t="n"/>
      <x:c r="ES41" s="100" t="n"/>
      <x:c r="ET41" s="100" t="n"/>
      <x:c r="EU41" s="100" t="n"/>
      <x:c r="EV41" s="100" t="n"/>
      <x:c r="EW41" s="100" t="n"/>
      <x:c r="EX41" s="100" t="n"/>
      <x:c r="EY41" s="100" t="n"/>
      <x:c r="EZ41" s="100" t="n"/>
      <x:c r="FA41" s="100" t="n"/>
      <x:c r="FB41" s="100" t="n"/>
      <x:c r="FC41" s="100" t="n"/>
      <x:c r="FD41" s="100" t="n"/>
      <x:c r="FE41" s="100" t="n"/>
      <x:c r="FF41" s="100" t="n"/>
      <x:c r="FG41" s="100" t="n"/>
      <x:c r="FH41" s="100" t="n"/>
      <x:c r="FI41" s="100" t="n"/>
      <x:c r="FJ41" s="100" t="n"/>
      <x:c r="FK41" s="100" t="n"/>
      <x:c r="FL41" s="100" t="n"/>
      <x:c r="FM41" s="100" t="n"/>
    </x:row>
    <x:row r="42" s="27" customFormat="1">
      <x:c r="A42" s="125" t="n"/>
      <x:c r="B42" s="39" t="n"/>
      <x:c r="C42" s="86" t="n">
        <x:f>E42*D$5</x:f>
        <x:v>-0.3076923076923076</x:v>
      </x:c>
      <x:c r="D42" s="412" t="inlineStr">
        <x:is>
          <x:t xml:space="preserve">Mann Childrens Trust, by Walter J. Rusek, Trustee</x:t>
        </x:is>
      </x:c>
      <x:c r="E42" s="413" t="n">
        <x:f>SUM(G42:HG42)</x:f>
        <x:v>-0.00769230769230769</x:v>
      </x:c>
      <x:c r="F42" s="35" t="inlineStr">
        <x:is>
          <x:t xml:space="preserve"/>
        </x:is>
      </x:c>
      <x:c r="G42" s="121" t="n"/>
      <x:c r="H42" s="122" t="n"/>
      <x:c r="I42" s="122" t="n"/>
      <x:c r="J42" s="122" t="n"/>
      <x:c r="K42" s="122" t="n"/>
      <x:c r="L42" s="123" t="n"/>
      <x:c r="M42" s="123" t="n"/>
      <x:c r="N42" s="123" t="n"/>
      <x:c r="O42" s="123" t="n"/>
      <x:c r="P42" s="123" t="n"/>
      <x:c r="Q42" s="123" t="n"/>
      <x:c r="R42" s="123" t="n"/>
      <x:c r="S42" s="124" t="n"/>
      <x:c r="T42" s="124" t="n"/>
      <x:c r="U42" s="123" t="n"/>
      <x:c r="V42" s="123" t="n"/>
      <x:c r="W42" s="123" t="n"/>
      <x:c r="X42" s="123" t="n"/>
      <x:c r="Y42" s="123" t="n"/>
      <x:c r="Z42" s="123" t="n">
        <x:v>-0.00769230769230769</x:v>
      </x:c>
      <x:c r="AA42" s="123" t="n"/>
      <x:c r="AB42" s="123" t="n"/>
      <x:c r="AC42" s="123" t="n"/>
      <x:c r="AD42" s="123" t="n"/>
      <x:c r="AE42" s="123" t="n"/>
      <x:c r="AF42" s="123" t="n"/>
      <x:c r="AG42" s="123" t="n"/>
      <x:c r="AH42" s="123" t="n"/>
      <x:c r="AI42" s="123" t="n"/>
      <x:c r="AJ42" s="124" t="n"/>
      <x:c r="AK42" s="123" t="n"/>
      <x:c r="AL42" s="123" t="n"/>
      <x:c r="AM42" s="123" t="n"/>
      <x:c r="AN42" s="123" t="n"/>
      <x:c r="AO42" s="123" t="n"/>
      <x:c r="AP42" s="123" t="n"/>
      <x:c r="AQ42" s="100" t="n"/>
      <x:c r="AR42" s="100" t="n"/>
      <x:c r="AS42" s="100" t="n"/>
      <x:c r="AT42" s="100" t="n"/>
      <x:c r="AU42" s="100" t="n"/>
      <x:c r="AV42" s="100" t="n"/>
      <x:c r="AW42" s="100" t="n"/>
      <x:c r="AX42" s="100" t="n"/>
      <x:c r="AY42" s="100" t="n"/>
      <x:c r="AZ42" s="100" t="n"/>
      <x:c r="BA42" s="100" t="n"/>
      <x:c r="BB42" s="100" t="n"/>
      <x:c r="BC42" s="100" t="n"/>
      <x:c r="BD42" s="100" t="n"/>
      <x:c r="BE42" s="100" t="n"/>
      <x:c r="BF42" s="100" t="n"/>
      <x:c r="BG42" s="100" t="n"/>
      <x:c r="BH42" s="100" t="n"/>
      <x:c r="BI42" s="100" t="n"/>
      <x:c r="BJ42" s="100" t="n"/>
      <x:c r="BK42" s="100" t="n"/>
      <x:c r="BL42" s="100" t="n"/>
      <x:c r="BM42" s="100" t="n"/>
      <x:c r="BN42" s="100" t="n"/>
      <x:c r="BO42" s="100" t="n"/>
      <x:c r="BP42" s="100" t="n"/>
      <x:c r="BQ42" s="100" t="n"/>
      <x:c r="BR42" s="100" t="n"/>
      <x:c r="BS42" s="100" t="n"/>
      <x:c r="BT42" s="100" t="n"/>
      <x:c r="BU42" s="100" t="n"/>
      <x:c r="BV42" s="100" t="n"/>
      <x:c r="BW42" s="100" t="n"/>
      <x:c r="BX42" s="100" t="n"/>
      <x:c r="BY42" s="100" t="n"/>
      <x:c r="BZ42" s="100" t="n"/>
      <x:c r="CA42" s="100" t="n"/>
      <x:c r="CB42" s="100" t="n"/>
      <x:c r="CC42" s="100" t="n"/>
      <x:c r="CD42" s="100" t="n"/>
      <x:c r="CE42" s="100" t="n"/>
      <x:c r="CF42" s="100" t="n"/>
      <x:c r="CG42" s="100" t="n"/>
      <x:c r="CH42" s="100" t="n"/>
      <x:c r="CI42" s="100" t="n"/>
      <x:c r="CJ42" s="100" t="n"/>
      <x:c r="CK42" s="100" t="n"/>
      <x:c r="CL42" s="100" t="n"/>
      <x:c r="CM42" s="100" t="n"/>
      <x:c r="CN42" s="100" t="n"/>
      <x:c r="CO42" s="100" t="n"/>
      <x:c r="CP42" s="100" t="n"/>
      <x:c r="CQ42" s="100" t="n"/>
      <x:c r="CR42" s="100" t="n"/>
      <x:c r="CS42" s="100" t="n"/>
      <x:c r="CT42" s="100" t="n"/>
      <x:c r="CU42" s="100" t="n"/>
      <x:c r="CV42" s="100" t="n"/>
      <x:c r="CW42" s="100" t="n"/>
      <x:c r="CX42" s="100" t="n"/>
      <x:c r="CY42" s="100" t="n"/>
      <x:c r="CZ42" s="100" t="n"/>
      <x:c r="DA42" s="100" t="n"/>
      <x:c r="DB42" s="100" t="n"/>
      <x:c r="DC42" s="100" t="n"/>
      <x:c r="DD42" s="100" t="n"/>
      <x:c r="DE42" s="100" t="n"/>
      <x:c r="DF42" s="100" t="n"/>
      <x:c r="DG42" s="100" t="n"/>
      <x:c r="DH42" s="100" t="n"/>
      <x:c r="DI42" s="100" t="n"/>
      <x:c r="DJ42" s="100" t="n"/>
      <x:c r="DK42" s="100" t="n"/>
      <x:c r="DL42" s="100" t="n"/>
      <x:c r="DM42" s="100" t="n"/>
      <x:c r="DN42" s="100" t="n"/>
      <x:c r="DO42" s="100" t="n"/>
      <x:c r="DP42" s="100" t="n"/>
      <x:c r="DQ42" s="100" t="n"/>
      <x:c r="DR42" s="100" t="n"/>
      <x:c r="DS42" s="100" t="n"/>
      <x:c r="DT42" s="100" t="n"/>
      <x:c r="DU42" s="100" t="n"/>
      <x:c r="DV42" s="100" t="n"/>
      <x:c r="DW42" s="100" t="n"/>
      <x:c r="DX42" s="100" t="n"/>
      <x:c r="DY42" s="100" t="n"/>
      <x:c r="DZ42" s="100" t="n"/>
      <x:c r="EA42" s="100" t="n"/>
      <x:c r="EB42" s="100" t="n"/>
      <x:c r="EC42" s="100" t="n"/>
      <x:c r="ED42" s="100" t="n"/>
      <x:c r="EE42" s="100" t="n"/>
      <x:c r="EF42" s="100" t="n"/>
      <x:c r="EG42" s="100" t="n"/>
      <x:c r="EH42" s="100" t="n"/>
      <x:c r="EI42" s="100" t="n"/>
      <x:c r="EJ42" s="100" t="n"/>
      <x:c r="EK42" s="100" t="n"/>
      <x:c r="EL42" s="100" t="n"/>
      <x:c r="EM42" s="100" t="n"/>
      <x:c r="EN42" s="100" t="n"/>
      <x:c r="EO42" s="100" t="n"/>
      <x:c r="EP42" s="100" t="n"/>
      <x:c r="EQ42" s="100" t="n"/>
      <x:c r="ER42" s="100" t="n"/>
      <x:c r="ES42" s="100" t="n"/>
      <x:c r="ET42" s="100" t="n"/>
      <x:c r="EU42" s="100" t="n"/>
      <x:c r="EV42" s="100" t="n"/>
      <x:c r="EW42" s="100" t="n"/>
      <x:c r="EX42" s="100" t="n"/>
      <x:c r="EY42" s="100" t="n"/>
      <x:c r="EZ42" s="100" t="n"/>
      <x:c r="FA42" s="100" t="n"/>
      <x:c r="FB42" s="100" t="n"/>
      <x:c r="FC42" s="100" t="n"/>
      <x:c r="FD42" s="100" t="n"/>
      <x:c r="FE42" s="100" t="n"/>
      <x:c r="FF42" s="100" t="n"/>
      <x:c r="FG42" s="100" t="n"/>
      <x:c r="FH42" s="100" t="n"/>
      <x:c r="FI42" s="100" t="n"/>
      <x:c r="FJ42" s="100" t="n"/>
      <x:c r="FK42" s="100" t="n"/>
      <x:c r="FL42" s="100" t="n"/>
      <x:c r="FM42" s="100" t="n"/>
    </x:row>
    <x:row r="43" s="27" customFormat="1">
      <x:c r="A43" s="125" t="n"/>
      <x:c r="B43" s="39" t="n"/>
      <x:c r="C43" s="86" t="n">
        <x:f>E43*D$5</x:f>
        <x:v>-1.2307692307692324</x:v>
      </x:c>
      <x:c r="D43" s="412" t="inlineStr">
        <x:is>
          <x:t xml:space="preserve">Mann Group Investment Company</x:t>
        </x:is>
      </x:c>
      <x:c r="E43" s="413" t="n">
        <x:f>SUM(G43:HG43)</x:f>
        <x:v>-0.03076923076923081</x:v>
      </x:c>
      <x:c r="F43" s="35" t="inlineStr">
        <x:is>
          <x:t xml:space="preserve"/>
        </x:is>
      </x:c>
      <x:c r="G43" s="121" t="n"/>
      <x:c r="H43" s="122" t="n"/>
      <x:c r="I43" s="122" t="n"/>
      <x:c r="J43" s="122" t="n"/>
      <x:c r="K43" s="122" t="n"/>
      <x:c r="L43" s="123" t="n"/>
      <x:c r="M43" s="123" t="n"/>
      <x:c r="N43" s="123" t="n"/>
      <x:c r="O43" s="124" t="n"/>
      <x:c r="P43" s="123" t="n"/>
      <x:c r="Q43" s="123" t="n"/>
      <x:c r="R43" s="123" t="n"/>
      <x:c r="S43" s="123" t="n"/>
      <x:c r="T43" s="123" t="n"/>
      <x:c r="U43" s="123" t="n"/>
      <x:c r="V43" s="123" t="n"/>
      <x:c r="W43" s="123" t="n"/>
      <x:c r="X43" s="123" t="n"/>
      <x:c r="Y43" s="123" t="n"/>
      <x:c r="Z43" s="123" t="n">
        <x:v>0.00769230769230769</x:v>
      </x:c>
      <x:c r="AA43" s="123" t="n"/>
      <x:c r="AB43" s="123" t="n">
        <x:v>-0.0384615384615385</x:v>
      </x:c>
      <x:c r="AC43" s="123" t="n"/>
      <x:c r="AD43" s="123" t="n"/>
      <x:c r="AE43" s="123" t="n"/>
      <x:c r="AF43" s="123" t="n"/>
      <x:c r="AG43" s="123" t="n"/>
      <x:c r="AH43" s="123" t="n"/>
      <x:c r="AI43" s="123" t="n"/>
      <x:c r="AJ43" s="124" t="n"/>
      <x:c r="AK43" s="123" t="n"/>
      <x:c r="AL43" s="123" t="n"/>
      <x:c r="AM43" s="123" t="n"/>
      <x:c r="AN43" s="123" t="n"/>
      <x:c r="AO43" s="123" t="n"/>
      <x:c r="AP43" s="123" t="n"/>
      <x:c r="AQ43" s="100" t="n"/>
      <x:c r="AR43" s="100" t="n"/>
      <x:c r="AS43" s="100" t="n"/>
      <x:c r="AT43" s="100" t="n"/>
      <x:c r="AU43" s="100" t="n"/>
      <x:c r="AV43" s="100" t="n"/>
      <x:c r="AW43" s="100" t="n"/>
      <x:c r="AX43" s="100" t="n"/>
      <x:c r="AY43" s="100" t="n"/>
      <x:c r="AZ43" s="100" t="n"/>
      <x:c r="BA43" s="100" t="n"/>
      <x:c r="BB43" s="100" t="n"/>
      <x:c r="BC43" s="100" t="n"/>
      <x:c r="BD43" s="100" t="n"/>
      <x:c r="BE43" s="100" t="n"/>
      <x:c r="BF43" s="100" t="n"/>
      <x:c r="BG43" s="100" t="n"/>
      <x:c r="BH43" s="100" t="n"/>
      <x:c r="BI43" s="100" t="n"/>
      <x:c r="BJ43" s="100" t="n"/>
      <x:c r="BK43" s="100" t="n"/>
      <x:c r="BL43" s="100" t="n"/>
      <x:c r="BM43" s="100" t="n"/>
      <x:c r="BN43" s="100" t="n"/>
      <x:c r="BO43" s="100" t="n"/>
      <x:c r="BP43" s="100" t="n"/>
      <x:c r="BQ43" s="100" t="n"/>
      <x:c r="BR43" s="100" t="n"/>
      <x:c r="BS43" s="100" t="n"/>
      <x:c r="BT43" s="100" t="n"/>
      <x:c r="BU43" s="100" t="n"/>
      <x:c r="BV43" s="100" t="n"/>
      <x:c r="BW43" s="100" t="n"/>
      <x:c r="BX43" s="100" t="n"/>
      <x:c r="BY43" s="100" t="n"/>
      <x:c r="BZ43" s="100" t="n"/>
      <x:c r="CA43" s="100" t="n"/>
      <x:c r="CB43" s="100" t="n"/>
      <x:c r="CC43" s="100" t="n"/>
      <x:c r="CD43" s="100" t="n"/>
      <x:c r="CE43" s="100" t="n"/>
      <x:c r="CF43" s="100" t="n"/>
      <x:c r="CG43" s="100" t="n"/>
      <x:c r="CH43" s="100" t="n"/>
      <x:c r="CI43" s="100" t="n"/>
      <x:c r="CJ43" s="100" t="n"/>
      <x:c r="CK43" s="100" t="n"/>
      <x:c r="CL43" s="100" t="n"/>
      <x:c r="CM43" s="100" t="n"/>
      <x:c r="CN43" s="100" t="n"/>
      <x:c r="CO43" s="100" t="n"/>
      <x:c r="CP43" s="100" t="n"/>
      <x:c r="CQ43" s="100" t="n"/>
      <x:c r="CR43" s="100" t="n"/>
      <x:c r="CS43" s="100" t="n"/>
      <x:c r="CT43" s="100" t="n"/>
      <x:c r="CU43" s="100" t="n"/>
      <x:c r="CV43" s="100" t="n"/>
      <x:c r="CW43" s="100" t="n"/>
      <x:c r="CX43" s="100" t="n"/>
      <x:c r="CY43" s="100" t="n"/>
      <x:c r="CZ43" s="100" t="n"/>
      <x:c r="DA43" s="100" t="n"/>
      <x:c r="DB43" s="100" t="n"/>
      <x:c r="DC43" s="100" t="n"/>
      <x:c r="DD43" s="100" t="n"/>
      <x:c r="DE43" s="100" t="n"/>
      <x:c r="DF43" s="100" t="n"/>
      <x:c r="DG43" s="100" t="n"/>
      <x:c r="DH43" s="100" t="n"/>
      <x:c r="DI43" s="100" t="n"/>
      <x:c r="DJ43" s="100" t="n"/>
      <x:c r="DK43" s="100" t="n"/>
      <x:c r="DL43" s="100" t="n"/>
      <x:c r="DM43" s="100" t="n"/>
      <x:c r="DN43" s="100" t="n"/>
      <x:c r="DO43" s="100" t="n"/>
      <x:c r="DP43" s="100" t="n"/>
      <x:c r="DQ43" s="100" t="n"/>
      <x:c r="DR43" s="100" t="n"/>
      <x:c r="DS43" s="100" t="n"/>
      <x:c r="DT43" s="100" t="n"/>
      <x:c r="DU43" s="100" t="n"/>
      <x:c r="DV43" s="100" t="n"/>
      <x:c r="DW43" s="100" t="n"/>
      <x:c r="DX43" s="100" t="n"/>
      <x:c r="DY43" s="100" t="n"/>
      <x:c r="DZ43" s="100" t="n"/>
      <x:c r="EA43" s="100" t="n"/>
      <x:c r="EB43" s="100" t="n"/>
      <x:c r="EC43" s="100" t="n"/>
      <x:c r="ED43" s="100" t="n"/>
      <x:c r="EE43" s="100" t="n"/>
      <x:c r="EF43" s="100" t="n"/>
      <x:c r="EG43" s="100" t="n"/>
      <x:c r="EH43" s="100" t="n"/>
      <x:c r="EI43" s="100" t="n"/>
      <x:c r="EJ43" s="100" t="n"/>
      <x:c r="EK43" s="100" t="n"/>
      <x:c r="EL43" s="100" t="n"/>
      <x:c r="EM43" s="100" t="n"/>
      <x:c r="EN43" s="100" t="n"/>
      <x:c r="EO43" s="100" t="n"/>
      <x:c r="EP43" s="100" t="n"/>
      <x:c r="EQ43" s="100" t="n"/>
      <x:c r="ER43" s="100" t="n"/>
      <x:c r="ES43" s="100" t="n"/>
      <x:c r="ET43" s="100" t="n"/>
      <x:c r="EU43" s="100" t="n"/>
      <x:c r="EV43" s="100" t="n"/>
      <x:c r="EW43" s="100" t="n"/>
      <x:c r="EX43" s="100" t="n"/>
      <x:c r="EY43" s="100" t="n"/>
      <x:c r="EZ43" s="100" t="n"/>
      <x:c r="FA43" s="100" t="n"/>
      <x:c r="FB43" s="100" t="n"/>
      <x:c r="FC43" s="100" t="n"/>
      <x:c r="FD43" s="100" t="n"/>
      <x:c r="FE43" s="100" t="n"/>
      <x:c r="FF43" s="100" t="n"/>
      <x:c r="FG43" s="100" t="n"/>
      <x:c r="FH43" s="100" t="n"/>
      <x:c r="FI43" s="100" t="n"/>
      <x:c r="FJ43" s="100" t="n"/>
      <x:c r="FK43" s="100" t="n"/>
      <x:c r="FL43" s="100" t="n"/>
      <x:c r="FM43" s="100" t="n"/>
    </x:row>
    <x:row r="44" s="27" customFormat="1" ht="12" customHeight="1">
      <x:c r="A44" s="125" t="n"/>
      <x:c r="B44" s="39" t="n"/>
      <x:c r="C44" s="86" t="n">
        <x:f>E44*D$5</x:f>
        <x:v>-40</x:v>
      </x:c>
      <x:c r="D44" s="410" t="inlineStr">
        <x:is>
          <x:t xml:space="preserve">Cimarron Mineral Corporation</x:t>
        </x:is>
      </x:c>
      <x:c r="E44" s="413" t="n">
        <x:f>SUM(G44:HS44)</x:f>
        <x:v>-1</x:v>
      </x:c>
      <x:c r="F44" s="35" t="inlineStr">
        <x:is>
          <x:t xml:space="preserve"/>
        </x:is>
      </x:c>
      <x:c r="G44" s="121" t="n"/>
      <x:c r="H44" s="121" t="n"/>
      <x:c r="I44" s="121" t="n"/>
      <x:c r="J44" s="121" t="n"/>
      <x:c r="K44" s="121" t="n"/>
      <x:c r="L44" s="121" t="n"/>
      <x:c r="M44" s="121" t="n"/>
      <x:c r="N44" s="121" t="n"/>
      <x:c r="O44" s="121" t="n"/>
      <x:c r="P44" s="121" t="n"/>
      <x:c r="Q44" s="123" t="n"/>
      <x:c r="R44" s="123" t="n"/>
      <x:c r="S44" s="121" t="n"/>
      <x:c r="T44" s="121" t="n"/>
      <x:c r="U44" s="121" t="n"/>
      <x:c r="V44" s="121" t="n"/>
      <x:c r="W44" s="121" t="n"/>
      <x:c r="X44" s="121" t="n"/>
      <x:c r="Y44" s="121" t="n"/>
      <x:c r="Z44" s="121" t="n"/>
      <x:c r="AA44" s="121" t="n">
        <x:v>-1</x:v>
      </x:c>
      <x:c r="AB44" s="121" t="n"/>
      <x:c r="AC44" s="121" t="n"/>
      <x:c r="AD44" s="123" t="n"/>
      <x:c r="AE44" s="123" t="n"/>
      <x:c r="AF44" s="123" t="n"/>
      <x:c r="AG44" s="123" t="n"/>
      <x:c r="AH44" s="124" t="n"/>
      <x:c r="AI44" s="124" t="n"/>
      <x:c r="AJ44" s="123" t="n"/>
      <x:c r="AK44" s="121" t="n"/>
      <x:c r="AL44" s="123" t="n"/>
      <x:c r="AM44" s="121" t="n"/>
      <x:c r="AN44" s="123" t="n"/>
      <x:c r="AO44" s="121" t="n"/>
      <x:c r="AP44" s="121" t="n"/>
      <x:c r="AQ44" s="28" t="n"/>
      <x:c r="AR44" s="28" t="n"/>
      <x:c r="AS44" s="28" t="n"/>
    </x:row>
    <x:row r="45" s="27" customFormat="1">
      <x:c r="A45" s="125" t="n"/>
      <x:c r="B45" s="39" t="n"/>
      <x:c r="C45" s="86" t="n">
        <x:f>E45*D$5</x:f>
        <x:v>39.23076923076923</x:v>
      </x:c>
      <x:c r="D45" s="523" t="inlineStr">
        <x:is>
          <x:t xml:space="preserve">Inter-American Corporation</x:t>
        </x:is>
      </x:c>
      <x:c r="E45" s="86" t="n">
        <x:f>SUM(G45:HO45)</x:f>
        <x:v>0.9807692307692308</x:v>
      </x:c>
      <x:c r="F45" s="35" t="inlineStr">
        <x:is>
          <x:t xml:space="preserve"/>
        </x:is>
      </x:c>
      <x:c r="G45" s="121" t="n"/>
      <x:c r="H45" s="123" t="n"/>
      <x:c r="I45" s="123" t="n"/>
      <x:c r="J45" s="123" t="n"/>
      <x:c r="K45" s="123" t="n"/>
      <x:c r="L45" s="123" t="n"/>
      <x:c r="M45" s="124" t="n"/>
      <x:c r="N45" s="124" t="n"/>
      <x:c r="O45" s="123" t="n"/>
      <x:c r="P45" s="123" t="n"/>
      <x:c r="Q45" s="123" t="n"/>
      <x:c r="R45" s="123" t="n"/>
      <x:c r="S45" s="123" t="n"/>
      <x:c r="T45" s="123" t="n"/>
      <x:c r="U45" s="123" t="n"/>
      <x:c r="V45" s="123" t="n"/>
      <x:c r="W45" s="123" t="n"/>
      <x:c r="X45" s="123" t="n"/>
      <x:c r="Y45" s="123" t="n"/>
      <x:c r="Z45" s="123" t="n"/>
      <x:c r="AA45" s="123" t="n">
        <x:v>1</x:v>
      </x:c>
      <x:c r="AB45" s="121" t="n"/>
      <x:c r="AC45" s="123" t="n"/>
      <x:c r="AD45" s="123" t="n"/>
      <x:c r="AE45" s="123" t="n"/>
      <x:c r="AF45" s="123" t="n"/>
      <x:c r="AG45" s="123" t="n"/>
      <x:c r="AH45" s="123" t="n"/>
      <x:c r="AI45" s="123" t="n">
        <x:v>-0.0192307692307692</x:v>
      </x:c>
      <x:c r="AJ45" s="124" t="n"/>
      <x:c r="AK45" s="123" t="n"/>
      <x:c r="AL45" s="121" t="n"/>
      <x:c r="AM45" s="123" t="n"/>
      <x:c r="AN45" s="123" t="n"/>
      <x:c r="AO45" s="123" t="n"/>
      <x:c r="AP45" s="123" t="n"/>
      <x:c r="AQ45" s="100" t="n"/>
      <x:c r="AR45" s="100" t="n"/>
      <x:c r="AS45" s="100" t="n"/>
      <x:c r="AT45" s="100" t="n"/>
      <x:c r="AU45" s="100" t="n"/>
      <x:c r="AV45" s="100" t="n"/>
      <x:c r="AW45" s="100" t="n"/>
      <x:c r="AX45" s="100" t="n"/>
      <x:c r="AY45" s="100" t="n"/>
      <x:c r="AZ45" s="100" t="n"/>
      <x:c r="BA45" s="100" t="n"/>
      <x:c r="BB45" s="100" t="n"/>
      <x:c r="BC45" s="100" t="n"/>
      <x:c r="BD45" s="100" t="n"/>
      <x:c r="BE45" s="100" t="n"/>
      <x:c r="BF45" s="100" t="n"/>
      <x:c r="BG45" s="100" t="n"/>
      <x:c r="BH45" s="100" t="n"/>
      <x:c r="BI45" s="100" t="n"/>
      <x:c r="BJ45" s="100" t="n"/>
      <x:c r="BK45" s="100" t="n"/>
      <x:c r="BL45" s="100" t="n"/>
      <x:c r="BM45" s="100" t="n"/>
      <x:c r="BN45" s="100" t="n"/>
      <x:c r="BO45" s="100" t="n"/>
      <x:c r="BP45" s="100" t="n"/>
      <x:c r="BQ45" s="100" t="n"/>
      <x:c r="BR45" s="100" t="n"/>
      <x:c r="BS45" s="100" t="n"/>
      <x:c r="BT45" s="100" t="n"/>
      <x:c r="BU45" s="100" t="n"/>
      <x:c r="BV45" s="100" t="n"/>
      <x:c r="BW45" s="100" t="n"/>
      <x:c r="BX45" s="100" t="n"/>
      <x:c r="BY45" s="100" t="n"/>
      <x:c r="BZ45" s="100" t="n"/>
      <x:c r="CA45" s="100" t="n"/>
      <x:c r="CB45" s="100" t="n"/>
      <x:c r="CC45" s="100" t="n"/>
      <x:c r="CD45" s="100" t="n"/>
      <x:c r="CE45" s="100" t="n"/>
      <x:c r="CF45" s="100" t="n"/>
      <x:c r="CG45" s="100" t="n"/>
      <x:c r="CH45" s="100" t="n"/>
      <x:c r="CI45" s="100" t="n"/>
      <x:c r="CJ45" s="100" t="n"/>
      <x:c r="CK45" s="100" t="n"/>
      <x:c r="CL45" s="100" t="n"/>
      <x:c r="CM45" s="100" t="n"/>
      <x:c r="CN45" s="100" t="n"/>
      <x:c r="CO45" s="100" t="n"/>
      <x:c r="CP45" s="100" t="n"/>
      <x:c r="CQ45" s="100" t="n"/>
      <x:c r="CR45" s="100" t="n"/>
      <x:c r="CS45" s="100" t="n"/>
      <x:c r="CT45" s="100" t="n"/>
      <x:c r="CU45" s="100" t="n"/>
      <x:c r="CV45" s="100" t="n"/>
      <x:c r="CW45" s="100" t="n"/>
      <x:c r="CX45" s="100" t="n"/>
      <x:c r="CY45" s="100" t="n"/>
      <x:c r="CZ45" s="100" t="n"/>
      <x:c r="DA45" s="100" t="n"/>
      <x:c r="DB45" s="100" t="n"/>
      <x:c r="DC45" s="100" t="n"/>
      <x:c r="DD45" s="100" t="n"/>
      <x:c r="DE45" s="100" t="n"/>
      <x:c r="DF45" s="100" t="n"/>
      <x:c r="DG45" s="100" t="n"/>
      <x:c r="DH45" s="100" t="n"/>
      <x:c r="DI45" s="100" t="n"/>
      <x:c r="DJ45" s="100" t="n"/>
      <x:c r="DK45" s="100" t="n"/>
      <x:c r="DL45" s="100" t="n"/>
      <x:c r="DM45" s="100" t="n"/>
      <x:c r="DN45" s="100" t="n"/>
      <x:c r="DO45" s="100" t="n"/>
      <x:c r="DP45" s="100" t="n"/>
      <x:c r="DQ45" s="100" t="n"/>
      <x:c r="DR45" s="100" t="n"/>
      <x:c r="DS45" s="100" t="n"/>
      <x:c r="DT45" s="100" t="n"/>
      <x:c r="DU45" s="100" t="n"/>
      <x:c r="DV45" s="100" t="n"/>
      <x:c r="DW45" s="100" t="n"/>
      <x:c r="DX45" s="100" t="n"/>
      <x:c r="DY45" s="100" t="n"/>
      <x:c r="DZ45" s="100" t="n"/>
      <x:c r="EA45" s="100" t="n"/>
      <x:c r="EB45" s="100" t="n"/>
      <x:c r="EC45" s="100" t="n"/>
      <x:c r="ED45" s="100" t="n"/>
      <x:c r="EE45" s="100" t="n"/>
      <x:c r="EF45" s="100" t="n"/>
      <x:c r="EG45" s="100" t="n"/>
      <x:c r="EH45" s="100" t="n"/>
      <x:c r="EI45" s="100" t="n"/>
      <x:c r="EJ45" s="100" t="n"/>
      <x:c r="EK45" s="100" t="n"/>
      <x:c r="EL45" s="100" t="n"/>
      <x:c r="EM45" s="100" t="n"/>
      <x:c r="EN45" s="100" t="n"/>
      <x:c r="EO45" s="100" t="n"/>
      <x:c r="EP45" s="100" t="n"/>
      <x:c r="EQ45" s="100" t="n"/>
      <x:c r="ER45" s="100" t="n"/>
      <x:c r="ES45" s="100" t="n"/>
      <x:c r="ET45" s="100" t="n"/>
      <x:c r="EU45" s="100" t="n"/>
      <x:c r="EV45" s="100" t="n"/>
      <x:c r="EW45" s="100" t="n"/>
      <x:c r="EX45" s="100" t="n"/>
      <x:c r="EY45" s="100" t="n"/>
      <x:c r="EZ45" s="100" t="n"/>
      <x:c r="FA45" s="100" t="n"/>
      <x:c r="FB45" s="100" t="n"/>
      <x:c r="FC45" s="100" t="n"/>
      <x:c r="FD45" s="100" t="n"/>
      <x:c r="FE45" s="100" t="n"/>
      <x:c r="FF45" s="100" t="n"/>
      <x:c r="FG45" s="100" t="n"/>
      <x:c r="FH45" s="100" t="n"/>
      <x:c r="FI45" s="100" t="n"/>
      <x:c r="FJ45" s="100" t="n"/>
      <x:c r="FK45" s="100" t="n"/>
      <x:c r="FL45" s="100" t="n"/>
      <x:c r="FM45" s="100" t="n"/>
      <x:c r="FN45" s="100" t="n"/>
      <x:c r="FO45" s="100" t="n"/>
      <x:c r="FP45" s="100" t="n"/>
      <x:c r="FQ45" s="100" t="n"/>
      <x:c r="FR45" s="100" t="n"/>
      <x:c r="FS45" s="100" t="n"/>
      <x:c r="FT45" s="100" t="n"/>
      <x:c r="FU45" s="100" t="n"/>
    </x:row>
    <x:row r="46" s="27" customFormat="1">
      <x:c r="A46" s="125" t="n"/>
      <x:c r="B46" s="39" t="n"/>
      <x:c r="C46" s="86" t="n">
        <x:f>E46*D$5</x:f>
        <x:v>-38.46153846153846</x:v>
      </x:c>
      <x:c r="D46" s="410" t="inlineStr">
        <x:is>
          <x:t xml:space="preserve">Bluebonnet Investments, Ltd.</x:t>
        </x:is>
      </x:c>
      <x:c r="E46" s="413" t="n">
        <x:f>SUM(G46:HS46)</x:f>
        <x:v>-0.9615384615384615</x:v>
      </x:c>
      <x:c r="F46" s="35" t="inlineStr">
        <x:is>
          <x:t xml:space="preserve"/>
        </x:is>
      </x:c>
      <x:c r="G46" s="121" t="n"/>
      <x:c r="H46" s="121" t="n"/>
      <x:c r="I46" s="121" t="n"/>
      <x:c r="J46" s="121" t="n"/>
      <x:c r="K46" s="121" t="n"/>
      <x:c r="L46" s="121" t="n"/>
      <x:c r="M46" s="121" t="n"/>
      <x:c r="N46" s="121" t="n"/>
      <x:c r="O46" s="121" t="n"/>
      <x:c r="P46" s="121" t="n"/>
      <x:c r="Q46" s="123" t="n"/>
      <x:c r="R46" s="123" t="n"/>
      <x:c r="S46" s="121" t="n"/>
      <x:c r="T46" s="121" t="n"/>
      <x:c r="U46" s="121" t="n"/>
      <x:c r="V46" s="121" t="n"/>
      <x:c r="W46" s="121" t="n"/>
      <x:c r="X46" s="121" t="n"/>
      <x:c r="Y46" s="121" t="n"/>
      <x:c r="Z46" s="121" t="n"/>
      <x:c r="AA46" s="121" t="n"/>
      <x:c r="AB46" s="121" t="n">
        <x:v>0.0384615384615385</x:v>
      </x:c>
      <x:c r="AC46" s="121" t="n"/>
      <x:c r="AD46" s="123" t="n"/>
      <x:c r="AE46" s="123" t="n"/>
      <x:c r="AF46" s="123" t="n"/>
      <x:c r="AG46" s="123" t="n"/>
      <x:c r="AH46" s="123" t="n"/>
      <x:c r="AI46" s="123" t="n"/>
      <x:c r="AJ46" s="124" t="n"/>
      <x:c r="AK46" s="121" t="n"/>
      <x:c r="AL46" s="123" t="n"/>
      <x:c r="AM46" s="129" t="n"/>
      <x:c r="AN46" s="123" t="n"/>
      <x:c r="AO46" s="121" t="n"/>
      <x:c r="AP46" s="121" t="n"/>
      <x:c r="AQ46" s="28" t="n"/>
      <x:c r="AR46" s="28" t="n"/>
      <x:c r="AS46" s="28" t="n"/>
      <x:c r="AX46" s="27" t="n">
        <x:v>-1</x:v>
      </x:c>
    </x:row>
    <x:row r="47" s="27" customFormat="1">
      <x:c r="A47" s="125" t="n"/>
      <x:c r="B47" s="39" t="n"/>
      <x:c r="C47" s="86" t="n">
        <x:f>E47*D$5</x:f>
        <x:v>-40</x:v>
      </x:c>
      <x:c r="D47" s="412" t="inlineStr">
        <x:is>
          <x:t xml:space="preserve">Federal Deposit Insurance Corporation</x:t>
        </x:is>
      </x:c>
      <x:c r="E47" s="413" t="n">
        <x:f>SUM(G47:HS47)</x:f>
        <x:v>-1</x:v>
      </x:c>
      <x:c r="F47" s="35" t="inlineStr">
        <x:is>
          <x:t xml:space="preserve"/>
        </x:is>
      </x:c>
      <x:c r="G47" s="121" t="n"/>
      <x:c r="H47" s="121" t="n"/>
      <x:c r="I47" s="121" t="n"/>
      <x:c r="J47" s="121" t="n"/>
      <x:c r="K47" s="121" t="n"/>
      <x:c r="L47" s="121" t="n"/>
      <x:c r="M47" s="121" t="n"/>
      <x:c r="N47" s="121" t="n"/>
      <x:c r="O47" s="121" t="n"/>
      <x:c r="P47" s="121" t="n"/>
      <x:c r="Q47" s="123" t="n"/>
      <x:c r="R47" s="123" t="n"/>
      <x:c r="S47" s="121" t="n"/>
      <x:c r="T47" s="121" t="n"/>
      <x:c r="U47" s="121" t="n"/>
      <x:c r="V47" s="121" t="n"/>
      <x:c r="W47" s="121" t="n"/>
      <x:c r="X47" s="121" t="n"/>
      <x:c r="Y47" s="121" t="n"/>
      <x:c r="Z47" s="121" t="n"/>
      <x:c r="AA47" s="121" t="n"/>
      <x:c r="AB47" s="121" t="n"/>
      <x:c r="AC47" s="121" t="n">
        <x:v>-1</x:v>
      </x:c>
      <x:c r="AD47" s="123" t="n"/>
      <x:c r="AE47" s="123" t="n"/>
      <x:c r="AF47" s="123" t="n"/>
      <x:c r="AG47" s="123" t="n"/>
      <x:c r="AH47" s="123" t="n"/>
      <x:c r="AI47" s="123" t="n"/>
      <x:c r="AJ47" s="123" t="n"/>
      <x:c r="AK47" s="121" t="n"/>
      <x:c r="AL47" s="123" t="n"/>
      <x:c r="AM47" s="129" t="n"/>
      <x:c r="AN47" s="124" t="n"/>
      <x:c r="AO47" s="121" t="n"/>
      <x:c r="AP47" s="121" t="n"/>
      <x:c r="AQ47" s="28" t="n"/>
      <x:c r="AR47" s="28" t="n"/>
      <x:c r="AS47" s="28" t="n"/>
    </x:row>
    <x:row r="48" s="27" customFormat="1">
      <x:c r="A48" s="125" t="n"/>
      <x:c r="B48" s="39" t="n"/>
      <x:c r="C48" s="36" t="n">
        <x:f>E48*D$5</x:f>
        <x:v>0</x:v>
      </x:c>
      <x:c r="D48" s="4" t="inlineStr">
        <x:is>
          <x:t xml:space="preserve">First State Bank &amp; Trust Company</x:t>
        </x:is>
      </x:c>
      <x:c r="E48" s="36" t="n">
        <x:f>SUM(G48:HS48)</x:f>
        <x:v>0</x:v>
      </x:c>
      <x:c r="F48" s="35" t="inlineStr">
        <x:is>
          <x:t xml:space="preserve"/>
        </x:is>
      </x:c>
      <x:c r="G48" s="121" t="n"/>
      <x:c r="H48" s="121" t="n"/>
      <x:c r="I48" s="121" t="n"/>
      <x:c r="J48" s="121" t="n"/>
      <x:c r="K48" s="121" t="n"/>
      <x:c r="L48" s="121" t="n"/>
      <x:c r="M48" s="121" t="n"/>
      <x:c r="N48" s="121" t="n"/>
      <x:c r="O48" s="121" t="n"/>
      <x:c r="P48" s="121" t="n"/>
      <x:c r="Q48" s="123" t="n"/>
      <x:c r="R48" s="123" t="n"/>
      <x:c r="S48" s="121" t="n"/>
      <x:c r="T48" s="121" t="n"/>
      <x:c r="U48" s="121" t="n"/>
      <x:c r="V48" s="121" t="n"/>
      <x:c r="W48" s="121" t="n"/>
      <x:c r="X48" s="121" t="n"/>
      <x:c r="Y48" s="121" t="n"/>
      <x:c r="Z48" s="121" t="n"/>
      <x:c r="AA48" s="121" t="n"/>
      <x:c r="AB48" s="121" t="n"/>
      <x:c r="AC48" s="121" t="n">
        <x:v>1</x:v>
      </x:c>
      <x:c r="AD48" s="123" t="n"/>
      <x:c r="AE48" s="123" t="n"/>
      <x:c r="AF48" s="123" t="n">
        <x:v>-1</x:v>
      </x:c>
      <x:c r="AG48" s="123" t="n"/>
      <x:c r="AH48" s="123" t="n"/>
      <x:c r="AI48" s="123" t="n"/>
      <x:c r="AJ48" s="123" t="n"/>
      <x:c r="AK48" s="121" t="n"/>
      <x:c r="AL48" s="123" t="n"/>
      <x:c r="AM48" s="129" t="n"/>
      <x:c r="AN48" s="124" t="n"/>
      <x:c r="AO48" s="121" t="n"/>
      <x:c r="AP48" s="121" t="n"/>
      <x:c r="AQ48" s="28" t="n"/>
      <x:c r="AR48" s="28" t="n"/>
      <x:c r="AS48" s="28" t="n"/>
    </x:row>
    <x:row r="49" s="27" customFormat="1">
      <x:c r="A49" s="125" t="n"/>
      <x:c r="B49" s="39" t="n"/>
      <x:c r="C49" s="86" t="n">
        <x:f>E49*D$5</x:f>
        <x:v>-40</x:v>
      </x:c>
      <x:c r="D49" s="412" t="inlineStr">
        <x:is>
          <x:t xml:space="preserve">State Bank &amp; Trust Company</x:t>
        </x:is>
      </x:c>
      <x:c r="E49" s="411" t="n">
        <x:f>SUM(G49:HS49)</x:f>
        <x:v>-1</x:v>
      </x:c>
      <x:c r="F49" s="35" t="inlineStr">
        <x:is>
          <x:t xml:space="preserve"/>
        </x:is>
      </x:c>
      <x:c r="G49" s="121" t="n"/>
      <x:c r="H49" s="121" t="n"/>
      <x:c r="I49" s="121" t="n"/>
      <x:c r="J49" s="121" t="n"/>
      <x:c r="K49" s="121" t="n"/>
      <x:c r="L49" s="121" t="n"/>
      <x:c r="M49" s="121" t="n"/>
      <x:c r="N49" s="121" t="n"/>
      <x:c r="O49" s="121" t="n"/>
      <x:c r="P49" s="121" t="n"/>
      <x:c r="Q49" s="123" t="n"/>
      <x:c r="R49" s="123" t="n"/>
      <x:c r="S49" s="121" t="n"/>
      <x:c r="T49" s="121" t="n"/>
      <x:c r="U49" s="121" t="n"/>
      <x:c r="V49" s="121" t="n"/>
      <x:c r="W49" s="121" t="n"/>
      <x:c r="X49" s="121" t="n"/>
      <x:c r="Y49" s="121" t="n"/>
      <x:c r="Z49" s="121" t="n"/>
      <x:c r="AA49" s="121" t="n"/>
      <x:c r="AB49" s="121" t="n"/>
      <x:c r="AC49" s="121" t="n"/>
      <x:c r="AD49" s="123" t="n">
        <x:v>-1</x:v>
      </x:c>
      <x:c r="AE49" s="123" t="n"/>
      <x:c r="AF49" s="123" t="n"/>
      <x:c r="AG49" s="123" t="n"/>
      <x:c r="AH49" s="123" t="n"/>
      <x:c r="AI49" s="123" t="n"/>
      <x:c r="AJ49" s="123" t="n"/>
      <x:c r="AK49" s="121" t="n"/>
      <x:c r="AL49" s="123" t="n"/>
      <x:c r="AM49" s="121" t="n"/>
      <x:c r="AN49" s="124" t="n"/>
      <x:c r="AO49" s="121" t="n"/>
      <x:c r="AP49" s="121" t="n"/>
      <x:c r="AQ49" s="28" t="n"/>
      <x:c r="AR49" s="28" t="n"/>
      <x:c r="AS49" s="28" t="n"/>
    </x:row>
    <x:row r="50" s="27" customFormat="1">
      <x:c r="A50" s="38" t="n"/>
      <x:c r="B50" s="37" t="n"/>
      <x:c r="C50" s="36" t="n">
        <x:f>E50*D$5</x:f>
        <x:v>120</x:v>
      </x:c>
      <x:c r="D50" s="4" t="inlineStr">
        <x:is>
          <x:t xml:space="preserve">Arrowhead Resources, Inc.</x:t>
        </x:is>
      </x:c>
      <x:c r="E50" s="36" t="n">
        <x:f>SUM(G50:HS50)</x:f>
        <x:v>3</x:v>
      </x:c>
      <x:c r="F50" s="35" t="inlineStr">
        <x:is>
          <x:t xml:space="preserve"/>
        </x:is>
      </x:c>
      <x:c r="G50" s="121" t="n"/>
      <x:c r="H50" s="121" t="n"/>
      <x:c r="I50" s="121" t="n"/>
      <x:c r="J50" s="121" t="n"/>
      <x:c r="K50" s="121" t="n"/>
      <x:c r="L50" s="121" t="n"/>
      <x:c r="M50" s="121" t="n"/>
      <x:c r="N50" s="121" t="n"/>
      <x:c r="O50" s="121" t="n"/>
      <x:c r="P50" s="121" t="n"/>
      <x:c r="Q50" s="123" t="n"/>
      <x:c r="R50" s="123" t="n"/>
      <x:c r="S50" s="121" t="n"/>
      <x:c r="T50" s="121" t="n"/>
      <x:c r="U50" s="121" t="n"/>
      <x:c r="V50" s="121" t="n"/>
      <x:c r="W50" s="121" t="n"/>
      <x:c r="X50" s="121" t="n"/>
      <x:c r="Y50" s="121" t="n"/>
      <x:c r="Z50" s="121" t="n"/>
      <x:c r="AA50" s="121" t="n"/>
      <x:c r="AB50" s="122" t="n"/>
      <x:c r="AC50" s="121" t="n"/>
      <x:c r="AD50" s="123" t="n">
        <x:v>1</x:v>
      </x:c>
      <x:c r="AE50" s="123" t="n">
        <x:v>-1</x:v>
      </x:c>
      <x:c r="AF50" s="123" t="n">
        <x:v>1</x:v>
      </x:c>
      <x:c r="AG50" s="123" t="n">
        <x:v>-1</x:v>
      </x:c>
      <x:c r="AH50" s="123" t="n"/>
      <x:c r="AI50" s="123" t="n"/>
      <x:c r="AJ50" s="123" t="n"/>
      <x:c r="AK50" s="121" t="n"/>
      <x:c r="AL50" s="123" t="n"/>
      <x:c r="AM50" s="121" t="n"/>
      <x:c r="AN50" s="123" t="n"/>
      <x:c r="AO50" s="121" t="n"/>
      <x:c r="AP50" s="121" t="n"/>
      <x:c r="AQ50" s="28" t="n"/>
      <x:c r="AR50" s="28" t="n">
        <x:v>1</x:v>
      </x:c>
      <x:c r="AS50" s="28" t="n">
        <x:v>1</x:v>
      </x:c>
      <x:c r="AT50" s="27" t="n">
        <x:v>1</x:v>
      </x:c>
    </x:row>
    <x:row r="51" s="27" customFormat="1">
      <x:c r="A51" s="38" t="n"/>
      <x:c r="B51" s="37" t="n"/>
      <x:c r="C51" s="36" t="n">
        <x:f>E51*D$5</x:f>
        <x:v>40</x:v>
      </x:c>
      <x:c r="D51" s="4" t="inlineStr">
        <x:is>
          <x:t xml:space="preserve">Daniel D. Ferson</x:t>
        </x:is>
      </x:c>
      <x:c r="E51" s="36" t="n">
        <x:f>SUM(G51:HS51)</x:f>
        <x:v>1</x:v>
      </x:c>
      <x:c r="F51" s="35" t="inlineStr">
        <x:is>
          <x:t xml:space="preserve"/>
        </x:is>
      </x:c>
      <x:c r="G51" s="121" t="n"/>
      <x:c r="H51" s="121" t="n"/>
      <x:c r="I51" s="121" t="n"/>
      <x:c r="J51" s="121" t="n"/>
      <x:c r="K51" s="121" t="n"/>
      <x:c r="L51" s="121" t="n"/>
      <x:c r="M51" s="121" t="n"/>
      <x:c r="N51" s="121" t="n"/>
      <x:c r="O51" s="121" t="n"/>
      <x:c r="P51" s="121" t="n"/>
      <x:c r="Q51" s="123" t="n"/>
      <x:c r="R51" s="123" t="n"/>
      <x:c r="S51" s="121" t="n"/>
      <x:c r="T51" s="121" t="n"/>
      <x:c r="U51" s="121" t="n"/>
      <x:c r="V51" s="121" t="n"/>
      <x:c r="W51" s="121" t="n"/>
      <x:c r="X51" s="121" t="n"/>
      <x:c r="Y51" s="121" t="n"/>
      <x:c r="Z51" s="121" t="n"/>
      <x:c r="AA51" s="121" t="n"/>
      <x:c r="AB51" s="121" t="n"/>
      <x:c r="AC51" s="121" t="n"/>
      <x:c r="AD51" s="123" t="n"/>
      <x:c r="AE51" s="123" t="n">
        <x:v>1</x:v>
      </x:c>
      <x:c r="AF51" s="123" t="n"/>
      <x:c r="AG51" s="123" t="n"/>
      <x:c r="AH51" s="123" t="n"/>
      <x:c r="AI51" s="123" t="n"/>
      <x:c r="AJ51" s="123" t="n"/>
      <x:c r="AK51" s="121" t="n"/>
      <x:c r="AL51" s="123" t="n"/>
      <x:c r="AM51" s="121" t="n"/>
      <x:c r="AN51" s="123" t="n"/>
      <x:c r="AO51" s="121" t="n"/>
      <x:c r="AP51" s="121" t="n"/>
      <x:c r="AQ51" s="28" t="n"/>
      <x:c r="AR51" s="28" t="n"/>
      <x:c r="AS51" s="28" t="n"/>
    </x:row>
    <x:row r="52" s="27" customFormat="1">
      <x:c r="A52" s="38" t="n"/>
      <x:c r="B52" s="37" t="n"/>
      <x:c r="C52" s="86" t="n">
        <x:f>E52*D$5</x:f>
        <x:v>40</x:v>
      </x:c>
      <x:c r="D52" s="4" t="inlineStr">
        <x:is>
          <x:t xml:space="preserve">The Hefner Corporation</x:t>
        </x:is>
      </x:c>
      <x:c r="E52" s="86" t="n">
        <x:f>SUM(G52:HS52)</x:f>
        <x:v>1</x:v>
      </x:c>
      <x:c r="F52" s="35" t="inlineStr">
        <x:is>
          <x:t xml:space="preserve"/>
        </x:is>
      </x:c>
      <x:c r="G52" s="121" t="n"/>
      <x:c r="H52" s="121" t="n"/>
      <x:c r="I52" s="121" t="n"/>
      <x:c r="J52" s="121" t="n"/>
      <x:c r="K52" s="121" t="n"/>
      <x:c r="L52" s="121" t="n"/>
      <x:c r="M52" s="121" t="n"/>
      <x:c r="N52" s="121" t="n"/>
      <x:c r="O52" s="121" t="n"/>
      <x:c r="P52" s="121" t="n"/>
      <x:c r="Q52" s="123" t="n"/>
      <x:c r="R52" s="123" t="n"/>
      <x:c r="S52" s="121" t="n"/>
      <x:c r="T52" s="121" t="n"/>
      <x:c r="U52" s="121" t="n"/>
      <x:c r="V52" s="121" t="n"/>
      <x:c r="W52" s="121" t="n"/>
      <x:c r="X52" s="121" t="n"/>
      <x:c r="Y52" s="121" t="n"/>
      <x:c r="Z52" s="121" t="n"/>
      <x:c r="AA52" s="121" t="n"/>
      <x:c r="AB52" s="121" t="n"/>
      <x:c r="AC52" s="121" t="n"/>
      <x:c r="AD52" s="123" t="n"/>
      <x:c r="AE52" s="123" t="n"/>
      <x:c r="AF52" s="123" t="n"/>
      <x:c r="AG52" s="123" t="n">
        <x:v>1</x:v>
      </x:c>
      <x:c r="AH52" s="123" t="n"/>
      <x:c r="AI52" s="123" t="n"/>
      <x:c r="AJ52" s="123" t="n"/>
      <x:c r="AK52" s="121" t="n"/>
      <x:c r="AL52" s="123" t="n"/>
      <x:c r="AM52" s="121" t="n"/>
      <x:c r="AN52" s="123" t="n"/>
      <x:c r="AO52" s="121" t="n"/>
      <x:c r="AP52" s="121" t="n"/>
      <x:c r="AQ52" s="28" t="n"/>
      <x:c r="AR52" s="28" t="n"/>
      <x:c r="AS52" s="28" t="n"/>
    </x:row>
    <x:row r="53" s="27" customFormat="1">
      <x:c r="A53" s="38" t="n"/>
      <x:c r="B53" s="37" t="n"/>
      <x:c r="C53" s="86" t="n">
        <x:f>E53*D$5</x:f>
        <x:v>-40</x:v>
      </x:c>
      <x:c r="D53" s="410" t="inlineStr">
        <x:is>
          <x:t xml:space="preserve">Charles O. Burckhalter</x:t>
        </x:is>
      </x:c>
      <x:c r="E53" s="413" t="n">
        <x:f>SUM(G53:HS53)</x:f>
        <x:v>-1</x:v>
      </x:c>
      <x:c r="F53" s="35" t="inlineStr">
        <x:is>
          <x:t xml:space="preserve"/>
        </x:is>
      </x:c>
      <x:c r="G53" s="121" t="n"/>
      <x:c r="H53" s="121" t="n"/>
      <x:c r="I53" s="121" t="n"/>
      <x:c r="J53" s="121" t="n"/>
      <x:c r="K53" s="121" t="n"/>
      <x:c r="L53" s="121" t="n"/>
      <x:c r="M53" s="121" t="n"/>
      <x:c r="N53" s="121" t="n"/>
      <x:c r="O53" s="121" t="n"/>
      <x:c r="P53" s="121" t="n"/>
      <x:c r="Q53" s="123" t="n"/>
      <x:c r="R53" s="123" t="n"/>
      <x:c r="S53" s="121" t="n"/>
      <x:c r="T53" s="121" t="n"/>
      <x:c r="U53" s="121" t="n"/>
      <x:c r="V53" s="121" t="n"/>
      <x:c r="W53" s="121" t="n"/>
      <x:c r="X53" s="121" t="n"/>
      <x:c r="Y53" s="121" t="n"/>
      <x:c r="Z53" s="121" t="n"/>
      <x:c r="AA53" s="121" t="n"/>
      <x:c r="AB53" s="121" t="n"/>
      <x:c r="AC53" s="121" t="n"/>
      <x:c r="AD53" s="123" t="n"/>
      <x:c r="AE53" s="123" t="n"/>
      <x:c r="AF53" s="123" t="n"/>
      <x:c r="AG53" s="123" t="n"/>
      <x:c r="AH53" s="123" t="n">
        <x:v>-1</x:v>
      </x:c>
      <x:c r="AI53" s="123" t="n"/>
      <x:c r="AJ53" s="123" t="n"/>
      <x:c r="AK53" s="121" t="n"/>
      <x:c r="AL53" s="123" t="n"/>
      <x:c r="AM53" s="121" t="n"/>
      <x:c r="AN53" s="123" t="n"/>
      <x:c r="AO53" s="121" t="n"/>
      <x:c r="AP53" s="121" t="n"/>
      <x:c r="AQ53" s="28" t="n"/>
      <x:c r="AR53" s="28" t="n"/>
      <x:c r="AS53" s="28" t="n"/>
    </x:row>
    <x:row r="54" s="27" customFormat="1" ht="12.949999809265137" customHeight="1">
      <x:c r="A54" s="38" t="n"/>
      <x:c r="B54" s="37" t="n"/>
      <x:c r="C54" s="36" t="n">
        <x:f>E54*D$5</x:f>
        <x:v>40</x:v>
      </x:c>
      <x:c r="D54" s="4" t="inlineStr">
        <x:is>
          <x:t xml:space="preserve">Charles O. Burckhalter, Trustee of the Burckhalter Family Trust dated July 9, 1990</x:t>
        </x:is>
      </x:c>
      <x:c r="E54" s="36" t="n">
        <x:f>SUM(G54:HS54)</x:f>
        <x:v>1</x:v>
      </x:c>
      <x:c r="F54" s="35" t="inlineStr">
        <x:is>
          <x:t xml:space="preserve"/>
        </x:is>
      </x:c>
      <x:c r="G54" s="121" t="n"/>
      <x:c r="H54" s="121" t="n"/>
      <x:c r="I54" s="121" t="n"/>
      <x:c r="J54" s="121" t="n"/>
      <x:c r="K54" s="121" t="n"/>
      <x:c r="L54" s="121" t="n"/>
      <x:c r="M54" s="121" t="n"/>
      <x:c r="N54" s="121" t="n"/>
      <x:c r="O54" s="121" t="n"/>
      <x:c r="P54" s="121" t="n"/>
      <x:c r="Q54" s="123" t="n"/>
      <x:c r="R54" s="123" t="n"/>
      <x:c r="S54" s="121" t="n"/>
      <x:c r="T54" s="121" t="n"/>
      <x:c r="U54" s="121" t="n"/>
      <x:c r="V54" s="121" t="n"/>
      <x:c r="W54" s="121" t="n"/>
      <x:c r="X54" s="121" t="n"/>
      <x:c r="Y54" s="121" t="n"/>
      <x:c r="Z54" s="121" t="n"/>
      <x:c r="AA54" s="121" t="n"/>
      <x:c r="AB54" s="121" t="n"/>
      <x:c r="AC54" s="121" t="n"/>
      <x:c r="AD54" s="123" t="n"/>
      <x:c r="AE54" s="123" t="n"/>
      <x:c r="AF54" s="123" t="n"/>
      <x:c r="AG54" s="123" t="n"/>
      <x:c r="AH54" s="123" t="n">
        <x:v>1</x:v>
      </x:c>
      <x:c r="AI54" s="123" t="n"/>
      <x:c r="AJ54" s="123" t="n"/>
      <x:c r="AK54" s="121" t="n"/>
      <x:c r="AL54" s="123" t="n"/>
      <x:c r="AM54" s="121" t="n"/>
      <x:c r="AN54" s="123" t="n"/>
      <x:c r="AO54" s="121" t="n"/>
      <x:c r="AP54" s="121" t="n"/>
      <x:c r="AQ54" s="28" t="n"/>
      <x:c r="AR54" s="28" t="n"/>
      <x:c r="AS54" s="28" t="n"/>
    </x:row>
    <x:row r="55" s="27" customFormat="1" ht="14.100000381469727" customHeight="1">
      <x:c r="A55" s="38" t="n"/>
      <x:c r="B55" s="37" t="n"/>
      <x:c r="C55" s="36" t="n">
        <x:f>E55*D$5</x:f>
        <x:v>40.30769230769231</x:v>
      </x:c>
      <x:c r="D55" s="4" t="inlineStr">
        <x:is>
          <x:t xml:space="preserve">Hayhurst Oil Properties, Inc.</x:t>
        </x:is>
      </x:c>
      <x:c r="E55" s="36" t="n">
        <x:f>SUM(G55:HS55)</x:f>
        <x:v>1.0076923076923077</x:v>
      </x:c>
      <x:c r="F55" s="35" t="inlineStr">
        <x:is>
          <x:t xml:space="preserve"/>
        </x:is>
      </x:c>
      <x:c r="G55" s="121" t="n"/>
      <x:c r="H55" s="121" t="n"/>
      <x:c r="I55" s="121" t="n"/>
      <x:c r="J55" s="121" t="n"/>
      <x:c r="K55" s="121" t="n"/>
      <x:c r="L55" s="121" t="n"/>
      <x:c r="M55" s="121" t="n"/>
      <x:c r="N55" s="121" t="n"/>
      <x:c r="O55" s="121" t="n"/>
      <x:c r="P55" s="121" t="n"/>
      <x:c r="Q55" s="123" t="n"/>
      <x:c r="R55" s="123" t="n"/>
      <x:c r="S55" s="121" t="n"/>
      <x:c r="T55" s="121" t="n"/>
      <x:c r="U55" s="121" t="n"/>
      <x:c r="V55" s="121" t="n"/>
      <x:c r="W55" s="121" t="n"/>
      <x:c r="X55" s="121" t="n"/>
      <x:c r="Y55" s="121" t="n"/>
      <x:c r="Z55" s="121" t="n"/>
      <x:c r="AA55" s="121" t="n"/>
      <x:c r="AB55" s="121" t="n"/>
      <x:c r="AC55" s="121" t="n"/>
      <x:c r="AD55" s="123" t="n"/>
      <x:c r="AE55" s="123" t="n"/>
      <x:c r="AF55" s="123" t="n"/>
      <x:c r="AG55" s="123" t="n"/>
      <x:c r="AH55" s="123" t="n"/>
      <x:c r="AI55" s="123" t="n">
        <x:v>0.0192307692307692</x:v>
      </x:c>
      <x:c r="AJ55" s="123" t="n">
        <x:v>1</x:v>
      </x:c>
      <x:c r="AK55" s="121" t="n"/>
      <x:c r="AL55" s="123" t="n"/>
      <x:c r="AM55" s="121" t="n">
        <x:v>-0.00384615384615385</x:v>
      </x:c>
      <x:c r="AN55" s="124" t="n"/>
      <x:c r="AO55" s="121" t="n">
        <x:v>-0.00769230769230769</x:v>
      </x:c>
      <x:c r="AP55" s="121" t="n"/>
      <x:c r="AQ55" s="28" t="n"/>
      <x:c r="AR55" s="28" t="n"/>
      <x:c r="AS55" s="28" t="n"/>
    </x:row>
    <x:row r="56" s="27" customFormat="1" ht="17.450000762939453" customHeight="1">
      <x:c r="A56" s="38" t="n"/>
      <x:c r="B56" s="37" t="n"/>
      <x:c r="C56" s="36" t="n">
        <x:f>E56*D$5</x:f>
        <x:v>-40</x:v>
      </x:c>
      <x:c r="D56" s="414" t="inlineStr">
        <x:is>
          <x:t xml:space="preserve">Termo Company</x:t>
        </x:is>
      </x:c>
      <x:c r="E56" s="411" t="n">
        <x:f>SUM(G56:HS56)</x:f>
        <x:v>-1</x:v>
      </x:c>
      <x:c r="F56" s="35" t="inlineStr">
        <x:is>
          <x:t xml:space="preserve"/>
        </x:is>
      </x:c>
      <x:c r="G56" s="121" t="n"/>
      <x:c r="H56" s="28" t="n"/>
      <x:c r="I56" s="28" t="n"/>
      <x:c r="J56" s="28" t="n"/>
      <x:c r="K56" s="28" t="n"/>
      <x:c r="L56" s="28" t="n"/>
      <x:c r="M56" s="28" t="n"/>
      <x:c r="N56" s="28" t="n"/>
      <x:c r="O56" s="28" t="n"/>
      <x:c r="P56" s="28" t="n"/>
      <x:c r="Q56" s="100" t="n"/>
      <x:c r="R56" s="100" t="n"/>
      <x:c r="S56" s="28" t="n"/>
      <x:c r="T56" s="28" t="n"/>
      <x:c r="U56" s="28" t="n"/>
      <x:c r="V56" s="28" t="n"/>
      <x:c r="W56" s="28" t="n"/>
      <x:c r="X56" s="28" t="n"/>
      <x:c r="Y56" s="28" t="n"/>
      <x:c r="Z56" s="28" t="n"/>
      <x:c r="AA56" s="28" t="n"/>
      <x:c r="AB56" s="28" t="n"/>
      <x:c r="AC56" s="28" t="n"/>
      <x:c r="AD56" s="100" t="n"/>
      <x:c r="AE56" s="100" t="n"/>
      <x:c r="AF56" s="100" t="n"/>
      <x:c r="AG56" s="100" t="n"/>
      <x:c r="AH56" s="100" t="n"/>
      <x:c r="AI56" s="100" t="n"/>
      <x:c r="AJ56" s="100" t="n">
        <x:v>-1</x:v>
      </x:c>
      <x:c r="AK56" s="28" t="n"/>
      <x:c r="AL56" s="100" t="n"/>
      <x:c r="AM56" s="28" t="n"/>
      <x:c r="AN56" s="123" t="n"/>
      <x:c r="AO56" s="28" t="n"/>
      <x:c r="AP56" s="28" t="n"/>
      <x:c r="AQ56" s="28" t="n"/>
      <x:c r="AR56" s="28" t="n"/>
      <x:c r="AS56" s="28" t="n"/>
    </x:row>
    <x:row r="57" s="27" customFormat="1" ht="17.450000762939453" customHeight="1">
      <x:c r="A57" s="38" t="n"/>
      <x:c r="B57" s="37" t="n"/>
      <x:c r="C57" s="36" t="n">
        <x:f>E57*D$5</x:f>
        <x:v>-40</x:v>
      </x:c>
      <x:c r="D57" s="415" t="inlineStr">
        <x:is>
          <x:t xml:space="preserve">Beckham County Court, RE: In the Matter of the Estate of Annie E. Mitchel, Deceased</x:t>
        </x:is>
      </x:c>
      <x:c r="E57" s="411" t="n">
        <x:f>SUM(G57:HS57)</x:f>
        <x:v>-1</x:v>
      </x:c>
      <x:c r="F57" s="35" t="inlineStr">
        <x:is>
          <x:t xml:space="preserve"/>
        </x:is>
      </x:c>
      <x:c r="G57" s="121" t="n"/>
      <x:c r="H57" s="28" t="n"/>
      <x:c r="I57" s="28" t="n"/>
      <x:c r="J57" s="28" t="n"/>
      <x:c r="K57" s="28" t="n"/>
      <x:c r="L57" s="28" t="n"/>
      <x:c r="M57" s="28" t="n"/>
      <x:c r="N57" s="28" t="n"/>
      <x:c r="O57" s="28" t="n"/>
      <x:c r="P57" s="28" t="n"/>
      <x:c r="Q57" s="100" t="n"/>
      <x:c r="R57" s="100" t="n"/>
      <x:c r="S57" s="28" t="n"/>
      <x:c r="T57" s="28" t="n"/>
      <x:c r="U57" s="28" t="n"/>
      <x:c r="V57" s="28" t="n"/>
      <x:c r="W57" s="28" t="n"/>
      <x:c r="X57" s="28" t="n"/>
      <x:c r="Y57" s="28" t="n"/>
      <x:c r="Z57" s="28" t="n"/>
      <x:c r="AA57" s="28" t="n"/>
      <x:c r="AB57" s="28" t="n"/>
      <x:c r="AC57" s="28" t="n"/>
      <x:c r="AD57" s="100" t="n"/>
      <x:c r="AE57" s="100" t="n"/>
      <x:c r="AF57" s="100" t="n"/>
      <x:c r="AG57" s="100" t="n"/>
      <x:c r="AH57" s="100" t="n"/>
      <x:c r="AI57" s="100" t="n"/>
      <x:c r="AJ57" s="100" t="n"/>
      <x:c r="AK57" s="28" t="n">
        <x:v>-1</x:v>
      </x:c>
      <x:c r="AL57" s="100" t="n"/>
      <x:c r="AM57" s="28" t="n"/>
      <x:c r="AN57" s="123" t="n"/>
      <x:c r="AO57" s="28" t="n"/>
      <x:c r="AP57" s="28" t="n"/>
      <x:c r="AQ57" s="28" t="n"/>
      <x:c r="AR57" s="28" t="n"/>
      <x:c r="AS57" s="28" t="n"/>
    </x:row>
    <x:row r="58" s="27" customFormat="1" ht="17.450000762939453" customHeight="1">
      <x:c r="A58" s="38" t="n"/>
      <x:c r="B58" s="37" t="n"/>
      <x:c r="C58" s="36" t="n">
        <x:f>E58*D$5</x:f>
        <x:v>-6.66666666666668</x:v>
      </x:c>
      <x:c r="D58" s="414" t="inlineStr">
        <x:is>
          <x:t xml:space="preserve">Louise Ormand</x:t>
        </x:is>
      </x:c>
      <x:c r="E58" s="411" t="n">
        <x:f>SUM(G58:HS58)</x:f>
        <x:v>-0.16666666666666702</x:v>
      </x:c>
      <x:c r="F58" s="35" t="inlineStr">
        <x:is>
          <x:t xml:space="preserve"/>
        </x:is>
      </x:c>
      <x:c r="G58" s="121" t="n"/>
      <x:c r="H58" s="28" t="n"/>
      <x:c r="I58" s="28" t="n"/>
      <x:c r="J58" s="28" t="n"/>
      <x:c r="K58" s="28" t="n"/>
      <x:c r="L58" s="28" t="n"/>
      <x:c r="M58" s="28" t="n"/>
      <x:c r="N58" s="28" t="n"/>
      <x:c r="O58" s="28" t="n"/>
      <x:c r="P58" s="28" t="n"/>
      <x:c r="Q58" s="100" t="n"/>
      <x:c r="R58" s="100" t="n"/>
      <x:c r="S58" s="28" t="n"/>
      <x:c r="T58" s="28" t="n"/>
      <x:c r="U58" s="28" t="n"/>
      <x:c r="V58" s="28" t="n"/>
      <x:c r="W58" s="28" t="n"/>
      <x:c r="X58" s="28" t="n"/>
      <x:c r="Y58" s="28" t="n"/>
      <x:c r="Z58" s="28" t="n"/>
      <x:c r="AA58" s="28" t="n"/>
      <x:c r="AB58" s="28" t="n"/>
      <x:c r="AC58" s="28" t="n"/>
      <x:c r="AD58" s="100" t="n"/>
      <x:c r="AE58" s="100" t="n"/>
      <x:c r="AF58" s="100" t="n"/>
      <x:c r="AG58" s="100" t="n"/>
      <x:c r="AH58" s="100" t="n"/>
      <x:c r="AI58" s="100" t="n"/>
      <x:c r="AJ58" s="100" t="n"/>
      <x:c r="AK58" s="28" t="n">
        <x:v>0.333333333333333</x:v>
      </x:c>
      <x:c r="AL58" s="100" t="n"/>
      <x:c r="AM58" s="28" t="n"/>
      <x:c r="AN58" s="123" t="n"/>
      <x:c r="AO58" s="28" t="n"/>
      <x:c r="AP58" s="28" t="n"/>
      <x:c r="AQ58" s="28" t="n"/>
      <x:c r="AR58" s="28" t="n"/>
      <x:c r="AS58" s="28" t="n">
        <x:v>-0.5</x:v>
      </x:c>
    </x:row>
    <x:row r="59" s="27" customFormat="1" ht="17.450000762939453" customHeight="1">
      <x:c r="A59" s="38" t="n"/>
      <x:c r="B59" s="37" t="n"/>
      <x:c r="C59" s="36" t="n">
        <x:f>E59*D$5</x:f>
        <x:v>13.33333333333332</x:v>
      </x:c>
      <x:c r="D59" s="87" t="inlineStr">
        <x:is>
          <x:t xml:space="preserve">Mattie Britton</x:t>
        </x:is>
      </x:c>
      <x:c r="E59" s="36" t="n">
        <x:f>SUM(G59:HS59)</x:f>
        <x:v>0.333333333333333</x:v>
      </x:c>
      <x:c r="F59" s="35" t="inlineStr">
        <x:is>
          <x:t xml:space="preserve"/>
        </x:is>
      </x:c>
      <x:c r="G59" s="121" t="n"/>
      <x:c r="H59" s="28" t="n"/>
      <x:c r="I59" s="28" t="n"/>
      <x:c r="J59" s="28" t="n"/>
      <x:c r="K59" s="28" t="n"/>
      <x:c r="L59" s="28" t="n"/>
      <x:c r="M59" s="28" t="n"/>
      <x:c r="N59" s="28" t="n"/>
      <x:c r="O59" s="28" t="n"/>
      <x:c r="P59" s="28" t="n"/>
      <x:c r="Q59" s="100" t="n"/>
      <x:c r="R59" s="100" t="n"/>
      <x:c r="S59" s="28" t="n"/>
      <x:c r="T59" s="28" t="n"/>
      <x:c r="U59" s="28" t="n"/>
      <x:c r="V59" s="28" t="n"/>
      <x:c r="W59" s="28" t="n"/>
      <x:c r="X59" s="28" t="n"/>
      <x:c r="Y59" s="28" t="n"/>
      <x:c r="Z59" s="28" t="n"/>
      <x:c r="AA59" s="28" t="n"/>
      <x:c r="AB59" s="28" t="n"/>
      <x:c r="AC59" s="28" t="n"/>
      <x:c r="AD59" s="100" t="n"/>
      <x:c r="AE59" s="100" t="n"/>
      <x:c r="AF59" s="100" t="n"/>
      <x:c r="AG59" s="100" t="n"/>
      <x:c r="AH59" s="100" t="n"/>
      <x:c r="AI59" s="100" t="n"/>
      <x:c r="AJ59" s="100" t="n"/>
      <x:c r="AK59" s="28" t="n">
        <x:v>0.333333333333333</x:v>
      </x:c>
      <x:c r="AL59" s="100" t="n"/>
      <x:c r="AM59" s="28" t="n"/>
      <x:c r="AN59" s="123" t="n"/>
      <x:c r="AO59" s="28" t="n"/>
      <x:c r="AP59" s="28" t="n"/>
      <x:c r="AQ59" s="28" t="n"/>
      <x:c r="AR59" s="28" t="n"/>
      <x:c r="AS59" s="28" t="n"/>
    </x:row>
    <x:row r="60" s="27" customFormat="1" ht="16.5" customHeight="1">
      <x:c r="A60" s="38" t="n"/>
      <x:c r="B60" s="37" t="n"/>
      <x:c r="C60" s="36" t="n">
        <x:f>E60*D$5</x:f>
        <x:v>-40</x:v>
      </x:c>
      <x:c r="D60" s="414" t="inlineStr">
        <x:is>
          <x:t xml:space="preserve">Mattie C. Britton</x:t>
        </x:is>
      </x:c>
      <x:c r="E60" s="411" t="n">
        <x:f>SUM(G60:HS60)</x:f>
        <x:v>-1</x:v>
      </x:c>
      <x:c r="F60" s="35" t="inlineStr">
        <x:is>
          <x:t xml:space="preserve"/>
        </x:is>
      </x:c>
      <x:c r="G60" s="121" t="n"/>
      <x:c r="H60" s="28" t="n"/>
      <x:c r="I60" s="28" t="n"/>
      <x:c r="J60" s="28" t="n"/>
      <x:c r="K60" s="28" t="n"/>
      <x:c r="L60" s="28" t="n"/>
      <x:c r="M60" s="28" t="n"/>
      <x:c r="N60" s="28" t="n"/>
      <x:c r="O60" s="28" t="n"/>
      <x:c r="P60" s="28" t="n"/>
      <x:c r="Q60" s="100" t="n"/>
      <x:c r="R60" s="100" t="n"/>
      <x:c r="S60" s="28" t="n"/>
      <x:c r="T60" s="28" t="n"/>
      <x:c r="U60" s="28" t="n"/>
      <x:c r="V60" s="28" t="n"/>
      <x:c r="W60" s="28" t="n"/>
      <x:c r="X60" s="28" t="n"/>
      <x:c r="Y60" s="28" t="n"/>
      <x:c r="Z60" s="28" t="n"/>
      <x:c r="AA60" s="28" t="n"/>
      <x:c r="AB60" s="28" t="n"/>
      <x:c r="AC60" s="28" t="n"/>
      <x:c r="AD60" s="100" t="n"/>
      <x:c r="AE60" s="100" t="n"/>
      <x:c r="AF60" s="100" t="n"/>
      <x:c r="AG60" s="100" t="n"/>
      <x:c r="AH60" s="100" t="n"/>
      <x:c r="AI60" s="100" t="n"/>
      <x:c r="AJ60" s="100" t="n"/>
      <x:c r="AK60" s="28" t="n"/>
      <x:c r="AL60" s="100" t="n">
        <x:v>-1</x:v>
      </x:c>
      <x:c r="AM60" s="28" t="n"/>
      <x:c r="AN60" s="123" t="n"/>
      <x:c r="AO60" s="28" t="n"/>
      <x:c r="AP60" s="28" t="n"/>
      <x:c r="AQ60" s="28" t="n"/>
      <x:c r="AR60" s="28" t="n"/>
      <x:c r="AS60" s="28" t="n"/>
    </x:row>
    <x:row r="61" s="27" customFormat="1">
      <x:c r="A61" s="38" t="n"/>
      <x:c r="B61" s="37" t="n"/>
      <x:c r="C61" s="36" t="n">
        <x:f>E61*D$5</x:f>
        <x:v>40</x:v>
      </x:c>
      <x:c r="D61" s="4" t="inlineStr">
        <x:is>
          <x:t xml:space="preserve">Joe Britton and Anna R. Britton, HW, JTWROS</x:t>
        </x:is>
      </x:c>
      <x:c r="E61" s="36" t="n">
        <x:f>SUM(G61:HS61)</x:f>
        <x:v>1</x:v>
      </x:c>
      <x:c r="F61" s="35" t="inlineStr">
        <x:is>
          <x:t xml:space="preserve"/>
        </x:is>
      </x:c>
      <x:c r="G61" s="121" t="n"/>
      <x:c r="H61" s="28" t="n"/>
      <x:c r="I61" s="28" t="n"/>
      <x:c r="J61" s="28" t="n"/>
      <x:c r="K61" s="28" t="n"/>
      <x:c r="L61" s="28" t="n"/>
      <x:c r="M61" s="28" t="n"/>
      <x:c r="N61" s="28" t="n"/>
      <x:c r="O61" s="28" t="n"/>
      <x:c r="P61" s="28" t="n"/>
      <x:c r="Q61" s="100" t="n"/>
      <x:c r="R61" s="100" t="n"/>
      <x:c r="S61" s="28" t="n"/>
      <x:c r="T61" s="28" t="n"/>
      <x:c r="U61" s="28" t="n"/>
      <x:c r="V61" s="28" t="n"/>
      <x:c r="W61" s="28" t="n"/>
      <x:c r="X61" s="28" t="n"/>
      <x:c r="Y61" s="28" t="n"/>
      <x:c r="Z61" s="28" t="n"/>
      <x:c r="AA61" s="28" t="n"/>
      <x:c r="AB61" s="28" t="n"/>
      <x:c r="AC61" s="28" t="n"/>
      <x:c r="AD61" s="100" t="n"/>
      <x:c r="AE61" s="100" t="n"/>
      <x:c r="AF61" s="100" t="n"/>
      <x:c r="AG61" s="100" t="n"/>
      <x:c r="AH61" s="100" t="n"/>
      <x:c r="AI61" s="100" t="n"/>
      <x:c r="AJ61" s="100" t="n"/>
      <x:c r="AK61" s="28" t="n"/>
      <x:c r="AL61" s="100" t="n">
        <x:v>1</x:v>
      </x:c>
      <x:c r="AM61" s="28" t="n"/>
      <x:c r="AN61" s="123" t="n"/>
      <x:c r="AO61" s="28" t="n"/>
      <x:c r="AP61" s="28" t="n"/>
      <x:c r="AQ61" s="28" t="n"/>
      <x:c r="AR61" s="28" t="n"/>
      <x:c r="AS61" s="28" t="n"/>
    </x:row>
    <x:row r="62" s="27" customFormat="1">
      <x:c r="A62" s="38" t="n"/>
      <x:c r="B62" s="37" t="n"/>
      <x:c r="C62" s="86" t="n">
        <x:f>E62*D$5</x:f>
        <x:v>0.153846153846154</x:v>
      </x:c>
      <x:c r="D62" s="523" t="inlineStr">
        <x:is>
          <x:t xml:space="preserve">Minion Investment Company</x:t>
        </x:is>
      </x:c>
      <x:c r="E62" s="86" t="n">
        <x:f>SUM(G62:HS62)</x:f>
        <x:v>0.00384615384615385</x:v>
      </x:c>
      <x:c r="F62" s="35" t="inlineStr">
        <x:is>
          <x:t xml:space="preserve"/>
        </x:is>
      </x:c>
      <x:c r="G62" s="121" t="n"/>
      <x:c r="H62" s="28" t="n"/>
      <x:c r="I62" s="28" t="n"/>
      <x:c r="J62" s="28" t="n"/>
      <x:c r="K62" s="28" t="n"/>
      <x:c r="L62" s="28" t="n"/>
      <x:c r="M62" s="28" t="n"/>
      <x:c r="N62" s="28" t="n"/>
      <x:c r="O62" s="28" t="n"/>
      <x:c r="P62" s="28" t="n"/>
      <x:c r="Q62" s="100" t="n"/>
      <x:c r="R62" s="100" t="n"/>
      <x:c r="S62" s="28" t="n"/>
      <x:c r="T62" s="28" t="n"/>
      <x:c r="U62" s="28" t="n"/>
      <x:c r="V62" s="28" t="n"/>
      <x:c r="W62" s="28" t="n"/>
      <x:c r="X62" s="28" t="n"/>
      <x:c r="Y62" s="28" t="n"/>
      <x:c r="Z62" s="28" t="n"/>
      <x:c r="AA62" s="28" t="n"/>
      <x:c r="AB62" s="28" t="n"/>
      <x:c r="AC62" s="28" t="n"/>
      <x:c r="AD62" s="100" t="n"/>
      <x:c r="AE62" s="100" t="n"/>
      <x:c r="AF62" s="100" t="n"/>
      <x:c r="AG62" s="100" t="n"/>
      <x:c r="AH62" s="100" t="n"/>
      <x:c r="AI62" s="100" t="n"/>
      <x:c r="AJ62" s="100" t="n"/>
      <x:c r="AK62" s="28" t="n"/>
      <x:c r="AL62" s="100" t="n"/>
      <x:c r="AM62" s="28" t="n">
        <x:v>0.00384615384615385</x:v>
      </x:c>
      <x:c r="AN62" s="123" t="n"/>
      <x:c r="AO62" s="28" t="n"/>
      <x:c r="AP62" s="28" t="n"/>
      <x:c r="AQ62" s="28" t="n"/>
      <x:c r="AR62" s="28" t="n"/>
      <x:c r="AS62" s="28" t="n"/>
    </x:row>
    <x:row r="63" s="27" customFormat="1" ht="24" customHeight="1">
      <x:c r="A63" s="38" t="n"/>
      <x:c r="B63" s="37" t="n"/>
      <x:c r="C63" s="86" t="n">
        <x:f>E63*D$5</x:f>
        <x:v>0</x:v>
      </x:c>
      <x:c r="D63" s="523" t="inlineStr">
        <x:is>
          <x:t xml:space="preserve">Roger Mills County Court RE: In the Matter of the Estate of John Klopfenstein, Deceased</x:t>
        </x:is>
      </x:c>
      <x:c r="E63" s="86" t="n">
        <x:f>SUM(G63:HS63)</x:f>
        <x:v>0</x:v>
      </x:c>
      <x:c r="F63" s="35" t="inlineStr">
        <x:is>
          <x:t xml:space="preserve"/>
        </x:is>
      </x:c>
      <x:c r="G63" s="121" t="n"/>
      <x:c r="H63" s="28" t="n"/>
      <x:c r="I63" s="28" t="n"/>
      <x:c r="J63" s="28" t="n"/>
      <x:c r="K63" s="28" t="n"/>
      <x:c r="L63" s="28" t="n"/>
      <x:c r="M63" s="28" t="n"/>
      <x:c r="N63" s="28" t="n"/>
      <x:c r="O63" s="28" t="n"/>
      <x:c r="P63" s="28" t="n"/>
      <x:c r="Q63" s="100" t="n"/>
      <x:c r="R63" s="100" t="n"/>
      <x:c r="S63" s="28" t="n"/>
      <x:c r="T63" s="28" t="n"/>
      <x:c r="U63" s="28" t="n"/>
      <x:c r="V63" s="28" t="n"/>
      <x:c r="W63" s="28" t="n"/>
      <x:c r="X63" s="28" t="n"/>
      <x:c r="Y63" s="28" t="n"/>
      <x:c r="Z63" s="28" t="n"/>
      <x:c r="AA63" s="28" t="n"/>
      <x:c r="AB63" s="28" t="n"/>
      <x:c r="AC63" s="28" t="n"/>
      <x:c r="AD63" s="100" t="n"/>
      <x:c r="AE63" s="100" t="n"/>
      <x:c r="AF63" s="100" t="n"/>
      <x:c r="AG63" s="100" t="n"/>
      <x:c r="AH63" s="100" t="n"/>
      <x:c r="AI63" s="100" t="n"/>
      <x:c r="AJ63" s="100" t="n"/>
      <x:c r="AK63" s="28" t="n"/>
      <x:c r="AL63" s="100" t="n"/>
      <x:c r="AM63" s="28" t="n"/>
      <x:c r="AN63" s="123" t="n"/>
      <x:c r="AO63" s="28" t="n"/>
      <x:c r="AP63" s="28" t="n"/>
      <x:c r="AQ63" s="28" t="n"/>
      <x:c r="AR63" s="28" t="n"/>
      <x:c r="AS63" s="28" t="n"/>
    </x:row>
    <x:row r="64" s="27" customFormat="1">
      <x:c r="A64" s="38" t="n"/>
      <x:c r="B64" s="37" t="n"/>
      <x:c r="C64" s="36" t="n">
        <x:f>E64*D$5</x:f>
        <x:v>0</x:v>
      </x:c>
      <x:c r="D64" s="4" t="inlineStr">
        <x:is>
          <x:t xml:space="preserve">Margaret Kirk</x:t>
        </x:is>
      </x:c>
      <x:c r="E64" s="36" t="n">
        <x:f>SUM(G64:HS64)</x:f>
        <x:v>0</x:v>
      </x:c>
      <x:c r="F64" s="35" t="inlineStr">
        <x:is>
          <x:t xml:space="preserve"/>
        </x:is>
      </x:c>
      <x:c r="G64" s="121" t="n"/>
      <x:c r="H64" s="28" t="n"/>
      <x:c r="I64" s="28" t="n"/>
      <x:c r="K64" s="28" t="n"/>
      <x:c r="L64" s="28" t="n"/>
      <x:c r="M64" s="28" t="n"/>
      <x:c r="N64" s="28" t="n"/>
      <x:c r="O64" s="28" t="n"/>
      <x:c r="P64" s="28" t="n"/>
      <x:c r="Q64" s="100" t="n"/>
      <x:c r="R64" s="100" t="n"/>
      <x:c r="S64" s="28" t="n"/>
      <x:c r="T64" s="28" t="n"/>
      <x:c r="U64" s="28" t="n"/>
      <x:c r="V64" s="28" t="n"/>
      <x:c r="W64" s="28" t="n"/>
      <x:c r="X64" s="28" t="n"/>
      <x:c r="Y64" s="28" t="n"/>
      <x:c r="Z64" s="28" t="n"/>
      <x:c r="AA64" s="28" t="n"/>
      <x:c r="AB64" s="28" t="n"/>
      <x:c r="AC64" s="28" t="n"/>
      <x:c r="AD64" s="100" t="n"/>
      <x:c r="AE64" s="100" t="n"/>
      <x:c r="AF64" s="100" t="n"/>
      <x:c r="AG64" s="100" t="n"/>
      <x:c r="AH64" s="100" t="n"/>
      <x:c r="AI64" s="100" t="n"/>
      <x:c r="AJ64" s="100" t="n"/>
      <x:c r="AK64" s="28" t="n"/>
      <x:c r="AL64" s="100" t="n"/>
      <x:c r="AM64" s="28" t="n"/>
      <x:c r="AN64" s="123" t="n"/>
      <x:c r="AO64" s="28" t="n"/>
      <x:c r="AP64" s="28" t="n"/>
      <x:c r="AQ64" s="28" t="n"/>
      <x:c r="AR64" s="28" t="n"/>
      <x:c r="AS64" s="28" t="n"/>
    </x:row>
    <x:row r="65" s="27" customFormat="1">
      <x:c r="A65" s="38" t="n"/>
      <x:c r="B65" s="37" t="n"/>
      <x:c r="C65" s="86" t="n">
        <x:f>E65*D$5</x:f>
        <x:v>0</x:v>
      </x:c>
      <x:c r="D65" s="523" t="inlineStr">
        <x:is>
          <x:t xml:space="preserve">Linda Mize</x:t>
        </x:is>
      </x:c>
      <x:c r="E65" s="86" t="n">
        <x:f>SUM(G65:HS65)</x:f>
        <x:v>0</x:v>
      </x:c>
      <x:c r="F65" s="35" t="inlineStr">
        <x:is>
          <x:t xml:space="preserve"/>
        </x:is>
      </x:c>
      <x:c r="G65" s="121" t="n"/>
      <x:c r="H65" s="28" t="n"/>
      <x:c r="I65" s="28" t="n"/>
      <x:c r="L65" s="28" t="n"/>
      <x:c r="M65" s="28" t="n"/>
      <x:c r="N65" s="28" t="n"/>
      <x:c r="O65" s="28" t="n"/>
      <x:c r="P65" s="28" t="n"/>
      <x:c r="Q65" s="100" t="n"/>
      <x:c r="R65" s="100" t="n"/>
      <x:c r="S65" s="28" t="n"/>
      <x:c r="T65" s="28" t="n"/>
      <x:c r="U65" s="28" t="n"/>
      <x:c r="V65" s="28" t="n"/>
      <x:c r="W65" s="28" t="n"/>
      <x:c r="X65" s="28" t="n"/>
      <x:c r="Y65" s="28" t="n"/>
      <x:c r="Z65" s="28" t="n"/>
      <x:c r="AA65" s="28" t="n"/>
      <x:c r="AB65" s="28" t="n"/>
      <x:c r="AC65" s="28" t="n"/>
      <x:c r="AD65" s="100" t="n"/>
      <x:c r="AE65" s="100" t="n"/>
      <x:c r="AF65" s="100" t="n"/>
      <x:c r="AG65" s="100" t="n"/>
      <x:c r="AH65" s="100" t="n"/>
      <x:c r="AI65" s="100" t="n"/>
      <x:c r="AJ65" s="100" t="n"/>
      <x:c r="AK65" s="28" t="n"/>
      <x:c r="AL65" s="100" t="n"/>
      <x:c r="AM65" s="28" t="n"/>
      <x:c r="AN65" s="123" t="n"/>
      <x:c r="AO65" s="28" t="n"/>
      <x:c r="AP65" s="28" t="n"/>
      <x:c r="AQ65" s="28" t="n"/>
      <x:c r="AR65" s="28" t="n"/>
      <x:c r="AS65" s="28" t="n"/>
    </x:row>
    <x:row r="66" s="27" customFormat="1">
      <x:c r="A66" s="38" t="n"/>
      <x:c r="B66" s="37" t="n"/>
      <x:c r="C66" s="86" t="n">
        <x:f>E66*D$5</x:f>
        <x:v>0</x:v>
      </x:c>
      <x:c r="D66" s="523" t="inlineStr">
        <x:is>
          <x:t xml:space="preserve">Eleanore Wheeler</x:t>
        </x:is>
      </x:c>
      <x:c r="E66" s="86" t="n">
        <x:f>SUM(G66:HS66)</x:f>
        <x:v>0</x:v>
      </x:c>
      <x:c r="F66" s="35" t="inlineStr">
        <x:is>
          <x:t xml:space="preserve"/>
        </x:is>
      </x:c>
      <x:c r="G66" s="121" t="n"/>
      <x:c r="H66" s="28" t="n"/>
      <x:c r="I66" s="28" t="n"/>
      <x:c r="L66" s="28" t="n"/>
      <x:c r="M66" s="28" t="n"/>
      <x:c r="N66" s="28" t="n"/>
      <x:c r="O66" s="28" t="n"/>
      <x:c r="P66" s="28" t="n"/>
      <x:c r="Q66" s="100" t="n"/>
      <x:c r="R66" s="100" t="n"/>
      <x:c r="S66" s="28" t="n"/>
      <x:c r="T66" s="28" t="n"/>
      <x:c r="U66" s="28" t="n"/>
      <x:c r="V66" s="28" t="n"/>
      <x:c r="W66" s="28" t="n"/>
      <x:c r="X66" s="28" t="n"/>
      <x:c r="Y66" s="28" t="n"/>
      <x:c r="Z66" s="28" t="n"/>
      <x:c r="AA66" s="28" t="n"/>
      <x:c r="AB66" s="28" t="n"/>
      <x:c r="AC66" s="28" t="n"/>
      <x:c r="AD66" s="100" t="n"/>
      <x:c r="AE66" s="100" t="n"/>
      <x:c r="AF66" s="100" t="n"/>
      <x:c r="AG66" s="101" t="n"/>
      <x:c r="AH66" s="101" t="n"/>
      <x:c r="AI66" s="100" t="n"/>
      <x:c r="AJ66" s="100" t="n"/>
      <x:c r="AK66" s="28" t="n"/>
      <x:c r="AL66" s="100" t="n"/>
      <x:c r="AM66" s="28" t="n"/>
      <x:c r="AN66" s="123" t="n"/>
      <x:c r="AO66" s="28" t="n"/>
      <x:c r="AP66" s="28" t="n"/>
      <x:c r="AQ66" s="28" t="n"/>
      <x:c r="AR66" s="28" t="n"/>
      <x:c r="AS66" s="28" t="n"/>
    </x:row>
    <x:row r="67" s="27" customFormat="1">
      <x:c r="A67" s="38" t="n"/>
      <x:c r="B67" s="37" t="n"/>
      <x:c r="C67" s="36" t="n">
        <x:f>E67*D$5</x:f>
        <x:v>0</x:v>
      </x:c>
      <x:c r="D67" s="4" t="inlineStr">
        <x:is>
          <x:t xml:space="preserve">Roger Klopfenstein</x:t>
        </x:is>
      </x:c>
      <x:c r="E67" s="36" t="n">
        <x:f>SUM(G67:HS67)</x:f>
        <x:v>0</x:v>
      </x:c>
      <x:c r="F67" s="35" t="inlineStr">
        <x:is>
          <x:t xml:space="preserve"/>
        </x:is>
      </x:c>
      <x:c r="G67" s="121" t="n"/>
      <x:c r="H67" s="28" t="n"/>
      <x:c r="I67" s="28" t="n"/>
      <x:c r="J67" s="28" t="n"/>
      <x:c r="K67" s="28" t="n"/>
      <x:c r="L67" s="28" t="n"/>
      <x:c r="M67" s="28" t="n"/>
      <x:c r="N67" s="28" t="n"/>
      <x:c r="O67" s="28" t="n"/>
      <x:c r="P67" s="28" t="n"/>
      <x:c r="Q67" s="100" t="n"/>
      <x:c r="R67" s="100" t="n"/>
      <x:c r="S67" s="28" t="n"/>
      <x:c r="T67" s="28" t="n"/>
      <x:c r="U67" s="28" t="n"/>
      <x:c r="V67" s="28" t="n"/>
      <x:c r="W67" s="28" t="n"/>
      <x:c r="X67" s="28" t="n"/>
      <x:c r="Y67" s="28" t="n"/>
      <x:c r="Z67" s="28" t="n"/>
      <x:c r="AA67" s="28" t="n"/>
      <x:c r="AB67" s="28" t="n"/>
      <x:c r="AC67" s="28" t="n"/>
      <x:c r="AD67" s="100" t="n"/>
      <x:c r="AE67" s="100" t="n"/>
      <x:c r="AF67" s="100" t="n"/>
      <x:c r="AG67" s="101" t="n"/>
      <x:c r="AH67" s="100" t="n"/>
      <x:c r="AI67" s="100" t="n"/>
      <x:c r="AJ67" s="101" t="n"/>
      <x:c r="AK67" s="28" t="n"/>
      <x:c r="AL67" s="100" t="n"/>
      <x:c r="AM67" s="28" t="n"/>
      <x:c r="AN67" s="123" t="n"/>
      <x:c r="AO67" s="28" t="n"/>
      <x:c r="AP67" s="28" t="n"/>
      <x:c r="AQ67" s="28" t="n"/>
      <x:c r="AR67" s="28" t="n"/>
      <x:c r="AS67" s="28" t="n"/>
    </x:row>
    <x:row r="68" s="27" customFormat="1">
      <x:c r="A68" s="38" t="n"/>
      <x:c r="B68" s="37" t="n"/>
      <x:c r="C68" s="36" t="n">
        <x:f>E68*D$5</x:f>
        <x:v>0</x:v>
      </x:c>
      <x:c r="D68" s="4" t="inlineStr">
        <x:is>
          <x:t xml:space="preserve">Confirm — Missing conveyed interest 1993-000918</x:t>
        </x:is>
      </x:c>
      <x:c r="E68" s="36" t="n">
        <x:f>SUM(G68:HS68)</x:f>
        <x:v>0</x:v>
      </x:c>
      <x:c r="F68" s="35" t="inlineStr">
        <x:is>
          <x:t xml:space="preserve"/>
        </x:is>
      </x:c>
      <x:c r="G68" s="121" t="n"/>
      <x:c r="H68" s="28" t="n"/>
      <x:c r="I68" s="28" t="n"/>
      <x:c r="J68" s="28" t="n"/>
      <x:c r="K68" s="28" t="n"/>
      <x:c r="L68" s="28" t="n"/>
      <x:c r="M68" s="28" t="n"/>
      <x:c r="N68" s="28" t="n"/>
      <x:c r="O68" s="28" t="n"/>
      <x:c r="P68" s="28" t="n"/>
      <x:c r="Q68" s="100" t="n"/>
      <x:c r="R68" s="100" t="n"/>
      <x:c r="S68" s="28" t="n"/>
      <x:c r="T68" s="28" t="n"/>
      <x:c r="U68" s="28" t="n"/>
      <x:c r="V68" s="28" t="n"/>
      <x:c r="W68" s="28" t="n"/>
      <x:c r="X68" s="28" t="n"/>
      <x:c r="Y68" s="28" t="n"/>
      <x:c r="Z68" s="28" t="n"/>
      <x:c r="AA68" s="28" t="n"/>
      <x:c r="AB68" s="28" t="n"/>
      <x:c r="AC68" s="28" t="n"/>
      <x:c r="AD68" s="100" t="n"/>
      <x:c r="AE68" s="100" t="n"/>
      <x:c r="AF68" s="100" t="n"/>
      <x:c r="AG68" s="100" t="n"/>
      <x:c r="AH68" s="101" t="n"/>
      <x:c r="AI68" s="101" t="n"/>
      <x:c r="AJ68" s="100" t="n"/>
      <x:c r="AK68" s="28" t="n"/>
      <x:c r="AL68" s="100" t="n"/>
      <x:c r="AM68" s="28" t="n"/>
      <x:c r="AN68" s="124" t="n"/>
      <x:c r="AO68" s="28" t="n"/>
      <x:c r="AP68" s="28" t="n"/>
      <x:c r="AQ68" s="28" t="n"/>
      <x:c r="AR68" s="28" t="n"/>
      <x:c r="AS68" s="28" t="n"/>
    </x:row>
    <x:row r="69" s="27" customFormat="1">
      <x:c r="A69" s="38" t="n"/>
      <x:c r="B69" s="37" t="n"/>
      <x:c r="C69" s="36" t="n">
        <x:f>E69*D$5</x:f>
        <x:v>0.1538461538461538</x:v>
      </x:c>
      <x:c r="D69" s="4" t="inlineStr">
        <x:is>
          <x:t xml:space="preserve">Nam Corporation</x:t>
        </x:is>
      </x:c>
      <x:c r="E69" s="36" t="n">
        <x:f>SUM(G69:HS69)</x:f>
        <x:v>0.003846153846153845</x:v>
      </x:c>
      <x:c r="F69" s="35" t="inlineStr">
        <x:is>
          <x:t xml:space="preserve"/>
        </x:is>
      </x:c>
      <x:c r="G69" s="121" t="n"/>
      <x:c r="H69" s="28" t="n"/>
      <x:c r="I69" s="28" t="n"/>
      <x:c r="J69" s="28" t="n"/>
      <x:c r="K69" s="28" t="n"/>
      <x:c r="L69" s="28" t="n"/>
      <x:c r="M69" s="28" t="n"/>
      <x:c r="N69" s="28" t="n"/>
      <x:c r="O69" s="28" t="n"/>
      <x:c r="P69" s="28" t="n"/>
      <x:c r="Q69" s="100" t="n"/>
      <x:c r="R69" s="100" t="n"/>
      <x:c r="S69" s="28" t="n"/>
      <x:c r="T69" s="28" t="n"/>
      <x:c r="U69" s="28" t="n"/>
      <x:c r="V69" s="28" t="n"/>
      <x:c r="W69" s="28" t="n"/>
      <x:c r="X69" s="28" t="n"/>
      <x:c r="Y69" s="28" t="n"/>
      <x:c r="Z69" s="28" t="n"/>
      <x:c r="AA69" s="28" t="n"/>
      <x:c r="AB69" s="28" t="n"/>
      <x:c r="AC69" s="28" t="n"/>
      <x:c r="AD69" s="100" t="n"/>
      <x:c r="AE69" s="100" t="n"/>
      <x:c r="AF69" s="100" t="n"/>
      <x:c r="AG69" s="100" t="n"/>
      <x:c r="AH69" s="100" t="n"/>
      <x:c r="AI69" s="100" t="n"/>
      <x:c r="AJ69" s="101" t="n"/>
      <x:c r="AK69" s="28" t="n"/>
      <x:c r="AL69" s="100" t="n"/>
      <x:c r="AM69" s="28" t="n"/>
      <x:c r="AN69" s="123" t="n"/>
      <x:c r="AO69" s="28" t="n">
        <x:v>0.003846153846153845</x:v>
      </x:c>
      <x:c r="AP69" s="28" t="n"/>
      <x:c r="AQ69" s="28" t="n"/>
      <x:c r="AR69" s="28" t="n"/>
      <x:c r="AS69" s="28" t="n"/>
    </x:row>
    <x:row r="70" s="27" customFormat="1">
      <x:c r="A70" s="38" t="n"/>
      <x:c r="B70" s="37" t="n"/>
      <x:c r="C70" s="36" t="n">
        <x:f>E70*D$5</x:f>
        <x:v>-79.84615384615384</x:v>
      </x:c>
      <x:c r="D70" s="415" t="inlineStr">
        <x:is>
          <x:t xml:space="preserve">Tripco, Inc.</x:t>
        </x:is>
      </x:c>
      <x:c r="E70" s="411" t="n">
        <x:f>SUM(G70:HS70)</x:f>
        <x:v>-1.9961538461538462</x:v>
      </x:c>
      <x:c r="F70" s="35" t="inlineStr">
        <x:is>
          <x:t xml:space="preserve"/>
        </x:is>
      </x:c>
      <x:c r="G70" s="121" t="n"/>
      <x:c r="H70" s="28" t="n"/>
      <x:c r="I70" s="28" t="n"/>
      <x:c r="J70" s="28" t="n"/>
      <x:c r="K70" s="28" t="n"/>
      <x:c r="L70" s="28" t="n"/>
      <x:c r="M70" s="28" t="n"/>
      <x:c r="N70" s="28" t="n"/>
      <x:c r="O70" s="28" t="n"/>
      <x:c r="P70" s="28" t="n"/>
      <x:c r="Q70" s="100" t="n"/>
      <x:c r="R70" s="100" t="n"/>
      <x:c r="S70" s="28" t="n"/>
      <x:c r="T70" s="28" t="n"/>
      <x:c r="U70" s="28" t="n"/>
      <x:c r="V70" s="28" t="n"/>
      <x:c r="W70" s="28" t="n"/>
      <x:c r="X70" s="28" t="n"/>
      <x:c r="Y70" s="28" t="n"/>
      <x:c r="Z70" s="28" t="n"/>
      <x:c r="AA70" s="28" t="n"/>
      <x:c r="AB70" s="28" t="n"/>
      <x:c r="AC70" s="28" t="n"/>
      <x:c r="AD70" s="100" t="n"/>
      <x:c r="AE70" s="100" t="n"/>
      <x:c r="AF70" s="100" t="n"/>
      <x:c r="AG70" s="100" t="n"/>
      <x:c r="AH70" s="100" t="n"/>
      <x:c r="AI70" s="100" t="n"/>
      <x:c r="AJ70" s="101" t="n"/>
      <x:c r="AK70" s="28" t="n"/>
      <x:c r="AL70" s="100" t="n"/>
      <x:c r="AM70" s="28" t="n"/>
      <x:c r="AN70" s="123" t="n"/>
      <x:c r="AO70" s="28" t="n">
        <x:v>0.003846153846153845</x:v>
      </x:c>
      <x:c r="AP70" s="28" t="n">
        <x:v>-1</x:v>
      </x:c>
      <x:c r="AQ70" s="28" t="n"/>
      <x:c r="AR70" s="28" t="n"/>
      <x:c r="AS70" s="28" t="n"/>
      <x:c r="BB70" s="27" t="n">
        <x:v>-1</x:v>
      </x:c>
    </x:row>
    <x:row r="71" s="27" customFormat="1" ht="24" customHeight="1">
      <x:c r="A71" s="38" t="n"/>
      <x:c r="B71" s="37" t="n"/>
      <x:c r="C71" s="36" t="n">
        <x:f>E71*D$5</x:f>
        <x:v>40</x:v>
      </x:c>
      <x:c r="D71" s="66" t="inlineStr">
        <x:is>
          <x:t xml:space="preserve">Prudential Securities, C/F Cynthia L. Pipkin I.R.A. Rollover Dated January 23, 1995</x:t>
        </x:is>
      </x:c>
      <x:c r="E71" s="36" t="n">
        <x:f>SUM(G71:HS71)</x:f>
        <x:v>1</x:v>
      </x:c>
      <x:c r="F71" s="35" t="inlineStr">
        <x:is>
          <x:t xml:space="preserve"/>
        </x:is>
      </x:c>
      <x:c r="G71" s="121" t="n"/>
      <x:c r="H71" s="28" t="n"/>
      <x:c r="I71" s="28" t="n"/>
      <x:c r="J71" s="28" t="n"/>
      <x:c r="K71" s="28" t="n"/>
      <x:c r="L71" s="28" t="n"/>
      <x:c r="M71" s="28" t="n"/>
      <x:c r="N71" s="28" t="n"/>
      <x:c r="O71" s="28" t="n"/>
      <x:c r="P71" s="28" t="n"/>
      <x:c r="Q71" s="100" t="n"/>
      <x:c r="R71" s="100" t="n"/>
      <x:c r="S71" s="28" t="n"/>
      <x:c r="T71" s="28" t="n"/>
      <x:c r="U71" s="28" t="n"/>
      <x:c r="V71" s="28" t="n"/>
      <x:c r="W71" s="28" t="n"/>
      <x:c r="X71" s="28" t="n"/>
      <x:c r="Y71" s="28" t="n"/>
      <x:c r="Z71" s="28" t="n"/>
      <x:c r="AA71" s="28" t="n"/>
      <x:c r="AB71" s="28" t="n"/>
      <x:c r="AC71" s="28" t="n"/>
      <x:c r="AD71" s="100" t="n"/>
      <x:c r="AE71" s="100" t="n"/>
      <x:c r="AF71" s="100" t="n"/>
      <x:c r="AG71" s="100" t="n"/>
      <x:c r="AH71" s="100" t="n"/>
      <x:c r="AI71" s="100" t="n"/>
      <x:c r="AJ71" s="101" t="n"/>
      <x:c r="AK71" s="28" t="n"/>
      <x:c r="AL71" s="100" t="n"/>
      <x:c r="AM71" s="28" t="n"/>
      <x:c r="AN71" s="123" t="n"/>
      <x:c r="AO71" s="28" t="n"/>
      <x:c r="AP71" s="28" t="n">
        <x:v>1</x:v>
      </x:c>
      <x:c r="AQ71" s="28" t="n"/>
      <x:c r="AR71" s="28" t="n"/>
      <x:c r="AS71" s="28" t="n"/>
    </x:row>
    <x:row r="72" s="27" customFormat="1">
      <x:c r="A72" s="38" t="n"/>
      <x:c r="B72" s="37" t="n"/>
      <x:c r="C72" s="86" t="n">
        <x:f>E72*D$5</x:f>
        <x:v>-40</x:v>
      </x:c>
      <x:c r="D72" s="416" t="inlineStr">
        <x:is>
          <x:t xml:space="preserve">Fer-Scher Exploration, LLC</x:t>
        </x:is>
      </x:c>
      <x:c r="E72" s="413" t="n">
        <x:f>SUM(G72:HS72)</x:f>
        <x:v>-1</x:v>
      </x:c>
      <x:c r="F72" s="35" t="inlineStr">
        <x:is>
          <x:t xml:space="preserve"/>
        </x:is>
      </x:c>
      <x:c r="G72" s="121" t="n"/>
      <x:c r="H72" s="28" t="n"/>
      <x:c r="I72" s="28" t="n"/>
      <x:c r="J72" s="28" t="n"/>
      <x:c r="K72" s="28" t="n"/>
      <x:c r="L72" s="28" t="n"/>
      <x:c r="M72" s="28" t="n"/>
      <x:c r="N72" s="28" t="n"/>
      <x:c r="O72" s="28" t="n"/>
      <x:c r="P72" s="28" t="n"/>
      <x:c r="Q72" s="100" t="n"/>
      <x:c r="R72" s="100" t="n"/>
      <x:c r="S72" s="28" t="n"/>
      <x:c r="T72" s="28" t="n"/>
      <x:c r="U72" s="28" t="n"/>
      <x:c r="V72" s="28" t="n"/>
      <x:c r="W72" s="28" t="n"/>
      <x:c r="X72" s="28" t="n"/>
      <x:c r="Y72" s="28" t="n"/>
      <x:c r="Z72" s="28" t="n"/>
      <x:c r="AA72" s="28" t="n"/>
      <x:c r="AB72" s="28" t="n"/>
      <x:c r="AC72" s="28" t="n"/>
      <x:c r="AD72" s="100" t="n"/>
      <x:c r="AE72" s="100" t="n"/>
      <x:c r="AF72" s="100" t="n"/>
      <x:c r="AG72" s="100" t="n"/>
      <x:c r="AH72" s="100" t="n"/>
      <x:c r="AI72" s="100" t="n"/>
      <x:c r="AJ72" s="100" t="n"/>
      <x:c r="AK72" s="28" t="n"/>
      <x:c r="AL72" s="100" t="n"/>
      <x:c r="AM72" s="28" t="n"/>
      <x:c r="AN72" s="123" t="n"/>
      <x:c r="AO72" s="28" t="n"/>
      <x:c r="AP72" s="28" t="n"/>
      <x:c r="AQ72" s="28" t="n">
        <x:v>-1</x:v>
      </x:c>
      <x:c r="AR72" s="28" t="n"/>
      <x:c r="AS72" s="28" t="n"/>
    </x:row>
    <x:row r="73" s="27" customFormat="1">
      <x:c r="A73" s="38" t="n"/>
      <x:c r="B73" s="37" t="n"/>
      <x:c r="C73" s="36" t="n">
        <x:f>E73*D$5</x:f>
        <x:v>40</x:v>
      </x:c>
      <x:c r="D73" s="66" t="inlineStr">
        <x:is>
          <x:t xml:space="preserve">Aspen Minerals Group</x:t>
        </x:is>
      </x:c>
      <x:c r="E73" s="36" t="n">
        <x:f>SUM(G73:HS73)</x:f>
        <x:v>1</x:v>
      </x:c>
      <x:c r="F73" s="35" t="inlineStr">
        <x:is>
          <x:t xml:space="preserve"/>
        </x:is>
      </x:c>
      <x:c r="G73" s="121" t="n"/>
      <x:c r="H73" s="28" t="n"/>
      <x:c r="I73" s="28" t="n"/>
      <x:c r="J73" s="28" t="n"/>
      <x:c r="K73" s="28" t="n"/>
      <x:c r="L73" s="28" t="n"/>
      <x:c r="M73" s="28" t="n"/>
      <x:c r="N73" s="28" t="n"/>
      <x:c r="O73" s="28" t="n"/>
      <x:c r="P73" s="28" t="n"/>
      <x:c r="Q73" s="100" t="n"/>
      <x:c r="R73" s="100" t="n"/>
      <x:c r="S73" s="28" t="n"/>
      <x:c r="T73" s="28" t="n"/>
      <x:c r="U73" s="28" t="n"/>
      <x:c r="V73" s="28" t="n"/>
      <x:c r="W73" s="28" t="n"/>
      <x:c r="X73" s="28" t="n"/>
      <x:c r="Y73" s="28" t="n"/>
      <x:c r="Z73" s="28" t="n"/>
      <x:c r="AA73" s="28" t="n"/>
      <x:c r="AB73" s="28" t="n"/>
      <x:c r="AC73" s="28" t="n"/>
      <x:c r="AD73" s="100" t="n"/>
      <x:c r="AE73" s="100" t="n"/>
      <x:c r="AF73" s="100" t="n"/>
      <x:c r="AG73" s="100" t="n"/>
      <x:c r="AH73" s="100" t="n"/>
      <x:c r="AI73" s="100" t="n"/>
      <x:c r="AJ73" s="100" t="n"/>
      <x:c r="AK73" s="28" t="n"/>
      <x:c r="AL73" s="100" t="n"/>
      <x:c r="AM73" s="28" t="n"/>
      <x:c r="AN73" s="100" t="n"/>
      <x:c r="AO73" s="28" t="n"/>
      <x:c r="AP73" s="28" t="n"/>
      <x:c r="AQ73" s="28" t="n">
        <x:v>1</x:v>
      </x:c>
      <x:c r="AR73" s="28" t="n"/>
      <x:c r="AS73" s="28" t="n"/>
    </x:row>
    <x:row r="74" s="27" customFormat="1">
      <x:c r="A74" s="38" t="n"/>
      <x:c r="B74" s="37" t="n"/>
      <x:c r="C74" s="36" t="n">
        <x:f>E74*D$5</x:f>
        <x:v>0</x:v>
      </x:c>
      <x:c r="D74" s="66" t="inlineStr">
        <x:is>
          <x:t xml:space="preserve">Nanalee Faye Barnett</x:t>
        </x:is>
      </x:c>
      <x:c r="E74" s="36" t="n">
        <x:f>SUM(G74:HS74)</x:f>
        <x:v>0</x:v>
      </x:c>
      <x:c r="F74" s="35" t="inlineStr">
        <x:is>
          <x:t xml:space="preserve"/>
        </x:is>
      </x:c>
      <x:c r="G74" s="121" t="n"/>
      <x:c r="H74" s="28" t="n"/>
      <x:c r="I74" s="28" t="n"/>
      <x:c r="J74" s="28" t="n"/>
      <x:c r="K74" s="28" t="n"/>
      <x:c r="L74" s="28" t="n"/>
      <x:c r="M74" s="28" t="n"/>
      <x:c r="N74" s="28" t="n"/>
      <x:c r="O74" s="28" t="n"/>
      <x:c r="P74" s="28" t="n"/>
      <x:c r="Q74" s="100" t="n"/>
      <x:c r="R74" s="100" t="n"/>
      <x:c r="S74" s="28" t="n"/>
      <x:c r="T74" s="28" t="n"/>
      <x:c r="U74" s="28" t="n"/>
      <x:c r="V74" s="28" t="n"/>
      <x:c r="W74" s="28" t="n"/>
      <x:c r="X74" s="28" t="n"/>
      <x:c r="Y74" s="28" t="n"/>
      <x:c r="Z74" s="28" t="n"/>
      <x:c r="AA74" s="28" t="n"/>
      <x:c r="AB74" s="28" t="n"/>
      <x:c r="AC74" s="28" t="n"/>
      <x:c r="AD74" s="100" t="n"/>
      <x:c r="AE74" s="100" t="n"/>
      <x:c r="AF74" s="100" t="n"/>
      <x:c r="AG74" s="100" t="n"/>
      <x:c r="AH74" s="100" t="n"/>
      <x:c r="AI74" s="100" t="n"/>
      <x:c r="AJ74" s="100" t="n"/>
      <x:c r="AK74" s="28" t="n"/>
      <x:c r="AL74" s="100" t="n"/>
      <x:c r="AM74" s="28" t="n"/>
      <x:c r="AN74" s="100" t="n"/>
      <x:c r="AO74" s="28" t="n"/>
      <x:c r="AP74" s="28" t="n"/>
      <x:c r="AQ74" s="28" t="n"/>
      <x:c r="AR74" s="28" t="n">
        <x:v>-1</x:v>
      </x:c>
      <x:c r="AS74" s="28" t="n"/>
      <x:c r="AU74" s="27" t="n">
        <x:v>1</x:v>
      </x:c>
    </x:row>
    <x:row r="75" s="27" customFormat="1">
      <x:c r="A75" s="38" t="n"/>
      <x:c r="B75" s="37" t="n"/>
      <x:c r="C75" s="36" t="n">
        <x:f>E75*D$5</x:f>
        <x:v>-20</x:v>
      </x:c>
      <x:c r="D75" s="417" t="inlineStr">
        <x:is>
          <x:t xml:space="preserve">Louise Ormand, now Louise Ormand McLerran</x:t>
        </x:is>
      </x:c>
      <x:c r="E75" s="411" t="n">
        <x:f>SUM(G75:HS75)</x:f>
        <x:v>-0.5</x:v>
      </x:c>
      <x:c r="F75" s="35" t="inlineStr">
        <x:is>
          <x:t xml:space="preserve"/>
        </x:is>
      </x:c>
      <x:c r="G75" s="121" t="n"/>
      <x:c r="H75" s="28" t="n"/>
      <x:c r="I75" s="28" t="n"/>
      <x:c r="J75" s="28" t="n"/>
      <x:c r="K75" s="28" t="n"/>
      <x:c r="L75" s="28" t="n"/>
      <x:c r="M75" s="28" t="n"/>
      <x:c r="N75" s="28" t="n"/>
      <x:c r="O75" s="28" t="n"/>
      <x:c r="P75" s="28" t="n"/>
      <x:c r="Q75" s="100" t="n"/>
      <x:c r="R75" s="100" t="n"/>
      <x:c r="S75" s="28" t="n"/>
      <x:c r="T75" s="28" t="n"/>
      <x:c r="U75" s="28" t="n"/>
      <x:c r="V75" s="28" t="n"/>
      <x:c r="W75" s="28" t="n"/>
      <x:c r="X75" s="28" t="n"/>
      <x:c r="Y75" s="28" t="n"/>
      <x:c r="Z75" s="28" t="n"/>
      <x:c r="AA75" s="28" t="n"/>
      <x:c r="AB75" s="28" t="n"/>
      <x:c r="AC75" s="28" t="n"/>
      <x:c r="AD75" s="100" t="n"/>
      <x:c r="AE75" s="100" t="n"/>
      <x:c r="AF75" s="100" t="n"/>
      <x:c r="AG75" s="100" t="n"/>
      <x:c r="AH75" s="100" t="n"/>
      <x:c r="AI75" s="100" t="n"/>
      <x:c r="AJ75" s="100" t="n"/>
      <x:c r="AK75" s="28" t="n"/>
      <x:c r="AL75" s="100" t="n"/>
      <x:c r="AM75" s="28" t="n"/>
      <x:c r="AN75" s="100" t="n"/>
      <x:c r="AO75" s="28" t="n"/>
      <x:c r="AP75" s="28" t="n"/>
      <x:c r="AQ75" s="28" t="n"/>
      <x:c r="AR75" s="28" t="n"/>
      <x:c r="AS75" s="28" t="n">
        <x:v>-0.5</x:v>
      </x:c>
    </x:row>
    <x:row r="76" s="27" customFormat="1">
      <x:c r="A76" s="38" t="n"/>
      <x:c r="B76" s="37" t="n"/>
      <x:c r="C76" s="36" t="n">
        <x:f>E76*D$5</x:f>
        <x:v>-40</x:v>
      </x:c>
      <x:c r="D76" s="416" t="inlineStr">
        <x:is>
          <x:t xml:space="preserve">Glenn D. Mitchel, a/k/a Glen D. Mitchel</x:t>
        </x:is>
      </x:c>
      <x:c r="E76" s="411" t="n">
        <x:f>SUM(G76:HS76)</x:f>
        <x:v>-1</x:v>
      </x:c>
      <x:c r="F76" s="35" t="inlineStr">
        <x:is>
          <x:t xml:space="preserve"/>
        </x:is>
      </x:c>
      <x:c r="G76" s="121" t="n"/>
      <x:c r="H76" s="28" t="n"/>
      <x:c r="I76" s="28" t="n"/>
      <x:c r="J76" s="28" t="n"/>
      <x:c r="K76" s="28" t="n"/>
      <x:c r="L76" s="28" t="n"/>
      <x:c r="M76" s="28" t="n"/>
      <x:c r="N76" s="28" t="n"/>
      <x:c r="O76" s="28" t="n"/>
      <x:c r="P76" s="28" t="n"/>
      <x:c r="Q76" s="100" t="n"/>
      <x:c r="R76" s="100" t="n"/>
      <x:c r="S76" s="28" t="n"/>
      <x:c r="T76" s="28" t="n"/>
      <x:c r="U76" s="28" t="n"/>
      <x:c r="V76" s="28" t="n"/>
      <x:c r="W76" s="28" t="n"/>
      <x:c r="X76" s="28" t="n"/>
      <x:c r="Y76" s="28" t="n"/>
      <x:c r="Z76" s="28" t="n"/>
      <x:c r="AA76" s="28" t="n"/>
      <x:c r="AB76" s="28" t="n"/>
      <x:c r="AC76" s="28" t="n"/>
      <x:c r="AD76" s="100" t="n"/>
      <x:c r="AE76" s="100" t="n"/>
      <x:c r="AF76" s="100" t="n"/>
      <x:c r="AG76" s="100" t="n"/>
      <x:c r="AH76" s="100" t="n"/>
      <x:c r="AI76" s="100" t="n"/>
      <x:c r="AJ76" s="100" t="n"/>
      <x:c r="AK76" s="28" t="n"/>
      <x:c r="AL76" s="100" t="n"/>
      <x:c r="AM76" s="28" t="n"/>
      <x:c r="AN76" s="100" t="n"/>
      <x:c r="AO76" s="28" t="n"/>
      <x:c r="AP76" s="28" t="n"/>
      <x:c r="AQ76" s="28" t="n"/>
      <x:c r="AR76" s="28" t="n"/>
      <x:c r="AS76" s="28" t="n"/>
      <x:c r="AT76" s="27" t="n">
        <x:v>-1</x:v>
      </x:c>
    </x:row>
    <x:row r="77" s="27" customFormat="1" ht="24" customHeight="1">
      <x:c r="A77" s="38" t="n"/>
      <x:c r="B77" s="37" t="n"/>
      <x:c r="C77" s="86" t="n">
        <x:f>E77*D$5</x:f>
        <x:v>-40</x:v>
      </x:c>
      <x:c r="D77" s="412" t="inlineStr">
        <x:is>
          <x:t xml:space="preserve">Roger Mills County Court RE: In the Matter of the Estate of Jack E. Barnett, Deceased</x:t>
        </x:is>
      </x:c>
      <x:c r="E77" s="413" t="n">
        <x:f>SUM(G77:HS77)</x:f>
        <x:v>-1</x:v>
      </x:c>
      <x:c r="F77" s="35" t="inlineStr">
        <x:is>
          <x:t xml:space="preserve"/>
        </x:is>
      </x:c>
      <x:c r="G77" s="121" t="n"/>
      <x:c r="H77" s="28" t="n"/>
      <x:c r="I77" s="28" t="n"/>
      <x:c r="J77" s="28" t="n"/>
      <x:c r="K77" s="28" t="n"/>
      <x:c r="L77" s="28" t="n"/>
      <x:c r="M77" s="28" t="n"/>
      <x:c r="N77" s="28" t="n"/>
      <x:c r="O77" s="28" t="n"/>
      <x:c r="P77" s="28" t="n"/>
      <x:c r="Q77" s="100" t="n"/>
      <x:c r="R77" s="100" t="n"/>
      <x:c r="S77" s="28" t="n"/>
      <x:c r="T77" s="28" t="n"/>
      <x:c r="U77" s="28" t="n"/>
      <x:c r="V77" s="28" t="n"/>
      <x:c r="W77" s="28" t="n"/>
      <x:c r="X77" s="28" t="n"/>
      <x:c r="Y77" s="28" t="n"/>
      <x:c r="Z77" s="28" t="n"/>
      <x:c r="AA77" s="28" t="n"/>
      <x:c r="AB77" s="28" t="n"/>
      <x:c r="AC77" s="28" t="n"/>
      <x:c r="AD77" s="100" t="n"/>
      <x:c r="AE77" s="100" t="n"/>
      <x:c r="AF77" s="100" t="n"/>
      <x:c r="AG77" s="100" t="n"/>
      <x:c r="AH77" s="100" t="n"/>
      <x:c r="AI77" s="100" t="n"/>
      <x:c r="AJ77" s="100" t="n"/>
      <x:c r="AK77" s="28" t="n"/>
      <x:c r="AL77" s="100" t="n"/>
      <x:c r="AM77" s="28" t="n"/>
      <x:c r="AN77" s="100" t="n"/>
      <x:c r="AO77" s="28" t="n"/>
      <x:c r="AP77" s="28" t="n"/>
      <x:c r="AQ77" s="28" t="n"/>
      <x:c r="AR77" s="28" t="n"/>
      <x:c r="AS77" s="28" t="n"/>
      <x:c r="AU77" s="27" t="n">
        <x:v>-1</x:v>
      </x:c>
    </x:row>
    <x:row r="78" s="27" customFormat="1" ht="24" customHeight="1">
      <x:c r="A78" s="38" t="n"/>
      <x:c r="B78" s="37" t="n"/>
      <x:c r="C78" s="36" t="n">
        <x:f>E78*D$5</x:f>
        <x:v>0</x:v>
      </x:c>
      <x:c r="D78" s="66" t="inlineStr">
        <x:is>
          <x:t xml:space="preserve">Peggy J. HAYHURST, TRUSTEE, of the Peggy J. Hayhurst Revocable Trust dated November 9, 1993</x:t>
        </x:is>
      </x:c>
      <x:c r="E78" s="36" t="n">
        <x:f>SUM(G78:HS78)</x:f>
        <x:v>0</x:v>
      </x:c>
      <x:c r="F78" s="35" t="inlineStr">
        <x:is>
          <x:t xml:space="preserve"/>
        </x:is>
      </x:c>
      <x:c r="G78" s="121" t="n"/>
      <x:c r="H78" s="28" t="n"/>
      <x:c r="I78" s="28" t="n"/>
      <x:c r="J78" s="28" t="n"/>
      <x:c r="K78" s="28" t="n"/>
      <x:c r="L78" s="28" t="n"/>
      <x:c r="M78" s="28" t="n"/>
      <x:c r="N78" s="28" t="n"/>
      <x:c r="O78" s="28" t="n"/>
      <x:c r="P78" s="28" t="n"/>
      <x:c r="Q78" s="100" t="n"/>
      <x:c r="R78" s="100" t="n"/>
      <x:c r="S78" s="28" t="n"/>
      <x:c r="T78" s="28" t="n"/>
      <x:c r="U78" s="28" t="n"/>
      <x:c r="V78" s="28" t="n"/>
      <x:c r="W78" s="28" t="n"/>
      <x:c r="X78" s="28" t="n"/>
      <x:c r="Y78" s="28" t="n"/>
      <x:c r="Z78" s="28" t="n"/>
      <x:c r="AA78" s="28" t="n"/>
      <x:c r="AB78" s="28" t="n"/>
      <x:c r="AC78" s="28" t="n"/>
      <x:c r="AD78" s="100" t="n"/>
      <x:c r="AE78" s="100" t="n"/>
      <x:c r="AF78" s="100" t="n"/>
      <x:c r="AG78" s="100" t="n"/>
      <x:c r="AH78" s="100" t="n"/>
      <x:c r="AI78" s="100" t="n"/>
      <x:c r="AJ78" s="100" t="n"/>
      <x:c r="AK78" s="28" t="n"/>
      <x:c r="AL78" s="100" t="n"/>
      <x:c r="AM78" s="28" t="n"/>
      <x:c r="AN78" s="100" t="n"/>
      <x:c r="AO78" s="28" t="n"/>
      <x:c r="AP78" s="28" t="n"/>
      <x:c r="AQ78" s="28" t="n"/>
      <x:c r="AR78" s="28" t="n"/>
      <x:c r="AS78" s="28" t="n"/>
    </x:row>
    <x:row r="79" s="27" customFormat="1">
      <x:c r="A79" s="38" t="n"/>
      <x:c r="B79" s="37" t="n"/>
      <x:c r="C79" s="86" t="n">
        <x:f>E79*D$5</x:f>
        <x:v>0</x:v>
      </x:c>
      <x:c r="D79" s="523" t="inlineStr">
        <x:is>
          <x:t xml:space="preserve">Confirm — Missing conveyed interest 2002-004595</x:t>
        </x:is>
      </x:c>
      <x:c r="E79" s="86" t="n">
        <x:f>SUM(G79:HS79)</x:f>
        <x:v>0</x:v>
      </x:c>
      <x:c r="F79" s="35" t="inlineStr">
        <x:is>
          <x:t xml:space="preserve"/>
        </x:is>
      </x:c>
      <x:c r="G79" s="121" t="n"/>
      <x:c r="H79" s="28" t="n"/>
      <x:c r="I79" s="28" t="n"/>
      <x:c r="J79" s="28" t="n"/>
      <x:c r="K79" s="28" t="n"/>
      <x:c r="L79" s="28" t="n"/>
      <x:c r="M79" s="28" t="n"/>
      <x:c r="N79" s="28" t="n"/>
      <x:c r="O79" s="28" t="n"/>
      <x:c r="P79" s="28" t="n"/>
      <x:c r="Q79" s="100" t="n"/>
      <x:c r="R79" s="100" t="n"/>
      <x:c r="S79" s="28" t="n"/>
      <x:c r="T79" s="28" t="n"/>
      <x:c r="U79" s="28" t="n"/>
      <x:c r="V79" s="28" t="n"/>
      <x:c r="W79" s="28" t="n"/>
      <x:c r="X79" s="28" t="n"/>
      <x:c r="Y79" s="28" t="n"/>
      <x:c r="Z79" s="28" t="n"/>
      <x:c r="AA79" s="28" t="n"/>
      <x:c r="AB79" s="28" t="n"/>
      <x:c r="AC79" s="28" t="n"/>
      <x:c r="AD79" s="100" t="n"/>
      <x:c r="AE79" s="100" t="n"/>
      <x:c r="AF79" s="100" t="n"/>
      <x:c r="AG79" s="100" t="n"/>
      <x:c r="AH79" s="100" t="n"/>
      <x:c r="AI79" s="100" t="n"/>
      <x:c r="AJ79" s="100" t="n"/>
      <x:c r="AK79" s="28" t="n"/>
      <x:c r="AL79" s="100" t="n"/>
      <x:c r="AM79" s="28" t="n"/>
      <x:c r="AN79" s="100" t="n"/>
      <x:c r="AO79" s="28" t="n"/>
      <x:c r="AP79" s="28" t="n"/>
      <x:c r="AQ79" s="28" t="n"/>
      <x:c r="AR79" s="28" t="n"/>
      <x:c r="AS79" s="28" t="n"/>
    </x:row>
    <x:row r="80" s="27" customFormat="1" ht="24" customHeight="1">
      <x:c r="A80" s="38" t="n"/>
      <x:c r="B80" s="37" t="n"/>
      <x:c r="C80" s="36" t="n">
        <x:f>E80*D$5</x:f>
        <x:v>-40</x:v>
      </x:c>
      <x:c r="D80" s="418" t="inlineStr">
        <x:is>
          <x:t xml:space="preserve">Beckham County Court, RE: In the Matter of the Estate of Glenn Douglas Mitchel, Deceased</x:t>
        </x:is>
      </x:c>
      <x:c r="E80" s="411" t="n">
        <x:f>SUM(G80:HS80)</x:f>
        <x:v>-1</x:v>
      </x:c>
      <x:c r="F80" s="35" t="inlineStr">
        <x:is>
          <x:t xml:space="preserve"/>
        </x:is>
      </x:c>
      <x:c r="G80" s="121" t="n"/>
      <x:c r="H80" s="28" t="n"/>
      <x:c r="I80" s="28" t="n"/>
      <x:c r="J80" s="28" t="n"/>
      <x:c r="K80" s="28" t="n"/>
      <x:c r="L80" s="28" t="n"/>
      <x:c r="M80" s="28" t="n"/>
      <x:c r="N80" s="28" t="n"/>
      <x:c r="O80" s="28" t="n"/>
      <x:c r="P80" s="28" t="n"/>
      <x:c r="Q80" s="100" t="n"/>
      <x:c r="R80" s="100" t="n"/>
      <x:c r="S80" s="28" t="n"/>
      <x:c r="T80" s="28" t="n"/>
      <x:c r="U80" s="28" t="n"/>
      <x:c r="V80" s="28" t="n"/>
      <x:c r="W80" s="28" t="n"/>
      <x:c r="X80" s="28" t="n"/>
      <x:c r="Y80" s="28" t="n"/>
      <x:c r="Z80" s="28" t="n"/>
      <x:c r="AA80" s="28" t="n"/>
      <x:c r="AB80" s="28" t="n"/>
      <x:c r="AC80" s="28" t="n"/>
      <x:c r="AD80" s="100" t="n"/>
      <x:c r="AE80" s="100" t="n"/>
      <x:c r="AF80" s="100" t="n"/>
      <x:c r="AG80" s="100" t="n"/>
      <x:c r="AH80" s="100" t="n"/>
      <x:c r="AI80" s="100" t="n"/>
      <x:c r="AJ80" s="100" t="n"/>
      <x:c r="AK80" s="28" t="n"/>
      <x:c r="AL80" s="100" t="n"/>
      <x:c r="AM80" s="28" t="n"/>
      <x:c r="AN80" s="100" t="n"/>
      <x:c r="AO80" s="28" t="n"/>
      <x:c r="AP80" s="28" t="n"/>
      <x:c r="AQ80" s="28" t="n"/>
      <x:c r="AR80" s="28" t="n"/>
      <x:c r="AS80" s="28" t="n"/>
      <x:c r="AW80" s="27" t="n">
        <x:v>-1</x:v>
      </x:c>
    </x:row>
    <x:row r="81" s="27" customFormat="1">
      <x:c r="A81" s="38" t="n"/>
      <x:c r="B81" s="37" t="n"/>
      <x:c r="C81" s="86" t="n">
        <x:f>E81*D$5</x:f>
        <x:v>76.66666666666669</x:v>
      </x:c>
      <x:c r="D81" s="523" t="inlineStr">
        <x:is>
          <x:t xml:space="preserve">The Public</x:t>
        </x:is>
      </x:c>
      <x:c r="E81" s="86" t="n">
        <x:f>SUM(G81:HS81)</x:f>
        <x:v>1.916666666666667</x:v>
      </x:c>
      <x:c r="F81" s="35" t="inlineStr">
        <x:is>
          <x:t xml:space="preserve"/>
        </x:is>
      </x:c>
      <x:c r="G81" s="121" t="n"/>
      <x:c r="H81" s="28" t="n"/>
      <x:c r="I81" s="28" t="n"/>
      <x:c r="J81" s="28" t="n"/>
      <x:c r="K81" s="28" t="n"/>
      <x:c r="L81" s="28" t="n"/>
      <x:c r="M81" s="28" t="n"/>
      <x:c r="N81" s="28" t="n"/>
      <x:c r="O81" s="28" t="n"/>
      <x:c r="P81" s="28" t="n"/>
      <x:c r="Q81" s="100" t="n"/>
      <x:c r="R81" s="100" t="n"/>
      <x:c r="S81" s="28" t="n"/>
      <x:c r="T81" s="28" t="n"/>
      <x:c r="U81" s="28" t="n"/>
      <x:c r="V81" s="28" t="n"/>
      <x:c r="W81" s="28" t="n"/>
      <x:c r="X81" s="28" t="n"/>
      <x:c r="Y81" s="28" t="n"/>
      <x:c r="Z81" s="28" t="n"/>
      <x:c r="AA81" s="28" t="n"/>
      <x:c r="AB81" s="28" t="n"/>
      <x:c r="AC81" s="28" t="n"/>
      <x:c r="AD81" s="100" t="n"/>
      <x:c r="AE81" s="100" t="n"/>
      <x:c r="AF81" s="100" t="n"/>
      <x:c r="AG81" s="100" t="n"/>
      <x:c r="AH81" s="100" t="n"/>
      <x:c r="AI81" s="100" t="n"/>
      <x:c r="AJ81" s="100" t="n"/>
      <x:c r="AK81" s="28" t="n"/>
      <x:c r="AL81" s="100" t="n"/>
      <x:c r="AM81" s="28" t="n"/>
      <x:c r="AN81" s="100" t="n"/>
      <x:c r="AO81" s="28" t="n"/>
      <x:c r="AP81" s="28" t="n"/>
      <x:c r="AQ81" s="28" t="n"/>
      <x:c r="AR81" s="28" t="n"/>
      <x:c r="AS81" s="28" t="n"/>
      <x:c r="AW81" s="27" t="n">
        <x:v>1</x:v>
      </x:c>
      <x:c r="BC81" s="27" t="n">
        <x:v>0.916666666666667</x:v>
      </x:c>
    </x:row>
    <x:row r="82" s="27" customFormat="1">
      <x:c r="A82" s="38" t="n"/>
      <x:c r="B82" s="37" t="n"/>
      <x:c r="C82" s="36" t="n">
        <x:f>E82*D$5</x:f>
        <x:v>40</x:v>
      </x:c>
      <x:c r="D82" s="66" t="inlineStr">
        <x:is>
          <x:t xml:space="preserve">White Birch, L.P.</x:t>
        </x:is>
      </x:c>
      <x:c r="E82" s="36" t="n">
        <x:f>SUM(G82:HS82)</x:f>
        <x:v>1</x:v>
      </x:c>
      <x:c r="F82" s="35" t="inlineStr">
        <x:is>
          <x:t xml:space="preserve"/>
        </x:is>
      </x:c>
      <x:c r="G82" s="121" t="n"/>
      <x:c r="H82" s="28" t="n"/>
      <x:c r="I82" s="28" t="n"/>
      <x:c r="J82" s="28" t="n"/>
      <x:c r="K82" s="28" t="n"/>
      <x:c r="L82" s="28" t="n"/>
      <x:c r="M82" s="28" t="n"/>
      <x:c r="N82" s="28" t="n"/>
      <x:c r="O82" s="28" t="n"/>
      <x:c r="P82" s="28" t="n"/>
      <x:c r="Q82" s="100" t="n"/>
      <x:c r="R82" s="100" t="n"/>
      <x:c r="S82" s="28" t="n"/>
      <x:c r="T82" s="28" t="n"/>
      <x:c r="U82" s="28" t="n"/>
      <x:c r="V82" s="28" t="n"/>
      <x:c r="W82" s="28" t="n"/>
      <x:c r="X82" s="28" t="n"/>
      <x:c r="Y82" s="28" t="n"/>
      <x:c r="Z82" s="28" t="n"/>
      <x:c r="AA82" s="28" t="n"/>
      <x:c r="AB82" s="28" t="n"/>
      <x:c r="AC82" s="28" t="n"/>
      <x:c r="AD82" s="100" t="n"/>
      <x:c r="AE82" s="100" t="n"/>
      <x:c r="AF82" s="100" t="n"/>
      <x:c r="AG82" s="100" t="n"/>
      <x:c r="AH82" s="100" t="n"/>
      <x:c r="AI82" s="100" t="n"/>
      <x:c r="AJ82" s="100" t="n"/>
      <x:c r="AK82" s="28" t="n"/>
      <x:c r="AL82" s="100" t="n"/>
      <x:c r="AM82" s="28" t="n"/>
      <x:c r="AN82" s="100" t="n"/>
      <x:c r="AO82" s="28" t="n"/>
      <x:c r="AP82" s="28" t="n"/>
      <x:c r="AQ82" s="28" t="n"/>
      <x:c r="AR82" s="28" t="n"/>
      <x:c r="AS82" s="28" t="n"/>
      <x:c r="AX82" s="27" t="n">
        <x:v>1</x:v>
      </x:c>
    </x:row>
    <x:row r="83" s="27" customFormat="1">
      <x:c r="A83" s="38" t="n"/>
      <x:c r="B83" s="37" t="n"/>
      <x:c r="C83" s="36" t="n">
        <x:f>E83*D$5</x:f>
        <x:v>0</x:v>
      </x:c>
      <x:c r="D83" s="66" t="n"/>
      <x:c r="E83" s="36" t="n">
        <x:f>SUM(G83:HS83)</x:f>
        <x:v>0</x:v>
      </x:c>
      <x:c r="F83" s="35" t="inlineStr">
        <x:is>
          <x:t xml:space="preserve"/>
        </x:is>
      </x:c>
      <x:c r="G83" s="121" t="n"/>
      <x:c r="H83" s="28" t="n"/>
      <x:c r="I83" s="28" t="n"/>
      <x:c r="J83" s="28" t="n"/>
      <x:c r="K83" s="28" t="n"/>
      <x:c r="L83" s="28" t="n"/>
      <x:c r="M83" s="28" t="n"/>
      <x:c r="N83" s="28" t="n"/>
      <x:c r="O83" s="28" t="n"/>
      <x:c r="P83" s="28" t="n"/>
      <x:c r="Q83" s="100" t="n"/>
      <x:c r="R83" s="100" t="n"/>
      <x:c r="S83" s="28" t="n"/>
      <x:c r="T83" s="28" t="n"/>
      <x:c r="U83" s="28" t="n"/>
      <x:c r="V83" s="28" t="n"/>
      <x:c r="W83" s="28" t="n"/>
      <x:c r="X83" s="28" t="n"/>
      <x:c r="Y83" s="28" t="n"/>
      <x:c r="Z83" s="28" t="n"/>
      <x:c r="AA83" s="28" t="n"/>
      <x:c r="AB83" s="28" t="n"/>
      <x:c r="AC83" s="28" t="n"/>
      <x:c r="AD83" s="100" t="n"/>
      <x:c r="AE83" s="100" t="n"/>
      <x:c r="AF83" s="100" t="n"/>
      <x:c r="AG83" s="100" t="n"/>
      <x:c r="AH83" s="100" t="n"/>
      <x:c r="AI83" s="100" t="n"/>
      <x:c r="AJ83" s="100" t="n"/>
      <x:c r="AK83" s="28" t="n"/>
      <x:c r="AL83" s="100" t="n"/>
      <x:c r="AM83" s="28" t="n"/>
      <x:c r="AN83" s="100" t="n"/>
      <x:c r="AO83" s="28" t="n"/>
      <x:c r="AP83" s="28" t="n"/>
      <x:c r="AQ83" s="28" t="n"/>
      <x:c r="AR83" s="28" t="n"/>
      <x:c r="AS83" s="28" t="n"/>
    </x:row>
    <x:row r="84" s="27" customFormat="1" ht="24" customHeight="1">
      <x:c r="A84" s="38" t="n"/>
      <x:c r="B84" s="37" t="n"/>
      <x:c r="C84" s="36" t="n">
        <x:f>E84*D$5</x:f>
        <x:v>-40</x:v>
      </x:c>
      <x:c r="D84" s="416" t="inlineStr">
        <x:is>
          <x:t xml:space="preserve">Beckham County Court, RE: In the Matter of the Estate of Evelyn Louise McLerran, Deceased</x:t>
        </x:is>
      </x:c>
      <x:c r="E84" s="411" t="n">
        <x:f>SUM(G84:HS84)</x:f>
        <x:v>-1</x:v>
      </x:c>
      <x:c r="F84" s="35" t="inlineStr">
        <x:is>
          <x:t xml:space="preserve"/>
        </x:is>
      </x:c>
      <x:c r="G84" s="121" t="n"/>
      <x:c r="H84" s="28" t="n"/>
      <x:c r="I84" s="28" t="n"/>
      <x:c r="J84" s="28" t="n"/>
      <x:c r="K84" s="28" t="n"/>
      <x:c r="L84" s="28" t="n"/>
      <x:c r="M84" s="28" t="n"/>
      <x:c r="N84" s="28" t="n"/>
      <x:c r="O84" s="28" t="n"/>
      <x:c r="P84" s="28" t="n"/>
      <x:c r="Q84" s="100" t="n"/>
      <x:c r="R84" s="100" t="n"/>
      <x:c r="S84" s="28" t="n"/>
      <x:c r="T84" s="28" t="n"/>
      <x:c r="U84" s="28" t="n"/>
      <x:c r="V84" s="28" t="n"/>
      <x:c r="W84" s="28" t="n"/>
      <x:c r="X84" s="28" t="n"/>
      <x:c r="Y84" s="28" t="n"/>
      <x:c r="Z84" s="28" t="n"/>
      <x:c r="AA84" s="28" t="n"/>
      <x:c r="AB84" s="28" t="n"/>
      <x:c r="AC84" s="28" t="n"/>
      <x:c r="AD84" s="100" t="n"/>
      <x:c r="AE84" s="100" t="n"/>
      <x:c r="AF84" s="100" t="n"/>
      <x:c r="AG84" s="100" t="n"/>
      <x:c r="AH84" s="100" t="n"/>
      <x:c r="AI84" s="100" t="n"/>
      <x:c r="AJ84" s="100" t="n"/>
      <x:c r="AK84" s="28" t="n"/>
      <x:c r="AL84" s="100" t="n"/>
      <x:c r="AM84" s="28" t="n"/>
      <x:c r="AN84" s="100" t="n"/>
      <x:c r="AO84" s="28" t="n"/>
      <x:c r="AP84" s="28" t="n"/>
      <x:c r="AQ84" s="28" t="n"/>
      <x:c r="AR84" s="28" t="n"/>
      <x:c r="AS84" s="28" t="n"/>
      <x:c r="AY84" s="27" t="n">
        <x:v>-1</x:v>
      </x:c>
    </x:row>
    <x:row r="85" s="27" customFormat="1">
      <x:c r="A85" s="38" t="n"/>
      <x:c r="B85" s="37" t="n"/>
      <x:c r="C85" s="36" t="n">
        <x:f>E85*D$5</x:f>
        <x:v>40</x:v>
      </x:c>
      <x:c r="D85" s="66" t="inlineStr">
        <x:is>
          <x:t xml:space="preserve">Nana Lou Jones</x:t>
        </x:is>
      </x:c>
      <x:c r="E85" s="36" t="n">
        <x:f>SUM(G85:HS85)</x:f>
        <x:v>1</x:v>
      </x:c>
      <x:c r="F85" s="35" t="inlineStr">
        <x:is>
          <x:t xml:space="preserve"/>
        </x:is>
      </x:c>
      <x:c r="G85" s="121" t="n"/>
      <x:c r="Q85" s="100" t="n"/>
      <x:c r="R85" s="100" t="n"/>
      <x:c r="AD85" s="100" t="n"/>
      <x:c r="AE85" s="100" t="n"/>
      <x:c r="AF85" s="100" t="n"/>
      <x:c r="AG85" s="100" t="n"/>
      <x:c r="AH85" s="100" t="n"/>
      <x:c r="AI85" s="100" t="n"/>
      <x:c r="AJ85" s="100" t="n"/>
      <x:c r="AL85" s="100" t="n"/>
      <x:c r="AN85" s="100" t="n"/>
      <x:c r="AY85" s="27" t="n">
        <x:v>1</x:v>
      </x:c>
    </x:row>
    <x:row r="86" s="27" customFormat="1">
      <x:c r="A86" s="38" t="n"/>
      <x:c r="B86" s="37" t="n"/>
      <x:c r="C86" s="86" t="n">
        <x:f>E86*D$5</x:f>
        <x:v>-40</x:v>
      </x:c>
      <x:c r="D86" s="412" t="inlineStr">
        <x:is>
          <x:t xml:space="preserve">Aspen Energy Group, Inc.</x:t>
        </x:is>
      </x:c>
      <x:c r="E86" s="413" t="n">
        <x:f>SUM(G86:HS86)</x:f>
        <x:v>-1</x:v>
      </x:c>
      <x:c r="F86" s="35" t="inlineStr">
        <x:is>
          <x:t xml:space="preserve"/>
        </x:is>
      </x:c>
      <x:c r="G86" s="121" t="n"/>
      <x:c r="Q86" s="100" t="n"/>
      <x:c r="R86" s="100" t="n"/>
      <x:c r="AD86" s="100" t="n"/>
      <x:c r="AE86" s="100" t="n"/>
      <x:c r="AF86" s="100" t="n"/>
      <x:c r="AG86" s="100" t="n"/>
      <x:c r="AH86" s="100" t="n"/>
      <x:c r="AI86" s="100" t="n"/>
      <x:c r="AJ86" s="100" t="n"/>
      <x:c r="AL86" s="100" t="n"/>
      <x:c r="AN86" s="100" t="n"/>
      <x:c r="AZ86" s="27" t="n">
        <x:v>-1</x:v>
      </x:c>
    </x:row>
    <x:row r="87" s="27" customFormat="1">
      <x:c r="A87" s="38" t="n"/>
      <x:c r="B87" s="37" t="n"/>
      <x:c r="C87" s="36" t="n">
        <x:f>E87*D$5</x:f>
        <x:v>40</x:v>
      </x:c>
      <x:c r="D87" s="66" t="inlineStr">
        <x:is>
          <x:t xml:space="preserve">Crusader Energy Corporation</x:t>
        </x:is>
      </x:c>
      <x:c r="E87" s="36" t="n">
        <x:f>SUM(G87:HS87)</x:f>
        <x:v>1</x:v>
      </x:c>
      <x:c r="F87" s="35" t="inlineStr">
        <x:is>
          <x:t xml:space="preserve"/>
        </x:is>
      </x:c>
      <x:c r="G87" s="121" t="n"/>
      <x:c r="Q87" s="100" t="n"/>
      <x:c r="R87" s="100" t="n"/>
      <x:c r="AD87" s="100" t="n"/>
      <x:c r="AE87" s="100" t="n"/>
      <x:c r="AF87" s="100" t="n"/>
      <x:c r="AG87" s="100" t="n"/>
      <x:c r="AH87" s="100" t="n"/>
      <x:c r="AI87" s="100" t="n"/>
      <x:c r="AJ87" s="100" t="n"/>
      <x:c r="AL87" s="100" t="n"/>
      <x:c r="AN87" s="100" t="n"/>
      <x:c r="AZ87" s="27" t="n">
        <x:v>1</x:v>
      </x:c>
    </x:row>
    <x:row r="88" s="27" customFormat="1">
      <x:c r="A88" s="38" t="n"/>
      <x:c r="B88" s="37" t="n"/>
      <x:c r="C88" s="36" t="n">
        <x:f>E88*D$5</x:f>
        <x:v>-40</x:v>
      </x:c>
      <x:c r="D88" s="416" t="inlineStr">
        <x:is>
          <x:t xml:space="preserve">Minion Investment Co, Brian L. Rice</x:t>
        </x:is>
      </x:c>
      <x:c r="E88" s="413" t="n">
        <x:f>SUM(G88:HS88)</x:f>
        <x:v>-1</x:v>
      </x:c>
      <x:c r="F88" s="35" t="inlineStr">
        <x:is>
          <x:t xml:space="preserve"/>
        </x:is>
      </x:c>
      <x:c r="G88" s="121" t="n"/>
      <x:c r="Q88" s="100" t="n"/>
      <x:c r="R88" s="100" t="n"/>
      <x:c r="AD88" s="100" t="n"/>
      <x:c r="AE88" s="100" t="n"/>
      <x:c r="AF88" s="100" t="n"/>
      <x:c r="AG88" s="100" t="n"/>
      <x:c r="AH88" s="100" t="n"/>
      <x:c r="AI88" s="100" t="n"/>
      <x:c r="AJ88" s="100" t="n"/>
      <x:c r="AL88" s="100" t="n"/>
      <x:c r="AN88" s="100" t="n"/>
      <x:c r="BA88" s="27" t="n">
        <x:v>-1</x:v>
      </x:c>
    </x:row>
    <x:row r="89" s="27" customFormat="1">
      <x:c r="A89" s="38" t="n"/>
      <x:c r="B89" s="37" t="n"/>
      <x:c r="C89" s="86" t="n">
        <x:f>E89*D$5</x:f>
        <x:v>80</x:v>
      </x:c>
      <x:c r="D89" s="66" t="inlineStr">
        <x:is>
          <x:t xml:space="preserve">Prism Energy, Inc.</x:t>
        </x:is>
      </x:c>
      <x:c r="E89" s="86" t="n">
        <x:f>SUM(G89:HS89)</x:f>
        <x:v>2</x:v>
      </x:c>
      <x:c r="F89" s="35" t="inlineStr">
        <x:is>
          <x:t xml:space="preserve"/>
        </x:is>
      </x:c>
      <x:c r="G89" s="121" t="n"/>
      <x:c r="Q89" s="100" t="n"/>
      <x:c r="R89" s="100" t="n"/>
      <x:c r="AD89" s="100" t="n"/>
      <x:c r="AE89" s="100" t="n"/>
      <x:c r="AF89" s="100" t="n"/>
      <x:c r="AG89" s="100" t="n"/>
      <x:c r="AH89" s="100" t="n"/>
      <x:c r="AI89" s="100" t="n"/>
      <x:c r="AJ89" s="100" t="n"/>
      <x:c r="AL89" s="100" t="n"/>
      <x:c r="AN89" s="100" t="n"/>
      <x:c r="BA89" s="27" t="n">
        <x:v>1</x:v>
      </x:c>
      <x:c r="BB89" s="27" t="n">
        <x:v>1</x:v>
      </x:c>
    </x:row>
    <x:row r="90" s="27" customFormat="1" ht="24" customHeight="1">
      <x:c r="A90" s="38" t="n"/>
      <x:c r="B90" s="37" t="n"/>
      <x:c r="C90" s="36" t="n">
        <x:f>E90*D$5</x:f>
        <x:v>-36.66666666666668</x:v>
      </x:c>
      <x:c r="D90" s="416" t="inlineStr">
        <x:is>
          <x:t xml:space="preserve">Glenda A. Palmer, Trustee of the Glenn Douglas Mitchel and Hazel Pearl Mitchel Trust</x:t>
        </x:is>
      </x:c>
      <x:c r="E90" s="413" t="n">
        <x:f>SUM(G90:HS90)</x:f>
        <x:v>-0.916666666666667</x:v>
      </x:c>
      <x:c r="F90" s="35" t="inlineStr">
        <x:is>
          <x:t xml:space="preserve"/>
        </x:is>
      </x:c>
      <x:c r="G90" s="121" t="n"/>
      <x:c r="Q90" s="100" t="n"/>
      <x:c r="R90" s="100" t="n"/>
      <x:c r="AD90" s="100" t="n"/>
      <x:c r="AE90" s="100" t="n"/>
      <x:c r="AF90" s="100" t="n"/>
      <x:c r="AG90" s="100" t="n"/>
      <x:c r="AH90" s="100" t="n"/>
      <x:c r="AI90" s="100" t="n"/>
      <x:c r="AJ90" s="100" t="n"/>
      <x:c r="AL90" s="100" t="n"/>
      <x:c r="AN90" s="100" t="n"/>
      <x:c r="BC90" s="27" t="n">
        <x:v>-0.916666666666667</x:v>
      </x:c>
    </x:row>
    <x:row r="91" s="27" customFormat="1">
      <x:c r="A91" s="38" t="n"/>
      <x:c r="B91" s="37" t="n"/>
      <x:c r="C91" s="86" t="n">
        <x:f>E91*D$5</x:f>
        <x:v>-40</x:v>
      </x:c>
      <x:c r="D91" s="416" t="inlineStr">
        <x:is>
          <x:t xml:space="preserve">Floyd W. Atha and Nancy D. Atha, HW</x:t>
        </x:is>
      </x:c>
      <x:c r="E91" s="413" t="n">
        <x:f>SUM(G91:HS91)</x:f>
        <x:v>-1</x:v>
      </x:c>
      <x:c r="F91" s="35" t="inlineStr">
        <x:is>
          <x:t xml:space="preserve"/>
        </x:is>
      </x:c>
      <x:c r="G91" s="121" t="n"/>
      <x:c r="Q91" s="100" t="n"/>
      <x:c r="R91" s="100" t="n"/>
      <x:c r="AD91" s="100" t="n"/>
      <x:c r="AE91" s="100" t="n"/>
      <x:c r="AF91" s="100" t="n"/>
      <x:c r="AG91" s="100" t="n"/>
      <x:c r="AH91" s="100" t="n"/>
      <x:c r="AI91" s="100" t="n"/>
      <x:c r="AJ91" s="100" t="n"/>
      <x:c r="AL91" s="100" t="n"/>
      <x:c r="AN91" s="100" t="n"/>
      <x:c r="BD91" s="27" t="n">
        <x:v>-1</x:v>
      </x:c>
    </x:row>
    <x:row r="92" s="27" customFormat="1" ht="24" customHeight="1">
      <x:c r="A92" s="38" t="n"/>
      <x:c r="B92" s="37" t="n"/>
      <x:c r="C92" s="36" t="n">
        <x:f>E92*D$5</x:f>
        <x:v>40</x:v>
      </x:c>
      <x:c r="D92" s="66" t="inlineStr">
        <x:is>
          <x:t xml:space="preserve">Floyd Atha and Nancy Atha, Co-Trustees of the Floyd Atha and Nancy Atha Revocable Trust Dated March 21st, 2007</x:t>
        </x:is>
      </x:c>
      <x:c r="E92" s="86" t="n">
        <x:f>SUM(G92:HS92)</x:f>
        <x:v>1</x:v>
      </x:c>
      <x:c r="F92" s="35" t="inlineStr">
        <x:is>
          <x:t xml:space="preserve"/>
        </x:is>
      </x:c>
      <x:c r="G92" s="121" t="n"/>
      <x:c r="Q92" s="100" t="n"/>
      <x:c r="R92" s="100" t="n"/>
      <x:c r="AD92" s="100" t="n"/>
      <x:c r="AE92" s="100" t="n"/>
      <x:c r="AF92" s="100" t="n"/>
      <x:c r="AG92" s="100" t="n"/>
      <x:c r="AH92" s="100" t="n"/>
      <x:c r="AI92" s="100" t="n"/>
      <x:c r="AJ92" s="100" t="n"/>
      <x:c r="AL92" s="100" t="n"/>
      <x:c r="AN92" s="100" t="n"/>
      <x:c r="BD92" s="27" t="n">
        <x:v>1</x:v>
      </x:c>
    </x:row>
    <x:row r="93" s="27" customFormat="1">
      <x:c r="A93" s="38" t="n"/>
      <x:c r="B93" s="37" t="n"/>
      <x:c r="C93" s="86" t="n">
        <x:f>E93*D$5</x:f>
        <x:v>-40</x:v>
      </x:c>
      <x:c r="D93" s="416" t="inlineStr">
        <x:is>
          <x:t xml:space="preserve">Richard Palmer and Glenda Palmer, HW</x:t>
        </x:is>
      </x:c>
      <x:c r="E93" s="413" t="n">
        <x:f>SUM(G93:HS93)</x:f>
        <x:v>-1</x:v>
      </x:c>
      <x:c r="F93" s="35" t="inlineStr">
        <x:is>
          <x:t xml:space="preserve"/>
        </x:is>
      </x:c>
      <x:c r="G93" s="121" t="n"/>
      <x:c r="Q93" s="100" t="n"/>
      <x:c r="R93" s="100" t="n"/>
      <x:c r="AD93" s="100" t="n"/>
      <x:c r="AE93" s="100" t="n"/>
      <x:c r="AF93" s="100" t="n"/>
      <x:c r="AG93" s="100" t="n"/>
      <x:c r="AH93" s="100" t="n"/>
      <x:c r="AI93" s="100" t="n"/>
      <x:c r="AJ93" s="100" t="n"/>
      <x:c r="AL93" s="100" t="n"/>
      <x:c r="AN93" s="100" t="n"/>
      <x:c r="BE93" s="27" t="n">
        <x:v>-1</x:v>
      </x:c>
    </x:row>
    <x:row r="94" s="27" customFormat="1" ht="24" customHeight="1">
      <x:c r="A94" s="38" t="n"/>
      <x:c r="B94" s="37" t="n"/>
      <x:c r="C94" s="36" t="n">
        <x:f>E94*D$5</x:f>
        <x:v>26.66666666666664</x:v>
      </x:c>
      <x:c r="D94" s="66" t="inlineStr">
        <x:is>
          <x:t xml:space="preserve">Glenda Ann Palmer and Richard Royce Palmer, as Trustees of The Palmer Family Trust, u/t/a dated November 19, 2010</x:t>
        </x:is>
      </x:c>
      <x:c r="E94" s="36" t="n">
        <x:f>SUM(G94:HS94)</x:f>
        <x:v>0.666666666666666</x:v>
      </x:c>
      <x:c r="F94" s="35" t="inlineStr">
        <x:is>
          <x:t xml:space="preserve"/>
        </x:is>
      </x:c>
      <x:c r="G94" s="121" t="n"/>
      <x:c r="Q94" s="100" t="n"/>
      <x:c r="R94" s="100" t="n"/>
      <x:c r="AD94" s="100" t="n"/>
      <x:c r="AE94" s="100" t="n"/>
      <x:c r="AF94" s="100" t="n"/>
      <x:c r="AG94" s="100" t="n"/>
      <x:c r="AH94" s="100" t="n"/>
      <x:c r="AI94" s="100" t="n"/>
      <x:c r="AJ94" s="100" t="n"/>
      <x:c r="AL94" s="100" t="n"/>
      <x:c r="AN94" s="100" t="n"/>
      <x:c r="BE94" s="27" t="n">
        <x:v>0.333333333333333</x:v>
      </x:c>
      <x:c r="BF94" s="27" t="n">
        <x:v>0.333333333333333</x:v>
      </x:c>
    </x:row>
    <x:row r="95" s="27" customFormat="1" ht="36" customHeight="1">
      <x:c r="A95" s="38" t="n"/>
      <x:c r="B95" s="37" t="n"/>
      <x:c r="C95" s="36" t="n">
        <x:f>E95*D$5</x:f>
        <x:v>26.66666666666664</x:v>
      </x:c>
      <x:c r="D95" s="374" t="inlineStr">
        <x:is>
          <x:t xml:space="preserve">Shonna Arlene Mitchel, as Trustee of the Jack D. Mitchel and Shonna A. Mitchel Family Trust, u/t/a dated September 13, 1990</x:t>
        </x:is>
      </x:c>
      <x:c r="E95" s="36" t="n">
        <x:f>SUM(G95:HS95)</x:f>
        <x:v>0.666666666666666</x:v>
      </x:c>
      <x:c r="F95" s="35" t="inlineStr">
        <x:is>
          <x:t xml:space="preserve"/>
        </x:is>
      </x:c>
      <x:c r="G95" s="121" t="n"/>
      <x:c r="Q95" s="100" t="n"/>
      <x:c r="R95" s="100" t="n"/>
      <x:c r="AD95" s="100" t="n"/>
      <x:c r="AE95" s="100" t="n"/>
      <x:c r="AF95" s="100" t="n"/>
      <x:c r="AG95" s="100" t="n"/>
      <x:c r="AH95" s="100" t="n"/>
      <x:c r="AI95" s="100" t="n"/>
      <x:c r="AJ95" s="100" t="n"/>
      <x:c r="AL95" s="100" t="n"/>
      <x:c r="AN95" s="100" t="n"/>
      <x:c r="BE95" s="27" t="n">
        <x:v>0.333333333333333</x:v>
      </x:c>
      <x:c r="BF95" s="27" t="n">
        <x:v>0.333333333333333</x:v>
      </x:c>
    </x:row>
    <x:row r="96" s="27" customFormat="1">
      <x:c r="A96" s="38" t="n"/>
      <x:c r="B96" s="37" t="n"/>
      <x:c r="C96" s="36" t="n">
        <x:f>E96*D$5</x:f>
        <x:v>26.66666666666664</x:v>
      </x:c>
      <x:c r="D96" s="66" t="inlineStr">
        <x:is>
          <x:t xml:space="preserve">Shanti Jonathan Mitchel</x:t>
        </x:is>
      </x:c>
      <x:c r="E96" s="36" t="n">
        <x:f>SUM(G96:HS96)</x:f>
        <x:v>0.666666666666666</x:v>
      </x:c>
      <x:c r="F96" s="35" t="inlineStr">
        <x:is>
          <x:t xml:space="preserve"/>
        </x:is>
      </x:c>
      <x:c r="G96" s="121" t="n"/>
      <x:c r="Q96" s="100" t="n"/>
      <x:c r="R96" s="100" t="n"/>
      <x:c r="AD96" s="100" t="n"/>
      <x:c r="AE96" s="100" t="n"/>
      <x:c r="AF96" s="100" t="n"/>
      <x:c r="AG96" s="100" t="n"/>
      <x:c r="AH96" s="100" t="n"/>
      <x:c r="AI96" s="100" t="n"/>
      <x:c r="AJ96" s="100" t="n"/>
      <x:c r="AL96" s="100" t="n"/>
      <x:c r="AN96" s="100" t="n"/>
      <x:c r="BE96" s="27" t="n">
        <x:v>0.333333333333333</x:v>
      </x:c>
      <x:c r="BF96" s="27" t="n">
        <x:v>0.333333333333333</x:v>
      </x:c>
    </x:row>
    <x:row r="97" s="27" customFormat="1" ht="24" customHeight="1">
      <x:c r="A97" s="38" t="n"/>
      <x:c r="B97" s="37" t="n"/>
      <x:c r="C97" s="36" t="n">
        <x:f>E97*D$5</x:f>
        <x:v>-40</x:v>
      </x:c>
      <x:c r="D97" s="412" t="inlineStr">
        <x:is>
          <x:t xml:space="preserve">Glenda Ann Palmer, as Trustee of the Glenn Douglas Mitchel and Hazel Pearl Mitchel Trust</x:t>
        </x:is>
      </x:c>
      <x:c r="E97" s="411" t="n">
        <x:f>SUM(G97:HS97)</x:f>
        <x:v>-1</x:v>
      </x:c>
      <x:c r="F97" s="35" t="inlineStr">
        <x:is>
          <x:t xml:space="preserve"/>
        </x:is>
      </x:c>
      <x:c r="G97" s="121" t="n"/>
      <x:c r="Q97" s="100" t="n"/>
      <x:c r="R97" s="100" t="n"/>
      <x:c r="AD97" s="100" t="n"/>
      <x:c r="AE97" s="100" t="n"/>
      <x:c r="AF97" s="100" t="n"/>
      <x:c r="AG97" s="100" t="n"/>
      <x:c r="AH97" s="100" t="n"/>
      <x:c r="AI97" s="100" t="n"/>
      <x:c r="AJ97" s="100" t="n"/>
      <x:c r="AL97" s="100" t="n"/>
      <x:c r="AN97" s="100" t="n"/>
      <x:c r="BF97" s="27" t="n">
        <x:v>-1</x:v>
      </x:c>
    </x:row>
    <x:row r="98" s="27" customFormat="1" ht="24" customHeight="1">
      <x:c r="A98" s="38" t="n"/>
      <x:c r="B98" s="37" t="n"/>
      <x:c r="C98" s="36" t="n">
        <x:f>E98*D$5</x:f>
        <x:v>-40</x:v>
      </x:c>
      <x:c r="D98" s="412" t="inlineStr">
        <x:is>
          <x:t xml:space="preserve">Shonna Mitchel, same person as Shonna A. Mitchel and as Shonna Arlene Mitchel, single person</x:t>
        </x:is>
      </x:c>
      <x:c r="E98" s="411" t="n">
        <x:f>SUM(G98:HS98)</x:f>
        <x:v>-1</x:v>
      </x:c>
      <x:c r="F98" s="35" t="inlineStr">
        <x:is>
          <x:t xml:space="preserve"/>
        </x:is>
      </x:c>
      <x:c r="G98" s="121" t="n"/>
      <x:c r="Q98" s="100" t="n"/>
      <x:c r="R98" s="100" t="n"/>
      <x:c r="AD98" s="100" t="n"/>
      <x:c r="AE98" s="100" t="n"/>
      <x:c r="AF98" s="100" t="n"/>
      <x:c r="AG98" s="100" t="n"/>
      <x:c r="AH98" s="100" t="n"/>
      <x:c r="AI98" s="100" t="n"/>
      <x:c r="AJ98" s="100" t="n"/>
      <x:c r="AL98" s="100" t="n"/>
      <x:c r="AN98" s="100" t="n"/>
      <x:c r="BG98" s="27" t="n">
        <x:v>-1</x:v>
      </x:c>
    </x:row>
    <x:row r="99" s="27" customFormat="1">
      <x:c r="A99" s="38" t="n"/>
      <x:c r="B99" s="37" t="n"/>
      <x:c r="C99" s="36" t="n">
        <x:f>E99*D$5</x:f>
        <x:v>0</x:v>
      </x:c>
      <x:c r="D99" s="20" t="n"/>
      <x:c r="E99" s="36" t="n">
        <x:f>SUM(G99:HS99)</x:f>
        <x:v>0</x:v>
      </x:c>
      <x:c r="F99" s="35" t="inlineStr">
        <x:is>
          <x:t xml:space="preserve"/>
        </x:is>
      </x:c>
      <x:c r="G99" s="121" t="n"/>
      <x:c r="Q99" s="100" t="n"/>
      <x:c r="R99" s="100" t="n"/>
      <x:c r="AD99" s="100" t="n"/>
      <x:c r="AE99" s="100" t="n"/>
      <x:c r="AF99" s="100" t="n"/>
      <x:c r="AG99" s="100" t="n"/>
      <x:c r="AH99" s="100" t="n"/>
      <x:c r="AI99" s="100" t="n"/>
      <x:c r="AJ99" s="100" t="n"/>
      <x:c r="AL99" s="100" t="n"/>
      <x:c r="AN99" s="100" t="n"/>
    </x:row>
    <x:row r="100" s="27" customFormat="1">
      <x:c r="A100" s="38" t="n"/>
      <x:c r="B100" s="37" t="n"/>
      <x:c r="C100" s="36" t="n">
        <x:f>E100*D$5</x:f>
        <x:v>0</x:v>
      </x:c>
      <x:c r="D100" s="20" t="n"/>
      <x:c r="E100" s="36" t="n">
        <x:f>SUM(G100:HS100)</x:f>
        <x:v>0</x:v>
      </x:c>
      <x:c r="F100" s="35" t="inlineStr">
        <x:is>
          <x:t xml:space="preserve"/>
        </x:is>
      </x:c>
      <x:c r="G100" s="121" t="n"/>
      <x:c r="Q100" s="100" t="n"/>
      <x:c r="R100" s="100" t="n"/>
      <x:c r="AD100" s="100" t="n"/>
      <x:c r="AE100" s="100" t="n"/>
      <x:c r="AF100" s="100" t="n"/>
      <x:c r="AG100" s="100" t="n"/>
      <x:c r="AH100" s="100" t="n"/>
      <x:c r="AI100" s="100" t="n"/>
      <x:c r="AJ100" s="100" t="n"/>
      <x:c r="AL100" s="100" t="n"/>
      <x:c r="AN100" s="100" t="n"/>
    </x:row>
    <x:row r="101" s="27" customFormat="1" ht="38.25" customHeight="1">
      <x:c r="A101" s="38" t="n"/>
      <x:c r="B101" s="37" t="n"/>
      <x:c r="C101" s="36" t="n">
        <x:f>E101*D$5</x:f>
        <x:v>40</x:v>
      </x:c>
      <x:c r="D101" s="20" t="inlineStr">
        <x:is>
          <x:t xml:space="preserve">Shonna Arlene Mitchel, same person as Shonna A. Mitchel, as Trustee of The Jack D. Mitchel and Shonna A. Mitchel Family Trust, u/t/a dated September 13, 1990</x:t>
        </x:is>
      </x:c>
      <x:c r="E101" s="36" t="n">
        <x:f>SUM(G101:HS101)</x:f>
        <x:v>1</x:v>
      </x:c>
      <x:c r="F101" s="35" t="inlineStr">
        <x:is>
          <x:t xml:space="preserve"/>
        </x:is>
      </x:c>
      <x:c r="G101" s="121" t="n"/>
      <x:c r="Q101" s="100" t="n"/>
      <x:c r="R101" s="100" t="n"/>
      <x:c r="AD101" s="100" t="n"/>
      <x:c r="AE101" s="100" t="n"/>
      <x:c r="AF101" s="100" t="n"/>
      <x:c r="AG101" s="100" t="n"/>
      <x:c r="AH101" s="100" t="n"/>
      <x:c r="AI101" s="100" t="n"/>
      <x:c r="AJ101" s="100" t="n"/>
      <x:c r="AL101" s="100" t="n"/>
      <x:c r="AN101" s="100" t="n"/>
      <x:c r="BG101" s="27" t="n">
        <x:v>1</x:v>
      </x:c>
    </x:row>
    <x:row r="102" s="27" customFormat="1">
      <x:c r="A102" s="38" t="n"/>
      <x:c r="B102" s="37" t="n"/>
      <x:c r="C102" s="36" t="n">
        <x:f>E102*D$5</x:f>
        <x:v>13.281461129291065</x:v>
      </x:c>
      <x:c r="D102" s="20" t="inlineStr">
        <x:is>
          <x:t xml:space="preserve">Myron V. Slobin</x:t>
        </x:is>
      </x:c>
      <x:c r="E102" s="36" t="n">
        <x:f>SUM(G102:HS102)</x:f>
        <x:v>0.33203652823227664</x:v>
      </x:c>
      <x:c r="F102" s="35" t="inlineStr">
        <x:is>
          <x:t xml:space="preserve"/>
        </x:is>
      </x:c>
      <x:c r="G102" s="121" t="n"/>
      <x:c r="Q102" s="100" t="n"/>
      <x:c r="R102" s="100" t="n"/>
      <x:c r="AD102" s="100" t="n"/>
      <x:c r="AE102" s="100" t="n"/>
      <x:c r="AF102" s="100" t="n"/>
      <x:c r="AG102" s="100" t="n"/>
      <x:c r="AH102" s="100" t="n"/>
      <x:c r="AI102" s="100" t="n"/>
      <x:c r="AJ102" s="100" t="n"/>
      <x:c r="AL102" s="100" t="n"/>
      <x:c r="AN102" s="100" t="n"/>
      <x:c r="BH102" s="27" t="n">
        <x:v>-0.00126347176772335</x:v>
      </x:c>
      <x:c r="BI102" s="27" t="n">
        <x:v>0.3333</x:v>
      </x:c>
    </x:row>
    <x:row r="103" s="27" customFormat="1">
      <x:c r="A103" s="38" t="n"/>
      <x:c r="B103" s="37" t="n"/>
      <x:c r="C103" s="36" t="n">
        <x:f>E103*D$5</x:f>
        <x:v>0.050538870708933994</x:v>
      </x:c>
      <x:c r="D103" s="20" t="inlineStr">
        <x:is>
          <x:t xml:space="preserve">Brian Herman Kortright</x:t>
        </x:is>
      </x:c>
      <x:c r="E103" s="36" t="n">
        <x:f>SUM(G103:HS103)</x:f>
        <x:v>0.00126347176772335</x:v>
      </x:c>
      <x:c r="F103" s="35" t="inlineStr">
        <x:is>
          <x:t xml:space="preserve"/>
        </x:is>
      </x:c>
      <x:c r="G103" s="121" t="n"/>
      <x:c r="Q103" s="100" t="n"/>
      <x:c r="R103" s="100" t="n"/>
      <x:c r="AD103" s="100" t="n"/>
      <x:c r="AE103" s="100" t="n"/>
      <x:c r="AF103" s="100" t="n"/>
      <x:c r="AG103" s="100" t="n"/>
      <x:c r="AH103" s="100" t="n"/>
      <x:c r="AI103" s="100" t="n"/>
      <x:c r="AJ103" s="100" t="n"/>
      <x:c r="AL103" s="100" t="n"/>
      <x:c r="AN103" s="100" t="n"/>
      <x:c r="BH103" s="27" t="n">
        <x:v>0.00126347176772335</x:v>
      </x:c>
    </x:row>
    <x:row r="104" s="27" customFormat="1" ht="51" customHeight="1">
      <x:c r="A104" s="38" t="n"/>
      <x:c r="B104" s="37" t="n"/>
      <x:c r="C104" s="36" t="n">
        <x:f>E104*D$5</x:f>
        <x:v>-40</x:v>
      </x:c>
      <x:c r="D104" s="419" t="inlineStr">
        <x:is>
          <x:t xml:space="preserve">OK Oil Ventures an unincorporated partnership comprising Gregory J. Winneke, Myron V. Slobin and the heirs of Lyle T. Ibeling, being: Michelle L Ibeling, Janelle Ibeling Ness, Joel R. Ibeling and Cassandra M. Wynia</x:t>
        </x:is>
      </x:c>
      <x:c r="E104" s="411" t="n">
        <x:f>SUM(G104:HS104)</x:f>
        <x:v>-1</x:v>
      </x:c>
      <x:c r="F104" s="35" t="inlineStr">
        <x:is>
          <x:t xml:space="preserve"/>
        </x:is>
      </x:c>
      <x:c r="G104" s="121" t="n"/>
      <x:c r="Q104" s="100" t="n"/>
      <x:c r="R104" s="100" t="n"/>
      <x:c r="AD104" s="100" t="n"/>
      <x:c r="AE104" s="100" t="n"/>
      <x:c r="AF104" s="100" t="n"/>
      <x:c r="AG104" s="100" t="n"/>
      <x:c r="AH104" s="100" t="n"/>
      <x:c r="AI104" s="100" t="n"/>
      <x:c r="AJ104" s="100" t="n"/>
      <x:c r="AL104" s="100" t="n"/>
      <x:c r="AN104" s="100" t="n"/>
      <x:c r="BI104" s="27" t="n">
        <x:v>-1</x:v>
      </x:c>
    </x:row>
    <x:row r="105" s="27" customFormat="1">
      <x:c r="A105" s="38" t="n"/>
      <x:c r="B105" s="37" t="n"/>
      <x:c r="C105" s="36" t="n">
        <x:f>E105*D$5</x:f>
        <x:v>13.331999999999999</x:v>
      </x:c>
      <x:c r="D105" s="335" t="inlineStr">
        <x:is>
          <x:t xml:space="preserve">Gregory J. Winneke</x:t>
        </x:is>
      </x:c>
      <x:c r="E105" s="36" t="n">
        <x:f>SUM(G105:HS105)</x:f>
        <x:v>0.3333</x:v>
      </x:c>
      <x:c r="F105" s="35" t="inlineStr">
        <x:is>
          <x:t xml:space="preserve"/>
        </x:is>
      </x:c>
      <x:c r="G105" s="121" t="n"/>
      <x:c r="Q105" s="100" t="n"/>
      <x:c r="R105" s="100" t="n"/>
      <x:c r="AD105" s="100" t="n"/>
      <x:c r="AE105" s="100" t="n"/>
      <x:c r="AF105" s="100" t="n"/>
      <x:c r="AG105" s="100" t="n"/>
      <x:c r="AH105" s="100" t="n"/>
      <x:c r="AI105" s="100" t="n"/>
      <x:c r="AJ105" s="100" t="n"/>
      <x:c r="AL105" s="100" t="n"/>
      <x:c r="AN105" s="100" t="n"/>
      <x:c r="BI105" s="27" t="n">
        <x:v>0.3333</x:v>
      </x:c>
    </x:row>
    <x:row r="106" s="27" customFormat="1">
      <x:c r="A106" s="38" t="n"/>
      <x:c r="B106" s="37" t="n"/>
      <x:c r="C106" s="36" t="n">
        <x:f>E106*D$5</x:f>
        <x:v>13.335999999999999</x:v>
      </x:c>
      <x:c r="D106" s="20" t="inlineStr">
        <x:is>
          <x:t xml:space="preserve">Confirm — Grantee allocation gap 2012-004060</x:t>
        </x:is>
      </x:c>
      <x:c r="E106" s="36" t="n">
        <x:f>SUM(G106:HS106)</x:f>
        <x:v>0.3334</x:v>
      </x:c>
      <x:c r="F106" s="35" t="inlineStr">
        <x:is>
          <x:t xml:space="preserve"/>
        </x:is>
      </x:c>
      <x:c r="G106" s="121" t="n"/>
      <x:c r="Q106" s="100" t="n"/>
      <x:c r="R106" s="100" t="n"/>
      <x:c r="AD106" s="100" t="n"/>
      <x:c r="AE106" s="100" t="n"/>
      <x:c r="AF106" s="100" t="n"/>
      <x:c r="AG106" s="100" t="n"/>
      <x:c r="AH106" s="100" t="n"/>
      <x:c r="AI106" s="100" t="n"/>
      <x:c r="AJ106" s="100" t="n"/>
      <x:c r="AL106" s="100" t="n"/>
      <x:c r="AN106" s="100" t="n"/>
      <x:c r="BI106" s="27" t="n">
        <x:v>0.3334</x:v>
      </x:c>
    </x:row>
    <x:row r="107" s="27" customFormat="1" ht="38.25" customHeight="1">
      <x:c r="A107" s="38" t="n"/>
      <x:c r="B107" s="37" t="n"/>
      <x:c r="C107" s="36" t="n">
        <x:f>E107*D$5</x:f>
        <x:v>-40</x:v>
      </x:c>
      <x:c r="D107" s="419" t="inlineStr">
        <x:is>
          <x:t xml:space="preserve">Kiowa County Court, RE: In the Matter of the Probate of The Last Will and Testament of Nancy Mitchell WILLIAMS, Deceased</x:t>
        </x:is>
      </x:c>
      <x:c r="E107" s="411" t="n">
        <x:f>SUM(G107:HS107)</x:f>
        <x:v>-1</x:v>
      </x:c>
      <x:c r="F107" s="35" t="inlineStr">
        <x:is>
          <x:t xml:space="preserve"/>
        </x:is>
      </x:c>
      <x:c r="G107" s="121" t="n"/>
      <x:c r="Q107" s="100" t="n"/>
      <x:c r="R107" s="100" t="n"/>
      <x:c r="AD107" s="100" t="n"/>
      <x:c r="AE107" s="100" t="n"/>
      <x:c r="AF107" s="100" t="n"/>
      <x:c r="AG107" s="100" t="n"/>
      <x:c r="AH107" s="100" t="n"/>
      <x:c r="AI107" s="100" t="n"/>
      <x:c r="AJ107" s="100" t="n"/>
      <x:c r="AL107" s="100" t="n"/>
      <x:c r="AN107" s="100" t="n"/>
      <x:c r="BJ107" s="27" t="n">
        <x:v>-1</x:v>
      </x:c>
    </x:row>
    <x:row r="108" s="27" customFormat="1">
      <x:c r="A108" s="38" t="n"/>
      <x:c r="B108" s="37" t="n"/>
      <x:c r="C108" s="36" t="n">
        <x:f>E108*D$5</x:f>
        <x:v>40</x:v>
      </x:c>
      <x:c r="D108" s="20" t="inlineStr">
        <x:is>
          <x:t xml:space="preserve">Gene G. Williams</x:t>
        </x:is>
      </x:c>
      <x:c r="E108" s="36" t="n">
        <x:f>SUM(G108:HS108)</x:f>
        <x:v>1</x:v>
      </x:c>
      <x:c r="F108" s="35" t="inlineStr">
        <x:is>
          <x:t xml:space="preserve"/>
        </x:is>
      </x:c>
      <x:c r="G108" s="121" t="n"/>
      <x:c r="Q108" s="100" t="n"/>
      <x:c r="R108" s="100" t="n"/>
      <x:c r="AD108" s="100" t="n"/>
      <x:c r="AE108" s="100" t="n"/>
      <x:c r="AF108" s="100" t="n"/>
      <x:c r="AG108" s="100" t="n"/>
      <x:c r="AH108" s="100" t="n"/>
      <x:c r="AI108" s="100" t="n"/>
      <x:c r="AJ108" s="100" t="n"/>
      <x:c r="AL108" s="100" t="n"/>
      <x:c r="AN108" s="100" t="n"/>
      <x:c r="BJ108" s="27" t="n">
        <x:v>1</x:v>
      </x:c>
    </x:row>
    <x:row r="109" s="27" customFormat="1">
      <x:c r="A109" s="38" t="n"/>
      <x:c r="B109" s="37" t="n"/>
      <x:c r="C109" s="36" t="n">
        <x:f>E109*D$5</x:f>
        <x:v>-16.92307692307692</x:v>
      </x:c>
      <x:c r="D109" s="419" t="inlineStr">
        <x:is>
          <x:t xml:space="preserve">Luther Ervin Thurman and Veronica Gentry Thurman, HW</x:t>
        </x:is>
      </x:c>
      <x:c r="E109" s="411" t="n">
        <x:f>SUM(G109:HS109)</x:f>
        <x:v>-0.423076923076923</x:v>
      </x:c>
      <x:c r="F109" s="35" t="inlineStr">
        <x:is>
          <x:t xml:space="preserve"/>
        </x:is>
      </x:c>
      <x:c r="G109" s="121" t="n"/>
      <x:c r="Q109" s="100" t="n"/>
      <x:c r="R109" s="100" t="n"/>
      <x:c r="AD109" s="100" t="n"/>
      <x:c r="AE109" s="100" t="n"/>
      <x:c r="AF109" s="100" t="n"/>
      <x:c r="AG109" s="100" t="n"/>
      <x:c r="AH109" s="100" t="n"/>
      <x:c r="AI109" s="100" t="n"/>
      <x:c r="AJ109" s="100" t="n"/>
      <x:c r="AL109" s="100" t="n"/>
      <x:c r="AN109" s="100" t="n"/>
      <x:c r="BK109" s="27" t="n">
        <x:v>-0.423076923076923</x:v>
      </x:c>
    </x:row>
    <x:row r="110" s="27" customFormat="1" ht="51" customHeight="1">
      <x:c r="A110" s="38" t="n"/>
      <x:c r="B110" s="37" t="n"/>
      <x:c r="C110" s="36" t="n">
        <x:f>E110*D$5</x:f>
        <x:v>16.92307692307692</x:v>
      </x:c>
      <x:c r="D110" s="20" t="inlineStr">
        <x:is>
          <x:t xml:space="preserve">Luther Ervin Thurman and Veronica Gentry Thurman, Trustees or their successors in Trust under the Luther and Veronica Thurman Living Trust, a Revocable Trust, dated April 17, 2014, and any amendments thereto</x:t>
        </x:is>
      </x:c>
      <x:c r="E110" s="36" t="n">
        <x:f>SUM(G110:HS110)</x:f>
        <x:v>0.423076923076923</x:v>
      </x:c>
      <x:c r="F110" s="35" t="inlineStr">
        <x:is>
          <x:t xml:space="preserve"/>
        </x:is>
      </x:c>
      <x:c r="G110" s="121" t="n"/>
      <x:c r="Q110" s="100" t="n"/>
      <x:c r="R110" s="100" t="n"/>
      <x:c r="AD110" s="100" t="n"/>
      <x:c r="AE110" s="100" t="n"/>
      <x:c r="AF110" s="100" t="n"/>
      <x:c r="AG110" s="100" t="n"/>
      <x:c r="AH110" s="100" t="n"/>
      <x:c r="AI110" s="100" t="n"/>
      <x:c r="AJ110" s="100" t="n"/>
      <x:c r="AL110" s="100" t="n"/>
      <x:c r="AN110" s="100" t="n"/>
      <x:c r="BK110" s="27" t="n">
        <x:v>0.423076923076923</x:v>
      </x:c>
    </x:row>
    <x:row r="111" s="27" customFormat="1" ht="25.5" customHeight="1">
      <x:c r="A111" s="38" t="n"/>
      <x:c r="B111" s="37" t="n"/>
      <x:c r="C111" s="36" t="n">
        <x:f>E111*D$5</x:f>
        <x:v>-40</x:v>
      </x:c>
      <x:c r="D111" s="419" t="inlineStr">
        <x:is>
          <x:t xml:space="preserve">Joe Britton, same person as Joe H. Britton and Joe Harold Britton, Grantor, joined by his wife, Etta Britton</x:t>
        </x:is>
      </x:c>
      <x:c r="E111" s="411" t="n">
        <x:f>SUM(G111:HS111)</x:f>
        <x:v>-1</x:v>
      </x:c>
      <x:c r="F111" s="35" t="inlineStr">
        <x:is>
          <x:t xml:space="preserve"/>
        </x:is>
      </x:c>
      <x:c r="G111" s="121" t="n"/>
      <x:c r="Q111" s="100" t="n"/>
      <x:c r="R111" s="100" t="n"/>
      <x:c r="AD111" s="100" t="n"/>
      <x:c r="AE111" s="100" t="n"/>
      <x:c r="AF111" s="100" t="n"/>
      <x:c r="AG111" s="100" t="n"/>
      <x:c r="AH111" s="100" t="n"/>
      <x:c r="AI111" s="100" t="n"/>
      <x:c r="AJ111" s="100" t="n"/>
      <x:c r="AL111" s="100" t="n"/>
      <x:c r="AN111" s="100" t="n"/>
      <x:c r="BL111" s="27" t="n">
        <x:v>-1</x:v>
      </x:c>
    </x:row>
    <x:row r="112" s="27" customFormat="1">
      <x:c r="A112" s="38" t="n"/>
      <x:c r="B112" s="37" t="n"/>
      <x:c r="C112" s="36" t="n">
        <x:f>E112*D$5</x:f>
        <x:v>40</x:v>
      </x:c>
      <x:c r="D112" s="20" t="inlineStr">
        <x:is>
          <x:t xml:space="preserve">Linda C. Browning</x:t>
        </x:is>
      </x:c>
      <x:c r="E112" s="36" t="n">
        <x:f>SUM(G112:HS112)</x:f>
        <x:v>1</x:v>
      </x:c>
      <x:c r="F112" s="35" t="inlineStr">
        <x:is>
          <x:t xml:space="preserve"/>
        </x:is>
      </x:c>
      <x:c r="G112" s="121" t="n"/>
      <x:c r="Q112" s="100" t="n"/>
      <x:c r="R112" s="100" t="n"/>
      <x:c r="AD112" s="100" t="n"/>
      <x:c r="AE112" s="100" t="n"/>
      <x:c r="AF112" s="100" t="n"/>
      <x:c r="AG112" s="100" t="n"/>
      <x:c r="AH112" s="100" t="n"/>
      <x:c r="AI112" s="100" t="n"/>
      <x:c r="AJ112" s="100" t="n"/>
      <x:c r="AL112" s="100" t="n"/>
      <x:c r="AN112" s="100" t="n"/>
      <x:c r="BL112" s="27" t="n">
        <x:v>1</x:v>
      </x:c>
    </x:row>
    <x:row r="113" s="27" customFormat="1" ht="38.25" customHeight="1">
      <x:c r="A113" s="38" t="n"/>
      <x:c r="B113" s="37" t="n"/>
      <x:c r="C113" s="36" t="n">
        <x:f>E113*D$5</x:f>
        <x:v>-40</x:v>
      </x:c>
      <x:c r="D113" s="419" t="inlineStr">
        <x:is>
          <x:t xml:space="preserve">Cindy Lou Vignal, Trustee under the Luther and Veronica Thurman Living Trust, a Revocable Trust, dated April 17, 2014</x:t>
        </x:is>
      </x:c>
      <x:c r="E113" s="411" t="n">
        <x:f>SUM(G113:HS113)</x:f>
        <x:v>-1</x:v>
      </x:c>
      <x:c r="F113" s="35" t="inlineStr">
        <x:is>
          <x:t xml:space="preserve"/>
        </x:is>
      </x:c>
      <x:c r="G113" s="121" t="n"/>
      <x:c r="Q113" s="100" t="n"/>
      <x:c r="R113" s="100" t="n"/>
      <x:c r="AD113" s="100" t="n"/>
      <x:c r="AE113" s="100" t="n"/>
      <x:c r="AF113" s="100" t="n"/>
      <x:c r="AG113" s="100" t="n"/>
      <x:c r="AH113" s="100" t="n"/>
      <x:c r="AI113" s="100" t="n"/>
      <x:c r="AJ113" s="100" t="n"/>
      <x:c r="AL113" s="100" t="n"/>
      <x:c r="AN113" s="100" t="n"/>
      <x:c r="BM113" s="27" t="n">
        <x:v>-1</x:v>
      </x:c>
    </x:row>
    <x:row r="114" s="27" customFormat="1" ht="63.75" customHeight="1">
      <x:c r="A114" s="38" t="n"/>
      <x:c r="B114" s="37" t="n"/>
      <x:c r="C114" s="36" t="n">
        <x:f>E114*D$5</x:f>
        <x:v>40</x:v>
      </x:c>
      <x:c r="D114" s="20" t="inlineStr">
        <x:is>
          <x:t xml:space="preserve">Gary Wayne Vignal and Cindy Lou Vignal, Co-Trustees or their successors in Trust under the Gary and Cindy Vignal Living Trust, a Revocable Trust, dated September 20, 2018, and any amendments thereto 11598 N. 1800 Road Sayre, OK 73662</x:t>
        </x:is>
      </x:c>
      <x:c r="E114" s="36" t="n">
        <x:f>SUM(G114:HS114)</x:f>
        <x:v>1</x:v>
      </x:c>
      <x:c r="F114" s="35" t="inlineStr">
        <x:is>
          <x:t xml:space="preserve"/>
        </x:is>
      </x:c>
      <x:c r="G114" s="121" t="n"/>
      <x:c r="Q114" s="100" t="n"/>
      <x:c r="R114" s="100" t="n"/>
      <x:c r="AD114" s="100" t="n"/>
      <x:c r="AE114" s="100" t="n"/>
      <x:c r="AF114" s="100" t="n"/>
      <x:c r="AG114" s="100" t="n"/>
      <x:c r="AH114" s="100" t="n"/>
      <x:c r="AI114" s="100" t="n"/>
      <x:c r="AJ114" s="100" t="n"/>
      <x:c r="AL114" s="100" t="n"/>
      <x:c r="AN114" s="100" t="n"/>
      <x:c r="BM114" s="27" t="n">
        <x:v>1</x:v>
      </x:c>
    </x:row>
    <x:row r="115" s="27" customFormat="1" ht="25.5" customHeight="1">
      <x:c r="A115" s="38" t="n"/>
      <x:c r="B115" s="37" t="n"/>
      <x:c r="C115" s="36" t="n">
        <x:f>E115*D$5</x:f>
        <x:v>-40</x:v>
      </x:c>
      <x:c r="D115" s="419" t="inlineStr">
        <x:is>
          <x:t xml:space="preserve">Roger Mills County Court RE: In the Matter of the Estate of Audy C. Campbella/k/a A.C. CAMPBELL, Deceased</x:t>
        </x:is>
      </x:c>
      <x:c r="E115" s="411" t="n">
        <x:f>SUM(G115:HS115)</x:f>
        <x:v>-1</x:v>
      </x:c>
      <x:c r="F115" s="35" t="inlineStr">
        <x:is>
          <x:t xml:space="preserve"/>
        </x:is>
      </x:c>
      <x:c r="G115" s="121" t="n"/>
      <x:c r="Q115" s="100" t="n"/>
      <x:c r="R115" s="100" t="n"/>
      <x:c r="AD115" s="100" t="n"/>
      <x:c r="AE115" s="100" t="n"/>
      <x:c r="AF115" s="100" t="n"/>
      <x:c r="AG115" s="100" t="n"/>
      <x:c r="AH115" s="100" t="n"/>
      <x:c r="AI115" s="100" t="n"/>
      <x:c r="AJ115" s="100" t="n"/>
      <x:c r="AL115" s="100" t="n"/>
      <x:c r="AN115" s="100" t="n"/>
      <x:c r="BN115" s="27" t="n">
        <x:v>-1</x:v>
      </x:c>
    </x:row>
    <x:row r="116" s="27" customFormat="1">
      <x:c r="A116" s="38" t="n"/>
      <x:c r="B116" s="37" t="n"/>
      <x:c r="C116" s="36" t="n">
        <x:f>E116*D$5</x:f>
        <x:v>40</x:v>
      </x:c>
      <x:c r="D116" s="20" t="inlineStr">
        <x:is>
          <x:t xml:space="preserve">Janis F. Campbell</x:t>
        </x:is>
      </x:c>
      <x:c r="E116" s="36" t="n">
        <x:f>SUM(G116:HS116)</x:f>
        <x:v>1</x:v>
      </x:c>
      <x:c r="F116" s="35" t="inlineStr">
        <x:is>
          <x:t xml:space="preserve"/>
        </x:is>
      </x:c>
      <x:c r="G116" s="121" t="n"/>
      <x:c r="Q116" s="100" t="n"/>
      <x:c r="R116" s="100" t="n"/>
      <x:c r="AD116" s="100" t="n"/>
      <x:c r="AE116" s="100" t="n"/>
      <x:c r="AF116" s="100" t="n"/>
      <x:c r="AG116" s="100" t="n"/>
      <x:c r="AH116" s="100" t="n"/>
      <x:c r="AI116" s="100" t="n"/>
      <x:c r="AJ116" s="100" t="n"/>
      <x:c r="AL116" s="100" t="n"/>
      <x:c r="AN116" s="100" t="n"/>
      <x:c r="BN116" s="27" t="n">
        <x:v>1</x:v>
      </x:c>
    </x:row>
    <x:row r="117" s="27" customFormat="1">
      <x:c r="A117" s="38" t="n"/>
      <x:c r="B117" s="37" t="n"/>
      <x:c r="C117" s="36" t="n">
        <x:f>E117*D$5</x:f>
        <x:v>-40</x:v>
      </x:c>
      <x:c r="D117" s="419" t="inlineStr">
        <x:is>
          <x:t xml:space="preserve">Janis Fern Campbell</x:t>
        </x:is>
      </x:c>
      <x:c r="E117" s="411" t="n">
        <x:f>SUM(G117:HS117)</x:f>
        <x:v>-1</x:v>
      </x:c>
      <x:c r="F117" s="35" t="inlineStr">
        <x:is>
          <x:t xml:space="preserve"/>
        </x:is>
      </x:c>
      <x:c r="G117" s="121" t="n"/>
      <x:c r="Q117" s="100" t="n"/>
      <x:c r="R117" s="100" t="n"/>
      <x:c r="AD117" s="100" t="n"/>
      <x:c r="AE117" s="100" t="n"/>
      <x:c r="AF117" s="100" t="n"/>
      <x:c r="AG117" s="100" t="n"/>
      <x:c r="AH117" s="100" t="n"/>
      <x:c r="AI117" s="100" t="n"/>
      <x:c r="AJ117" s="100" t="n"/>
      <x:c r="AL117" s="100" t="n"/>
      <x:c r="AN117" s="100" t="n"/>
      <x:c r="BO117" s="27" t="n">
        <x:v>-1</x:v>
      </x:c>
    </x:row>
    <x:row r="118" s="27" customFormat="1">
      <x:c r="A118" s="38" t="n"/>
      <x:c r="B118" s="37" t="n"/>
      <x:c r="C118" s="36" t="n">
        <x:f>E118*D$5</x:f>
        <x:v>40</x:v>
      </x:c>
      <x:c r="D118" s="20" t="inlineStr">
        <x:is>
          <x:t xml:space="preserve">The Audy and Janis Campbell Family Trust</x:t>
        </x:is>
      </x:c>
      <x:c r="E118" s="36" t="n">
        <x:f>SUM(G118:HS118)</x:f>
        <x:v>1</x:v>
      </x:c>
      <x:c r="F118" s="35" t="inlineStr">
        <x:is>
          <x:t xml:space="preserve"/>
        </x:is>
      </x:c>
      <x:c r="G118" s="121" t="n"/>
      <x:c r="Q118" s="100" t="n"/>
      <x:c r="R118" s="100" t="n"/>
      <x:c r="AD118" s="100" t="n"/>
      <x:c r="AE118" s="100" t="n"/>
      <x:c r="AF118" s="100" t="n"/>
      <x:c r="AG118" s="100" t="n"/>
      <x:c r="AH118" s="100" t="n"/>
      <x:c r="AI118" s="100" t="n"/>
      <x:c r="AJ118" s="100" t="n"/>
      <x:c r="AL118" s="100" t="n"/>
      <x:c r="AN118" s="100" t="n"/>
      <x:c r="BO118" s="27" t="n">
        <x:v>1</x:v>
      </x:c>
    </x:row>
    <x:row r="119" s="27" customFormat="1">
      <x:c r="A119" s="38" t="n"/>
      <x:c r="B119" s="37" t="n"/>
      <x:c r="C119" s="36" t="n">
        <x:f>E119*D$5</x:f>
        <x:v>-40</x:v>
      </x:c>
      <x:c r="D119" s="420" t="inlineStr">
        <x:is>
          <x:t xml:space="preserve">Grizzly Operating, LLC, Vanguard Operating, LLC</x:t>
        </x:is>
      </x:c>
      <x:c r="E119" s="411" t="n">
        <x:f>SUM(G119:HS119)</x:f>
        <x:v>-1</x:v>
      </x:c>
      <x:c r="F119" s="35" t="inlineStr">
        <x:is>
          <x:t xml:space="preserve"/>
        </x:is>
      </x:c>
      <x:c r="G119" s="121" t="n"/>
      <x:c r="Q119" s="100" t="n"/>
      <x:c r="R119" s="100" t="n"/>
      <x:c r="AD119" s="100" t="n"/>
      <x:c r="AE119" s="100" t="n"/>
      <x:c r="AF119" s="100" t="n"/>
      <x:c r="AG119" s="100" t="n"/>
      <x:c r="AH119" s="100" t="n"/>
      <x:c r="AI119" s="100" t="n"/>
      <x:c r="AJ119" s="100" t="n"/>
      <x:c r="AL119" s="100" t="n"/>
      <x:c r="AN119" s="100" t="n"/>
      <x:c r="BP119" s="27" t="n">
        <x:v>-1</x:v>
      </x:c>
    </x:row>
    <x:row r="120" s="27" customFormat="1">
      <x:c r="A120" s="38" t="n"/>
      <x:c r="B120" s="37" t="n"/>
      <x:c r="C120" s="36" t="n">
        <x:f>E120*D$5</x:f>
        <x:v>40</x:v>
      </x:c>
      <x:c r="D120" s="20" t="inlineStr">
        <x:is>
          <x:t xml:space="preserve">Psi Lke, LLC</x:t>
        </x:is>
      </x:c>
      <x:c r="E120" s="36" t="n">
        <x:f>SUM(G120:HS120)</x:f>
        <x:v>1</x:v>
      </x:c>
      <x:c r="F120" s="35" t="inlineStr">
        <x:is>
          <x:t xml:space="preserve"/>
        </x:is>
      </x:c>
      <x:c r="G120" s="121" t="n"/>
      <x:c r="Q120" s="100" t="n"/>
      <x:c r="R120" s="100" t="n"/>
      <x:c r="AD120" s="100" t="n"/>
      <x:c r="AE120" s="100" t="n"/>
      <x:c r="AF120" s="100" t="n"/>
      <x:c r="AG120" s="100" t="n"/>
      <x:c r="AH120" s="100" t="n"/>
      <x:c r="AI120" s="100" t="n"/>
      <x:c r="AJ120" s="100" t="n"/>
      <x:c r="AL120" s="100" t="n"/>
      <x:c r="AN120" s="100" t="n"/>
      <x:c r="BP120" s="27" t="n">
        <x:v>1</x:v>
      </x:c>
    </x:row>
    <x:row r="121" s="27" customFormat="1">
      <x:c r="A121" s="38" t="n"/>
      <x:c r="B121" s="37" t="n"/>
      <x:c r="C121" s="36" t="n">
        <x:f>E121*D$5</x:f>
        <x:v>-40</x:v>
      </x:c>
      <x:c r="D121" s="419" t="inlineStr">
        <x:is>
          <x:t xml:space="preserve">Eleanore Wheeler aka Eleanor Wheeler, single</x:t>
        </x:is>
      </x:c>
      <x:c r="E121" s="411" t="n">
        <x:f>SUM(G121:HS121)</x:f>
        <x:v>-1</x:v>
      </x:c>
      <x:c r="F121" s="35" t="inlineStr">
        <x:is>
          <x:t xml:space="preserve"/>
        </x:is>
      </x:c>
      <x:c r="G121" s="121" t="n"/>
      <x:c r="Q121" s="100" t="n"/>
      <x:c r="R121" s="100" t="n"/>
      <x:c r="AD121" s="100" t="n"/>
      <x:c r="AE121" s="100" t="n"/>
      <x:c r="AF121" s="100" t="n"/>
      <x:c r="AG121" s="100" t="n"/>
      <x:c r="AH121" s="100" t="n"/>
      <x:c r="AI121" s="100" t="n"/>
      <x:c r="AJ121" s="100" t="n"/>
      <x:c r="AL121" s="100" t="n"/>
      <x:c r="AN121" s="100" t="n"/>
      <x:c r="BQ121" s="27" t="n">
        <x:v>-1</x:v>
      </x:c>
    </x:row>
    <x:row r="122" s="27" customFormat="1" ht="25.5" customHeight="1">
      <x:c r="A122" s="38" t="n"/>
      <x:c r="B122" s="37" t="n"/>
      <x:c r="C122" s="36" t="n">
        <x:f>E122*D$5</x:f>
        <x:v>40</x:v>
      </x:c>
      <x:c r="D122" s="20" t="inlineStr">
        <x:is>
          <x:t xml:space="preserve">Eleanore Wheeler and Shirley Wheeler, mother and daughter, JTWROS</x:t>
        </x:is>
      </x:c>
      <x:c r="E122" s="36" t="n">
        <x:f>SUM(G122:HS122)</x:f>
        <x:v>1</x:v>
      </x:c>
      <x:c r="F122" s="35" t="inlineStr">
        <x:is>
          <x:t xml:space="preserve"/>
        </x:is>
      </x:c>
      <x:c r="G122" s="121" t="n"/>
      <x:c r="Q122" s="100" t="n"/>
      <x:c r="R122" s="100" t="n"/>
      <x:c r="AD122" s="100" t="n"/>
      <x:c r="AE122" s="100" t="n"/>
      <x:c r="AF122" s="100" t="n"/>
      <x:c r="AG122" s="100" t="n"/>
      <x:c r="AH122" s="100" t="n"/>
      <x:c r="AI122" s="100" t="n"/>
      <x:c r="AJ122" s="100" t="n"/>
      <x:c r="AL122" s="100" t="n"/>
      <x:c r="AN122" s="100" t="n"/>
      <x:c r="BQ122" s="27" t="n">
        <x:v>1</x:v>
      </x:c>
    </x:row>
    <x:row r="123" s="27" customFormat="1">
      <x:c r="A123" s="38" t="n"/>
      <x:c r="B123" s="37" t="n"/>
      <x:c r="C123" s="36" t="n">
        <x:f>E123*D$5</x:f>
        <x:v>-40</x:v>
      </x:c>
      <x:c r="D123" s="419" t="inlineStr">
        <x:is>
          <x:t xml:space="preserve">Clint Roy Kirk</x:t>
        </x:is>
      </x:c>
      <x:c r="E123" s="411" t="n">
        <x:f>SUM(G123:HS123)</x:f>
        <x:v>-1</x:v>
      </x:c>
      <x:c r="F123" s="35" t="inlineStr">
        <x:is>
          <x:t xml:space="preserve"/>
        </x:is>
      </x:c>
      <x:c r="G123" s="121" t="n"/>
      <x:c r="Q123" s="100" t="n"/>
      <x:c r="R123" s="100" t="n"/>
      <x:c r="AD123" s="100" t="n"/>
      <x:c r="AE123" s="100" t="n"/>
      <x:c r="AF123" s="100" t="n"/>
      <x:c r="AG123" s="100" t="n"/>
      <x:c r="AH123" s="100" t="n"/>
      <x:c r="AI123" s="100" t="n"/>
      <x:c r="AJ123" s="100" t="n"/>
      <x:c r="AL123" s="100" t="n"/>
      <x:c r="AN123" s="100" t="n"/>
      <x:c r="BR123" s="27" t="n">
        <x:v>-1</x:v>
      </x:c>
    </x:row>
    <x:row r="124" s="27" customFormat="1">
      <x:c r="A124" s="38" t="n"/>
      <x:c r="B124" s="37" t="n"/>
      <x:c r="C124" s="36" t="n">
        <x:f>E124*D$5</x:f>
        <x:v>40</x:v>
      </x:c>
      <x:c r="D124" s="20" t="inlineStr">
        <x:is>
          <x:t xml:space="preserve">J and A Minerals, LLC</x:t>
        </x:is>
      </x:c>
      <x:c r="E124" s="36" t="n">
        <x:f>SUM(G124:HS124)</x:f>
        <x:v>1</x:v>
      </x:c>
      <x:c r="F124" s="35" t="inlineStr">
        <x:is>
          <x:t xml:space="preserve"/>
        </x:is>
      </x:c>
      <x:c r="G124" s="121" t="n"/>
      <x:c r="Q124" s="100" t="n"/>
      <x:c r="R124" s="100" t="n"/>
      <x:c r="AD124" s="100" t="n"/>
      <x:c r="AE124" s="100" t="n"/>
      <x:c r="AF124" s="100" t="n"/>
      <x:c r="AG124" s="100" t="n"/>
      <x:c r="AH124" s="100" t="n"/>
      <x:c r="AI124" s="100" t="n"/>
      <x:c r="AJ124" s="100" t="n"/>
      <x:c r="AL124" s="100" t="n"/>
      <x:c r="AN124" s="100" t="n"/>
      <x:c r="BR124" s="27" t="n">
        <x:v>1</x:v>
      </x:c>
    </x:row>
    <x:row r="125" s="27" customFormat="1">
      <x:c r="A125" s="38" t="n"/>
      <x:c r="B125" s="37" t="n"/>
      <x:c r="C125" s="36" t="n">
        <x:f>E125*D$5</x:f>
        <x:v>-40</x:v>
      </x:c>
      <x:c r="D125" s="419" t="inlineStr">
        <x:is>
          <x:t xml:space="preserve">W. C. Danforth and Susie Danforth, HW</x:t>
        </x:is>
      </x:c>
      <x:c r="E125" s="411" t="n">
        <x:f>SUM(G125:HS125)</x:f>
        <x:v>-1</x:v>
      </x:c>
      <x:c r="F125" s="35" t="inlineStr">
        <x:is>
          <x:t xml:space="preserve"/>
        </x:is>
      </x:c>
      <x:c r="G125" s="121" t="n"/>
      <x:c r="Q125" s="100" t="n"/>
      <x:c r="R125" s="100" t="n"/>
      <x:c r="AD125" s="100" t="n"/>
      <x:c r="AE125" s="100" t="n"/>
      <x:c r="AF125" s="100" t="n"/>
      <x:c r="AG125" s="100" t="n"/>
      <x:c r="AH125" s="100" t="n"/>
      <x:c r="AI125" s="100" t="n"/>
      <x:c r="AJ125" s="100" t="n"/>
      <x:c r="AL125" s="100" t="n"/>
      <x:c r="AN125" s="100" t="n"/>
      <x:c r="BS125" s="27" t="n">
        <x:v>-1</x:v>
      </x:c>
    </x:row>
    <x:row r="126" s="27" customFormat="1">
      <x:c r="A126" s="38" t="n"/>
      <x:c r="B126" s="37" t="n"/>
      <x:c r="C126" s="36" t="n">
        <x:f>E126*D$5</x:f>
        <x:v>40</x:v>
      </x:c>
      <x:c r="D126" s="20" t="inlineStr">
        <x:is>
          <x:t xml:space="preserve">Benjamin H. Shotwell</x:t>
        </x:is>
      </x:c>
      <x:c r="E126" s="36" t="n">
        <x:f>SUM(G126:HS126)</x:f>
        <x:v>1</x:v>
      </x:c>
      <x:c r="F126" s="35" t="inlineStr">
        <x:is>
          <x:t xml:space="preserve"/>
        </x:is>
      </x:c>
      <x:c r="G126" s="121" t="n"/>
      <x:c r="Q126" s="100" t="n"/>
      <x:c r="R126" s="100" t="n"/>
      <x:c r="AD126" s="100" t="n"/>
      <x:c r="AE126" s="100" t="n"/>
      <x:c r="AF126" s="100" t="n"/>
      <x:c r="AG126" s="100" t="n"/>
      <x:c r="AH126" s="100" t="n"/>
      <x:c r="AI126" s="100" t="n"/>
      <x:c r="AJ126" s="100" t="n"/>
      <x:c r="AL126" s="100" t="n"/>
      <x:c r="AN126" s="100" t="n"/>
      <x:c r="BS126" s="27" t="n">
        <x:v>1</x:v>
      </x:c>
    </x:row>
    <x:row r="127" s="27" customFormat="1">
      <x:c r="A127" s="38" t="n"/>
      <x:c r="B127" s="37" t="n"/>
      <x:c r="C127" s="36" t="n">
        <x:f>E127*D$5</x:f>
        <x:v>-40</x:v>
      </x:c>
      <x:c r="D127" s="419" t="inlineStr">
        <x:is>
          <x:t xml:space="preserve">Lawrence E. Shotwell and Ethel Shotwell, HW</x:t>
        </x:is>
      </x:c>
      <x:c r="E127" s="411" t="n">
        <x:f>SUM(G127:HS127)</x:f>
        <x:v>-1</x:v>
      </x:c>
      <x:c r="F127" s="35" t="inlineStr">
        <x:is>
          <x:t xml:space="preserve"/>
        </x:is>
      </x:c>
      <x:c r="G127" s="121" t="n"/>
      <x:c r="Q127" s="100" t="n"/>
      <x:c r="R127" s="100" t="n"/>
      <x:c r="AD127" s="100" t="n"/>
      <x:c r="AE127" s="100" t="n"/>
      <x:c r="AF127" s="100" t="n"/>
      <x:c r="AG127" s="100" t="n"/>
      <x:c r="AH127" s="100" t="n"/>
      <x:c r="AI127" s="100" t="n"/>
      <x:c r="AJ127" s="100" t="n"/>
      <x:c r="AL127" s="100" t="n"/>
      <x:c r="AN127" s="100" t="n"/>
      <x:c r="BT127" s="27" t="n">
        <x:v>-1</x:v>
      </x:c>
    </x:row>
    <x:row r="128" s="27" customFormat="1">
      <x:c r="A128" s="38" t="n"/>
      <x:c r="B128" s="37" t="n"/>
      <x:c r="C128" s="36" t="n">
        <x:f>E128*D$5</x:f>
        <x:v>-80</x:v>
      </x:c>
      <x:c r="D128" s="419" t="inlineStr">
        <x:is>
          <x:t xml:space="preserve">Eula Cross, also known as Eula G. Cross, a single person</x:t>
        </x:is>
      </x:c>
      <x:c r="E128" s="411" t="n">
        <x:f>SUM(G128:HS128)</x:f>
        <x:v>-2</x:v>
      </x:c>
      <x:c r="F128" s="35" t="inlineStr">
        <x:is>
          <x:t xml:space="preserve"/>
        </x:is>
      </x:c>
      <x:c r="G128" s="121" t="n"/>
      <x:c r="Q128" s="100" t="n"/>
      <x:c r="R128" s="100" t="n"/>
      <x:c r="AD128" s="100" t="n"/>
      <x:c r="AE128" s="100" t="n"/>
      <x:c r="AF128" s="100" t="n"/>
      <x:c r="AG128" s="100" t="n"/>
      <x:c r="AH128" s="100" t="n"/>
      <x:c r="AI128" s="100" t="n"/>
      <x:c r="AJ128" s="100" t="n"/>
      <x:c r="AL128" s="100" t="n"/>
      <x:c r="AN128" s="100" t="n"/>
      <x:c r="BU128" s="27" t="n">
        <x:v>-1</x:v>
      </x:c>
      <x:c r="BY128" s="27" t="n">
        <x:v>-1</x:v>
      </x:c>
    </x:row>
    <x:row r="129" s="27" customFormat="1">
      <x:c r="A129" s="38" t="n"/>
      <x:c r="B129" s="37" t="n"/>
      <x:c r="C129" s="36" t="n">
        <x:f>E129*D$5</x:f>
        <x:v>0</x:v>
      </x:c>
      <x:c r="D129" s="20" t="n"/>
      <x:c r="E129" s="36" t="n">
        <x:f>SUM(G129:HS129)</x:f>
        <x:v>0</x:v>
      </x:c>
      <x:c r="F129" s="35" t="inlineStr">
        <x:is>
          <x:t xml:space="preserve"/>
        </x:is>
      </x:c>
      <x:c r="G129" s="121" t="n"/>
      <x:c r="Q129" s="100" t="n"/>
      <x:c r="R129" s="100" t="n"/>
      <x:c r="AD129" s="100" t="n"/>
      <x:c r="AE129" s="100" t="n"/>
      <x:c r="AF129" s="100" t="n"/>
      <x:c r="AG129" s="100" t="n"/>
      <x:c r="AH129" s="100" t="n"/>
      <x:c r="AI129" s="100" t="n"/>
      <x:c r="AJ129" s="100" t="n"/>
      <x:c r="AL129" s="100" t="n"/>
      <x:c r="AN129" s="100" t="n"/>
    </x:row>
    <x:row r="130" s="27" customFormat="1">
      <x:c r="A130" s="38" t="n"/>
      <x:c r="B130" s="37" t="n"/>
      <x:c r="C130" s="36" t="n">
        <x:f>E130*D$5</x:f>
        <x:v>0</x:v>
      </x:c>
      <x:c r="D130" s="20" t="n"/>
      <x:c r="E130" s="36" t="n">
        <x:f>SUM(G130:HS130)</x:f>
        <x:v>0</x:v>
      </x:c>
      <x:c r="F130" s="35" t="inlineStr">
        <x:is>
          <x:t xml:space="preserve"/>
        </x:is>
      </x:c>
      <x:c r="G130" s="121" t="n"/>
      <x:c r="Q130" s="100" t="n"/>
      <x:c r="R130" s="100" t="n"/>
      <x:c r="AD130" s="100" t="n"/>
      <x:c r="AE130" s="100" t="n"/>
      <x:c r="AF130" s="100" t="n"/>
      <x:c r="AG130" s="100" t="n"/>
      <x:c r="AH130" s="100" t="n"/>
      <x:c r="AI130" s="100" t="n"/>
      <x:c r="AJ130" s="100" t="n"/>
      <x:c r="AL130" s="100" t="n"/>
      <x:c r="AN130" s="100" t="n"/>
    </x:row>
    <x:row r="131" s="27" customFormat="1">
      <x:c r="A131" s="38" t="n"/>
      <x:c r="B131" s="37" t="n"/>
      <x:c r="C131" s="36" t="n">
        <x:f>E131*D$5</x:f>
        <x:v>80</x:v>
      </x:c>
      <x:c r="D131" s="20" t="inlineStr">
        <x:is>
          <x:t xml:space="preserve">Patsy J. Crouse</x:t>
        </x:is>
      </x:c>
      <x:c r="E131" s="36" t="n">
        <x:f>SUM(G131:HS131)</x:f>
        <x:v>2</x:v>
      </x:c>
      <x:c r="F131" s="35" t="inlineStr">
        <x:is>
          <x:t xml:space="preserve"/>
        </x:is>
      </x:c>
      <x:c r="G131" s="121" t="n"/>
      <x:c r="Q131" s="100" t="n"/>
      <x:c r="R131" s="100" t="n"/>
      <x:c r="AD131" s="100" t="n"/>
      <x:c r="AE131" s="100" t="n"/>
      <x:c r="AF131" s="100" t="n"/>
      <x:c r="AG131" s="100" t="n"/>
      <x:c r="AH131" s="100" t="n"/>
      <x:c r="AI131" s="100" t="n"/>
      <x:c r="AJ131" s="100" t="n"/>
      <x:c r="AL131" s="100" t="n"/>
      <x:c r="AN131" s="100" t="n"/>
      <x:c r="BU131" s="27" t="n">
        <x:v>1</x:v>
      </x:c>
      <x:c r="BY131" s="27" t="n">
        <x:v>1</x:v>
      </x:c>
    </x:row>
    <x:row r="132" s="27" customFormat="1" ht="25.5" customHeight="1">
      <x:c r="A132" s="38" t="n"/>
      <x:c r="B132" s="37" t="n"/>
      <x:c r="C132" s="36" t="n">
        <x:f>E132*D$5</x:f>
        <x:v>-8</x:v>
      </x:c>
      <x:c r="D132" s="419" t="inlineStr">
        <x:is>
          <x:t xml:space="preserve">Maggie Davis, formerly Maggie Bennett &amp; H. V. Davis, wife and husband</x:t>
        </x:is>
      </x:c>
      <x:c r="E132" s="411" t="n">
        <x:f>SUM(G132:HS132)</x:f>
        <x:v>-0.2</x:v>
      </x:c>
      <x:c r="F132" s="35" t="inlineStr">
        <x:is>
          <x:t xml:space="preserve"/>
        </x:is>
      </x:c>
      <x:c r="G132" s="121" t="n"/>
      <x:c r="Q132" s="100" t="n"/>
      <x:c r="R132" s="100" t="n"/>
      <x:c r="AD132" s="100" t="n"/>
      <x:c r="AE132" s="100" t="n"/>
      <x:c r="AF132" s="100" t="n"/>
      <x:c r="AG132" s="100" t="n"/>
      <x:c r="AH132" s="100" t="n"/>
      <x:c r="AI132" s="100" t="n"/>
      <x:c r="AJ132" s="100" t="n"/>
      <x:c r="AL132" s="100" t="n"/>
      <x:c r="AN132" s="100" t="n"/>
      <x:c r="BV132" s="27" t="n">
        <x:v>-0.2</x:v>
      </x:c>
    </x:row>
    <x:row r="133" s="27" customFormat="1">
      <x:c r="A133" s="38" t="n"/>
      <x:c r="B133" s="37" t="n"/>
      <x:c r="C133" s="36" t="n">
        <x:f>E133*D$5</x:f>
        <x:v>-8</x:v>
      </x:c>
      <x:c r="D133" s="419" t="inlineStr">
        <x:is>
          <x:t xml:space="preserve">Eli L. Shotwell &amp; Ida M. Shotwell husband &amp; wife</x:t>
        </x:is>
      </x:c>
      <x:c r="E133" s="411" t="n">
        <x:f>SUM(G133:HS133)</x:f>
        <x:v>-0.2</x:v>
      </x:c>
      <x:c r="F133" s="35" t="inlineStr">
        <x:is>
          <x:t xml:space="preserve"/>
        </x:is>
      </x:c>
      <x:c r="G133" s="121" t="n"/>
      <x:c r="Q133" s="100" t="n"/>
      <x:c r="R133" s="100" t="n"/>
      <x:c r="AD133" s="100" t="n"/>
      <x:c r="AE133" s="100" t="n"/>
      <x:c r="AF133" s="100" t="n"/>
      <x:c r="AG133" s="100" t="n"/>
      <x:c r="AH133" s="100" t="n"/>
      <x:c r="AI133" s="100" t="n"/>
      <x:c r="AJ133" s="100" t="n"/>
      <x:c r="AL133" s="100" t="n"/>
      <x:c r="AN133" s="100" t="n"/>
      <x:c r="BV133" s="27" t="n">
        <x:v>-0.2</x:v>
      </x:c>
    </x:row>
    <x:row r="134" s="27" customFormat="1">
      <x:c r="A134" s="38" t="n"/>
      <x:c r="B134" s="37" t="n"/>
      <x:c r="C134" s="36" t="n">
        <x:f>E134*D$5</x:f>
        <x:v>-8</x:v>
      </x:c>
      <x:c r="D134" s="419" t="inlineStr">
        <x:is>
          <x:t xml:space="preserve">Pearl L. Davis, &amp; O. L. Davis, wife &amp; husband</x:t>
        </x:is>
      </x:c>
      <x:c r="E134" s="411" t="n">
        <x:f>SUM(G134:HS134)</x:f>
        <x:v>-0.2</x:v>
      </x:c>
      <x:c r="F134" s="35" t="inlineStr">
        <x:is>
          <x:t xml:space="preserve"/>
        </x:is>
      </x:c>
      <x:c r="G134" s="121" t="n"/>
      <x:c r="Q134" s="100" t="n"/>
      <x:c r="R134" s="100" t="n"/>
      <x:c r="AD134" s="100" t="n"/>
      <x:c r="AE134" s="100" t="n"/>
      <x:c r="AF134" s="100" t="n"/>
      <x:c r="AG134" s="100" t="n"/>
      <x:c r="AH134" s="100" t="n"/>
      <x:c r="AI134" s="100" t="n"/>
      <x:c r="AJ134" s="100" t="n"/>
      <x:c r="AL134" s="100" t="n"/>
      <x:c r="AN134" s="100" t="n"/>
      <x:c r="BV134" s="27" t="n">
        <x:v>-0.2</x:v>
      </x:c>
    </x:row>
    <x:row r="135" s="27" customFormat="1">
      <x:c r="A135" s="38" t="n"/>
      <x:c r="B135" s="37" t="n"/>
      <x:c r="C135" s="36" t="n">
        <x:f>E135*D$5</x:f>
        <x:v>-8</x:v>
      </x:c>
      <x:c r="D135" s="419" t="inlineStr">
        <x:is>
          <x:t xml:space="preserve">Roy T. Shotwell &amp; Josie A. Shotwell, husband &amp; wife</x:t>
        </x:is>
      </x:c>
      <x:c r="E135" s="411" t="n">
        <x:f>SUM(G135:HS135)</x:f>
        <x:v>-0.2</x:v>
      </x:c>
      <x:c r="F135" s="35" t="inlineStr">
        <x:is>
          <x:t xml:space="preserve"/>
        </x:is>
      </x:c>
      <x:c r="G135" s="121" t="n"/>
      <x:c r="Q135" s="100" t="n"/>
      <x:c r="R135" s="100" t="n"/>
      <x:c r="AD135" s="100" t="n"/>
      <x:c r="AE135" s="100" t="n"/>
      <x:c r="AF135" s="100" t="n"/>
      <x:c r="AG135" s="100" t="n"/>
      <x:c r="AH135" s="100" t="n"/>
      <x:c r="AI135" s="100" t="n"/>
      <x:c r="AJ135" s="100" t="n"/>
      <x:c r="AL135" s="100" t="n"/>
      <x:c r="AN135" s="100" t="n"/>
      <x:c r="BV135" s="27" t="n">
        <x:v>-0.2</x:v>
      </x:c>
    </x:row>
    <x:row r="136" s="27" customFormat="1">
      <x:c r="A136" s="38" t="n"/>
      <x:c r="B136" s="37" t="n"/>
      <x:c r="C136" s="36" t="n">
        <x:f>E136*D$5</x:f>
        <x:v>-8</x:v>
      </x:c>
      <x:c r="D136" s="419" t="inlineStr">
        <x:is>
          <x:t xml:space="preserve">Ida M. Cuff and A. M. Cuff, wife and husband</x:t>
        </x:is>
      </x:c>
      <x:c r="E136" s="411" t="n">
        <x:f>SUM(G136:HS136)</x:f>
        <x:v>-0.2</x:v>
      </x:c>
      <x:c r="F136" s="35" t="inlineStr">
        <x:is>
          <x:t xml:space="preserve"/>
        </x:is>
      </x:c>
      <x:c r="G136" s="121" t="n"/>
      <x:c r="Q136" s="100" t="n"/>
      <x:c r="R136" s="100" t="n"/>
      <x:c r="AD136" s="100" t="n"/>
      <x:c r="AE136" s="100" t="n"/>
      <x:c r="AF136" s="100" t="n"/>
      <x:c r="AG136" s="100" t="n"/>
      <x:c r="AH136" s="100" t="n"/>
      <x:c r="AI136" s="100" t="n"/>
      <x:c r="AJ136" s="100" t="n"/>
      <x:c r="AL136" s="100" t="n"/>
      <x:c r="AN136" s="100" t="n"/>
      <x:c r="BV136" s="27" t="n">
        <x:v>-0.2</x:v>
      </x:c>
    </x:row>
    <x:row r="137" s="27" customFormat="1">
      <x:c r="A137" s="38" t="n"/>
      <x:c r="B137" s="37" t="n"/>
      <x:c r="C137" s="36" t="n">
        <x:f>E137*D$5</x:f>
        <x:v>40</x:v>
      </x:c>
      <x:c r="D137" s="20" t="inlineStr">
        <x:is>
          <x:t xml:space="preserve">H. M. Carter</x:t>
        </x:is>
      </x:c>
      <x:c r="E137" s="36" t="n">
        <x:f>SUM(G137:HS137)</x:f>
        <x:v>1</x:v>
      </x:c>
      <x:c r="F137" s="35" t="inlineStr">
        <x:is>
          <x:t xml:space="preserve"/>
        </x:is>
      </x:c>
      <x:c r="G137" s="121" t="n"/>
      <x:c r="Q137" s="100" t="n"/>
      <x:c r="R137" s="100" t="n"/>
      <x:c r="AD137" s="100" t="n"/>
      <x:c r="AE137" s="100" t="n"/>
      <x:c r="AF137" s="100" t="n"/>
      <x:c r="AG137" s="100" t="n"/>
      <x:c r="AH137" s="100" t="n"/>
      <x:c r="AI137" s="100" t="n"/>
      <x:c r="AJ137" s="100" t="n"/>
      <x:c r="AL137" s="100" t="n"/>
      <x:c r="AN137" s="100" t="n"/>
      <x:c r="BV137" s="27" t="n">
        <x:v>1</x:v>
      </x:c>
    </x:row>
    <x:row r="138" s="27" customFormat="1">
      <x:c r="A138" s="38" t="n"/>
      <x:c r="B138" s="37" t="n"/>
      <x:c r="C138" s="36" t="n">
        <x:f>E138*D$5</x:f>
        <x:v>-40</x:v>
      </x:c>
      <x:c r="D138" s="419" t="inlineStr">
        <x:is>
          <x:t xml:space="preserve">Lee Aulbert and Mollie Aulbert, HW</x:t>
        </x:is>
      </x:c>
      <x:c r="E138" s="411" t="n">
        <x:f>SUM(G138:HS138)</x:f>
        <x:v>-1</x:v>
      </x:c>
      <x:c r="F138" s="35" t="inlineStr">
        <x:is>
          <x:t xml:space="preserve"/>
        </x:is>
      </x:c>
      <x:c r="G138" s="121" t="n"/>
      <x:c r="Q138" s="100" t="n"/>
      <x:c r="R138" s="100" t="n"/>
      <x:c r="AD138" s="100" t="n"/>
      <x:c r="AE138" s="100" t="n"/>
      <x:c r="AF138" s="100" t="n"/>
      <x:c r="AG138" s="100" t="n"/>
      <x:c r="AH138" s="100" t="n"/>
      <x:c r="AI138" s="100" t="n"/>
      <x:c r="AJ138" s="100" t="n"/>
      <x:c r="AL138" s="100" t="n"/>
      <x:c r="AN138" s="100" t="n"/>
      <x:c r="BW138" s="27" t="n">
        <x:v>-1</x:v>
      </x:c>
    </x:row>
    <x:row r="139" s="27" customFormat="1">
      <x:c r="A139" s="38" t="n"/>
      <x:c r="B139" s="37" t="n"/>
      <x:c r="C139" s="36" t="n">
        <x:f>E139*D$5</x:f>
        <x:v>-20</x:v>
      </x:c>
      <x:c r="D139" s="419" t="inlineStr">
        <x:is>
          <x:t xml:space="preserve">H. M. Carter and Mrs Ethel Carter, HW</x:t>
        </x:is>
      </x:c>
      <x:c r="E139" s="411" t="n">
        <x:f>SUM(G139:HS139)</x:f>
        <x:v>-0.5</x:v>
      </x:c>
      <x:c r="F139" s="35" t="inlineStr">
        <x:is>
          <x:t xml:space="preserve"/>
        </x:is>
      </x:c>
      <x:c r="G139" s="121" t="n"/>
      <x:c r="Q139" s="100" t="n"/>
      <x:c r="R139" s="100" t="n"/>
      <x:c r="AD139" s="100" t="n"/>
      <x:c r="AE139" s="100" t="n"/>
      <x:c r="AF139" s="100" t="n"/>
      <x:c r="AG139" s="100" t="n"/>
      <x:c r="AH139" s="100" t="n"/>
      <x:c r="AI139" s="100" t="n"/>
      <x:c r="AJ139" s="100" t="n"/>
      <x:c r="AL139" s="100" t="n"/>
      <x:c r="AN139" s="100" t="n"/>
      <x:c r="BX139" s="27" t="n">
        <x:v>-0.5</x:v>
      </x:c>
    </x:row>
    <x:row r="140" s="27" customFormat="1" ht="25.5" customHeight="1">
      <x:c r="A140" s="38" t="n"/>
      <x:c r="B140" s="37" t="n"/>
      <x:c r="C140" s="36" t="n">
        <x:f>E140*D$5</x:f>
        <x:v>-40</x:v>
      </x:c>
      <x:c r="D140" s="419" t="inlineStr">
        <x:is>
          <x:t xml:space="preserve">Michael Best and Angale L. Best, HW, Letha M. Crouse, a single woman, Aaron Smoot and Lara L. Smoot, HW</x:t>
        </x:is>
      </x:c>
      <x:c r="E140" s="411" t="n">
        <x:f>SUM(G140:HS140)</x:f>
        <x:v>-1</x:v>
      </x:c>
      <x:c r="F140" s="35" t="inlineStr">
        <x:is>
          <x:t xml:space="preserve"/>
        </x:is>
      </x:c>
      <x:c r="G140" s="121" t="n"/>
      <x:c r="Q140" s="100" t="n"/>
      <x:c r="R140" s="100" t="n"/>
      <x:c r="AD140" s="100" t="n"/>
      <x:c r="AE140" s="100" t="n"/>
      <x:c r="AF140" s="100" t="n"/>
      <x:c r="AG140" s="100" t="n"/>
      <x:c r="AH140" s="100" t="n"/>
      <x:c r="AI140" s="100" t="n"/>
      <x:c r="AJ140" s="100" t="n"/>
      <x:c r="AL140" s="100" t="n"/>
      <x:c r="AN140" s="100" t="n"/>
      <x:c r="BZ140" s="27" t="n">
        <x:v>-1</x:v>
      </x:c>
    </x:row>
    <x:row r="141" s="27" customFormat="1">
      <x:c r="A141" s="38" t="n"/>
      <x:c r="B141" s="37" t="n"/>
      <x:c r="C141" s="36" t="n">
        <x:f>E141*D$5</x:f>
        <x:v>0</x:v>
      </x:c>
      <x:c r="D141" s="20" t="inlineStr">
        <x:is>
          <x:t xml:space="preserve">The Crouse Family TRUST, a Trust dated October 8. 1999</x:t>
        </x:is>
      </x:c>
      <x:c r="E141" s="36" t="n">
        <x:f>SUM(G141:HS141)</x:f>
        <x:v>0</x:v>
      </x:c>
      <x:c r="F141" s="35" t="inlineStr">
        <x:is>
          <x:t xml:space="preserve"/>
        </x:is>
      </x:c>
      <x:c r="G141" s="121" t="n"/>
      <x:c r="Q141" s="100" t="n"/>
      <x:c r="R141" s="100" t="n"/>
      <x:c r="AD141" s="100" t="n"/>
      <x:c r="AE141" s="100" t="n"/>
      <x:c r="AF141" s="100" t="n"/>
      <x:c r="AG141" s="100" t="n"/>
      <x:c r="AH141" s="100" t="n"/>
      <x:c r="AI141" s="100" t="n"/>
      <x:c r="AJ141" s="100" t="n"/>
      <x:c r="AL141" s="100" t="n"/>
      <x:c r="AN141" s="100" t="n"/>
      <x:c r="BZ141" s="27" t="n">
        <x:v>1</x:v>
      </x:c>
      <x:c r="CA141" s="27" t="n">
        <x:v>-1</x:v>
      </x:c>
    </x:row>
    <x:row r="142" s="27" customFormat="1" ht="25.5" customHeight="1">
      <x:c r="A142" s="38" t="n"/>
      <x:c r="B142" s="37" t="n"/>
      <x:c r="C142" s="36" t="n">
        <x:f>E142*D$5</x:f>
        <x:v>40</x:v>
      </x:c>
      <x:c r="D142" s="20" t="inlineStr">
        <x:is>
          <x:t xml:space="preserve">The Crouse Family Limited Partnership, a limited partnership dated October 12, 1999</x:t>
        </x:is>
      </x:c>
      <x:c r="E142" s="36" t="n">
        <x:f>SUM(G142:HS142)</x:f>
        <x:v>1</x:v>
      </x:c>
      <x:c r="F142" s="35" t="inlineStr">
        <x:is>
          <x:t xml:space="preserve"/>
        </x:is>
      </x:c>
      <x:c r="G142" s="121" t="n"/>
      <x:c r="Q142" s="100" t="n"/>
      <x:c r="R142" s="100" t="n"/>
      <x:c r="AD142" s="100" t="n"/>
      <x:c r="AE142" s="100" t="n"/>
      <x:c r="AF142" s="100" t="n"/>
      <x:c r="AG142" s="100" t="n"/>
      <x:c r="AH142" s="100" t="n"/>
      <x:c r="AI142" s="100" t="n"/>
      <x:c r="AJ142" s="100" t="n"/>
      <x:c r="AL142" s="100" t="n"/>
      <x:c r="AN142" s="100" t="n"/>
      <x:c r="CA142" s="27" t="n">
        <x:v>1</x:v>
      </x:c>
    </x:row>
    <x:row r="143" s="27" customFormat="1">
      <x:c r="A143" s="38" t="n"/>
      <x:c r="B143" s="37" t="n"/>
      <x:c r="C143" s="36" t="n">
        <x:f>E143*D$5</x:f>
        <x:v>0</x:v>
      </x:c>
      <x:c r="D143" s="20" t="inlineStr">
        <x:is>
          <x:t xml:space="preserve">United States of America</x:t>
        </x:is>
      </x:c>
      <x:c r="E143" s="36" t="n">
        <x:f>SUM(G143:HS143)</x:f>
        <x:v>0</x:v>
      </x:c>
      <x:c r="F143" s="35" t="inlineStr">
        <x:is>
          <x:t xml:space="preserve"/>
        </x:is>
      </x:c>
      <x:c r="G143" s="121" t="n"/>
      <x:c r="Q143" s="100" t="n"/>
      <x:c r="R143" s="100" t="n"/>
      <x:c r="AD143" s="100" t="n"/>
      <x:c r="AE143" s="100" t="n"/>
      <x:c r="AF143" s="100" t="n"/>
      <x:c r="AG143" s="100" t="n"/>
      <x:c r="AH143" s="100" t="n"/>
      <x:c r="AI143" s="100" t="n"/>
      <x:c r="AJ143" s="100" t="n"/>
      <x:c r="AL143" s="100" t="n"/>
      <x:c r="AN143" s="100" t="n"/>
    </x:row>
    <x:row r="144" s="27" customFormat="1">
      <x:c r="A144" s="38" t="n"/>
      <x:c r="B144" s="37" t="n"/>
      <x:c r="C144" s="36" t="n">
        <x:f>E144*D$5</x:f>
        <x:v>0</x:v>
      </x:c>
      <x:c r="D144" s="20" t="inlineStr">
        <x:is>
          <x:t xml:space="preserve">Ernest Brooks</x:t>
        </x:is>
      </x:c>
      <x:c r="E144" s="36" t="n">
        <x:f>SUM(G144:HS144)</x:f>
        <x:v>0</x:v>
      </x:c>
      <x:c r="F144" s="35" t="inlineStr">
        <x:is>
          <x:t xml:space="preserve"/>
        </x:is>
      </x:c>
      <x:c r="G144" s="121" t="n"/>
      <x:c r="Q144" s="100" t="n"/>
      <x:c r="R144" s="100" t="n"/>
      <x:c r="AD144" s="100" t="n"/>
      <x:c r="AE144" s="100" t="n"/>
      <x:c r="AF144" s="100" t="n"/>
      <x:c r="AG144" s="100" t="n"/>
      <x:c r="AH144" s="100" t="n"/>
      <x:c r="AI144" s="100" t="n"/>
      <x:c r="AJ144" s="100" t="n"/>
      <x:c r="AL144" s="100" t="n"/>
      <x:c r="AN144" s="100" t="n"/>
    </x:row>
    <x:row r="145" s="27" customFormat="1">
      <x:c r="A145" s="38" t="n"/>
      <x:c r="B145" s="37" t="n"/>
      <x:c r="C145" s="36" t="n">
        <x:f>E145*D$5</x:f>
        <x:v>0</x:v>
      </x:c>
      <x:c r="D145" s="20" t="n"/>
      <x:c r="E145" s="36" t="n">
        <x:f>SUM(G145:HS145)</x:f>
        <x:v>0</x:v>
      </x:c>
      <x:c r="Q145" s="100" t="n"/>
      <x:c r="R145" s="100" t="n"/>
      <x:c r="AD145" s="100" t="n"/>
      <x:c r="AE145" s="100" t="n"/>
      <x:c r="AF145" s="100" t="n"/>
      <x:c r="AG145" s="100" t="n"/>
      <x:c r="AH145" s="100" t="n"/>
      <x:c r="AI145" s="100" t="n"/>
      <x:c r="AJ145" s="100" t="n"/>
      <x:c r="AL145" s="100" t="n"/>
      <x:c r="AN145" s="100" t="n"/>
    </x:row>
    <x:row r="146" s="27" customFormat="1">
      <x:c r="A146" s="38" t="n"/>
      <x:c r="B146" s="37" t="n"/>
      <x:c r="C146" s="36" t="n">
        <x:f>E146*D$5</x:f>
        <x:v>0</x:v>
      </x:c>
      <x:c r="D146" s="20" t="n"/>
      <x:c r="E146" s="36" t="n">
        <x:f>SUM(G146:HS146)</x:f>
        <x:v>0</x:v>
      </x:c>
      <x:c r="Q146" s="100" t="n"/>
      <x:c r="R146" s="100" t="n"/>
      <x:c r="AD146" s="100" t="n"/>
      <x:c r="AE146" s="100" t="n"/>
      <x:c r="AF146" s="100" t="n"/>
      <x:c r="AG146" s="100" t="n"/>
      <x:c r="AH146" s="100" t="n"/>
      <x:c r="AI146" s="100" t="n"/>
      <x:c r="AJ146" s="100" t="n"/>
      <x:c r="AL146" s="100" t="n"/>
      <x:c r="AN146" s="100" t="n"/>
    </x:row>
    <x:row r="147" s="27" customFormat="1">
      <x:c r="A147" s="38" t="n"/>
      <x:c r="B147" s="37" t="n"/>
      <x:c r="C147" s="36" t="n">
        <x:f>E147*D$5</x:f>
        <x:v>0</x:v>
      </x:c>
      <x:c r="D147" s="20" t="n"/>
      <x:c r="E147" s="36" t="n">
        <x:f>SUM(G147:HS147)</x:f>
        <x:v>0</x:v>
      </x:c>
      <x:c r="Q147" s="100" t="n"/>
      <x:c r="R147" s="100" t="n"/>
      <x:c r="AD147" s="100" t="n"/>
      <x:c r="AE147" s="100" t="n"/>
      <x:c r="AF147" s="100" t="n"/>
      <x:c r="AG147" s="100" t="n"/>
      <x:c r="AH147" s="100" t="n"/>
      <x:c r="AI147" s="100" t="n"/>
      <x:c r="AJ147" s="100" t="n"/>
      <x:c r="AL147" s="100" t="n"/>
      <x:c r="AN147" s="100" t="n"/>
    </x:row>
    <x:row r="148" s="27" customFormat="1">
      <x:c r="A148" s="38" t="n"/>
      <x:c r="B148" s="37" t="n"/>
      <x:c r="C148" s="36" t="n">
        <x:f>E148*D$5</x:f>
        <x:v>0</x:v>
      </x:c>
      <x:c r="D148" s="20" t="n"/>
      <x:c r="E148" s="36" t="n">
        <x:f>SUM(G148:HS148)</x:f>
        <x:v>0</x:v>
      </x:c>
      <x:c r="Q148" s="100" t="n"/>
      <x:c r="R148" s="100" t="n"/>
      <x:c r="AD148" s="100" t="n"/>
      <x:c r="AE148" s="100" t="n"/>
      <x:c r="AF148" s="100" t="n"/>
      <x:c r="AG148" s="100" t="n"/>
      <x:c r="AH148" s="100" t="n"/>
      <x:c r="AI148" s="100" t="n"/>
      <x:c r="AJ148" s="100" t="n"/>
      <x:c r="AL148" s="100" t="n"/>
      <x:c r="AN148" s="100" t="n"/>
    </x:row>
    <x:row r="149" s="27" customFormat="1">
      <x:c r="A149" s="38" t="n"/>
      <x:c r="B149" s="37" t="n"/>
      <x:c r="C149" s="36" t="n">
        <x:f>E149*D$5</x:f>
        <x:v>0</x:v>
      </x:c>
      <x:c r="D149" s="20" t="n"/>
      <x:c r="E149" s="36" t="n">
        <x:f>SUM(G149:HS149)</x:f>
        <x:v>0</x:v>
      </x:c>
      <x:c r="Q149" s="100" t="n"/>
      <x:c r="R149" s="100" t="n"/>
      <x:c r="AD149" s="100" t="n"/>
      <x:c r="AE149" s="100" t="n"/>
      <x:c r="AF149" s="100" t="n"/>
      <x:c r="AG149" s="100" t="n"/>
      <x:c r="AH149" s="100" t="n"/>
      <x:c r="AI149" s="100" t="n"/>
      <x:c r="AJ149" s="100" t="n"/>
      <x:c r="AL149" s="100" t="n"/>
      <x:c r="AN149" s="100" t="n"/>
    </x:row>
    <x:row r="150" s="27" customFormat="1">
      <x:c r="A150" s="38" t="n"/>
      <x:c r="B150" s="37" t="n"/>
      <x:c r="C150" s="36" t="n">
        <x:f>E150*D$5</x:f>
        <x:v>0</x:v>
      </x:c>
      <x:c r="D150" s="20" t="n"/>
      <x:c r="E150" s="36" t="n">
        <x:f>SUM(G150:HS150)</x:f>
        <x:v>0</x:v>
      </x:c>
      <x:c r="Q150" s="100" t="n"/>
      <x:c r="R150" s="100" t="n"/>
      <x:c r="AD150" s="100" t="n"/>
      <x:c r="AE150" s="100" t="n"/>
      <x:c r="AF150" s="100" t="n"/>
      <x:c r="AG150" s="100" t="n"/>
      <x:c r="AH150" s="100" t="n"/>
      <x:c r="AI150" s="100" t="n"/>
      <x:c r="AJ150" s="100" t="n"/>
      <x:c r="AL150" s="100" t="n"/>
      <x:c r="AN150" s="100" t="n"/>
    </x:row>
    <x:row r="151" s="27" customFormat="1">
      <x:c r="A151" s="38" t="n"/>
      <x:c r="B151" s="37" t="n"/>
      <x:c r="C151" s="36" t="n">
        <x:f>E151*D$5</x:f>
        <x:v>0</x:v>
      </x:c>
      <x:c r="D151" s="20" t="n"/>
      <x:c r="E151" s="36" t="n">
        <x:f>SUM(G151:HS151)</x:f>
        <x:v>0</x:v>
      </x:c>
      <x:c r="Q151" s="100" t="n"/>
      <x:c r="R151" s="100" t="n"/>
      <x:c r="AD151" s="100" t="n"/>
      <x:c r="AE151" s="100" t="n"/>
      <x:c r="AF151" s="100" t="n"/>
      <x:c r="AG151" s="100" t="n"/>
      <x:c r="AH151" s="100" t="n"/>
      <x:c r="AI151" s="100" t="n"/>
      <x:c r="AJ151" s="100" t="n"/>
      <x:c r="AL151" s="100" t="n"/>
      <x:c r="AN151" s="100" t="n"/>
    </x:row>
    <x:row r="152" s="27" customFormat="1">
      <x:c r="A152" s="38" t="n"/>
      <x:c r="B152" s="37" t="n"/>
      <x:c r="C152" s="36" t="n">
        <x:f>E152*D$5</x:f>
        <x:v>0</x:v>
      </x:c>
      <x:c r="D152" s="20" t="n"/>
      <x:c r="E152" s="36" t="n">
        <x:f>SUM(G152:HS152)</x:f>
        <x:v>0</x:v>
      </x:c>
      <x:c r="Q152" s="100" t="n"/>
      <x:c r="R152" s="100" t="n"/>
      <x:c r="AD152" s="100" t="n"/>
      <x:c r="AE152" s="100" t="n"/>
      <x:c r="AF152" s="100" t="n"/>
      <x:c r="AG152" s="100" t="n"/>
      <x:c r="AH152" s="100" t="n"/>
      <x:c r="AI152" s="100" t="n"/>
      <x:c r="AJ152" s="100" t="n"/>
      <x:c r="AL152" s="100" t="n"/>
      <x:c r="AN152" s="100" t="n"/>
    </x:row>
    <x:row r="153" s="27" customFormat="1">
      <x:c r="A153" s="38" t="n"/>
      <x:c r="B153" s="37" t="n"/>
      <x:c r="C153" s="36" t="n">
        <x:f>E153*D$5</x:f>
        <x:v>0</x:v>
      </x:c>
      <x:c r="D153" s="20" t="n"/>
      <x:c r="E153" s="36" t="n">
        <x:f>SUM(G153:HS153)</x:f>
        <x:v>0</x:v>
      </x:c>
      <x:c r="Q153" s="100" t="n"/>
      <x:c r="R153" s="100" t="n"/>
      <x:c r="AD153" s="100" t="n"/>
      <x:c r="AE153" s="100" t="n"/>
      <x:c r="AF153" s="100" t="n"/>
      <x:c r="AG153" s="100" t="n"/>
      <x:c r="AH153" s="100" t="n"/>
      <x:c r="AI153" s="100" t="n"/>
      <x:c r="AJ153" s="100" t="n"/>
      <x:c r="AL153" s="100" t="n"/>
      <x:c r="AN153" s="100" t="n"/>
    </x:row>
    <x:row r="154" s="27" customFormat="1">
      <x:c r="A154" s="38" t="n"/>
      <x:c r="B154" s="37" t="n"/>
      <x:c r="C154" s="36" t="n">
        <x:f>E154*D$5</x:f>
        <x:v>0</x:v>
      </x:c>
      <x:c r="D154" s="20" t="n"/>
      <x:c r="E154" s="36" t="n">
        <x:f>SUM(G154:HS154)</x:f>
        <x:v>0</x:v>
      </x:c>
      <x:c r="Q154" s="100" t="n"/>
      <x:c r="R154" s="100" t="n"/>
      <x:c r="AD154" s="100" t="n"/>
      <x:c r="AE154" s="100" t="n"/>
      <x:c r="AF154" s="100" t="n"/>
      <x:c r="AG154" s="100" t="n"/>
      <x:c r="AH154" s="100" t="n"/>
      <x:c r="AI154" s="100" t="n"/>
      <x:c r="AJ154" s="100" t="n"/>
      <x:c r="AL154" s="100" t="n"/>
      <x:c r="AN154" s="100" t="n"/>
    </x:row>
    <x:row r="155" s="27" customFormat="1">
      <x:c r="A155" s="38" t="n"/>
      <x:c r="B155" s="37" t="n"/>
      <x:c r="C155" s="36" t="n">
        <x:f>E155*D$5</x:f>
        <x:v>0</x:v>
      </x:c>
      <x:c r="D155" s="20" t="n"/>
      <x:c r="E155" s="36" t="n">
        <x:f>SUM(G155:HS155)</x:f>
        <x:v>0</x:v>
      </x:c>
      <x:c r="Q155" s="100" t="n"/>
      <x:c r="R155" s="100" t="n"/>
      <x:c r="AD155" s="100" t="n"/>
      <x:c r="AE155" s="100" t="n"/>
      <x:c r="AF155" s="100" t="n"/>
      <x:c r="AG155" s="100" t="n"/>
      <x:c r="AH155" s="100" t="n"/>
      <x:c r="AI155" s="100" t="n"/>
      <x:c r="AJ155" s="100" t="n"/>
      <x:c r="AL155" s="100" t="n"/>
      <x:c r="AN155" s="100" t="n"/>
    </x:row>
    <x:row r="156" s="27" customFormat="1">
      <x:c r="A156" s="38" t="n"/>
      <x:c r="B156" s="37" t="n"/>
      <x:c r="C156" s="36" t="n">
        <x:f>E156*D$5</x:f>
        <x:v>0</x:v>
      </x:c>
      <x:c r="D156" s="20" t="n"/>
      <x:c r="E156" s="36" t="n">
        <x:f>SUM(G156:HS156)</x:f>
        <x:v>0</x:v>
      </x:c>
      <x:c r="R156" s="100" t="n"/>
      <x:c r="S156" s="100" t="n"/>
      <x:c r="AE156" s="100" t="n"/>
      <x:c r="AF156" s="100" t="n"/>
      <x:c r="AG156" s="100" t="n"/>
      <x:c r="AH156" s="100" t="n"/>
      <x:c r="AI156" s="100" t="n"/>
      <x:c r="AJ156" s="100" t="n"/>
      <x:c r="AK156" s="100" t="n"/>
      <x:c r="AM156" s="100" t="n"/>
      <x:c r="AO156" s="100" t="n"/>
    </x:row>
    <x:row r="157" s="27" customFormat="1">
      <x:c r="A157" s="38" t="n"/>
      <x:c r="B157" s="37" t="n"/>
      <x:c r="C157" s="36" t="n">
        <x:f>E157*D$5</x:f>
        <x:v>0</x:v>
      </x:c>
      <x:c r="D157" s="20" t="n"/>
      <x:c r="E157" s="36" t="n">
        <x:f>SUM(G157:HS157)</x:f>
        <x:v>0</x:v>
      </x:c>
      <x:c r="R157" s="100" t="n"/>
      <x:c r="S157" s="100" t="n"/>
      <x:c r="AE157" s="100" t="n"/>
      <x:c r="AF157" s="100" t="n"/>
      <x:c r="AG157" s="100" t="n"/>
      <x:c r="AH157" s="100" t="n"/>
      <x:c r="AI157" s="100" t="n"/>
      <x:c r="AJ157" s="100" t="n"/>
      <x:c r="AK157" s="100" t="n"/>
      <x:c r="AM157" s="100" t="n"/>
      <x:c r="AO157" s="100" t="n"/>
    </x:row>
    <x:row r="158" s="27" customFormat="1">
      <x:c r="A158" s="38" t="n"/>
      <x:c r="B158" s="37" t="n"/>
      <x:c r="C158" s="36" t="n">
        <x:f>E158*D$5</x:f>
        <x:v>0</x:v>
      </x:c>
      <x:c r="D158" s="20" t="n"/>
      <x:c r="E158" s="36" t="n">
        <x:f>SUM(G158:HS158)</x:f>
        <x:v>0</x:v>
      </x:c>
      <x:c r="R158" s="100" t="n"/>
      <x:c r="S158" s="100" t="n"/>
      <x:c r="AE158" s="100" t="n"/>
      <x:c r="AF158" s="100" t="n"/>
      <x:c r="AG158" s="100" t="n"/>
      <x:c r="AH158" s="100" t="n"/>
      <x:c r="AI158" s="100" t="n"/>
      <x:c r="AJ158" s="100" t="n"/>
      <x:c r="AK158" s="100" t="n"/>
      <x:c r="AM158" s="100" t="n"/>
      <x:c r="AO158" s="100" t="n"/>
    </x:row>
    <x:row r="159" s="27" customFormat="1">
      <x:c r="A159" s="38" t="n"/>
      <x:c r="B159" s="37" t="n"/>
      <x:c r="C159" s="36" t="n">
        <x:f>E159*D$5</x:f>
        <x:v>0</x:v>
      </x:c>
      <x:c r="D159" s="20" t="n"/>
      <x:c r="E159" s="36" t="n">
        <x:f>SUM(G159:HS159)</x:f>
        <x:v>0</x:v>
      </x:c>
      <x:c r="R159" s="100" t="n"/>
      <x:c r="S159" s="100" t="n"/>
      <x:c r="AE159" s="100" t="n"/>
      <x:c r="AF159" s="100" t="n"/>
      <x:c r="AG159" s="100" t="n"/>
      <x:c r="AH159" s="100" t="n"/>
      <x:c r="AI159" s="100" t="n"/>
      <x:c r="AJ159" s="100" t="n"/>
      <x:c r="AK159" s="100" t="n"/>
      <x:c r="AM159" s="100" t="n"/>
      <x:c r="AO159" s="100" t="n"/>
    </x:row>
    <x:row r="160" s="27" customFormat="1">
      <x:c r="A160" s="38" t="n"/>
      <x:c r="B160" s="37" t="n"/>
      <x:c r="C160" s="36" t="n">
        <x:f>E160*D$5</x:f>
        <x:v>0</x:v>
      </x:c>
      <x:c r="D160" s="20" t="n"/>
      <x:c r="E160" s="36" t="n">
        <x:f>SUM(G160:HS160)</x:f>
        <x:v>0</x:v>
      </x:c>
      <x:c r="R160" s="100" t="n"/>
      <x:c r="S160" s="100" t="n"/>
      <x:c r="AE160" s="100" t="n"/>
      <x:c r="AF160" s="100" t="n"/>
      <x:c r="AG160" s="100" t="n"/>
      <x:c r="AH160" s="100" t="n"/>
      <x:c r="AI160" s="100" t="n"/>
      <x:c r="AJ160" s="100" t="n"/>
      <x:c r="AK160" s="100" t="n"/>
      <x:c r="AM160" s="100" t="n"/>
      <x:c r="AO160" s="100" t="n"/>
    </x:row>
    <x:row r="161" s="27" customFormat="1">
      <x:c r="A161" s="38" t="n"/>
      <x:c r="B161" s="37" t="n"/>
      <x:c r="C161" s="36" t="n">
        <x:f>E161*D$5</x:f>
        <x:v>0</x:v>
      </x:c>
      <x:c r="D161" s="20" t="n"/>
      <x:c r="E161" s="36" t="n">
        <x:f>SUM(G161:HS161)</x:f>
        <x:v>0</x:v>
      </x:c>
      <x:c r="R161" s="100" t="n"/>
      <x:c r="S161" s="100" t="n"/>
      <x:c r="AE161" s="100" t="n"/>
      <x:c r="AF161" s="100" t="n"/>
      <x:c r="AG161" s="100" t="n"/>
      <x:c r="AH161" s="100" t="n"/>
      <x:c r="AI161" s="100" t="n"/>
      <x:c r="AJ161" s="100" t="n"/>
      <x:c r="AK161" s="100" t="n"/>
      <x:c r="AM161" s="100" t="n"/>
      <x:c r="AO161" s="100" t="n"/>
    </x:row>
    <x:row r="162" s="27" customFormat="1">
      <x:c r="A162" s="38" t="n"/>
      <x:c r="B162" s="37" t="n"/>
      <x:c r="C162" s="36" t="n">
        <x:f>E162*D$5</x:f>
        <x:v>0</x:v>
      </x:c>
      <x:c r="D162" s="20" t="n"/>
      <x:c r="E162" s="36" t="n">
        <x:f>SUM(G162:HS162)</x:f>
        <x:v>0</x:v>
      </x:c>
      <x:c r="R162" s="100" t="n"/>
      <x:c r="S162" s="100" t="n"/>
      <x:c r="AE162" s="100" t="n"/>
      <x:c r="AF162" s="100" t="n"/>
      <x:c r="AG162" s="100" t="n"/>
      <x:c r="AH162" s="100" t="n"/>
      <x:c r="AI162" s="100" t="n"/>
      <x:c r="AJ162" s="100" t="n"/>
      <x:c r="AK162" s="100" t="n"/>
      <x:c r="AM162" s="100" t="n"/>
      <x:c r="AO162" s="100" t="n"/>
    </x:row>
    <x:row r="163" s="27" customFormat="1">
      <x:c r="A163" s="38" t="n"/>
      <x:c r="B163" s="37" t="n"/>
      <x:c r="C163" s="36" t="n">
        <x:f>E163*D$5</x:f>
        <x:v>0</x:v>
      </x:c>
      <x:c r="D163" s="20" t="n"/>
      <x:c r="E163" s="36" t="n">
        <x:f>SUM(G163:HS163)</x:f>
        <x:v>0</x:v>
      </x:c>
      <x:c r="R163" s="100" t="n"/>
      <x:c r="S163" s="100" t="n"/>
      <x:c r="AE163" s="100" t="n"/>
      <x:c r="AF163" s="100" t="n"/>
      <x:c r="AG163" s="100" t="n"/>
      <x:c r="AH163" s="100" t="n"/>
      <x:c r="AI163" s="100" t="n"/>
      <x:c r="AJ163" s="100" t="n"/>
      <x:c r="AK163" s="100" t="n"/>
      <x:c r="AM163" s="100" t="n"/>
      <x:c r="AO163" s="100" t="n"/>
    </x:row>
    <x:row r="164" s="27" customFormat="1">
      <x:c r="A164" s="38" t="n"/>
      <x:c r="B164" s="37" t="n"/>
      <x:c r="C164" s="36" t="n">
        <x:f>E164*D$5</x:f>
        <x:v>0</x:v>
      </x:c>
      <x:c r="D164" s="20" t="n"/>
      <x:c r="E164" s="36" t="n">
        <x:f>SUM(G164:HS164)</x:f>
        <x:v>0</x:v>
      </x:c>
      <x:c r="R164" s="100" t="n"/>
      <x:c r="S164" s="100" t="n"/>
      <x:c r="AE164" s="100" t="n"/>
      <x:c r="AF164" s="100" t="n"/>
      <x:c r="AG164" s="100" t="n"/>
      <x:c r="AH164" s="100" t="n"/>
      <x:c r="AI164" s="100" t="n"/>
      <x:c r="AJ164" s="100" t="n"/>
      <x:c r="AK164" s="100" t="n"/>
      <x:c r="AM164" s="100" t="n"/>
      <x:c r="AO164" s="100" t="n"/>
    </x:row>
    <x:row r="165" s="27" customFormat="1">
      <x:c r="A165" s="38" t="n"/>
      <x:c r="B165" s="37" t="n"/>
      <x:c r="C165" s="36" t="n">
        <x:f>E165*D$5</x:f>
        <x:v>0</x:v>
      </x:c>
      <x:c r="D165" s="20" t="n"/>
      <x:c r="E165" s="36" t="n">
        <x:f>SUM(G165:HS165)</x:f>
        <x:v>0</x:v>
      </x:c>
      <x:c r="R165" s="100" t="n"/>
      <x:c r="S165" s="100" t="n"/>
      <x:c r="AE165" s="100" t="n"/>
      <x:c r="AF165" s="100" t="n"/>
      <x:c r="AG165" s="100" t="n"/>
      <x:c r="AH165" s="100" t="n"/>
      <x:c r="AI165" s="100" t="n"/>
      <x:c r="AJ165" s="100" t="n"/>
      <x:c r="AK165" s="100" t="n"/>
      <x:c r="AM165" s="100" t="n"/>
      <x:c r="AO165" s="100" t="n"/>
    </x:row>
    <x:row r="166" s="27" customFormat="1">
      <x:c r="A166" s="38" t="n"/>
      <x:c r="B166" s="37" t="n"/>
      <x:c r="C166" s="36" t="n">
        <x:f>E166*D$5</x:f>
        <x:v>0</x:v>
      </x:c>
      <x:c r="D166" s="20" t="n"/>
      <x:c r="E166" s="36" t="n">
        <x:f>SUM(G166:HS166)</x:f>
        <x:v>0</x:v>
      </x:c>
      <x:c r="R166" s="100" t="n"/>
      <x:c r="S166" s="100" t="n"/>
      <x:c r="AE166" s="100" t="n"/>
      <x:c r="AF166" s="100" t="n"/>
      <x:c r="AG166" s="100" t="n"/>
      <x:c r="AH166" s="100" t="n"/>
      <x:c r="AI166" s="100" t="n"/>
      <x:c r="AJ166" s="100" t="n"/>
      <x:c r="AK166" s="100" t="n"/>
      <x:c r="AM166" s="100" t="n"/>
      <x:c r="AO166" s="100" t="n"/>
    </x:row>
    <x:row r="167" s="27" customFormat="1">
      <x:c r="A167" s="38" t="n"/>
      <x:c r="B167" s="37" t="n"/>
      <x:c r="C167" s="36" t="n">
        <x:f>E167*D$5</x:f>
        <x:v>0</x:v>
      </x:c>
      <x:c r="D167" s="20" t="n"/>
      <x:c r="E167" s="36" t="n">
        <x:f>SUM(G167:HS167)</x:f>
        <x:v>0</x:v>
      </x:c>
      <x:c r="R167" s="100" t="n"/>
      <x:c r="S167" s="100" t="n"/>
      <x:c r="AE167" s="100" t="n"/>
      <x:c r="AF167" s="100" t="n"/>
      <x:c r="AG167" s="100" t="n"/>
      <x:c r="AH167" s="100" t="n"/>
      <x:c r="AI167" s="100" t="n"/>
      <x:c r="AJ167" s="100" t="n"/>
      <x:c r="AK167" s="100" t="n"/>
      <x:c r="AM167" s="100" t="n"/>
      <x:c r="AO167" s="100" t="n"/>
    </x:row>
    <x:row r="168" s="27" customFormat="1">
      <x:c r="A168" s="38" t="n"/>
      <x:c r="B168" s="37" t="n"/>
      <x:c r="C168" s="36" t="n">
        <x:f>E168*D$5</x:f>
        <x:v>0</x:v>
      </x:c>
      <x:c r="D168" s="20" t="n"/>
      <x:c r="E168" s="36" t="n">
        <x:f>SUM(G168:HS168)</x:f>
        <x:v>0</x:v>
      </x:c>
      <x:c r="R168" s="100" t="n"/>
      <x:c r="S168" s="100" t="n"/>
      <x:c r="AE168" s="100" t="n"/>
      <x:c r="AF168" s="100" t="n"/>
      <x:c r="AG168" s="100" t="n"/>
      <x:c r="AH168" s="100" t="n"/>
      <x:c r="AI168" s="100" t="n"/>
      <x:c r="AJ168" s="100" t="n"/>
      <x:c r="AK168" s="100" t="n"/>
      <x:c r="AM168" s="100" t="n"/>
      <x:c r="AO168" s="100" t="n"/>
    </x:row>
    <x:row r="169" s="27" customFormat="1">
      <x:c r="A169" s="38" t="n"/>
      <x:c r="B169" s="37" t="n"/>
      <x:c r="C169" s="36" t="n">
        <x:f>E169*D$5</x:f>
        <x:v>0</x:v>
      </x:c>
      <x:c r="D169" s="20" t="n"/>
      <x:c r="E169" s="36" t="n">
        <x:f>SUM(G169:HS169)</x:f>
        <x:v>0</x:v>
      </x:c>
      <x:c r="R169" s="100" t="n"/>
      <x:c r="S169" s="100" t="n"/>
      <x:c r="AE169" s="100" t="n"/>
      <x:c r="AF169" s="100" t="n"/>
      <x:c r="AG169" s="100" t="n"/>
      <x:c r="AH169" s="100" t="n"/>
      <x:c r="AI169" s="100" t="n"/>
      <x:c r="AJ169" s="100" t="n"/>
      <x:c r="AK169" s="100" t="n"/>
      <x:c r="AM169" s="100" t="n"/>
      <x:c r="AO169" s="100" t="n"/>
    </x:row>
    <x:row r="170" s="27" customFormat="1">
      <x:c r="A170" s="38" t="n"/>
      <x:c r="B170" s="37" t="n"/>
      <x:c r="C170" s="36" t="n">
        <x:f>E170*D$5</x:f>
        <x:v>0</x:v>
      </x:c>
      <x:c r="D170" s="20" t="n"/>
      <x:c r="E170" s="36" t="n">
        <x:f>SUM(G170:HS170)</x:f>
        <x:v>0</x:v>
      </x:c>
      <x:c r="R170" s="100" t="n"/>
      <x:c r="S170" s="100" t="n"/>
      <x:c r="AE170" s="100" t="n"/>
      <x:c r="AF170" s="100" t="n"/>
      <x:c r="AG170" s="100" t="n"/>
      <x:c r="AH170" s="100" t="n"/>
      <x:c r="AI170" s="100" t="n"/>
      <x:c r="AJ170" s="100" t="n"/>
      <x:c r="AK170" s="100" t="n"/>
      <x:c r="AM170" s="100" t="n"/>
      <x:c r="AO170" s="100" t="n"/>
    </x:row>
    <x:row r="171" s="27" customFormat="1">
      <x:c r="A171" s="38" t="n"/>
      <x:c r="B171" s="37" t="n"/>
      <x:c r="C171" s="36" t="n">
        <x:f>E171*D$5</x:f>
        <x:v>0</x:v>
      </x:c>
      <x:c r="D171" s="20" t="n"/>
      <x:c r="E171" s="36" t="n">
        <x:f>SUM(G171:HS171)</x:f>
        <x:v>0</x:v>
      </x:c>
      <x:c r="R171" s="100" t="n"/>
      <x:c r="S171" s="100" t="n"/>
      <x:c r="AE171" s="100" t="n"/>
      <x:c r="AF171" s="100" t="n"/>
      <x:c r="AG171" s="100" t="n"/>
      <x:c r="AH171" s="100" t="n"/>
      <x:c r="AI171" s="100" t="n"/>
      <x:c r="AJ171" s="100" t="n"/>
      <x:c r="AK171" s="100" t="n"/>
      <x:c r="AM171" s="100" t="n"/>
      <x:c r="AO171" s="100" t="n"/>
    </x:row>
    <x:row r="172" s="27" customFormat="1">
      <x:c r="A172" s="38" t="n"/>
      <x:c r="B172" s="37" t="n"/>
      <x:c r="C172" s="36" t="n">
        <x:f>E172*D$5</x:f>
        <x:v>0</x:v>
      </x:c>
      <x:c r="D172" s="20" t="n"/>
      <x:c r="E172" s="36" t="n">
        <x:f>SUM(G172:HS172)</x:f>
        <x:v>0</x:v>
      </x:c>
      <x:c r="R172" s="100" t="n"/>
      <x:c r="S172" s="100" t="n"/>
      <x:c r="AE172" s="100" t="n"/>
      <x:c r="AF172" s="100" t="n"/>
      <x:c r="AG172" s="100" t="n"/>
      <x:c r="AH172" s="100" t="n"/>
      <x:c r="AI172" s="100" t="n"/>
      <x:c r="AJ172" s="100" t="n"/>
      <x:c r="AK172" s="100" t="n"/>
      <x:c r="AM172" s="100" t="n"/>
      <x:c r="AO172" s="100" t="n"/>
    </x:row>
    <x:row r="173" s="27" customFormat="1">
      <x:c r="A173" s="38" t="n"/>
      <x:c r="B173" s="37" t="n"/>
      <x:c r="C173" s="36" t="n">
        <x:f>E173*D$5</x:f>
        <x:v>0</x:v>
      </x:c>
      <x:c r="D173" s="20" t="n"/>
      <x:c r="E173" s="36" t="n">
        <x:f>SUM(G173:HS173)</x:f>
        <x:v>0</x:v>
      </x:c>
      <x:c r="R173" s="100" t="n"/>
      <x:c r="S173" s="100" t="n"/>
      <x:c r="AE173" s="100" t="n"/>
      <x:c r="AF173" s="100" t="n"/>
      <x:c r="AG173" s="100" t="n"/>
      <x:c r="AH173" s="100" t="n"/>
      <x:c r="AI173" s="100" t="n"/>
      <x:c r="AJ173" s="100" t="n"/>
      <x:c r="AK173" s="100" t="n"/>
      <x:c r="AM173" s="100" t="n"/>
      <x:c r="AO173" s="100" t="n"/>
    </x:row>
    <x:row r="174" s="27" customFormat="1">
      <x:c r="A174" s="38" t="n"/>
      <x:c r="B174" s="37" t="n"/>
      <x:c r="C174" s="36" t="n">
        <x:f>E174*D$5</x:f>
        <x:v>0</x:v>
      </x:c>
      <x:c r="D174" s="20" t="n"/>
      <x:c r="E174" s="36" t="n">
        <x:f>SUM(G174:HS174)</x:f>
        <x:v>0</x:v>
      </x:c>
      <x:c r="R174" s="100" t="n"/>
      <x:c r="S174" s="100" t="n"/>
      <x:c r="AE174" s="100" t="n"/>
      <x:c r="AF174" s="100" t="n"/>
      <x:c r="AG174" s="100" t="n"/>
      <x:c r="AH174" s="100" t="n"/>
      <x:c r="AI174" s="100" t="n"/>
      <x:c r="AJ174" s="100" t="n"/>
      <x:c r="AK174" s="100" t="n"/>
      <x:c r="AM174" s="100" t="n"/>
      <x:c r="AO174" s="100" t="n"/>
    </x:row>
    <x:row r="175" s="27" customFormat="1">
      <x:c r="A175" s="38" t="n"/>
      <x:c r="B175" s="37" t="n"/>
      <x:c r="C175" s="36" t="n">
        <x:f>E175*D$5</x:f>
        <x:v>0</x:v>
      </x:c>
      <x:c r="D175" s="20" t="n"/>
      <x:c r="E175" s="36" t="n">
        <x:f>SUM(G175:HS175)</x:f>
        <x:v>0</x:v>
      </x:c>
      <x:c r="R175" s="100" t="n"/>
      <x:c r="S175" s="100" t="n"/>
      <x:c r="AE175" s="100" t="n"/>
      <x:c r="AF175" s="100" t="n"/>
      <x:c r="AG175" s="100" t="n"/>
      <x:c r="AH175" s="100" t="n"/>
      <x:c r="AI175" s="100" t="n"/>
      <x:c r="AJ175" s="100" t="n"/>
      <x:c r="AK175" s="100" t="n"/>
      <x:c r="AM175" s="100" t="n"/>
      <x:c r="AO175" s="100" t="n"/>
    </x:row>
    <x:row r="176" s="27" customFormat="1">
      <x:c r="A176" s="38" t="n"/>
      <x:c r="B176" s="37" t="n"/>
      <x:c r="C176" s="36" t="n">
        <x:f>E176*D$5</x:f>
        <x:v>0</x:v>
      </x:c>
      <x:c r="D176" s="20" t="n"/>
      <x:c r="E176" s="36" t="n">
        <x:f>SUM(G176:HS176)</x:f>
        <x:v>0</x:v>
      </x:c>
      <x:c r="R176" s="100" t="n"/>
      <x:c r="S176" s="100" t="n"/>
      <x:c r="AE176" s="100" t="n"/>
      <x:c r="AF176" s="100" t="n"/>
      <x:c r="AG176" s="100" t="n"/>
      <x:c r="AH176" s="100" t="n"/>
      <x:c r="AI176" s="100" t="n"/>
      <x:c r="AJ176" s="100" t="n"/>
      <x:c r="AK176" s="100" t="n"/>
      <x:c r="AM176" s="100" t="n"/>
      <x:c r="AO176" s="100" t="n"/>
    </x:row>
    <x:row r="177" s="27" customFormat="1">
      <x:c r="A177" s="38" t="n"/>
      <x:c r="B177" s="37" t="n"/>
      <x:c r="C177" s="36" t="n">
        <x:f>E177*D$5</x:f>
        <x:v>0</x:v>
      </x:c>
      <x:c r="D177" s="20" t="n"/>
      <x:c r="E177" s="36" t="n">
        <x:f>SUM(G177:HS177)</x:f>
        <x:v>0</x:v>
      </x:c>
      <x:c r="R177" s="100" t="n"/>
      <x:c r="S177" s="100" t="n"/>
      <x:c r="AE177" s="100" t="n"/>
      <x:c r="AF177" s="100" t="n"/>
      <x:c r="AG177" s="100" t="n"/>
      <x:c r="AH177" s="100" t="n"/>
      <x:c r="AI177" s="100" t="n"/>
      <x:c r="AJ177" s="100" t="n"/>
      <x:c r="AK177" s="100" t="n"/>
      <x:c r="AM177" s="100" t="n"/>
      <x:c r="AO177" s="100" t="n"/>
    </x:row>
    <x:row r="178" s="27" customFormat="1">
      <x:c r="A178" s="38" t="n"/>
      <x:c r="B178" s="37" t="n"/>
      <x:c r="C178" s="36" t="n">
        <x:f>E178*D$5</x:f>
        <x:v>0</x:v>
      </x:c>
      <x:c r="D178" s="20" t="n"/>
      <x:c r="E178" s="36" t="n">
        <x:f>SUM(G178:HS178)</x:f>
        <x:v>0</x:v>
      </x:c>
      <x:c r="R178" s="100" t="n"/>
      <x:c r="S178" s="100" t="n"/>
      <x:c r="AE178" s="100" t="n"/>
      <x:c r="AF178" s="100" t="n"/>
      <x:c r="AG178" s="100" t="n"/>
      <x:c r="AH178" s="100" t="n"/>
      <x:c r="AI178" s="100" t="n"/>
      <x:c r="AJ178" s="100" t="n"/>
      <x:c r="AK178" s="100" t="n"/>
      <x:c r="AM178" s="100" t="n"/>
      <x:c r="AO178" s="100" t="n"/>
    </x:row>
    <x:row r="179" s="27" customFormat="1">
      <x:c r="A179" s="38" t="n"/>
      <x:c r="B179" s="37" t="n"/>
      <x:c r="C179" s="36" t="n">
        <x:f>E179*D$5</x:f>
        <x:v>0</x:v>
      </x:c>
      <x:c r="D179" s="20" t="n"/>
      <x:c r="E179" s="36" t="n">
        <x:f>SUM(G179:HS179)</x:f>
        <x:v>0</x:v>
      </x:c>
      <x:c r="R179" s="100" t="n"/>
      <x:c r="S179" s="100" t="n"/>
      <x:c r="AE179" s="100" t="n"/>
      <x:c r="AF179" s="100" t="n"/>
      <x:c r="AG179" s="100" t="n"/>
      <x:c r="AH179" s="100" t="n"/>
      <x:c r="AI179" s="100" t="n"/>
      <x:c r="AJ179" s="100" t="n"/>
      <x:c r="AK179" s="100" t="n"/>
      <x:c r="AM179" s="100" t="n"/>
      <x:c r="AO179" s="100" t="n"/>
    </x:row>
    <x:row r="180" s="27" customFormat="1">
      <x:c r="A180" s="38" t="n"/>
      <x:c r="B180" s="37" t="n"/>
      <x:c r="C180" s="36" t="n">
        <x:f>E180*D$5</x:f>
        <x:v>0</x:v>
      </x:c>
      <x:c r="D180" s="20" t="n"/>
      <x:c r="E180" s="36" t="n">
        <x:f>SUM(G180:HS180)</x:f>
        <x:v>0</x:v>
      </x:c>
      <x:c r="R180" s="100" t="n"/>
      <x:c r="S180" s="100" t="n"/>
      <x:c r="AE180" s="100" t="n"/>
      <x:c r="AF180" s="100" t="n"/>
      <x:c r="AG180" s="100" t="n"/>
      <x:c r="AH180" s="100" t="n"/>
      <x:c r="AI180" s="100" t="n"/>
      <x:c r="AJ180" s="100" t="n"/>
      <x:c r="AK180" s="100" t="n"/>
      <x:c r="AM180" s="100" t="n"/>
      <x:c r="AO180" s="100" t="n"/>
    </x:row>
    <x:row r="181" s="27" customFormat="1">
      <x:c r="A181" s="38" t="n"/>
      <x:c r="B181" s="37" t="n"/>
      <x:c r="C181" s="36" t="n">
        <x:f>E181*D$5</x:f>
        <x:v>0</x:v>
      </x:c>
      <x:c r="D181" s="20" t="n"/>
      <x:c r="E181" s="36" t="n">
        <x:f>SUM(G181:HS181)</x:f>
        <x:v>0</x:v>
      </x:c>
      <x:c r="R181" s="100" t="n"/>
      <x:c r="S181" s="100" t="n"/>
      <x:c r="AE181" s="100" t="n"/>
      <x:c r="AF181" s="100" t="n"/>
      <x:c r="AG181" s="100" t="n"/>
      <x:c r="AH181" s="100" t="n"/>
      <x:c r="AI181" s="100" t="n"/>
      <x:c r="AJ181" s="100" t="n"/>
      <x:c r="AK181" s="100" t="n"/>
      <x:c r="AM181" s="100" t="n"/>
      <x:c r="AO181" s="100" t="n"/>
    </x:row>
    <x:row r="182" s="27" customFormat="1">
      <x:c r="A182" s="38" t="n"/>
      <x:c r="B182" s="37" t="n"/>
      <x:c r="C182" s="36" t="n">
        <x:f>E182*D$5</x:f>
        <x:v>0</x:v>
      </x:c>
      <x:c r="D182" s="20" t="n"/>
      <x:c r="E182" s="36" t="n">
        <x:f>SUM(G182:HS182)</x:f>
        <x:v>0</x:v>
      </x:c>
      <x:c r="R182" s="100" t="n"/>
      <x:c r="S182" s="100" t="n"/>
      <x:c r="AE182" s="100" t="n"/>
      <x:c r="AF182" s="100" t="n"/>
      <x:c r="AG182" s="100" t="n"/>
      <x:c r="AH182" s="100" t="n"/>
      <x:c r="AI182" s="100" t="n"/>
      <x:c r="AJ182" s="100" t="n"/>
      <x:c r="AK182" s="100" t="n"/>
      <x:c r="AM182" s="100" t="n"/>
      <x:c r="AO182" s="100" t="n"/>
    </x:row>
    <x:row r="183" s="27" customFormat="1">
      <x:c r="A183" s="38" t="n"/>
      <x:c r="B183" s="37" t="n"/>
      <x:c r="C183" s="36" t="n">
        <x:f>E183*D$5</x:f>
        <x:v>0</x:v>
      </x:c>
      <x:c r="D183" s="20" t="n"/>
      <x:c r="E183" s="36" t="n">
        <x:f>SUM(G183:HS183)</x:f>
        <x:v>0</x:v>
      </x:c>
      <x:c r="R183" s="100" t="n"/>
      <x:c r="S183" s="100" t="n"/>
      <x:c r="AE183" s="100" t="n"/>
      <x:c r="AF183" s="100" t="n"/>
      <x:c r="AG183" s="100" t="n"/>
      <x:c r="AH183" s="100" t="n"/>
      <x:c r="AI183" s="100" t="n"/>
      <x:c r="AJ183" s="100" t="n"/>
      <x:c r="AK183" s="100" t="n"/>
      <x:c r="AM183" s="100" t="n"/>
      <x:c r="AO183" s="100" t="n"/>
    </x:row>
    <x:row r="184" s="27" customFormat="1">
      <x:c r="A184" s="38" t="n"/>
      <x:c r="B184" s="37" t="n"/>
      <x:c r="C184" s="36" t="n">
        <x:f>E184*D$5</x:f>
        <x:v>0</x:v>
      </x:c>
      <x:c r="D184" s="20" t="n"/>
      <x:c r="E184" s="36" t="n">
        <x:f>SUM(G184:HS184)</x:f>
        <x:v>0</x:v>
      </x:c>
      <x:c r="R184" s="100" t="n"/>
      <x:c r="S184" s="100" t="n"/>
      <x:c r="AE184" s="100" t="n"/>
      <x:c r="AF184" s="100" t="n"/>
      <x:c r="AG184" s="100" t="n"/>
      <x:c r="AH184" s="100" t="n"/>
      <x:c r="AI184" s="100" t="n"/>
      <x:c r="AJ184" s="100" t="n"/>
      <x:c r="AK184" s="100" t="n"/>
      <x:c r="AM184" s="100" t="n"/>
      <x:c r="AO184" s="100" t="n"/>
    </x:row>
    <x:row r="185" s="27" customFormat="1">
      <x:c r="A185" s="38" t="n"/>
      <x:c r="B185" s="37" t="n"/>
      <x:c r="C185" s="36" t="n">
        <x:f>E185*D$5</x:f>
        <x:v>0</x:v>
      </x:c>
      <x:c r="D185" s="20" t="n"/>
      <x:c r="E185" s="36" t="n">
        <x:f>SUM(G185:HS185)</x:f>
        <x:v>0</x:v>
      </x:c>
      <x:c r="R185" s="100" t="n"/>
      <x:c r="S185" s="100" t="n"/>
      <x:c r="AE185" s="100" t="n"/>
      <x:c r="AF185" s="100" t="n"/>
      <x:c r="AG185" s="100" t="n"/>
      <x:c r="AH185" s="100" t="n"/>
      <x:c r="AI185" s="100" t="n"/>
      <x:c r="AJ185" s="100" t="n"/>
      <x:c r="AK185" s="100" t="n"/>
      <x:c r="AM185" s="100" t="n"/>
      <x:c r="AO185" s="100" t="n"/>
    </x:row>
    <x:row r="186" s="27" customFormat="1">
      <x:c r="A186" s="38" t="n"/>
      <x:c r="B186" s="37" t="n"/>
      <x:c r="C186" s="36" t="n">
        <x:f>E186*D$5</x:f>
        <x:v>0</x:v>
      </x:c>
      <x:c r="D186" s="20" t="n"/>
      <x:c r="E186" s="36" t="n">
        <x:f>SUM(G186:HS186)</x:f>
        <x:v>0</x:v>
      </x:c>
      <x:c r="R186" s="100" t="n"/>
      <x:c r="S186" s="100" t="n"/>
      <x:c r="AE186" s="100" t="n"/>
      <x:c r="AF186" s="100" t="n"/>
      <x:c r="AG186" s="100" t="n"/>
      <x:c r="AH186" s="100" t="n"/>
      <x:c r="AI186" s="100" t="n"/>
      <x:c r="AJ186" s="100" t="n"/>
      <x:c r="AK186" s="100" t="n"/>
      <x:c r="AM186" s="100" t="n"/>
      <x:c r="AO186" s="100" t="n"/>
    </x:row>
    <x:row r="187" s="27" customFormat="1">
      <x:c r="A187" s="38" t="n"/>
      <x:c r="B187" s="37" t="n"/>
      <x:c r="C187" s="36" t="n">
        <x:f>E187*D$5</x:f>
        <x:v>0</x:v>
      </x:c>
      <x:c r="D187" s="20" t="n"/>
      <x:c r="E187" s="36" t="n">
        <x:f>SUM(G187:HS187)</x:f>
        <x:v>0</x:v>
      </x:c>
      <x:c r="R187" s="100" t="n"/>
      <x:c r="S187" s="100" t="n"/>
      <x:c r="AE187" s="100" t="n"/>
      <x:c r="AF187" s="100" t="n"/>
      <x:c r="AG187" s="100" t="n"/>
      <x:c r="AH187" s="100" t="n"/>
      <x:c r="AI187" s="100" t="n"/>
      <x:c r="AJ187" s="100" t="n"/>
      <x:c r="AK187" s="100" t="n"/>
      <x:c r="AM187" s="100" t="n"/>
      <x:c r="AO187" s="100" t="n"/>
    </x:row>
    <x:row r="188" s="27" customFormat="1">
      <x:c r="A188" s="38" t="n"/>
      <x:c r="B188" s="37" t="n"/>
      <x:c r="C188" s="36" t="n">
        <x:f>E188*D$5</x:f>
        <x:v>0</x:v>
      </x:c>
      <x:c r="D188" s="20" t="n"/>
      <x:c r="E188" s="36" t="n">
        <x:f>SUM(G188:HS188)</x:f>
        <x:v>0</x:v>
      </x:c>
      <x:c r="R188" s="100" t="n"/>
      <x:c r="S188" s="100" t="n"/>
      <x:c r="AE188" s="100" t="n"/>
      <x:c r="AF188" s="100" t="n"/>
      <x:c r="AG188" s="100" t="n"/>
      <x:c r="AH188" s="100" t="n"/>
      <x:c r="AI188" s="100" t="n"/>
      <x:c r="AJ188" s="100" t="n"/>
      <x:c r="AK188" s="100" t="n"/>
      <x:c r="AM188" s="100" t="n"/>
      <x:c r="AO188" s="100" t="n"/>
    </x:row>
    <x:row r="189" s="27" customFormat="1">
      <x:c r="A189" s="38" t="n"/>
      <x:c r="B189" s="37" t="n"/>
      <x:c r="C189" s="36" t="n">
        <x:f>E189*D$5</x:f>
        <x:v>0</x:v>
      </x:c>
      <x:c r="D189" s="20" t="n"/>
      <x:c r="E189" s="36" t="n">
        <x:f>SUM(G189:HS189)</x:f>
        <x:v>0</x:v>
      </x:c>
      <x:c r="R189" s="100" t="n"/>
      <x:c r="S189" s="100" t="n"/>
      <x:c r="AE189" s="100" t="n"/>
      <x:c r="AF189" s="100" t="n"/>
      <x:c r="AG189" s="100" t="n"/>
      <x:c r="AH189" s="100" t="n"/>
      <x:c r="AI189" s="100" t="n"/>
      <x:c r="AJ189" s="100" t="n"/>
      <x:c r="AK189" s="100" t="n"/>
      <x:c r="AM189" s="100" t="n"/>
      <x:c r="AO189" s="100" t="n"/>
    </x:row>
    <x:row r="190" s="27" customFormat="1">
      <x:c r="A190" s="38" t="n"/>
      <x:c r="B190" s="37" t="n"/>
      <x:c r="C190" s="36" t="n">
        <x:f>E190*D$5</x:f>
        <x:v>0</x:v>
      </x:c>
      <x:c r="D190" s="20" t="n"/>
      <x:c r="E190" s="36" t="n">
        <x:f>SUM(G190:HS190)</x:f>
        <x:v>0</x:v>
      </x:c>
      <x:c r="R190" s="100" t="n"/>
      <x:c r="S190" s="100" t="n"/>
      <x:c r="AE190" s="100" t="n"/>
      <x:c r="AF190" s="100" t="n"/>
      <x:c r="AG190" s="100" t="n"/>
      <x:c r="AH190" s="100" t="n"/>
      <x:c r="AI190" s="100" t="n"/>
      <x:c r="AJ190" s="100" t="n"/>
      <x:c r="AK190" s="100" t="n"/>
      <x:c r="AM190" s="100" t="n"/>
      <x:c r="AO190" s="100" t="n"/>
    </x:row>
    <x:row r="191" s="27" customFormat="1">
      <x:c r="A191" s="38" t="n"/>
      <x:c r="B191" s="37" t="n"/>
      <x:c r="C191" s="36" t="n">
        <x:f>E191*D$5</x:f>
        <x:v>0</x:v>
      </x:c>
      <x:c r="D191" s="20" t="n"/>
      <x:c r="E191" s="36" t="n">
        <x:f>SUM(G191:HS191)</x:f>
        <x:v>0</x:v>
      </x:c>
      <x:c r="R191" s="100" t="n"/>
      <x:c r="S191" s="100" t="n"/>
      <x:c r="AE191" s="100" t="n"/>
      <x:c r="AF191" s="100" t="n"/>
      <x:c r="AG191" s="100" t="n"/>
      <x:c r="AH191" s="100" t="n"/>
      <x:c r="AI191" s="100" t="n"/>
      <x:c r="AJ191" s="100" t="n"/>
      <x:c r="AK191" s="100" t="n"/>
      <x:c r="AM191" s="100" t="n"/>
      <x:c r="AO191" s="100" t="n"/>
    </x:row>
    <x:row r="192" s="27" customFormat="1">
      <x:c r="A192" s="38" t="n"/>
      <x:c r="B192" s="37" t="n"/>
      <x:c r="C192" s="36" t="n">
        <x:f>E192*D$5</x:f>
        <x:v>0</x:v>
      </x:c>
      <x:c r="D192" s="20" t="n"/>
      <x:c r="E192" s="36" t="n">
        <x:f>SUM(G192:HS192)</x:f>
        <x:v>0</x:v>
      </x:c>
      <x:c r="R192" s="100" t="n"/>
      <x:c r="S192" s="100" t="n"/>
      <x:c r="AE192" s="100" t="n"/>
      <x:c r="AF192" s="100" t="n"/>
      <x:c r="AG192" s="100" t="n"/>
      <x:c r="AH192" s="100" t="n"/>
      <x:c r="AI192" s="100" t="n"/>
      <x:c r="AJ192" s="100" t="n"/>
      <x:c r="AK192" s="100" t="n"/>
      <x:c r="AM192" s="100" t="n"/>
      <x:c r="AO192" s="100" t="n"/>
    </x:row>
    <x:row r="193" s="27" customFormat="1">
      <x:c r="A193" s="38" t="n"/>
      <x:c r="B193" s="37" t="n"/>
      <x:c r="C193" s="36" t="n">
        <x:f>E193*D$5</x:f>
        <x:v>0</x:v>
      </x:c>
      <x:c r="D193" s="20" t="n"/>
      <x:c r="E193" s="36" t="n">
        <x:f>SUM(G193:HS193)</x:f>
        <x:v>0</x:v>
      </x:c>
      <x:c r="R193" s="100" t="n"/>
      <x:c r="S193" s="100" t="n"/>
      <x:c r="AE193" s="100" t="n"/>
      <x:c r="AF193" s="100" t="n"/>
      <x:c r="AG193" s="100" t="n"/>
      <x:c r="AH193" s="100" t="n"/>
      <x:c r="AI193" s="100" t="n"/>
      <x:c r="AJ193" s="100" t="n"/>
      <x:c r="AK193" s="100" t="n"/>
      <x:c r="AM193" s="100" t="n"/>
      <x:c r="AO193" s="100" t="n"/>
    </x:row>
    <x:row r="194" s="27" customFormat="1">
      <x:c r="A194" s="38" t="n"/>
      <x:c r="B194" s="37" t="n"/>
      <x:c r="C194" s="36" t="n">
        <x:f>E194*D$5</x:f>
        <x:v>0</x:v>
      </x:c>
      <x:c r="D194" s="20" t="n"/>
      <x:c r="E194" s="36" t="n">
        <x:f>SUM(G194:HS194)</x:f>
        <x:v>0</x:v>
      </x:c>
      <x:c r="R194" s="100" t="n"/>
      <x:c r="S194" s="100" t="n"/>
      <x:c r="AE194" s="100" t="n"/>
      <x:c r="AF194" s="100" t="n"/>
      <x:c r="AG194" s="100" t="n"/>
      <x:c r="AH194" s="100" t="n"/>
      <x:c r="AI194" s="100" t="n"/>
      <x:c r="AJ194" s="100" t="n"/>
      <x:c r="AK194" s="100" t="n"/>
      <x:c r="AM194" s="100" t="n"/>
      <x:c r="AO194" s="100" t="n"/>
    </x:row>
    <x:row r="195" s="27" customFormat="1">
      <x:c r="A195" s="38" t="n"/>
      <x:c r="B195" s="37" t="n"/>
      <x:c r="C195" s="36" t="n">
        <x:f>E195*D$5</x:f>
        <x:v>0</x:v>
      </x:c>
      <x:c r="D195" s="20" t="n"/>
      <x:c r="E195" s="36" t="n">
        <x:f>SUM(G195:HS195)</x:f>
        <x:v>0</x:v>
      </x:c>
      <x:c r="R195" s="100" t="n"/>
      <x:c r="S195" s="100" t="n"/>
      <x:c r="AE195" s="100" t="n"/>
      <x:c r="AF195" s="100" t="n"/>
      <x:c r="AG195" s="100" t="n"/>
      <x:c r="AH195" s="100" t="n"/>
      <x:c r="AI195" s="100" t="n"/>
      <x:c r="AJ195" s="100" t="n"/>
      <x:c r="AK195" s="100" t="n"/>
      <x:c r="AM195" s="100" t="n"/>
      <x:c r="AO195" s="100" t="n"/>
    </x:row>
    <x:row r="196" s="27" customFormat="1">
      <x:c r="A196" s="38" t="n"/>
      <x:c r="B196" s="37" t="n"/>
      <x:c r="C196" s="36" t="n">
        <x:f>E196*D$5</x:f>
        <x:v>0</x:v>
      </x:c>
      <x:c r="D196" s="20" t="n"/>
      <x:c r="E196" s="36" t="n">
        <x:f>SUM(G196:HS196)</x:f>
        <x:v>0</x:v>
      </x:c>
      <x:c r="R196" s="100" t="n"/>
      <x:c r="S196" s="100" t="n"/>
      <x:c r="AE196" s="100" t="n"/>
      <x:c r="AF196" s="100" t="n"/>
      <x:c r="AG196" s="100" t="n"/>
      <x:c r="AH196" s="100" t="n"/>
      <x:c r="AI196" s="100" t="n"/>
      <x:c r="AJ196" s="100" t="n"/>
      <x:c r="AK196" s="100" t="n"/>
      <x:c r="AM196" s="100" t="n"/>
      <x:c r="AO196" s="100" t="n"/>
    </x:row>
    <x:row r="197" s="27" customFormat="1">
      <x:c r="A197" s="38" t="n"/>
      <x:c r="B197" s="37" t="n"/>
      <x:c r="C197" s="36" t="n">
        <x:f>E197*D$5</x:f>
        <x:v>0</x:v>
      </x:c>
      <x:c r="D197" s="20" t="n"/>
      <x:c r="E197" s="36" t="n">
        <x:f>SUM(G197:HS197)</x:f>
        <x:v>0</x:v>
      </x:c>
      <x:c r="R197" s="100" t="n"/>
      <x:c r="S197" s="100" t="n"/>
      <x:c r="AE197" s="100" t="n"/>
      <x:c r="AF197" s="100" t="n"/>
      <x:c r="AG197" s="100" t="n"/>
      <x:c r="AH197" s="100" t="n"/>
      <x:c r="AI197" s="100" t="n"/>
      <x:c r="AJ197" s="100" t="n"/>
      <x:c r="AK197" s="100" t="n"/>
      <x:c r="AM197" s="100" t="n"/>
      <x:c r="AO197" s="100" t="n"/>
    </x:row>
    <x:row r="198" s="27" customFormat="1">
      <x:c r="A198" s="38" t="n"/>
      <x:c r="B198" s="37" t="n"/>
      <x:c r="C198" s="36" t="n">
        <x:f>E198*D$5</x:f>
        <x:v>0</x:v>
      </x:c>
      <x:c r="D198" s="20" t="n"/>
      <x:c r="E198" s="36" t="n">
        <x:f>SUM(G198:HS198)</x:f>
        <x:v>0</x:v>
      </x:c>
      <x:c r="R198" s="100" t="n"/>
      <x:c r="S198" s="100" t="n"/>
      <x:c r="AE198" s="100" t="n"/>
      <x:c r="AF198" s="100" t="n"/>
      <x:c r="AG198" s="100" t="n"/>
      <x:c r="AH198" s="100" t="n"/>
      <x:c r="AI198" s="100" t="n"/>
      <x:c r="AJ198" s="100" t="n"/>
      <x:c r="AK198" s="100" t="n"/>
      <x:c r="AM198" s="100" t="n"/>
      <x:c r="AO198" s="100" t="n"/>
    </x:row>
    <x:row r="199" s="27" customFormat="1">
      <x:c r="A199" s="38" t="n"/>
      <x:c r="B199" s="37" t="n"/>
      <x:c r="C199" s="36" t="n">
        <x:f>E199*D$5</x:f>
        <x:v>0</x:v>
      </x:c>
      <x:c r="D199" s="20" t="n"/>
      <x:c r="E199" s="36" t="n">
        <x:f>SUM(G199:HS199)</x:f>
        <x:v>0</x:v>
      </x:c>
      <x:c r="R199" s="100" t="n"/>
      <x:c r="S199" s="100" t="n"/>
      <x:c r="AE199" s="100" t="n"/>
      <x:c r="AF199" s="100" t="n"/>
      <x:c r="AG199" s="100" t="n"/>
      <x:c r="AH199" s="100" t="n"/>
      <x:c r="AI199" s="100" t="n"/>
      <x:c r="AJ199" s="100" t="n"/>
      <x:c r="AK199" s="100" t="n"/>
      <x:c r="AM199" s="100" t="n"/>
      <x:c r="AO199" s="100" t="n"/>
    </x:row>
    <x:row r="200" s="27" customFormat="1">
      <x:c r="A200" s="38" t="n"/>
      <x:c r="B200" s="37" t="n"/>
      <x:c r="C200" s="36" t="n">
        <x:f>E200*D$5</x:f>
        <x:v>0</x:v>
      </x:c>
      <x:c r="D200" s="20" t="n"/>
      <x:c r="E200" s="36" t="n">
        <x:f>SUM(G200:HS200)</x:f>
        <x:v>0</x:v>
      </x:c>
      <x:c r="R200" s="100" t="n"/>
      <x:c r="S200" s="100" t="n"/>
      <x:c r="AE200" s="100" t="n"/>
      <x:c r="AF200" s="100" t="n"/>
      <x:c r="AG200" s="100" t="n"/>
      <x:c r="AH200" s="100" t="n"/>
      <x:c r="AI200" s="100" t="n"/>
      <x:c r="AJ200" s="100" t="n"/>
      <x:c r="AK200" s="100" t="n"/>
      <x:c r="AM200" s="100" t="n"/>
      <x:c r="AO200" s="100" t="n"/>
    </x:row>
    <x:row r="201" s="27" customFormat="1">
      <x:c r="A201" s="38" t="n"/>
      <x:c r="B201" s="37" t="n"/>
      <x:c r="C201" s="36" t="n">
        <x:f>E201*D$5</x:f>
        <x:v>0</x:v>
      </x:c>
      <x:c r="D201" s="20" t="n"/>
      <x:c r="E201" s="36" t="n">
        <x:f>SUM(G201:HS201)</x:f>
        <x:v>0</x:v>
      </x:c>
      <x:c r="R201" s="100" t="n"/>
      <x:c r="S201" s="100" t="n"/>
      <x:c r="AE201" s="100" t="n"/>
      <x:c r="AF201" s="100" t="n"/>
      <x:c r="AG201" s="100" t="n"/>
      <x:c r="AH201" s="100" t="n"/>
      <x:c r="AI201" s="100" t="n"/>
      <x:c r="AJ201" s="100" t="n"/>
      <x:c r="AK201" s="100" t="n"/>
      <x:c r="AM201" s="102" t="n"/>
      <x:c r="AO201" s="100" t="n"/>
    </x:row>
    <x:row r="202" s="29" customFormat="1">
      <x:c r="A202" s="34" t="n"/>
      <x:c r="B202" s="33" t="n"/>
      <x:c r="C202" s="32" t="n"/>
      <x:c r="D202" s="31" t="n"/>
      <x:c r="E202" s="30" t="n"/>
      <x:c r="R202" s="100" t="n"/>
      <x:c r="S202" s="100" t="n"/>
      <x:c r="AE202" s="100" t="n"/>
      <x:c r="AF202" s="100" t="n"/>
      <x:c r="AG202" s="100" t="n"/>
      <x:c r="AH202" s="100" t="n"/>
      <x:c r="AI202" s="100" t="n"/>
      <x:c r="AJ202" s="100" t="n"/>
      <x:c r="AK202" s="100" t="n"/>
      <x:c r="AM202" s="95" t="n"/>
      <x:c r="AO202" s="100" t="n"/>
    </x:row>
    <x:row r="203" s="26" customFormat="1">
      <x:c r="A203" s="25" t="n"/>
      <x:c r="B203" s="24" t="n"/>
      <x:c r="C203" s="23" t="n"/>
      <x:c r="D203" s="22" t="n"/>
      <x:c r="E203" s="21" t="n"/>
      <x:c r="R203" s="100" t="n"/>
      <x:c r="S203" s="100" t="n"/>
      <x:c r="AE203" s="100" t="n"/>
      <x:c r="AF203" s="100" t="n"/>
      <x:c r="AG203" s="100" t="n"/>
      <x:c r="AH203" s="100" t="n"/>
      <x:c r="AI203" s="100" t="n"/>
      <x:c r="AJ203" s="100" t="n"/>
      <x:c r="AK203" s="100" t="n"/>
      <x:c r="AM203" s="95" t="n"/>
      <x:c r="AO203" s="100" t="n"/>
    </x:row>
    <x:row r="204">
      <x:c r="A204" s="25" t="n"/>
      <x:c r="B204" s="24" t="n"/>
      <x:c r="C204" s="23" t="n"/>
      <x:c r="D204" s="22" t="n"/>
      <x:c r="E204" s="21" t="n"/>
      <x:c r="R204" s="100" t="n"/>
      <x:c r="S204" s="100" t="n"/>
      <x:c r="AE204" s="100" t="n"/>
      <x:c r="AF204" s="100" t="n"/>
      <x:c r="AG204" s="100" t="n"/>
      <x:c r="AH204" s="102" t="n"/>
      <x:c r="AI204" s="102" t="n"/>
      <x:c r="AJ204" s="102" t="n"/>
      <x:c r="AK204" s="102" t="n"/>
      <x:c r="AO204" s="102" t="n"/>
    </x:row>
    <x:row r="205">
      <x:c r="R205" s="100" t="n"/>
      <x:c r="S205" s="100" t="n"/>
      <x:c r="AE205" s="102" t="n"/>
      <x:c r="AF205" s="100" t="n"/>
      <x:c r="AG205" s="100" t="n"/>
    </x:row>
    <x:row r="206">
      <x:c r="R206" s="102" t="n"/>
      <x:c r="S206" s="102" t="n"/>
      <x:c r="AF206" s="102" t="n"/>
      <x:c r="AG206" s="100" t="n"/>
    </x:row>
    <x:row r="207">
      <x:c r="AG207" s="100" t="n"/>
    </x:row>
    <x:row r="208">
      <x:c r="AG208" s="100" t="n"/>
    </x:row>
    <x:row r="209">
      <x:c r="AG209" s="100" t="n"/>
    </x:row>
    <x:row r="210">
      <x:c r="AG210" s="102" t="n"/>
    </x:row>
  </x:sheetData>
  <x:mergeCells>
    <x:mergeCell ref="CG7:CG8"/>
    <x:mergeCell ref="EX7:EX8"/>
    <x:mergeCell ref="EZ7:EZ8"/>
    <x:mergeCell ref="DH7:DH8"/>
    <x:mergeCell ref="BR7:BR8"/>
    <x:mergeCell ref="BA7:BA8"/>
    <x:mergeCell ref="BC7:BC8"/>
    <x:mergeCell ref="DT7:DT8"/>
    <x:mergeCell ref="M7:M8"/>
    <x:mergeCell ref="DV7:DV8"/>
    <x:mergeCell ref="FD7:FD8"/>
    <x:mergeCell ref="FV7:FV8"/>
    <x:mergeCell ref="BO7:BO8"/>
    <x:mergeCell ref="FX7:FX8"/>
    <x:mergeCell ref="CI7:CI8"/>
    <x:mergeCell ref="DS7:DS8"/>
    <x:mergeCell ref="E1:F1"/>
    <x:mergeCell ref="P7:P8"/>
    <x:mergeCell ref="AM7:AM8"/>
    <x:mergeCell ref="FF7:FF8"/>
    <x:mergeCell ref="CA7:CA8"/>
    <x:mergeCell ref="T7:T8"/>
    <x:mergeCell ref="V7:V8"/>
    <x:mergeCell ref="CM7:CM8"/>
    <x:mergeCell ref="AN7:AN8"/>
    <x:mergeCell ref="AP7:AP8"/>
    <x:mergeCell ref="AF7:AF8"/>
    <x:mergeCell ref="DG7:DG8"/>
    <x:mergeCell ref="EO7:EO8"/>
    <x:mergeCell ref="AH7:AH8"/>
    <x:mergeCell ref="EQ7:EQ8"/>
    <x:mergeCell ref="D2:D4"/>
    <x:mergeCell ref="FI7:FI8"/>
    <x:mergeCell ref="CJ7:CJ8"/>
    <x:mergeCell ref="BB7:BB8"/>
    <x:mergeCell ref="FA7:FA8"/>
    <x:mergeCell ref="BD7:BD8"/>
    <x:mergeCell ref="FC7:FC8"/>
    <x:mergeCell ref="EN7:EN8"/>
    <x:mergeCell ref="AT7:AT8"/>
    <x:mergeCell ref="DK7:DK8"/>
    <x:mergeCell ref="AV7:AV8"/>
    <x:mergeCell ref="CP7:CP8"/>
    <x:mergeCell ref="DM7:DM8"/>
    <x:mergeCell ref="C6:C7"/>
    <x:mergeCell ref="BF7:BF8"/>
    <x:mergeCell ref="FO7:FO8"/>
    <x:mergeCell ref="BH7:BH8"/>
    <x:mergeCell ref="E3:F3"/>
    <x:mergeCell ref="FQ7:FQ8"/>
    <x:mergeCell ref="DY7:DY8"/>
    <x:mergeCell ref="EA7:EA8"/>
    <x:mergeCell ref="DJ7:DJ8"/>
    <x:mergeCell ref="BT7:BT8"/>
    <x:mergeCell ref="B3:C3"/>
    <x:mergeCell ref="A2:A6"/>
    <x:mergeCell ref="E5:F5"/>
    <x:mergeCell ref="G7:G8"/>
    <x:mergeCell ref="DP7:DP8"/>
    <x:mergeCell ref="I7:I8"/>
    <x:mergeCell ref="BI7:BI8"/>
    <x:mergeCell ref="S7:S8"/>
    <x:mergeCell ref="EB7:EB8"/>
    <x:mergeCell ref="U7:U8"/>
    <x:mergeCell ref="FL7:FL8"/>
    <x:mergeCell ref="W7:W8"/>
    <x:mergeCell ref="E4:F4"/>
    <x:mergeCell ref="BW7:BW8"/>
    <x:mergeCell ref="CT7:CT8"/>
    <x:mergeCell ref="B2:C2"/>
    <x:mergeCell ref="CF7:CF8"/>
    <x:mergeCell ref="EF7:EF8"/>
    <x:mergeCell ref="AI7:AI8"/>
    <x:mergeCell ref="Y7:Y8"/>
    <x:mergeCell ref="EH7:EH8"/>
    <x:mergeCell ref="CZ7:CZ8"/>
    <x:mergeCell ref="AA7:AA8"/>
    <x:mergeCell ref="CR7:CR8"/>
    <x:mergeCell ref="AS7:AS8"/>
    <x:mergeCell ref="CC7:CC8"/>
    <x:mergeCell ref="AU7:AU8"/>
    <x:mergeCell ref="ET7:ET8"/>
    <x:mergeCell ref="F6:F8"/>
    <x:mergeCell ref="EV7:EV8"/>
    <x:mergeCell ref="CW7:CW8"/>
    <x:mergeCell ref="FN7:FN8"/>
    <x:mergeCell ref="CO7:CO8"/>
    <x:mergeCell ref="FP7:FP8"/>
    <x:mergeCell ref="DI7:DI8"/>
    <x:mergeCell ref="AY7:AY8"/>
    <x:mergeCell ref="AD7:AD8"/>
    <x:mergeCell ref="CU7:CU8"/>
    <x:mergeCell ref="DR7:DR8"/>
    <x:mergeCell ref="FR7:FR8"/>
    <x:mergeCell ref="BK7:BK8"/>
    <x:mergeCell ref="FT7:FT8"/>
    <x:mergeCell ref="DO7:DO8"/>
    <x:mergeCell ref="BQ7:BQ8"/>
    <x:mergeCell ref="DA7:DA8"/>
    <x:mergeCell ref="L7:L8"/>
    <x:mergeCell ref="DU7:DU8"/>
    <x:mergeCell ref="N7:N8"/>
    <x:mergeCell ref="BN7:BN8"/>
    <x:mergeCell ref="BP7:BP8"/>
    <x:mergeCell ref="EG7:EG8"/>
    <x:mergeCell ref="BZ7:BZ8"/>
    <x:mergeCell ref="CB7:CB8"/>
    <x:mergeCell ref="R7:R8"/>
    <x:mergeCell ref="CE7:CE8"/>
    <x:mergeCell ref="AJ7:AJ8"/>
    <x:mergeCell ref="CK7:CK8"/>
    <x:mergeCell ref="AL7:AL8"/>
    <x:mergeCell ref="EK7:EK8"/>
    <x:mergeCell ref="DC7:DC8"/>
    <x:mergeCell ref="EM7:EM8"/>
    <x:mergeCell ref="CN7:CN8"/>
    <x:mergeCell ref="FE7:FE8"/>
    <x:mergeCell ref="AX7:AX8"/>
    <x:mergeCell ref="FG7:FG8"/>
    <x:mergeCell ref="EW7:EW8"/>
    <x:mergeCell ref="EY7:EY8"/>
    <x:mergeCell ref="DB7:DB8"/>
    <x:mergeCell ref="CL7:CL8"/>
    <x:mergeCell ref="AG7:AG8"/>
    <x:mergeCell ref="EP7:EP8"/>
    <x:mergeCell ref="FW7:FW8"/>
    <x:mergeCell ref="FB7:FB8"/>
    <x:mergeCell ref="FY7:FY8"/>
    <x:mergeCell ref="DL7:DL8"/>
    <x:mergeCell ref="DD7:DD8"/>
    <x:mergeCell ref="BV7:BV8"/>
    <x:mergeCell ref="BE7:BE8"/>
    <x:mergeCell ref="DF7:DF8"/>
    <x:mergeCell ref="BG7:BG8"/>
    <x:mergeCell ref="O7:O8"/>
    <x:mergeCell ref="DX7:DX8"/>
    <x:mergeCell ref="Q7:Q8"/>
    <x:mergeCell ref="FH7:FH8"/>
    <x:mergeCell ref="DZ7:DZ8"/>
    <x:mergeCell ref="FZ7:FZ8"/>
    <x:mergeCell ref="BS7:BS8"/>
    <x:mergeCell ref="EJ7:EJ8"/>
    <x:mergeCell ref="BU7:BU8"/>
    <x:mergeCell ref="DW7:DW8"/>
    <x:mergeCell ref="AR7:AR8"/>
    <x:mergeCell ref="B5:C5"/>
    <x:mergeCell ref="EI7:EI8"/>
    <x:mergeCell ref="ED7:ED8"/>
    <x:mergeCell ref="AO7:AO8"/>
    <x:mergeCell ref="D6:D7"/>
    <x:mergeCell ref="BY7:BY8"/>
    <x:mergeCell ref="AQ7:AQ8"/>
    <x:mergeCell ref="B6:B8"/>
    <x:mergeCell ref="B4:C4"/>
    <x:mergeCell ref="ER7:ER8"/>
    <x:mergeCell ref="CS7:CS8"/>
    <x:mergeCell ref="FJ7:FJ8"/>
    <x:mergeCell ref="DE7:DE8"/>
    <x:mergeCell ref="X7:X8"/>
    <x:mergeCell ref="Z7:Z8"/>
    <x:mergeCell ref="CQ7:CQ8"/>
    <x:mergeCell ref="ES7:ES8"/>
    <x:mergeCell ref="EU7:EU8"/>
    <x:mergeCell ref="BM7:BM8"/>
    <x:mergeCell ref="AZ7:AZ8"/>
    <x:mergeCell ref="H7:H8"/>
    <x:mergeCell ref="DQ7:DQ8"/>
    <x:mergeCell ref="J7:J8"/>
    <x:mergeCell ref="E6:E7"/>
    <x:mergeCell ref="BJ7:BJ8"/>
    <x:mergeCell ref="AB7:AB8"/>
    <x:mergeCell ref="FS7:FS8"/>
    <x:mergeCell ref="BL7:BL8"/>
    <x:mergeCell ref="FU7:FU8"/>
    <x:mergeCell ref="FK7:FK8"/>
    <x:mergeCell ref="EC7:EC8"/>
    <x:mergeCell ref="FM7:FM8"/>
    <x:mergeCell ref="EE7:EE8"/>
    <x:mergeCell ref="DN7:DN8"/>
    <x:mergeCell ref="CD7:CD8"/>
    <x:mergeCell ref="BX7:BX8"/>
    <x:mergeCell ref="E2:F2"/>
    <x:mergeCell ref="K7:K8"/>
    <x:mergeCell ref="CY7:CY8"/>
    <x:mergeCell ref="CX7:CX8"/>
    <x:mergeCell ref="CH7:CH8"/>
    <x:mergeCell ref="AK7:AK8"/>
    <x:mergeCell ref="AC7:AC8"/>
    <x:mergeCell ref="EL7:EL8"/>
    <x:mergeCell ref="AE7:AE8"/>
    <x:mergeCell ref="CV7:CV8"/>
    <x:mergeCell ref="AW7:AW8"/>
  </x:mergeCells>
  <x:pageMargins left="0.7" right="0.7" top="0.75" bottom="0.75" header="0.3" footer="0.3"/>
</x:worksheet>
</file>

<file path=xl/worksheets/sheet9.xml><?xml version="1.0" encoding="utf-8"?>
<x:worksheet xmlns:x="http://schemas.openxmlformats.org/spreadsheetml/2006/main">
  <x:sheetFormatPr baseColWidth="8" defaultColWidth="14.42578125" defaultRowHeight="12.75"/>
  <x:cols>
    <x:col min="1" max="1" width="8.140625" style="19" customWidth="1"/>
    <x:col min="2" max="2" width="6.85546875" style="18" customWidth="1"/>
    <x:col min="3" max="3" width="13.28515625" style="17" customWidth="1"/>
    <x:col min="4" max="4" width="50.42578125" style="16" customWidth="1"/>
    <x:col min="5" max="5" width="11.140625" style="15" customWidth="1"/>
    <x:col min="6" max="6" width="6.85546875" style="13" customWidth="1"/>
    <x:col min="7" max="17" width="13" style="13" customWidth="1"/>
    <x:col min="18" max="19" width="13" style="95" customWidth="1"/>
    <x:col min="20" max="30" width="13" style="13" customWidth="1"/>
    <x:col min="31" max="37" width="13" style="95" customWidth="1"/>
    <x:col min="38" max="38" width="13" style="13" customWidth="1"/>
    <x:col min="39" max="39" width="13" style="95" customWidth="1"/>
    <x:col min="40" max="40" width="13" style="13" customWidth="1"/>
    <x:col min="41" max="41" width="13" style="95" customWidth="1"/>
    <x:col min="42" max="183" width="13" style="13" customWidth="1"/>
    <x:col min="184" max="184" width="13" style="14" customWidth="1"/>
    <x:col min="185" max="187" width="13" style="13" customWidth="1"/>
    <x:col min="188" max="16384" width="14.42578125" style="13" customWidth="1"/>
  </x:cols>
  <x:sheetData>
    <x:row r="1" s="569" customFormat="1" ht="13.5" customHeight="1">
      <x:c r="E1" s="477" t="inlineStr">
        <x:is>
          <x:t xml:space="preserve">Instrument</x:t>
        </x:is>
      </x:c>
      <x:c r="F1" s="592" t="n"/>
      <x:c r="G1" s="63" t="inlineStr">
        <x:is>
          <x:t xml:space="preserve"/>
        </x:is>
      </x:c>
      <x:c r="H1" s="116" t="inlineStr">
        <x:is>
          <x:t xml:space="preserve">PAT</x:t>
        </x:is>
      </x:c>
      <x:c r="I1" s="116" t="inlineStr">
        <x:is>
          <x:t xml:space="preserve">DEED</x:t>
        </x:is>
      </x:c>
      <x:c r="J1" s="116" t="inlineStr">
        <x:is>
          <x:t xml:space="preserve">MD</x:t>
        </x:is>
      </x:c>
      <x:c r="K1" s="116" t="inlineStr">
        <x:is>
          <x:t xml:space="preserve">WD</x:t>
        </x:is>
      </x:c>
      <x:c r="L1" s="116" t="inlineStr">
        <x:is>
          <x:t xml:space="preserve">WD</x:t>
        </x:is>
      </x:c>
      <x:c r="M1" s="116" t="inlineStr">
        <x:is>
          <x:t xml:space="preserve">MD</x:t>
        </x:is>
      </x:c>
      <x:c r="N1" s="116" t="inlineStr">
        <x:is>
          <x:t xml:space="preserve">MD</x:t>
        </x:is>
      </x:c>
      <x:c r="O1" s="116" t="inlineStr">
        <x:is>
          <x:t xml:space="preserve">MD</x:t>
        </x:is>
      </x:c>
      <x:c r="P1" s="116" t="inlineStr">
        <x:is>
          <x:t xml:space="preserve">MD</x:t>
        </x:is>
      </x:c>
      <x:c r="Q1" s="116" t="inlineStr">
        <x:is>
          <x:t xml:space="preserve">WD</x:t>
        </x:is>
      </x:c>
      <x:c r="R1" s="116" t="inlineStr">
        <x:is>
          <x:t xml:space="preserve">JTWD</x:t>
        </x:is>
      </x:c>
      <x:c r="S1" s="116" t="inlineStr">
        <x:is>
          <x:t xml:space="preserve">DECREE</x:t>
        </x:is>
      </x:c>
      <x:c r="T1" s="116" t="inlineStr">
        <x:is>
          <x:t xml:space="preserve">MD</x:t>
        </x:is>
      </x:c>
      <x:c r="U1" s="116" t="inlineStr">
        <x:is>
          <x:t xml:space="preserve">MD</x:t>
        </x:is>
      </x:c>
      <x:c r="V1" s="116" t="inlineStr">
        <x:is>
          <x:t xml:space="preserve">MD</x:t>
        </x:is>
      </x:c>
      <x:c r="W1" s="116" t="inlineStr">
        <x:is>
          <x:t xml:space="preserve">MD</x:t>
        </x:is>
      </x:c>
      <x:c r="X1" s="116" t="inlineStr">
        <x:is>
          <x:t xml:space="preserve">MD</x:t>
        </x:is>
      </x:c>
      <x:c r="Y1" s="116" t="inlineStr">
        <x:is>
          <x:t xml:space="preserve">MD</x:t>
        </x:is>
      </x:c>
      <x:c r="Z1" s="116" t="inlineStr">
        <x:is>
          <x:t xml:space="preserve">MD</x:t>
        </x:is>
      </x:c>
      <x:c r="AA1" s="116" t="inlineStr">
        <x:is>
          <x:t xml:space="preserve">MD</x:t>
        </x:is>
      </x:c>
      <x:c r="AB1" s="116" t="inlineStr">
        <x:is>
          <x:t xml:space="preserve">MD</x:t>
        </x:is>
      </x:c>
      <x:c r="AC1" s="116" t="inlineStr">
        <x:is>
          <x:t xml:space="preserve">MD</x:t>
        </x:is>
      </x:c>
      <x:c r="AD1" s="116" t="inlineStr">
        <x:is>
          <x:t xml:space="preserve">QCD</x:t>
        </x:is>
      </x:c>
      <x:c r="AE1" s="116" t="inlineStr">
        <x:is>
          <x:t xml:space="preserve">MD</x:t>
        </x:is>
      </x:c>
      <x:c r="AF1" s="116" t="inlineStr">
        <x:is>
          <x:t xml:space="preserve">MD</x:t>
        </x:is>
      </x:c>
      <x:c r="AG1" s="116" t="inlineStr">
        <x:is>
          <x:t xml:space="preserve">MD</x:t>
        </x:is>
      </x:c>
      <x:c r="AH1" s="116" t="inlineStr">
        <x:is>
          <x:t xml:space="preserve">MD</x:t>
        </x:is>
      </x:c>
      <x:c r="AI1" s="116" t="inlineStr">
        <x:is>
          <x:t xml:space="preserve">MD</x:t>
        </x:is>
      </x:c>
      <x:c r="AJ1" s="116" t="inlineStr">
        <x:is>
          <x:t xml:space="preserve">MD</x:t>
        </x:is>
      </x:c>
      <x:c r="AK1" s="116" t="inlineStr">
        <x:is>
          <x:t xml:space="preserve">QCD</x:t>
        </x:is>
      </x:c>
      <x:c r="AL1" s="116" t="inlineStr">
        <x:is>
          <x:t xml:space="preserve">QCD</x:t>
        </x:is>
      </x:c>
      <x:c r="AM1" s="116" t="inlineStr">
        <x:is>
          <x:t xml:space="preserve">QCD</x:t>
        </x:is>
      </x:c>
      <x:c r="AN1" s="116" t="inlineStr">
        <x:is>
          <x:t xml:space="preserve">QCD</x:t>
        </x:is>
      </x:c>
      <x:c r="AO1" s="116" t="inlineStr">
        <x:is>
          <x:t xml:space="preserve">QCD</x:t>
        </x:is>
      </x:c>
      <x:c r="AP1" s="95" t="inlineStr">
        <x:is>
          <x:t xml:space="preserve">MD</x:t>
        </x:is>
      </x:c>
      <x:c r="AQ1" s="95" t="inlineStr">
        <x:is>
          <x:t xml:space="preserve">QCD</x:t>
        </x:is>
      </x:c>
      <x:c r="AR1" s="95" t="inlineStr">
        <x:is>
          <x:t xml:space="preserve">DECREE</x:t>
        </x:is>
      </x:c>
      <x:c r="AS1" s="95" t="inlineStr">
        <x:is>
          <x:t xml:space="preserve">MD</x:t>
        </x:is>
      </x:c>
      <x:c r="AT1" s="95" t="inlineStr">
        <x:is>
          <x:t xml:space="preserve">MD</x:t>
        </x:is>
      </x:c>
      <x:c r="AU1" s="95" t="inlineStr">
        <x:is>
          <x:t xml:space="preserve">MD</x:t>
        </x:is>
      </x:c>
      <x:c r="AV1" s="95" t="inlineStr">
        <x:is>
          <x:t xml:space="preserve">MD</x:t>
        </x:is>
      </x:c>
      <x:c r="AW1" s="95" t="inlineStr">
        <x:is>
          <x:t xml:space="preserve">QCD</x:t>
        </x:is>
      </x:c>
      <x:c r="AX1" s="95" t="inlineStr">
        <x:is>
          <x:t xml:space="preserve">DECREE</x:t>
        </x:is>
      </x:c>
      <x:c r="AY1" s="95" t="inlineStr">
        <x:is>
          <x:t xml:space="preserve">MD</x:t>
        </x:is>
      </x:c>
      <x:c r="AZ1" s="95" t="inlineStr">
        <x:is>
          <x:t xml:space="preserve">MD</x:t>
        </x:is>
      </x:c>
      <x:c r="BA1" s="95" t="inlineStr">
        <x:is>
          <x:t xml:space="preserve">MD</x:t>
        </x:is>
      </x:c>
      <x:c r="BB1" s="95" t="inlineStr">
        <x:is>
          <x:t xml:space="preserve">MD</x:t>
        </x:is>
      </x:c>
      <x:c r="BC1" s="95" t="inlineStr">
        <x:is>
          <x:t xml:space="preserve">DECREE</x:t>
        </x:is>
      </x:c>
      <x:c r="BD1" s="95" t="inlineStr">
        <x:is>
          <x:t xml:space="preserve">MD</x:t>
        </x:is>
      </x:c>
      <x:c r="BE1" s="95" t="inlineStr">
        <x:is>
          <x:t xml:space="preserve">DECREE</x:t>
        </x:is>
      </x:c>
      <x:c r="BF1" s="95" t="inlineStr">
        <x:is>
          <x:t xml:space="preserve">WD</x:t>
        </x:is>
      </x:c>
      <x:c r="BG1" s="95" t="inlineStr">
        <x:is>
          <x:t xml:space="preserve">DECREE</x:t>
        </x:is>
      </x:c>
      <x:c r="BH1" s="95" t="inlineStr">
        <x:is>
          <x:t xml:space="preserve">MD</x:t>
        </x:is>
      </x:c>
      <x:c r="BI1" s="95" t="inlineStr">
        <x:is>
          <x:t xml:space="preserve">MD</x:t>
        </x:is>
      </x:c>
      <x:c r="BJ1" s="95" t="inlineStr">
        <x:is>
          <x:t xml:space="preserve">MD</x:t>
        </x:is>
      </x:c>
      <x:c r="BK1" s="95" t="inlineStr">
        <x:is>
          <x:t xml:space="preserve">MD</x:t>
        </x:is>
      </x:c>
      <x:c r="BL1" s="95" t="inlineStr">
        <x:is>
          <x:t xml:space="preserve">MD</x:t>
        </x:is>
      </x:c>
      <x:c r="BM1" s="95" t="inlineStr">
        <x:is>
          <x:t xml:space="preserve">MD</x:t>
        </x:is>
      </x:c>
      <x:c r="BN1" s="95" t="inlineStr">
        <x:is>
          <x:t xml:space="preserve">MD</x:t>
        </x:is>
      </x:c>
      <x:c r="BO1" s="95" t="inlineStr">
        <x:is>
          <x:t xml:space="preserve">QCD</x:t>
        </x:is>
      </x:c>
      <x:c r="BP1" s="95" t="inlineStr">
        <x:is>
          <x:t xml:space="preserve">MD</x:t>
        </x:is>
      </x:c>
      <x:c r="BQ1" s="95" t="inlineStr">
        <x:is>
          <x:t xml:space="preserve">MD</x:t>
        </x:is>
      </x:c>
      <x:c r="BR1" s="95" t="inlineStr">
        <x:is>
          <x:t xml:space="preserve">MD</x:t>
        </x:is>
      </x:c>
      <x:c r="BS1" s="95" t="inlineStr">
        <x:is>
          <x:t xml:space="preserve">MD</x:t>
        </x:is>
      </x:c>
      <x:c r="BT1" s="95" t="inlineStr">
        <x:is>
          <x:t xml:space="preserve">DECREE</x:t>
        </x:is>
      </x:c>
      <x:c r="BU1" s="95" t="inlineStr">
        <x:is>
          <x:t xml:space="preserve">MD</x:t>
        </x:is>
      </x:c>
      <x:c r="BV1" s="95" t="inlineStr">
        <x:is>
          <x:t xml:space="preserve">MD</x:t>
        </x:is>
      </x:c>
      <x:c r="BW1" s="95" t="inlineStr">
        <x:is>
          <x:t xml:space="preserve">MD</x:t>
        </x:is>
      </x:c>
      <x:c r="BX1" s="95" t="inlineStr">
        <x:is>
          <x:t xml:space="preserve">QCD</x:t>
        </x:is>
      </x:c>
      <x:c r="BY1" s="95" t="inlineStr">
        <x:is>
          <x:t xml:space="preserve">MD</x:t>
        </x:is>
      </x:c>
      <x:c r="BZ1" s="95" t="inlineStr">
        <x:is>
          <x:t xml:space="preserve">MD</x:t>
        </x:is>
      </x:c>
      <x:c r="CA1" s="95" t="inlineStr">
        <x:is>
          <x:t xml:space="preserve">WD</x:t>
        </x:is>
      </x:c>
      <x:c r="CB1" s="95" t="inlineStr">
        <x:is>
          <x:t xml:space="preserve">PAT</x:t>
        </x:is>
      </x:c>
      <x:c r="CC1" s="95" t="n"/>
      <x:c r="CD1" s="95" t="n"/>
      <x:c r="CE1" s="95" t="n"/>
      <x:c r="CF1" s="95" t="n"/>
      <x:c r="CG1" s="95" t="n"/>
      <x:c r="CH1" s="95" t="n"/>
      <x:c r="CI1" s="95" t="n"/>
      <x:c r="CJ1" s="95" t="n"/>
      <x:c r="CK1" s="95" t="n"/>
      <x:c r="CL1" s="95" t="n"/>
      <x:c r="CM1" s="95" t="n"/>
      <x:c r="CN1" s="95" t="n"/>
      <x:c r="CO1" s="95" t="n"/>
      <x:c r="CP1" s="95" t="n"/>
      <x:c r="CQ1" s="95" t="n"/>
      <x:c r="CR1" s="95" t="n"/>
      <x:c r="CS1" s="95" t="n"/>
      <x:c r="CT1" s="95" t="n"/>
      <x:c r="CU1" s="95" t="n"/>
      <x:c r="CV1" s="95" t="n"/>
      <x:c r="CW1" s="95" t="n"/>
      <x:c r="CX1" s="95" t="n"/>
      <x:c r="CY1" s="95" t="n"/>
      <x:c r="CZ1" s="95" t="n"/>
      <x:c r="DA1" s="95" t="n"/>
      <x:c r="DB1" s="95" t="n"/>
      <x:c r="DC1" s="95" t="n"/>
      <x:c r="DD1" s="95" t="n"/>
      <x:c r="DE1" s="95" t="n"/>
      <x:c r="DF1" s="95" t="n"/>
      <x:c r="DG1" s="95" t="n"/>
      <x:c r="DH1" s="95" t="n"/>
      <x:c r="DI1" s="95" t="n"/>
      <x:c r="DJ1" s="95" t="n"/>
      <x:c r="DK1" s="95" t="n"/>
      <x:c r="DL1" s="95" t="n"/>
      <x:c r="DM1" s="95" t="n"/>
      <x:c r="DN1" s="95" t="n"/>
      <x:c r="DO1" s="95" t="n"/>
      <x:c r="DP1" s="95" t="n"/>
      <x:c r="DQ1" s="95" t="n"/>
      <x:c r="DR1" s="95" t="n"/>
      <x:c r="DS1" s="95" t="n"/>
      <x:c r="DT1" s="95" t="n"/>
      <x:c r="DU1" s="95" t="n"/>
      <x:c r="DV1" s="95" t="n"/>
      <x:c r="DW1" s="95" t="n"/>
      <x:c r="DX1" s="95" t="n"/>
      <x:c r="DY1" s="95" t="n"/>
      <x:c r="DZ1" s="95" t="n"/>
      <x:c r="EA1" s="95" t="n"/>
      <x:c r="EB1" s="95" t="n"/>
      <x:c r="EC1" s="95" t="n"/>
      <x:c r="ED1" s="95" t="n"/>
      <x:c r="EE1" s="95" t="n"/>
      <x:c r="EF1" s="95" t="n"/>
      <x:c r="EG1" s="95" t="n"/>
      <x:c r="EH1" s="95" t="n"/>
      <x:c r="EI1" s="95" t="n"/>
      <x:c r="EJ1" s="95" t="n"/>
      <x:c r="EK1" s="95" t="n"/>
      <x:c r="EL1" s="95" t="n"/>
      <x:c r="EM1" s="95" t="n"/>
      <x:c r="EN1" s="95" t="n"/>
      <x:c r="EO1" s="95" t="n"/>
      <x:c r="EP1" s="95" t="n"/>
      <x:c r="EQ1" s="95" t="n"/>
      <x:c r="ER1" s="95" t="n"/>
      <x:c r="ES1" s="95" t="n"/>
      <x:c r="ET1" s="95" t="n"/>
      <x:c r="EU1" s="95" t="n"/>
      <x:c r="EV1" s="95" t="n"/>
      <x:c r="EW1" s="95" t="n"/>
      <x:c r="EX1" s="95" t="n"/>
      <x:c r="EY1" s="95" t="n"/>
      <x:c r="EZ1" s="95" t="n"/>
      <x:c r="FA1" s="95" t="n"/>
      <x:c r="FB1" s="95" t="n"/>
      <x:c r="FC1" s="95" t="n"/>
      <x:c r="FD1" s="95" t="n"/>
      <x:c r="FE1" s="95" t="n"/>
      <x:c r="FF1" s="95" t="n"/>
      <x:c r="FG1" s="95" t="n"/>
      <x:c r="FH1" s="95" t="n"/>
      <x:c r="FI1" s="95" t="n"/>
      <x:c r="FJ1" s="95" t="n"/>
      <x:c r="FK1" s="95" t="n"/>
      <x:c r="FL1" s="95" t="n"/>
      <x:c r="FM1" s="95" t="n"/>
      <x:c r="FN1" s="95" t="n"/>
      <x:c r="FO1" s="95" t="n"/>
      <x:c r="FP1" s="95" t="n"/>
      <x:c r="FQ1" s="95" t="n"/>
      <x:c r="FR1" s="95" t="n"/>
      <x:c r="FS1" s="95" t="n"/>
      <x:c r="FT1" s="95" t="n"/>
      <x:c r="FU1" s="95" t="n"/>
      <x:c r="FV1" s="95" t="n"/>
      <x:c r="FW1" s="95" t="n"/>
      <x:c r="FX1" s="95" t="n"/>
    </x:row>
    <x:row r="2" s="62" customFormat="1" ht="12.75" customHeight="1">
      <x:c r="A2" s="614" t="inlineStr">
        <x:is>
          <x:t xml:space="preserve">4</x:t>
        </x:is>
      </x:c>
      <x:c r="B2" s="615" t="inlineStr">
        <x:is>
          <x:t xml:space="preserve">TRACT</x:t>
        </x:is>
      </x:c>
      <x:c r="C2" s="593" t="n"/>
      <x:c r="D2" s="643" t="inlineStr">
        <x:is>
          <x:t xml:space="preserve">E/2 NW/4, containing 80 acres</x:t>
        </x:is>
      </x:c>
      <x:c r="E2" s="617" t="inlineStr">
        <x:is>
          <x:t xml:space="preserve">Image Number</x:t>
        </x:is>
      </x:c>
      <x:c r="F2" s="618" t="n"/>
      <x:c r="G2" s="63" t="n"/>
      <x:c r="H2" s="118" t="inlineStr">
        <x:is>
          <x:t xml:space="preserve">1907-005379</x:t>
        </x:is>
      </x:c>
      <x:c r="I2" s="118" t="inlineStr">
        <x:is>
          <x:t xml:space="preserve">1905-000429</x:t>
        </x:is>
      </x:c>
      <x:c r="J2" s="118" t="inlineStr">
        <x:is>
          <x:t xml:space="preserve">1949-001867</x:t>
        </x:is>
      </x:c>
      <x:c r="K2" s="118" t="inlineStr">
        <x:is>
          <x:t xml:space="preserve">1950-000383</x:t>
        </x:is>
      </x:c>
      <x:c r="L2" s="118" t="inlineStr">
        <x:is>
          <x:t xml:space="preserve">1953-000493</x:t>
        </x:is>
      </x:c>
      <x:c r="M2" s="118" t="inlineStr">
        <x:is>
          <x:t xml:space="preserve">1974-001639</x:t>
        </x:is>
      </x:c>
      <x:c r="N2" s="118" t="inlineStr">
        <x:is>
          <x:t xml:space="preserve">1974-001700</x:t>
        </x:is>
      </x:c>
      <x:c r="O2" s="118" t="inlineStr">
        <x:is>
          <x:t xml:space="preserve">1974-002044</x:t>
        </x:is>
      </x:c>
      <x:c r="P2" s="118" t="inlineStr">
        <x:is>
          <x:t xml:space="preserve">1975-000869</x:t>
        </x:is>
      </x:c>
      <x:c r="Q2" s="118" t="inlineStr">
        <x:is>
          <x:t xml:space="preserve">1976-003251</x:t>
        </x:is>
      </x:c>
      <x:c r="R2" s="118" t="inlineStr">
        <x:is>
          <x:t xml:space="preserve">1977-007503</x:t>
        </x:is>
      </x:c>
      <x:c r="S2" s="118" t="inlineStr">
        <x:is>
          <x:t xml:space="preserve">1979-002206</x:t>
        </x:is>
      </x:c>
      <x:c r="T2" s="118" t="inlineStr">
        <x:is>
          <x:t xml:space="preserve">1981-003445</x:t>
        </x:is>
      </x:c>
      <x:c r="U2" s="118" t="inlineStr">
        <x:is>
          <x:t xml:space="preserve">1981-005180</x:t>
        </x:is>
      </x:c>
      <x:c r="V2" s="118" t="inlineStr">
        <x:is>
          <x:t xml:space="preserve">1981-005181</x:t>
        </x:is>
      </x:c>
      <x:c r="W2" s="118" t="inlineStr">
        <x:is>
          <x:t xml:space="preserve">1981-007481</x:t>
        </x:is>
      </x:c>
      <x:c r="X2" s="118" t="inlineStr">
        <x:is>
          <x:t xml:space="preserve">1981-009501</x:t>
        </x:is>
      </x:c>
      <x:c r="Y2" s="118" t="inlineStr">
        <x:is>
          <x:t xml:space="preserve">1982-004342</x:t>
        </x:is>
      </x:c>
      <x:c r="Z2" s="118" t="inlineStr">
        <x:is>
          <x:t xml:space="preserve">1982-005352</x:t>
        </x:is>
      </x:c>
      <x:c r="AA2" s="118" t="inlineStr">
        <x:is>
          <x:t xml:space="preserve">1982-007158</x:t>
        </x:is>
      </x:c>
      <x:c r="AB2" s="118" t="inlineStr">
        <x:is>
          <x:t xml:space="preserve">1984-002943</x:t>
        </x:is>
      </x:c>
      <x:c r="AC2" s="118" t="inlineStr">
        <x:is>
          <x:t xml:space="preserve">1984-002948</x:t>
        </x:is>
      </x:c>
      <x:c r="AD2" s="118" t="inlineStr">
        <x:is>
          <x:t xml:space="preserve">1985-002650</x:t>
        </x:is>
      </x:c>
      <x:c r="AE2" s="118" t="inlineStr">
        <x:is>
          <x:t xml:space="preserve">1986-000268</x:t>
        </x:is>
      </x:c>
      <x:c r="AF2" s="118" t="inlineStr">
        <x:is>
          <x:t xml:space="preserve">1986-000656</x:t>
        </x:is>
      </x:c>
      <x:c r="AG2" s="118" t="inlineStr">
        <x:is>
          <x:t xml:space="preserve">1986-005341</x:t>
        </x:is>
      </x:c>
      <x:c r="AH2" s="118" t="inlineStr">
        <x:is>
          <x:t xml:space="preserve">1988-000762</x:t>
        </x:is>
      </x:c>
      <x:c r="AI2" s="118" t="inlineStr">
        <x:is>
          <x:t xml:space="preserve">1988-005620</x:t>
        </x:is>
      </x:c>
      <x:c r="AJ2" s="118" t="inlineStr">
        <x:is>
          <x:t xml:space="preserve">1989-006590</x:t>
        </x:is>
      </x:c>
      <x:c r="AK2" s="118" t="inlineStr">
        <x:is>
          <x:t xml:space="preserve">1990-001925</x:t>
        </x:is>
      </x:c>
      <x:c r="AL2" s="118" t="inlineStr">
        <x:is>
          <x:t xml:space="preserve">1990-002146</x:t>
        </x:is>
      </x:c>
      <x:c r="AM2" s="118" t="inlineStr">
        <x:is>
          <x:t xml:space="preserve">1990-002451</x:t>
        </x:is>
      </x:c>
      <x:c r="AN2" s="118" t="inlineStr">
        <x:is>
          <x:t xml:space="preserve">1990-003160</x:t>
        </x:is>
      </x:c>
      <x:c r="AO2" s="118" t="inlineStr">
        <x:is>
          <x:t xml:space="preserve">1990-003924</x:t>
        </x:is>
      </x:c>
      <x:c r="AP2" s="96" t="inlineStr">
        <x:is>
          <x:t xml:space="preserve">1990-005042</x:t>
        </x:is>
      </x:c>
      <x:c r="AQ2" s="96" t="inlineStr">
        <x:is>
          <x:t xml:space="preserve">1990-005043</x:t>
        </x:is>
      </x:c>
      <x:c r="AR2" s="96" t="inlineStr">
        <x:is>
          <x:t xml:space="preserve">1990-006747</x:t>
        </x:is>
      </x:c>
      <x:c r="AS2" s="96" t="inlineStr">
        <x:is>
          <x:t xml:space="preserve">1992-001067</x:t>
        </x:is>
      </x:c>
      <x:c r="AT2" s="96" t="inlineStr">
        <x:is>
          <x:t xml:space="preserve">1992-001682</x:t>
        </x:is>
      </x:c>
      <x:c r="AU2" s="96" t="inlineStr">
        <x:is>
          <x:t xml:space="preserve">1994-006415</x:t>
        </x:is>
      </x:c>
      <x:c r="AV2" s="96" t="inlineStr">
        <x:is>
          <x:t xml:space="preserve">1995-003404</x:t>
        </x:is>
      </x:c>
      <x:c r="AW2" s="96" t="inlineStr">
        <x:is>
          <x:t xml:space="preserve">1995-000748</x:t>
        </x:is>
      </x:c>
      <x:c r="AX2" s="96" t="inlineStr">
        <x:is>
          <x:t xml:space="preserve">1999-005936</x:t>
        </x:is>
      </x:c>
      <x:c r="AY2" s="96" t="inlineStr">
        <x:is>
          <x:t xml:space="preserve">2000-007685</x:t>
        </x:is>
      </x:c>
      <x:c r="AZ2" s="96" t="inlineStr">
        <x:is>
          <x:t xml:space="preserve">2001-000957</x:t>
        </x:is>
      </x:c>
      <x:c r="BA2" s="96" t="inlineStr">
        <x:is>
          <x:t xml:space="preserve">2001-001414</x:t>
        </x:is>
      </x:c>
      <x:c r="BB2" s="96" t="inlineStr">
        <x:is>
          <x:t xml:space="preserve">2001-001463</x:t>
        </x:is>
      </x:c>
      <x:c r="BC2" s="96" t="inlineStr">
        <x:is>
          <x:t xml:space="preserve">2001-002342</x:t>
        </x:is>
      </x:c>
      <x:c r="BD2" s="96" t="inlineStr">
        <x:is>
          <x:t xml:space="preserve">2002-004595</x:t>
        </x:is>
      </x:c>
      <x:c r="BE2" s="96" t="inlineStr">
        <x:is>
          <x:t xml:space="preserve">2003-005699</x:t>
        </x:is>
      </x:c>
      <x:c r="BF2" s="96" t="inlineStr">
        <x:is>
          <x:t xml:space="preserve">2003-004945</x:t>
        </x:is>
      </x:c>
      <x:c r="BG2" s="96" t="inlineStr">
        <x:is>
          <x:t xml:space="preserve">2004-000099</x:t>
        </x:is>
      </x:c>
      <x:c r="BH2" s="96" t="inlineStr">
        <x:is>
          <x:t xml:space="preserve">2004-005738</x:t>
        </x:is>
      </x:c>
      <x:c r="BI2" s="96" t="inlineStr">
        <x:is>
          <x:t xml:space="preserve">2004-005739</x:t>
        </x:is>
      </x:c>
      <x:c r="BJ2" s="96" t="inlineStr">
        <x:is>
          <x:t xml:space="preserve">2004-005901</x:t>
        </x:is>
      </x:c>
      <x:c r="BK2" s="96" t="inlineStr">
        <x:is>
          <x:t xml:space="preserve">2008-006536</x:t>
        </x:is>
      </x:c>
      <x:c r="BL2" s="96" t="inlineStr">
        <x:is>
          <x:t xml:space="preserve">2005-000158</x:t>
        </x:is>
      </x:c>
      <x:c r="BM2" s="96" t="inlineStr">
        <x:is>
          <x:t xml:space="preserve">2005-004044</x:t>
        </x:is>
      </x:c>
      <x:c r="BN2" s="96" t="inlineStr">
        <x:is>
          <x:t xml:space="preserve">2005-007551</x:t>
        </x:is>
      </x:c>
      <x:c r="BO2" s="96" t="inlineStr">
        <x:is>
          <x:t xml:space="preserve">2006-000154</x:t>
        </x:is>
      </x:c>
      <x:c r="BP2" s="96" t="inlineStr">
        <x:is>
          <x:t xml:space="preserve">2010-008934</x:t>
        </x:is>
      </x:c>
      <x:c r="BQ2" s="96" t="inlineStr">
        <x:is>
          <x:t xml:space="preserve">2011-001007</x:t>
        </x:is>
      </x:c>
      <x:c r="BR2" s="96" t="inlineStr">
        <x:is>
          <x:t xml:space="preserve">2011-001008</x:t>
        </x:is>
      </x:c>
      <x:c r="BS2" s="96" t="inlineStr">
        <x:is>
          <x:t xml:space="preserve">2011-001009</x:t>
        </x:is>
      </x:c>
      <x:c r="BT2" s="96" t="inlineStr">
        <x:is>
          <x:t xml:space="preserve">2013-000518</x:t>
        </x:is>
      </x:c>
      <x:c r="BU2" s="96" t="inlineStr">
        <x:is>
          <x:t xml:space="preserve">2014-003089</x:t>
        </x:is>
      </x:c>
      <x:c r="BV2" s="96" t="inlineStr">
        <x:is>
          <x:t xml:space="preserve">2014-005899</x:t>
        </x:is>
      </x:c>
      <x:c r="BW2" s="96" t="inlineStr">
        <x:is>
          <x:t xml:space="preserve">2014-006293</x:t>
        </x:is>
      </x:c>
      <x:c r="BX2" s="96" t="inlineStr">
        <x:is>
          <x:t xml:space="preserve">2018-002650</x:t>
        </x:is>
      </x:c>
      <x:c r="BY2" s="96" t="inlineStr">
        <x:is>
          <x:t xml:space="preserve">2019-001855</x:t>
        </x:is>
      </x:c>
      <x:c r="BZ2" s="96" t="inlineStr">
        <x:is>
          <x:t xml:space="preserve">2021-001068</x:t>
        </x:is>
      </x:c>
      <x:c r="CA2" s="96" t="inlineStr">
        <x:is>
          <x:t xml:space="preserve">1949-000814</x:t>
        </x:is>
      </x:c>
      <x:c r="CB2" s="96" t="inlineStr">
        <x:is>
          <x:t xml:space="preserve">1907-005379</x:t>
        </x:is>
      </x:c>
      <x:c r="CC2" s="96" t="n"/>
      <x:c r="CD2" s="96" t="n"/>
      <x:c r="CE2" s="96" t="n"/>
      <x:c r="CF2" s="96" t="n"/>
      <x:c r="CG2" s="96" t="n"/>
      <x:c r="CH2" s="96" t="n"/>
      <x:c r="CI2" s="96" t="n"/>
      <x:c r="CJ2" s="96" t="n"/>
      <x:c r="CK2" s="96" t="n"/>
      <x:c r="CL2" s="96" t="n"/>
      <x:c r="CM2" s="96" t="n"/>
      <x:c r="CN2" s="96" t="n"/>
      <x:c r="CO2" s="96" t="n"/>
      <x:c r="CP2" s="96" t="n"/>
      <x:c r="CQ2" s="96" t="n"/>
      <x:c r="CR2" s="96" t="n"/>
      <x:c r="CS2" s="96" t="n"/>
      <x:c r="CT2" s="96" t="n"/>
      <x:c r="CU2" s="96" t="n"/>
      <x:c r="CV2" s="96" t="n"/>
      <x:c r="CW2" s="96" t="n"/>
      <x:c r="CX2" s="96" t="n"/>
      <x:c r="CY2" s="96" t="n"/>
      <x:c r="CZ2" s="96" t="n"/>
      <x:c r="DA2" s="96" t="n"/>
      <x:c r="DB2" s="96" t="n"/>
      <x:c r="DC2" s="96" t="n"/>
      <x:c r="DD2" s="96" t="n"/>
      <x:c r="DE2" s="96" t="n"/>
      <x:c r="DF2" s="96" t="n"/>
      <x:c r="DG2" s="96" t="n"/>
      <x:c r="DH2" s="96" t="n"/>
      <x:c r="DI2" s="96" t="n"/>
      <x:c r="DJ2" s="96" t="n"/>
      <x:c r="DK2" s="96" t="n"/>
      <x:c r="DL2" s="96" t="n"/>
      <x:c r="DM2" s="96" t="n"/>
      <x:c r="DN2" s="96" t="n"/>
      <x:c r="DO2" s="96" t="n"/>
      <x:c r="DP2" s="96" t="n"/>
      <x:c r="DQ2" s="96" t="n"/>
      <x:c r="DR2" s="96" t="n"/>
      <x:c r="DS2" s="96" t="n"/>
      <x:c r="DT2" s="96" t="n"/>
      <x:c r="DU2" s="96" t="n"/>
      <x:c r="DV2" s="96" t="n"/>
      <x:c r="DW2" s="96" t="n"/>
      <x:c r="DX2" s="96" t="n"/>
      <x:c r="DY2" s="96" t="n"/>
      <x:c r="DZ2" s="96" t="n"/>
      <x:c r="EA2" s="96" t="n"/>
      <x:c r="EB2" s="96" t="n"/>
      <x:c r="EC2" s="96" t="n"/>
      <x:c r="ED2" s="96" t="n"/>
      <x:c r="EE2" s="96" t="n"/>
      <x:c r="EF2" s="96" t="n"/>
      <x:c r="EG2" s="96" t="n"/>
      <x:c r="EH2" s="96" t="n"/>
      <x:c r="EI2" s="96" t="n"/>
      <x:c r="EJ2" s="96" t="n"/>
      <x:c r="EK2" s="96" t="n"/>
      <x:c r="EL2" s="96" t="n"/>
      <x:c r="EM2" s="96" t="n"/>
      <x:c r="EN2" s="96" t="n"/>
      <x:c r="EO2" s="96" t="n"/>
      <x:c r="EP2" s="96" t="n"/>
      <x:c r="EQ2" s="96" t="n"/>
      <x:c r="ER2" s="96" t="n"/>
      <x:c r="ES2" s="96" t="n"/>
      <x:c r="ET2" s="96" t="n"/>
      <x:c r="EU2" s="96" t="n"/>
      <x:c r="EV2" s="96" t="n"/>
      <x:c r="EW2" s="96" t="n"/>
      <x:c r="EX2" s="96" t="n"/>
      <x:c r="EY2" s="96" t="n"/>
      <x:c r="EZ2" s="96" t="n"/>
      <x:c r="FA2" s="96" t="n"/>
      <x:c r="FB2" s="96" t="n"/>
      <x:c r="FC2" s="96" t="n"/>
      <x:c r="FD2" s="96" t="n"/>
      <x:c r="FE2" s="96" t="n"/>
      <x:c r="FF2" s="96" t="n"/>
      <x:c r="FG2" s="96" t="n"/>
      <x:c r="FH2" s="96" t="n"/>
      <x:c r="FI2" s="96" t="n"/>
      <x:c r="FJ2" s="96" t="n"/>
      <x:c r="FK2" s="96" t="n"/>
      <x:c r="FL2" s="96" t="n"/>
      <x:c r="FM2" s="96" t="n"/>
      <x:c r="FN2" s="96" t="n"/>
      <x:c r="FO2" s="96" t="n"/>
      <x:c r="FP2" s="96" t="n"/>
      <x:c r="FQ2" s="96" t="n"/>
      <x:c r="FR2" s="96" t="n"/>
      <x:c r="FS2" s="96" t="n"/>
      <x:c r="FT2" s="96" t="n"/>
      <x:c r="FU2" s="96" t="n"/>
      <x:c r="FV2" s="96" t="n"/>
      <x:c r="FW2" s="96" t="n"/>
      <x:c r="FX2" s="96" t="n"/>
      <x:c r="FY2" s="59" t="n"/>
      <x:c r="FZ2" s="59" t="n"/>
      <x:c r="GA2" s="59" t="n"/>
    </x:row>
    <x:row r="3" s="62" customFormat="1" ht="23.100000381469727" customHeight="1">
      <x:c r="A3" s="619" t="n"/>
      <x:c r="B3" s="620" t="inlineStr">
        <x:is>
          <x:t xml:space="preserve">DESCRIPTION</x:t>
        </x:is>
      </x:c>
      <x:c r="C3" s="593" t="n"/>
      <x:c r="D3" s="621" t="n"/>
      <x:c r="E3" s="622" t="inlineStr">
        <x:is>
          <x:t xml:space="preserve">Book / Page </x:t>
        </x:is>
      </x:c>
      <x:c r="F3" s="618" t="n"/>
      <x:c r="G3" s="63" t="n"/>
      <x:c r="H3" s="6" t="inlineStr">
        <x:is>
          <x:t xml:space="preserve">PAT3/495</x:t>
        </x:is>
      </x:c>
      <x:c r="I3" s="6" t="inlineStr">
        <x:is>
          <x:t xml:space="preserve">D6/206</x:t>
        </x:is>
      </x:c>
      <x:c r="J3" s="6" t="inlineStr">
        <x:is>
          <x:t xml:space="preserve">D63/97</x:t>
        </x:is>
      </x:c>
      <x:c r="K3" s="6" t="inlineStr">
        <x:is>
          <x:t xml:space="preserve">D59/410</x:t>
        </x:is>
      </x:c>
      <x:c r="L3" s="6" t="inlineStr">
        <x:is>
          <x:t xml:space="preserve">D67/154</x:t>
        </x:is>
      </x:c>
      <x:c r="M3" s="6" t="inlineStr">
        <x:is>
          <x:t xml:space="preserve">163/565</x:t>
        </x:is>
      </x:c>
      <x:c r="N3" s="6" t="inlineStr">
        <x:is>
          <x:t xml:space="preserve">164/66</x:t>
        </x:is>
      </x:c>
      <x:c r="O3" s="6" t="inlineStr">
        <x:is>
          <x:t xml:space="preserve">165/87</x:t>
        </x:is>
      </x:c>
      <x:c r="P3" s="6" t="inlineStr">
        <x:is>
          <x:t xml:space="preserve">176/144</x:t>
        </x:is>
      </x:c>
      <x:c r="Q3" s="6" t="inlineStr">
        <x:is>
          <x:t xml:space="preserve">197/116</x:t>
        </x:is>
      </x:c>
      <x:c r="R3" s="6" t="inlineStr">
        <x:is>
          <x:t xml:space="preserve">227/89</x:t>
        </x:is>
      </x:c>
      <x:c r="S3" s="6" t="inlineStr">
        <x:is>
          <x:t xml:space="preserve">264/428</x:t>
        </x:is>
      </x:c>
      <x:c r="T3" s="6" t="inlineStr">
        <x:is>
          <x:t xml:space="preserve">332/238</x:t>
        </x:is>
      </x:c>
      <x:c r="U3" s="6" t="inlineStr">
        <x:is>
          <x:t xml:space="preserve">341/154</x:t>
        </x:is>
      </x:c>
      <x:c r="V3" s="6" t="inlineStr">
        <x:is>
          <x:t xml:space="preserve">341/155</x:t>
        </x:is>
      </x:c>
      <x:c r="W3" s="6" t="inlineStr">
        <x:is>
          <x:t xml:space="preserve">355/341</x:t>
        </x:is>
      </x:c>
      <x:c r="X3" s="6" t="inlineStr">
        <x:is>
          <x:t xml:space="preserve">368/272</x:t>
        </x:is>
      </x:c>
      <x:c r="Y3" s="6" t="inlineStr">
        <x:is>
          <x:t xml:space="preserve">432/110</x:t>
        </x:is>
      </x:c>
      <x:c r="Z3" s="6" t="inlineStr">
        <x:is>
          <x:t xml:space="preserve">438/128</x:t>
        </x:is>
      </x:c>
      <x:c r="AA3" s="6" t="inlineStr">
        <x:is>
          <x:t xml:space="preserve">451/176</x:t>
        </x:is>
      </x:c>
      <x:c r="AB3" s="118" t="inlineStr">
        <x:is>
          <x:t xml:space="preserve">604/350</x:t>
        </x:is>
      </x:c>
      <x:c r="AC3" s="118" t="inlineStr">
        <x:is>
          <x:t xml:space="preserve">605/27</x:t>
        </x:is>
      </x:c>
      <x:c r="AD3" s="6" t="inlineStr">
        <x:is>
          <x:t xml:space="preserve">710/34</x:t>
        </x:is>
      </x:c>
      <x:c r="AE3" s="6" t="inlineStr">
        <x:is>
          <x:t xml:space="preserve">781/183</x:t>
        </x:is>
      </x:c>
      <x:c r="AF3" s="6" t="inlineStr">
        <x:is>
          <x:t xml:space="preserve">786/270</x:t>
        </x:is>
      </x:c>
      <x:c r="AG3" s="6" t="inlineStr">
        <x:is>
          <x:t xml:space="preserve">839/100</x:t>
        </x:is>
      </x:c>
      <x:c r="AH3" s="6" t="inlineStr">
        <x:is>
          <x:t xml:space="preserve">946/223</x:t>
        </x:is>
      </x:c>
      <x:c r="AI3" s="6" t="inlineStr">
        <x:is>
          <x:t xml:space="preserve">998/204</x:t>
        </x:is>
      </x:c>
      <x:c r="AJ3" s="6" t="inlineStr">
        <x:is>
          <x:t xml:space="preserve">1100/48</x:t>
        </x:is>
      </x:c>
      <x:c r="AK3" s="6" t="inlineStr">
        <x:is>
          <x:t xml:space="preserve">1126/98</x:t>
        </x:is>
      </x:c>
      <x:c r="AL3" s="118" t="inlineStr">
        <x:is>
          <x:t xml:space="preserve">1128/39</x:t>
        </x:is>
      </x:c>
      <x:c r="AM3" s="5" t="inlineStr">
        <x:is>
          <x:t xml:space="preserve">1131/89</x:t>
        </x:is>
      </x:c>
      <x:c r="AN3" s="118" t="inlineStr">
        <x:is>
          <x:t xml:space="preserve">1140/26</x:t>
        </x:is>
      </x:c>
      <x:c r="AO3" s="118" t="inlineStr">
        <x:is>
          <x:t xml:space="preserve">1147/242</x:t>
        </x:is>
      </x:c>
      <x:c r="AP3" s="107" t="inlineStr">
        <x:is>
          <x:t xml:space="preserve">1159/224</x:t>
        </x:is>
      </x:c>
      <x:c r="AQ3" s="107" t="inlineStr">
        <x:is>
          <x:t xml:space="preserve">1159/225</x:t>
        </x:is>
      </x:c>
      <x:c r="AR3" s="108" t="inlineStr">
        <x:is>
          <x:t xml:space="preserve">1176/54</x:t>
        </x:is>
      </x:c>
      <x:c r="AS3" s="107" t="inlineStr">
        <x:is>
          <x:t xml:space="preserve">1267/168</x:t>
        </x:is>
      </x:c>
      <x:c r="AT3" s="107" t="inlineStr">
        <x:is>
          <x:t xml:space="preserve">1274/277</x:t>
        </x:is>
      </x:c>
      <x:c r="AU3" s="96" t="inlineStr">
        <x:is>
          <x:t xml:space="preserve">1422/9</x:t>
        </x:is>
      </x:c>
      <x:c r="AV3" s="96" t="inlineStr">
        <x:is>
          <x:t xml:space="preserve">1457/173</x:t>
        </x:is>
      </x:c>
      <x:c r="AW3" s="96" t="inlineStr">
        <x:is>
          <x:t xml:space="preserve">1471/574</x:t>
        </x:is>
      </x:c>
      <x:c r="AX3" s="96" t="inlineStr">
        <x:is>
          <x:t xml:space="preserve">1600/1</x:t>
        </x:is>
      </x:c>
      <x:c r="AY3" s="96" t="inlineStr">
        <x:is>
          <x:t xml:space="preserve">1611/503</x:t>
        </x:is>
      </x:c>
      <x:c r="AZ3" s="96" t="inlineStr">
        <x:is>
          <x:t xml:space="preserve">1637/26</x:t>
        </x:is>
      </x:c>
      <x:c r="BA3" s="96" t="inlineStr">
        <x:is>
          <x:t xml:space="preserve">1639/206</x:t>
        </x:is>
      </x:c>
      <x:c r="BB3" s="96" t="inlineStr">
        <x:is>
          <x:t xml:space="preserve">1639/426</x:t>
        </x:is>
      </x:c>
      <x:c r="BC3" s="96" t="inlineStr">
        <x:is>
          <x:t xml:space="preserve">1643/389</x:t>
        </x:is>
      </x:c>
      <x:c r="BD3" s="96" t="inlineStr">
        <x:is>
          <x:t xml:space="preserve">1695/238</x:t>
        </x:is>
      </x:c>
      <x:c r="BE3" s="96" t="inlineStr">
        <x:is>
          <x:t xml:space="preserve">1728/457</x:t>
        </x:is>
      </x:c>
      <x:c r="BF3" s="96" t="inlineStr">
        <x:is>
          <x:t xml:space="preserve">1724/582</x:t>
        </x:is>
      </x:c>
      <x:c r="BG3" s="96" t="inlineStr">
        <x:is>
          <x:t xml:space="preserve">1734/14</x:t>
        </x:is>
      </x:c>
      <x:c r="BH3" s="96" t="inlineStr">
        <x:is>
          <x:t xml:space="preserve">1764/344</x:t>
        </x:is>
      </x:c>
      <x:c r="BI3" s="96" t="inlineStr">
        <x:is>
          <x:t xml:space="preserve">1764/345</x:t>
        </x:is>
      </x:c>
      <x:c r="BJ3" s="96" t="inlineStr">
        <x:is>
          <x:t xml:space="preserve">1765/306</x:t>
        </x:is>
      </x:c>
      <x:c r="BK3" s="96" t="inlineStr">
        <x:is>
          <x:t xml:space="preserve">1937/418</x:t>
        </x:is>
      </x:c>
      <x:c r="BL3" s="96" t="inlineStr">
        <x:is>
          <x:t xml:space="preserve">1774/309</x:t>
        </x:is>
      </x:c>
      <x:c r="BM3" s="96" t="inlineStr">
        <x:is>
          <x:t xml:space="preserve">1794/173</x:t>
        </x:is>
      </x:c>
      <x:c r="BN3" s="96" t="inlineStr">
        <x:is>
          <x:t xml:space="preserve">1812/138</x:t>
        </x:is>
      </x:c>
      <x:c r="BO3" s="96" t="inlineStr">
        <x:is>
          <x:t xml:space="preserve">1819/157</x:t>
        </x:is>
      </x:c>
      <x:c r="BP3" s="96" t="inlineStr">
        <x:is>
          <x:t xml:space="preserve">2041/406</x:t>
        </x:is>
      </x:c>
      <x:c r="BQ3" s="96" t="inlineStr">
        <x:is>
          <x:t xml:space="preserve">2063/491</x:t>
        </x:is>
      </x:c>
      <x:c r="BR3" s="96" t="inlineStr">
        <x:is>
          <x:t xml:space="preserve">2063/494</x:t>
        </x:is>
      </x:c>
      <x:c r="BS3" s="96" t="inlineStr">
        <x:is>
          <x:t xml:space="preserve">2063/497</x:t>
        </x:is>
      </x:c>
      <x:c r="BT3" s="96" t="inlineStr">
        <x:is>
          <x:t xml:space="preserve">2177/33</x:t>
        </x:is>
      </x:c>
      <x:c r="BU3" s="96" t="inlineStr">
        <x:is>
          <x:t xml:space="preserve">2251/529</x:t>
        </x:is>
      </x:c>
      <x:c r="BV3" s="96" t="inlineStr">
        <x:is>
          <x:t xml:space="preserve">2270/252</x:t>
        </x:is>
      </x:c>
      <x:c r="BW3" s="96" t="inlineStr">
        <x:is>
          <x:t xml:space="preserve">2273/223</x:t>
        </x:is>
      </x:c>
      <x:c r="BX3" s="96" t="inlineStr">
        <x:is>
          <x:t xml:space="preserve">2406/228</x:t>
        </x:is>
      </x:c>
      <x:c r="BY3" s="96" t="inlineStr">
        <x:is>
          <x:t xml:space="preserve">2426/154</x:t>
        </x:is>
      </x:c>
      <x:c r="BZ3" s="96" t="inlineStr">
        <x:is>
          <x:t xml:space="preserve">2467/476</x:t>
        </x:is>
      </x:c>
      <x:c r="CA3" s="96" t="inlineStr">
        <x:is>
          <x:t xml:space="preserve">D59/251</x:t>
        </x:is>
      </x:c>
      <x:c r="CB3" s="96" t="inlineStr">
        <x:is>
          <x:t xml:space="preserve">PAT3/495</x:t>
        </x:is>
      </x:c>
      <x:c r="CC3" s="96" t="n"/>
      <x:c r="CD3" s="96" t="n"/>
      <x:c r="CE3" s="96" t="n"/>
      <x:c r="CF3" s="96" t="n"/>
      <x:c r="CG3" s="96" t="n"/>
      <x:c r="CH3" s="96" t="n"/>
      <x:c r="CI3" s="96" t="n"/>
      <x:c r="CJ3" s="96" t="n"/>
      <x:c r="CK3" s="96" t="n"/>
      <x:c r="CL3" s="96" t="n"/>
      <x:c r="CM3" s="96" t="n"/>
      <x:c r="CN3" s="96" t="n"/>
      <x:c r="CO3" s="96" t="n"/>
      <x:c r="CP3" s="96" t="n"/>
      <x:c r="CQ3" s="96" t="n"/>
      <x:c r="CR3" s="96" t="n"/>
      <x:c r="CS3" s="96" t="n"/>
      <x:c r="CT3" s="96" t="n"/>
      <x:c r="CU3" s="96" t="n"/>
      <x:c r="CV3" s="96" t="n"/>
      <x:c r="CW3" s="96" t="n"/>
      <x:c r="CX3" s="96" t="n"/>
      <x:c r="CY3" s="96" t="n"/>
      <x:c r="CZ3" s="96" t="n"/>
      <x:c r="DA3" s="96" t="n"/>
      <x:c r="DB3" s="96" t="n"/>
      <x:c r="DC3" s="96" t="n"/>
      <x:c r="DD3" s="96" t="n"/>
      <x:c r="DE3" s="96" t="n"/>
      <x:c r="DF3" s="96" t="n"/>
      <x:c r="DG3" s="96" t="n"/>
      <x:c r="DH3" s="96" t="n"/>
      <x:c r="DI3" s="96" t="n"/>
      <x:c r="DJ3" s="96" t="n"/>
      <x:c r="DK3" s="96" t="n"/>
      <x:c r="DL3" s="96" t="n"/>
      <x:c r="DM3" s="96" t="n"/>
      <x:c r="DN3" s="96" t="n"/>
      <x:c r="DO3" s="96" t="n"/>
      <x:c r="DP3" s="96" t="n"/>
      <x:c r="DQ3" s="96" t="n"/>
      <x:c r="DR3" s="96" t="n"/>
      <x:c r="DS3" s="96" t="n"/>
      <x:c r="DT3" s="96" t="n"/>
      <x:c r="DU3" s="96" t="n"/>
      <x:c r="DV3" s="96" t="n"/>
      <x:c r="DW3" s="96" t="n"/>
      <x:c r="DX3" s="96" t="n"/>
      <x:c r="DY3" s="96" t="n"/>
      <x:c r="DZ3" s="96" t="n"/>
      <x:c r="EA3" s="96" t="n"/>
      <x:c r="EB3" s="96" t="n"/>
      <x:c r="EC3" s="96" t="n"/>
      <x:c r="ED3" s="96" t="n"/>
      <x:c r="EE3" s="96" t="n"/>
      <x:c r="EF3" s="96" t="n"/>
      <x:c r="EG3" s="96" t="n"/>
      <x:c r="EH3" s="96" t="n"/>
      <x:c r="EI3" s="96" t="n"/>
      <x:c r="EJ3" s="96" t="n"/>
      <x:c r="EK3" s="96" t="n"/>
      <x:c r="EL3" s="96" t="n"/>
      <x:c r="EM3" s="96" t="n"/>
      <x:c r="EN3" s="96" t="n"/>
      <x:c r="EO3" s="96" t="n"/>
      <x:c r="EP3" s="96" t="n"/>
      <x:c r="EQ3" s="96" t="n"/>
      <x:c r="ER3" s="96" t="n"/>
      <x:c r="ES3" s="96" t="n"/>
      <x:c r="ET3" s="96" t="n"/>
      <x:c r="EU3" s="96" t="n"/>
      <x:c r="EV3" s="96" t="n"/>
      <x:c r="EW3" s="96" t="n"/>
      <x:c r="EX3" s="96" t="n"/>
      <x:c r="EY3" s="96" t="n"/>
      <x:c r="EZ3" s="96" t="n"/>
      <x:c r="FA3" s="96" t="n"/>
      <x:c r="FB3" s="96" t="n"/>
      <x:c r="FC3" s="96" t="n"/>
      <x:c r="FD3" s="96" t="n"/>
      <x:c r="FE3" s="96" t="n"/>
      <x:c r="FF3" s="96" t="n"/>
      <x:c r="FG3" s="96" t="n"/>
      <x:c r="FH3" s="96" t="n"/>
      <x:c r="FI3" s="96" t="n"/>
      <x:c r="FJ3" s="96" t="n"/>
      <x:c r="FK3" s="96" t="n"/>
      <x:c r="FL3" s="96" t="n"/>
      <x:c r="FM3" s="96" t="n"/>
      <x:c r="FN3" s="96" t="n"/>
      <x:c r="FO3" s="96" t="n"/>
      <x:c r="FP3" s="96" t="n"/>
      <x:c r="FQ3" s="96" t="n"/>
      <x:c r="FR3" s="96" t="n"/>
      <x:c r="FS3" s="96" t="n"/>
      <x:c r="FT3" s="96" t="n"/>
      <x:c r="FU3" s="96" t="n"/>
      <x:c r="FV3" s="96" t="n"/>
      <x:c r="FW3" s="96" t="n"/>
      <x:c r="FX3" s="96" t="n"/>
      <x:c r="FY3" s="59" t="n"/>
      <x:c r="FZ3" s="59" t="n"/>
      <x:c r="GA3" s="59" t="n"/>
    </x:row>
    <x:row r="4" s="62" customFormat="1" ht="12.75" customHeight="1">
      <x:c r="A4" s="619" t="n"/>
      <x:c r="B4" s="623" t="n"/>
      <x:c r="C4" s="593" t="n"/>
      <x:c r="D4" s="644" t="n"/>
      <x:c r="E4" s="491" t="inlineStr">
        <x:is>
          <x:t xml:space="preserve">Date </x:t>
        </x:is>
      </x:c>
      <x:c r="F4" s="618" t="n"/>
      <x:c r="G4" s="60" t="n"/>
      <x:c r="H4" s="5" t="n">
        <x:v>2169</x:v>
      </x:c>
      <x:c r="I4" s="5" t="n">
        <x:v>2062</x:v>
      </x:c>
      <x:c r="J4" s="5" t="n">
        <x:v>18170</x:v>
      </x:c>
      <x:c r="K4" s="5" t="n">
        <x:v>18420</x:v>
      </x:c>
      <x:c r="L4" s="5" t="n">
        <x:v>19396</x:v>
      </x:c>
      <x:c r="M4" s="5" t="n">
        <x:v>27163</x:v>
      </x:c>
      <x:c r="N4" s="5" t="n">
        <x:v>27171</x:v>
      </x:c>
      <x:c r="O4" s="5" t="n">
        <x:v>27207</x:v>
      </x:c>
      <x:c r="P4" s="5" t="n">
        <x:v>27481</x:v>
      </x:c>
      <x:c r="Q4" s="5" t="n">
        <x:v>28005</x:v>
      </x:c>
      <x:c r="R4" s="5" t="n">
        <x:v>28445</x:v>
      </x:c>
      <x:c r="S4" s="5" t="n">
        <x:v>28961</x:v>
      </x:c>
      <x:c r="T4" s="5" t="n">
        <x:v>29675</x:v>
      </x:c>
      <x:c r="U4" s="5" t="n">
        <x:v>29714</x:v>
      </x:c>
      <x:c r="V4" s="5" t="n">
        <x:v>29714</x:v>
      </x:c>
      <x:c r="W4" s="5" t="n">
        <x:v>29767</x:v>
      </x:c>
      <x:c r="X4" s="5" t="n">
        <x:v>29812</x:v>
      </x:c>
      <x:c r="Y4" s="5" t="n">
        <x:v>30054</x:v>
      </x:c>
      <x:c r="Z4" s="5" t="n">
        <x:v>30081</x:v>
      </x:c>
      <x:c r="AA4" s="5" t="n">
        <x:v>30124</x:v>
      </x:c>
      <x:c r="AB4" s="120" t="n">
        <x:v>30741</x:v>
      </x:c>
      <x:c r="AC4" s="120" t="n">
        <x:v>30770</x:v>
      </x:c>
      <x:c r="AD4" s="5" t="n">
        <x:v>31158</x:v>
      </x:c>
      <x:c r="AE4" s="5" t="n">
        <x:v>31418</x:v>
      </x:c>
      <x:c r="AF4" s="5" t="n">
        <x:v>31434</x:v>
      </x:c>
      <x:c r="AG4" s="5" t="n">
        <x:v>31723</x:v>
      </x:c>
      <x:c r="AH4" s="5" t="n">
        <x:v>32177</x:v>
      </x:c>
      <x:c r="AI4" s="5" t="n">
        <x:v>32405</x:v>
      </x:c>
      <x:c r="AJ4" s="5" t="n">
        <x:v>32847</x:v>
      </x:c>
      <x:c r="AK4" s="5" t="n">
        <x:v>32969</x:v>
      </x:c>
      <x:c r="AL4" s="120" t="n">
        <x:v>32975</x:v>
      </x:c>
      <x:c r="AM4" s="5" t="n">
        <x:v>32993</x:v>
      </x:c>
      <x:c r="AN4" s="120" t="n">
        <x:v>33025</x:v>
      </x:c>
      <x:c r="AO4" s="120" t="n">
        <x:v>33059</x:v>
      </x:c>
      <x:c r="AP4" s="108" t="n">
        <x:v>33114</x:v>
      </x:c>
      <x:c r="AQ4" s="108" t="n">
        <x:v>33114</x:v>
      </x:c>
      <x:c r="AR4" s="108" t="n">
        <x:v>33205</x:v>
      </x:c>
      <x:c r="AS4" s="108" t="n">
        <x:v>33693</x:v>
      </x:c>
      <x:c r="AT4" s="108" t="n">
        <x:v>33737</x:v>
      </x:c>
      <x:c r="AU4" s="97" t="n">
        <x:v>34542</x:v>
      </x:c>
      <x:c r="AV4" s="97" t="n">
        <x:v>34754</x:v>
      </x:c>
      <x:c r="AW4" s="97" t="n">
        <x:v>34950</x:v>
      </x:c>
      <x:c r="AX4" s="97" t="n">
        <x:v>36511</x:v>
      </x:c>
      <x:c r="AY4" s="97" t="n">
        <x:v>36647</x:v>
      </x:c>
      <x:c r="AZ4" s="97" t="n">
        <x:v>36922</x:v>
      </x:c>
      <x:c r="BA4" s="97" t="n">
        <x:v>36957</x:v>
      </x:c>
      <x:c r="BB4" s="97" t="n">
        <x:v>36963</x:v>
      </x:c>
      <x:c r="BC4" s="97" t="n">
        <x:v>37014</x:v>
      </x:c>
      <x:c r="BD4" s="97" t="n">
        <x:v>37586</x:v>
      </x:c>
      <x:c r="BE4" s="97" t="n">
        <x:v>37802</x:v>
      </x:c>
      <x:c r="BF4" s="97" t="n">
        <x:v>37848</x:v>
      </x:c>
      <x:c r="BG4" s="97" t="n">
        <x:v>37990</x:v>
      </x:c>
      <x:c r="BH4" s="97" t="n">
        <x:v>38260</x:v>
      </x:c>
      <x:c r="BI4" s="97" t="n">
        <x:v>38267</x:v>
      </x:c>
      <x:c r="BJ4" s="97" t="n">
        <x:v>38275</x:v>
      </x:c>
      <x:c r="BK4" s="97" t="n">
        <x:v>38286</x:v>
      </x:c>
      <x:c r="BL4" s="97" t="n">
        <x:v>38362</x:v>
      </x:c>
      <x:c r="BM4" s="97" t="n">
        <x:v>38516</x:v>
      </x:c>
      <x:c r="BN4" s="97" t="n">
        <x:v>38650</x:v>
      </x:c>
      <x:c r="BO4" s="97" t="n">
        <x:v>38699</x:v>
      </x:c>
      <x:c r="BP4" s="97" t="n">
        <x:v>40437</x:v>
      </x:c>
      <x:c r="BQ4" s="97" t="n">
        <x:v>40577</x:v>
      </x:c>
      <x:c r="BR4" s="97" t="n">
        <x:v>40577</x:v>
      </x:c>
      <x:c r="BS4" s="97" t="n">
        <x:v>40583</x:v>
      </x:c>
      <x:c r="BT4" s="97" t="n">
        <x:v>41290</x:v>
      </x:c>
      <x:c r="BU4" s="97" t="n">
        <x:v>41746</x:v>
      </x:c>
      <x:c r="BV4" s="97" t="n">
        <x:v>41851</x:v>
      </x:c>
      <x:c r="BW4" s="97" t="n">
        <x:v>41926</x:v>
      </x:c>
      <x:c r="BX4" s="97" t="n">
        <x:v>43363</x:v>
      </x:c>
      <x:c r="BY4" s="97" t="n">
        <x:v>43739</x:v>
      </x:c>
      <x:c r="BZ4" s="97" t="n">
        <x:v>44348</x:v>
      </x:c>
      <x:c r="CA4" s="97" t="n">
        <x:v>17950</x:v>
      </x:c>
      <x:c r="CB4" s="97" t="n">
        <x:v>2169</x:v>
      </x:c>
      <x:c r="CC4" s="97" t="n"/>
      <x:c r="CD4" s="97" t="n"/>
      <x:c r="CE4" s="97" t="n"/>
      <x:c r="CF4" s="97" t="n"/>
      <x:c r="CG4" s="97" t="n"/>
      <x:c r="CH4" s="97" t="n"/>
      <x:c r="CI4" s="97" t="n"/>
      <x:c r="CJ4" s="97" t="n"/>
      <x:c r="CK4" s="97" t="n"/>
      <x:c r="CL4" s="97" t="n"/>
      <x:c r="CM4" s="97" t="n"/>
      <x:c r="CN4" s="97" t="n"/>
      <x:c r="CO4" s="97" t="n"/>
      <x:c r="CP4" s="97" t="n"/>
      <x:c r="CQ4" s="97" t="n"/>
      <x:c r="CR4" s="97" t="n"/>
      <x:c r="CS4" s="97" t="n"/>
      <x:c r="CT4" s="97" t="n"/>
      <x:c r="CU4" s="97" t="n"/>
      <x:c r="CV4" s="97" t="n"/>
      <x:c r="CW4" s="97" t="n"/>
      <x:c r="CX4" s="97" t="n"/>
      <x:c r="CY4" s="97" t="n"/>
      <x:c r="CZ4" s="97" t="n"/>
      <x:c r="DA4" s="97" t="n"/>
      <x:c r="DB4" s="97" t="n"/>
      <x:c r="DC4" s="97" t="n"/>
      <x:c r="DD4" s="97" t="n"/>
      <x:c r="DE4" s="97" t="n"/>
      <x:c r="DF4" s="97" t="n"/>
      <x:c r="DG4" s="97" t="n"/>
      <x:c r="DH4" s="97" t="n"/>
      <x:c r="DI4" s="97" t="n"/>
      <x:c r="DJ4" s="97" t="n"/>
      <x:c r="DK4" s="97" t="n"/>
      <x:c r="DL4" s="97" t="n"/>
      <x:c r="DM4" s="97" t="n"/>
      <x:c r="DN4" s="97" t="n"/>
      <x:c r="DO4" s="97" t="n"/>
      <x:c r="DP4" s="97" t="n"/>
      <x:c r="DQ4" s="97" t="n"/>
      <x:c r="DR4" s="97" t="n"/>
      <x:c r="DS4" s="97" t="n"/>
      <x:c r="DT4" s="97" t="n"/>
      <x:c r="DU4" s="97" t="n"/>
      <x:c r="DV4" s="97" t="n"/>
      <x:c r="DW4" s="97" t="n"/>
      <x:c r="DX4" s="97" t="n"/>
      <x:c r="DY4" s="97" t="n"/>
      <x:c r="DZ4" s="97" t="n"/>
      <x:c r="EA4" s="97" t="n"/>
      <x:c r="EB4" s="97" t="n"/>
      <x:c r="EC4" s="97" t="n"/>
      <x:c r="ED4" s="97" t="n"/>
      <x:c r="EE4" s="97" t="n"/>
      <x:c r="EF4" s="97" t="n"/>
      <x:c r="EG4" s="97" t="n"/>
      <x:c r="EH4" s="97" t="n"/>
      <x:c r="EI4" s="97" t="n"/>
      <x:c r="EJ4" s="97" t="n"/>
      <x:c r="EK4" s="97" t="n"/>
      <x:c r="EL4" s="97" t="n"/>
      <x:c r="EM4" s="97" t="n"/>
      <x:c r="EN4" s="97" t="n"/>
      <x:c r="EO4" s="97" t="n"/>
      <x:c r="EP4" s="97" t="n"/>
      <x:c r="EQ4" s="97" t="n"/>
      <x:c r="ER4" s="97" t="n"/>
      <x:c r="ES4" s="97" t="n"/>
      <x:c r="ET4" s="97" t="n"/>
      <x:c r="EU4" s="97" t="n"/>
      <x:c r="EV4" s="97" t="n"/>
      <x:c r="EW4" s="97" t="n"/>
      <x:c r="EX4" s="97" t="n"/>
      <x:c r="EY4" s="97" t="n"/>
      <x:c r="EZ4" s="97" t="n"/>
      <x:c r="FA4" s="97" t="n"/>
      <x:c r="FB4" s="97" t="n"/>
      <x:c r="FC4" s="97" t="n"/>
      <x:c r="FD4" s="97" t="n"/>
      <x:c r="FE4" s="97" t="n"/>
      <x:c r="FF4" s="97" t="n"/>
      <x:c r="FG4" s="97" t="n"/>
      <x:c r="FH4" s="97" t="n"/>
      <x:c r="FI4" s="97" t="n"/>
      <x:c r="FJ4" s="97" t="n"/>
      <x:c r="FK4" s="97" t="n"/>
      <x:c r="FL4" s="97" t="n"/>
      <x:c r="FM4" s="97" t="n"/>
      <x:c r="FN4" s="97" t="n"/>
      <x:c r="FO4" s="97" t="n"/>
      <x:c r="FP4" s="97" t="n"/>
      <x:c r="FQ4" s="97" t="n"/>
      <x:c r="FR4" s="97" t="n"/>
      <x:c r="FS4" s="97" t="n"/>
      <x:c r="FT4" s="97" t="n"/>
      <x:c r="FU4" s="97" t="n"/>
      <x:c r="FV4" s="97" t="n"/>
      <x:c r="FW4" s="97" t="n"/>
      <x:c r="FX4" s="97" t="n"/>
      <x:c r="FY4" s="58" t="n"/>
      <x:c r="FZ4" s="58" t="n"/>
      <x:c r="GA4" s="58" t="n"/>
    </x:row>
    <x:row r="5" s="57" customFormat="1" ht="27.75" customHeight="1">
      <x:c r="A5" s="619" t="n"/>
      <x:c r="B5" s="625" t="inlineStr">
        <x:is>
          <x:t xml:space="preserve">TRACT ACRES</x:t>
        </x:is>
      </x:c>
      <x:c r="C5" s="626" t="n"/>
      <x:c r="D5" s="65" t="n">
        <x:v>80</x:v>
      </x:c>
      <x:c r="E5" s="627" t="inlineStr">
        <x:is>
          <x:t xml:space="preserve">Conveyance </x:t>
        </x:is>
      </x:c>
      <x:c r="F5" s="628" t="n"/>
      <x:c r="G5" s="60" t="n"/>
      <x:c r="H5" s="118" t="inlineStr">
        <x:is>
          <x:t xml:space="preserve">ARTI</x:t>
        </x:is>
      </x:c>
      <x:c r="I5" s="118" t="inlineStr">
        <x:is>
          <x:t xml:space="preserve">ARTI</x:t>
        </x:is>
      </x:c>
      <x:c r="J5" s="118" t="inlineStr">
        <x:is>
          <x:t xml:space="preserve">21.538462 NMA</x:t>
        </x:is>
      </x:c>
      <x:c r="K5" s="118" t="inlineStr">
        <x:is>
          <x:t xml:space="preserve">ARTI</x:t>
        </x:is>
      </x:c>
      <x:c r="L5" s="118" t="inlineStr">
        <x:is>
          <x:t xml:space="preserve">ARTI</x:t>
        </x:is>
      </x:c>
      <x:c r="M5" s="118" t="inlineStr">
        <x:is>
          <x:t xml:space="preserve">64.615385 NMA</x:t>
        </x:is>
      </x:c>
      <x:c r="N5" s="118" t="inlineStr">
        <x:is>
          <x:t xml:space="preserve">43.076923 NMA</x:t>
        </x:is>
      </x:c>
      <x:c r="O5" s="118" t="inlineStr">
        <x:is>
          <x:t xml:space="preserve">10.769231 NMA</x:t>
        </x:is>
      </x:c>
      <x:c r="P5" s="118" t="inlineStr">
        <x:is>
          <x:t xml:space="preserve">10.769231 NMA</x:t>
        </x:is>
      </x:c>
      <x:c r="Q5" s="118" t="inlineStr">
        <x:is>
          <x:t xml:space="preserve">ARTI</x:t>
        </x:is>
      </x:c>
      <x:c r="R5" s="118" t="inlineStr">
        <x:is>
          <x:t xml:space="preserve">ARTI</x:t>
        </x:is>
      </x:c>
      <x:c r="S5" s="118" t="inlineStr">
        <x:is>
          <x:t xml:space="preserve">ARTI</x:t>
        </x:is>
      </x:c>
      <x:c r="T5" s="118" t="inlineStr">
        <x:is>
          <x:t xml:space="preserve">11 NMA</x:t>
        </x:is>
      </x:c>
      <x:c r="U5" s="118" t="inlineStr">
        <x:is>
          <x:t xml:space="preserve">10.769231 NMA</x:t>
        </x:is>
      </x:c>
      <x:c r="V5" s="118" t="inlineStr">
        <x:is>
          <x:t xml:space="preserve">5.384615 NMA</x:t>
        </x:is>
      </x:c>
      <x:c r="W5" s="118" t="inlineStr">
        <x:is>
          <x:t xml:space="preserve">10.725 NMA</x:t>
        </x:is>
      </x:c>
      <x:c r="X5" s="118" t="inlineStr">
        <x:is>
          <x:t xml:space="preserve">0.55 NMA</x:t>
        </x:is>
      </x:c>
      <x:c r="Y5" s="118" t="inlineStr">
        <x:is>
          <x:t xml:space="preserve">43.076923 NMA</x:t>
        </x:is>
      </x:c>
      <x:c r="Z5" s="118" t="inlineStr">
        <x:is>
          <x:t xml:space="preserve">0.22 NMA</x:t>
        </x:is>
      </x:c>
      <x:c r="AA5" s="118" t="inlineStr">
        <x:is>
          <x:t xml:space="preserve">Interest not stated — confirm from image.</x:t>
        </x:is>
      </x:c>
      <x:c r="AB5" s="118" t="inlineStr">
        <x:is>
          <x:t xml:space="preserve">89%</x:t>
        </x:is>
      </x:c>
      <x:c r="AC5" s="118" t="inlineStr">
        <x:is>
          <x:t xml:space="preserve">15.789%</x:t>
        </x:is>
      </x:c>
      <x:c r="AD5" s="118" t="inlineStr">
        <x:is>
          <x:t xml:space="preserve">ARTI</x:t>
        </x:is>
      </x:c>
      <x:c r="AE5" s="118" t="inlineStr">
        <x:is>
          <x:t xml:space="preserve">2.153846 NMA</x:t>
        </x:is>
      </x:c>
      <x:c r="AF5" s="118" t="inlineStr">
        <x:is>
          <x:t xml:space="preserve">ARTI</x:t>
        </x:is>
      </x:c>
      <x:c r="AG5" s="118" t="inlineStr">
        <x:is>
          <x:t xml:space="preserve">16.385%</x:t>
        </x:is>
      </x:c>
      <x:c r="AH5" s="118" t="inlineStr">
        <x:is>
          <x:t xml:space="preserve">ARTI</x:t>
        </x:is>
      </x:c>
      <x:c r="AI5" s="118" t="inlineStr">
        <x:is>
          <x:t xml:space="preserve">ARTI</x:t>
        </x:is>
      </x:c>
      <x:c r="AJ5" s="118" t="inlineStr">
        <x:is>
          <x:t xml:space="preserve">10.769231 NMA</x:t>
        </x:is>
      </x:c>
      <x:c r="AK5" s="118" t="inlineStr">
        <x:is>
          <x:t xml:space="preserve">ARTI</x:t>
        </x:is>
      </x:c>
      <x:c r="AL5" s="118" t="inlineStr">
        <x:is>
          <x:t xml:space="preserve">ARTI</x:t>
        </x:is>
      </x:c>
      <x:c r="AM5" s="118" t="inlineStr">
        <x:is>
          <x:t xml:space="preserve">ARTI</x:t>
        </x:is>
      </x:c>
      <x:c r="AN5" s="118" t="inlineStr">
        <x:is>
          <x:t xml:space="preserve">ARTI</x:t>
        </x:is>
      </x:c>
      <x:c r="AO5" s="118" t="inlineStr">
        <x:is>
          <x:t xml:space="preserve">ARTI</x:t>
        </x:is>
      </x:c>
      <x:c r="AP5" s="96" t="inlineStr">
        <x:is>
          <x:t xml:space="preserve">5.384615 NMA</x:t>
        </x:is>
      </x:c>
      <x:c r="AQ5" s="96" t="inlineStr">
        <x:is>
          <x:t xml:space="preserve">ARTI</x:t>
        </x:is>
      </x:c>
      <x:c r="AR5" s="96" t="inlineStr">
        <x:is>
          <x:t xml:space="preserve">ARTI</x:t>
        </x:is>
      </x:c>
      <x:c r="AS5" s="96" t="inlineStr">
        <x:is>
          <x:t xml:space="preserve">ARTI</x:t>
        </x:is>
      </x:c>
      <x:c r="AT5" s="96" t="inlineStr">
        <x:is>
          <x:t xml:space="preserve">1.076923 NMA</x:t>
        </x:is>
      </x:c>
      <x:c r="AU5" s="96" t="inlineStr">
        <x:is>
          <x:t xml:space="preserve">2.153846 NMA</x:t>
        </x:is>
      </x:c>
      <x:c r="AV5" s="96" t="inlineStr">
        <x:is>
          <x:t xml:space="preserve">ARTI</x:t>
        </x:is>
      </x:c>
      <x:c r="AW5" s="96" t="inlineStr">
        <x:is>
          <x:t xml:space="preserve">ARTI</x:t>
        </x:is>
      </x:c>
      <x:c r="AX5" s="96" t="inlineStr">
        <x:is>
          <x:t xml:space="preserve">ARTI</x:t>
        </x:is>
      </x:c>
      <x:c r="AY5" s="96" t="inlineStr">
        <x:is>
          <x:t xml:space="preserve">ARTI</x:t>
        </x:is>
      </x:c>
      <x:c r="AZ5" s="96" t="inlineStr">
        <x:is>
          <x:t xml:space="preserve">ARTI</x:t>
        </x:is>
      </x:c>
      <x:c r="BA5" s="96" t="inlineStr">
        <x:is>
          <x:t xml:space="preserve">ARTI</x:t>
        </x:is>
      </x:c>
      <x:c r="BB5" s="96" t="inlineStr">
        <x:is>
          <x:t xml:space="preserve">ARTI</x:t>
        </x:is>
      </x:c>
      <x:c r="BC5" s="96" t="inlineStr">
        <x:is>
          <x:t xml:space="preserve">ARTI</x:t>
        </x:is>
      </x:c>
      <x:c r="BD5" s="96" t="inlineStr">
        <x:is>
          <x:t xml:space="preserve">Interest not stated — confirm from image.</x:t>
        </x:is>
      </x:c>
      <x:c r="BE5" s="96" t="inlineStr">
        <x:is>
          <x:t xml:space="preserve">ARTI</x:t>
        </x:is>
      </x:c>
      <x:c r="BF5" s="96" t="inlineStr">
        <x:is>
          <x:t xml:space="preserve">ARTI</x:t>
        </x:is>
      </x:c>
      <x:c r="BG5" s="96" t="inlineStr">
        <x:is>
          <x:t xml:space="preserve">ARTI</x:t>
        </x:is>
      </x:c>
      <x:c r="BH5" s="96" t="inlineStr">
        <x:is>
          <x:t xml:space="preserve">Interest not stated — confirm from image.</x:t>
        </x:is>
      </x:c>
      <x:c r="BI5" s="96" t="inlineStr">
        <x:is>
          <x:t xml:space="preserve">Interest not stated — confirm from image.</x:t>
        </x:is>
      </x:c>
      <x:c r="BJ5" s="96" t="inlineStr">
        <x:is>
          <x:t xml:space="preserve">ARTI</x:t>
        </x:is>
      </x:c>
      <x:c r="BK5" s="96" t="inlineStr">
        <x:is>
          <x:t xml:space="preserve">Interest not stated — confirm from image.</x:t>
        </x:is>
      </x:c>
      <x:c r="BL5" s="96" t="inlineStr">
        <x:is>
          <x:t xml:space="preserve">ARTI</x:t>
        </x:is>
      </x:c>
      <x:c r="BM5" s="96" t="inlineStr">
        <x:is>
          <x:t xml:space="preserve">ARTI</x:t>
        </x:is>
      </x:c>
      <x:c r="BN5" s="96" t="inlineStr">
        <x:is>
          <x:t xml:space="preserve">ARTI</x:t>
        </x:is>
      </x:c>
      <x:c r="BO5" s="96" t="inlineStr">
        <x:is>
          <x:t xml:space="preserve">256.666667 NMA</x:t>
        </x:is>
      </x:c>
      <x:c r="BP5" s="96" t="inlineStr">
        <x:is>
          <x:t xml:space="preserve">ARTI</x:t>
        </x:is>
      </x:c>
      <x:c r="BQ5" s="96" t="inlineStr">
        <x:is>
          <x:t xml:space="preserve">ARTI</x:t>
        </x:is>
      </x:c>
      <x:c r="BR5" s="96" t="inlineStr">
        <x:is>
          <x:t xml:space="preserve">ARTI</x:t>
        </x:is>
      </x:c>
      <x:c r="BS5" s="96" t="inlineStr">
        <x:is>
          <x:t xml:space="preserve">ARTI</x:t>
        </x:is>
      </x:c>
      <x:c r="BT5" s="96" t="inlineStr">
        <x:is>
          <x:t xml:space="preserve">ARTI</x:t>
        </x:is>
      </x:c>
      <x:c r="BU5" s="96" t="inlineStr">
        <x:is>
          <x:t xml:space="preserve">118.461538 NMA</x:t>
        </x:is>
      </x:c>
      <x:c r="BV5" s="96" t="inlineStr">
        <x:is>
          <x:t xml:space="preserve">ARTI</x:t>
        </x:is>
      </x:c>
      <x:c r="BW5" s="96" t="inlineStr">
        <x:is>
          <x:t xml:space="preserve">ARTI</x:t>
        </x:is>
      </x:c>
      <x:c r="BX5" s="96" t="inlineStr">
        <x:is>
          <x:t xml:space="preserve">ARTI</x:t>
        </x:is>
      </x:c>
      <x:c r="BY5" s="96" t="inlineStr">
        <x:is>
          <x:t xml:space="preserve">ARTI</x:t>
        </x:is>
      </x:c>
      <x:c r="BZ5" s="96" t="inlineStr">
        <x:is>
          <x:t xml:space="preserve">ARTI</x:t>
        </x:is>
      </x:c>
      <x:c r="CA5" s="96" t="inlineStr">
        <x:is>
          <x:t xml:space="preserve">220 NMA</x:t>
        </x:is>
      </x:c>
      <x:c r="CB5" s="96" t="inlineStr">
        <x:is>
          <x:t xml:space="preserve">ARTI</x:t>
        </x:is>
      </x:c>
      <x:c r="CC5" s="96" t="n"/>
      <x:c r="CD5" s="96" t="n"/>
      <x:c r="CE5" s="96" t="n"/>
      <x:c r="CF5" s="96" t="n"/>
      <x:c r="CG5" s="96" t="n"/>
      <x:c r="CH5" s="96" t="n"/>
      <x:c r="CI5" s="96" t="n"/>
      <x:c r="CJ5" s="96" t="n"/>
      <x:c r="CK5" s="96" t="n"/>
      <x:c r="CL5" s="96" t="n"/>
      <x:c r="CM5" s="96" t="n"/>
      <x:c r="CN5" s="96" t="n"/>
      <x:c r="CO5" s="96" t="n"/>
      <x:c r="CP5" s="96" t="n"/>
      <x:c r="CQ5" s="96" t="n"/>
      <x:c r="CR5" s="96" t="n"/>
      <x:c r="CS5" s="96" t="n"/>
      <x:c r="CT5" s="96" t="n"/>
      <x:c r="CU5" s="96" t="n"/>
      <x:c r="CV5" s="96" t="n"/>
      <x:c r="CW5" s="96" t="n"/>
      <x:c r="CX5" s="96" t="n"/>
      <x:c r="CY5" s="96" t="n"/>
      <x:c r="CZ5" s="96" t="n"/>
      <x:c r="DA5" s="96" t="n"/>
      <x:c r="DB5" s="96" t="n"/>
      <x:c r="DC5" s="96" t="n"/>
      <x:c r="DD5" s="96" t="n"/>
      <x:c r="DE5" s="96" t="n"/>
      <x:c r="DF5" s="96" t="n"/>
      <x:c r="DG5" s="96" t="n"/>
      <x:c r="DH5" s="96" t="n"/>
      <x:c r="DI5" s="96" t="n"/>
      <x:c r="DJ5" s="96" t="n"/>
      <x:c r="DK5" s="96" t="n"/>
      <x:c r="DL5" s="96" t="n"/>
      <x:c r="DM5" s="96" t="n"/>
      <x:c r="DN5" s="96" t="n"/>
      <x:c r="DO5" s="96" t="n"/>
      <x:c r="DP5" s="96" t="n"/>
      <x:c r="DQ5" s="96" t="n"/>
      <x:c r="DR5" s="96" t="n"/>
      <x:c r="DS5" s="96" t="n"/>
      <x:c r="DT5" s="96" t="n"/>
      <x:c r="DU5" s="96" t="n"/>
      <x:c r="DV5" s="96" t="n"/>
      <x:c r="DW5" s="96" t="n"/>
      <x:c r="DX5" s="96" t="n"/>
      <x:c r="DY5" s="96" t="n"/>
      <x:c r="DZ5" s="96" t="n"/>
      <x:c r="EA5" s="96" t="n"/>
      <x:c r="EB5" s="96" t="n"/>
      <x:c r="EC5" s="96" t="n"/>
      <x:c r="ED5" s="96" t="n"/>
      <x:c r="EE5" s="96" t="n"/>
      <x:c r="EF5" s="96" t="n"/>
      <x:c r="EG5" s="96" t="n"/>
      <x:c r="EH5" s="96" t="n"/>
      <x:c r="EI5" s="96" t="n"/>
      <x:c r="EJ5" s="96" t="n"/>
      <x:c r="EK5" s="96" t="n"/>
      <x:c r="EL5" s="96" t="n"/>
      <x:c r="EM5" s="96" t="n"/>
      <x:c r="EN5" s="96" t="n"/>
      <x:c r="EO5" s="96" t="n"/>
      <x:c r="EP5" s="96" t="n"/>
      <x:c r="EQ5" s="96" t="n"/>
      <x:c r="ER5" s="96" t="n"/>
      <x:c r="ES5" s="96" t="n"/>
      <x:c r="ET5" s="96" t="n"/>
      <x:c r="EU5" s="96" t="n"/>
      <x:c r="EV5" s="96" t="n"/>
      <x:c r="EW5" s="96" t="n"/>
      <x:c r="EX5" s="96" t="n"/>
      <x:c r="EY5" s="96" t="n"/>
      <x:c r="EZ5" s="96" t="n"/>
      <x:c r="FA5" s="96" t="n"/>
      <x:c r="FB5" s="96" t="n"/>
      <x:c r="FC5" s="96" t="n"/>
      <x:c r="FD5" s="96" t="n"/>
      <x:c r="FE5" s="96" t="n"/>
      <x:c r="FF5" s="96" t="n"/>
      <x:c r="FG5" s="96" t="n"/>
      <x:c r="FH5" s="96" t="n"/>
      <x:c r="FI5" s="96" t="n"/>
      <x:c r="FJ5" s="96" t="n"/>
      <x:c r="FK5" s="96" t="n"/>
      <x:c r="FL5" s="96" t="n"/>
      <x:c r="FM5" s="96" t="n"/>
      <x:c r="FN5" s="96" t="n"/>
      <x:c r="FO5" s="96" t="n"/>
      <x:c r="FP5" s="96" t="n"/>
      <x:c r="FQ5" s="96" t="n"/>
      <x:c r="FR5" s="96" t="n"/>
      <x:c r="FS5" s="96" t="n"/>
      <x:c r="FT5" s="96" t="n"/>
      <x:c r="FU5" s="96" t="n"/>
      <x:c r="FV5" s="96" t="n"/>
      <x:c r="FW5" s="96" t="n"/>
      <x:c r="FX5" s="96" t="n"/>
      <x:c r="FY5" s="59" t="n"/>
      <x:c r="FZ5" s="59" t="n"/>
      <x:c r="GA5" s="59" t="n"/>
    </x:row>
    <x:row r="6" s="55" customFormat="1" ht="14.25" customHeight="1">
      <x:c r="A6" s="629" t="n"/>
      <x:c r="B6" s="630" t="inlineStr">
        <x:is>
          <x:t xml:space="preserve">BASE OGL</x:t>
        </x:is>
      </x:c>
      <x:c r="C6" s="631" t="n">
        <x:v>80</x:v>
      </x:c>
      <x:c r="D6" s="632" t="inlineStr">
        <x:is>
          <x:t xml:space="preserve">Tract 4</x:t>
        </x:is>
      </x:c>
      <x:c r="E6" s="631" t="n">
        <x:f>SUBTOTAL(9,E9:E203)</x:f>
        <x:v>0.9999999999999973</x:v>
      </x:c>
      <x:c r="F6" s="633" t="inlineStr">
        <x:is>
          <x:t xml:space="preserve">SURFACE</x:t>
        </x:is>
      </x:c>
      <x:c r="G6" s="64" t="n"/>
      <x:c r="H6" s="64" t="str">
        <x:f>IF(H7=0,"","RECHECK")</x:f>
      </x:c>
      <x:c r="I6" s="64" t="n"/>
      <x:c r="J6" s="64" t="n"/>
      <x:c r="K6" s="64" t="str">
        <x:f>IF(K7=0,"","RECHECK")</x:f>
      </x:c>
      <x:c r="L6" s="64" t="n"/>
      <x:c r="M6" s="64" t="str">
        <x:f>IF(M7=0,"","RECHECK")</x:f>
      </x:c>
      <x:c r="N6" s="64" t="str">
        <x:f>IF(N7=0,"","RECHECK")</x:f>
      </x:c>
      <x:c r="O6" s="64" t="str">
        <x:f>IF(O7=0,"","RECHECK")</x:f>
      </x:c>
      <x:c r="P6" s="64" t="str">
        <x:f>IF(P7=0,"","RECHECK")</x:f>
      </x:c>
      <x:c r="Q6" s="64" t="n"/>
      <x:c r="R6" s="98" t="str">
        <x:f>IF(R7=0,"","RECHECK")</x:f>
      </x:c>
      <x:c r="S6" s="98" t="n"/>
      <x:c r="T6" s="64" t="str">
        <x:f>IF(T7=0,"","RECHECK")</x:f>
      </x:c>
      <x:c r="U6" s="64" t="str">
        <x:f>IF(U7=0,"","RECHECK")</x:f>
      </x:c>
      <x:c r="V6" s="64" t="str">
        <x:f>IF(V7=0,"","RECHECK")</x:f>
      </x:c>
      <x:c r="W6" s="64" t="str">
        <x:f>IF(W7=0,"","RECHECK")</x:f>
      </x:c>
      <x:c r="X6" s="64" t="str">
        <x:f>IF(X7=0,"","RECHECK")</x:f>
      </x:c>
      <x:c r="Y6" s="64" t="str">
        <x:f>IF(Y7=0,"","RECHECK")</x:f>
      </x:c>
      <x:c r="Z6" s="64" t="str">
        <x:f>IF(Z7=0,"","RECHECK")</x:f>
      </x:c>
      <x:c r="AA6" s="64" t="str">
        <x:f>IF(AA7=0,"","RECHECK")</x:f>
      </x:c>
      <x:c r="AB6" s="64" t="str">
        <x:f>IF(AB7=0,"","RECHECK")</x:f>
      </x:c>
      <x:c r="AC6" s="64" t="str">
        <x:f>IF(AC7=0,"","RECHECK")</x:f>
      </x:c>
      <x:c r="AD6" s="64" t="str">
        <x:f>IF(AD7=0,"","RECHECK")</x:f>
      </x:c>
      <x:c r="AE6" s="98" t="str">
        <x:f>IF(AE7=0,"","RECHECK")</x:f>
      </x:c>
      <x:c r="AF6" s="98" t="str">
        <x:f>IF(AF7=0,"","RECHECK")</x:f>
      </x:c>
      <x:c r="AG6" s="98" t="n"/>
      <x:c r="AH6" s="98" t="n"/>
      <x:c r="AI6" s="98" t="str">
        <x:f>IF(AI7=0,"","RECHECK")</x:f>
      </x:c>
      <x:c r="AJ6" s="98" t="str">
        <x:f>IF(AJ7=0,"","RECHECK")</x:f>
      </x:c>
      <x:c r="AK6" s="98" t="str">
        <x:f>IF(AK7=0,"","RECHECK")</x:f>
      </x:c>
      <x:c r="AL6" s="64" t="str">
        <x:f>IF(AL7=0,"","RECHECK")</x:f>
      </x:c>
      <x:c r="AM6" s="98" t="str">
        <x:f>IF(AM7=0,"","RECHECK")</x:f>
      </x:c>
      <x:c r="AN6" s="64" t="str">
        <x:f>IF(AN7=0,"","RECHECK")</x:f>
      </x:c>
      <x:c r="AO6" s="98" t="str">
        <x:f>IF(AO7=0,"","RECHECK")</x:f>
      </x:c>
      <x:c r="AP6" s="64" t="str">
        <x:f>IF(AP7=0,"","RECHECK")</x:f>
      </x:c>
      <x:c r="AQ6" s="64" t="str">
        <x:f>IF(AQ7=0,"","RECHECK")</x:f>
      </x:c>
      <x:c r="AR6" s="64" t="str">
        <x:f>IF(AR7=0,"","RECHECK")</x:f>
      </x:c>
      <x:c r="AS6" s="64" t="str">
        <x:f>IF(AS7=0,"","RECHECK")</x:f>
      </x:c>
      <x:c r="AT6" s="64" t="str">
        <x:f>IF(AT7=0,"","RECHECK")</x:f>
      </x:c>
      <x:c r="AU6" s="64" t="str">
        <x:f>IF(AU7=0,"","RECHECK")</x:f>
      </x:c>
      <x:c r="AV6" s="64" t="str">
        <x:f>IF(AV7=0,"","RECHECK")</x:f>
      </x:c>
      <x:c r="AW6" s="64" t="str">
        <x:f>IF(AW7=0,"","RECHECK")</x:f>
      </x:c>
      <x:c r="AX6" s="64" t="str">
        <x:f>IF(AX7=0,"","RECHECK")</x:f>
      </x:c>
      <x:c r="AY6" s="64" t="str">
        <x:f>IF(AY7=0,"","RECHECK")</x:f>
      </x:c>
      <x:c r="AZ6" s="64" t="str">
        <x:f>IF(AZ7=0,"","RECHECK")</x:f>
      </x:c>
      <x:c r="BA6" s="64" t="str">
        <x:f>IF(BA7=0,"","RECHECK")</x:f>
      </x:c>
      <x:c r="BB6" s="64" t="str">
        <x:f>IF(BB7=0,"","RECHECK")</x:f>
      </x:c>
      <x:c r="BC6" s="64" t="str">
        <x:f>IF(BC7=0,"","RECHECK")</x:f>
      </x:c>
      <x:c r="BD6" s="64" t="str">
        <x:f>IF(BD7=0,"","RECHECK")</x:f>
      </x:c>
      <x:c r="BE6" s="64" t="str">
        <x:f>IF(BE7=0,"","RECHECK")</x:f>
      </x:c>
      <x:c r="BF6" s="64" t="str">
        <x:f>IF(BF7=0,"","RECHECK")</x:f>
      </x:c>
      <x:c r="BG6" s="64" t="str">
        <x:f>IF(BG7=0,"","RECHECK")</x:f>
      </x:c>
      <x:c r="BH6" s="64" t="str">
        <x:f>IF(BH7=0,"","RECHECK")</x:f>
      </x:c>
      <x:c r="BI6" s="64" t="str">
        <x:f>IF(BI7=0,"","RECHECK")</x:f>
      </x:c>
      <x:c r="BJ6" s="64" t="str">
        <x:f>IF(BJ7=0,"","RECHECK")</x:f>
      </x:c>
      <x:c r="BK6" s="64" t="str">
        <x:f>IF(BK7=0,"","RECHECK")</x:f>
      </x:c>
      <x:c r="BL6" s="64" t="str">
        <x:f>IF(BL7=0,"","RECHECK")</x:f>
      </x:c>
      <x:c r="BM6" s="64" t="str">
        <x:f>IF(BM7=0,"","RECHECK")</x:f>
      </x:c>
      <x:c r="BN6" s="64" t="str">
        <x:f>IF(BN7=0,"","RECHECK")</x:f>
      </x:c>
      <x:c r="BO6" s="64" t="str">
        <x:f>IF(BO7=0,"","RECHECK")</x:f>
      </x:c>
      <x:c r="BP6" s="64" t="str">
        <x:f>IF(BP7=0,"","RECHECK")</x:f>
      </x:c>
      <x:c r="BQ6" s="64" t="str">
        <x:f>IF(BQ7=0,"","RECHECK")</x:f>
      </x:c>
      <x:c r="BR6" s="64" t="str">
        <x:f>IF(BR7=0,"","RECHECK")</x:f>
      </x:c>
      <x:c r="BS6" s="64" t="str">
        <x:f>IF(BS7=0,"","RECHECK")</x:f>
      </x:c>
      <x:c r="BT6" s="64" t="str">
        <x:f>IF(BT7=0,"","RECHECK")</x:f>
      </x:c>
      <x:c r="BU6" s="64" t="str">
        <x:f>IF(BU7=0,"","RECHECK")</x:f>
      </x:c>
      <x:c r="BV6" s="64" t="str">
        <x:f>IF(BV7=0,"","RECHECK")</x:f>
      </x:c>
      <x:c r="BW6" s="64" t="str">
        <x:f>IF(BW7=0,"","RECHECK")</x:f>
      </x:c>
      <x:c r="BX6" s="64" t="str">
        <x:f>IF(BX7=0,"","RECHECK")</x:f>
      </x:c>
      <x:c r="BY6" s="64" t="str">
        <x:f>IF(BY7=0,"","RECHECK")</x:f>
      </x:c>
      <x:c r="BZ6" s="64" t="str">
        <x:f>IF(BZ7=0,"","RECHECK")</x:f>
      </x:c>
      <x:c r="CA6" s="64" t="str">
        <x:f>IF(CA7=0,"","RECHECK")</x:f>
      </x:c>
      <x:c r="CB6" s="64" t="str">
        <x:f>IF(CB7=0,"","RECHECK")</x:f>
      </x:c>
      <x:c r="CC6" s="64" t="str">
        <x:f>IF(CC7=0,"","RECHECK")</x:f>
      </x:c>
      <x:c r="CD6" s="64" t="str">
        <x:f>IF(CD7=0,"","RECHECK")</x:f>
      </x:c>
      <x:c r="CE6" s="64" t="str">
        <x:f>IF(CE7=0,"","RECHECK")</x:f>
      </x:c>
      <x:c r="CF6" s="64" t="str">
        <x:f>IF(CF7=0,"","RECHECK")</x:f>
      </x:c>
      <x:c r="CG6" s="64" t="str">
        <x:f>IF(CG7=0,"","RECHECK")</x:f>
      </x:c>
      <x:c r="CH6" s="64" t="str">
        <x:f>IF(CH7=0,"","RECHECK")</x:f>
      </x:c>
      <x:c r="CI6" s="64" t="str">
        <x:f>IF(CI7=0,"","RECHECK")</x:f>
      </x:c>
      <x:c r="CJ6" s="64" t="str">
        <x:f>IF(CJ7=0,"","RECHECK")</x:f>
      </x:c>
      <x:c r="CK6" s="64" t="str">
        <x:f>IF(CK7=0,"","RECHECK")</x:f>
      </x:c>
      <x:c r="CL6" s="64" t="str">
        <x:f>IF(CL7=0,"","RECHECK")</x:f>
      </x:c>
      <x:c r="CM6" s="64" t="str">
        <x:f>IF(CM7=0,"","RECHECK")</x:f>
      </x:c>
      <x:c r="CN6" s="64" t="str">
        <x:f>IF(CN7=0,"","RECHECK")</x:f>
      </x:c>
      <x:c r="CO6" s="64" t="str">
        <x:f>IF(CO7=0,"","RECHECK")</x:f>
      </x:c>
      <x:c r="CP6" s="64" t="str">
        <x:f>IF(CP7=0,"","RECHECK")</x:f>
      </x:c>
      <x:c r="CQ6" s="64" t="str">
        <x:f>IF(CQ7=0,"","RECHECK")</x:f>
      </x:c>
      <x:c r="CR6" s="64" t="str">
        <x:f>IF(CR7=0,"","RECHECK")</x:f>
      </x:c>
      <x:c r="CS6" s="64" t="str">
        <x:f>IF(CS7=0,"","RECHECK")</x:f>
      </x:c>
      <x:c r="CT6" s="64" t="str">
        <x:f>IF(CT7=0,"","RECHECK")</x:f>
      </x:c>
      <x:c r="CU6" s="64" t="str">
        <x:f>IF(CU7=0,"","RECHECK")</x:f>
      </x:c>
      <x:c r="CV6" s="64" t="str">
        <x:f>IF(CV7=0,"","RECHECK")</x:f>
      </x:c>
      <x:c r="CW6" s="64" t="str">
        <x:f>IF(CW7=0,"","RECHECK")</x:f>
      </x:c>
      <x:c r="CX6" s="64" t="str">
        <x:f>IF(CX7=0,"","RECHECK")</x:f>
      </x:c>
      <x:c r="CY6" s="64" t="str">
        <x:f>IF(CY7=0,"","RECHECK")</x:f>
      </x:c>
      <x:c r="CZ6" s="64" t="str">
        <x:f>IF(CZ7=0,"","RECHECK")</x:f>
      </x:c>
      <x:c r="DA6" s="64" t="str">
        <x:f>IF(DA7=0,"","RECHECK")</x:f>
      </x:c>
      <x:c r="DB6" s="64" t="str">
        <x:f>IF(DB7=0,"","RECHECK")</x:f>
      </x:c>
      <x:c r="DC6" s="64" t="str">
        <x:f>IF(DC7=0,"","RECHECK")</x:f>
      </x:c>
      <x:c r="DD6" s="64" t="str">
        <x:f>IF(DD7=0,"","RECHECK")</x:f>
      </x:c>
      <x:c r="DE6" s="64" t="str">
        <x:f>IF(DE7=0,"","RECHECK")</x:f>
      </x:c>
      <x:c r="DF6" s="64" t="str">
        <x:f>IF(DF7=0,"","RECHECK")</x:f>
      </x:c>
      <x:c r="DG6" s="64" t="str">
        <x:f>IF(DG7=0,"","RECHECK")</x:f>
      </x:c>
      <x:c r="DH6" s="64" t="str">
        <x:f>IF(DH7=0,"","RECHECK")</x:f>
      </x:c>
      <x:c r="DI6" s="64" t="str">
        <x:f>IF(DI7=0,"","RECHECK")</x:f>
      </x:c>
      <x:c r="DJ6" s="64" t="str">
        <x:f>IF(DJ7=0,"","RECHECK")</x:f>
      </x:c>
      <x:c r="DK6" s="64" t="str">
        <x:f>IF(DK7=0,"","RECHECK")</x:f>
      </x:c>
      <x:c r="DL6" s="64" t="str">
        <x:f>IF(DL7=0,"","RECHECK")</x:f>
      </x:c>
      <x:c r="DM6" s="64" t="str">
        <x:f>IF(DM7=0,"","RECHECK")</x:f>
      </x:c>
      <x:c r="DN6" s="64" t="str">
        <x:f>IF(DN7=0,"","RECHECK")</x:f>
      </x:c>
      <x:c r="DO6" s="64" t="str">
        <x:f>IF(DO7=0,"","RECHECK")</x:f>
      </x:c>
      <x:c r="DP6" s="64" t="str">
        <x:f>IF(DP7=0,"","RECHECK")</x:f>
      </x:c>
      <x:c r="DQ6" s="64" t="str">
        <x:f>IF(DQ7=0,"","RECHECK")</x:f>
      </x:c>
      <x:c r="DR6" s="64" t="str">
        <x:f>IF(DR7=0,"","RECHECK")</x:f>
      </x:c>
      <x:c r="DS6" s="64" t="str">
        <x:f>IF(DS7=0,"","RECHECK")</x:f>
      </x:c>
      <x:c r="DT6" s="64" t="str">
        <x:f>IF(DT7=0,"","RECHECK")</x:f>
      </x:c>
      <x:c r="DU6" s="64" t="str">
        <x:f>IF(DU7=0,"","RECHECK")</x:f>
      </x:c>
      <x:c r="DV6" s="64" t="str">
        <x:f>IF(DV7=0,"","RECHECK")</x:f>
      </x:c>
      <x:c r="DW6" s="64" t="str">
        <x:f>IF(DW7=0,"","RECHECK")</x:f>
      </x:c>
      <x:c r="DX6" s="64" t="str">
        <x:f>IF(DX7=0,"","RECHECK")</x:f>
      </x:c>
      <x:c r="DY6" s="64" t="str">
        <x:f>IF(DY7=0,"","RECHECK")</x:f>
      </x:c>
      <x:c r="DZ6" s="64" t="str">
        <x:f>IF(DZ7=0,"","RECHECK")</x:f>
      </x:c>
      <x:c r="EA6" s="64" t="str">
        <x:f>IF(EA7=0,"","RECHECK")</x:f>
      </x:c>
      <x:c r="EB6" s="64" t="str">
        <x:f>IF(EB7=0,"","RECHECK")</x:f>
      </x:c>
      <x:c r="EC6" s="64" t="str">
        <x:f>IF(EC7=0,"","RECHECK")</x:f>
      </x:c>
      <x:c r="ED6" s="64" t="str">
        <x:f>IF(ED7=0,"","RECHECK")</x:f>
      </x:c>
      <x:c r="EE6" s="64" t="str">
        <x:f>IF(EE7=0,"","RECHECK")</x:f>
      </x:c>
      <x:c r="EF6" s="64" t="str">
        <x:f>IF(EF7=0,"","RECHECK")</x:f>
      </x:c>
      <x:c r="EG6" s="64" t="str">
        <x:f>IF(EG7=0,"","RECHECK")</x:f>
      </x:c>
      <x:c r="EH6" s="64" t="str">
        <x:f>IF(EH7=0,"","RECHECK")</x:f>
      </x:c>
      <x:c r="EI6" s="64" t="str">
        <x:f>IF(EI7=0,"","RECHECK")</x:f>
      </x:c>
      <x:c r="EJ6" s="64" t="str">
        <x:f>IF(EJ7=0,"","RECHECK")</x:f>
      </x:c>
      <x:c r="EK6" s="64" t="str">
        <x:f>IF(EK7=0,"","RECHECK")</x:f>
      </x:c>
      <x:c r="EL6" s="64" t="str">
        <x:f>IF(EL7=0,"","RECHECK")</x:f>
      </x:c>
      <x:c r="EM6" s="64" t="str">
        <x:f>IF(EM7=0,"","RECHECK")</x:f>
      </x:c>
      <x:c r="EN6" s="64" t="str">
        <x:f>IF(EN7=0,"","RECHECK")</x:f>
      </x:c>
      <x:c r="EO6" s="64" t="str">
        <x:f>IF(EO7=0,"","RECHECK")</x:f>
      </x:c>
      <x:c r="EP6" s="64" t="str">
        <x:f>IF(EP7=0,"","RECHECK")</x:f>
      </x:c>
      <x:c r="EQ6" s="64" t="str">
        <x:f>IF(EQ7=0,"","RECHECK")</x:f>
      </x:c>
      <x:c r="ER6" s="64" t="str">
        <x:f>IF(ER7=0,"","RECHECK")</x:f>
      </x:c>
      <x:c r="ES6" s="64" t="str">
        <x:f>IF(ES7=0,"","RECHECK")</x:f>
      </x:c>
      <x:c r="ET6" s="64" t="str">
        <x:f>IF(ET7=0,"","RECHECK")</x:f>
      </x:c>
      <x:c r="EU6" s="64" t="str">
        <x:f>IF(EU7=0,"","RECHECK")</x:f>
      </x:c>
      <x:c r="EV6" s="64" t="str">
        <x:f>IF(EV7=0,"","RECHECK")</x:f>
      </x:c>
      <x:c r="EW6" s="64" t="str">
        <x:f>IF(EW7=0,"","RECHECK")</x:f>
      </x:c>
      <x:c r="EX6" s="64" t="str">
        <x:f>IF(EX7=0,"","RECHECK")</x:f>
      </x:c>
      <x:c r="EY6" s="64" t="str">
        <x:f>IF(EY7=0,"","RECHECK")</x:f>
      </x:c>
      <x:c r="EZ6" s="64" t="str">
        <x:f>IF(EZ7=0,"","RECHECK")</x:f>
      </x:c>
      <x:c r="FA6" s="64" t="str">
        <x:f>IF(FA7=0,"","RECHECK")</x:f>
      </x:c>
      <x:c r="FB6" s="64" t="str">
        <x:f>IF(FB7=0,"","RECHECK")</x:f>
      </x:c>
      <x:c r="FC6" s="64" t="str">
        <x:f>IF(FC7=0,"","RECHECK")</x:f>
      </x:c>
      <x:c r="FD6" s="64" t="str">
        <x:f>IF(FD7=0,"","RECHECK")</x:f>
      </x:c>
      <x:c r="FE6" s="64" t="str">
        <x:f>IF(FE7=0,"","RECHECK")</x:f>
      </x:c>
      <x:c r="FF6" s="64" t="str">
        <x:f>IF(FF7=0,"","RECHECK")</x:f>
      </x:c>
      <x:c r="FG6" s="64" t="str">
        <x:f>IF(FG7=0,"","RECHECK")</x:f>
      </x:c>
      <x:c r="FH6" s="64" t="str">
        <x:f>IF(FH7=0,"","RECHECK")</x:f>
      </x:c>
      <x:c r="FI6" s="64" t="str">
        <x:f>IF(FI7=0,"","RECHECK")</x:f>
      </x:c>
      <x:c r="FJ6" s="64" t="str">
        <x:f>IF(FJ7=0,"","RECHECK")</x:f>
      </x:c>
      <x:c r="FK6" s="64" t="str">
        <x:f>IF(FK7=0,"","RECHECK")</x:f>
      </x:c>
      <x:c r="FL6" s="64" t="str">
        <x:f>IF(FL7=0,"","RECHECK")</x:f>
      </x:c>
      <x:c r="FM6" s="64" t="str">
        <x:f>IF(FM7=0,"","RECHECK")</x:f>
      </x:c>
      <x:c r="FN6" s="64" t="str">
        <x:f>IF(FN7=0,"","RECHECK")</x:f>
      </x:c>
      <x:c r="FO6" s="64" t="str">
        <x:f>IF(FO7=0,"","RECHECK")</x:f>
      </x:c>
      <x:c r="FP6" s="64" t="str">
        <x:f>IF(FP7=0,"","RECHECK")</x:f>
      </x:c>
      <x:c r="FQ6" s="64" t="str">
        <x:f>IF(FQ7=0,"","RECHECK")</x:f>
      </x:c>
      <x:c r="FR6" s="64" t="str">
        <x:f>IF(FR7=0,"","RECHECK")</x:f>
      </x:c>
      <x:c r="FS6" s="64" t="str">
        <x:f>IF(FS7=0,"","RECHECK")</x:f>
      </x:c>
      <x:c r="FT6" s="64" t="str">
        <x:f>IF(FT7=0,"","RECHECK")</x:f>
      </x:c>
      <x:c r="FU6" s="64" t="str">
        <x:f>IF(FU7=0,"","RECHECK")</x:f>
      </x:c>
      <x:c r="FV6" s="64" t="str">
        <x:f>IF(FV7=0,"","RECHECK")</x:f>
      </x:c>
      <x:c r="FW6" s="64" t="str">
        <x:f>IF(FW7=0,"","RECHECK")</x:f>
      </x:c>
      <x:c r="FX6" s="64" t="str">
        <x:f>IF(FX7=0,"","RECHECK")</x:f>
      </x:c>
      <x:c r="FY6" s="64" t="str">
        <x:f>IF(FY7=0,"","RECHECK")</x:f>
      </x:c>
      <x:c r="FZ6" s="64" t="str">
        <x:f>IF(FZ7=0,"","RECHECK")</x:f>
      </x:c>
      <x:c r="GA6" s="64" t="str">
        <x:f>IF(GA7=0,"","RECHECK")</x:f>
      </x:c>
    </x:row>
    <x:row r="7" s="53" customFormat="1" ht="14.25" customHeight="1">
      <x:c r="A7" s="54" t="n"/>
      <x:c r="B7" s="593" t="n"/>
      <x:c r="C7" s="634" t="n"/>
      <x:c r="D7" s="634" t="n"/>
      <x:c r="E7" s="634" t="n"/>
      <x:c r="F7" s="635" t="n"/>
      <x:c r="G7" s="636" t="n">
        <x:f>SUBTOTAL(9,G10:G204)</x:f>
        <x:v>1</x:v>
      </x:c>
      <x:c r="H7" s="637" t="n">
        <x:f>SUBTOTAL(9,H10:H204)</x:f>
        <x:v>0</x:v>
      </x:c>
      <x:c r="I7" s="637" t="n">
        <x:f>SUBTOTAL(9,I10:I204)</x:f>
        <x:v>0</x:v>
      </x:c>
      <x:c r="J7" s="637" t="n">
        <x:f>SUBTOTAL(9,J10:J204)</x:f>
        <x:v>0</x:v>
      </x:c>
      <x:c r="K7" s="637" t="n">
        <x:f>SUBTOTAL(9,K10:K204)</x:f>
        <x:v>0</x:v>
      </x:c>
      <x:c r="L7" s="637" t="n">
        <x:f>SUBTOTAL(9,L10:L204)</x:f>
        <x:v>0</x:v>
      </x:c>
      <x:c r="M7" s="637" t="n">
        <x:f>SUBTOTAL(9,M10:M204)</x:f>
        <x:v>0</x:v>
      </x:c>
      <x:c r="N7" s="637" t="n">
        <x:f>SUBTOTAL(9,N10:N204)</x:f>
        <x:v>0</x:v>
      </x:c>
      <x:c r="O7" s="637" t="n">
        <x:f>SUBTOTAL(9,O10:O204)</x:f>
        <x:v>0</x:v>
      </x:c>
      <x:c r="P7" s="637" t="n">
        <x:f>SUBTOTAL(9,P10:P204)</x:f>
        <x:v>0</x:v>
      </x:c>
      <x:c r="Q7" s="637" t="n">
        <x:f>SUBTOTAL(9,Q10:Q204)</x:f>
        <x:v>0</x:v>
      </x:c>
      <x:c r="R7" s="638" t="n">
        <x:f>SUBTOTAL(9,R10:R208)</x:f>
        <x:v>0</x:v>
      </x:c>
      <x:c r="S7" s="638" t="n">
        <x:f>SUBTOTAL(9,S10:S208)</x:f>
        <x:v>0</x:v>
      </x:c>
      <x:c r="T7" s="637" t="n">
        <x:f>SUBTOTAL(9,T10:T204)</x:f>
        <x:v>0</x:v>
      </x:c>
      <x:c r="U7" s="637" t="n">
        <x:f>SUBTOTAL(9,U10:U204)</x:f>
        <x:v>0</x:v>
      </x:c>
      <x:c r="V7" s="637" t="n">
        <x:f>SUBTOTAL(9,V10:V204)</x:f>
        <x:v>0</x:v>
      </x:c>
      <x:c r="W7" s="637" t="n">
        <x:f>SUBTOTAL(9,W10:W204)</x:f>
        <x:v>0</x:v>
      </x:c>
      <x:c r="X7" s="637" t="n">
        <x:f>SUBTOTAL(9,X10:X204)</x:f>
        <x:v>0</x:v>
      </x:c>
      <x:c r="Y7" s="637" t="n">
        <x:f>SUBTOTAL(9,Y10:Y204)</x:f>
        <x:v>0</x:v>
      </x:c>
      <x:c r="Z7" s="637" t="n">
        <x:f>SUBTOTAL(9,Z10:Z204)</x:f>
        <x:v>0</x:v>
      </x:c>
      <x:c r="AA7" s="637" t="n">
        <x:f>SUBTOTAL(9,AA10:AA204)</x:f>
        <x:v>0</x:v>
      </x:c>
      <x:c r="AB7" s="637" t="n">
        <x:f>SUBTOTAL(9,AB10:AB204)</x:f>
        <x:v>0</x:v>
      </x:c>
      <x:c r="AC7" s="637" t="n">
        <x:f>SUBTOTAL(9,AC10:AC204)</x:f>
        <x:v>-1.5265566588595902e-16</x:v>
      </x:c>
      <x:c r="AD7" s="637" t="n">
        <x:f>SUBTOTAL(9,AD10:AD204)</x:f>
        <x:v>0</x:v>
      </x:c>
      <x:c r="AE7" s="638" t="n">
        <x:f>SUBTOTAL(9,AE10:AE204)</x:f>
        <x:v>0</x:v>
      </x:c>
      <x:c r="AF7" s="638" t="n">
        <x:f>SUBTOTAL(9,AF10:AF208)</x:f>
        <x:v>0</x:v>
      </x:c>
      <x:c r="AG7" s="638" t="n">
        <x:f>SUBTOTAL(9,AG10:AG212)</x:f>
        <x:v>0</x:v>
      </x:c>
      <x:c r="AH7" s="638" t="n">
        <x:f>SUBTOTAL(9,AH10:AH206)</x:f>
        <x:v>0</x:v>
      </x:c>
      <x:c r="AI7" s="638" t="n">
        <x:f>SUBTOTAL(9,AI10:AI206)</x:f>
        <x:v>0</x:v>
      </x:c>
      <x:c r="AJ7" s="638" t="n">
        <x:f>SUBTOTAL(9,AJ10:AJ206)</x:f>
        <x:v>0</x:v>
      </x:c>
      <x:c r="AK7" s="638" t="n">
        <x:f>SUBTOTAL(9,AK10:AK206)</x:f>
        <x:v>0</x:v>
      </x:c>
      <x:c r="AL7" s="637" t="n">
        <x:f>SUBTOTAL(9,AL10:AL204)</x:f>
        <x:v>0</x:v>
      </x:c>
      <x:c r="AM7" s="638" t="n">
        <x:f>SUBTOTAL(9,AM10:AM203)</x:f>
        <x:v>0</x:v>
      </x:c>
      <x:c r="AN7" s="637" t="n">
        <x:f>SUBTOTAL(9,AN10:AN204)</x:f>
        <x:v>0</x:v>
      </x:c>
      <x:c r="AO7" s="638" t="n">
        <x:f>SUBTOTAL(9,AO10:AO206)</x:f>
        <x:v>0</x:v>
      </x:c>
      <x:c r="AP7" s="637" t="n">
        <x:f>SUBTOTAL(9,AP10:AP204)</x:f>
        <x:v>0</x:v>
      </x:c>
      <x:c r="AQ7" s="637" t="n">
        <x:f>SUBTOTAL(9,AQ10:AQ204)</x:f>
        <x:v>0</x:v>
      </x:c>
      <x:c r="AR7" s="637" t="n">
        <x:f>SUBTOTAL(9,AR10:AR204)</x:f>
        <x:v>-9.992007221626409e-16</x:v>
      </x:c>
      <x:c r="AS7" s="637" t="n">
        <x:f>SUBTOTAL(9,AS10:AS204)</x:f>
        <x:v>0</x:v>
      </x:c>
      <x:c r="AT7" s="637" t="n">
        <x:f>SUBTOTAL(9,AT10:AT204)</x:f>
        <x:v>0</x:v>
      </x:c>
      <x:c r="AU7" s="637" t="n">
        <x:f>SUBTOTAL(9,AU10:AU204)</x:f>
        <x:v>0</x:v>
      </x:c>
      <x:c r="AV7" s="637" t="n">
        <x:f>SUBTOTAL(9,AV10:AV204)</x:f>
        <x:v>-9.992007221626409e-16</x:v>
      </x:c>
      <x:c r="AW7" s="637" t="n">
        <x:f>SUBTOTAL(9,AW10:AW204)</x:f>
        <x:v>0</x:v>
      </x:c>
      <x:c r="AX7" s="637" t="n">
        <x:f>SUBTOTAL(9,AX10:AX204)</x:f>
        <x:v>0</x:v>
      </x:c>
      <x:c r="AY7" s="637" t="n">
        <x:f>SUBTOTAL(9,AY10:AY204)</x:f>
        <x:v>0</x:v>
      </x:c>
      <x:c r="AZ7" s="637" t="n">
        <x:f>SUBTOTAL(9,AZ10:AZ204)</x:f>
        <x:v>0</x:v>
      </x:c>
      <x:c r="BA7" s="637" t="n">
        <x:f>SUBTOTAL(9,BA10:BA204)</x:f>
        <x:v>0</x:v>
      </x:c>
      <x:c r="BB7" s="637" t="n">
        <x:f>SUBTOTAL(9,BB10:BB204)</x:f>
        <x:v>0</x:v>
      </x:c>
      <x:c r="BC7" s="637" t="n">
        <x:f>SUBTOTAL(9,BC10:BC204)</x:f>
        <x:v>0</x:v>
      </x:c>
      <x:c r="BD7" s="637" t="n">
        <x:f>SUBTOTAL(9,BD10:BD204)</x:f>
        <x:v>0</x:v>
      </x:c>
      <x:c r="BE7" s="637" t="n">
        <x:f>SUBTOTAL(9,BE10:BE204)</x:f>
        <x:v>0</x:v>
      </x:c>
      <x:c r="BF7" s="637" t="n">
        <x:f>SUBTOTAL(9,BF10:BF204)</x:f>
        <x:v>0</x:v>
      </x:c>
      <x:c r="BG7" s="637" t="n">
        <x:f>SUBTOTAL(9,BG10:BG204)</x:f>
        <x:v>0</x:v>
      </x:c>
      <x:c r="BH7" s="637" t="n">
        <x:f>SUBTOTAL(9,BH10:BH204)</x:f>
        <x:v>0</x:v>
      </x:c>
      <x:c r="BI7" s="637" t="n">
        <x:f>SUBTOTAL(9,BI10:BI204)</x:f>
        <x:v>0</x:v>
      </x:c>
      <x:c r="BJ7" s="637" t="n">
        <x:f>SUBTOTAL(9,BJ10:BJ204)</x:f>
        <x:v>0</x:v>
      </x:c>
      <x:c r="BK7" s="637" t="n">
        <x:f>SUBTOTAL(9,BK10:BK204)</x:f>
        <x:v>0</x:v>
      </x:c>
      <x:c r="BL7" s="637" t="n">
        <x:f>SUBTOTAL(9,BL10:BL204)</x:f>
        <x:v>0</x:v>
      </x:c>
      <x:c r="BM7" s="637" t="n">
        <x:f>SUBTOTAL(9,BM10:BM204)</x:f>
        <x:v>0</x:v>
      </x:c>
      <x:c r="BN7" s="637" t="n">
        <x:f>SUBTOTAL(9,BN10:BN204)</x:f>
        <x:v>0</x:v>
      </x:c>
      <x:c r="BO7" s="637" t="n">
        <x:f>SUBTOTAL(9,BO10:BO204)</x:f>
        <x:v>0</x:v>
      </x:c>
      <x:c r="BP7" s="637" t="n">
        <x:f>SUBTOTAL(9,BP10:BP204)</x:f>
        <x:v>0</x:v>
      </x:c>
      <x:c r="BQ7" s="637" t="n">
        <x:f>SUBTOTAL(9,BQ10:BQ204)</x:f>
        <x:v>-9.992007221626409e-16</x:v>
      </x:c>
      <x:c r="BR7" s="637" t="n">
        <x:f>SUBTOTAL(9,BR10:BR204)</x:f>
        <x:v>-1.1102230246251565e-15</x:v>
      </x:c>
      <x:c r="BS7" s="637" t="n">
        <x:f>SUBTOTAL(9,BS10:BS204)</x:f>
        <x:v>1.1102230246251565e-15</x:v>
      </x:c>
      <x:c r="BT7" s="637" t="n">
        <x:f>SUBTOTAL(9,BT10:BT204)</x:f>
        <x:v>0</x:v>
      </x:c>
      <x:c r="BU7" s="637" t="n">
        <x:f>SUBTOTAL(9,BU10:BU204)</x:f>
        <x:v>0</x:v>
      </x:c>
      <x:c r="BV7" s="637" t="n">
        <x:f>SUBTOTAL(9,BV10:BV204)</x:f>
        <x:v>0</x:v>
      </x:c>
      <x:c r="BW7" s="637" t="n">
        <x:f>SUBTOTAL(9,BW10:BW204)</x:f>
        <x:v>0</x:v>
      </x:c>
      <x:c r="BX7" s="637" t="n">
        <x:f>SUBTOTAL(9,BX10:BX204)</x:f>
        <x:v>0</x:v>
      </x:c>
      <x:c r="BY7" s="637" t="n">
        <x:f>SUBTOTAL(9,BY10:BY204)</x:f>
        <x:v>0</x:v>
      </x:c>
      <x:c r="BZ7" s="637" t="n">
        <x:f>SUBTOTAL(9,BZ10:BZ204)</x:f>
        <x:v>0</x:v>
      </x:c>
      <x:c r="CA7" s="637" t="n">
        <x:f>SUBTOTAL(9,CA10:CA204)</x:f>
        <x:v>0</x:v>
      </x:c>
      <x:c r="CB7" s="637" t="n">
        <x:f>SUBTOTAL(9,CB10:CB204)</x:f>
        <x:v>0</x:v>
      </x:c>
      <x:c r="CC7" s="637" t="n">
        <x:f>SUBTOTAL(9,CC10:CC204)</x:f>
        <x:v>0</x:v>
      </x:c>
      <x:c r="CD7" s="637" t="n">
        <x:f>SUBTOTAL(9,CD10:CD204)</x:f>
        <x:v>0</x:v>
      </x:c>
      <x:c r="CE7" s="637" t="n">
        <x:f>SUBTOTAL(9,CE10:CE204)</x:f>
        <x:v>0</x:v>
      </x:c>
      <x:c r="CF7" s="637" t="n">
        <x:f>SUBTOTAL(9,CF10:CF204)</x:f>
        <x:v>0</x:v>
      </x:c>
      <x:c r="CG7" s="637" t="n">
        <x:f>SUBTOTAL(9,CG10:CG204)</x:f>
        <x:v>0</x:v>
      </x:c>
      <x:c r="CH7" s="637" t="n">
        <x:f>SUBTOTAL(9,CH10:CH204)</x:f>
        <x:v>0</x:v>
      </x:c>
      <x:c r="CI7" s="637" t="n">
        <x:f>SUBTOTAL(9,CI10:CI204)</x:f>
        <x:v>0</x:v>
      </x:c>
      <x:c r="CJ7" s="637" t="n">
        <x:f>SUBTOTAL(9,CJ10:CJ204)</x:f>
        <x:v>0</x:v>
      </x:c>
      <x:c r="CK7" s="637" t="n">
        <x:f>SUBTOTAL(9,CK10:CK204)</x:f>
        <x:v>0</x:v>
      </x:c>
      <x:c r="CL7" s="637" t="n">
        <x:f>SUBTOTAL(9,CL10:CL204)</x:f>
        <x:v>0</x:v>
      </x:c>
      <x:c r="CM7" s="637" t="n">
        <x:f>SUBTOTAL(9,CM10:CM204)</x:f>
        <x:v>0</x:v>
      </x:c>
      <x:c r="CN7" s="637" t="n">
        <x:f>SUBTOTAL(9,CN10:CN204)</x:f>
        <x:v>0</x:v>
      </x:c>
      <x:c r="CO7" s="637" t="n">
        <x:f>SUBTOTAL(9,CO10:CO204)</x:f>
        <x:v>0</x:v>
      </x:c>
      <x:c r="CP7" s="637" t="n">
        <x:f>SUBTOTAL(9,CP10:CP204)</x:f>
        <x:v>0</x:v>
      </x:c>
      <x:c r="CQ7" s="637" t="n">
        <x:f>SUBTOTAL(9,CQ10:CQ204)</x:f>
        <x:v>0</x:v>
      </x:c>
      <x:c r="CR7" s="637" t="n">
        <x:f>SUBTOTAL(9,CR10:CR204)</x:f>
        <x:v>0</x:v>
      </x:c>
      <x:c r="CS7" s="637" t="n">
        <x:f>SUBTOTAL(9,CS10:CS204)</x:f>
        <x:v>0</x:v>
      </x:c>
      <x:c r="CT7" s="637" t="n">
        <x:f>SUBTOTAL(9,CT10:CT204)</x:f>
        <x:v>0</x:v>
      </x:c>
      <x:c r="CU7" s="637" t="n">
        <x:f>SUBTOTAL(9,CU10:CU204)</x:f>
        <x:v>0</x:v>
      </x:c>
      <x:c r="CV7" s="637" t="n">
        <x:f>SUBTOTAL(9,CV10:CV204)</x:f>
        <x:v>0</x:v>
      </x:c>
      <x:c r="CW7" s="637" t="n">
        <x:f>SUBTOTAL(9,CW10:CW204)</x:f>
        <x:v>0</x:v>
      </x:c>
      <x:c r="CX7" s="637" t="n">
        <x:f>SUBTOTAL(9,CX10:CX204)</x:f>
        <x:v>0</x:v>
      </x:c>
      <x:c r="CY7" s="637" t="n">
        <x:f>SUBTOTAL(9,CY10:CY204)</x:f>
        <x:v>0</x:v>
      </x:c>
      <x:c r="CZ7" s="637" t="n">
        <x:f>SUBTOTAL(9,CZ10:CZ204)</x:f>
        <x:v>0</x:v>
      </x:c>
      <x:c r="DA7" s="637" t="n">
        <x:f>SUBTOTAL(9,DA10:DA204)</x:f>
        <x:v>0</x:v>
      </x:c>
      <x:c r="DB7" s="637" t="n">
        <x:f>SUBTOTAL(9,DB10:DB204)</x:f>
        <x:v>0</x:v>
      </x:c>
      <x:c r="DC7" s="637" t="n">
        <x:f>SUBTOTAL(9,DC10:DC204)</x:f>
        <x:v>0</x:v>
      </x:c>
      <x:c r="DD7" s="637" t="n">
        <x:f>SUBTOTAL(9,DD10:DD204)</x:f>
        <x:v>0</x:v>
      </x:c>
      <x:c r="DE7" s="637" t="n">
        <x:f>SUBTOTAL(9,DE10:DE204)</x:f>
        <x:v>0</x:v>
      </x:c>
      <x:c r="DF7" s="637" t="n">
        <x:f>SUBTOTAL(9,DF10:DF204)</x:f>
        <x:v>0</x:v>
      </x:c>
      <x:c r="DG7" s="637" t="n">
        <x:f>SUBTOTAL(9,DG10:DG204)</x:f>
        <x:v>0</x:v>
      </x:c>
      <x:c r="DH7" s="637" t="n">
        <x:f>SUBTOTAL(9,DH10:DH204)</x:f>
        <x:v>0</x:v>
      </x:c>
      <x:c r="DI7" s="637" t="n">
        <x:f>SUBTOTAL(9,DI10:DI204)</x:f>
        <x:v>0</x:v>
      </x:c>
      <x:c r="DJ7" s="637" t="n">
        <x:f>SUBTOTAL(9,DJ10:DJ204)</x:f>
        <x:v>0</x:v>
      </x:c>
      <x:c r="DK7" s="637" t="n">
        <x:f>SUBTOTAL(9,DK10:DK204)</x:f>
        <x:v>0</x:v>
      </x:c>
      <x:c r="DL7" s="637" t="n">
        <x:f>SUBTOTAL(9,DL10:DL204)</x:f>
        <x:v>0</x:v>
      </x:c>
      <x:c r="DM7" s="637" t="n">
        <x:f>SUBTOTAL(9,DM10:DM204)</x:f>
        <x:v>0</x:v>
      </x:c>
      <x:c r="DN7" s="637" t="n">
        <x:f>SUBTOTAL(9,DN10:DN204)</x:f>
        <x:v>0</x:v>
      </x:c>
      <x:c r="DO7" s="637" t="n">
        <x:f>SUBTOTAL(9,DO10:DO204)</x:f>
        <x:v>0</x:v>
      </x:c>
      <x:c r="DP7" s="637" t="n">
        <x:f>SUBTOTAL(9,DP10:DP204)</x:f>
        <x:v>0</x:v>
      </x:c>
      <x:c r="DQ7" s="637" t="n">
        <x:f>SUBTOTAL(9,DQ10:DQ204)</x:f>
        <x:v>0</x:v>
      </x:c>
      <x:c r="DR7" s="637" t="n">
        <x:f>SUBTOTAL(9,DR10:DR204)</x:f>
        <x:v>0</x:v>
      </x:c>
      <x:c r="DS7" s="637" t="n">
        <x:f>SUBTOTAL(9,DS10:DS204)</x:f>
        <x:v>0</x:v>
      </x:c>
      <x:c r="DT7" s="637" t="n">
        <x:f>SUBTOTAL(9,DT10:DT204)</x:f>
        <x:v>0</x:v>
      </x:c>
      <x:c r="DU7" s="637" t="n">
        <x:f>SUBTOTAL(9,DU10:DU204)</x:f>
        <x:v>0</x:v>
      </x:c>
      <x:c r="DV7" s="637" t="n">
        <x:f>SUBTOTAL(9,DV10:DV204)</x:f>
        <x:v>0</x:v>
      </x:c>
      <x:c r="DW7" s="637" t="n">
        <x:f>SUBTOTAL(9,DW10:DW204)</x:f>
        <x:v>0</x:v>
      </x:c>
      <x:c r="DX7" s="637" t="n">
        <x:f>SUBTOTAL(9,DX10:DX204)</x:f>
        <x:v>0</x:v>
      </x:c>
      <x:c r="DY7" s="637" t="n">
        <x:f>SUBTOTAL(9,DY10:DY204)</x:f>
        <x:v>0</x:v>
      </x:c>
      <x:c r="DZ7" s="637" t="n">
        <x:f>SUBTOTAL(9,DZ10:DZ204)</x:f>
        <x:v>0</x:v>
      </x:c>
      <x:c r="EA7" s="637" t="n">
        <x:f>SUBTOTAL(9,EA10:EA204)</x:f>
        <x:v>0</x:v>
      </x:c>
      <x:c r="EB7" s="637" t="n">
        <x:f>SUBTOTAL(9,EB10:EB204)</x:f>
        <x:v>0</x:v>
      </x:c>
      <x:c r="EC7" s="637" t="n">
        <x:f>SUBTOTAL(9,EC10:EC204)</x:f>
        <x:v>0</x:v>
      </x:c>
      <x:c r="ED7" s="637" t="n">
        <x:f>SUBTOTAL(9,ED10:ED204)</x:f>
        <x:v>0</x:v>
      </x:c>
      <x:c r="EE7" s="637" t="n">
        <x:f>SUBTOTAL(9,EE10:EE204)</x:f>
        <x:v>0</x:v>
      </x:c>
      <x:c r="EF7" s="637" t="n">
        <x:f>SUBTOTAL(9,EF10:EF204)</x:f>
        <x:v>0</x:v>
      </x:c>
      <x:c r="EG7" s="637" t="n">
        <x:f>SUBTOTAL(9,EG10:EG204)</x:f>
        <x:v>0</x:v>
      </x:c>
      <x:c r="EH7" s="637" t="n">
        <x:f>SUBTOTAL(9,EH10:EH204)</x:f>
        <x:v>0</x:v>
      </x:c>
      <x:c r="EI7" s="637" t="n">
        <x:f>SUBTOTAL(9,EI10:EI204)</x:f>
        <x:v>0</x:v>
      </x:c>
      <x:c r="EJ7" s="637" t="n">
        <x:f>SUBTOTAL(9,EJ10:EJ204)</x:f>
        <x:v>0</x:v>
      </x:c>
      <x:c r="EK7" s="637" t="n">
        <x:f>SUBTOTAL(9,EK10:EK204)</x:f>
        <x:v>0</x:v>
      </x:c>
      <x:c r="EL7" s="637" t="n">
        <x:f>SUBTOTAL(9,EL10:EL204)</x:f>
        <x:v>0</x:v>
      </x:c>
      <x:c r="EM7" s="637" t="n">
        <x:f>SUBTOTAL(9,EM10:EM204)</x:f>
        <x:v>0</x:v>
      </x:c>
      <x:c r="EN7" s="637" t="n">
        <x:f>SUBTOTAL(9,EN10:EN204)</x:f>
        <x:v>0</x:v>
      </x:c>
      <x:c r="EO7" s="637" t="n">
        <x:f>SUBTOTAL(9,EO10:EO204)</x:f>
        <x:v>0</x:v>
      </x:c>
      <x:c r="EP7" s="637" t="n">
        <x:f>SUBTOTAL(9,EP10:EP204)</x:f>
        <x:v>0</x:v>
      </x:c>
      <x:c r="EQ7" s="637" t="n">
        <x:f>SUBTOTAL(9,EQ10:EQ204)</x:f>
        <x:v>0</x:v>
      </x:c>
      <x:c r="ER7" s="637" t="n">
        <x:f>SUBTOTAL(9,ER10:ER204)</x:f>
        <x:v>0</x:v>
      </x:c>
      <x:c r="ES7" s="637" t="n">
        <x:f>SUBTOTAL(9,ES10:ES204)</x:f>
        <x:v>0</x:v>
      </x:c>
      <x:c r="ET7" s="637" t="n">
        <x:f>SUBTOTAL(9,ET10:ET204)</x:f>
        <x:v>0</x:v>
      </x:c>
      <x:c r="EU7" s="637" t="n">
        <x:f>SUBTOTAL(9,EU10:EU204)</x:f>
        <x:v>0</x:v>
      </x:c>
      <x:c r="EV7" s="637" t="n">
        <x:f>SUBTOTAL(9,EV10:EV204)</x:f>
        <x:v>0</x:v>
      </x:c>
      <x:c r="EW7" s="637" t="n">
        <x:f>SUBTOTAL(9,EW10:EW204)</x:f>
        <x:v>0</x:v>
      </x:c>
      <x:c r="EX7" s="637" t="n">
        <x:f>SUBTOTAL(9,EX10:EX204)</x:f>
        <x:v>0</x:v>
      </x:c>
      <x:c r="EY7" s="637" t="n">
        <x:f>SUBTOTAL(9,EY10:EY204)</x:f>
        <x:v>0</x:v>
      </x:c>
      <x:c r="EZ7" s="637" t="n">
        <x:f>SUBTOTAL(9,EZ10:EZ204)</x:f>
        <x:v>0</x:v>
      </x:c>
      <x:c r="FA7" s="637" t="n">
        <x:f>SUBTOTAL(9,FA10:FA204)</x:f>
        <x:v>0</x:v>
      </x:c>
      <x:c r="FB7" s="637" t="n">
        <x:f>SUBTOTAL(9,FB10:FB204)</x:f>
        <x:v>0</x:v>
      </x:c>
      <x:c r="FC7" s="637" t="n">
        <x:f>SUBTOTAL(9,FC10:FC204)</x:f>
        <x:v>0</x:v>
      </x:c>
      <x:c r="FD7" s="637" t="n">
        <x:f>SUBTOTAL(9,FD10:FD204)</x:f>
        <x:v>0</x:v>
      </x:c>
      <x:c r="FE7" s="637" t="n">
        <x:f>SUBTOTAL(9,FE10:FE204)</x:f>
        <x:v>0</x:v>
      </x:c>
      <x:c r="FF7" s="637" t="n">
        <x:f>SUBTOTAL(9,FF10:FF204)</x:f>
        <x:v>0</x:v>
      </x:c>
      <x:c r="FG7" s="637" t="n">
        <x:f>SUBTOTAL(9,FG10:FG204)</x:f>
        <x:v>0</x:v>
      </x:c>
      <x:c r="FH7" s="637" t="n">
        <x:f>SUBTOTAL(9,FH10:FH204)</x:f>
        <x:v>0</x:v>
      </x:c>
      <x:c r="FI7" s="637" t="n">
        <x:f>SUBTOTAL(9,FI10:FI204)</x:f>
        <x:v>0</x:v>
      </x:c>
      <x:c r="FJ7" s="637" t="n">
        <x:f>SUBTOTAL(9,FJ10:FJ204)</x:f>
        <x:v>0</x:v>
      </x:c>
      <x:c r="FK7" s="637" t="n">
        <x:f>SUBTOTAL(9,FK10:FK204)</x:f>
        <x:v>0</x:v>
      </x:c>
      <x:c r="FL7" s="637" t="n">
        <x:f>SUBTOTAL(9,FL10:FL204)</x:f>
        <x:v>0</x:v>
      </x:c>
      <x:c r="FM7" s="637" t="n">
        <x:f>SUBTOTAL(9,FM10:FM204)</x:f>
        <x:v>0</x:v>
      </x:c>
      <x:c r="FN7" s="637" t="n">
        <x:f>SUBTOTAL(9,FN10:FN204)</x:f>
        <x:v>0</x:v>
      </x:c>
      <x:c r="FO7" s="637" t="n">
        <x:f>SUBTOTAL(9,FO10:FO204)</x:f>
        <x:v>0</x:v>
      </x:c>
      <x:c r="FP7" s="637" t="n">
        <x:f>SUBTOTAL(9,FP10:FP204)</x:f>
        <x:v>0</x:v>
      </x:c>
      <x:c r="FQ7" s="637" t="n">
        <x:f>SUBTOTAL(9,FQ10:FQ204)</x:f>
        <x:v>0</x:v>
      </x:c>
      <x:c r="FR7" s="637" t="n">
        <x:f>SUBTOTAL(9,FR10:FR204)</x:f>
        <x:v>0</x:v>
      </x:c>
      <x:c r="FS7" s="637" t="n">
        <x:f>SUBTOTAL(9,FS10:FS204)</x:f>
        <x:v>0</x:v>
      </x:c>
      <x:c r="FT7" s="637" t="n">
        <x:f>SUBTOTAL(9,FT10:FT204)</x:f>
        <x:v>0</x:v>
      </x:c>
      <x:c r="FU7" s="637" t="n">
        <x:f>SUBTOTAL(9,FU10:FU204)</x:f>
        <x:v>0</x:v>
      </x:c>
      <x:c r="FV7" s="637" t="n">
        <x:f>SUBTOTAL(9,FV10:FV204)</x:f>
        <x:v>0</x:v>
      </x:c>
      <x:c r="FW7" s="637" t="n">
        <x:f>SUBTOTAL(9,FW10:FW204)</x:f>
        <x:v>0</x:v>
      </x:c>
      <x:c r="FX7" s="637" t="n">
        <x:f>SUBTOTAL(9,FX10:FX204)</x:f>
        <x:v>0</x:v>
      </x:c>
      <x:c r="FY7" s="637" t="n">
        <x:f>SUBTOTAL(9,FY10:FY204)</x:f>
        <x:v>0</x:v>
      </x:c>
      <x:c r="FZ7" s="637" t="n">
        <x:f>SUBTOTAL(9,FZ10:FZ204)</x:f>
        <x:v>0</x:v>
      </x:c>
      <x:c r="GA7" s="637" t="n">
        <x:f>SUBTOTAL(9,GA10:GA204)</x:f>
        <x:v>0</x:v>
      </x:c>
    </x:row>
    <x:row r="8" s="26" customFormat="1" ht="14.25" customHeight="1">
      <x:c r="A8" s="52" t="inlineStr">
        <x:is>
          <x:t xml:space="preserve">NOTES</x:t>
        </x:is>
      </x:c>
      <x:c r="B8" s="639" t="n"/>
      <x:c r="C8" s="51" t="inlineStr">
        <x:is>
          <x:t xml:space="preserve">NET ACRES</x:t>
        </x:is>
      </x:c>
      <x:c r="D8" s="50" t="inlineStr">
        <x:is>
          <x:t xml:space="preserve">OWNERS</x:t>
        </x:is>
      </x:c>
      <x:c r="E8" s="49" t="inlineStr">
        <x:is>
          <x:t xml:space="preserve">TOTAL </x:t>
        </x:is>
      </x:c>
      <x:c r="F8" s="640" t="n"/>
      <x:c r="G8" s="641" t="n"/>
      <x:c r="H8" s="642" t="n"/>
      <x:c r="I8" s="642" t="n"/>
      <x:c r="J8" s="642" t="n"/>
      <x:c r="K8" s="642" t="n"/>
      <x:c r="L8" s="642" t="n"/>
      <x:c r="M8" s="642" t="n"/>
      <x:c r="N8" s="642" t="n"/>
      <x:c r="O8" s="642" t="n"/>
      <x:c r="P8" s="642" t="n"/>
      <x:c r="Q8" s="642" t="n"/>
      <x:c r="R8" s="642" t="n"/>
      <x:c r="S8" s="642" t="n"/>
      <x:c r="T8" s="642" t="n"/>
      <x:c r="U8" s="642" t="n"/>
      <x:c r="V8" s="642" t="n"/>
      <x:c r="W8" s="642" t="n"/>
      <x:c r="X8" s="642" t="n"/>
      <x:c r="Y8" s="642" t="n"/>
      <x:c r="Z8" s="642" t="n"/>
      <x:c r="AA8" s="642" t="n"/>
      <x:c r="AB8" s="642" t="n"/>
      <x:c r="AC8" s="642" t="n"/>
      <x:c r="AD8" s="642" t="n"/>
      <x:c r="AE8" s="642" t="n"/>
      <x:c r="AF8" s="642" t="n"/>
      <x:c r="AG8" s="642" t="n"/>
      <x:c r="AH8" s="642" t="n"/>
      <x:c r="AI8" s="642" t="n"/>
      <x:c r="AJ8" s="642" t="n"/>
      <x:c r="AK8" s="642" t="n"/>
      <x:c r="AL8" s="642" t="n"/>
      <x:c r="AM8" s="642" t="n"/>
      <x:c r="AN8" s="642" t="n"/>
      <x:c r="AO8" s="642" t="n"/>
      <x:c r="AP8" s="642" t="n"/>
      <x:c r="AQ8" s="642" t="n"/>
      <x:c r="AR8" s="642" t="n"/>
      <x:c r="AS8" s="642" t="n"/>
      <x:c r="AT8" s="642" t="n"/>
      <x:c r="AU8" s="642" t="n"/>
      <x:c r="AV8" s="642" t="n"/>
      <x:c r="AW8" s="642" t="n"/>
      <x:c r="AX8" s="642" t="n"/>
      <x:c r="AY8" s="642" t="n"/>
      <x:c r="AZ8" s="642" t="n"/>
      <x:c r="BA8" s="642" t="n"/>
      <x:c r="BB8" s="642" t="n"/>
      <x:c r="BC8" s="642" t="n"/>
      <x:c r="BD8" s="642" t="n"/>
      <x:c r="BE8" s="642" t="n"/>
      <x:c r="BF8" s="642" t="n"/>
      <x:c r="BG8" s="642" t="n"/>
      <x:c r="BH8" s="642" t="n"/>
      <x:c r="BI8" s="642" t="n"/>
      <x:c r="BJ8" s="642" t="n"/>
      <x:c r="BK8" s="642" t="n"/>
      <x:c r="BL8" s="642" t="n"/>
      <x:c r="BM8" s="642" t="n"/>
      <x:c r="BN8" s="642" t="n"/>
      <x:c r="BO8" s="642" t="n"/>
      <x:c r="BP8" s="642" t="n"/>
      <x:c r="BQ8" s="642" t="n"/>
      <x:c r="BR8" s="642" t="n"/>
      <x:c r="BS8" s="642" t="n"/>
      <x:c r="BT8" s="642" t="n"/>
      <x:c r="BU8" s="642" t="n"/>
      <x:c r="BV8" s="642" t="n"/>
      <x:c r="BW8" s="642" t="n"/>
      <x:c r="BX8" s="642" t="n"/>
      <x:c r="BY8" s="642" t="n"/>
      <x:c r="BZ8" s="642" t="n"/>
      <x:c r="CA8" s="642" t="n"/>
      <x:c r="CB8" s="642" t="n"/>
      <x:c r="CC8" s="642" t="n"/>
      <x:c r="CD8" s="642" t="n"/>
      <x:c r="CE8" s="642" t="n"/>
      <x:c r="CF8" s="642" t="n"/>
      <x:c r="CG8" s="642" t="n"/>
      <x:c r="CH8" s="642" t="n"/>
      <x:c r="CI8" s="642" t="n"/>
      <x:c r="CJ8" s="642" t="n"/>
      <x:c r="CK8" s="642" t="n"/>
      <x:c r="CL8" s="642" t="n"/>
      <x:c r="CM8" s="642" t="n"/>
      <x:c r="CN8" s="642" t="n"/>
      <x:c r="CO8" s="642" t="n"/>
      <x:c r="CP8" s="642" t="n"/>
      <x:c r="CQ8" s="642" t="n"/>
      <x:c r="CR8" s="642" t="n"/>
      <x:c r="CS8" s="642" t="n"/>
      <x:c r="CT8" s="642" t="n"/>
      <x:c r="CU8" s="642" t="n"/>
      <x:c r="CV8" s="642" t="n"/>
      <x:c r="CW8" s="642" t="n"/>
      <x:c r="CX8" s="642" t="n"/>
      <x:c r="CY8" s="642" t="n"/>
      <x:c r="CZ8" s="642" t="n"/>
      <x:c r="DA8" s="642" t="n"/>
      <x:c r="DB8" s="642" t="n"/>
      <x:c r="DC8" s="642" t="n"/>
      <x:c r="DD8" s="642" t="n"/>
      <x:c r="DE8" s="642" t="n"/>
      <x:c r="DF8" s="642" t="n"/>
      <x:c r="DG8" s="642" t="n"/>
      <x:c r="DH8" s="642" t="n"/>
      <x:c r="DI8" s="642" t="n"/>
      <x:c r="DJ8" s="642" t="n"/>
      <x:c r="DK8" s="642" t="n"/>
      <x:c r="DL8" s="642" t="n"/>
      <x:c r="DM8" s="642" t="n"/>
      <x:c r="DN8" s="642" t="n"/>
      <x:c r="DO8" s="642" t="n"/>
      <x:c r="DP8" s="642" t="n"/>
      <x:c r="DQ8" s="642" t="n"/>
      <x:c r="DR8" s="642" t="n"/>
      <x:c r="DS8" s="642" t="n"/>
      <x:c r="DT8" s="642" t="n"/>
      <x:c r="DU8" s="642" t="n"/>
      <x:c r="DV8" s="642" t="n"/>
      <x:c r="DW8" s="642" t="n"/>
      <x:c r="DX8" s="642" t="n"/>
      <x:c r="DY8" s="642" t="n"/>
      <x:c r="DZ8" s="642" t="n"/>
      <x:c r="EA8" s="642" t="n"/>
      <x:c r="EB8" s="642" t="n"/>
      <x:c r="EC8" s="642" t="n"/>
      <x:c r="ED8" s="642" t="n"/>
      <x:c r="EE8" s="642" t="n"/>
      <x:c r="EF8" s="642" t="n"/>
      <x:c r="EG8" s="642" t="n"/>
      <x:c r="EH8" s="642" t="n"/>
      <x:c r="EI8" s="642" t="n"/>
      <x:c r="EJ8" s="642" t="n"/>
      <x:c r="EK8" s="642" t="n"/>
      <x:c r="EL8" s="642" t="n"/>
      <x:c r="EM8" s="642" t="n"/>
      <x:c r="EN8" s="642" t="n"/>
      <x:c r="EO8" s="642" t="n"/>
      <x:c r="EP8" s="642" t="n"/>
      <x:c r="EQ8" s="642" t="n"/>
      <x:c r="ER8" s="642" t="n"/>
      <x:c r="ES8" s="642" t="n"/>
      <x:c r="ET8" s="642" t="n"/>
      <x:c r="EU8" s="642" t="n"/>
      <x:c r="EV8" s="642" t="n"/>
      <x:c r="EW8" s="642" t="n"/>
      <x:c r="EX8" s="642" t="n"/>
      <x:c r="EY8" s="642" t="n"/>
      <x:c r="EZ8" s="642" t="n"/>
      <x:c r="FA8" s="642" t="n"/>
      <x:c r="FB8" s="642" t="n"/>
      <x:c r="FC8" s="642" t="n"/>
      <x:c r="FD8" s="642" t="n"/>
      <x:c r="FE8" s="642" t="n"/>
      <x:c r="FF8" s="642" t="n"/>
      <x:c r="FG8" s="642" t="n"/>
      <x:c r="FH8" s="642" t="n"/>
      <x:c r="FI8" s="642" t="n"/>
      <x:c r="FJ8" s="642" t="n"/>
      <x:c r="FK8" s="642" t="n"/>
      <x:c r="FL8" s="642" t="n"/>
      <x:c r="FM8" s="642" t="n"/>
      <x:c r="FN8" s="642" t="n"/>
      <x:c r="FO8" s="642" t="n"/>
      <x:c r="FP8" s="642" t="n"/>
      <x:c r="FQ8" s="642" t="n"/>
      <x:c r="FR8" s="642" t="n"/>
      <x:c r="FS8" s="642" t="n"/>
      <x:c r="FT8" s="642" t="n"/>
      <x:c r="FU8" s="642" t="n"/>
      <x:c r="FV8" s="642" t="n"/>
      <x:c r="FW8" s="642" t="n"/>
      <x:c r="FX8" s="642" t="n"/>
      <x:c r="FY8" s="642" t="n"/>
      <x:c r="FZ8" s="642" t="n"/>
      <x:c r="GA8" s="642" t="n"/>
    </x:row>
    <x:row r="9" s="40" customFormat="1" ht="12.75" customHeight="1">
      <x:c r="A9" s="48" t="n"/>
      <x:c r="B9" s="47" t="n"/>
      <x:c r="C9" s="45" t="n"/>
      <x:c r="D9" s="46" t="n"/>
      <x:c r="E9" s="45" t="n"/>
      <x:c r="F9" s="44" t="n"/>
      <x:c r="G9" s="43" t="n"/>
      <x:c r="H9" s="41" t="n"/>
      <x:c r="I9" s="42" t="n"/>
      <x:c r="J9" s="41" t="n"/>
      <x:c r="K9" s="41" t="n"/>
      <x:c r="L9" s="41" t="n"/>
      <x:c r="M9" s="41" t="n"/>
      <x:c r="N9" s="41" t="n"/>
      <x:c r="O9" s="41" t="n"/>
      <x:c r="P9" s="41" t="n"/>
      <x:c r="Q9" s="41" t="n"/>
      <x:c r="R9" s="99" t="n"/>
      <x:c r="S9" s="99" t="n"/>
      <x:c r="T9" s="41" t="n"/>
      <x:c r="U9" s="41" t="n"/>
      <x:c r="V9" s="41" t="n"/>
      <x:c r="W9" s="41" t="n"/>
      <x:c r="X9" s="41" t="n"/>
      <x:c r="Y9" s="41" t="n"/>
      <x:c r="Z9" s="41" t="n"/>
      <x:c r="AA9" s="41" t="n"/>
      <x:c r="AB9" s="41" t="n"/>
      <x:c r="AC9" s="41" t="n"/>
      <x:c r="AD9" s="41" t="n"/>
      <x:c r="AE9" s="99" t="n"/>
      <x:c r="AF9" s="99" t="n"/>
      <x:c r="AG9" s="99" t="n"/>
      <x:c r="AH9" s="99" t="n"/>
      <x:c r="AI9" s="99" t="n"/>
      <x:c r="AJ9" s="99" t="n"/>
      <x:c r="AK9" s="99" t="n"/>
      <x:c r="AL9" s="41" t="n"/>
      <x:c r="AM9" s="99" t="n"/>
      <x:c r="AN9" s="41" t="n"/>
      <x:c r="AO9" s="99" t="n"/>
      <x:c r="AP9" s="41" t="n"/>
      <x:c r="AQ9" s="41" t="n"/>
      <x:c r="AR9" s="41" t="n"/>
      <x:c r="AS9" s="41" t="n"/>
      <x:c r="AT9" s="41" t="n"/>
      <x:c r="AU9" s="41" t="n"/>
      <x:c r="AV9" s="41" t="n"/>
      <x:c r="AW9" s="41" t="n"/>
      <x:c r="AX9" s="41" t="n"/>
      <x:c r="AY9" s="41" t="n"/>
      <x:c r="AZ9" s="41" t="n"/>
      <x:c r="BA9" s="41" t="n"/>
      <x:c r="BB9" s="41" t="n"/>
      <x:c r="BC9" s="41" t="n"/>
      <x:c r="BD9" s="41" t="n"/>
      <x:c r="BE9" s="41" t="n"/>
      <x:c r="BF9" s="41" t="n"/>
      <x:c r="BG9" s="41" t="n"/>
      <x:c r="BH9" s="41" t="n"/>
      <x:c r="BI9" s="41" t="n"/>
      <x:c r="BJ9" s="41" t="n"/>
      <x:c r="BK9" s="41" t="n"/>
      <x:c r="BL9" s="41" t="n"/>
      <x:c r="BM9" s="41" t="n"/>
      <x:c r="BN9" s="41" t="n"/>
      <x:c r="BO9" s="41" t="n"/>
      <x:c r="BP9" s="41" t="n"/>
      <x:c r="BQ9" s="41" t="n"/>
      <x:c r="BR9" s="41" t="n"/>
      <x:c r="BS9" s="41" t="n"/>
      <x:c r="BT9" s="41" t="n"/>
      <x:c r="BU9" s="41" t="n"/>
      <x:c r="BV9" s="41" t="n"/>
      <x:c r="BW9" s="41" t="n"/>
      <x:c r="BX9" s="41" t="n"/>
      <x:c r="BY9" s="41" t="n"/>
      <x:c r="BZ9" s="41" t="n"/>
      <x:c r="CA9" s="41" t="n"/>
      <x:c r="CB9" s="41" t="n"/>
      <x:c r="CC9" s="41" t="n"/>
      <x:c r="CD9" s="41" t="n"/>
      <x:c r="CE9" s="41" t="n"/>
      <x:c r="CF9" s="41" t="n"/>
      <x:c r="CG9" s="41" t="n"/>
      <x:c r="CH9" s="41" t="n"/>
      <x:c r="CI9" s="41" t="n"/>
      <x:c r="CJ9" s="41" t="n"/>
      <x:c r="CK9" s="41" t="n"/>
      <x:c r="CL9" s="41" t="n"/>
      <x:c r="CM9" s="41" t="n"/>
      <x:c r="CN9" s="41" t="n"/>
      <x:c r="CO9" s="41" t="n"/>
      <x:c r="CP9" s="41" t="n"/>
      <x:c r="CQ9" s="41" t="n"/>
      <x:c r="CR9" s="41" t="n"/>
      <x:c r="CS9" s="41" t="n"/>
      <x:c r="CT9" s="41" t="n"/>
      <x:c r="CU9" s="41" t="n"/>
      <x:c r="CV9" s="41" t="n"/>
      <x:c r="CW9" s="41" t="n"/>
      <x:c r="CX9" s="41" t="n"/>
      <x:c r="CY9" s="41" t="n"/>
      <x:c r="CZ9" s="41" t="n"/>
      <x:c r="DA9" s="41" t="n"/>
      <x:c r="DB9" s="41" t="n"/>
      <x:c r="DC9" s="41" t="n"/>
      <x:c r="DD9" s="41" t="n"/>
      <x:c r="DE9" s="41" t="n"/>
      <x:c r="DF9" s="41" t="n"/>
      <x:c r="DG9" s="41" t="n"/>
      <x:c r="DH9" s="41" t="n"/>
      <x:c r="DI9" s="41" t="n"/>
      <x:c r="DJ9" s="41" t="n"/>
      <x:c r="DK9" s="41" t="n"/>
      <x:c r="DL9" s="41" t="n"/>
      <x:c r="DM9" s="41" t="n"/>
      <x:c r="DN9" s="41" t="n"/>
      <x:c r="DO9" s="41" t="n"/>
      <x:c r="DP9" s="41" t="n"/>
      <x:c r="DQ9" s="41" t="n"/>
      <x:c r="DR9" s="41" t="n"/>
      <x:c r="DS9" s="41" t="n"/>
      <x:c r="DT9" s="41" t="n"/>
      <x:c r="DU9" s="41" t="n"/>
      <x:c r="DV9" s="41" t="n"/>
      <x:c r="DW9" s="41" t="n"/>
      <x:c r="DX9" s="41" t="n"/>
      <x:c r="DY9" s="41" t="n"/>
      <x:c r="DZ9" s="41" t="n"/>
      <x:c r="EA9" s="41" t="n"/>
      <x:c r="EB9" s="41" t="n"/>
      <x:c r="EC9" s="41" t="n"/>
      <x:c r="ED9" s="41" t="n"/>
      <x:c r="EE9" s="41" t="n"/>
      <x:c r="EF9" s="41" t="n"/>
      <x:c r="EG9" s="41" t="n"/>
      <x:c r="EH9" s="41" t="n"/>
      <x:c r="EI9" s="41" t="n"/>
      <x:c r="EJ9" s="41" t="n"/>
      <x:c r="EK9" s="41" t="n"/>
      <x:c r="EL9" s="41" t="n"/>
      <x:c r="EM9" s="41" t="n"/>
      <x:c r="EN9" s="41" t="n"/>
      <x:c r="EO9" s="41" t="n"/>
      <x:c r="EP9" s="41" t="n"/>
      <x:c r="EQ9" s="41" t="n"/>
      <x:c r="ER9" s="41" t="n"/>
      <x:c r="ES9" s="41" t="n"/>
      <x:c r="ET9" s="41" t="n"/>
      <x:c r="EU9" s="41" t="n"/>
      <x:c r="EV9" s="41" t="n"/>
      <x:c r="EW9" s="41" t="n"/>
      <x:c r="EX9" s="41" t="n"/>
      <x:c r="EY9" s="41" t="n"/>
      <x:c r="EZ9" s="41" t="n"/>
      <x:c r="FA9" s="41" t="n"/>
      <x:c r="FB9" s="41" t="n"/>
      <x:c r="FC9" s="41" t="n"/>
      <x:c r="FD9" s="41" t="n"/>
      <x:c r="FE9" s="41" t="n"/>
      <x:c r="FF9" s="41" t="n"/>
      <x:c r="FG9" s="41" t="n"/>
      <x:c r="FH9" s="41" t="n"/>
      <x:c r="FI9" s="41" t="n"/>
      <x:c r="FJ9" s="41" t="n"/>
      <x:c r="FK9" s="41" t="n"/>
      <x:c r="FL9" s="41" t="n"/>
      <x:c r="FM9" s="41" t="n"/>
      <x:c r="FN9" s="41" t="n"/>
      <x:c r="FO9" s="41" t="n"/>
      <x:c r="FP9" s="41" t="n"/>
      <x:c r="FQ9" s="41" t="n"/>
      <x:c r="FR9" s="41" t="n"/>
      <x:c r="FS9" s="41" t="n"/>
      <x:c r="FT9" s="41" t="n"/>
      <x:c r="FU9" s="41" t="n"/>
      <x:c r="FV9" s="41" t="n"/>
      <x:c r="FW9" s="41" t="n"/>
      <x:c r="FX9" s="41" t="n"/>
      <x:c r="FY9" s="41" t="n"/>
      <x:c r="FZ9" s="41" t="n"/>
      <x:c r="GA9" s="41" t="n"/>
    </x:row>
    <x:row r="10" s="27" customFormat="1">
      <x:c r="A10" s="38" t="n"/>
      <x:c r="B10" s="37" t="n"/>
      <x:c r="C10" s="36" t="n">
        <x:f>E10*D$5</x:f>
        <x:v>0</x:v>
      </x:c>
      <x:c r="D10" s="103" t="inlineStr">
        <x:is>
          <x:t xml:space="preserve">United States of America</x:t>
        </x:is>
      </x:c>
      <x:c r="E10" s="36" t="n">
        <x:f>SUM(G10:HT10)</x:f>
        <x:v>0</x:v>
      </x:c>
      <x:c r="F10" s="35" t="inlineStr">
        <x:is>
          <x:t xml:space="preserve"/>
        </x:is>
      </x:c>
      <x:c r="G10" s="121" t="n">
        <x:v>1</x:v>
      </x:c>
      <x:c r="H10" s="122" t="n">
        <x:v>-1</x:v>
      </x:c>
      <x:c r="I10" s="121" t="n"/>
      <x:c r="J10" s="121" t="n"/>
      <x:c r="K10" s="122" t="n"/>
      <x:c r="L10" s="121" t="n"/>
      <x:c r="M10" s="121" t="n"/>
      <x:c r="N10" s="121" t="n"/>
      <x:c r="O10" s="121" t="n"/>
      <x:c r="P10" s="121" t="n"/>
      <x:c r="Q10" s="121" t="n"/>
      <x:c r="R10" s="123" t="n"/>
      <x:c r="S10" s="123" t="n"/>
      <x:c r="T10" s="121" t="n"/>
      <x:c r="U10" s="121" t="n"/>
      <x:c r="V10" s="121" t="n"/>
      <x:c r="W10" s="121" t="n"/>
      <x:c r="X10" s="121" t="n"/>
      <x:c r="Y10" s="121" t="n"/>
      <x:c r="Z10" s="121" t="n"/>
      <x:c r="AA10" s="121" t="n"/>
      <x:c r="AB10" s="121" t="n"/>
      <x:c r="AC10" s="121" t="n"/>
      <x:c r="AD10" s="121" t="n"/>
      <x:c r="AE10" s="123" t="n"/>
      <x:c r="AF10" s="123" t="n"/>
      <x:c r="AG10" s="123" t="n"/>
      <x:c r="AH10" s="123" t="n"/>
      <x:c r="AI10" s="123" t="n"/>
      <x:c r="AJ10" s="123" t="n"/>
      <x:c r="AK10" s="123" t="n"/>
      <x:c r="AL10" s="121" t="n"/>
      <x:c r="AM10" s="123" t="n"/>
      <x:c r="AN10" s="121" t="n"/>
      <x:c r="AO10" s="123" t="n"/>
      <x:c r="AP10" s="121" t="n"/>
      <x:c r="AQ10" s="121" t="n"/>
      <x:c r="AR10" s="28" t="n"/>
      <x:c r="AS10" s="28" t="n"/>
      <x:c r="AT10" s="28" t="n"/>
      <x:c r="AU10" s="28" t="n"/>
      <x:c r="AV10" s="28" t="n"/>
      <x:c r="AW10" s="28" t="n"/>
      <x:c r="AX10" s="28" t="n"/>
      <x:c r="AY10" s="28" t="n"/>
      <x:c r="AZ10" s="28" t="n"/>
      <x:c r="BA10" s="28" t="n"/>
      <x:c r="BB10" s="28" t="n"/>
      <x:c r="BC10" s="28" t="n"/>
      <x:c r="BD10" s="28" t="n"/>
      <x:c r="BE10" s="28" t="n"/>
      <x:c r="BF10" s="28" t="n"/>
      <x:c r="BG10" s="28" t="n"/>
      <x:c r="BH10" s="28" t="n"/>
      <x:c r="BI10" s="28" t="n"/>
      <x:c r="BJ10" s="28" t="n"/>
      <x:c r="BK10" s="28" t="n"/>
      <x:c r="BL10" s="28" t="n"/>
      <x:c r="BM10" s="28" t="n"/>
      <x:c r="BN10" s="28" t="n"/>
      <x:c r="BO10" s="28" t="n"/>
      <x:c r="BP10" s="28" t="n"/>
      <x:c r="BQ10" s="28" t="n"/>
      <x:c r="BR10" s="28" t="n"/>
      <x:c r="BS10" s="28" t="n"/>
      <x:c r="BT10" s="28" t="n"/>
      <x:c r="BU10" s="28" t="n"/>
      <x:c r="BV10" s="28" t="n"/>
      <x:c r="BW10" s="28" t="n"/>
      <x:c r="BX10" s="28" t="n"/>
      <x:c r="BY10" s="28" t="n"/>
      <x:c r="BZ10" s="28" t="n"/>
      <x:c r="CA10" s="28" t="n"/>
      <x:c r="CB10" s="28" t="n"/>
      <x:c r="CC10" s="28" t="n"/>
      <x:c r="CD10" s="28" t="n"/>
      <x:c r="CE10" s="28" t="n"/>
      <x:c r="CF10" s="28" t="n"/>
      <x:c r="CG10" s="28" t="n"/>
      <x:c r="CH10" s="28" t="n"/>
      <x:c r="CI10" s="28" t="n"/>
      <x:c r="CJ10" s="28" t="n"/>
      <x:c r="CK10" s="28" t="n"/>
      <x:c r="CL10" s="28" t="n"/>
      <x:c r="CM10" s="28" t="n"/>
      <x:c r="CN10" s="28" t="n"/>
      <x:c r="CO10" s="28" t="n"/>
      <x:c r="CP10" s="28" t="n"/>
      <x:c r="CQ10" s="28" t="n"/>
      <x:c r="CR10" s="28" t="n"/>
      <x:c r="CS10" s="28" t="n"/>
      <x:c r="CT10" s="28" t="n"/>
      <x:c r="CU10" s="28" t="n"/>
      <x:c r="CV10" s="28" t="n"/>
      <x:c r="CW10" s="28" t="n"/>
      <x:c r="CX10" s="28" t="n"/>
      <x:c r="CY10" s="28" t="n"/>
      <x:c r="CZ10" s="28" t="n"/>
      <x:c r="DA10" s="28" t="n"/>
      <x:c r="DB10" s="28" t="n"/>
      <x:c r="DC10" s="28" t="n"/>
      <x:c r="DD10" s="28" t="n"/>
      <x:c r="DE10" s="28" t="n"/>
      <x:c r="DF10" s="28" t="n"/>
      <x:c r="DG10" s="28" t="n"/>
      <x:c r="DH10" s="28" t="n"/>
      <x:c r="DI10" s="28" t="n"/>
      <x:c r="DJ10" s="28" t="n"/>
      <x:c r="DK10" s="28" t="n"/>
      <x:c r="DL10" s="28" t="n"/>
      <x:c r="DM10" s="28" t="n"/>
      <x:c r="DN10" s="28" t="n"/>
      <x:c r="DO10" s="28" t="n"/>
      <x:c r="DP10" s="28" t="n"/>
      <x:c r="DQ10" s="28" t="n"/>
      <x:c r="DR10" s="28" t="n"/>
      <x:c r="DS10" s="28" t="n"/>
      <x:c r="DT10" s="28" t="n"/>
      <x:c r="DU10" s="28" t="n"/>
      <x:c r="DV10" s="28" t="n"/>
      <x:c r="DW10" s="28" t="n"/>
      <x:c r="DX10" s="28" t="n"/>
      <x:c r="DY10" s="28" t="n"/>
      <x:c r="DZ10" s="28" t="n"/>
      <x:c r="EA10" s="28" t="n"/>
      <x:c r="EB10" s="28" t="n"/>
      <x:c r="EC10" s="28" t="n"/>
      <x:c r="ED10" s="28" t="n"/>
      <x:c r="EE10" s="28" t="n"/>
      <x:c r="EF10" s="28" t="n"/>
      <x:c r="EG10" s="28" t="n"/>
      <x:c r="EH10" s="28" t="n"/>
      <x:c r="EI10" s="28" t="n"/>
      <x:c r="EJ10" s="28" t="n"/>
      <x:c r="EK10" s="28" t="n"/>
      <x:c r="EL10" s="28" t="n"/>
      <x:c r="EM10" s="28" t="n"/>
      <x:c r="EN10" s="28" t="n"/>
      <x:c r="EO10" s="28" t="n"/>
      <x:c r="EP10" s="28" t="n"/>
      <x:c r="EQ10" s="28" t="n"/>
      <x:c r="ER10" s="28" t="n"/>
      <x:c r="ES10" s="28" t="n"/>
      <x:c r="ET10" s="28" t="n"/>
      <x:c r="EU10" s="28" t="n"/>
      <x:c r="EV10" s="28" t="n"/>
      <x:c r="EW10" s="28" t="n"/>
      <x:c r="EX10" s="28" t="n"/>
      <x:c r="EY10" s="28" t="n"/>
      <x:c r="EZ10" s="28" t="n"/>
      <x:c r="FA10" s="28" t="n"/>
      <x:c r="FB10" s="28" t="n"/>
      <x:c r="FC10" s="28" t="n"/>
      <x:c r="FD10" s="28" t="n"/>
      <x:c r="FE10" s="28" t="n"/>
      <x:c r="FF10" s="28" t="n"/>
      <x:c r="FG10" s="28" t="n"/>
      <x:c r="FH10" s="28" t="n"/>
      <x:c r="FI10" s="28" t="n"/>
      <x:c r="FJ10" s="28" t="n"/>
      <x:c r="FK10" s="28" t="n"/>
      <x:c r="FL10" s="28" t="n"/>
      <x:c r="FM10" s="28" t="n"/>
      <x:c r="FN10" s="28" t="n"/>
      <x:c r="FO10" s="28" t="n"/>
      <x:c r="FP10" s="28" t="n"/>
      <x:c r="FQ10" s="28" t="n"/>
      <x:c r="FR10" s="28" t="n"/>
      <x:c r="FS10" s="28" t="n"/>
      <x:c r="FT10" s="28" t="n"/>
      <x:c r="FU10" s="28" t="n"/>
      <x:c r="FV10" s="28" t="n"/>
      <x:c r="FW10" s="28" t="n"/>
      <x:c r="FX10" s="28" t="n"/>
      <x:c r="FY10" s="28" t="n"/>
      <x:c r="FZ10" s="28" t="n"/>
      <x:c r="GA10" s="28" t="n"/>
    </x:row>
    <x:row r="11" s="27" customFormat="1">
      <x:c r="A11" s="20" t="n"/>
      <x:c r="B11" s="37" t="n"/>
      <x:c r="C11" s="86" t="n">
        <x:f>E11*D$5</x:f>
        <x:v>80</x:v>
      </x:c>
      <x:c r="D11" s="4" t="inlineStr">
        <x:is>
          <x:t xml:space="preserve">Leo Kennett</x:t>
        </x:is>
      </x:c>
      <x:c r="E11" s="86" t="n">
        <x:f>SUM(G11:HT11)</x:f>
        <x:v>1</x:v>
      </x:c>
      <x:c r="F11" s="35" t="inlineStr">
        <x:is>
          <x:t xml:space="preserve"/>
        </x:is>
      </x:c>
      <x:c r="G11" s="121" t="n"/>
      <x:c r="H11" s="121" t="n">
        <x:v>1</x:v>
      </x:c>
      <x:c r="I11" s="121" t="n">
        <x:v>-1</x:v>
      </x:c>
      <x:c r="J11" s="122" t="n"/>
      <x:c r="K11" s="121" t="n"/>
      <x:c r="L11" s="121" t="n"/>
      <x:c r="M11" s="121" t="n"/>
      <x:c r="N11" s="121" t="n"/>
      <x:c r="O11" s="121" t="n"/>
      <x:c r="P11" s="121" t="n"/>
      <x:c r="Q11" s="123" t="n"/>
      <x:c r="R11" s="123" t="n"/>
      <x:c r="S11" s="121" t="n"/>
      <x:c r="T11" s="121" t="n"/>
      <x:c r="U11" s="121" t="n"/>
      <x:c r="V11" s="121" t="n"/>
      <x:c r="W11" s="121" t="n"/>
      <x:c r="X11" s="121" t="n"/>
      <x:c r="Y11" s="121" t="n"/>
      <x:c r="Z11" s="121" t="n"/>
      <x:c r="AA11" s="121" t="n"/>
      <x:c r="AB11" s="121" t="n"/>
      <x:c r="AC11" s="121" t="n"/>
      <x:c r="AD11" s="124" t="n"/>
      <x:c r="AE11" s="123" t="n"/>
      <x:c r="AF11" s="123" t="n"/>
      <x:c r="AG11" s="123" t="n"/>
      <x:c r="AH11" s="123" t="n"/>
      <x:c r="AI11" s="123" t="n"/>
      <x:c r="AJ11" s="123" t="n"/>
      <x:c r="AK11" s="121" t="n"/>
      <x:c r="AL11" s="123" t="n"/>
      <x:c r="AM11" s="121" t="n"/>
      <x:c r="AN11" s="123" t="n"/>
      <x:c r="AO11" s="121" t="n"/>
      <x:c r="AP11" s="121" t="n"/>
      <x:c r="AQ11" s="28" t="n"/>
      <x:c r="AR11" s="28" t="n"/>
      <x:c r="AS11" s="28" t="n"/>
      <x:c r="AT11" s="28" t="n"/>
      <x:c r="AU11" s="28" t="n"/>
      <x:c r="AV11" s="28" t="n"/>
      <x:c r="AW11" s="28" t="n"/>
      <x:c r="AX11" s="28" t="n"/>
      <x:c r="AY11" s="28" t="n"/>
      <x:c r="AZ11" s="28" t="n"/>
      <x:c r="BA11" s="28" t="n"/>
      <x:c r="BB11" s="28" t="n"/>
      <x:c r="BC11" s="28" t="n"/>
      <x:c r="BD11" s="28" t="n"/>
      <x:c r="BE11" s="28" t="n"/>
      <x:c r="BF11" s="28" t="n"/>
      <x:c r="BG11" s="28" t="n"/>
      <x:c r="BH11" s="28" t="n"/>
      <x:c r="BI11" s="28" t="n"/>
      <x:c r="BJ11" s="28" t="n"/>
      <x:c r="BK11" s="28" t="n"/>
      <x:c r="BL11" s="28" t="n"/>
      <x:c r="BM11" s="28" t="n"/>
      <x:c r="BN11" s="28" t="n"/>
      <x:c r="BO11" s="28" t="n"/>
      <x:c r="BP11" s="28" t="n"/>
      <x:c r="BQ11" s="28" t="n"/>
      <x:c r="BR11" s="28" t="n"/>
      <x:c r="BS11" s="28" t="n"/>
      <x:c r="BT11" s="28" t="n"/>
      <x:c r="BU11" s="28" t="n"/>
      <x:c r="BV11" s="28" t="n"/>
      <x:c r="BW11" s="28" t="n"/>
      <x:c r="BX11" s="28" t="n"/>
      <x:c r="BY11" s="28" t="n"/>
      <x:c r="BZ11" s="28" t="n"/>
      <x:c r="CA11" s="28" t="n"/>
      <x:c r="CB11" s="28" t="n">
        <x:v>1</x:v>
      </x:c>
      <x:c r="CC11" s="28" t="n"/>
      <x:c r="CD11" s="28" t="n"/>
      <x:c r="CE11" s="28" t="n"/>
      <x:c r="CF11" s="28" t="n"/>
      <x:c r="CG11" s="28" t="n"/>
      <x:c r="CH11" s="28" t="n"/>
      <x:c r="CI11" s="28" t="n"/>
      <x:c r="CJ11" s="28" t="n"/>
      <x:c r="CK11" s="28" t="n"/>
      <x:c r="CL11" s="28" t="n"/>
      <x:c r="CM11" s="28" t="n"/>
      <x:c r="CN11" s="28" t="n"/>
      <x:c r="CO11" s="28" t="n"/>
      <x:c r="CP11" s="28" t="n"/>
      <x:c r="CQ11" s="28" t="n"/>
      <x:c r="CR11" s="28" t="n"/>
      <x:c r="CS11" s="28" t="n"/>
      <x:c r="CT11" s="28" t="n"/>
      <x:c r="CU11" s="28" t="n"/>
      <x:c r="CV11" s="28" t="n"/>
      <x:c r="CW11" s="28" t="n"/>
      <x:c r="CX11" s="28" t="n"/>
      <x:c r="CY11" s="28" t="n"/>
      <x:c r="CZ11" s="28" t="n"/>
      <x:c r="DA11" s="28" t="n"/>
      <x:c r="DB11" s="28" t="n"/>
      <x:c r="DC11" s="28" t="n"/>
      <x:c r="DD11" s="28" t="n"/>
      <x:c r="DE11" s="28" t="n"/>
      <x:c r="DF11" s="28" t="n"/>
      <x:c r="DG11" s="28" t="n"/>
      <x:c r="DH11" s="28" t="n"/>
      <x:c r="DI11" s="28" t="n"/>
      <x:c r="DJ11" s="28" t="n"/>
      <x:c r="DK11" s="28" t="n"/>
      <x:c r="DL11" s="28" t="n"/>
      <x:c r="DM11" s="28" t="n"/>
      <x:c r="DN11" s="28" t="n"/>
      <x:c r="DO11" s="28" t="n"/>
      <x:c r="DP11" s="28" t="n"/>
      <x:c r="DQ11" s="28" t="n"/>
      <x:c r="DR11" s="28" t="n"/>
      <x:c r="DS11" s="28" t="n"/>
      <x:c r="DT11" s="28" t="n"/>
      <x:c r="DU11" s="28" t="n"/>
      <x:c r="DV11" s="28" t="n"/>
      <x:c r="DW11" s="28" t="n"/>
      <x:c r="DX11" s="28" t="n"/>
      <x:c r="DY11" s="28" t="n"/>
      <x:c r="DZ11" s="28" t="n"/>
      <x:c r="EA11" s="28" t="n"/>
      <x:c r="EB11" s="28" t="n"/>
      <x:c r="EC11" s="28" t="n"/>
      <x:c r="ED11" s="28" t="n"/>
      <x:c r="EE11" s="28" t="n"/>
      <x:c r="EF11" s="28" t="n"/>
      <x:c r="EG11" s="28" t="n"/>
      <x:c r="EH11" s="28" t="n"/>
      <x:c r="EI11" s="28" t="n"/>
      <x:c r="EJ11" s="28" t="n"/>
      <x:c r="EK11" s="28" t="n"/>
      <x:c r="EL11" s="28" t="n"/>
      <x:c r="EM11" s="28" t="n"/>
      <x:c r="EN11" s="28" t="n"/>
      <x:c r="EO11" s="28" t="n"/>
      <x:c r="EP11" s="28" t="n"/>
      <x:c r="EQ11" s="28" t="n"/>
      <x:c r="ER11" s="28" t="n"/>
      <x:c r="ES11" s="28" t="n"/>
      <x:c r="ET11" s="28" t="n"/>
      <x:c r="EU11" s="28" t="n"/>
      <x:c r="EV11" s="28" t="n"/>
      <x:c r="EW11" s="28" t="n"/>
      <x:c r="EX11" s="28" t="n"/>
      <x:c r="EY11" s="28" t="n"/>
      <x:c r="EZ11" s="28" t="n"/>
      <x:c r="FA11" s="28" t="n"/>
      <x:c r="FB11" s="28" t="n"/>
      <x:c r="FC11" s="28" t="n"/>
      <x:c r="FD11" s="28" t="n"/>
      <x:c r="FE11" s="28" t="n"/>
      <x:c r="FF11" s="28" t="n"/>
      <x:c r="FG11" s="28" t="n"/>
      <x:c r="FH11" s="28" t="n"/>
      <x:c r="FI11" s="28" t="n"/>
      <x:c r="FJ11" s="28" t="n"/>
      <x:c r="FK11" s="28" t="n"/>
      <x:c r="FL11" s="28" t="n"/>
      <x:c r="FM11" s="28" t="n"/>
      <x:c r="FN11" s="28" t="n"/>
      <x:c r="FO11" s="28" t="n"/>
      <x:c r="FP11" s="28" t="n"/>
      <x:c r="FQ11" s="28" t="n"/>
      <x:c r="FR11" s="28" t="n"/>
      <x:c r="FS11" s="28" t="n"/>
      <x:c r="FT11" s="28" t="n"/>
      <x:c r="FU11" s="28" t="n"/>
      <x:c r="FV11" s="28" t="n"/>
      <x:c r="FW11" s="28" t="n"/>
      <x:c r="FX11" s="28" t="n"/>
      <x:c r="FY11" s="28" t="n"/>
      <x:c r="FZ11" s="28" t="n"/>
    </x:row>
    <x:row r="12" s="27" customFormat="1">
      <x:c r="A12" s="20" t="n"/>
      <x:c r="B12" s="37" t="n"/>
      <x:c r="C12" s="86" t="n">
        <x:f>E12*D$5</x:f>
        <x:v>80</x:v>
      </x:c>
      <x:c r="D12" s="4" t="inlineStr">
        <x:is>
          <x:t xml:space="preserve">Mack Hawbrook</x:t>
        </x:is>
      </x:c>
      <x:c r="E12" s="86" t="n">
        <x:f>SUM(G12:HT12)</x:f>
        <x:v>1</x:v>
      </x:c>
      <x:c r="F12" s="35" t="inlineStr">
        <x:is>
          <x:t xml:space="preserve"/>
        </x:is>
      </x:c>
      <x:c r="G12" s="121" t="n"/>
      <x:c r="H12" s="121" t="n"/>
      <x:c r="I12" s="121" t="n">
        <x:v>1</x:v>
      </x:c>
      <x:c r="J12" s="121" t="n"/>
      <x:c r="K12" s="121" t="n"/>
      <x:c r="L12" s="121" t="n"/>
      <x:c r="M12" s="121" t="n"/>
      <x:c r="N12" s="121" t="n"/>
      <x:c r="O12" s="121" t="n"/>
      <x:c r="P12" s="121" t="n"/>
      <x:c r="Q12" s="123" t="n"/>
      <x:c r="R12" s="123" t="n"/>
      <x:c r="S12" s="121" t="n"/>
      <x:c r="T12" s="121" t="n"/>
      <x:c r="U12" s="121" t="n"/>
      <x:c r="V12" s="121" t="n"/>
      <x:c r="W12" s="121" t="n"/>
      <x:c r="X12" s="121" t="n"/>
      <x:c r="Y12" s="121" t="n"/>
      <x:c r="Z12" s="121" t="n"/>
      <x:c r="AA12" s="121" t="n"/>
      <x:c r="AB12" s="121" t="n"/>
      <x:c r="AC12" s="121" t="n"/>
      <x:c r="AD12" s="124" t="n"/>
      <x:c r="AE12" s="123" t="n"/>
      <x:c r="AF12" s="123" t="n"/>
      <x:c r="AG12" s="123" t="n"/>
      <x:c r="AH12" s="123" t="n"/>
      <x:c r="AI12" s="123" t="n"/>
      <x:c r="AJ12" s="123" t="n"/>
      <x:c r="AK12" s="121" t="n"/>
      <x:c r="AL12" s="124" t="n"/>
      <x:c r="AM12" s="121" t="n"/>
      <x:c r="AN12" s="123" t="n"/>
      <x:c r="AO12" s="121" t="n"/>
      <x:c r="AP12" s="121" t="n"/>
      <x:c r="AQ12" s="28" t="n"/>
      <x:c r="AR12" s="28" t="n"/>
      <x:c r="AS12" s="28" t="n"/>
      <x:c r="AT12" s="28" t="n"/>
      <x:c r="AU12" s="28" t="n"/>
      <x:c r="AV12" s="28" t="n"/>
      <x:c r="AW12" s="28" t="n"/>
      <x:c r="AX12" s="28" t="n"/>
      <x:c r="AY12" s="28" t="n"/>
      <x:c r="AZ12" s="28" t="n"/>
      <x:c r="BA12" s="28" t="n"/>
      <x:c r="BB12" s="28" t="n"/>
      <x:c r="BC12" s="28" t="n"/>
      <x:c r="BD12" s="28" t="n"/>
      <x:c r="BE12" s="28" t="n"/>
      <x:c r="BF12" s="28" t="n"/>
      <x:c r="BG12" s="28" t="n"/>
      <x:c r="BH12" s="28" t="n"/>
      <x:c r="BI12" s="28" t="n"/>
      <x:c r="BJ12" s="28" t="n"/>
      <x:c r="BK12" s="28" t="n"/>
      <x:c r="BL12" s="28" t="n"/>
      <x:c r="BM12" s="28" t="n"/>
      <x:c r="BN12" s="28" t="n"/>
      <x:c r="BO12" s="28" t="n"/>
      <x:c r="BP12" s="28" t="n"/>
      <x:c r="BQ12" s="28" t="n"/>
      <x:c r="BR12" s="28" t="n"/>
      <x:c r="BS12" s="28" t="n"/>
      <x:c r="BT12" s="28" t="n"/>
      <x:c r="BU12" s="28" t="n"/>
      <x:c r="BV12" s="28" t="n"/>
      <x:c r="BW12" s="28" t="n"/>
      <x:c r="BX12" s="28" t="n"/>
      <x:c r="BY12" s="28" t="n"/>
      <x:c r="BZ12" s="28" t="n"/>
      <x:c r="CA12" s="28" t="n"/>
      <x:c r="CB12" s="28" t="n"/>
      <x:c r="CC12" s="28" t="n"/>
      <x:c r="CD12" s="28" t="n"/>
      <x:c r="CE12" s="28" t="n"/>
      <x:c r="CF12" s="28" t="n"/>
      <x:c r="CG12" s="28" t="n"/>
      <x:c r="CH12" s="28" t="n"/>
      <x:c r="CI12" s="28" t="n"/>
      <x:c r="CJ12" s="28" t="n"/>
      <x:c r="CK12" s="28" t="n"/>
      <x:c r="CL12" s="28" t="n"/>
      <x:c r="CM12" s="28" t="n"/>
      <x:c r="CN12" s="28" t="n"/>
      <x:c r="CO12" s="28" t="n"/>
      <x:c r="CP12" s="28" t="n"/>
      <x:c r="CQ12" s="28" t="n"/>
      <x:c r="CR12" s="28" t="n"/>
      <x:c r="CS12" s="28" t="n"/>
      <x:c r="CT12" s="28" t="n"/>
      <x:c r="CU12" s="28" t="n"/>
      <x:c r="CV12" s="28" t="n"/>
      <x:c r="CW12" s="28" t="n"/>
      <x:c r="CX12" s="28" t="n"/>
      <x:c r="CY12" s="28" t="n"/>
      <x:c r="CZ12" s="28" t="n"/>
      <x:c r="DA12" s="28" t="n"/>
      <x:c r="DB12" s="28" t="n"/>
      <x:c r="DC12" s="28" t="n"/>
      <x:c r="DD12" s="28" t="n"/>
      <x:c r="DE12" s="28" t="n"/>
      <x:c r="DF12" s="28" t="n"/>
      <x:c r="DG12" s="28" t="n"/>
      <x:c r="DH12" s="28" t="n"/>
      <x:c r="DI12" s="28" t="n"/>
      <x:c r="DJ12" s="28" t="n"/>
      <x:c r="DK12" s="28" t="n"/>
      <x:c r="DL12" s="28" t="n"/>
      <x:c r="DM12" s="28" t="n"/>
      <x:c r="DN12" s="28" t="n"/>
      <x:c r="DO12" s="28" t="n"/>
      <x:c r="DP12" s="28" t="n"/>
      <x:c r="DQ12" s="28" t="n"/>
      <x:c r="DR12" s="28" t="n"/>
      <x:c r="DS12" s="28" t="n"/>
      <x:c r="DT12" s="28" t="n"/>
      <x:c r="DU12" s="28" t="n"/>
      <x:c r="DV12" s="28" t="n"/>
      <x:c r="DW12" s="28" t="n"/>
      <x:c r="DX12" s="28" t="n"/>
      <x:c r="DY12" s="28" t="n"/>
      <x:c r="DZ12" s="28" t="n"/>
      <x:c r="EA12" s="28" t="n"/>
      <x:c r="EB12" s="28" t="n"/>
      <x:c r="EC12" s="28" t="n"/>
      <x:c r="ED12" s="28" t="n"/>
      <x:c r="EE12" s="28" t="n"/>
      <x:c r="EF12" s="28" t="n"/>
      <x:c r="EG12" s="28" t="n"/>
      <x:c r="EH12" s="28" t="n"/>
      <x:c r="EI12" s="28" t="n"/>
      <x:c r="EJ12" s="28" t="n"/>
      <x:c r="EK12" s="28" t="n"/>
      <x:c r="EL12" s="28" t="n"/>
      <x:c r="EM12" s="28" t="n"/>
      <x:c r="EN12" s="28" t="n"/>
      <x:c r="EO12" s="28" t="n"/>
      <x:c r="EP12" s="28" t="n"/>
      <x:c r="EQ12" s="28" t="n"/>
      <x:c r="ER12" s="28" t="n"/>
      <x:c r="ES12" s="28" t="n"/>
      <x:c r="ET12" s="28" t="n"/>
      <x:c r="EU12" s="28" t="n"/>
      <x:c r="EV12" s="28" t="n"/>
      <x:c r="EW12" s="28" t="n"/>
      <x:c r="EX12" s="28" t="n"/>
      <x:c r="EY12" s="28" t="n"/>
      <x:c r="EZ12" s="28" t="n"/>
      <x:c r="FA12" s="28" t="n"/>
      <x:c r="FB12" s="28" t="n"/>
      <x:c r="FC12" s="28" t="n"/>
      <x:c r="FD12" s="28" t="n"/>
      <x:c r="FE12" s="28" t="n"/>
      <x:c r="FF12" s="28" t="n"/>
      <x:c r="FG12" s="28" t="n"/>
      <x:c r="FH12" s="28" t="n"/>
      <x:c r="FI12" s="28" t="n"/>
      <x:c r="FJ12" s="28" t="n"/>
      <x:c r="FK12" s="28" t="n"/>
      <x:c r="FL12" s="28" t="n"/>
      <x:c r="FM12" s="28" t="n"/>
      <x:c r="FN12" s="28" t="n"/>
      <x:c r="FO12" s="28" t="n"/>
      <x:c r="FP12" s="28" t="n"/>
      <x:c r="FQ12" s="28" t="n"/>
      <x:c r="FR12" s="28" t="n"/>
      <x:c r="FS12" s="28" t="n"/>
      <x:c r="FT12" s="28" t="n"/>
      <x:c r="FU12" s="28" t="n"/>
      <x:c r="FV12" s="28" t="n"/>
      <x:c r="FW12" s="28" t="n"/>
      <x:c r="FX12" s="28" t="n"/>
      <x:c r="FY12" s="28" t="n"/>
      <x:c r="FZ12" s="28" t="n"/>
    </x:row>
    <x:row r="13" s="27" customFormat="1">
      <x:c r="A13" s="20" t="n"/>
      <x:c r="B13" s="37" t="n"/>
      <x:c r="C13" s="86" t="n">
        <x:f>E13*D$5</x:f>
        <x:v>-86.15384615384615</x:v>
      </x:c>
      <x:c r="D13" s="410" t="inlineStr">
        <x:is>
          <x:t xml:space="preserve">H. M. Carter and Ethel Carter, HW</x:t>
        </x:is>
      </x:c>
      <x:c r="E13" s="413" t="n">
        <x:f>SUM(G13:HT13)</x:f>
        <x:v>-1.0769230769230769</x:v>
      </x:c>
      <x:c r="F13" s="35" t="inlineStr">
        <x:is>
          <x:t xml:space="preserve"/>
        </x:is>
      </x:c>
      <x:c r="G13" s="121" t="n"/>
      <x:c r="H13" s="121" t="n"/>
      <x:c r="I13" s="121" t="n"/>
      <x:c r="J13" s="121" t="n">
        <x:v>-0.0769230769230769</x:v>
      </x:c>
      <x:c r="K13" s="121" t="n">
        <x:v>-1</x:v>
      </x:c>
      <x:c r="L13" s="121" t="n"/>
      <x:c r="M13" s="121" t="n"/>
      <x:c r="N13" s="121" t="n"/>
      <x:c r="O13" s="122" t="n"/>
      <x:c r="P13" s="121" t="n"/>
      <x:c r="Q13" s="123" t="n"/>
      <x:c r="R13" s="123" t="n"/>
      <x:c r="S13" s="121" t="n"/>
      <x:c r="T13" s="121" t="n"/>
      <x:c r="U13" s="121" t="n"/>
      <x:c r="V13" s="121" t="n"/>
      <x:c r="W13" s="121" t="n"/>
      <x:c r="X13" s="121" t="n"/>
      <x:c r="Y13" s="121" t="n"/>
      <x:c r="Z13" s="121" t="n"/>
      <x:c r="AA13" s="121" t="n"/>
      <x:c r="AB13" s="121" t="n"/>
      <x:c r="AC13" s="121" t="n"/>
      <x:c r="AD13" s="123" t="n"/>
      <x:c r="AE13" s="123" t="n"/>
      <x:c r="AF13" s="124" t="n"/>
      <x:c r="AG13" s="123" t="n"/>
      <x:c r="AH13" s="123" t="n"/>
      <x:c r="AI13" s="123" t="n"/>
      <x:c r="AJ13" s="123" t="n"/>
      <x:c r="AK13" s="121" t="n"/>
      <x:c r="AL13" s="123" t="n"/>
      <x:c r="AM13" s="121" t="n"/>
      <x:c r="AN13" s="123" t="n"/>
      <x:c r="AO13" s="121" t="n"/>
      <x:c r="AP13" s="121" t="n"/>
      <x:c r="AQ13" s="28" t="n"/>
      <x:c r="AR13" s="28" t="n"/>
      <x:c r="AS13" s="28" t="n"/>
      <x:c r="AT13" s="28" t="n"/>
      <x:c r="AU13" s="28" t="n"/>
      <x:c r="AV13" s="28" t="n"/>
      <x:c r="AW13" s="28" t="n"/>
      <x:c r="AX13" s="28" t="n"/>
      <x:c r="AY13" s="28" t="n"/>
      <x:c r="AZ13" s="28" t="n"/>
      <x:c r="BA13" s="28" t="n"/>
      <x:c r="BB13" s="28" t="n"/>
      <x:c r="BC13" s="28" t="n"/>
      <x:c r="BD13" s="28" t="n"/>
      <x:c r="BE13" s="28" t="n"/>
      <x:c r="BF13" s="28" t="n"/>
      <x:c r="BG13" s="28" t="n"/>
      <x:c r="BH13" s="28" t="n"/>
      <x:c r="BI13" s="28" t="n"/>
      <x:c r="BJ13" s="28" t="n"/>
      <x:c r="BK13" s="28" t="n"/>
      <x:c r="BL13" s="28" t="n"/>
      <x:c r="BM13" s="28" t="n"/>
      <x:c r="BN13" s="28" t="n"/>
      <x:c r="BO13" s="28" t="n"/>
      <x:c r="BP13" s="28" t="n"/>
      <x:c r="BQ13" s="28" t="n"/>
      <x:c r="BR13" s="28" t="n"/>
      <x:c r="BS13" s="28" t="n"/>
      <x:c r="BT13" s="28" t="n"/>
      <x:c r="BU13" s="28" t="n"/>
      <x:c r="BV13" s="28" t="n"/>
      <x:c r="BW13" s="28" t="n"/>
      <x:c r="BX13" s="28" t="n"/>
      <x:c r="BY13" s="28" t="n"/>
      <x:c r="BZ13" s="28" t="n"/>
      <x:c r="CA13" s="28" t="n"/>
      <x:c r="CB13" s="28" t="n"/>
      <x:c r="CC13" s="28" t="n"/>
      <x:c r="CD13" s="28" t="n"/>
      <x:c r="CE13" s="28" t="n"/>
      <x:c r="CF13" s="28" t="n"/>
      <x:c r="CG13" s="28" t="n"/>
      <x:c r="CH13" s="28" t="n"/>
      <x:c r="CI13" s="28" t="n"/>
      <x:c r="CJ13" s="28" t="n"/>
      <x:c r="CK13" s="28" t="n"/>
      <x:c r="CL13" s="28" t="n"/>
      <x:c r="CM13" s="28" t="n"/>
      <x:c r="CN13" s="28" t="n"/>
      <x:c r="CO13" s="28" t="n"/>
      <x:c r="CP13" s="28" t="n"/>
      <x:c r="CQ13" s="28" t="n"/>
      <x:c r="CR13" s="28" t="n"/>
      <x:c r="CS13" s="28" t="n"/>
      <x:c r="CT13" s="28" t="n"/>
      <x:c r="CU13" s="28" t="n"/>
      <x:c r="CV13" s="28" t="n"/>
      <x:c r="CW13" s="28" t="n"/>
      <x:c r="CX13" s="28" t="n"/>
      <x:c r="CY13" s="28" t="n"/>
      <x:c r="CZ13" s="28" t="n"/>
      <x:c r="DA13" s="28" t="n"/>
      <x:c r="DB13" s="28" t="n"/>
      <x:c r="DC13" s="28" t="n"/>
      <x:c r="DD13" s="28" t="n"/>
      <x:c r="DE13" s="28" t="n"/>
      <x:c r="DF13" s="28" t="n"/>
      <x:c r="DG13" s="28" t="n"/>
      <x:c r="DH13" s="28" t="n"/>
      <x:c r="DI13" s="28" t="n"/>
      <x:c r="DJ13" s="28" t="n"/>
      <x:c r="DK13" s="28" t="n"/>
      <x:c r="DL13" s="28" t="n"/>
      <x:c r="DM13" s="28" t="n"/>
      <x:c r="DN13" s="28" t="n"/>
      <x:c r="DO13" s="28" t="n"/>
      <x:c r="DP13" s="28" t="n"/>
      <x:c r="DQ13" s="28" t="n"/>
      <x:c r="DR13" s="28" t="n"/>
      <x:c r="DS13" s="28" t="n"/>
      <x:c r="DT13" s="28" t="n"/>
      <x:c r="DU13" s="28" t="n"/>
      <x:c r="DV13" s="28" t="n"/>
      <x:c r="DW13" s="28" t="n"/>
      <x:c r="DX13" s="28" t="n"/>
      <x:c r="DY13" s="28" t="n"/>
      <x:c r="DZ13" s="28" t="n"/>
      <x:c r="EA13" s="28" t="n"/>
      <x:c r="EB13" s="28" t="n"/>
      <x:c r="EC13" s="28" t="n"/>
      <x:c r="ED13" s="28" t="n"/>
      <x:c r="EE13" s="28" t="n"/>
      <x:c r="EF13" s="28" t="n"/>
      <x:c r="EG13" s="28" t="n"/>
      <x:c r="EH13" s="28" t="n"/>
      <x:c r="EI13" s="28" t="n"/>
      <x:c r="EJ13" s="28" t="n"/>
      <x:c r="EK13" s="28" t="n"/>
      <x:c r="EL13" s="28" t="n"/>
      <x:c r="EM13" s="28" t="n"/>
      <x:c r="EN13" s="28" t="n"/>
      <x:c r="EO13" s="28" t="n"/>
      <x:c r="EP13" s="28" t="n"/>
      <x:c r="EQ13" s="28" t="n"/>
      <x:c r="ER13" s="28" t="n"/>
      <x:c r="ES13" s="28" t="n"/>
      <x:c r="ET13" s="28" t="n"/>
      <x:c r="EU13" s="28" t="n"/>
      <x:c r="EV13" s="28" t="n"/>
      <x:c r="EW13" s="28" t="n"/>
      <x:c r="EX13" s="28" t="n"/>
      <x:c r="EY13" s="28" t="n"/>
      <x:c r="EZ13" s="28" t="n"/>
      <x:c r="FA13" s="28" t="n"/>
      <x:c r="FB13" s="28" t="n"/>
      <x:c r="FC13" s="28" t="n"/>
      <x:c r="FD13" s="28" t="n"/>
      <x:c r="FE13" s="28" t="n"/>
      <x:c r="FF13" s="28" t="n"/>
      <x:c r="FG13" s="28" t="n"/>
      <x:c r="FH13" s="28" t="n"/>
      <x:c r="FI13" s="28" t="n"/>
      <x:c r="FJ13" s="28" t="n"/>
      <x:c r="FK13" s="28" t="n"/>
      <x:c r="FL13" s="28" t="n"/>
      <x:c r="FM13" s="28" t="n"/>
      <x:c r="FN13" s="28" t="n"/>
      <x:c r="FO13" s="28" t="n"/>
      <x:c r="FP13" s="28" t="n"/>
      <x:c r="FQ13" s="28" t="n"/>
      <x:c r="FR13" s="28" t="n"/>
      <x:c r="FS13" s="28" t="n"/>
      <x:c r="FT13" s="28" t="n"/>
      <x:c r="FU13" s="28" t="n"/>
      <x:c r="FV13" s="28" t="n"/>
      <x:c r="FW13" s="28" t="n"/>
      <x:c r="FX13" s="28" t="n"/>
      <x:c r="FY13" s="28" t="n"/>
      <x:c r="FZ13" s="28" t="n"/>
    </x:row>
    <x:row r="14" s="27" customFormat="1">
      <x:c r="B14" s="80" t="n"/>
      <x:c r="C14" s="36" t="n">
        <x:f>E14*D$5</x:f>
        <x:v>3.0769230769230758</x:v>
      </x:c>
      <x:c r="D14" s="4" t="inlineStr">
        <x:is>
          <x:t xml:space="preserve">G. C. Mitchel</x:t>
        </x:is>
      </x:c>
      <x:c r="E14" s="36" t="n">
        <x:f>SUM(G14:HT14)</x:f>
        <x:v>0.03846153846153845</x:v>
      </x:c>
      <x:c r="F14" s="35" t="inlineStr">
        <x:is>
          <x:t xml:space="preserve"/>
        </x:is>
      </x:c>
      <x:c r="G14" s="121" t="n"/>
      <x:c r="H14" s="122" t="n"/>
      <x:c r="I14" s="121" t="n"/>
      <x:c r="J14" s="121" t="n">
        <x:v>0.03846153846153845</x:v>
      </x:c>
      <x:c r="K14" s="121" t="n"/>
      <x:c r="L14" s="121" t="n"/>
      <x:c r="M14" s="121" t="n"/>
      <x:c r="N14" s="121" t="n"/>
      <x:c r="O14" s="121" t="n"/>
      <x:c r="P14" s="121" t="n"/>
      <x:c r="Q14" s="123" t="n"/>
      <x:c r="R14" s="123" t="n"/>
      <x:c r="S14" s="121" t="n"/>
      <x:c r="T14" s="121" t="n"/>
      <x:c r="U14" s="121" t="n"/>
      <x:c r="V14" s="121" t="n"/>
      <x:c r="W14" s="121" t="n"/>
      <x:c r="X14" s="121" t="n"/>
      <x:c r="Y14" s="121" t="n"/>
      <x:c r="Z14" s="121" t="n"/>
      <x:c r="AA14" s="121" t="n"/>
      <x:c r="AB14" s="121" t="n"/>
      <x:c r="AC14" s="121" t="n"/>
      <x:c r="AD14" s="123" t="n"/>
      <x:c r="AE14" s="123" t="n"/>
      <x:c r="AF14" s="124" t="n"/>
      <x:c r="AG14" s="122" t="n"/>
      <x:c r="AH14" s="122" t="n"/>
      <x:c r="AI14" s="122" t="n"/>
      <x:c r="AJ14" s="122" t="n"/>
      <x:c r="AK14" s="121" t="n"/>
      <x:c r="AL14" s="123" t="n"/>
      <x:c r="AM14" s="121" t="n"/>
      <x:c r="AN14" s="123" t="n"/>
      <x:c r="AO14" s="121" t="n"/>
      <x:c r="AP14" s="121" t="n"/>
      <x:c r="AQ14" s="28" t="n"/>
      <x:c r="AR14" s="28" t="n"/>
      <x:c r="AS14" s="28" t="n"/>
      <x:c r="AT14" s="28" t="n"/>
      <x:c r="AU14" s="28" t="n"/>
      <x:c r="AV14" s="28" t="n"/>
      <x:c r="AW14" s="28" t="n"/>
      <x:c r="AX14" s="28" t="n"/>
      <x:c r="AY14" s="28" t="n"/>
      <x:c r="AZ14" s="28" t="n"/>
      <x:c r="BA14" s="28" t="n"/>
      <x:c r="BB14" s="28" t="n"/>
      <x:c r="BC14" s="28" t="n"/>
      <x:c r="BD14" s="28" t="n"/>
      <x:c r="BE14" s="28" t="n"/>
      <x:c r="BF14" s="28" t="n"/>
      <x:c r="BG14" s="28" t="n"/>
      <x:c r="BH14" s="28" t="n"/>
      <x:c r="BI14" s="28" t="n"/>
      <x:c r="BJ14" s="28" t="n"/>
      <x:c r="BK14" s="28" t="n"/>
      <x:c r="BL14" s="28" t="n"/>
      <x:c r="BM14" s="28" t="n"/>
      <x:c r="BN14" s="28" t="n"/>
      <x:c r="BO14" s="28" t="n"/>
      <x:c r="BP14" s="28" t="n"/>
      <x:c r="BQ14" s="28" t="n"/>
      <x:c r="BR14" s="28" t="n"/>
      <x:c r="BS14" s="28" t="n"/>
      <x:c r="BT14" s="28" t="n"/>
      <x:c r="BU14" s="28" t="n"/>
      <x:c r="BV14" s="28" t="n"/>
      <x:c r="BW14" s="28" t="n"/>
      <x:c r="BX14" s="28" t="n"/>
      <x:c r="BY14" s="28" t="n"/>
      <x:c r="BZ14" s="28" t="n"/>
      <x:c r="CA14" s="28" t="n"/>
      <x:c r="CB14" s="28" t="n"/>
      <x:c r="CC14" s="28" t="n"/>
      <x:c r="CD14" s="28" t="n"/>
      <x:c r="CE14" s="28" t="n"/>
      <x:c r="CF14" s="28" t="n"/>
      <x:c r="CG14" s="28" t="n"/>
      <x:c r="CH14" s="28" t="n"/>
      <x:c r="CI14" s="28" t="n"/>
      <x:c r="CJ14" s="28" t="n"/>
      <x:c r="CK14" s="28" t="n"/>
      <x:c r="CL14" s="28" t="n"/>
      <x:c r="CM14" s="28" t="n"/>
      <x:c r="CN14" s="28" t="n"/>
      <x:c r="CO14" s="28" t="n"/>
      <x:c r="CP14" s="28" t="n"/>
      <x:c r="CQ14" s="28" t="n"/>
      <x:c r="CR14" s="28" t="n"/>
      <x:c r="CS14" s="28" t="n"/>
      <x:c r="CT14" s="28" t="n"/>
      <x:c r="CU14" s="28" t="n"/>
      <x:c r="CV14" s="28" t="n"/>
      <x:c r="CW14" s="28" t="n"/>
      <x:c r="CX14" s="28" t="n"/>
      <x:c r="CY14" s="28" t="n"/>
      <x:c r="CZ14" s="28" t="n"/>
      <x:c r="DA14" s="28" t="n"/>
      <x:c r="DB14" s="28" t="n"/>
      <x:c r="DC14" s="28" t="n"/>
      <x:c r="DD14" s="28" t="n"/>
      <x:c r="DE14" s="28" t="n"/>
      <x:c r="DF14" s="28" t="n"/>
      <x:c r="DG14" s="28" t="n"/>
      <x:c r="DH14" s="28" t="n"/>
      <x:c r="DI14" s="28" t="n"/>
      <x:c r="DJ14" s="28" t="n"/>
      <x:c r="DK14" s="28" t="n"/>
      <x:c r="DL14" s="28" t="n"/>
      <x:c r="DM14" s="28" t="n"/>
      <x:c r="DN14" s="28" t="n"/>
      <x:c r="DO14" s="28" t="n"/>
      <x:c r="DP14" s="28" t="n"/>
      <x:c r="DQ14" s="28" t="n"/>
      <x:c r="DR14" s="28" t="n"/>
      <x:c r="DS14" s="28" t="n"/>
      <x:c r="DT14" s="28" t="n"/>
      <x:c r="DU14" s="28" t="n"/>
      <x:c r="DV14" s="28" t="n"/>
      <x:c r="DW14" s="28" t="n"/>
      <x:c r="DX14" s="28" t="n"/>
      <x:c r="DY14" s="28" t="n"/>
      <x:c r="DZ14" s="28" t="n"/>
      <x:c r="EA14" s="28" t="n"/>
      <x:c r="EB14" s="28" t="n"/>
      <x:c r="EC14" s="28" t="n"/>
      <x:c r="ED14" s="28" t="n"/>
      <x:c r="EE14" s="28" t="n"/>
      <x:c r="EF14" s="28" t="n"/>
      <x:c r="EG14" s="28" t="n"/>
      <x:c r="EH14" s="28" t="n"/>
      <x:c r="EI14" s="28" t="n"/>
      <x:c r="EJ14" s="28" t="n"/>
      <x:c r="EK14" s="28" t="n"/>
      <x:c r="EL14" s="28" t="n"/>
      <x:c r="EM14" s="28" t="n"/>
      <x:c r="EN14" s="28" t="n"/>
      <x:c r="EO14" s="28" t="n"/>
      <x:c r="EP14" s="28" t="n"/>
      <x:c r="EQ14" s="28" t="n"/>
      <x:c r="ER14" s="28" t="n"/>
      <x:c r="ES14" s="28" t="n"/>
      <x:c r="ET14" s="28" t="n"/>
      <x:c r="EU14" s="28" t="n"/>
      <x:c r="EV14" s="28" t="n"/>
      <x:c r="EW14" s="28" t="n"/>
      <x:c r="EX14" s="28" t="n"/>
      <x:c r="EY14" s="28" t="n"/>
      <x:c r="EZ14" s="28" t="n"/>
      <x:c r="FA14" s="28" t="n"/>
      <x:c r="FB14" s="28" t="n"/>
      <x:c r="FC14" s="28" t="n"/>
      <x:c r="FD14" s="28" t="n"/>
      <x:c r="FE14" s="28" t="n"/>
      <x:c r="FF14" s="28" t="n"/>
      <x:c r="FG14" s="28" t="n"/>
      <x:c r="FH14" s="28" t="n"/>
      <x:c r="FI14" s="28" t="n"/>
      <x:c r="FJ14" s="28" t="n"/>
      <x:c r="FK14" s="28" t="n"/>
      <x:c r="FL14" s="28" t="n"/>
      <x:c r="FM14" s="28" t="n"/>
      <x:c r="FN14" s="28" t="n"/>
      <x:c r="FO14" s="28" t="n"/>
      <x:c r="FP14" s="28" t="n"/>
      <x:c r="FQ14" s="28" t="n"/>
      <x:c r="FR14" s="28" t="n"/>
      <x:c r="FS14" s="28" t="n"/>
      <x:c r="FT14" s="28" t="n"/>
      <x:c r="FU14" s="28" t="n"/>
      <x:c r="FV14" s="28" t="n"/>
      <x:c r="FW14" s="28" t="n"/>
      <x:c r="FX14" s="28" t="n"/>
      <x:c r="FY14" s="28" t="n"/>
      <x:c r="FZ14" s="28" t="n"/>
    </x:row>
    <x:row r="15" s="27" customFormat="1">
      <x:c r="A15" s="79" t="n"/>
      <x:c r="B15" s="79" t="n"/>
      <x:c r="C15" s="36" t="n">
        <x:f>E15*D$5</x:f>
        <x:v>29.743589743589713</x:v>
      </x:c>
      <x:c r="D15" s="4" t="inlineStr">
        <x:is>
          <x:t xml:space="preserve">Glenn D. Mitchel</x:t>
        </x:is>
      </x:c>
      <x:c r="E15" s="36" t="n">
        <x:f>SUM(G15:HT15)</x:f>
        <x:v>0.3717948717948714</x:v>
      </x:c>
      <x:c r="F15" s="35" t="inlineStr">
        <x:is>
          <x:t xml:space="preserve"/>
        </x:is>
      </x:c>
      <x:c r="G15" s="121" t="n"/>
      <x:c r="H15" s="121" t="n"/>
      <x:c r="I15" s="121" t="n"/>
      <x:c r="J15" s="121" t="n">
        <x:v>0.03846153846153845</x:v>
      </x:c>
      <x:c r="K15" s="121" t="n"/>
      <x:c r="L15" s="121" t="n"/>
      <x:c r="M15" s="121" t="n"/>
      <x:c r="N15" s="121" t="n"/>
      <x:c r="O15" s="121" t="n"/>
      <x:c r="P15" s="121" t="n"/>
      <x:c r="Q15" s="123" t="n"/>
      <x:c r="R15" s="123" t="n"/>
      <x:c r="S15" s="121" t="n"/>
      <x:c r="T15" s="121" t="n"/>
      <x:c r="U15" s="121" t="n"/>
      <x:c r="V15" s="121" t="n"/>
      <x:c r="W15" s="121" t="n"/>
      <x:c r="X15" s="121" t="n"/>
      <x:c r="Y15" s="121" t="n"/>
      <x:c r="Z15" s="121" t="n"/>
      <x:c r="AA15" s="121" t="n"/>
      <x:c r="AB15" s="121" t="n"/>
      <x:c r="AC15" s="121" t="n"/>
      <x:c r="AD15" s="123" t="n"/>
      <x:c r="AE15" s="123" t="n"/>
      <x:c r="AF15" s="123" t="n"/>
      <x:c r="AG15" s="122" t="n"/>
      <x:c r="AH15" s="122" t="n"/>
      <x:c r="AI15" s="122" t="n"/>
      <x:c r="AJ15" s="122" t="n"/>
      <x:c r="AK15" s="121" t="n"/>
      <x:c r="AL15" s="123" t="n"/>
      <x:c r="AM15" s="121" t="n"/>
      <x:c r="AN15" s="123" t="n"/>
      <x:c r="AO15" s="121" t="n"/>
      <x:c r="AP15" s="121" t="n"/>
      <x:c r="AQ15" s="28" t="n"/>
      <x:c r="AR15" s="28" t="n">
        <x:v>0.333333333333333</x:v>
      </x:c>
      <x:c r="AS15" s="28" t="n"/>
      <x:c r="AT15" s="28" t="n"/>
      <x:c r="AU15" s="28" t="n"/>
      <x:c r="AV15" s="28" t="n"/>
      <x:c r="AW15" s="28" t="n"/>
      <x:c r="AX15" s="28" t="n"/>
      <x:c r="AY15" s="28" t="n"/>
      <x:c r="AZ15" s="28" t="n"/>
      <x:c r="BA15" s="28" t="n"/>
      <x:c r="BB15" s="28" t="n"/>
      <x:c r="BC15" s="28" t="n"/>
      <x:c r="BD15" s="28" t="n"/>
      <x:c r="BE15" s="28" t="n"/>
      <x:c r="BF15" s="28" t="n"/>
      <x:c r="BG15" s="28" t="n"/>
      <x:c r="BH15" s="28" t="n"/>
      <x:c r="BI15" s="28" t="n"/>
      <x:c r="BJ15" s="28" t="n"/>
      <x:c r="BK15" s="28" t="n"/>
      <x:c r="BL15" s="28" t="n"/>
      <x:c r="BM15" s="28" t="n"/>
      <x:c r="BN15" s="28" t="n"/>
      <x:c r="BO15" s="28" t="n"/>
      <x:c r="BP15" s="28" t="n"/>
      <x:c r="BQ15" s="28" t="n"/>
      <x:c r="BR15" s="28" t="n"/>
      <x:c r="BS15" s="28" t="n"/>
      <x:c r="BT15" s="28" t="n"/>
      <x:c r="BU15" s="28" t="n"/>
      <x:c r="BV15" s="28" t="n"/>
      <x:c r="BW15" s="28" t="n"/>
      <x:c r="BX15" s="28" t="n"/>
      <x:c r="BY15" s="28" t="n"/>
      <x:c r="BZ15" s="28" t="n"/>
      <x:c r="CA15" s="28" t="n"/>
      <x:c r="CB15" s="28" t="n"/>
      <x:c r="CC15" s="28" t="n"/>
      <x:c r="CD15" s="28" t="n"/>
      <x:c r="CE15" s="28" t="n"/>
      <x:c r="CF15" s="28" t="n"/>
      <x:c r="CG15" s="28" t="n"/>
      <x:c r="CH15" s="28" t="n"/>
      <x:c r="CI15" s="28" t="n"/>
      <x:c r="CJ15" s="28" t="n"/>
      <x:c r="CK15" s="28" t="n"/>
      <x:c r="CL15" s="28" t="n"/>
      <x:c r="CM15" s="28" t="n"/>
      <x:c r="CN15" s="28" t="n"/>
      <x:c r="CO15" s="28" t="n"/>
      <x:c r="CP15" s="28" t="n"/>
      <x:c r="CQ15" s="28" t="n"/>
      <x:c r="CR15" s="28" t="n"/>
      <x:c r="CS15" s="28" t="n"/>
      <x:c r="CT15" s="28" t="n"/>
      <x:c r="CU15" s="28" t="n"/>
      <x:c r="CV15" s="28" t="n"/>
      <x:c r="CW15" s="28" t="n"/>
      <x:c r="CX15" s="28" t="n"/>
      <x:c r="CY15" s="28" t="n"/>
      <x:c r="CZ15" s="28" t="n"/>
      <x:c r="DA15" s="28" t="n"/>
      <x:c r="DB15" s="28" t="n"/>
      <x:c r="DC15" s="28" t="n"/>
      <x:c r="DD15" s="28" t="n"/>
      <x:c r="DE15" s="28" t="n"/>
      <x:c r="DF15" s="28" t="n"/>
      <x:c r="DG15" s="28" t="n"/>
      <x:c r="DH15" s="28" t="n"/>
      <x:c r="DI15" s="28" t="n"/>
      <x:c r="DJ15" s="28" t="n"/>
      <x:c r="DK15" s="28" t="n"/>
      <x:c r="DL15" s="28" t="n"/>
      <x:c r="DM15" s="28" t="n"/>
      <x:c r="DN15" s="28" t="n"/>
      <x:c r="DO15" s="28" t="n"/>
      <x:c r="DP15" s="28" t="n"/>
      <x:c r="DQ15" s="28" t="n"/>
      <x:c r="DR15" s="28" t="n"/>
      <x:c r="DS15" s="28" t="n"/>
      <x:c r="DT15" s="28" t="n"/>
      <x:c r="DU15" s="28" t="n"/>
      <x:c r="DV15" s="28" t="n"/>
      <x:c r="DW15" s="28" t="n"/>
      <x:c r="DX15" s="28" t="n"/>
      <x:c r="DY15" s="28" t="n"/>
      <x:c r="DZ15" s="28" t="n"/>
      <x:c r="EA15" s="28" t="n"/>
      <x:c r="EB15" s="28" t="n"/>
      <x:c r="EC15" s="28" t="n"/>
      <x:c r="ED15" s="28" t="n"/>
      <x:c r="EE15" s="28" t="n"/>
      <x:c r="EF15" s="28" t="n"/>
      <x:c r="EG15" s="28" t="n"/>
      <x:c r="EH15" s="28" t="n"/>
      <x:c r="EI15" s="28" t="n"/>
      <x:c r="EJ15" s="28" t="n"/>
      <x:c r="EK15" s="28" t="n"/>
      <x:c r="EL15" s="28" t="n"/>
      <x:c r="EM15" s="28" t="n"/>
      <x:c r="EN15" s="28" t="n"/>
      <x:c r="EO15" s="28" t="n"/>
      <x:c r="EP15" s="28" t="n"/>
      <x:c r="EQ15" s="28" t="n"/>
      <x:c r="ER15" s="28" t="n"/>
      <x:c r="ES15" s="28" t="n"/>
      <x:c r="ET15" s="28" t="n"/>
      <x:c r="EU15" s="28" t="n"/>
      <x:c r="EV15" s="28" t="n"/>
      <x:c r="EW15" s="28" t="n"/>
      <x:c r="EX15" s="28" t="n"/>
      <x:c r="EY15" s="28" t="n"/>
      <x:c r="EZ15" s="28" t="n"/>
      <x:c r="FA15" s="28" t="n"/>
      <x:c r="FB15" s="28" t="n"/>
      <x:c r="FC15" s="28" t="n"/>
      <x:c r="FD15" s="28" t="n"/>
      <x:c r="FE15" s="28" t="n"/>
      <x:c r="FF15" s="28" t="n"/>
      <x:c r="FG15" s="28" t="n"/>
      <x:c r="FH15" s="28" t="n"/>
      <x:c r="FI15" s="28" t="n"/>
      <x:c r="FJ15" s="28" t="n"/>
      <x:c r="FK15" s="28" t="n"/>
      <x:c r="FL15" s="28" t="n"/>
      <x:c r="FM15" s="28" t="n"/>
      <x:c r="FN15" s="28" t="n"/>
      <x:c r="FO15" s="28" t="n"/>
      <x:c r="FP15" s="28" t="n"/>
      <x:c r="FQ15" s="28" t="n"/>
      <x:c r="FR15" s="28" t="n"/>
      <x:c r="FS15" s="28" t="n"/>
      <x:c r="FT15" s="28" t="n"/>
      <x:c r="FU15" s="28" t="n"/>
      <x:c r="FV15" s="28" t="n"/>
      <x:c r="FW15" s="28" t="n"/>
      <x:c r="FX15" s="28" t="n"/>
      <x:c r="FY15" s="28" t="n"/>
      <x:c r="FZ15" s="28" t="n"/>
    </x:row>
    <x:row r="16" s="27" customFormat="1">
      <x:c r="A16" s="38" t="n"/>
      <x:c r="B16" s="37" t="n"/>
      <x:c r="C16" s="36" t="n">
        <x:f>E16*D$5</x:f>
        <x:v>120</x:v>
      </x:c>
      <x:c r="D16" s="4" t="inlineStr">
        <x:is>
          <x:t xml:space="preserve">Marvin G. Mitchell and Carrie Lou Mitchell, HW, JTWROS</x:t>
        </x:is>
      </x:c>
      <x:c r="E16" s="36" t="n">
        <x:f>SUM(G16:HT16)</x:f>
        <x:v>1.5</x:v>
      </x:c>
      <x:c r="F16" s="35" t="inlineStr">
        <x:is>
          <x:t xml:space="preserve"/>
        </x:is>
      </x:c>
      <x:c r="G16" s="121" t="n"/>
      <x:c r="H16" s="122" t="n"/>
      <x:c r="I16" s="121" t="n"/>
      <x:c r="J16" s="121" t="n"/>
      <x:c r="K16" s="121" t="n">
        <x:v>1</x:v>
      </x:c>
      <x:c r="L16" s="121" t="n"/>
      <x:c r="M16" s="121" t="n"/>
      <x:c r="N16" s="121" t="n"/>
      <x:c r="O16" s="121" t="n"/>
      <x:c r="P16" s="122" t="n"/>
      <x:c r="Q16" s="123" t="n"/>
      <x:c r="R16" s="123" t="n"/>
      <x:c r="S16" s="121" t="n"/>
      <x:c r="T16" s="121" t="n"/>
      <x:c r="U16" s="121" t="n"/>
      <x:c r="V16" s="121" t="n"/>
      <x:c r="W16" s="121" t="n"/>
      <x:c r="X16" s="121" t="n"/>
      <x:c r="Y16" s="121" t="n"/>
      <x:c r="Z16" s="121" t="n"/>
      <x:c r="AA16" s="122" t="n"/>
      <x:c r="AB16" s="121" t="n"/>
      <x:c r="AC16" s="121" t="n"/>
      <x:c r="AD16" s="123" t="n"/>
      <x:c r="AE16" s="123" t="n"/>
      <x:c r="AF16" s="123" t="n"/>
      <x:c r="AG16" s="122" t="n"/>
      <x:c r="AH16" s="122" t="n"/>
      <x:c r="AI16" s="122" t="n"/>
      <x:c r="AJ16" s="122" t="n"/>
      <x:c r="AK16" s="121" t="n"/>
      <x:c r="AL16" s="123" t="n"/>
      <x:c r="AM16" s="121" t="n"/>
      <x:c r="AN16" s="123" t="n"/>
      <x:c r="AO16" s="121" t="n"/>
      <x:c r="AP16" s="121" t="n"/>
      <x:c r="AQ16" s="28" t="n"/>
      <x:c r="AR16" s="28" t="n"/>
      <x:c r="AS16" s="28" t="n"/>
      <x:c r="AT16" s="28" t="n"/>
      <x:c r="AU16" s="28" t="n"/>
      <x:c r="AV16" s="28" t="n"/>
      <x:c r="AW16" s="28" t="n"/>
      <x:c r="AX16" s="28" t="n"/>
      <x:c r="AY16" s="28" t="n"/>
      <x:c r="AZ16" s="28" t="n"/>
      <x:c r="BA16" s="28" t="n"/>
      <x:c r="BB16" s="28" t="n"/>
      <x:c r="BC16" s="28" t="n"/>
      <x:c r="BD16" s="28" t="n"/>
      <x:c r="BE16" s="28" t="n"/>
      <x:c r="BF16" s="28" t="n"/>
      <x:c r="BG16" s="28" t="n"/>
      <x:c r="BH16" s="28" t="n"/>
      <x:c r="BI16" s="28" t="n"/>
      <x:c r="BJ16" s="28" t="n"/>
      <x:c r="BK16" s="28" t="n"/>
      <x:c r="BL16" s="28" t="n"/>
      <x:c r="BM16" s="28" t="n"/>
      <x:c r="BN16" s="28" t="n"/>
      <x:c r="BO16" s="28" t="n"/>
      <x:c r="BP16" s="28" t="n"/>
      <x:c r="BQ16" s="28" t="n"/>
      <x:c r="BR16" s="28" t="n"/>
      <x:c r="BS16" s="28" t="n"/>
      <x:c r="BT16" s="28" t="n"/>
      <x:c r="BU16" s="28" t="n"/>
      <x:c r="BV16" s="28" t="n"/>
      <x:c r="BW16" s="28" t="n"/>
      <x:c r="BX16" s="28" t="n"/>
      <x:c r="BY16" s="28" t="n"/>
      <x:c r="BZ16" s="28" t="n"/>
      <x:c r="CA16" s="28" t="n">
        <x:v>0.5</x:v>
      </x:c>
      <x:c r="CB16" s="28" t="n"/>
      <x:c r="CC16" s="28" t="n"/>
      <x:c r="CD16" s="28" t="n"/>
      <x:c r="CE16" s="28" t="n"/>
      <x:c r="CF16" s="28" t="n"/>
      <x:c r="CG16" s="28" t="n"/>
      <x:c r="CH16" s="28" t="n"/>
      <x:c r="CI16" s="28" t="n"/>
      <x:c r="CJ16" s="28" t="n"/>
      <x:c r="CK16" s="28" t="n"/>
      <x:c r="CL16" s="28" t="n"/>
      <x:c r="CM16" s="28" t="n"/>
      <x:c r="CN16" s="28" t="n"/>
      <x:c r="CO16" s="28" t="n"/>
      <x:c r="CP16" s="28" t="n"/>
      <x:c r="CQ16" s="28" t="n"/>
      <x:c r="CR16" s="28" t="n"/>
      <x:c r="CS16" s="28" t="n"/>
      <x:c r="CT16" s="28" t="n"/>
      <x:c r="CU16" s="28" t="n"/>
      <x:c r="CV16" s="28" t="n"/>
      <x:c r="CW16" s="28" t="n"/>
      <x:c r="CX16" s="28" t="n"/>
      <x:c r="CY16" s="28" t="n"/>
      <x:c r="CZ16" s="28" t="n"/>
      <x:c r="DA16" s="28" t="n"/>
      <x:c r="DB16" s="28" t="n"/>
      <x:c r="DC16" s="28" t="n"/>
      <x:c r="DD16" s="28" t="n"/>
      <x:c r="DE16" s="28" t="n"/>
      <x:c r="DF16" s="28" t="n"/>
      <x:c r="DG16" s="28" t="n"/>
      <x:c r="DH16" s="28" t="n"/>
      <x:c r="DI16" s="28" t="n"/>
      <x:c r="DJ16" s="28" t="n"/>
      <x:c r="DK16" s="28" t="n"/>
      <x:c r="DL16" s="28" t="n"/>
      <x:c r="DM16" s="28" t="n"/>
      <x:c r="DN16" s="28" t="n"/>
      <x:c r="DO16" s="28" t="n"/>
      <x:c r="DP16" s="28" t="n"/>
      <x:c r="DQ16" s="28" t="n"/>
      <x:c r="DR16" s="28" t="n"/>
      <x:c r="DS16" s="28" t="n"/>
      <x:c r="DT16" s="28" t="n"/>
      <x:c r="DU16" s="28" t="n"/>
      <x:c r="DV16" s="28" t="n"/>
      <x:c r="DW16" s="28" t="n"/>
      <x:c r="DX16" s="28" t="n"/>
      <x:c r="DY16" s="28" t="n"/>
      <x:c r="DZ16" s="28" t="n"/>
      <x:c r="EA16" s="28" t="n"/>
      <x:c r="EB16" s="28" t="n"/>
      <x:c r="EC16" s="28" t="n"/>
      <x:c r="ED16" s="28" t="n"/>
      <x:c r="EE16" s="28" t="n"/>
      <x:c r="EF16" s="28" t="n"/>
      <x:c r="EG16" s="28" t="n"/>
      <x:c r="EH16" s="28" t="n"/>
      <x:c r="EI16" s="28" t="n"/>
      <x:c r="EJ16" s="28" t="n"/>
      <x:c r="EK16" s="28" t="n"/>
      <x:c r="EL16" s="28" t="n"/>
      <x:c r="EM16" s="28" t="n"/>
      <x:c r="EN16" s="28" t="n"/>
      <x:c r="EO16" s="28" t="n"/>
      <x:c r="EP16" s="28" t="n"/>
      <x:c r="EQ16" s="28" t="n"/>
      <x:c r="ER16" s="28" t="n"/>
      <x:c r="ES16" s="28" t="n"/>
      <x:c r="ET16" s="28" t="n"/>
      <x:c r="EU16" s="28" t="n"/>
      <x:c r="EV16" s="28" t="n"/>
      <x:c r="EW16" s="28" t="n"/>
      <x:c r="EX16" s="28" t="n"/>
      <x:c r="EY16" s="28" t="n"/>
      <x:c r="EZ16" s="28" t="n"/>
      <x:c r="FA16" s="28" t="n"/>
      <x:c r="FB16" s="28" t="n"/>
      <x:c r="FC16" s="28" t="n"/>
      <x:c r="FD16" s="28" t="n"/>
      <x:c r="FE16" s="28" t="n"/>
      <x:c r="FF16" s="28" t="n"/>
      <x:c r="FG16" s="28" t="n"/>
      <x:c r="FH16" s="28" t="n"/>
      <x:c r="FI16" s="28" t="n"/>
      <x:c r="FJ16" s="28" t="n"/>
      <x:c r="FK16" s="28" t="n"/>
      <x:c r="FL16" s="28" t="n"/>
      <x:c r="FM16" s="28" t="n"/>
      <x:c r="FN16" s="28" t="n"/>
      <x:c r="FO16" s="28" t="n"/>
      <x:c r="FP16" s="28" t="n"/>
      <x:c r="FQ16" s="28" t="n"/>
      <x:c r="FR16" s="28" t="n"/>
      <x:c r="FS16" s="28" t="n"/>
      <x:c r="FT16" s="28" t="n"/>
      <x:c r="FU16" s="28" t="n"/>
      <x:c r="FV16" s="28" t="n"/>
      <x:c r="FW16" s="28" t="n"/>
      <x:c r="FX16" s="28" t="n"/>
      <x:c r="FY16" s="28" t="n"/>
      <x:c r="FZ16" s="28" t="n"/>
    </x:row>
    <x:row r="17" s="27" customFormat="1">
      <x:c r="A17" s="38" t="n"/>
      <x:c r="B17" s="37" t="n"/>
      <x:c r="C17" s="36" t="n">
        <x:f>E17*D$5</x:f>
        <x:v>-80</x:v>
      </x:c>
      <x:c r="D17" s="410" t="inlineStr">
        <x:is>
          <x:t xml:space="preserve">Elvin J. Ridling and Dorothy Jean Ridling, HW</x:t>
        </x:is>
      </x:c>
      <x:c r="E17" s="411" t="n">
        <x:f>SUM(G17:HT17)</x:f>
        <x:v>-1</x:v>
      </x:c>
      <x:c r="F17" s="35" t="inlineStr">
        <x:is>
          <x:t xml:space="preserve"/>
        </x:is>
      </x:c>
      <x:c r="G17" s="121" t="n"/>
      <x:c r="H17" s="122" t="n"/>
      <x:c r="I17" s="121" t="n"/>
      <x:c r="J17" s="121" t="n"/>
      <x:c r="K17" s="121" t="n"/>
      <x:c r="L17" s="121" t="n">
        <x:v>-1</x:v>
      </x:c>
      <x:c r="M17" s="121" t="n"/>
      <x:c r="N17" s="121" t="n"/>
      <x:c r="O17" s="121" t="n"/>
      <x:c r="P17" s="121" t="n"/>
      <x:c r="Q17" s="123" t="n"/>
      <x:c r="R17" s="123" t="n"/>
      <x:c r="S17" s="121" t="n"/>
      <x:c r="T17" s="121" t="n"/>
      <x:c r="U17" s="121" t="n"/>
      <x:c r="V17" s="121" t="n"/>
      <x:c r="W17" s="121" t="n"/>
      <x:c r="X17" s="121" t="n"/>
      <x:c r="Y17" s="121" t="n"/>
      <x:c r="Z17" s="121" t="n"/>
      <x:c r="AA17" s="121" t="n"/>
      <x:c r="AB17" s="121" t="n"/>
      <x:c r="AC17" s="121" t="n"/>
      <x:c r="AD17" s="123" t="n"/>
      <x:c r="AE17" s="123" t="n"/>
      <x:c r="AF17" s="123" t="n"/>
      <x:c r="AG17" s="122" t="n"/>
      <x:c r="AH17" s="122" t="n"/>
      <x:c r="AI17" s="122" t="n"/>
      <x:c r="AJ17" s="122" t="n"/>
      <x:c r="AK17" s="121" t="n"/>
      <x:c r="AL17" s="123" t="n"/>
      <x:c r="AM17" s="121" t="n"/>
      <x:c r="AN17" s="123" t="n"/>
      <x:c r="AO17" s="121" t="n"/>
      <x:c r="AP17" s="121" t="n"/>
      <x:c r="AQ17" s="28" t="n"/>
      <x:c r="AR17" s="28" t="n"/>
      <x:c r="AS17" s="28" t="n"/>
      <x:c r="AT17" s="28" t="n"/>
      <x:c r="AU17" s="28" t="n"/>
      <x:c r="AV17" s="28" t="n"/>
      <x:c r="AW17" s="28" t="n"/>
      <x:c r="AX17" s="28" t="n"/>
      <x:c r="AY17" s="28" t="n"/>
      <x:c r="AZ17" s="28" t="n"/>
      <x:c r="BA17" s="28" t="n"/>
      <x:c r="BB17" s="28" t="n"/>
      <x:c r="BC17" s="28" t="n"/>
      <x:c r="BD17" s="28" t="n"/>
      <x:c r="BE17" s="28" t="n"/>
      <x:c r="BF17" s="28" t="n"/>
      <x:c r="BG17" s="28" t="n"/>
      <x:c r="BH17" s="28" t="n"/>
      <x:c r="BI17" s="28" t="n"/>
      <x:c r="BJ17" s="28" t="n"/>
      <x:c r="BK17" s="28" t="n"/>
      <x:c r="BL17" s="28" t="n"/>
      <x:c r="BM17" s="28" t="n"/>
      <x:c r="BN17" s="28" t="n"/>
      <x:c r="BO17" s="28" t="n"/>
      <x:c r="BP17" s="28" t="n"/>
      <x:c r="BQ17" s="28" t="n"/>
      <x:c r="BR17" s="28" t="n"/>
      <x:c r="BS17" s="28" t="n"/>
      <x:c r="BT17" s="28" t="n"/>
      <x:c r="BU17" s="28" t="n"/>
      <x:c r="BV17" s="28" t="n"/>
      <x:c r="BW17" s="28" t="n"/>
      <x:c r="BX17" s="28" t="n"/>
      <x:c r="BY17" s="28" t="n"/>
      <x:c r="BZ17" s="28" t="n"/>
      <x:c r="CA17" s="28" t="n"/>
      <x:c r="CB17" s="28" t="n"/>
      <x:c r="CC17" s="28" t="n"/>
      <x:c r="CD17" s="28" t="n"/>
      <x:c r="CE17" s="28" t="n"/>
      <x:c r="CF17" s="28" t="n"/>
      <x:c r="CG17" s="28" t="n"/>
      <x:c r="CH17" s="28" t="n"/>
      <x:c r="CI17" s="28" t="n"/>
      <x:c r="CJ17" s="28" t="n"/>
      <x:c r="CK17" s="28" t="n"/>
      <x:c r="CL17" s="28" t="n"/>
      <x:c r="CM17" s="28" t="n"/>
      <x:c r="CN17" s="28" t="n"/>
      <x:c r="CO17" s="28" t="n"/>
      <x:c r="CP17" s="28" t="n"/>
      <x:c r="CQ17" s="28" t="n"/>
      <x:c r="CR17" s="28" t="n"/>
      <x:c r="CS17" s="28" t="n"/>
      <x:c r="CT17" s="28" t="n"/>
      <x:c r="CU17" s="28" t="n"/>
      <x:c r="CV17" s="28" t="n"/>
      <x:c r="CW17" s="28" t="n"/>
      <x:c r="CX17" s="28" t="n"/>
      <x:c r="CY17" s="28" t="n"/>
      <x:c r="CZ17" s="28" t="n"/>
      <x:c r="DA17" s="28" t="n"/>
      <x:c r="DB17" s="28" t="n"/>
      <x:c r="DC17" s="28" t="n"/>
      <x:c r="DD17" s="28" t="n"/>
      <x:c r="DE17" s="28" t="n"/>
      <x:c r="DF17" s="28" t="n"/>
      <x:c r="DG17" s="28" t="n"/>
      <x:c r="DH17" s="28" t="n"/>
      <x:c r="DI17" s="28" t="n"/>
      <x:c r="DJ17" s="28" t="n"/>
      <x:c r="DK17" s="28" t="n"/>
      <x:c r="DL17" s="28" t="n"/>
      <x:c r="DM17" s="28" t="n"/>
      <x:c r="DN17" s="28" t="n"/>
      <x:c r="DO17" s="28" t="n"/>
      <x:c r="DP17" s="28" t="n"/>
      <x:c r="DQ17" s="28" t="n"/>
      <x:c r="DR17" s="28" t="n"/>
      <x:c r="DS17" s="28" t="n"/>
      <x:c r="DT17" s="28" t="n"/>
      <x:c r="DU17" s="28" t="n"/>
      <x:c r="DV17" s="28" t="n"/>
      <x:c r="DW17" s="28" t="n"/>
      <x:c r="DX17" s="28" t="n"/>
      <x:c r="DY17" s="28" t="n"/>
      <x:c r="DZ17" s="28" t="n"/>
      <x:c r="EA17" s="28" t="n"/>
      <x:c r="EB17" s="28" t="n"/>
      <x:c r="EC17" s="28" t="n"/>
      <x:c r="ED17" s="28" t="n"/>
      <x:c r="EE17" s="28" t="n"/>
      <x:c r="EF17" s="28" t="n"/>
      <x:c r="EG17" s="28" t="n"/>
      <x:c r="EH17" s="28" t="n"/>
      <x:c r="EI17" s="28" t="n"/>
      <x:c r="EJ17" s="28" t="n"/>
      <x:c r="EK17" s="28" t="n"/>
      <x:c r="EL17" s="28" t="n"/>
      <x:c r="EM17" s="28" t="n"/>
      <x:c r="EN17" s="28" t="n"/>
      <x:c r="EO17" s="28" t="n"/>
      <x:c r="EP17" s="28" t="n"/>
      <x:c r="EQ17" s="28" t="n"/>
      <x:c r="ER17" s="28" t="n"/>
      <x:c r="ES17" s="28" t="n"/>
      <x:c r="ET17" s="28" t="n"/>
      <x:c r="EU17" s="28" t="n"/>
      <x:c r="EV17" s="28" t="n"/>
      <x:c r="EW17" s="28" t="n"/>
      <x:c r="EX17" s="28" t="n"/>
      <x:c r="EY17" s="28" t="n"/>
      <x:c r="EZ17" s="28" t="n"/>
      <x:c r="FA17" s="28" t="n"/>
      <x:c r="FB17" s="28" t="n"/>
      <x:c r="FC17" s="28" t="n"/>
      <x:c r="FD17" s="28" t="n"/>
      <x:c r="FE17" s="28" t="n"/>
      <x:c r="FF17" s="28" t="n"/>
      <x:c r="FG17" s="28" t="n"/>
      <x:c r="FH17" s="28" t="n"/>
      <x:c r="FI17" s="28" t="n"/>
      <x:c r="FJ17" s="28" t="n"/>
      <x:c r="FK17" s="28" t="n"/>
      <x:c r="FL17" s="28" t="n"/>
      <x:c r="FM17" s="28" t="n"/>
      <x:c r="FN17" s="28" t="n"/>
      <x:c r="FO17" s="28" t="n"/>
      <x:c r="FP17" s="28" t="n"/>
      <x:c r="FQ17" s="28" t="n"/>
      <x:c r="FR17" s="28" t="n"/>
      <x:c r="FS17" s="28" t="n"/>
      <x:c r="FT17" s="28" t="n"/>
      <x:c r="FU17" s="28" t="n"/>
      <x:c r="FV17" s="28" t="n"/>
      <x:c r="FW17" s="28" t="n"/>
      <x:c r="FX17" s="28" t="n"/>
      <x:c r="FY17" s="28" t="n"/>
      <x:c r="FZ17" s="28" t="n"/>
    </x:row>
    <x:row r="18" s="27" customFormat="1">
      <x:c r="A18" s="38" t="n"/>
      <x:c r="B18" s="39" t="n"/>
      <x:c r="C18" s="36" t="n">
        <x:f>E18*D$5</x:f>
        <x:v>80</x:v>
      </x:c>
      <x:c r="D18" s="4" t="inlineStr">
        <x:is>
          <x:t xml:space="preserve">M. G. Mitchell and Carrie Lou Mitchell, HW, JTWROS</x:t>
        </x:is>
      </x:c>
      <x:c r="E18" s="36" t="n">
        <x:f>SUM(G18:HT18)</x:f>
        <x:v>1</x:v>
      </x:c>
      <x:c r="F18" s="35" t="inlineStr">
        <x:is>
          <x:t xml:space="preserve"/>
        </x:is>
      </x:c>
      <x:c r="G18" s="121" t="n"/>
      <x:c r="H18" s="121" t="n"/>
      <x:c r="I18" s="121" t="n"/>
      <x:c r="J18" s="121" t="n"/>
      <x:c r="K18" s="121" t="n"/>
      <x:c r="L18" s="121" t="n">
        <x:v>1</x:v>
      </x:c>
      <x:c r="M18" s="121" t="n"/>
      <x:c r="N18" s="121" t="n"/>
      <x:c r="O18" s="122" t="n"/>
      <x:c r="P18" s="128" t="n"/>
      <x:c r="Q18" s="124" t="n"/>
      <x:c r="R18" s="123" t="n"/>
      <x:c r="S18" s="129" t="n"/>
      <x:c r="T18" s="121" t="n"/>
      <x:c r="U18" s="121" t="n"/>
      <x:c r="V18" s="121" t="n"/>
      <x:c r="W18" s="121" t="n"/>
      <x:c r="X18" s="121" t="n"/>
      <x:c r="Y18" s="121" t="n"/>
      <x:c r="Z18" s="121" t="n"/>
      <x:c r="AA18" s="121" t="n"/>
      <x:c r="AB18" s="121" t="n"/>
      <x:c r="AC18" s="121" t="n"/>
      <x:c r="AD18" s="123" t="n"/>
      <x:c r="AE18" s="123" t="n"/>
      <x:c r="AF18" s="123" t="n"/>
      <x:c r="AG18" s="122" t="n"/>
      <x:c r="AH18" s="122" t="n"/>
      <x:c r="AI18" s="122" t="n"/>
      <x:c r="AJ18" s="122" t="n"/>
      <x:c r="AK18" s="121" t="n"/>
      <x:c r="AL18" s="124" t="n"/>
      <x:c r="AM18" s="121" t="n"/>
      <x:c r="AN18" s="123" t="n"/>
      <x:c r="AO18" s="121" t="n"/>
      <x:c r="AP18" s="121" t="n"/>
      <x:c r="AQ18" s="28" t="n"/>
      <x:c r="AR18" s="28" t="n"/>
      <x:c r="AS18" s="28" t="n"/>
      <x:c r="AT18" s="28" t="n"/>
      <x:c r="AU18" s="28" t="n"/>
      <x:c r="AV18" s="28" t="n"/>
      <x:c r="AW18" s="28" t="n"/>
      <x:c r="AX18" s="28" t="n"/>
      <x:c r="AY18" s="28" t="n"/>
      <x:c r="AZ18" s="28" t="n"/>
      <x:c r="BA18" s="28" t="n"/>
      <x:c r="BB18" s="28" t="n"/>
      <x:c r="BC18" s="28" t="n"/>
      <x:c r="BD18" s="28" t="n"/>
      <x:c r="BE18" s="28" t="n"/>
      <x:c r="BF18" s="28" t="n"/>
      <x:c r="BG18" s="28" t="n"/>
      <x:c r="BH18" s="28" t="n"/>
      <x:c r="BI18" s="28" t="n"/>
      <x:c r="BJ18" s="28" t="n"/>
      <x:c r="BK18" s="28" t="n"/>
      <x:c r="BL18" s="28" t="n"/>
      <x:c r="BM18" s="28" t="n"/>
      <x:c r="BN18" s="28" t="n"/>
      <x:c r="BO18" s="28" t="n"/>
      <x:c r="BP18" s="28" t="n"/>
      <x:c r="BQ18" s="28" t="n"/>
      <x:c r="BR18" s="28" t="n"/>
      <x:c r="BS18" s="28" t="n"/>
      <x:c r="BT18" s="28" t="n"/>
      <x:c r="BU18" s="28" t="n"/>
      <x:c r="BV18" s="28" t="n"/>
      <x:c r="BW18" s="28" t="n"/>
      <x:c r="BX18" s="28" t="n"/>
      <x:c r="BY18" s="28" t="n"/>
      <x:c r="BZ18" s="28" t="n"/>
      <x:c r="CA18" s="28" t="n"/>
      <x:c r="CB18" s="28" t="n"/>
      <x:c r="CC18" s="28" t="n"/>
      <x:c r="CD18" s="28" t="n"/>
      <x:c r="CE18" s="28" t="n"/>
      <x:c r="CF18" s="28" t="n"/>
      <x:c r="CG18" s="28" t="n"/>
      <x:c r="CH18" s="28" t="n"/>
      <x:c r="CI18" s="28" t="n"/>
      <x:c r="CJ18" s="28" t="n"/>
      <x:c r="CK18" s="28" t="n"/>
      <x:c r="CL18" s="28" t="n"/>
      <x:c r="CM18" s="28" t="n"/>
      <x:c r="CN18" s="28" t="n"/>
      <x:c r="CO18" s="28" t="n"/>
      <x:c r="CP18" s="28" t="n"/>
      <x:c r="CQ18" s="28" t="n"/>
      <x:c r="CR18" s="28" t="n"/>
      <x:c r="CS18" s="28" t="n"/>
      <x:c r="CT18" s="28" t="n"/>
      <x:c r="CU18" s="28" t="n"/>
      <x:c r="CV18" s="28" t="n"/>
      <x:c r="CW18" s="28" t="n"/>
      <x:c r="CX18" s="28" t="n"/>
      <x:c r="CY18" s="28" t="n"/>
      <x:c r="CZ18" s="28" t="n"/>
      <x:c r="DA18" s="28" t="n"/>
      <x:c r="DB18" s="28" t="n"/>
      <x:c r="DC18" s="28" t="n"/>
      <x:c r="DD18" s="28" t="n"/>
      <x:c r="DE18" s="28" t="n"/>
      <x:c r="DF18" s="28" t="n"/>
      <x:c r="DG18" s="28" t="n"/>
      <x:c r="DH18" s="28" t="n"/>
      <x:c r="DI18" s="28" t="n"/>
      <x:c r="DJ18" s="28" t="n"/>
      <x:c r="DK18" s="28" t="n"/>
      <x:c r="DL18" s="28" t="n"/>
      <x:c r="DM18" s="28" t="n"/>
      <x:c r="DN18" s="28" t="n"/>
      <x:c r="DO18" s="28" t="n"/>
      <x:c r="DP18" s="28" t="n"/>
      <x:c r="DQ18" s="28" t="n"/>
      <x:c r="DR18" s="28" t="n"/>
      <x:c r="DS18" s="28" t="n"/>
      <x:c r="DT18" s="28" t="n"/>
      <x:c r="DU18" s="28" t="n"/>
      <x:c r="DV18" s="28" t="n"/>
      <x:c r="DW18" s="28" t="n"/>
      <x:c r="DX18" s="28" t="n"/>
      <x:c r="DY18" s="28" t="n"/>
      <x:c r="DZ18" s="28" t="n"/>
      <x:c r="EA18" s="28" t="n"/>
      <x:c r="EB18" s="28" t="n"/>
      <x:c r="EC18" s="28" t="n"/>
      <x:c r="ED18" s="28" t="n"/>
      <x:c r="EE18" s="28" t="n"/>
      <x:c r="EF18" s="28" t="n"/>
      <x:c r="EG18" s="28" t="n"/>
      <x:c r="EH18" s="28" t="n"/>
      <x:c r="EI18" s="28" t="n"/>
      <x:c r="EJ18" s="28" t="n"/>
      <x:c r="EK18" s="28" t="n"/>
      <x:c r="EL18" s="28" t="n"/>
      <x:c r="EM18" s="28" t="n"/>
      <x:c r="EN18" s="28" t="n"/>
      <x:c r="EO18" s="28" t="n"/>
      <x:c r="EP18" s="28" t="n"/>
      <x:c r="EQ18" s="28" t="n"/>
      <x:c r="ER18" s="28" t="n"/>
      <x:c r="ES18" s="28" t="n"/>
      <x:c r="ET18" s="28" t="n"/>
      <x:c r="EU18" s="28" t="n"/>
      <x:c r="EV18" s="28" t="n"/>
      <x:c r="EW18" s="28" t="n"/>
      <x:c r="EX18" s="28" t="n"/>
      <x:c r="EY18" s="28" t="n"/>
      <x:c r="EZ18" s="28" t="n"/>
      <x:c r="FA18" s="28" t="n"/>
      <x:c r="FB18" s="28" t="n"/>
      <x:c r="FC18" s="28" t="n"/>
      <x:c r="FD18" s="28" t="n"/>
      <x:c r="FE18" s="28" t="n"/>
      <x:c r="FF18" s="28" t="n"/>
      <x:c r="FG18" s="28" t="n"/>
      <x:c r="FH18" s="28" t="n"/>
      <x:c r="FI18" s="28" t="n"/>
      <x:c r="FJ18" s="28" t="n"/>
      <x:c r="FK18" s="28" t="n"/>
      <x:c r="FL18" s="28" t="n"/>
      <x:c r="FM18" s="28" t="n"/>
      <x:c r="FN18" s="28" t="n"/>
      <x:c r="FO18" s="28" t="n"/>
      <x:c r="FP18" s="28" t="n"/>
      <x:c r="FQ18" s="28" t="n"/>
      <x:c r="FR18" s="28" t="n"/>
      <x:c r="FS18" s="28" t="n"/>
      <x:c r="FT18" s="28" t="n"/>
      <x:c r="FU18" s="28" t="n"/>
      <x:c r="FV18" s="28" t="n"/>
      <x:c r="FW18" s="28" t="n"/>
      <x:c r="FX18" s="28" t="n"/>
      <x:c r="FY18" s="28" t="n"/>
      <x:c r="FZ18" s="28" t="n"/>
    </x:row>
    <x:row r="19" s="27" customFormat="1">
      <x:c r="A19" s="38" t="n"/>
      <x:c r="B19" s="39" t="n"/>
      <x:c r="C19" s="36" t="n">
        <x:f>E19*D$5</x:f>
        <x:v>-18.46153846153848</x:v>
      </x:c>
      <x:c r="D19" s="412" t="inlineStr">
        <x:is>
          <x:t xml:space="preserve">L. E. Thurman and Veronica Thurman, HW</x:t>
        </x:is>
      </x:c>
      <x:c r="E19" s="411" t="n">
        <x:f>SUM(G19:HT19)</x:f>
        <x:v>-0.230769230769231</x:v>
      </x:c>
      <x:c r="F19" s="35" t="inlineStr">
        <x:is>
          <x:t xml:space="preserve"/>
        </x:is>
      </x:c>
      <x:c r="G19" s="121" t="n"/>
      <x:c r="H19" s="121" t="n"/>
      <x:c r="I19" s="121" t="n"/>
      <x:c r="J19" s="121" t="n"/>
      <x:c r="K19" s="121" t="n"/>
      <x:c r="L19" s="121" t="n"/>
      <x:c r="M19" s="121" t="n">
        <x:v>-0.230769230769231</x:v>
      </x:c>
      <x:c r="N19" s="121" t="n"/>
      <x:c r="O19" s="122" t="n"/>
      <x:c r="P19" s="128" t="n"/>
      <x:c r="Q19" s="128" t="n"/>
      <x:c r="R19" s="123" t="n"/>
      <x:c r="S19" s="129" t="n"/>
      <x:c r="T19" s="121" t="n"/>
      <x:c r="U19" s="121" t="n"/>
      <x:c r="V19" s="121" t="n"/>
      <x:c r="W19" s="121" t="n"/>
      <x:c r="X19" s="121" t="n"/>
      <x:c r="Y19" s="121" t="n"/>
      <x:c r="Z19" s="121" t="n"/>
      <x:c r="AA19" s="121" t="n"/>
      <x:c r="AB19" s="121" t="n"/>
      <x:c r="AC19" s="121" t="n"/>
      <x:c r="AD19" s="123" t="n"/>
      <x:c r="AE19" s="123" t="n"/>
      <x:c r="AF19" s="123" t="n"/>
      <x:c r="AG19" s="122" t="n"/>
      <x:c r="AH19" s="122" t="n"/>
      <x:c r="AI19" s="122" t="n"/>
      <x:c r="AJ19" s="122" t="n"/>
      <x:c r="AK19" s="121" t="n"/>
      <x:c r="AL19" s="123" t="n"/>
      <x:c r="AM19" s="121" t="n"/>
      <x:c r="AN19" s="123" t="n"/>
      <x:c r="AO19" s="121" t="n"/>
      <x:c r="AP19" s="121" t="n"/>
      <x:c r="AQ19" s="28" t="n"/>
      <x:c r="AR19" s="28" t="n"/>
      <x:c r="AS19" s="28" t="n"/>
      <x:c r="AT19" s="28" t="n"/>
      <x:c r="AU19" s="28" t="n"/>
      <x:c r="AV19" s="28" t="n"/>
      <x:c r="AW19" s="28" t="n"/>
      <x:c r="AX19" s="28" t="n"/>
      <x:c r="AY19" s="28" t="n"/>
      <x:c r="AZ19" s="28" t="n"/>
      <x:c r="BA19" s="28" t="n"/>
      <x:c r="BB19" s="28" t="n"/>
      <x:c r="BC19" s="28" t="n"/>
      <x:c r="BD19" s="28" t="n"/>
      <x:c r="BE19" s="28" t="n"/>
      <x:c r="BF19" s="28" t="n"/>
      <x:c r="BG19" s="28" t="n"/>
      <x:c r="BH19" s="28" t="n"/>
      <x:c r="BI19" s="28" t="n"/>
      <x:c r="BJ19" s="28" t="n"/>
      <x:c r="BK19" s="28" t="n"/>
      <x:c r="BL19" s="28" t="n"/>
      <x:c r="BM19" s="28" t="n"/>
      <x:c r="BN19" s="28" t="n"/>
      <x:c r="BO19" s="28" t="n"/>
      <x:c r="BP19" s="28" t="n"/>
      <x:c r="BQ19" s="28" t="n"/>
      <x:c r="BR19" s="28" t="n"/>
      <x:c r="BS19" s="28" t="n"/>
      <x:c r="BT19" s="28" t="n"/>
      <x:c r="BU19" s="28" t="n"/>
      <x:c r="BV19" s="28" t="n"/>
      <x:c r="BW19" s="28" t="n"/>
      <x:c r="BX19" s="28" t="n"/>
      <x:c r="BY19" s="28" t="n"/>
      <x:c r="BZ19" s="28" t="n"/>
      <x:c r="CA19" s="28" t="n"/>
      <x:c r="CB19" s="28" t="n"/>
      <x:c r="CC19" s="28" t="n"/>
      <x:c r="CD19" s="28" t="n"/>
      <x:c r="CE19" s="28" t="n"/>
      <x:c r="CF19" s="28" t="n"/>
      <x:c r="CG19" s="28" t="n"/>
      <x:c r="CH19" s="28" t="n"/>
      <x:c r="CI19" s="28" t="n"/>
      <x:c r="CJ19" s="28" t="n"/>
      <x:c r="CK19" s="28" t="n"/>
      <x:c r="CL19" s="28" t="n"/>
      <x:c r="CM19" s="28" t="n"/>
      <x:c r="CN19" s="28" t="n"/>
      <x:c r="CO19" s="28" t="n"/>
      <x:c r="CP19" s="28" t="n"/>
      <x:c r="CQ19" s="28" t="n"/>
      <x:c r="CR19" s="28" t="n"/>
      <x:c r="CS19" s="28" t="n"/>
      <x:c r="CT19" s="28" t="n"/>
      <x:c r="CU19" s="28" t="n"/>
      <x:c r="CV19" s="28" t="n"/>
      <x:c r="CW19" s="28" t="n"/>
      <x:c r="CX19" s="28" t="n"/>
      <x:c r="CY19" s="28" t="n"/>
      <x:c r="CZ19" s="28" t="n"/>
      <x:c r="DA19" s="28" t="n"/>
      <x:c r="DB19" s="28" t="n"/>
      <x:c r="DC19" s="28" t="n"/>
      <x:c r="DD19" s="28" t="n"/>
      <x:c r="DE19" s="28" t="n"/>
      <x:c r="DF19" s="28" t="n"/>
      <x:c r="DG19" s="28" t="n"/>
      <x:c r="DH19" s="28" t="n"/>
      <x:c r="DI19" s="28" t="n"/>
      <x:c r="DJ19" s="28" t="n"/>
      <x:c r="DK19" s="28" t="n"/>
      <x:c r="DL19" s="28" t="n"/>
      <x:c r="DM19" s="28" t="n"/>
      <x:c r="DN19" s="28" t="n"/>
      <x:c r="DO19" s="28" t="n"/>
      <x:c r="DP19" s="28" t="n"/>
      <x:c r="DQ19" s="28" t="n"/>
      <x:c r="DR19" s="28" t="n"/>
      <x:c r="DS19" s="28" t="n"/>
      <x:c r="DT19" s="28" t="n"/>
      <x:c r="DU19" s="28" t="n"/>
      <x:c r="DV19" s="28" t="n"/>
      <x:c r="DW19" s="28" t="n"/>
      <x:c r="DX19" s="28" t="n"/>
      <x:c r="DY19" s="28" t="n"/>
      <x:c r="DZ19" s="28" t="n"/>
      <x:c r="EA19" s="28" t="n"/>
      <x:c r="EB19" s="28" t="n"/>
      <x:c r="EC19" s="28" t="n"/>
      <x:c r="ED19" s="28" t="n"/>
      <x:c r="EE19" s="28" t="n"/>
      <x:c r="EF19" s="28" t="n"/>
      <x:c r="EG19" s="28" t="n"/>
      <x:c r="EH19" s="28" t="n"/>
      <x:c r="EI19" s="28" t="n"/>
      <x:c r="EJ19" s="28" t="n"/>
      <x:c r="EK19" s="28" t="n"/>
      <x:c r="EL19" s="28" t="n"/>
      <x:c r="EM19" s="28" t="n"/>
      <x:c r="EN19" s="28" t="n"/>
      <x:c r="EO19" s="28" t="n"/>
      <x:c r="EP19" s="28" t="n"/>
      <x:c r="EQ19" s="28" t="n"/>
      <x:c r="ER19" s="28" t="n"/>
      <x:c r="ES19" s="28" t="n"/>
      <x:c r="ET19" s="28" t="n"/>
      <x:c r="EU19" s="28" t="n"/>
      <x:c r="EV19" s="28" t="n"/>
      <x:c r="EW19" s="28" t="n"/>
      <x:c r="EX19" s="28" t="n"/>
      <x:c r="EY19" s="28" t="n"/>
      <x:c r="EZ19" s="28" t="n"/>
      <x:c r="FA19" s="28" t="n"/>
      <x:c r="FB19" s="28" t="n"/>
      <x:c r="FC19" s="28" t="n"/>
      <x:c r="FD19" s="28" t="n"/>
      <x:c r="FE19" s="28" t="n"/>
      <x:c r="FF19" s="28" t="n"/>
      <x:c r="FG19" s="28" t="n"/>
      <x:c r="FH19" s="28" t="n"/>
      <x:c r="FI19" s="28" t="n"/>
      <x:c r="FJ19" s="28" t="n"/>
      <x:c r="FK19" s="28" t="n"/>
      <x:c r="FL19" s="28" t="n"/>
      <x:c r="FM19" s="28" t="n"/>
      <x:c r="FN19" s="28" t="n"/>
      <x:c r="FO19" s="28" t="n"/>
      <x:c r="FP19" s="28" t="n"/>
      <x:c r="FQ19" s="28" t="n"/>
      <x:c r="FR19" s="28" t="n"/>
      <x:c r="FS19" s="28" t="n"/>
      <x:c r="FT19" s="28" t="n"/>
      <x:c r="FU19" s="28" t="n"/>
      <x:c r="FV19" s="28" t="n"/>
      <x:c r="FW19" s="28" t="n"/>
      <x:c r="FX19" s="28" t="n"/>
      <x:c r="FY19" s="28" t="n"/>
      <x:c r="FZ19" s="28" t="n"/>
    </x:row>
    <x:row r="20" s="27" customFormat="1">
      <x:c r="A20" s="38" t="n"/>
      <x:c r="B20" s="39" t="n"/>
      <x:c r="C20" s="86" t="n">
        <x:f>E20*D$5</x:f>
        <x:v>1.1102230246251565e-15</x:v>
      </x:c>
      <x:c r="D20" s="104" t="inlineStr">
        <x:is>
          <x:t xml:space="preserve">Marie Lister</x:t>
        </x:is>
      </x:c>
      <x:c r="E20" s="86" t="n">
        <x:f>SUM(G20:HT20)</x:f>
        <x:v>1.3877787807814457e-17</x:v>
      </x:c>
      <x:c r="F20" s="35" t="inlineStr">
        <x:is>
          <x:t xml:space="preserve"/>
        </x:is>
      </x:c>
      <x:c r="G20" s="121" t="n"/>
      <x:c r="H20" s="122" t="n"/>
      <x:c r="I20" s="121" t="n"/>
      <x:c r="J20" s="121" t="n"/>
      <x:c r="K20" s="121" t="n"/>
      <x:c r="L20" s="121" t="n"/>
      <x:c r="M20" s="121" t="n">
        <x:v>0.230769230769231</x:v>
      </x:c>
      <x:c r="N20" s="121" t="n">
        <x:v>-0.153846153846154</x:v>
      </x:c>
      <x:c r="O20" s="122" t="n">
        <x:v>-0.0384615384615385</x:v>
      </x:c>
      <x:c r="P20" s="128" t="n">
        <x:v>-0.0384615384615385</x:v>
      </x:c>
      <x:c r="Q20" s="128" t="n"/>
      <x:c r="R20" s="123" t="n"/>
      <x:c r="S20" s="129" t="n"/>
      <x:c r="T20" s="121" t="n"/>
      <x:c r="U20" s="121" t="n"/>
      <x:c r="V20" s="121" t="n"/>
      <x:c r="W20" s="121" t="n"/>
      <x:c r="X20" s="121" t="n"/>
      <x:c r="Y20" s="121" t="n"/>
      <x:c r="Z20" s="121" t="n"/>
      <x:c r="AA20" s="121" t="n"/>
      <x:c r="AB20" s="121" t="n"/>
      <x:c r="AC20" s="121" t="n"/>
      <x:c r="AD20" s="123" t="n"/>
      <x:c r="AE20" s="123" t="n"/>
      <x:c r="AF20" s="123" t="n"/>
      <x:c r="AG20" s="123" t="n"/>
      <x:c r="AH20" s="123" t="n"/>
      <x:c r="AI20" s="123" t="n"/>
      <x:c r="AJ20" s="123" t="n"/>
      <x:c r="AK20" s="121" t="n"/>
      <x:c r="AL20" s="123" t="n"/>
      <x:c r="AM20" s="121" t="n"/>
      <x:c r="AN20" s="123" t="n"/>
      <x:c r="AO20" s="121" t="n"/>
      <x:c r="AP20" s="121" t="n"/>
      <x:c r="AQ20" s="28" t="n"/>
      <x:c r="AR20" s="28" t="n"/>
      <x:c r="AS20" s="28" t="n"/>
      <x:c r="AT20" s="28" t="n"/>
      <x:c r="AU20" s="28" t="n"/>
      <x:c r="AV20" s="28" t="n"/>
      <x:c r="AW20" s="28" t="n"/>
      <x:c r="AX20" s="28" t="n"/>
      <x:c r="AY20" s="28" t="n"/>
      <x:c r="AZ20" s="28" t="n"/>
      <x:c r="BA20" s="28" t="n"/>
      <x:c r="BB20" s="28" t="n"/>
      <x:c r="BC20" s="28" t="n"/>
      <x:c r="BD20" s="28" t="n"/>
      <x:c r="BE20" s="28" t="n"/>
      <x:c r="BF20" s="28" t="n"/>
      <x:c r="BG20" s="28" t="n"/>
      <x:c r="BH20" s="28" t="n"/>
      <x:c r="BI20" s="28" t="n"/>
      <x:c r="BJ20" s="28" t="n"/>
      <x:c r="BK20" s="28" t="n"/>
      <x:c r="BL20" s="28" t="n"/>
      <x:c r="BM20" s="28" t="n"/>
      <x:c r="BN20" s="28" t="n"/>
      <x:c r="BO20" s="28" t="n"/>
      <x:c r="BP20" s="28" t="n"/>
      <x:c r="BQ20" s="28" t="n"/>
      <x:c r="BR20" s="28" t="n"/>
      <x:c r="BS20" s="28" t="n"/>
      <x:c r="BT20" s="28" t="n"/>
      <x:c r="BU20" s="28" t="n"/>
      <x:c r="BV20" s="28" t="n"/>
      <x:c r="BW20" s="28" t="n"/>
      <x:c r="BX20" s="28" t="n"/>
      <x:c r="BY20" s="28" t="n"/>
      <x:c r="BZ20" s="28" t="n"/>
      <x:c r="CA20" s="28" t="n"/>
      <x:c r="CB20" s="28" t="n"/>
      <x:c r="CC20" s="28" t="n"/>
      <x:c r="CD20" s="28" t="n"/>
      <x:c r="CE20" s="28" t="n"/>
      <x:c r="CF20" s="28" t="n"/>
      <x:c r="CG20" s="28" t="n"/>
      <x:c r="CH20" s="28" t="n"/>
      <x:c r="CI20" s="28" t="n"/>
      <x:c r="CJ20" s="28" t="n"/>
      <x:c r="CK20" s="28" t="n"/>
      <x:c r="CL20" s="28" t="n"/>
      <x:c r="CM20" s="28" t="n"/>
      <x:c r="CN20" s="28" t="n"/>
      <x:c r="CO20" s="28" t="n"/>
      <x:c r="CP20" s="28" t="n"/>
      <x:c r="CQ20" s="28" t="n"/>
      <x:c r="CR20" s="28" t="n"/>
      <x:c r="CS20" s="28" t="n"/>
      <x:c r="CT20" s="28" t="n"/>
      <x:c r="CU20" s="28" t="n"/>
      <x:c r="CV20" s="28" t="n"/>
      <x:c r="CW20" s="28" t="n"/>
      <x:c r="CX20" s="28" t="n"/>
      <x:c r="CY20" s="28" t="n"/>
      <x:c r="CZ20" s="28" t="n"/>
      <x:c r="DA20" s="28" t="n"/>
      <x:c r="DB20" s="28" t="n"/>
      <x:c r="DC20" s="28" t="n"/>
      <x:c r="DD20" s="28" t="n"/>
      <x:c r="DE20" s="28" t="n"/>
      <x:c r="DF20" s="28" t="n"/>
      <x:c r="DG20" s="28" t="n"/>
      <x:c r="DH20" s="28" t="n"/>
      <x:c r="DI20" s="28" t="n"/>
      <x:c r="DJ20" s="28" t="n"/>
      <x:c r="DK20" s="28" t="n"/>
      <x:c r="DL20" s="28" t="n"/>
      <x:c r="DM20" s="28" t="n"/>
      <x:c r="DN20" s="28" t="n"/>
      <x:c r="DO20" s="28" t="n"/>
      <x:c r="DP20" s="28" t="n"/>
      <x:c r="DQ20" s="28" t="n"/>
      <x:c r="DR20" s="28" t="n"/>
      <x:c r="DS20" s="28" t="n"/>
      <x:c r="DT20" s="28" t="n"/>
      <x:c r="DU20" s="28" t="n"/>
      <x:c r="DV20" s="28" t="n"/>
      <x:c r="DW20" s="28" t="n"/>
      <x:c r="DX20" s="28" t="n"/>
      <x:c r="DY20" s="28" t="n"/>
      <x:c r="DZ20" s="28" t="n"/>
      <x:c r="EA20" s="28" t="n"/>
      <x:c r="EB20" s="28" t="n"/>
      <x:c r="EC20" s="28" t="n"/>
      <x:c r="ED20" s="28" t="n"/>
      <x:c r="EE20" s="28" t="n"/>
      <x:c r="EF20" s="28" t="n"/>
      <x:c r="EG20" s="28" t="n"/>
      <x:c r="EH20" s="28" t="n"/>
      <x:c r="EI20" s="28" t="n"/>
      <x:c r="EJ20" s="28" t="n"/>
      <x:c r="EK20" s="28" t="n"/>
      <x:c r="EL20" s="28" t="n"/>
      <x:c r="EM20" s="28" t="n"/>
      <x:c r="EN20" s="28" t="n"/>
      <x:c r="EO20" s="28" t="n"/>
      <x:c r="EP20" s="28" t="n"/>
      <x:c r="EQ20" s="28" t="n"/>
      <x:c r="ER20" s="28" t="n"/>
      <x:c r="ES20" s="28" t="n"/>
      <x:c r="ET20" s="28" t="n"/>
      <x:c r="EU20" s="28" t="n"/>
      <x:c r="EV20" s="28" t="n"/>
      <x:c r="EW20" s="28" t="n"/>
      <x:c r="EX20" s="28" t="n"/>
      <x:c r="EY20" s="28" t="n"/>
      <x:c r="EZ20" s="28" t="n"/>
      <x:c r="FA20" s="28" t="n"/>
      <x:c r="FB20" s="28" t="n"/>
      <x:c r="FC20" s="28" t="n"/>
      <x:c r="FD20" s="28" t="n"/>
      <x:c r="FE20" s="28" t="n"/>
      <x:c r="FF20" s="28" t="n"/>
      <x:c r="FG20" s="28" t="n"/>
      <x:c r="FH20" s="28" t="n"/>
      <x:c r="FI20" s="28" t="n"/>
      <x:c r="FJ20" s="28" t="n"/>
      <x:c r="FK20" s="28" t="n"/>
      <x:c r="FL20" s="28" t="n"/>
      <x:c r="FM20" s="28" t="n"/>
      <x:c r="FN20" s="28" t="n"/>
      <x:c r="FO20" s="28" t="n"/>
      <x:c r="FP20" s="28" t="n"/>
      <x:c r="FQ20" s="28" t="n"/>
      <x:c r="FR20" s="28" t="n"/>
      <x:c r="FS20" s="28" t="n"/>
      <x:c r="FT20" s="28" t="n"/>
      <x:c r="FU20" s="28" t="n"/>
      <x:c r="FV20" s="28" t="n"/>
      <x:c r="FW20" s="28" t="n"/>
      <x:c r="FX20" s="28" t="n"/>
      <x:c r="FY20" s="28" t="n"/>
      <x:c r="FZ20" s="28" t="n"/>
    </x:row>
    <x:row r="21" s="27" customFormat="1">
      <x:c r="A21" s="38" t="n"/>
      <x:c r="B21" s="37" t="n"/>
      <x:c r="C21" s="36" t="n">
        <x:f>E21*D$5</x:f>
        <x:v>0</x:v>
      </x:c>
      <x:c r="D21" s="103" t="inlineStr">
        <x:is>
          <x:t xml:space="preserve">W. H. Sorenson</x:t>
        </x:is>
      </x:c>
      <x:c r="E21" s="36" t="n">
        <x:f>SUM(G21:HT21)</x:f>
        <x:v>0</x:v>
      </x:c>
      <x:c r="F21" s="35" t="inlineStr">
        <x:is>
          <x:t xml:space="preserve"/>
        </x:is>
      </x:c>
      <x:c r="G21" s="121" t="n"/>
      <x:c r="H21" s="121" t="n"/>
      <x:c r="I21" s="121" t="n"/>
      <x:c r="J21" s="121" t="n"/>
      <x:c r="K21" s="121" t="n"/>
      <x:c r="L21" s="121" t="n"/>
      <x:c r="M21" s="121" t="n"/>
      <x:c r="N21" s="121" t="n">
        <x:v>0.153846153846154</x:v>
      </x:c>
      <x:c r="O21" s="121" t="n"/>
      <x:c r="P21" s="128" t="n"/>
      <x:c r="Q21" s="128" t="n"/>
      <x:c r="R21" s="123" t="n"/>
      <x:c r="S21" s="129" t="n"/>
      <x:c r="T21" s="121" t="n"/>
      <x:c r="U21" s="121" t="n"/>
      <x:c r="V21" s="121" t="n"/>
      <x:c r="W21" s="121" t="n"/>
      <x:c r="X21" s="121" t="n"/>
      <x:c r="Y21" s="121" t="n">
        <x:v>-0.153846153846154</x:v>
      </x:c>
      <x:c r="Z21" s="121" t="n"/>
      <x:c r="AA21" s="121" t="n"/>
      <x:c r="AB21" s="121" t="n"/>
      <x:c r="AC21" s="121" t="n"/>
      <x:c r="AD21" s="123" t="n"/>
      <x:c r="AE21" s="123" t="n"/>
      <x:c r="AF21" s="123" t="n"/>
      <x:c r="AG21" s="123" t="n"/>
      <x:c r="AH21" s="123" t="n"/>
      <x:c r="AI21" s="123" t="n"/>
      <x:c r="AJ21" s="123" t="n"/>
      <x:c r="AK21" s="121" t="n"/>
      <x:c r="AL21" s="123" t="n"/>
      <x:c r="AM21" s="122" t="n"/>
      <x:c r="AN21" s="123" t="n"/>
      <x:c r="AO21" s="121" t="n"/>
      <x:c r="AP21" s="121" t="n"/>
      <x:c r="AQ21" s="28" t="n"/>
      <x:c r="AR21" s="28" t="n"/>
      <x:c r="AS21" s="28" t="n"/>
      <x:c r="AT21" s="28" t="n"/>
      <x:c r="AU21" s="28" t="n"/>
      <x:c r="AV21" s="28" t="n"/>
      <x:c r="AW21" s="28" t="n"/>
      <x:c r="AX21" s="28" t="n"/>
      <x:c r="AY21" s="28" t="n"/>
      <x:c r="AZ21" s="28" t="n"/>
      <x:c r="BA21" s="28" t="n"/>
      <x:c r="BB21" s="28" t="n"/>
      <x:c r="BC21" s="28" t="n"/>
      <x:c r="BD21" s="28" t="n"/>
      <x:c r="BE21" s="28" t="n"/>
      <x:c r="BF21" s="28" t="n"/>
      <x:c r="BG21" s="28" t="n"/>
      <x:c r="BH21" s="28" t="n"/>
      <x:c r="BI21" s="28" t="n"/>
      <x:c r="BJ21" s="28" t="n"/>
      <x:c r="BK21" s="28" t="n"/>
      <x:c r="BL21" s="28" t="n"/>
      <x:c r="BM21" s="28" t="n"/>
      <x:c r="BN21" s="28" t="n"/>
      <x:c r="BO21" s="28" t="n"/>
      <x:c r="BP21" s="28" t="n"/>
      <x:c r="BQ21" s="28" t="n"/>
      <x:c r="BR21" s="28" t="n"/>
      <x:c r="BS21" s="28" t="n"/>
      <x:c r="BT21" s="28" t="n"/>
      <x:c r="BU21" s="28" t="n"/>
      <x:c r="BV21" s="28" t="n"/>
      <x:c r="BW21" s="28" t="n"/>
      <x:c r="BX21" s="28" t="n"/>
      <x:c r="BY21" s="28" t="n"/>
      <x:c r="BZ21" s="28" t="n"/>
      <x:c r="CA21" s="28" t="n"/>
      <x:c r="CB21" s="28" t="n"/>
      <x:c r="CC21" s="28" t="n"/>
      <x:c r="CD21" s="28" t="n"/>
      <x:c r="CE21" s="28" t="n"/>
      <x:c r="CF21" s="28" t="n"/>
      <x:c r="CG21" s="28" t="n"/>
      <x:c r="CH21" s="28" t="n"/>
      <x:c r="CI21" s="28" t="n"/>
      <x:c r="CJ21" s="28" t="n"/>
      <x:c r="CK21" s="28" t="n"/>
      <x:c r="CL21" s="28" t="n"/>
      <x:c r="CM21" s="28" t="n"/>
      <x:c r="CN21" s="28" t="n"/>
      <x:c r="CO21" s="28" t="n"/>
      <x:c r="CP21" s="28" t="n"/>
      <x:c r="CQ21" s="28" t="n"/>
      <x:c r="CR21" s="28" t="n"/>
      <x:c r="CS21" s="28" t="n"/>
      <x:c r="CT21" s="28" t="n"/>
      <x:c r="CU21" s="28" t="n"/>
      <x:c r="CV21" s="28" t="n"/>
      <x:c r="CW21" s="28" t="n"/>
      <x:c r="CX21" s="28" t="n"/>
      <x:c r="CY21" s="28" t="n"/>
      <x:c r="CZ21" s="28" t="n"/>
      <x:c r="DA21" s="28" t="n"/>
      <x:c r="DB21" s="28" t="n"/>
      <x:c r="DC21" s="28" t="n"/>
      <x:c r="DD21" s="28" t="n"/>
      <x:c r="DE21" s="28" t="n"/>
      <x:c r="DF21" s="28" t="n"/>
      <x:c r="DG21" s="28" t="n"/>
      <x:c r="DH21" s="28" t="n"/>
      <x:c r="DI21" s="28" t="n"/>
      <x:c r="DJ21" s="28" t="n"/>
      <x:c r="DK21" s="28" t="n"/>
      <x:c r="DL21" s="28" t="n"/>
      <x:c r="DM21" s="28" t="n"/>
      <x:c r="DN21" s="28" t="n"/>
      <x:c r="DO21" s="28" t="n"/>
      <x:c r="DP21" s="28" t="n"/>
      <x:c r="DQ21" s="28" t="n"/>
      <x:c r="DR21" s="28" t="n"/>
      <x:c r="DS21" s="28" t="n"/>
      <x:c r="DT21" s="28" t="n"/>
      <x:c r="DU21" s="28" t="n"/>
      <x:c r="DV21" s="28" t="n"/>
      <x:c r="DW21" s="28" t="n"/>
      <x:c r="DX21" s="28" t="n"/>
      <x:c r="DY21" s="28" t="n"/>
      <x:c r="DZ21" s="28" t="n"/>
      <x:c r="EA21" s="28" t="n"/>
      <x:c r="EB21" s="28" t="n"/>
      <x:c r="EC21" s="28" t="n"/>
      <x:c r="ED21" s="28" t="n"/>
      <x:c r="EE21" s="28" t="n"/>
      <x:c r="EF21" s="28" t="n"/>
      <x:c r="EG21" s="28" t="n"/>
      <x:c r="EH21" s="28" t="n"/>
      <x:c r="EI21" s="28" t="n"/>
      <x:c r="EJ21" s="28" t="n"/>
      <x:c r="EK21" s="28" t="n"/>
      <x:c r="EL21" s="28" t="n"/>
      <x:c r="EM21" s="28" t="n"/>
      <x:c r="EN21" s="28" t="n"/>
      <x:c r="EO21" s="28" t="n"/>
      <x:c r="EP21" s="28" t="n"/>
      <x:c r="EQ21" s="28" t="n"/>
      <x:c r="ER21" s="28" t="n"/>
      <x:c r="ES21" s="28" t="n"/>
      <x:c r="ET21" s="28" t="n"/>
      <x:c r="EU21" s="28" t="n"/>
      <x:c r="EV21" s="28" t="n"/>
      <x:c r="EW21" s="28" t="n"/>
      <x:c r="EX21" s="28" t="n"/>
      <x:c r="EY21" s="28" t="n"/>
      <x:c r="EZ21" s="28" t="n"/>
      <x:c r="FA21" s="28" t="n"/>
      <x:c r="FB21" s="28" t="n"/>
      <x:c r="FC21" s="28" t="n"/>
      <x:c r="FD21" s="28" t="n"/>
      <x:c r="FE21" s="28" t="n"/>
      <x:c r="FF21" s="28" t="n"/>
      <x:c r="FG21" s="28" t="n"/>
      <x:c r="FH21" s="28" t="n"/>
      <x:c r="FI21" s="28" t="n"/>
      <x:c r="FJ21" s="28" t="n"/>
      <x:c r="FK21" s="28" t="n"/>
      <x:c r="FL21" s="28" t="n"/>
      <x:c r="FM21" s="28" t="n"/>
      <x:c r="FN21" s="28" t="n"/>
      <x:c r="FO21" s="28" t="n"/>
      <x:c r="FP21" s="28" t="n"/>
      <x:c r="FQ21" s="28" t="n"/>
      <x:c r="FR21" s="28" t="n"/>
      <x:c r="FS21" s="28" t="n"/>
      <x:c r="FT21" s="28" t="n"/>
      <x:c r="FU21" s="28" t="n"/>
      <x:c r="FV21" s="28" t="n"/>
      <x:c r="FW21" s="28" t="n"/>
      <x:c r="FX21" s="28" t="n"/>
      <x:c r="FY21" s="28" t="n"/>
      <x:c r="FZ21" s="28" t="n"/>
    </x:row>
    <x:row r="22" s="27" customFormat="1">
      <x:c r="A22" s="38" t="n"/>
      <x:c r="B22" s="37" t="n"/>
      <x:c r="C22" s="86" t="n">
        <x:f>E22*D$5</x:f>
        <x:v>3.0769230769230798</x:v>
      </x:c>
      <x:c r="D22" s="103" t="inlineStr">
        <x:is>
          <x:t xml:space="preserve">Mann Childrens Trust</x:t>
        </x:is>
      </x:c>
      <x:c r="E22" s="86" t="n">
        <x:f>SUM(G22:HT22)</x:f>
        <x:v>0.0384615384615385</x:v>
      </x:c>
      <x:c r="F22" s="35" t="inlineStr">
        <x:is>
          <x:t xml:space="preserve"/>
        </x:is>
      </x:c>
      <x:c r="G22" s="121" t="n"/>
      <x:c r="H22" s="121" t="n"/>
      <x:c r="I22" s="121" t="n"/>
      <x:c r="J22" s="121" t="n"/>
      <x:c r="K22" s="121" t="n"/>
      <x:c r="L22" s="121" t="n"/>
      <x:c r="M22" s="121" t="n"/>
      <x:c r="N22" s="121" t="n"/>
      <x:c r="O22" s="121" t="n">
        <x:v>0.0384615384615385</x:v>
      </x:c>
      <x:c r="P22" s="128" t="n"/>
      <x:c r="Q22" s="128" t="n"/>
      <x:c r="R22" s="123" t="n"/>
      <x:c r="S22" s="129" t="n"/>
      <x:c r="T22" s="121" t="n"/>
      <x:c r="U22" s="121" t="n"/>
      <x:c r="V22" s="121" t="n"/>
      <x:c r="W22" s="121" t="n"/>
      <x:c r="X22" s="121" t="n"/>
      <x:c r="Y22" s="121" t="n"/>
      <x:c r="Z22" s="121" t="n"/>
      <x:c r="AA22" s="121" t="n"/>
      <x:c r="AB22" s="121" t="n"/>
      <x:c r="AC22" s="121" t="n"/>
      <x:c r="AD22" s="123" t="n"/>
      <x:c r="AE22" s="123" t="n"/>
      <x:c r="AF22" s="123" t="n"/>
      <x:c r="AG22" s="123" t="n"/>
      <x:c r="AH22" s="123" t="n"/>
      <x:c r="AI22" s="123" t="n"/>
      <x:c r="AJ22" s="123" t="n"/>
      <x:c r="AK22" s="121" t="n"/>
      <x:c r="AL22" s="123" t="n"/>
      <x:c r="AM22" s="122" t="n"/>
      <x:c r="AN22" s="123" t="n"/>
      <x:c r="AO22" s="121" t="n"/>
      <x:c r="AP22" s="121" t="n"/>
      <x:c r="AQ22" s="28" t="n"/>
      <x:c r="AR22" s="28" t="n"/>
      <x:c r="AS22" s="28" t="n"/>
      <x:c r="AT22" s="28" t="n"/>
      <x:c r="AU22" s="28" t="n"/>
      <x:c r="AV22" s="28" t="n"/>
      <x:c r="AW22" s="28" t="n"/>
      <x:c r="AX22" s="28" t="n"/>
      <x:c r="AY22" s="28" t="n"/>
      <x:c r="AZ22" s="28" t="n"/>
      <x:c r="BA22" s="28" t="n"/>
      <x:c r="BB22" s="28" t="n"/>
      <x:c r="BC22" s="28" t="n"/>
      <x:c r="BD22" s="28" t="n"/>
      <x:c r="BE22" s="28" t="n"/>
      <x:c r="BF22" s="28" t="n"/>
      <x:c r="BG22" s="28" t="n"/>
      <x:c r="BH22" s="28" t="n"/>
      <x:c r="BI22" s="28" t="n"/>
      <x:c r="BJ22" s="28" t="n"/>
      <x:c r="BK22" s="28" t="n"/>
      <x:c r="BL22" s="28" t="n"/>
      <x:c r="BM22" s="28" t="n"/>
      <x:c r="BN22" s="28" t="n"/>
      <x:c r="BO22" s="28" t="n"/>
      <x:c r="BP22" s="28" t="n"/>
      <x:c r="BQ22" s="28" t="n"/>
      <x:c r="BR22" s="28" t="n"/>
      <x:c r="BS22" s="28" t="n"/>
      <x:c r="BT22" s="28" t="n"/>
      <x:c r="BU22" s="28" t="n"/>
      <x:c r="BV22" s="28" t="n"/>
      <x:c r="BW22" s="28" t="n"/>
      <x:c r="BX22" s="28" t="n"/>
      <x:c r="BY22" s="28" t="n"/>
      <x:c r="BZ22" s="28" t="n"/>
      <x:c r="CA22" s="28" t="n"/>
      <x:c r="CB22" s="28" t="n"/>
      <x:c r="CC22" s="28" t="n"/>
      <x:c r="CD22" s="28" t="n"/>
      <x:c r="CE22" s="28" t="n"/>
      <x:c r="CF22" s="28" t="n"/>
      <x:c r="CG22" s="28" t="n"/>
      <x:c r="CH22" s="28" t="n"/>
      <x:c r="CI22" s="28" t="n"/>
      <x:c r="CJ22" s="28" t="n"/>
      <x:c r="CK22" s="28" t="n"/>
      <x:c r="CL22" s="28" t="n"/>
      <x:c r="CM22" s="28" t="n"/>
      <x:c r="CN22" s="28" t="n"/>
      <x:c r="CO22" s="28" t="n"/>
      <x:c r="CP22" s="28" t="n"/>
      <x:c r="CQ22" s="28" t="n"/>
      <x:c r="CR22" s="28" t="n"/>
      <x:c r="CS22" s="28" t="n"/>
      <x:c r="CT22" s="28" t="n"/>
      <x:c r="CU22" s="28" t="n"/>
      <x:c r="CV22" s="28" t="n"/>
      <x:c r="CW22" s="28" t="n"/>
      <x:c r="CX22" s="28" t="n"/>
      <x:c r="CY22" s="28" t="n"/>
      <x:c r="CZ22" s="28" t="n"/>
      <x:c r="DA22" s="28" t="n"/>
      <x:c r="DB22" s="28" t="n"/>
      <x:c r="DC22" s="28" t="n"/>
      <x:c r="DD22" s="28" t="n"/>
      <x:c r="DE22" s="28" t="n"/>
      <x:c r="DF22" s="28" t="n"/>
      <x:c r="DG22" s="28" t="n"/>
      <x:c r="DH22" s="28" t="n"/>
      <x:c r="DI22" s="28" t="n"/>
      <x:c r="DJ22" s="28" t="n"/>
      <x:c r="DK22" s="28" t="n"/>
      <x:c r="DL22" s="28" t="n"/>
      <x:c r="DM22" s="28" t="n"/>
      <x:c r="DN22" s="28" t="n"/>
      <x:c r="DO22" s="28" t="n"/>
      <x:c r="DP22" s="28" t="n"/>
      <x:c r="DQ22" s="28" t="n"/>
      <x:c r="DR22" s="28" t="n"/>
      <x:c r="DS22" s="28" t="n"/>
      <x:c r="DT22" s="28" t="n"/>
      <x:c r="DU22" s="28" t="n"/>
      <x:c r="DV22" s="28" t="n"/>
      <x:c r="DW22" s="28" t="n"/>
      <x:c r="DX22" s="28" t="n"/>
      <x:c r="DY22" s="28" t="n"/>
      <x:c r="DZ22" s="28" t="n"/>
      <x:c r="EA22" s="28" t="n"/>
      <x:c r="EB22" s="28" t="n"/>
      <x:c r="EC22" s="28" t="n"/>
      <x:c r="ED22" s="28" t="n"/>
      <x:c r="EE22" s="28" t="n"/>
      <x:c r="EF22" s="28" t="n"/>
      <x:c r="EG22" s="28" t="n"/>
      <x:c r="EH22" s="28" t="n"/>
      <x:c r="EI22" s="28" t="n"/>
      <x:c r="EJ22" s="28" t="n"/>
      <x:c r="EK22" s="28" t="n"/>
      <x:c r="EL22" s="28" t="n"/>
      <x:c r="EM22" s="28" t="n"/>
      <x:c r="EN22" s="28" t="n"/>
      <x:c r="EO22" s="28" t="n"/>
      <x:c r="EP22" s="28" t="n"/>
      <x:c r="EQ22" s="28" t="n"/>
      <x:c r="ER22" s="28" t="n"/>
      <x:c r="ES22" s="28" t="n"/>
      <x:c r="ET22" s="28" t="n"/>
      <x:c r="EU22" s="28" t="n"/>
      <x:c r="EV22" s="28" t="n"/>
      <x:c r="EW22" s="28" t="n"/>
      <x:c r="EX22" s="28" t="n"/>
      <x:c r="EY22" s="28" t="n"/>
      <x:c r="EZ22" s="28" t="n"/>
      <x:c r="FA22" s="28" t="n"/>
      <x:c r="FB22" s="28" t="n"/>
      <x:c r="FC22" s="28" t="n"/>
      <x:c r="FD22" s="28" t="n"/>
      <x:c r="FE22" s="28" t="n"/>
      <x:c r="FF22" s="28" t="n"/>
      <x:c r="FG22" s="28" t="n"/>
      <x:c r="FH22" s="28" t="n"/>
      <x:c r="FI22" s="28" t="n"/>
      <x:c r="FJ22" s="28" t="n"/>
      <x:c r="FK22" s="28" t="n"/>
      <x:c r="FL22" s="28" t="n"/>
      <x:c r="FM22" s="28" t="n"/>
      <x:c r="FN22" s="28" t="n"/>
      <x:c r="FO22" s="28" t="n"/>
      <x:c r="FP22" s="28" t="n"/>
      <x:c r="FQ22" s="28" t="n"/>
      <x:c r="FR22" s="28" t="n"/>
      <x:c r="FS22" s="28" t="n"/>
      <x:c r="FT22" s="28" t="n"/>
      <x:c r="FU22" s="28" t="n"/>
      <x:c r="FV22" s="28" t="n"/>
      <x:c r="FW22" s="28" t="n"/>
      <x:c r="FX22" s="28" t="n"/>
      <x:c r="FY22" s="28" t="n"/>
      <x:c r="FZ22" s="28" t="n"/>
    </x:row>
    <x:row r="23" s="27" customFormat="1">
      <x:c r="A23" s="125" t="n"/>
      <x:c r="B23" s="39" t="n"/>
      <x:c r="C23" s="86" t="n">
        <x:f>E23*D$5</x:f>
        <x:v>3.0769230769230798</x:v>
      </x:c>
      <x:c r="D23" s="4" t="inlineStr">
        <x:is>
          <x:t xml:space="preserve">J. E. Barnett</x:t>
        </x:is>
      </x:c>
      <x:c r="E23" s="86" t="n">
        <x:f>SUM(G23:HT23)</x:f>
        <x:v>0.0384615384615385</x:v>
      </x:c>
      <x:c r="F23" s="35" t="inlineStr">
        <x:is>
          <x:t xml:space="preserve"/>
        </x:is>
      </x:c>
      <x:c r="G23" s="121" t="n"/>
      <x:c r="H23" s="121" t="n"/>
      <x:c r="I23" s="121" t="n"/>
      <x:c r="J23" s="121" t="n"/>
      <x:c r="K23" s="121" t="n"/>
      <x:c r="L23" s="121" t="n"/>
      <x:c r="M23" s="121" t="n"/>
      <x:c r="N23" s="121" t="n"/>
      <x:c r="O23" s="121" t="n"/>
      <x:c r="P23" s="121" t="n">
        <x:v>0.0384615384615385</x:v>
      </x:c>
      <x:c r="Q23" s="124" t="n"/>
      <x:c r="R23" s="123" t="n"/>
      <x:c r="S23" s="121" t="n"/>
      <x:c r="T23" s="129" t="n"/>
      <x:c r="U23" s="121" t="n"/>
      <x:c r="V23" s="121" t="n"/>
      <x:c r="W23" s="121" t="n"/>
      <x:c r="X23" s="121" t="n"/>
      <x:c r="Y23" s="121" t="n"/>
      <x:c r="Z23" s="121" t="n"/>
      <x:c r="AA23" s="121" t="n"/>
      <x:c r="AB23" s="121" t="n"/>
      <x:c r="AC23" s="121" t="n"/>
      <x:c r="AD23" s="123" t="n"/>
      <x:c r="AE23" s="123" t="n"/>
      <x:c r="AF23" s="123" t="n"/>
      <x:c r="AG23" s="123" t="n"/>
      <x:c r="AH23" s="123" t="n"/>
      <x:c r="AI23" s="123" t="n"/>
      <x:c r="AJ23" s="123" t="n"/>
      <x:c r="AK23" s="121" t="n"/>
      <x:c r="AL23" s="123" t="n"/>
      <x:c r="AM23" s="122" t="n"/>
      <x:c r="AN23" s="123" t="n"/>
      <x:c r="AO23" s="121" t="n"/>
      <x:c r="AP23" s="121" t="n"/>
      <x:c r="AQ23" s="28" t="n"/>
      <x:c r="AR23" s="28" t="n"/>
      <x:c r="AS23" s="28" t="n"/>
      <x:c r="AT23" s="28" t="n"/>
      <x:c r="AU23" s="28" t="n"/>
      <x:c r="AV23" s="28" t="n"/>
      <x:c r="AW23" s="28" t="n"/>
      <x:c r="AX23" s="28" t="n"/>
      <x:c r="AY23" s="28" t="n"/>
      <x:c r="AZ23" s="28" t="n"/>
      <x:c r="BA23" s="28" t="n"/>
      <x:c r="BB23" s="28" t="n"/>
      <x:c r="BC23" s="28" t="n"/>
      <x:c r="BD23" s="28" t="n"/>
      <x:c r="BE23" s="28" t="n"/>
      <x:c r="BF23" s="28" t="n"/>
      <x:c r="BG23" s="28" t="n"/>
      <x:c r="BH23" s="28" t="n"/>
      <x:c r="BI23" s="28" t="n"/>
      <x:c r="BJ23" s="28" t="n"/>
      <x:c r="BK23" s="28" t="n"/>
      <x:c r="BL23" s="28" t="n"/>
      <x:c r="BM23" s="28" t="n"/>
      <x:c r="BN23" s="28" t="n"/>
      <x:c r="BO23" s="28" t="n"/>
      <x:c r="BP23" s="28" t="n"/>
      <x:c r="BQ23" s="28" t="n"/>
      <x:c r="BR23" s="28" t="n"/>
      <x:c r="BS23" s="28" t="n"/>
      <x:c r="BT23" s="28" t="n"/>
      <x:c r="BU23" s="28" t="n"/>
      <x:c r="BV23" s="28" t="n"/>
      <x:c r="BW23" s="28" t="n"/>
      <x:c r="BX23" s="28" t="n"/>
      <x:c r="BY23" s="28" t="n"/>
      <x:c r="BZ23" s="28" t="n"/>
      <x:c r="CA23" s="28" t="n"/>
      <x:c r="CB23" s="28" t="n"/>
      <x:c r="CC23" s="28" t="n"/>
      <x:c r="CD23" s="28" t="n"/>
      <x:c r="CE23" s="28" t="n"/>
      <x:c r="CF23" s="28" t="n"/>
      <x:c r="CG23" s="28" t="n"/>
      <x:c r="CH23" s="28" t="n"/>
      <x:c r="CI23" s="28" t="n"/>
      <x:c r="CJ23" s="28" t="n"/>
      <x:c r="CK23" s="28" t="n"/>
      <x:c r="CL23" s="28" t="n"/>
      <x:c r="CM23" s="28" t="n"/>
      <x:c r="CN23" s="28" t="n"/>
      <x:c r="CO23" s="28" t="n"/>
      <x:c r="CP23" s="28" t="n"/>
      <x:c r="CQ23" s="28" t="n"/>
      <x:c r="CR23" s="28" t="n"/>
      <x:c r="CS23" s="28" t="n"/>
      <x:c r="CT23" s="28" t="n"/>
      <x:c r="CU23" s="28" t="n"/>
      <x:c r="CV23" s="28" t="n"/>
      <x:c r="CW23" s="28" t="n"/>
      <x:c r="CX23" s="28" t="n"/>
      <x:c r="CY23" s="28" t="n"/>
      <x:c r="CZ23" s="28" t="n"/>
      <x:c r="DA23" s="28" t="n"/>
      <x:c r="DB23" s="28" t="n"/>
      <x:c r="DC23" s="28" t="n"/>
      <x:c r="DD23" s="28" t="n"/>
      <x:c r="DE23" s="28" t="n"/>
      <x:c r="DF23" s="28" t="n"/>
      <x:c r="DG23" s="28" t="n"/>
      <x:c r="DH23" s="28" t="n"/>
      <x:c r="DI23" s="28" t="n"/>
      <x:c r="DJ23" s="28" t="n"/>
      <x:c r="DK23" s="28" t="n"/>
      <x:c r="DL23" s="28" t="n"/>
      <x:c r="DM23" s="28" t="n"/>
      <x:c r="DN23" s="28" t="n"/>
      <x:c r="DO23" s="28" t="n"/>
      <x:c r="DP23" s="28" t="n"/>
      <x:c r="DQ23" s="28" t="n"/>
      <x:c r="DR23" s="28" t="n"/>
      <x:c r="DS23" s="28" t="n"/>
      <x:c r="DT23" s="28" t="n"/>
      <x:c r="DU23" s="28" t="n"/>
      <x:c r="DV23" s="28" t="n"/>
      <x:c r="DW23" s="28" t="n"/>
      <x:c r="DX23" s="28" t="n"/>
      <x:c r="DY23" s="28" t="n"/>
      <x:c r="DZ23" s="28" t="n"/>
      <x:c r="EA23" s="28" t="n"/>
      <x:c r="EB23" s="28" t="n"/>
      <x:c r="EC23" s="28" t="n"/>
      <x:c r="ED23" s="28" t="n"/>
      <x:c r="EE23" s="28" t="n"/>
      <x:c r="EF23" s="28" t="n"/>
      <x:c r="EG23" s="28" t="n"/>
      <x:c r="EH23" s="28" t="n"/>
      <x:c r="EI23" s="28" t="n"/>
      <x:c r="EJ23" s="28" t="n"/>
      <x:c r="EK23" s="28" t="n"/>
      <x:c r="EL23" s="28" t="n"/>
      <x:c r="EM23" s="28" t="n"/>
      <x:c r="EN23" s="28" t="n"/>
      <x:c r="EO23" s="28" t="n"/>
      <x:c r="EP23" s="28" t="n"/>
      <x:c r="EQ23" s="28" t="n"/>
      <x:c r="ER23" s="28" t="n"/>
      <x:c r="ES23" s="28" t="n"/>
      <x:c r="ET23" s="28" t="n"/>
      <x:c r="EU23" s="28" t="n"/>
      <x:c r="EV23" s="28" t="n"/>
      <x:c r="EW23" s="28" t="n"/>
      <x:c r="EX23" s="28" t="n"/>
      <x:c r="EY23" s="28" t="n"/>
      <x:c r="EZ23" s="28" t="n"/>
      <x:c r="FA23" s="28" t="n"/>
      <x:c r="FB23" s="28" t="n"/>
      <x:c r="FC23" s="28" t="n"/>
      <x:c r="FD23" s="28" t="n"/>
      <x:c r="FE23" s="28" t="n"/>
      <x:c r="FF23" s="28" t="n"/>
      <x:c r="FG23" s="28" t="n"/>
      <x:c r="FH23" s="28" t="n"/>
      <x:c r="FI23" s="28" t="n"/>
      <x:c r="FJ23" s="28" t="n"/>
      <x:c r="FK23" s="28" t="n"/>
      <x:c r="FL23" s="28" t="n"/>
      <x:c r="FM23" s="28" t="n"/>
      <x:c r="FN23" s="28" t="n"/>
      <x:c r="FO23" s="28" t="n"/>
      <x:c r="FP23" s="28" t="n"/>
      <x:c r="FQ23" s="28" t="n"/>
      <x:c r="FR23" s="28" t="n"/>
      <x:c r="FS23" s="28" t="n"/>
      <x:c r="FT23" s="28" t="n"/>
      <x:c r="FU23" s="28" t="n"/>
      <x:c r="FV23" s="28" t="n"/>
      <x:c r="FW23" s="28" t="n"/>
      <x:c r="FX23" s="28" t="n"/>
      <x:c r="FY23" s="28" t="n"/>
      <x:c r="FZ23" s="28" t="n"/>
    </x:row>
    <x:row r="24" s="27" customFormat="1">
      <x:c r="A24" s="125" t="n"/>
      <x:c r="B24" s="39" t="n"/>
      <x:c r="C24" s="86" t="n">
        <x:f>E24*D$5</x:f>
        <x:v>-80</x:v>
      </x:c>
      <x:c r="D24" s="410" t="inlineStr">
        <x:is>
          <x:t xml:space="preserve">Elmo W. Kirk and Freeda Kirk, HW</x:t>
        </x:is>
      </x:c>
      <x:c r="E24" s="413" t="n">
        <x:f>SUM(G24:HT24)</x:f>
        <x:v>-1</x:v>
      </x:c>
      <x:c r="F24" s="35" t="inlineStr">
        <x:is>
          <x:t xml:space="preserve"/>
        </x:is>
      </x:c>
      <x:c r="G24" s="121" t="n"/>
      <x:c r="H24" s="121" t="n"/>
      <x:c r="I24" s="121" t="n"/>
      <x:c r="J24" s="121" t="n"/>
      <x:c r="K24" s="121" t="n"/>
      <x:c r="L24" s="121" t="n"/>
      <x:c r="M24" s="121" t="n"/>
      <x:c r="N24" s="121" t="n"/>
      <x:c r="O24" s="121" t="n"/>
      <x:c r="P24" s="121" t="n"/>
      <x:c r="Q24" s="124" t="n">
        <x:v>-1</x:v>
      </x:c>
      <x:c r="R24" s="123" t="n"/>
      <x:c r="S24" s="121" t="n"/>
      <x:c r="T24" s="129" t="n"/>
      <x:c r="U24" s="121" t="n"/>
      <x:c r="V24" s="121" t="n"/>
      <x:c r="W24" s="121" t="n"/>
      <x:c r="X24" s="121" t="n"/>
      <x:c r="Y24" s="121" t="n"/>
      <x:c r="Z24" s="121" t="n"/>
      <x:c r="AA24" s="121" t="n"/>
      <x:c r="AB24" s="121" t="n"/>
      <x:c r="AC24" s="121" t="n"/>
      <x:c r="AD24" s="123" t="n"/>
      <x:c r="AE24" s="123" t="n"/>
      <x:c r="AF24" s="123" t="n"/>
      <x:c r="AG24" s="123" t="n"/>
      <x:c r="AH24" s="123" t="n"/>
      <x:c r="AI24" s="123" t="n"/>
      <x:c r="AJ24" s="123" t="n"/>
      <x:c r="AK24" s="121" t="n"/>
      <x:c r="AL24" s="123" t="n"/>
      <x:c r="AM24" s="122" t="n"/>
      <x:c r="AN24" s="123" t="n"/>
      <x:c r="AO24" s="121" t="n"/>
      <x:c r="AP24" s="121" t="n"/>
      <x:c r="AQ24" s="28" t="n"/>
      <x:c r="AR24" s="28" t="n"/>
      <x:c r="AS24" s="28" t="n"/>
      <x:c r="AT24" s="28" t="n"/>
      <x:c r="AU24" s="28" t="n"/>
      <x:c r="AV24" s="28" t="n"/>
      <x:c r="AW24" s="28" t="n"/>
      <x:c r="AX24" s="28" t="n"/>
      <x:c r="AY24" s="28" t="n"/>
      <x:c r="AZ24" s="28" t="n"/>
      <x:c r="BA24" s="28" t="n"/>
      <x:c r="BB24" s="28" t="n"/>
      <x:c r="BC24" s="28" t="n"/>
      <x:c r="BD24" s="28" t="n"/>
      <x:c r="BE24" s="28" t="n"/>
      <x:c r="BF24" s="28" t="n"/>
      <x:c r="BG24" s="28" t="n"/>
      <x:c r="BH24" s="28" t="n"/>
      <x:c r="BI24" s="28" t="n"/>
      <x:c r="BJ24" s="28" t="n"/>
      <x:c r="BK24" s="28" t="n"/>
      <x:c r="BL24" s="28" t="n"/>
      <x:c r="BM24" s="28" t="n"/>
      <x:c r="BN24" s="28" t="n"/>
      <x:c r="BO24" s="28" t="n"/>
      <x:c r="BP24" s="28" t="n"/>
      <x:c r="BQ24" s="28" t="n"/>
      <x:c r="BR24" s="28" t="n"/>
      <x:c r="BS24" s="28" t="n"/>
      <x:c r="BT24" s="28" t="n"/>
      <x:c r="BU24" s="28" t="n"/>
      <x:c r="BV24" s="28" t="n"/>
      <x:c r="BW24" s="28" t="n"/>
      <x:c r="BX24" s="28" t="n"/>
      <x:c r="BY24" s="28" t="n"/>
      <x:c r="BZ24" s="28" t="n"/>
      <x:c r="CA24" s="28" t="n"/>
      <x:c r="CB24" s="28" t="n"/>
      <x:c r="CC24" s="28" t="n"/>
      <x:c r="CD24" s="28" t="n"/>
      <x:c r="CE24" s="28" t="n"/>
      <x:c r="CF24" s="28" t="n"/>
      <x:c r="CG24" s="28" t="n"/>
      <x:c r="CH24" s="28" t="n"/>
      <x:c r="CI24" s="28" t="n"/>
      <x:c r="CJ24" s="28" t="n"/>
      <x:c r="CK24" s="28" t="n"/>
      <x:c r="CL24" s="28" t="n"/>
      <x:c r="CM24" s="28" t="n"/>
      <x:c r="CN24" s="28" t="n"/>
      <x:c r="CO24" s="28" t="n"/>
      <x:c r="CP24" s="28" t="n"/>
      <x:c r="CQ24" s="28" t="n"/>
      <x:c r="CR24" s="28" t="n"/>
      <x:c r="CS24" s="28" t="n"/>
      <x:c r="CT24" s="28" t="n"/>
      <x:c r="CU24" s="28" t="n"/>
      <x:c r="CV24" s="28" t="n"/>
      <x:c r="CW24" s="28" t="n"/>
      <x:c r="CX24" s="28" t="n"/>
      <x:c r="CY24" s="28" t="n"/>
      <x:c r="CZ24" s="28" t="n"/>
      <x:c r="DA24" s="28" t="n"/>
      <x:c r="DB24" s="28" t="n"/>
      <x:c r="DC24" s="28" t="n"/>
      <x:c r="DD24" s="28" t="n"/>
      <x:c r="DE24" s="28" t="n"/>
      <x:c r="DF24" s="28" t="n"/>
      <x:c r="DG24" s="28" t="n"/>
      <x:c r="DH24" s="28" t="n"/>
      <x:c r="DI24" s="28" t="n"/>
      <x:c r="DJ24" s="28" t="n"/>
      <x:c r="DK24" s="28" t="n"/>
      <x:c r="DL24" s="28" t="n"/>
      <x:c r="DM24" s="28" t="n"/>
      <x:c r="DN24" s="28" t="n"/>
      <x:c r="DO24" s="28" t="n"/>
      <x:c r="DP24" s="28" t="n"/>
      <x:c r="DQ24" s="28" t="n"/>
      <x:c r="DR24" s="28" t="n"/>
      <x:c r="DS24" s="28" t="n"/>
      <x:c r="DT24" s="28" t="n"/>
      <x:c r="DU24" s="28" t="n"/>
      <x:c r="DV24" s="28" t="n"/>
      <x:c r="DW24" s="28" t="n"/>
      <x:c r="DX24" s="28" t="n"/>
      <x:c r="DY24" s="28" t="n"/>
      <x:c r="DZ24" s="28" t="n"/>
      <x:c r="EA24" s="28" t="n"/>
      <x:c r="EB24" s="28" t="n"/>
      <x:c r="EC24" s="28" t="n"/>
      <x:c r="ED24" s="28" t="n"/>
      <x:c r="EE24" s="28" t="n"/>
      <x:c r="EF24" s="28" t="n"/>
      <x:c r="EG24" s="28" t="n"/>
      <x:c r="EH24" s="28" t="n"/>
      <x:c r="EI24" s="28" t="n"/>
      <x:c r="EJ24" s="28" t="n"/>
      <x:c r="EK24" s="28" t="n"/>
      <x:c r="EL24" s="28" t="n"/>
      <x:c r="EM24" s="28" t="n"/>
      <x:c r="EN24" s="28" t="n"/>
      <x:c r="EO24" s="28" t="n"/>
      <x:c r="EP24" s="28" t="n"/>
      <x:c r="EQ24" s="28" t="n"/>
      <x:c r="ER24" s="28" t="n"/>
      <x:c r="ES24" s="28" t="n"/>
      <x:c r="ET24" s="28" t="n"/>
      <x:c r="EU24" s="28" t="n"/>
      <x:c r="EV24" s="28" t="n"/>
      <x:c r="EW24" s="28" t="n"/>
      <x:c r="EX24" s="28" t="n"/>
      <x:c r="EY24" s="28" t="n"/>
      <x:c r="EZ24" s="28" t="n"/>
      <x:c r="FA24" s="28" t="n"/>
      <x:c r="FB24" s="28" t="n"/>
      <x:c r="FC24" s="28" t="n"/>
      <x:c r="FD24" s="28" t="n"/>
      <x:c r="FE24" s="28" t="n"/>
      <x:c r="FF24" s="28" t="n"/>
      <x:c r="FG24" s="28" t="n"/>
      <x:c r="FH24" s="28" t="n"/>
      <x:c r="FI24" s="28" t="n"/>
      <x:c r="FJ24" s="28" t="n"/>
      <x:c r="FK24" s="28" t="n"/>
      <x:c r="FL24" s="28" t="n"/>
      <x:c r="FM24" s="28" t="n"/>
      <x:c r="FN24" s="28" t="n"/>
      <x:c r="FO24" s="28" t="n"/>
      <x:c r="FP24" s="28" t="n"/>
      <x:c r="FQ24" s="28" t="n"/>
      <x:c r="FR24" s="28" t="n"/>
      <x:c r="FS24" s="28" t="n"/>
      <x:c r="FT24" s="28" t="n"/>
      <x:c r="FU24" s="28" t="n"/>
      <x:c r="FV24" s="28" t="n"/>
      <x:c r="FW24" s="28" t="n"/>
      <x:c r="FX24" s="28" t="n"/>
      <x:c r="FY24" s="28" t="n"/>
      <x:c r="FZ24" s="28" t="n"/>
    </x:row>
    <x:row r="25" s="27" customFormat="1">
      <x:c r="A25" s="125" t="n"/>
      <x:c r="B25" s="39" t="n"/>
      <x:c r="C25" s="86" t="n">
        <x:f>E25*D$5</x:f>
        <x:v>0</x:v>
      </x:c>
      <x:c r="D25" s="104" t="inlineStr">
        <x:is>
          <x:t xml:space="preserve">Margie Kirk</x:t>
        </x:is>
      </x:c>
      <x:c r="E25" s="86" t="n">
        <x:f>SUM(G25:HT25)</x:f>
        <x:v>0</x:v>
      </x:c>
      <x:c r="F25" s="35" t="inlineStr">
        <x:is>
          <x:t xml:space="preserve"/>
        </x:is>
      </x:c>
      <x:c r="G25" s="121" t="n"/>
      <x:c r="H25" s="121" t="n"/>
      <x:c r="I25" s="121" t="n"/>
      <x:c r="J25" s="121" t="n"/>
      <x:c r="K25" s="121" t="n"/>
      <x:c r="L25" s="121" t="n"/>
      <x:c r="M25" s="121" t="n"/>
      <x:c r="N25" s="121" t="n"/>
      <x:c r="O25" s="121" t="n"/>
      <x:c r="P25" s="121" t="n"/>
      <x:c r="Q25" s="124" t="n">
        <x:v>1</x:v>
      </x:c>
      <x:c r="R25" s="123" t="n">
        <x:v>-1</x:v>
      </x:c>
      <x:c r="S25" s="121" t="n"/>
      <x:c r="T25" s="121" t="n"/>
      <x:c r="U25" s="129" t="n"/>
      <x:c r="V25" s="121" t="n"/>
      <x:c r="W25" s="121" t="n"/>
      <x:c r="X25" s="121" t="n"/>
      <x:c r="Y25" s="121" t="n"/>
      <x:c r="Z25" s="121" t="n"/>
      <x:c r="AA25" s="121" t="n"/>
      <x:c r="AB25" s="121" t="n"/>
      <x:c r="AC25" s="121" t="n"/>
      <x:c r="AD25" s="123" t="n"/>
      <x:c r="AE25" s="123" t="n"/>
      <x:c r="AF25" s="123" t="n"/>
      <x:c r="AG25" s="123" t="n"/>
      <x:c r="AH25" s="123" t="n"/>
      <x:c r="AI25" s="6" t="n"/>
      <x:c r="AJ25" s="123" t="n"/>
      <x:c r="AK25" s="121" t="n"/>
      <x:c r="AL25" s="123" t="n"/>
      <x:c r="AM25" s="121" t="n"/>
      <x:c r="AN25" s="123" t="n"/>
      <x:c r="AO25" s="121" t="n"/>
      <x:c r="AP25" s="121" t="n"/>
      <x:c r="AQ25" s="28" t="n"/>
      <x:c r="AR25" s="28" t="n"/>
      <x:c r="AS25" s="28" t="n"/>
      <x:c r="AT25" s="28" t="n"/>
      <x:c r="AU25" s="28" t="n"/>
      <x:c r="AV25" s="28" t="n"/>
      <x:c r="AW25" s="28" t="n"/>
      <x:c r="AX25" s="28" t="n"/>
      <x:c r="AY25" s="28" t="n"/>
      <x:c r="AZ25" s="28" t="n"/>
      <x:c r="BA25" s="28" t="n"/>
      <x:c r="BB25" s="28" t="n"/>
      <x:c r="BC25" s="28" t="n"/>
      <x:c r="BD25" s="28" t="n"/>
      <x:c r="BE25" s="28" t="n"/>
      <x:c r="BF25" s="28" t="n"/>
      <x:c r="BG25" s="28" t="n"/>
      <x:c r="BH25" s="28" t="n"/>
      <x:c r="BI25" s="28" t="n"/>
      <x:c r="BJ25" s="28" t="n"/>
      <x:c r="BK25" s="28" t="n"/>
      <x:c r="BL25" s="28" t="n"/>
      <x:c r="BM25" s="28" t="n"/>
      <x:c r="BN25" s="28" t="n"/>
      <x:c r="BO25" s="28" t="n"/>
      <x:c r="BP25" s="28" t="n"/>
      <x:c r="BQ25" s="28" t="n"/>
      <x:c r="BR25" s="28" t="n"/>
      <x:c r="BS25" s="28" t="n"/>
      <x:c r="BT25" s="28" t="n"/>
      <x:c r="BU25" s="28" t="n"/>
      <x:c r="BV25" s="28" t="n"/>
      <x:c r="BW25" s="28" t="n"/>
      <x:c r="BX25" s="28" t="n"/>
      <x:c r="BY25" s="28" t="n"/>
      <x:c r="BZ25" s="28" t="n"/>
      <x:c r="CA25" s="28" t="n"/>
      <x:c r="CB25" s="28" t="n"/>
      <x:c r="CC25" s="28" t="n"/>
      <x:c r="CD25" s="28" t="n"/>
      <x:c r="CE25" s="28" t="n"/>
      <x:c r="CF25" s="28" t="n"/>
      <x:c r="CG25" s="28" t="n"/>
      <x:c r="CH25" s="28" t="n"/>
      <x:c r="CI25" s="28" t="n"/>
      <x:c r="CJ25" s="28" t="n"/>
      <x:c r="CK25" s="28" t="n"/>
      <x:c r="CL25" s="28" t="n"/>
      <x:c r="CM25" s="28" t="n"/>
      <x:c r="CN25" s="28" t="n"/>
      <x:c r="CO25" s="28" t="n"/>
      <x:c r="CP25" s="28" t="n"/>
      <x:c r="CQ25" s="28" t="n"/>
      <x:c r="CR25" s="28" t="n"/>
      <x:c r="CS25" s="28" t="n"/>
      <x:c r="CT25" s="28" t="n"/>
      <x:c r="CU25" s="28" t="n"/>
      <x:c r="CV25" s="28" t="n"/>
      <x:c r="CW25" s="28" t="n"/>
      <x:c r="CX25" s="28" t="n"/>
      <x:c r="CY25" s="28" t="n"/>
      <x:c r="CZ25" s="28" t="n"/>
      <x:c r="DA25" s="28" t="n"/>
      <x:c r="DB25" s="28" t="n"/>
      <x:c r="DC25" s="28" t="n"/>
      <x:c r="DD25" s="28" t="n"/>
      <x:c r="DE25" s="28" t="n"/>
      <x:c r="DF25" s="28" t="n"/>
      <x:c r="DG25" s="28" t="n"/>
      <x:c r="DH25" s="28" t="n"/>
      <x:c r="DI25" s="28" t="n"/>
      <x:c r="DJ25" s="28" t="n"/>
      <x:c r="DK25" s="28" t="n"/>
      <x:c r="DL25" s="28" t="n"/>
      <x:c r="DM25" s="28" t="n"/>
      <x:c r="DN25" s="28" t="n"/>
      <x:c r="DO25" s="28" t="n"/>
      <x:c r="DP25" s="28" t="n"/>
      <x:c r="DQ25" s="28" t="n"/>
      <x:c r="DR25" s="28" t="n"/>
      <x:c r="DS25" s="28" t="n"/>
      <x:c r="DT25" s="28" t="n"/>
      <x:c r="DU25" s="28" t="n"/>
      <x:c r="DV25" s="28" t="n"/>
      <x:c r="DW25" s="28" t="n"/>
      <x:c r="DX25" s="28" t="n"/>
      <x:c r="DY25" s="28" t="n"/>
      <x:c r="DZ25" s="28" t="n"/>
      <x:c r="EA25" s="28" t="n"/>
      <x:c r="EB25" s="28" t="n"/>
      <x:c r="EC25" s="28" t="n"/>
      <x:c r="ED25" s="28" t="n"/>
      <x:c r="EE25" s="28" t="n"/>
      <x:c r="EF25" s="28" t="n"/>
      <x:c r="EG25" s="28" t="n"/>
      <x:c r="EH25" s="28" t="n"/>
      <x:c r="EI25" s="28" t="n"/>
      <x:c r="EJ25" s="28" t="n"/>
      <x:c r="EK25" s="28" t="n"/>
      <x:c r="EL25" s="28" t="n"/>
      <x:c r="EM25" s="28" t="n"/>
      <x:c r="EN25" s="28" t="n"/>
      <x:c r="EO25" s="28" t="n"/>
      <x:c r="EP25" s="28" t="n"/>
      <x:c r="EQ25" s="28" t="n"/>
      <x:c r="ER25" s="28" t="n"/>
      <x:c r="ES25" s="28" t="n"/>
      <x:c r="ET25" s="28" t="n"/>
      <x:c r="EU25" s="28" t="n"/>
      <x:c r="EV25" s="28" t="n"/>
      <x:c r="EW25" s="28" t="n"/>
      <x:c r="EX25" s="28" t="n"/>
      <x:c r="EY25" s="28" t="n"/>
      <x:c r="EZ25" s="28" t="n"/>
      <x:c r="FA25" s="28" t="n"/>
      <x:c r="FB25" s="28" t="n"/>
      <x:c r="FC25" s="28" t="n"/>
      <x:c r="FD25" s="28" t="n"/>
      <x:c r="FE25" s="28" t="n"/>
      <x:c r="FF25" s="28" t="n"/>
      <x:c r="FG25" s="28" t="n"/>
      <x:c r="FH25" s="28" t="n"/>
      <x:c r="FI25" s="28" t="n"/>
      <x:c r="FJ25" s="28" t="n"/>
      <x:c r="FK25" s="28" t="n"/>
      <x:c r="FL25" s="28" t="n"/>
      <x:c r="FM25" s="28" t="n"/>
      <x:c r="FN25" s="28" t="n"/>
      <x:c r="FO25" s="28" t="n"/>
      <x:c r="FP25" s="28" t="n"/>
      <x:c r="FQ25" s="28" t="n"/>
      <x:c r="FR25" s="28" t="n"/>
      <x:c r="FS25" s="28" t="n"/>
      <x:c r="FT25" s="28" t="n"/>
      <x:c r="FU25" s="28" t="n"/>
      <x:c r="FV25" s="28" t="n"/>
      <x:c r="FW25" s="28" t="n"/>
      <x:c r="FX25" s="28" t="n"/>
      <x:c r="FY25" s="28" t="n"/>
      <x:c r="FZ25" s="28" t="n"/>
    </x:row>
    <x:row r="26" s="27" customFormat="1">
      <x:c r="A26" s="125" t="n"/>
      <x:c r="B26" s="39" t="n"/>
      <x:c r="C26" s="86" t="n">
        <x:f>E26*D$5</x:f>
        <x:v>80</x:v>
      </x:c>
      <x:c r="D26" s="523" t="inlineStr">
        <x:is>
          <x:t xml:space="preserve">Gordon E. Kirk and Ella Pearl Kirk, HW, JTWROS</x:t>
        </x:is>
      </x:c>
      <x:c r="E26" s="86" t="n">
        <x:f>SUM(G26:HT26)</x:f>
        <x:v>1</x:v>
      </x:c>
      <x:c r="F26" s="35" t="inlineStr">
        <x:is>
          <x:t xml:space="preserve"/>
        </x:is>
      </x:c>
      <x:c r="G26" s="121" t="n"/>
      <x:c r="H26" s="121" t="n"/>
      <x:c r="I26" s="121" t="n"/>
      <x:c r="J26" s="121" t="n"/>
      <x:c r="K26" s="121" t="n"/>
      <x:c r="L26" s="121" t="n"/>
      <x:c r="M26" s="121" t="n"/>
      <x:c r="N26" s="121" t="n"/>
      <x:c r="O26" s="121" t="n"/>
      <x:c r="P26" s="121" t="n"/>
      <x:c r="Q26" s="123" t="n"/>
      <x:c r="R26" s="123" t="n">
        <x:v>1</x:v>
      </x:c>
      <x:c r="S26" s="121" t="n"/>
      <x:c r="T26" s="121" t="n"/>
      <x:c r="U26" s="129" t="n"/>
      <x:c r="V26" s="121" t="n"/>
      <x:c r="W26" s="121" t="n"/>
      <x:c r="X26" s="121" t="n"/>
      <x:c r="Y26" s="121" t="n"/>
      <x:c r="Z26" s="121" t="n"/>
      <x:c r="AA26" s="121" t="n"/>
      <x:c r="AB26" s="121" t="n"/>
      <x:c r="AC26" s="121" t="n"/>
      <x:c r="AD26" s="123" t="n"/>
      <x:c r="AE26" s="123" t="n"/>
      <x:c r="AF26" s="123" t="n"/>
      <x:c r="AG26" s="123" t="n"/>
      <x:c r="AH26" s="123" t="n"/>
      <x:c r="AI26" s="5" t="n"/>
      <x:c r="AJ26" s="123" t="n"/>
      <x:c r="AK26" s="121" t="n"/>
      <x:c r="AL26" s="123" t="n"/>
      <x:c r="AM26" s="122" t="n"/>
      <x:c r="AN26" s="123" t="n"/>
      <x:c r="AO26" s="121" t="n"/>
      <x:c r="AP26" s="121" t="n"/>
      <x:c r="AQ26" s="28" t="n"/>
      <x:c r="AR26" s="28" t="n"/>
      <x:c r="AS26" s="28" t="n"/>
      <x:c r="AT26" s="28" t="n"/>
      <x:c r="AU26" s="28" t="n"/>
      <x:c r="AV26" s="28" t="n"/>
      <x:c r="AW26" s="28" t="n"/>
      <x:c r="AX26" s="28" t="n"/>
      <x:c r="AY26" s="28" t="n"/>
      <x:c r="AZ26" s="28" t="n"/>
      <x:c r="BA26" s="28" t="n"/>
      <x:c r="BB26" s="28" t="n"/>
      <x:c r="BC26" s="28" t="n"/>
      <x:c r="BD26" s="28" t="n"/>
      <x:c r="BE26" s="28" t="n"/>
      <x:c r="BF26" s="28" t="n"/>
      <x:c r="BG26" s="28" t="n"/>
      <x:c r="BH26" s="28" t="n"/>
      <x:c r="BI26" s="28" t="n"/>
      <x:c r="BJ26" s="28" t="n"/>
      <x:c r="BK26" s="28" t="n"/>
      <x:c r="BL26" s="28" t="n"/>
      <x:c r="BM26" s="28" t="n"/>
      <x:c r="BN26" s="28" t="n"/>
      <x:c r="BO26" s="28" t="n"/>
      <x:c r="BP26" s="28" t="n"/>
      <x:c r="BQ26" s="28" t="n"/>
      <x:c r="BR26" s="28" t="n"/>
      <x:c r="BS26" s="28" t="n"/>
      <x:c r="BT26" s="28" t="n"/>
      <x:c r="BU26" s="28" t="n"/>
      <x:c r="BV26" s="28" t="n"/>
      <x:c r="BW26" s="28" t="n"/>
      <x:c r="BX26" s="28" t="n"/>
      <x:c r="BY26" s="28" t="n"/>
      <x:c r="BZ26" s="28" t="n"/>
      <x:c r="CA26" s="28" t="n"/>
      <x:c r="CB26" s="28" t="n"/>
      <x:c r="CC26" s="28" t="n"/>
      <x:c r="CD26" s="28" t="n"/>
      <x:c r="CE26" s="28" t="n"/>
      <x:c r="CF26" s="28" t="n"/>
      <x:c r="CG26" s="28" t="n"/>
      <x:c r="CH26" s="28" t="n"/>
      <x:c r="CI26" s="28" t="n"/>
      <x:c r="CJ26" s="28" t="n"/>
      <x:c r="CK26" s="28" t="n"/>
      <x:c r="CL26" s="28" t="n"/>
      <x:c r="CM26" s="28" t="n"/>
      <x:c r="CN26" s="28" t="n"/>
      <x:c r="CO26" s="28" t="n"/>
      <x:c r="CP26" s="28" t="n"/>
      <x:c r="CQ26" s="28" t="n"/>
      <x:c r="CR26" s="28" t="n"/>
      <x:c r="CS26" s="28" t="n"/>
      <x:c r="CT26" s="28" t="n"/>
      <x:c r="CU26" s="28" t="n"/>
      <x:c r="CV26" s="28" t="n"/>
      <x:c r="CW26" s="28" t="n"/>
      <x:c r="CX26" s="28" t="n"/>
      <x:c r="CY26" s="28" t="n"/>
      <x:c r="CZ26" s="28" t="n"/>
      <x:c r="DA26" s="28" t="n"/>
      <x:c r="DB26" s="28" t="n"/>
      <x:c r="DC26" s="28" t="n"/>
      <x:c r="DD26" s="28" t="n"/>
      <x:c r="DE26" s="28" t="n"/>
      <x:c r="DF26" s="28" t="n"/>
      <x:c r="DG26" s="28" t="n"/>
      <x:c r="DH26" s="28" t="n"/>
      <x:c r="DI26" s="28" t="n"/>
      <x:c r="DJ26" s="28" t="n"/>
      <x:c r="DK26" s="28" t="n"/>
      <x:c r="DL26" s="28" t="n"/>
      <x:c r="DM26" s="28" t="n"/>
      <x:c r="DN26" s="28" t="n"/>
      <x:c r="DO26" s="28" t="n"/>
      <x:c r="DP26" s="28" t="n"/>
      <x:c r="DQ26" s="28" t="n"/>
      <x:c r="DR26" s="28" t="n"/>
      <x:c r="DS26" s="28" t="n"/>
      <x:c r="DT26" s="28" t="n"/>
      <x:c r="DU26" s="28" t="n"/>
      <x:c r="DV26" s="28" t="n"/>
      <x:c r="DW26" s="28" t="n"/>
      <x:c r="DX26" s="28" t="n"/>
      <x:c r="DY26" s="28" t="n"/>
      <x:c r="DZ26" s="28" t="n"/>
      <x:c r="EA26" s="28" t="n"/>
      <x:c r="EB26" s="28" t="n"/>
      <x:c r="EC26" s="28" t="n"/>
      <x:c r="ED26" s="28" t="n"/>
      <x:c r="EE26" s="28" t="n"/>
      <x:c r="EF26" s="28" t="n"/>
      <x:c r="EG26" s="28" t="n"/>
      <x:c r="EH26" s="28" t="n"/>
      <x:c r="EI26" s="28" t="n"/>
      <x:c r="EJ26" s="28" t="n"/>
      <x:c r="EK26" s="28" t="n"/>
      <x:c r="EL26" s="28" t="n"/>
      <x:c r="EM26" s="28" t="n"/>
      <x:c r="EN26" s="28" t="n"/>
      <x:c r="EO26" s="28" t="n"/>
      <x:c r="EP26" s="28" t="n"/>
      <x:c r="EQ26" s="28" t="n"/>
      <x:c r="ER26" s="28" t="n"/>
      <x:c r="ES26" s="28" t="n"/>
      <x:c r="ET26" s="28" t="n"/>
      <x:c r="EU26" s="28" t="n"/>
      <x:c r="EV26" s="28" t="n"/>
      <x:c r="EW26" s="28" t="n"/>
      <x:c r="EX26" s="28" t="n"/>
      <x:c r="EY26" s="28" t="n"/>
      <x:c r="EZ26" s="28" t="n"/>
      <x:c r="FA26" s="28" t="n"/>
      <x:c r="FB26" s="28" t="n"/>
      <x:c r="FC26" s="28" t="n"/>
      <x:c r="FD26" s="28" t="n"/>
      <x:c r="FE26" s="28" t="n"/>
      <x:c r="FF26" s="28" t="n"/>
      <x:c r="FG26" s="28" t="n"/>
      <x:c r="FH26" s="28" t="n"/>
      <x:c r="FI26" s="28" t="n"/>
      <x:c r="FJ26" s="28" t="n"/>
      <x:c r="FK26" s="28" t="n"/>
      <x:c r="FL26" s="28" t="n"/>
      <x:c r="FM26" s="28" t="n"/>
      <x:c r="FN26" s="28" t="n"/>
      <x:c r="FO26" s="28" t="n"/>
      <x:c r="FP26" s="28" t="n"/>
      <x:c r="FQ26" s="28" t="n"/>
      <x:c r="FR26" s="28" t="n"/>
      <x:c r="FS26" s="28" t="n"/>
      <x:c r="FT26" s="28" t="n"/>
      <x:c r="FU26" s="28" t="n"/>
      <x:c r="FV26" s="28" t="n"/>
      <x:c r="FW26" s="28" t="n"/>
      <x:c r="FX26" s="28" t="n"/>
      <x:c r="FY26" s="28" t="n"/>
      <x:c r="FZ26" s="28" t="n"/>
    </x:row>
    <x:row r="27" s="27" customFormat="1" ht="24" customHeight="1">
      <x:c r="A27" s="125" t="n"/>
      <x:c r="B27" s="39" t="n"/>
      <x:c r="C27" s="36" t="n">
        <x:f>E27*D$5</x:f>
        <x:v>-80</x:v>
      </x:c>
      <x:c r="D27" s="412" t="inlineStr">
        <x:is>
          <x:t xml:space="preserve">Beckham County Court, RE: In the Matter of the Estate of Lillie Campbell, Deceased</x:t>
        </x:is>
      </x:c>
      <x:c r="E27" s="411" t="n">
        <x:f>SUM(G27:HT27)</x:f>
        <x:v>-1</x:v>
      </x:c>
      <x:c r="F27" s="35" t="inlineStr">
        <x:is>
          <x:t xml:space="preserve"/>
        </x:is>
      </x:c>
      <x:c r="G27" s="121" t="n"/>
      <x:c r="H27" s="121" t="n"/>
      <x:c r="I27" s="121" t="n"/>
      <x:c r="J27" s="121" t="n"/>
      <x:c r="K27" s="121" t="n"/>
      <x:c r="L27" s="121" t="n"/>
      <x:c r="M27" s="6" t="n"/>
      <x:c r="N27" s="121" t="n"/>
      <x:c r="O27" s="121" t="n"/>
      <x:c r="P27" s="121" t="n"/>
      <x:c r="Q27" s="123" t="n"/>
      <x:c r="R27" s="123" t="n"/>
      <x:c r="S27" s="121" t="n">
        <x:v>-1</x:v>
      </x:c>
      <x:c r="T27" s="121" t="n"/>
      <x:c r="U27" s="121" t="n"/>
      <x:c r="V27" s="129" t="n"/>
      <x:c r="W27" s="121" t="n"/>
      <x:c r="X27" s="121" t="n"/>
      <x:c r="Y27" s="121" t="n"/>
      <x:c r="Z27" s="121" t="n"/>
      <x:c r="AA27" s="121" t="n"/>
      <x:c r="AB27" s="121" t="n"/>
      <x:c r="AC27" s="121" t="n"/>
      <x:c r="AD27" s="123" t="n"/>
      <x:c r="AE27" s="123" t="n"/>
      <x:c r="AF27" s="123" t="n"/>
      <x:c r="AG27" s="123" t="n"/>
      <x:c r="AH27" s="123" t="n"/>
      <x:c r="AI27" s="5" t="n"/>
      <x:c r="AJ27" s="123" t="n"/>
      <x:c r="AK27" s="121" t="n"/>
      <x:c r="AL27" s="123" t="n"/>
      <x:c r="AM27" s="121" t="n"/>
      <x:c r="AN27" s="123" t="n"/>
      <x:c r="AO27" s="121" t="n"/>
      <x:c r="AP27" s="121" t="n"/>
      <x:c r="AQ27" s="28" t="n"/>
      <x:c r="AR27" s="28" t="n"/>
      <x:c r="AS27" s="28" t="n"/>
    </x:row>
    <x:row r="28" s="27" customFormat="1">
      <x:c r="A28" s="125" t="n"/>
      <x:c r="B28" s="39" t="n"/>
      <x:c r="C28" s="36" t="n">
        <x:f>E28*D$5</x:f>
        <x:v>40</x:v>
      </x:c>
      <x:c r="D28" s="4" t="inlineStr">
        <x:is>
          <x:t xml:space="preserve">Virgil Hambrook</x:t>
        </x:is>
      </x:c>
      <x:c r="E28" s="36" t="n">
        <x:f>SUM(G28:HT28)</x:f>
        <x:v>0.5</x:v>
      </x:c>
      <x:c r="F28" s="35" t="inlineStr">
        <x:is>
          <x:t xml:space="preserve"/>
        </x:is>
      </x:c>
      <x:c r="G28" s="121" t="n"/>
      <x:c r="H28" s="121" t="n"/>
      <x:c r="I28" s="121" t="n"/>
      <x:c r="J28" s="121" t="n"/>
      <x:c r="K28" s="121" t="n"/>
      <x:c r="L28" s="121" t="n"/>
      <x:c r="M28" s="5" t="n"/>
      <x:c r="N28" s="121" t="n"/>
      <x:c r="O28" s="121" t="n"/>
      <x:c r="P28" s="121" t="n"/>
      <x:c r="Q28" s="123" t="n"/>
      <x:c r="R28" s="123" t="n"/>
      <x:c r="S28" s="121" t="n">
        <x:v>0.5</x:v>
      </x:c>
      <x:c r="T28" s="121" t="n"/>
      <x:c r="U28" s="121" t="n"/>
      <x:c r="V28" s="129" t="n"/>
      <x:c r="W28" s="121" t="n"/>
      <x:c r="X28" s="121" t="n"/>
      <x:c r="Y28" s="121" t="n"/>
      <x:c r="Z28" s="121" t="n"/>
      <x:c r="AA28" s="121" t="n"/>
      <x:c r="AB28" s="121" t="n"/>
      <x:c r="AC28" s="121" t="n"/>
      <x:c r="AD28" s="123" t="n"/>
      <x:c r="AE28" s="123" t="n"/>
      <x:c r="AF28" s="123" t="n"/>
      <x:c r="AG28" s="123" t="n"/>
      <x:c r="AH28" s="123" t="n"/>
      <x:c r="AI28" s="5" t="n"/>
      <x:c r="AJ28" s="123" t="n"/>
      <x:c r="AK28" s="121" t="n"/>
      <x:c r="AL28" s="123" t="n"/>
      <x:c r="AM28" s="121" t="n"/>
      <x:c r="AN28" s="123" t="n"/>
      <x:c r="AO28" s="121" t="n"/>
      <x:c r="AP28" s="121" t="n"/>
      <x:c r="AQ28" s="28" t="n"/>
      <x:c r="AR28" s="28" t="n"/>
      <x:c r="AS28" s="28" t="n"/>
    </x:row>
    <x:row r="29" s="27" customFormat="1">
      <x:c r="A29" s="125" t="n"/>
      <x:c r="B29" s="39" t="n"/>
      <x:c r="C29" s="86" t="n">
        <x:f>E29*D$5</x:f>
        <x:v>40</x:v>
      </x:c>
      <x:c r="D29" s="4" t="inlineStr">
        <x:is>
          <x:t xml:space="preserve">Letty Atha</x:t>
        </x:is>
      </x:c>
      <x:c r="E29" s="86" t="n">
        <x:f>SUM(G29:HT29)</x:f>
        <x:v>0.5</x:v>
      </x:c>
      <x:c r="F29" s="35" t="inlineStr">
        <x:is>
          <x:t xml:space="preserve"/>
        </x:is>
      </x:c>
      <x:c r="G29" s="121" t="n"/>
      <x:c r="H29" s="121" t="n"/>
      <x:c r="I29" s="121" t="n"/>
      <x:c r="J29" s="121" t="n"/>
      <x:c r="K29" s="121" t="n"/>
      <x:c r="L29" s="121" t="n"/>
      <x:c r="M29" s="5" t="n"/>
      <x:c r="N29" s="121" t="n"/>
      <x:c r="O29" s="121" t="n"/>
      <x:c r="P29" s="121" t="n"/>
      <x:c r="Q29" s="123" t="n"/>
      <x:c r="R29" s="123" t="n"/>
      <x:c r="S29" s="121" t="n">
        <x:v>0.5</x:v>
      </x:c>
      <x:c r="T29" s="121" t="n"/>
      <x:c r="U29" s="121" t="n"/>
      <x:c r="V29" s="129" t="n"/>
      <x:c r="W29" s="121" t="n"/>
      <x:c r="X29" s="121" t="n"/>
      <x:c r="Y29" s="121" t="n"/>
      <x:c r="Z29" s="121" t="n"/>
      <x:c r="AA29" s="121" t="n"/>
      <x:c r="AB29" s="121" t="n"/>
      <x:c r="AC29" s="121" t="n"/>
      <x:c r="AD29" s="123" t="n"/>
      <x:c r="AE29" s="123" t="n"/>
      <x:c r="AF29" s="123" t="n"/>
      <x:c r="AG29" s="123" t="n"/>
      <x:c r="AH29" s="123" t="n"/>
      <x:c r="AI29" s="5" t="n"/>
      <x:c r="AJ29" s="123" t="n"/>
      <x:c r="AK29" s="121" t="n"/>
      <x:c r="AL29" s="123" t="n"/>
      <x:c r="AM29" s="121" t="n"/>
      <x:c r="AN29" s="123" t="n"/>
      <x:c r="AO29" s="121" t="n"/>
      <x:c r="AP29" s="121" t="n"/>
      <x:c r="AQ29" s="28" t="n"/>
      <x:c r="AR29" s="28" t="n"/>
      <x:c r="AS29" s="28" t="n"/>
    </x:row>
    <x:row r="30" s="27" customFormat="1">
      <x:c r="A30" s="125" t="n"/>
      <x:c r="B30" s="39" t="n"/>
      <x:c r="C30" s="36" t="n">
        <x:f>E30*D$5</x:f>
        <x:v>-11</x:v>
      </x:c>
      <x:c r="D30" s="410" t="inlineStr">
        <x:is>
          <x:t xml:space="preserve">L. E. Thurman</x:t>
        </x:is>
      </x:c>
      <x:c r="E30" s="411" t="n">
        <x:f>SUM(G30:HT30)</x:f>
        <x:v>-0.1375</x:v>
      </x:c>
      <x:c r="F30" s="35" t="inlineStr">
        <x:is>
          <x:t xml:space="preserve"/>
        </x:is>
      </x:c>
      <x:c r="G30" s="121" t="n"/>
      <x:c r="H30" s="121" t="n"/>
      <x:c r="I30" s="121" t="n"/>
      <x:c r="J30" s="121" t="n"/>
      <x:c r="K30" s="121" t="n"/>
      <x:c r="L30" s="121" t="n"/>
      <x:c r="M30" s="117" t="n"/>
      <x:c r="N30" s="121" t="n"/>
      <x:c r="O30" s="121" t="n"/>
      <x:c r="P30" s="121" t="n"/>
      <x:c r="Q30" s="123" t="n"/>
      <x:c r="R30" s="123" t="n"/>
      <x:c r="S30" s="121" t="n"/>
      <x:c r="T30" s="121" t="n">
        <x:v>-0.1375</x:v>
      </x:c>
      <x:c r="U30" s="121" t="n"/>
      <x:c r="V30" s="121" t="n"/>
      <x:c r="W30" s="129" t="n"/>
      <x:c r="X30" s="129" t="n"/>
      <x:c r="Y30" s="129" t="n"/>
      <x:c r="Z30" s="129" t="n"/>
      <x:c r="AA30" s="129" t="n"/>
      <x:c r="AB30" s="121" t="n"/>
      <x:c r="AC30" s="121" t="n"/>
      <x:c r="AD30" s="123" t="n"/>
      <x:c r="AE30" s="123" t="n"/>
      <x:c r="AF30" s="123" t="n"/>
      <x:c r="AG30" s="123" t="n"/>
      <x:c r="AH30" s="123" t="n"/>
      <x:c r="AI30" s="118" t="n"/>
      <x:c r="AJ30" s="123" t="n"/>
      <x:c r="AK30" s="121" t="n"/>
      <x:c r="AL30" s="123" t="n"/>
      <x:c r="AM30" s="121" t="n"/>
      <x:c r="AN30" s="123" t="n"/>
      <x:c r="AO30" s="121" t="n"/>
      <x:c r="AP30" s="121" t="n"/>
      <x:c r="AQ30" s="28" t="n"/>
      <x:c r="AR30" s="28" t="n"/>
      <x:c r="AS30" s="28" t="n"/>
    </x:row>
    <x:row r="31" s="27" customFormat="1">
      <x:c r="A31" s="125" t="n"/>
      <x:c r="B31" s="39" t="n"/>
      <x:c r="C31" s="86" t="n">
        <x:f>E31*D$5</x:f>
        <x:v>-0.4949999999999992</x:v>
      </x:c>
      <x:c r="D31" s="410" t="inlineStr">
        <x:is>
          <x:t xml:space="preserve">Moore-Stansberry, Inc.</x:t>
        </x:is>
      </x:c>
      <x:c r="E31" s="413" t="n">
        <x:f>SUM(G31:HT31)</x:f>
        <x:v>-0.00618749999999999</x:v>
      </x:c>
      <x:c r="F31" s="35" t="inlineStr">
        <x:is>
          <x:t xml:space="preserve"/>
        </x:is>
      </x:c>
      <x:c r="G31" s="121" t="n"/>
      <x:c r="H31" s="121" t="n"/>
      <x:c r="I31" s="121" t="n"/>
      <x:c r="J31" s="121" t="n"/>
      <x:c r="K31" s="121" t="n"/>
      <x:c r="L31" s="121" t="n"/>
      <x:c r="M31" s="117" t="n"/>
      <x:c r="N31" s="121" t="n"/>
      <x:c r="O31" s="121" t="n"/>
      <x:c r="P31" s="121" t="n"/>
      <x:c r="Q31" s="123" t="n"/>
      <x:c r="R31" s="123" t="n"/>
      <x:c r="S31" s="121" t="n"/>
      <x:c r="T31" s="121" t="n">
        <x:v>0.1375</x:v>
      </x:c>
      <x:c r="U31" s="121" t="n"/>
      <x:c r="V31" s="121" t="n"/>
      <x:c r="W31" s="129" t="n">
        <x:v>-0.1340625</x:v>
      </x:c>
      <x:c r="X31" s="129" t="n">
        <x:v>-0.006875</x:v>
      </x:c>
      <x:c r="Y31" s="121" t="n"/>
      <x:c r="Z31" s="121" t="n">
        <x:v>-0.00275</x:v>
      </x:c>
      <x:c r="AA31" s="121" t="n"/>
      <x:c r="AB31" s="121" t="n"/>
      <x:c r="AC31" s="121" t="n"/>
      <x:c r="AD31" s="123" t="n"/>
      <x:c r="AE31" s="123" t="n"/>
      <x:c r="AF31" s="123" t="n"/>
      <x:c r="AG31" s="123" t="n"/>
      <x:c r="AH31" s="123" t="n"/>
      <x:c r="AI31" s="118" t="n"/>
      <x:c r="AJ31" s="123" t="n"/>
      <x:c r="AK31" s="121" t="n"/>
      <x:c r="AL31" s="123" t="n"/>
      <x:c r="AM31" s="121" t="n"/>
      <x:c r="AN31" s="123" t="n"/>
      <x:c r="AO31" s="121" t="n"/>
      <x:c r="AP31" s="121" t="n"/>
      <x:c r="AQ31" s="28" t="n"/>
      <x:c r="AR31" s="28" t="n"/>
      <x:c r="AS31" s="28" t="n"/>
    </x:row>
    <x:row r="32" s="27" customFormat="1">
      <x:c r="A32" s="125" t="n"/>
      <x:c r="B32" s="39" t="n"/>
      <x:c r="C32" s="86" t="n">
        <x:f>E32*D$5</x:f>
        <x:v>-3.0769230769230798</x:v>
      </x:c>
      <x:c r="D32" s="410" t="inlineStr">
        <x:is>
          <x:t xml:space="preserve">Glenn D. Mitchel Hazel P. Mitchel, HW</x:t>
        </x:is>
      </x:c>
      <x:c r="E32" s="413" t="n">
        <x:f>SUM(G32:HT32)</x:f>
        <x:v>-0.0384615384615385</x:v>
      </x:c>
      <x:c r="F32" s="35" t="inlineStr">
        <x:is>
          <x:t xml:space="preserve"/>
        </x:is>
      </x:c>
      <x:c r="G32" s="121" t="n"/>
      <x:c r="H32" s="121" t="n"/>
      <x:c r="I32" s="121" t="n"/>
      <x:c r="J32" s="121" t="n"/>
      <x:c r="K32" s="121" t="n"/>
      <x:c r="L32" s="121" t="n"/>
      <x:c r="M32" s="117" t="n"/>
      <x:c r="N32" s="121" t="n"/>
      <x:c r="O32" s="121" t="n"/>
      <x:c r="P32" s="121" t="n"/>
      <x:c r="Q32" s="123" t="n"/>
      <x:c r="R32" s="123" t="n"/>
      <x:c r="S32" s="121" t="n"/>
      <x:c r="T32" s="121" t="n"/>
      <x:c r="U32" s="121" t="n">
        <x:v>-0.0384615384615385</x:v>
      </x:c>
      <x:c r="V32" s="121" t="n"/>
      <x:c r="W32" s="129" t="n"/>
      <x:c r="X32" s="121" t="n"/>
      <x:c r="Y32" s="129" t="n"/>
      <x:c r="Z32" s="121" t="n"/>
      <x:c r="AA32" s="121" t="n"/>
      <x:c r="AB32" s="121" t="n"/>
      <x:c r="AC32" s="121" t="n"/>
      <x:c r="AD32" s="123" t="n"/>
      <x:c r="AE32" s="123" t="n"/>
      <x:c r="AF32" s="123" t="n"/>
      <x:c r="AG32" s="123" t="n"/>
      <x:c r="AH32" s="123" t="n"/>
      <x:c r="AI32" s="118" t="n"/>
      <x:c r="AJ32" s="123" t="n"/>
      <x:c r="AK32" s="121" t="n"/>
      <x:c r="AL32" s="123" t="n"/>
      <x:c r="AM32" s="121" t="n"/>
      <x:c r="AN32" s="123" t="n"/>
      <x:c r="AO32" s="121" t="n"/>
      <x:c r="AP32" s="121" t="n"/>
      <x:c r="AQ32" s="28" t="n"/>
      <x:c r="AR32" s="28" t="n"/>
      <x:c r="AS32" s="28" t="n"/>
    </x:row>
    <x:row r="33" s="27" customFormat="1">
      <x:c r="A33" s="125" t="n"/>
      <x:c r="B33" s="39" t="n"/>
      <x:c r="C33" s="36" t="n">
        <x:f>E33*D$5</x:f>
        <x:v>1.5384615384615439</x:v>
      </x:c>
      <x:c r="D33" s="4" t="inlineStr">
        <x:is>
          <x:t xml:space="preserve">Nolan E. Britton, Inc.</x:t>
        </x:is>
      </x:c>
      <x:c r="E33" s="36" t="n">
        <x:f>SUM(G33:HT33)</x:f>
        <x:v>0.019230769230769298</x:v>
      </x:c>
      <x:c r="F33" s="35" t="inlineStr">
        <x:is>
          <x:t xml:space="preserve"/>
        </x:is>
      </x:c>
      <x:c r="G33" s="121" t="n"/>
      <x:c r="H33" s="121" t="n"/>
      <x:c r="I33" s="121" t="n"/>
      <x:c r="J33" s="121" t="n"/>
      <x:c r="K33" s="121" t="n"/>
      <x:c r="L33" s="121" t="n"/>
      <x:c r="M33" s="121" t="n"/>
      <x:c r="N33" s="121" t="n"/>
      <x:c r="O33" s="121" t="n"/>
      <x:c r="P33" s="121" t="n"/>
      <x:c r="Q33" s="123" t="n"/>
      <x:c r="R33" s="123" t="n"/>
      <x:c r="S33" s="121" t="n"/>
      <x:c r="T33" s="121" t="n"/>
      <x:c r="U33" s="121" t="n">
        <x:v>0.0384615384615385</x:v>
      </x:c>
      <x:c r="V33" s="121" t="n">
        <x:v>-0.0192307692307692</x:v>
      </x:c>
      <x:c r="W33" s="129" t="n"/>
      <x:c r="X33" s="121" t="n"/>
      <x:c r="Y33" s="121" t="n"/>
      <x:c r="Z33" s="129" t="n"/>
      <x:c r="AA33" s="121" t="n"/>
      <x:c r="AB33" s="121" t="n"/>
      <x:c r="AC33" s="121" t="n"/>
      <x:c r="AD33" s="123" t="n"/>
      <x:c r="AE33" s="123" t="n"/>
      <x:c r="AF33" s="123" t="n"/>
      <x:c r="AG33" s="123" t="n"/>
      <x:c r="AH33" s="123" t="n"/>
      <x:c r="AI33" s="123" t="n"/>
      <x:c r="AJ33" s="123" t="n"/>
      <x:c r="AK33" s="121" t="n"/>
      <x:c r="AL33" s="123" t="n"/>
      <x:c r="AM33" s="121" t="n"/>
      <x:c r="AN33" s="123" t="n"/>
      <x:c r="AO33" s="121" t="n"/>
      <x:c r="AP33" s="121" t="n"/>
      <x:c r="AQ33" s="28" t="n"/>
      <x:c r="AR33" s="28" t="n"/>
      <x:c r="AS33" s="28" t="n"/>
    </x:row>
    <x:row r="34" s="27" customFormat="1">
      <x:c r="A34" s="125" t="n"/>
      <x:c r="B34" s="39" t="n"/>
      <x:c r="C34" s="36" t="n">
        <x:f>E34*D$5</x:f>
        <x:v>-78.46153846153847</x:v>
      </x:c>
      <x:c r="D34" s="410" t="inlineStr">
        <x:is>
          <x:t xml:space="preserve">Chinook Resources, Inc.</x:t>
        </x:is>
      </x:c>
      <x:c r="E34" s="411" t="n">
        <x:f>SUM(G34:HT34)</x:f>
        <x:v>-0.9807692307692308</x:v>
      </x:c>
      <x:c r="F34" s="35" t="inlineStr">
        <x:is>
          <x:t xml:space="preserve"/>
        </x:is>
      </x:c>
      <x:c r="G34" s="121" t="n"/>
      <x:c r="H34" s="121" t="n"/>
      <x:c r="I34" s="121" t="n"/>
      <x:c r="J34" s="121" t="n"/>
      <x:c r="K34" s="121" t="n"/>
      <x:c r="L34" s="121" t="n"/>
      <x:c r="M34" s="121" t="n"/>
      <x:c r="N34" s="121" t="n"/>
      <x:c r="O34" s="121" t="n"/>
      <x:c r="P34" s="121" t="n"/>
      <x:c r="Q34" s="123" t="n"/>
      <x:c r="R34" s="123" t="n"/>
      <x:c r="S34" s="121" t="n"/>
      <x:c r="T34" s="121" t="n"/>
      <x:c r="U34" s="121" t="n"/>
      <x:c r="V34" s="121" t="n">
        <x:v>0.0192307692307692</x:v>
      </x:c>
      <x:c r="W34" s="129" t="n"/>
      <x:c r="X34" s="121" t="n"/>
      <x:c r="Y34" s="121" t="n"/>
      <x:c r="Z34" s="121" t="n"/>
      <x:c r="AA34" s="129" t="n"/>
      <x:c r="AB34" s="121" t="n"/>
      <x:c r="AC34" s="121" t="n"/>
      <x:c r="AD34" s="121" t="n">
        <x:v>-1</x:v>
      </x:c>
      <x:c r="AE34" s="123" t="n"/>
      <x:c r="AF34" s="123" t="n"/>
      <x:c r="AG34" s="123" t="n"/>
      <x:c r="AH34" s="123" t="n"/>
      <x:c r="AI34" s="123" t="n"/>
      <x:c r="AJ34" s="123" t="n"/>
      <x:c r="AK34" s="121" t="n"/>
      <x:c r="AL34" s="123" t="n"/>
      <x:c r="AM34" s="121" t="n"/>
      <x:c r="AN34" s="123" t="n"/>
      <x:c r="AO34" s="121" t="n"/>
      <x:c r="AP34" s="121" t="n"/>
      <x:c r="AQ34" s="28" t="n"/>
      <x:c r="AR34" s="28" t="n"/>
      <x:c r="AS34" s="28" t="n"/>
    </x:row>
    <x:row r="35" s="27" customFormat="1">
      <x:c r="A35" s="125" t="n"/>
      <x:c r="B35" s="39" t="n"/>
      <x:c r="C35" s="36" t="n">
        <x:f>E35*D$5</x:f>
        <x:v>-72.8862</x:v>
      </x:c>
      <x:c r="D35" s="410" t="inlineStr">
        <x:is>
          <x:t xml:space="preserve">Leede Exploration</x:t>
        </x:is>
      </x:c>
      <x:c r="E35" s="411" t="n">
        <x:f>SUM(G35:HT35)</x:f>
        <x:v>-0.9110775</x:v>
      </x:c>
      <x:c r="F35" s="35" t="inlineStr">
        <x:is>
          <x:t xml:space="preserve"/>
        </x:is>
      </x:c>
      <x:c r="G35" s="121" t="n"/>
      <x:c r="H35" s="121" t="n"/>
      <x:c r="I35" s="121" t="n"/>
      <x:c r="J35" s="121" t="n"/>
      <x:c r="K35" s="121" t="n"/>
      <x:c r="L35" s="121" t="n"/>
      <x:c r="M35" s="121" t="n"/>
      <x:c r="N35" s="121" t="n"/>
      <x:c r="O35" s="121" t="n"/>
      <x:c r="P35" s="121" t="n"/>
      <x:c r="Q35" s="123" t="n"/>
      <x:c r="R35" s="123" t="n"/>
      <x:c r="S35" s="121" t="n"/>
      <x:c r="T35" s="121" t="n"/>
      <x:c r="U35" s="121" t="n"/>
      <x:c r="V35" s="121" t="n"/>
      <x:c r="W35" s="129" t="n">
        <x:v>0.1340625</x:v>
      </x:c>
      <x:c r="X35" s="121" t="n"/>
      <x:c r="Y35" s="121" t="n"/>
      <x:c r="Z35" s="121" t="n">
        <x:v>0.00275</x:v>
      </x:c>
      <x:c r="AA35" s="121" t="n"/>
      <x:c r="AB35" s="121" t="n">
        <x:v>-0.89</x:v>
      </x:c>
      <x:c r="AC35" s="121" t="n">
        <x:v>-0.15789</x:v>
      </x:c>
      <x:c r="AD35" s="121" t="n"/>
      <x:c r="AE35" s="123" t="n"/>
      <x:c r="AF35" s="123" t="n"/>
      <x:c r="AG35" s="123" t="n"/>
      <x:c r="AH35" s="123" t="n"/>
      <x:c r="AI35" s="123" t="n"/>
      <x:c r="AJ35" s="123" t="n"/>
      <x:c r="AK35" s="121" t="n"/>
      <x:c r="AL35" s="121" t="n"/>
      <x:c r="AM35" s="121" t="n"/>
      <x:c r="AN35" s="123" t="n"/>
      <x:c r="AO35" s="121" t="n"/>
      <x:c r="AP35" s="121" t="n"/>
      <x:c r="AQ35" s="28" t="n"/>
      <x:c r="AR35" s="28" t="n"/>
      <x:c r="AS35" s="28" t="n"/>
    </x:row>
    <x:row r="36" s="27" customFormat="1">
      <x:c r="A36" s="125" t="n"/>
      <x:c r="B36" s="39" t="n"/>
      <x:c r="C36" s="36" t="n">
        <x:f>E36*D$5</x:f>
        <x:v>-79.45</x:v>
      </x:c>
      <x:c r="D36" s="410" t="inlineStr">
        <x:is>
          <x:t xml:space="preserve">Brent L. Schooley</x:t>
        </x:is>
      </x:c>
      <x:c r="E36" s="411" t="n">
        <x:f>SUM(G36:HT36)</x:f>
        <x:v>-0.993125</x:v>
      </x:c>
      <x:c r="F36" s="35" t="inlineStr">
        <x:is>
          <x:t xml:space="preserve"/>
        </x:is>
      </x:c>
      <x:c r="G36" s="121" t="n"/>
      <x:c r="H36" s="121" t="n"/>
      <x:c r="I36" s="121" t="n"/>
      <x:c r="J36" s="121" t="n"/>
      <x:c r="K36" s="121" t="n"/>
      <x:c r="L36" s="121" t="n"/>
      <x:c r="M36" s="121" t="n"/>
      <x:c r="N36" s="121" t="n"/>
      <x:c r="O36" s="121" t="n"/>
      <x:c r="P36" s="121" t="n"/>
      <x:c r="Q36" s="123" t="n"/>
      <x:c r="R36" s="123" t="n"/>
      <x:c r="S36" s="121" t="n"/>
      <x:c r="T36" s="121" t="n"/>
      <x:c r="U36" s="121" t="n"/>
      <x:c r="V36" s="121" t="n"/>
      <x:c r="W36" s="121" t="n"/>
      <x:c r="X36" s="121" t="n">
        <x:v>0.006875</x:v>
      </x:c>
      <x:c r="Y36" s="121" t="n"/>
      <x:c r="Z36" s="121" t="n"/>
      <x:c r="AA36" s="121" t="n"/>
      <x:c r="AB36" s="121" t="n"/>
      <x:c r="AC36" s="121" t="n"/>
      <x:c r="AD36" s="121" t="n"/>
      <x:c r="AE36" s="123" t="n"/>
      <x:c r="AF36" s="124" t="n"/>
      <x:c r="AG36" s="123" t="n"/>
      <x:c r="AH36" s="123" t="n">
        <x:v>-1</x:v>
      </x:c>
      <x:c r="AI36" s="123" t="n"/>
      <x:c r="AJ36" s="123" t="n"/>
      <x:c r="AK36" s="121" t="n"/>
      <x:c r="AL36" s="123" t="n"/>
      <x:c r="AM36" s="121" t="n"/>
      <x:c r="AN36" s="124" t="n"/>
      <x:c r="AO36" s="121" t="n"/>
      <x:c r="AP36" s="121" t="n"/>
      <x:c r="AQ36" s="28" t="n"/>
      <x:c r="AR36" s="28" t="n"/>
      <x:c r="AS36" s="28" t="n"/>
    </x:row>
    <x:row r="37" s="27" customFormat="1" ht="24" customHeight="1">
      <x:c r="A37" s="125" t="n"/>
      <x:c r="B37" s="39" t="n"/>
      <x:c r="C37" s="86" t="n">
        <x:f>E37*D$5</x:f>
        <x:v>12.307692307692319</x:v>
      </x:c>
      <x:c r="D37" s="103" t="inlineStr">
        <x:is>
          <x:t xml:space="preserve">Sorenson Oil &amp; Gas Trust, Michelle Sorenson Johnson, Trustee, Marchelle Sorenson Uaigle, Trustee</x:t>
        </x:is>
      </x:c>
      <x:c r="E37" s="86" t="n">
        <x:f>SUM(G37:HY37)</x:f>
        <x:v>0.153846153846154</x:v>
      </x:c>
      <x:c r="F37" s="35" t="inlineStr">
        <x:is>
          <x:t xml:space="preserve"/>
        </x:is>
      </x:c>
      <x:c r="G37" s="121" t="n"/>
      <x:c r="H37" s="122" t="n"/>
      <x:c r="I37" s="121" t="n"/>
      <x:c r="J37" s="122" t="n"/>
      <x:c r="K37" s="122" t="n"/>
      <x:c r="L37" s="123" t="n"/>
      <x:c r="M37" s="123" t="n"/>
      <x:c r="N37" s="123" t="n"/>
      <x:c r="O37" s="123" t="n"/>
      <x:c r="P37" s="123" t="n"/>
      <x:c r="Q37" s="123" t="n"/>
      <x:c r="R37" s="123" t="n"/>
      <x:c r="S37" s="123" t="n"/>
      <x:c r="T37" s="123" t="n"/>
      <x:c r="U37" s="123" t="n"/>
      <x:c r="V37" s="123" t="n"/>
      <x:c r="W37" s="123" t="n"/>
      <x:c r="X37" s="123" t="n"/>
      <x:c r="Y37" s="121" t="n">
        <x:v>0.153846153846154</x:v>
      </x:c>
      <x:c r="Z37" s="123" t="n"/>
      <x:c r="AA37" s="123" t="n"/>
      <x:c r="AB37" s="123" t="n"/>
      <x:c r="AC37" s="123" t="n"/>
      <x:c r="AD37" s="121" t="n"/>
      <x:c r="AE37" s="123" t="n"/>
      <x:c r="AF37" s="124" t="n"/>
      <x:c r="AG37" s="124" t="n"/>
      <x:c r="AH37" s="124" t="n"/>
      <x:c r="AI37" s="123" t="n"/>
      <x:c r="AJ37" s="123" t="n"/>
      <x:c r="AK37" s="123" t="n"/>
      <x:c r="AL37" s="121" t="n"/>
      <x:c r="AM37" s="123" t="n"/>
      <x:c r="AN37" s="123" t="n"/>
      <x:c r="AO37" s="123" t="n"/>
      <x:c r="AP37" s="123" t="n"/>
      <x:c r="AQ37" s="100" t="n"/>
      <x:c r="AR37" s="100" t="n"/>
      <x:c r="AS37" s="100" t="n"/>
      <x:c r="AT37" s="100" t="n"/>
      <x:c r="AU37" s="100" t="n"/>
      <x:c r="AV37" s="100" t="n"/>
      <x:c r="AW37" s="100" t="n"/>
      <x:c r="AX37" s="100" t="n"/>
      <x:c r="AY37" s="100" t="n"/>
      <x:c r="AZ37" s="100" t="n"/>
      <x:c r="BA37" s="100" t="n"/>
      <x:c r="BB37" s="100" t="n"/>
      <x:c r="BC37" s="100" t="n"/>
      <x:c r="BD37" s="100" t="n"/>
      <x:c r="BE37" s="100" t="n"/>
      <x:c r="BF37" s="100" t="n"/>
      <x:c r="BG37" s="100" t="n"/>
      <x:c r="BH37" s="100" t="n"/>
      <x:c r="BI37" s="100" t="n"/>
      <x:c r="BJ37" s="100" t="n"/>
      <x:c r="BK37" s="100" t="n"/>
      <x:c r="BL37" s="100" t="n"/>
      <x:c r="BM37" s="100" t="n"/>
      <x:c r="BN37" s="100" t="n"/>
      <x:c r="BO37" s="100" t="n"/>
      <x:c r="BP37" s="100" t="n"/>
      <x:c r="BQ37" s="100" t="n"/>
      <x:c r="BR37" s="100" t="n"/>
      <x:c r="BS37" s="100" t="n"/>
      <x:c r="BT37" s="100" t="n"/>
      <x:c r="BU37" s="100" t="n"/>
      <x:c r="BV37" s="100" t="n"/>
      <x:c r="BW37" s="100" t="n"/>
      <x:c r="BX37" s="100" t="n"/>
      <x:c r="BY37" s="100" t="n"/>
      <x:c r="BZ37" s="100" t="n"/>
      <x:c r="CA37" s="100" t="n"/>
      <x:c r="CB37" s="100" t="n"/>
      <x:c r="CC37" s="100" t="n"/>
      <x:c r="CD37" s="100" t="n"/>
      <x:c r="CE37" s="100" t="n"/>
      <x:c r="CF37" s="100" t="n"/>
      <x:c r="CG37" s="100" t="n"/>
      <x:c r="CH37" s="100" t="n"/>
      <x:c r="CI37" s="100" t="n"/>
      <x:c r="CJ37" s="100" t="n"/>
      <x:c r="CK37" s="100" t="n"/>
      <x:c r="CL37" s="100" t="n"/>
      <x:c r="CM37" s="100" t="n"/>
      <x:c r="CN37" s="100" t="n"/>
      <x:c r="CO37" s="100" t="n"/>
      <x:c r="CP37" s="100" t="n"/>
      <x:c r="CQ37" s="100" t="n"/>
      <x:c r="CR37" s="100" t="n"/>
      <x:c r="CS37" s="100" t="n"/>
      <x:c r="CT37" s="100" t="n"/>
      <x:c r="CU37" s="100" t="n"/>
      <x:c r="CV37" s="100" t="n"/>
      <x:c r="CW37" s="100" t="n"/>
      <x:c r="CX37" s="100" t="n"/>
      <x:c r="CY37" s="100" t="n"/>
      <x:c r="CZ37" s="100" t="n"/>
      <x:c r="DA37" s="100" t="n"/>
      <x:c r="DB37" s="100" t="n"/>
      <x:c r="DC37" s="100" t="n"/>
      <x:c r="DD37" s="100" t="n"/>
      <x:c r="DE37" s="100" t="n"/>
      <x:c r="DF37" s="100" t="n"/>
      <x:c r="DG37" s="100" t="n"/>
      <x:c r="DH37" s="100" t="n"/>
      <x:c r="DI37" s="100" t="n"/>
      <x:c r="DJ37" s="100" t="n"/>
      <x:c r="DK37" s="100" t="n"/>
      <x:c r="DL37" s="100" t="n"/>
      <x:c r="DM37" s="100" t="n"/>
      <x:c r="DN37" s="100" t="n"/>
      <x:c r="DO37" s="100" t="n"/>
      <x:c r="DP37" s="100" t="n"/>
      <x:c r="DQ37" s="100" t="n"/>
      <x:c r="DR37" s="100" t="n"/>
      <x:c r="DS37" s="100" t="n"/>
      <x:c r="DT37" s="100" t="n"/>
      <x:c r="DU37" s="100" t="n"/>
      <x:c r="DV37" s="100" t="n"/>
      <x:c r="DW37" s="100" t="n"/>
      <x:c r="DX37" s="100" t="n"/>
      <x:c r="DY37" s="100" t="n"/>
      <x:c r="DZ37" s="100" t="n"/>
      <x:c r="EA37" s="100" t="n"/>
      <x:c r="EB37" s="100" t="n"/>
      <x:c r="EC37" s="100" t="n"/>
      <x:c r="ED37" s="100" t="n"/>
      <x:c r="EE37" s="100" t="n"/>
      <x:c r="EF37" s="100" t="n"/>
      <x:c r="EG37" s="100" t="n"/>
      <x:c r="EH37" s="100" t="n"/>
      <x:c r="EI37" s="100" t="n"/>
      <x:c r="EJ37" s="100" t="n"/>
      <x:c r="EK37" s="100" t="n"/>
      <x:c r="EL37" s="100" t="n"/>
      <x:c r="EM37" s="100" t="n"/>
      <x:c r="EN37" s="100" t="n"/>
      <x:c r="EO37" s="100" t="n"/>
      <x:c r="EP37" s="100" t="n"/>
      <x:c r="EQ37" s="100" t="n"/>
      <x:c r="ER37" s="100" t="n"/>
      <x:c r="ES37" s="100" t="n"/>
      <x:c r="ET37" s="100" t="n"/>
      <x:c r="EU37" s="100" t="n"/>
      <x:c r="EV37" s="100" t="n"/>
      <x:c r="EW37" s="100" t="n"/>
      <x:c r="EX37" s="100" t="n"/>
      <x:c r="EY37" s="100" t="n"/>
      <x:c r="EZ37" s="100" t="n"/>
      <x:c r="FA37" s="100" t="n"/>
      <x:c r="FB37" s="100" t="n"/>
      <x:c r="FC37" s="100" t="n"/>
      <x:c r="FD37" s="100" t="n"/>
      <x:c r="FE37" s="100" t="n"/>
      <x:c r="FF37" s="100" t="n"/>
      <x:c r="FG37" s="100" t="n"/>
      <x:c r="FH37" s="100" t="n"/>
      <x:c r="FI37" s="100" t="n"/>
      <x:c r="FJ37" s="100" t="n"/>
      <x:c r="FK37" s="100" t="n"/>
      <x:c r="FL37" s="100" t="n"/>
      <x:c r="FM37" s="100" t="n"/>
      <x:c r="FN37" s="100" t="n"/>
      <x:c r="FO37" s="100" t="n"/>
      <x:c r="FP37" s="100" t="n"/>
      <x:c r="FQ37" s="100" t="n"/>
      <x:c r="FR37" s="100" t="n"/>
      <x:c r="FS37" s="100" t="n"/>
      <x:c r="FT37" s="100" t="n"/>
      <x:c r="FU37" s="100" t="n"/>
      <x:c r="FV37" s="100" t="n"/>
      <x:c r="FW37" s="100" t="n"/>
      <x:c r="FX37" s="100" t="n"/>
      <x:c r="FY37" s="100" t="n"/>
      <x:c r="FZ37" s="100" t="n"/>
      <x:c r="GA37" s="100" t="n"/>
      <x:c r="GB37" s="100" t="n"/>
      <x:c r="GC37" s="100" t="n"/>
      <x:c r="GD37" s="100" t="n"/>
      <x:c r="GE37" s="100" t="n"/>
    </x:row>
    <x:row r="38" s="27" customFormat="1">
      <x:c r="A38" s="125" t="n"/>
      <x:c r="B38" s="39" t="n"/>
      <x:c r="C38" s="36" t="n">
        <x:f>E38*D$5</x:f>
        <x:v>0</x:v>
      </x:c>
      <x:c r="D38" s="4" t="inlineStr">
        <x:is>
          <x:t xml:space="preserve">Margie Ann Kirk</x:t>
        </x:is>
      </x:c>
      <x:c r="E38" s="36" t="n">
        <x:f>SUM(G38:HT38)</x:f>
        <x:v>0</x:v>
      </x:c>
      <x:c r="F38" s="35" t="inlineStr">
        <x:is>
          <x:t xml:space="preserve"/>
        </x:is>
      </x:c>
      <x:c r="G38" s="121" t="n"/>
      <x:c r="H38" s="121" t="n"/>
      <x:c r="I38" s="121" t="n"/>
      <x:c r="J38" s="121" t="n"/>
      <x:c r="K38" s="121" t="n"/>
      <x:c r="L38" s="121" t="n"/>
      <x:c r="M38" s="121" t="n"/>
      <x:c r="N38" s="121" t="n"/>
      <x:c r="O38" s="121" t="n"/>
      <x:c r="P38" s="121" t="n"/>
      <x:c r="Q38" s="123" t="n"/>
      <x:c r="R38" s="123" t="n"/>
      <x:c r="S38" s="121" t="n"/>
      <x:c r="T38" s="121" t="n"/>
      <x:c r="U38" s="121" t="n"/>
      <x:c r="V38" s="121" t="n"/>
      <x:c r="W38" s="121" t="n"/>
      <x:c r="X38" s="121" t="n"/>
      <x:c r="Y38" s="121" t="n"/>
      <x:c r="Z38" s="121" t="n"/>
      <x:c r="AA38" s="121" t="n"/>
      <x:c r="AB38" s="121" t="n"/>
      <x:c r="AC38" s="121" t="n"/>
      <x:c r="AD38" s="121" t="n"/>
      <x:c r="AE38" s="123" t="n"/>
      <x:c r="AF38" s="124" t="n"/>
      <x:c r="AG38" s="124" t="n"/>
      <x:c r="AH38" s="123" t="n"/>
      <x:c r="AI38" s="123" t="n"/>
      <x:c r="AJ38" s="124" t="n"/>
      <x:c r="AK38" s="121" t="n"/>
      <x:c r="AL38" s="121" t="n"/>
      <x:c r="AM38" s="121" t="n"/>
      <x:c r="AN38" s="124" t="n"/>
      <x:c r="AO38" s="121" t="n"/>
      <x:c r="AP38" s="121" t="n"/>
      <x:c r="AQ38" s="28" t="n"/>
      <x:c r="AR38" s="28" t="n"/>
      <x:c r="AS38" s="28" t="n"/>
    </x:row>
    <x:row r="39" s="27" customFormat="1">
      <x:c r="A39" s="125" t="n"/>
      <x:c r="B39" s="39" t="n"/>
      <x:c r="C39" s="36" t="n">
        <x:f>E39*D$5</x:f>
        <x:v>0</x:v>
      </x:c>
      <x:c r="D39" s="103" t="inlineStr">
        <x:is>
          <x:t xml:space="preserve">Eddie Tom Lakey</x:t>
        </x:is>
      </x:c>
      <x:c r="E39" s="36" t="n">
        <x:f>SUM(G39:HH39)</x:f>
        <x:v>0</x:v>
      </x:c>
      <x:c r="F39" s="35" t="inlineStr">
        <x:is>
          <x:t xml:space="preserve"/>
        </x:is>
      </x:c>
      <x:c r="G39" s="121" t="n"/>
      <x:c r="H39" s="122" t="n"/>
      <x:c r="I39" s="122" t="n"/>
      <x:c r="J39" s="122" t="n"/>
      <x:c r="K39" s="122" t="n"/>
      <x:c r="L39" s="123" t="n"/>
      <x:c r="M39" s="123" t="n"/>
      <x:c r="N39" s="123" t="n"/>
      <x:c r="O39" s="123" t="n"/>
      <x:c r="P39" s="123" t="n"/>
      <x:c r="Q39" s="123" t="n"/>
      <x:c r="R39" s="123" t="n"/>
      <x:c r="S39" s="123" t="n"/>
      <x:c r="T39" s="123" t="n"/>
      <x:c r="U39" s="123" t="n"/>
      <x:c r="V39" s="123" t="n"/>
      <x:c r="W39" s="123" t="n"/>
      <x:c r="X39" s="123" t="n"/>
      <x:c r="Y39" s="123" t="n"/>
      <x:c r="Z39" s="123" t="n"/>
      <x:c r="AA39" s="123" t="n"/>
      <x:c r="AB39" s="123" t="n"/>
      <x:c r="AC39" s="123" t="n"/>
      <x:c r="AD39" s="123" t="n"/>
      <x:c r="AE39" s="123" t="n"/>
      <x:c r="AF39" s="124" t="n"/>
      <x:c r="AG39" s="124" t="n"/>
      <x:c r="AH39" s="124" t="n"/>
      <x:c r="AI39" s="123" t="n"/>
      <x:c r="AJ39" s="123" t="n"/>
      <x:c r="AK39" s="123" t="n"/>
      <x:c r="AL39" s="123" t="n"/>
      <x:c r="AM39" s="123" t="n"/>
      <x:c r="AN39" s="123" t="n"/>
      <x:c r="AO39" s="123" t="n"/>
      <x:c r="AP39" s="123" t="n"/>
      <x:c r="AQ39" s="100" t="n"/>
      <x:c r="AR39" s="100" t="n"/>
      <x:c r="AS39" s="100" t="n"/>
      <x:c r="AT39" s="100" t="n"/>
      <x:c r="AU39" s="100" t="n"/>
      <x:c r="AV39" s="100" t="n"/>
      <x:c r="AW39" s="100" t="n"/>
      <x:c r="AX39" s="100" t="n"/>
      <x:c r="AY39" s="100" t="n"/>
      <x:c r="AZ39" s="100" t="n"/>
      <x:c r="BA39" s="100" t="n"/>
      <x:c r="BB39" s="100" t="n"/>
      <x:c r="BC39" s="100" t="n"/>
      <x:c r="BD39" s="100" t="n"/>
      <x:c r="BE39" s="100" t="n"/>
      <x:c r="BF39" s="100" t="n"/>
      <x:c r="BG39" s="100" t="n"/>
      <x:c r="BH39" s="100" t="n"/>
      <x:c r="BI39" s="100" t="n"/>
      <x:c r="BJ39" s="100" t="n"/>
      <x:c r="BK39" s="100" t="n"/>
      <x:c r="BL39" s="100" t="n"/>
      <x:c r="BM39" s="100" t="n"/>
      <x:c r="BN39" s="100" t="n"/>
      <x:c r="BO39" s="100" t="n"/>
      <x:c r="BP39" s="100" t="n"/>
      <x:c r="BQ39" s="100" t="n"/>
      <x:c r="BR39" s="100" t="n"/>
      <x:c r="BS39" s="100" t="n"/>
      <x:c r="BT39" s="100" t="n"/>
      <x:c r="BU39" s="100" t="n"/>
      <x:c r="BV39" s="100" t="n"/>
      <x:c r="BW39" s="100" t="n"/>
      <x:c r="BX39" s="100" t="n"/>
      <x:c r="BY39" s="100" t="n"/>
      <x:c r="BZ39" s="100" t="n"/>
      <x:c r="CA39" s="100" t="n"/>
      <x:c r="CB39" s="100" t="n"/>
      <x:c r="CC39" s="100" t="n"/>
      <x:c r="CD39" s="100" t="n"/>
      <x:c r="CE39" s="100" t="n"/>
      <x:c r="CF39" s="100" t="n"/>
      <x:c r="CG39" s="100" t="n"/>
      <x:c r="CH39" s="100" t="n"/>
      <x:c r="CI39" s="100" t="n"/>
      <x:c r="CJ39" s="100" t="n"/>
      <x:c r="CK39" s="100" t="n"/>
      <x:c r="CL39" s="100" t="n"/>
      <x:c r="CM39" s="100" t="n"/>
      <x:c r="CN39" s="100" t="n"/>
      <x:c r="CO39" s="100" t="n"/>
      <x:c r="CP39" s="100" t="n"/>
      <x:c r="CQ39" s="100" t="n"/>
      <x:c r="CR39" s="100" t="n"/>
      <x:c r="CS39" s="100" t="n"/>
      <x:c r="CT39" s="100" t="n"/>
      <x:c r="CU39" s="100" t="n"/>
      <x:c r="CV39" s="100" t="n"/>
      <x:c r="CW39" s="100" t="n"/>
      <x:c r="CX39" s="100" t="n"/>
      <x:c r="CY39" s="100" t="n"/>
      <x:c r="CZ39" s="100" t="n"/>
      <x:c r="DA39" s="100" t="n"/>
      <x:c r="DB39" s="100" t="n"/>
      <x:c r="DC39" s="100" t="n"/>
      <x:c r="DD39" s="100" t="n"/>
      <x:c r="DE39" s="100" t="n"/>
      <x:c r="DF39" s="100" t="n"/>
      <x:c r="DG39" s="100" t="n"/>
      <x:c r="DH39" s="100" t="n"/>
      <x:c r="DI39" s="100" t="n"/>
      <x:c r="DJ39" s="100" t="n"/>
      <x:c r="DK39" s="100" t="n"/>
      <x:c r="DL39" s="100" t="n"/>
      <x:c r="DM39" s="100" t="n"/>
      <x:c r="DN39" s="100" t="n"/>
      <x:c r="DO39" s="100" t="n"/>
      <x:c r="DP39" s="100" t="n"/>
      <x:c r="DQ39" s="100" t="n"/>
      <x:c r="DR39" s="100" t="n"/>
      <x:c r="DS39" s="100" t="n"/>
      <x:c r="DT39" s="100" t="n"/>
      <x:c r="DU39" s="100" t="n"/>
      <x:c r="DV39" s="100" t="n"/>
      <x:c r="DW39" s="100" t="n"/>
      <x:c r="DX39" s="100" t="n"/>
      <x:c r="DY39" s="100" t="n"/>
      <x:c r="DZ39" s="100" t="n"/>
      <x:c r="EA39" s="100" t="n"/>
      <x:c r="EB39" s="100" t="n"/>
      <x:c r="EC39" s="100" t="n"/>
      <x:c r="ED39" s="100" t="n"/>
      <x:c r="EE39" s="100" t="n"/>
      <x:c r="EF39" s="100" t="n"/>
      <x:c r="EG39" s="100" t="n"/>
      <x:c r="EH39" s="100" t="n"/>
      <x:c r="EI39" s="100" t="n"/>
      <x:c r="EJ39" s="100" t="n"/>
      <x:c r="EK39" s="100" t="n"/>
      <x:c r="EL39" s="100" t="n"/>
      <x:c r="EM39" s="100" t="n"/>
      <x:c r="EN39" s="100" t="n"/>
      <x:c r="EO39" s="100" t="n"/>
      <x:c r="EP39" s="100" t="n"/>
      <x:c r="EQ39" s="100" t="n"/>
      <x:c r="ER39" s="100" t="n"/>
      <x:c r="ES39" s="100" t="n"/>
      <x:c r="ET39" s="100" t="n"/>
      <x:c r="EU39" s="100" t="n"/>
      <x:c r="EV39" s="100" t="n"/>
      <x:c r="EW39" s="100" t="n"/>
      <x:c r="EX39" s="100" t="n"/>
      <x:c r="EY39" s="100" t="n"/>
      <x:c r="EZ39" s="100" t="n"/>
      <x:c r="FA39" s="100" t="n"/>
      <x:c r="FB39" s="100" t="n"/>
      <x:c r="FC39" s="100" t="n"/>
      <x:c r="FD39" s="100" t="n"/>
      <x:c r="FE39" s="100" t="n"/>
      <x:c r="FF39" s="100" t="n"/>
      <x:c r="FG39" s="100" t="n"/>
      <x:c r="FH39" s="100" t="n"/>
      <x:c r="FI39" s="100" t="n"/>
      <x:c r="FJ39" s="100" t="n"/>
      <x:c r="FK39" s="100" t="n"/>
      <x:c r="FL39" s="100" t="n"/>
      <x:c r="FM39" s="100" t="n"/>
      <x:c r="FN39" s="100" t="n"/>
    </x:row>
    <x:row r="40" s="27" customFormat="1">
      <x:c r="A40" s="125" t="n"/>
      <x:c r="B40" s="39" t="n"/>
      <x:c r="C40" s="86" t="n">
        <x:f>E40*D$5</x:f>
        <x:v>0</x:v>
      </x:c>
      <x:c r="D40" s="103" t="inlineStr">
        <x:is>
          <x:t xml:space="preserve">Confirm — Missing conveyed interest 1982-007158</x:t>
        </x:is>
      </x:c>
      <x:c r="E40" s="86" t="n">
        <x:f>SUM(G40:HH40)</x:f>
        <x:v>0</x:v>
      </x:c>
      <x:c r="F40" s="35" t="inlineStr">
        <x:is>
          <x:t xml:space="preserve"/>
        </x:is>
      </x:c>
      <x:c r="G40" s="121" t="n"/>
      <x:c r="H40" s="122" t="n"/>
      <x:c r="I40" s="122" t="n"/>
      <x:c r="J40" s="122" t="n"/>
      <x:c r="K40" s="122" t="n"/>
      <x:c r="L40" s="123" t="n"/>
      <x:c r="M40" s="123" t="n"/>
      <x:c r="N40" s="123" t="n"/>
      <x:c r="O40" s="123" t="n"/>
      <x:c r="P40" s="123" t="n"/>
      <x:c r="Q40" s="123" t="n"/>
      <x:c r="R40" s="123" t="n"/>
      <x:c r="S40" s="123" t="n"/>
      <x:c r="T40" s="123" t="n"/>
      <x:c r="U40" s="123" t="n"/>
      <x:c r="V40" s="123" t="n"/>
      <x:c r="W40" s="123" t="n"/>
      <x:c r="X40" s="123" t="n"/>
      <x:c r="Y40" s="123" t="n"/>
      <x:c r="Z40" s="123" t="n"/>
      <x:c r="AA40" s="123" t="n"/>
      <x:c r="AB40" s="123" t="n"/>
      <x:c r="AC40" s="123" t="n"/>
      <x:c r="AD40" s="123" t="n"/>
      <x:c r="AE40" s="123" t="n"/>
      <x:c r="AF40" s="123" t="n"/>
      <x:c r="AG40" s="124" t="n"/>
      <x:c r="AH40" s="123" t="n"/>
      <x:c r="AI40" s="123" t="n"/>
      <x:c r="AJ40" s="124" t="n"/>
      <x:c r="AK40" s="123" t="n"/>
      <x:c r="AL40" s="123" t="n"/>
      <x:c r="AM40" s="123" t="n"/>
      <x:c r="AN40" s="123" t="n"/>
      <x:c r="AO40" s="123" t="n"/>
      <x:c r="AP40" s="123" t="n"/>
      <x:c r="AQ40" s="100" t="n"/>
      <x:c r="AR40" s="100" t="n"/>
      <x:c r="AS40" s="100" t="n"/>
      <x:c r="AT40" s="100" t="n"/>
      <x:c r="AU40" s="100" t="n"/>
      <x:c r="AV40" s="100" t="n"/>
      <x:c r="AW40" s="100" t="n"/>
      <x:c r="AX40" s="100" t="n"/>
      <x:c r="AY40" s="100" t="n"/>
      <x:c r="AZ40" s="100" t="n"/>
      <x:c r="BA40" s="100" t="n"/>
      <x:c r="BB40" s="100" t="n"/>
      <x:c r="BC40" s="100" t="n"/>
      <x:c r="BD40" s="100" t="n"/>
      <x:c r="BE40" s="100" t="n"/>
      <x:c r="BF40" s="100" t="n"/>
      <x:c r="BG40" s="100" t="n"/>
      <x:c r="BH40" s="100" t="n"/>
      <x:c r="BI40" s="100" t="n"/>
      <x:c r="BJ40" s="100" t="n"/>
      <x:c r="BK40" s="100" t="n"/>
      <x:c r="BL40" s="100" t="n"/>
      <x:c r="BM40" s="100" t="n"/>
      <x:c r="BN40" s="100" t="n"/>
      <x:c r="BO40" s="100" t="n"/>
      <x:c r="BP40" s="100" t="n"/>
      <x:c r="BQ40" s="100" t="n"/>
      <x:c r="BR40" s="100" t="n"/>
      <x:c r="BS40" s="100" t="n"/>
      <x:c r="BT40" s="100" t="n"/>
      <x:c r="BU40" s="100" t="n"/>
      <x:c r="BV40" s="100" t="n"/>
      <x:c r="BW40" s="100" t="n"/>
      <x:c r="BX40" s="100" t="n"/>
      <x:c r="BY40" s="100" t="n"/>
      <x:c r="BZ40" s="100" t="n"/>
      <x:c r="CA40" s="100" t="n"/>
      <x:c r="CB40" s="100" t="n"/>
      <x:c r="CC40" s="100" t="n"/>
      <x:c r="CD40" s="100" t="n"/>
      <x:c r="CE40" s="100" t="n"/>
      <x:c r="CF40" s="100" t="n"/>
      <x:c r="CG40" s="100" t="n"/>
      <x:c r="CH40" s="100" t="n"/>
      <x:c r="CI40" s="100" t="n"/>
      <x:c r="CJ40" s="100" t="n"/>
      <x:c r="CK40" s="100" t="n"/>
      <x:c r="CL40" s="100" t="n"/>
      <x:c r="CM40" s="100" t="n"/>
      <x:c r="CN40" s="100" t="n"/>
      <x:c r="CO40" s="100" t="n"/>
      <x:c r="CP40" s="100" t="n"/>
      <x:c r="CQ40" s="100" t="n"/>
      <x:c r="CR40" s="100" t="n"/>
      <x:c r="CS40" s="100" t="n"/>
      <x:c r="CT40" s="100" t="n"/>
      <x:c r="CU40" s="100" t="n"/>
      <x:c r="CV40" s="100" t="n"/>
      <x:c r="CW40" s="100" t="n"/>
      <x:c r="CX40" s="100" t="n"/>
      <x:c r="CY40" s="100" t="n"/>
      <x:c r="CZ40" s="100" t="n"/>
      <x:c r="DA40" s="100" t="n"/>
      <x:c r="DB40" s="100" t="n"/>
      <x:c r="DC40" s="100" t="n"/>
      <x:c r="DD40" s="100" t="n"/>
      <x:c r="DE40" s="100" t="n"/>
      <x:c r="DF40" s="100" t="n"/>
      <x:c r="DG40" s="100" t="n"/>
      <x:c r="DH40" s="100" t="n"/>
      <x:c r="DI40" s="100" t="n"/>
      <x:c r="DJ40" s="100" t="n"/>
      <x:c r="DK40" s="100" t="n"/>
      <x:c r="DL40" s="100" t="n"/>
      <x:c r="DM40" s="100" t="n"/>
      <x:c r="DN40" s="100" t="n"/>
      <x:c r="DO40" s="100" t="n"/>
      <x:c r="DP40" s="100" t="n"/>
      <x:c r="DQ40" s="100" t="n"/>
      <x:c r="DR40" s="100" t="n"/>
      <x:c r="DS40" s="100" t="n"/>
      <x:c r="DT40" s="100" t="n"/>
      <x:c r="DU40" s="100" t="n"/>
      <x:c r="DV40" s="100" t="n"/>
      <x:c r="DW40" s="100" t="n"/>
      <x:c r="DX40" s="100" t="n"/>
      <x:c r="DY40" s="100" t="n"/>
      <x:c r="DZ40" s="100" t="n"/>
      <x:c r="EA40" s="100" t="n"/>
      <x:c r="EB40" s="100" t="n"/>
      <x:c r="EC40" s="100" t="n"/>
      <x:c r="ED40" s="100" t="n"/>
      <x:c r="EE40" s="100" t="n"/>
      <x:c r="EF40" s="100" t="n"/>
      <x:c r="EG40" s="100" t="n"/>
      <x:c r="EH40" s="100" t="n"/>
      <x:c r="EI40" s="100" t="n"/>
      <x:c r="EJ40" s="100" t="n"/>
      <x:c r="EK40" s="100" t="n"/>
      <x:c r="EL40" s="100" t="n"/>
      <x:c r="EM40" s="100" t="n"/>
      <x:c r="EN40" s="100" t="n"/>
      <x:c r="EO40" s="100" t="n"/>
      <x:c r="EP40" s="100" t="n"/>
      <x:c r="EQ40" s="100" t="n"/>
      <x:c r="ER40" s="100" t="n"/>
      <x:c r="ES40" s="100" t="n"/>
      <x:c r="ET40" s="100" t="n"/>
      <x:c r="EU40" s="100" t="n"/>
      <x:c r="EV40" s="100" t="n"/>
      <x:c r="EW40" s="100" t="n"/>
      <x:c r="EX40" s="100" t="n"/>
      <x:c r="EY40" s="100" t="n"/>
      <x:c r="EZ40" s="100" t="n"/>
      <x:c r="FA40" s="100" t="n"/>
      <x:c r="FB40" s="100" t="n"/>
      <x:c r="FC40" s="100" t="n"/>
      <x:c r="FD40" s="100" t="n"/>
      <x:c r="FE40" s="100" t="n"/>
      <x:c r="FF40" s="100" t="n"/>
      <x:c r="FG40" s="100" t="n"/>
      <x:c r="FH40" s="100" t="n"/>
      <x:c r="FI40" s="100" t="n"/>
      <x:c r="FJ40" s="100" t="n"/>
      <x:c r="FK40" s="100" t="n"/>
      <x:c r="FL40" s="100" t="n"/>
      <x:c r="FM40" s="100" t="n"/>
      <x:c r="FN40" s="100" t="n"/>
    </x:row>
    <x:row r="41" s="27" customFormat="1">
      <x:c r="A41" s="125" t="n"/>
      <x:c r="B41" s="39" t="n"/>
      <x:c r="C41" s="36" t="n">
        <x:f>E41*D$5</x:f>
        <x:v>-8.799999999999999</x:v>
      </x:c>
      <x:c r="D41" s="421" t="inlineStr">
        <x:is>
          <x:t xml:space="preserve">O. I. L. Energy, Inc.</x:t>
        </x:is>
      </x:c>
      <x:c r="E41" s="411" t="n">
        <x:f>SUM(G41:HH41)</x:f>
        <x:v>-0.10999999999999999</x:v>
      </x:c>
      <x:c r="F41" s="35" t="inlineStr">
        <x:is>
          <x:t xml:space="preserve"/>
        </x:is>
      </x:c>
      <x:c r="G41" s="121" t="n"/>
      <x:c r="H41" s="122" t="n"/>
      <x:c r="I41" s="122" t="n"/>
      <x:c r="J41" s="122" t="n"/>
      <x:c r="K41" s="122" t="n"/>
      <x:c r="L41" s="123" t="n"/>
      <x:c r="M41" s="123" t="n"/>
      <x:c r="N41" s="123" t="n"/>
      <x:c r="O41" s="123" t="n"/>
      <x:c r="P41" s="123" t="n"/>
      <x:c r="Q41" s="123" t="n"/>
      <x:c r="R41" s="123" t="n"/>
      <x:c r="S41" s="123" t="n"/>
      <x:c r="T41" s="123" t="n"/>
      <x:c r="U41" s="123" t="n"/>
      <x:c r="V41" s="123" t="n"/>
      <x:c r="W41" s="123" t="n"/>
      <x:c r="X41" s="123" t="n"/>
      <x:c r="Y41" s="123" t="n"/>
      <x:c r="Z41" s="123" t="n"/>
      <x:c r="AA41" s="123" t="n"/>
      <x:c r="AB41" s="123" t="n">
        <x:v>0.89</x:v>
      </x:c>
      <x:c r="AC41" s="123" t="n"/>
      <x:c r="AD41" s="123" t="n"/>
      <x:c r="AE41" s="123" t="n"/>
      <x:c r="AF41" s="123" t="n">
        <x:v>-1</x:v>
      </x:c>
      <x:c r="AG41" s="123" t="n"/>
      <x:c r="AH41" s="124" t="n"/>
      <x:c r="AI41" s="124" t="n"/>
      <x:c r="AJ41" s="123" t="n"/>
      <x:c r="AK41" s="123" t="n"/>
      <x:c r="AL41" s="123" t="n"/>
      <x:c r="AM41" s="123" t="n"/>
      <x:c r="AN41" s="123" t="n"/>
      <x:c r="AO41" s="123" t="n"/>
      <x:c r="AP41" s="123" t="n"/>
      <x:c r="AQ41" s="100" t="n"/>
      <x:c r="AR41" s="100" t="n"/>
      <x:c r="AS41" s="100" t="n"/>
      <x:c r="AT41" s="100" t="n"/>
      <x:c r="AU41" s="100" t="n"/>
      <x:c r="AV41" s="100" t="n"/>
      <x:c r="AW41" s="100" t="n"/>
      <x:c r="AX41" s="100" t="n"/>
      <x:c r="AY41" s="100" t="n"/>
      <x:c r="AZ41" s="100" t="n"/>
      <x:c r="BA41" s="100" t="n"/>
      <x:c r="BB41" s="100" t="n"/>
      <x:c r="BC41" s="100" t="n"/>
      <x:c r="BD41" s="100" t="n"/>
      <x:c r="BE41" s="100" t="n"/>
      <x:c r="BF41" s="100" t="n"/>
      <x:c r="BG41" s="100" t="n"/>
      <x:c r="BH41" s="100" t="n"/>
      <x:c r="BI41" s="100" t="n"/>
      <x:c r="BJ41" s="100" t="n"/>
      <x:c r="BK41" s="100" t="n"/>
      <x:c r="BL41" s="100" t="n"/>
      <x:c r="BM41" s="100" t="n"/>
      <x:c r="BN41" s="100" t="n"/>
      <x:c r="BO41" s="100" t="n"/>
      <x:c r="BP41" s="100" t="n"/>
      <x:c r="BQ41" s="100" t="n"/>
      <x:c r="BR41" s="100" t="n"/>
      <x:c r="BS41" s="100" t="n"/>
      <x:c r="BT41" s="100" t="n"/>
      <x:c r="BU41" s="100" t="n"/>
      <x:c r="BV41" s="100" t="n"/>
      <x:c r="BW41" s="100" t="n"/>
      <x:c r="BX41" s="100" t="n"/>
      <x:c r="BY41" s="100" t="n"/>
      <x:c r="BZ41" s="100" t="n"/>
      <x:c r="CA41" s="100" t="n"/>
      <x:c r="CB41" s="100" t="n"/>
      <x:c r="CC41" s="100" t="n"/>
      <x:c r="CD41" s="100" t="n"/>
      <x:c r="CE41" s="100" t="n"/>
      <x:c r="CF41" s="100" t="n"/>
      <x:c r="CG41" s="100" t="n"/>
      <x:c r="CH41" s="100" t="n"/>
      <x:c r="CI41" s="100" t="n"/>
      <x:c r="CJ41" s="100" t="n"/>
      <x:c r="CK41" s="100" t="n"/>
      <x:c r="CL41" s="100" t="n"/>
      <x:c r="CM41" s="100" t="n"/>
      <x:c r="CN41" s="100" t="n"/>
      <x:c r="CO41" s="100" t="n"/>
      <x:c r="CP41" s="100" t="n"/>
      <x:c r="CQ41" s="100" t="n"/>
      <x:c r="CR41" s="100" t="n"/>
      <x:c r="CS41" s="100" t="n"/>
      <x:c r="CT41" s="100" t="n"/>
      <x:c r="CU41" s="100" t="n"/>
      <x:c r="CV41" s="100" t="n"/>
      <x:c r="CW41" s="100" t="n"/>
      <x:c r="CX41" s="100" t="n"/>
      <x:c r="CY41" s="100" t="n"/>
      <x:c r="CZ41" s="100" t="n"/>
      <x:c r="DA41" s="100" t="n"/>
      <x:c r="DB41" s="100" t="n"/>
      <x:c r="DC41" s="100" t="n"/>
      <x:c r="DD41" s="100" t="n"/>
      <x:c r="DE41" s="100" t="n"/>
      <x:c r="DF41" s="100" t="n"/>
      <x:c r="DG41" s="100" t="n"/>
      <x:c r="DH41" s="100" t="n"/>
      <x:c r="DI41" s="100" t="n"/>
      <x:c r="DJ41" s="100" t="n"/>
      <x:c r="DK41" s="100" t="n"/>
      <x:c r="DL41" s="100" t="n"/>
      <x:c r="DM41" s="100" t="n"/>
      <x:c r="DN41" s="100" t="n"/>
      <x:c r="DO41" s="100" t="n"/>
      <x:c r="DP41" s="100" t="n"/>
      <x:c r="DQ41" s="100" t="n"/>
      <x:c r="DR41" s="100" t="n"/>
      <x:c r="DS41" s="100" t="n"/>
      <x:c r="DT41" s="100" t="n"/>
      <x:c r="DU41" s="100" t="n"/>
      <x:c r="DV41" s="100" t="n"/>
      <x:c r="DW41" s="100" t="n"/>
      <x:c r="DX41" s="100" t="n"/>
      <x:c r="DY41" s="100" t="n"/>
      <x:c r="DZ41" s="100" t="n"/>
      <x:c r="EA41" s="100" t="n"/>
      <x:c r="EB41" s="100" t="n"/>
      <x:c r="EC41" s="100" t="n"/>
      <x:c r="ED41" s="100" t="n"/>
      <x:c r="EE41" s="100" t="n"/>
      <x:c r="EF41" s="100" t="n"/>
      <x:c r="EG41" s="100" t="n"/>
      <x:c r="EH41" s="100" t="n"/>
      <x:c r="EI41" s="100" t="n"/>
      <x:c r="EJ41" s="100" t="n"/>
      <x:c r="EK41" s="100" t="n"/>
      <x:c r="EL41" s="100" t="n"/>
      <x:c r="EM41" s="100" t="n"/>
      <x:c r="EN41" s="100" t="n"/>
      <x:c r="EO41" s="100" t="n"/>
      <x:c r="EP41" s="100" t="n"/>
      <x:c r="EQ41" s="100" t="n"/>
      <x:c r="ER41" s="100" t="n"/>
      <x:c r="ES41" s="100" t="n"/>
      <x:c r="ET41" s="100" t="n"/>
      <x:c r="EU41" s="100" t="n"/>
      <x:c r="EV41" s="100" t="n"/>
      <x:c r="EW41" s="100" t="n"/>
      <x:c r="EX41" s="100" t="n"/>
      <x:c r="EY41" s="100" t="n"/>
      <x:c r="EZ41" s="100" t="n"/>
      <x:c r="FA41" s="100" t="n"/>
      <x:c r="FB41" s="100" t="n"/>
      <x:c r="FC41" s="100" t="n"/>
      <x:c r="FD41" s="100" t="n"/>
      <x:c r="FE41" s="100" t="n"/>
      <x:c r="FF41" s="100" t="n"/>
      <x:c r="FG41" s="100" t="n"/>
      <x:c r="FH41" s="100" t="n"/>
      <x:c r="FI41" s="100" t="n"/>
      <x:c r="FJ41" s="100" t="n"/>
      <x:c r="FK41" s="100" t="n"/>
      <x:c r="FL41" s="100" t="n"/>
      <x:c r="FM41" s="100" t="n"/>
      <x:c r="FN41" s="100" t="n"/>
    </x:row>
    <x:row r="42" s="27" customFormat="1">
      <x:c r="A42" s="125" t="n"/>
      <x:c r="B42" s="39" t="n"/>
      <x:c r="C42" s="86" t="n">
        <x:f>E42*D$5</x:f>
        <x:v>4.2103999999999955</x:v>
      </x:c>
      <x:c r="D42" s="523" t="inlineStr">
        <x:is>
          <x:t xml:space="preserve">Robert H. Frazier</x:t>
        </x:is>
      </x:c>
      <x:c r="E42" s="86" t="n">
        <x:f>SUM(G42:HH42)</x:f>
        <x:v>0.05262999999999995</x:v>
      </x:c>
      <x:c r="F42" s="35" t="inlineStr">
        <x:is>
          <x:t xml:space="preserve"/>
        </x:is>
      </x:c>
      <x:c r="G42" s="121" t="n"/>
      <x:c r="H42" s="122" t="n"/>
      <x:c r="I42" s="122" t="n"/>
      <x:c r="J42" s="122" t="n"/>
      <x:c r="K42" s="122" t="n"/>
      <x:c r="L42" s="123" t="n"/>
      <x:c r="M42" s="123" t="n"/>
      <x:c r="N42" s="123" t="n"/>
      <x:c r="O42" s="123" t="n"/>
      <x:c r="P42" s="123" t="n"/>
      <x:c r="Q42" s="123" t="n"/>
      <x:c r="R42" s="123" t="n"/>
      <x:c r="S42" s="124" t="n"/>
      <x:c r="T42" s="124" t="n"/>
      <x:c r="U42" s="123" t="n"/>
      <x:c r="V42" s="123" t="n"/>
      <x:c r="W42" s="123" t="n"/>
      <x:c r="X42" s="123" t="n"/>
      <x:c r="Y42" s="123" t="n"/>
      <x:c r="Z42" s="123" t="n"/>
      <x:c r="AA42" s="123" t="n"/>
      <x:c r="AB42" s="123" t="n"/>
      <x:c r="AC42" s="123" t="n">
        <x:v>0.05262999999999995</x:v>
      </x:c>
      <x:c r="AD42" s="123" t="n"/>
      <x:c r="AE42" s="123" t="n"/>
      <x:c r="AF42" s="123" t="n"/>
      <x:c r="AG42" s="123" t="n"/>
      <x:c r="AH42" s="123" t="n"/>
      <x:c r="AI42" s="123" t="n"/>
      <x:c r="AJ42" s="124" t="n"/>
      <x:c r="AK42" s="123" t="n"/>
      <x:c r="AL42" s="123" t="n"/>
      <x:c r="AM42" s="123" t="n"/>
      <x:c r="AN42" s="123" t="n"/>
      <x:c r="AO42" s="123" t="n"/>
      <x:c r="AP42" s="123" t="n"/>
      <x:c r="AQ42" s="100" t="n"/>
      <x:c r="AR42" s="100" t="n"/>
      <x:c r="AS42" s="100" t="n"/>
      <x:c r="AT42" s="100" t="n"/>
      <x:c r="AU42" s="100" t="n"/>
      <x:c r="AV42" s="100" t="n"/>
      <x:c r="AW42" s="100" t="n"/>
      <x:c r="AX42" s="100" t="n"/>
      <x:c r="AY42" s="100" t="n"/>
      <x:c r="AZ42" s="100" t="n"/>
      <x:c r="BA42" s="100" t="n"/>
      <x:c r="BB42" s="100" t="n"/>
      <x:c r="BC42" s="100" t="n"/>
      <x:c r="BD42" s="100" t="n"/>
      <x:c r="BE42" s="100" t="n"/>
      <x:c r="BF42" s="100" t="n"/>
      <x:c r="BG42" s="100" t="n"/>
      <x:c r="BH42" s="100" t="n"/>
      <x:c r="BI42" s="100" t="n"/>
      <x:c r="BJ42" s="100" t="n"/>
      <x:c r="BK42" s="100" t="n"/>
      <x:c r="BL42" s="100" t="n"/>
      <x:c r="BM42" s="100" t="n"/>
      <x:c r="BN42" s="100" t="n"/>
      <x:c r="BO42" s="100" t="n"/>
      <x:c r="BP42" s="100" t="n"/>
      <x:c r="BQ42" s="100" t="n"/>
      <x:c r="BR42" s="100" t="n"/>
      <x:c r="BS42" s="100" t="n"/>
      <x:c r="BT42" s="100" t="n"/>
      <x:c r="BU42" s="100" t="n"/>
      <x:c r="BV42" s="100" t="n"/>
      <x:c r="BW42" s="100" t="n"/>
      <x:c r="BX42" s="100" t="n"/>
      <x:c r="BY42" s="100" t="n"/>
      <x:c r="BZ42" s="100" t="n"/>
      <x:c r="CA42" s="100" t="n"/>
      <x:c r="CB42" s="100" t="n"/>
      <x:c r="CC42" s="100" t="n"/>
      <x:c r="CD42" s="100" t="n"/>
      <x:c r="CE42" s="100" t="n"/>
      <x:c r="CF42" s="100" t="n"/>
      <x:c r="CG42" s="100" t="n"/>
      <x:c r="CH42" s="100" t="n"/>
      <x:c r="CI42" s="100" t="n"/>
      <x:c r="CJ42" s="100" t="n"/>
      <x:c r="CK42" s="100" t="n"/>
      <x:c r="CL42" s="100" t="n"/>
      <x:c r="CM42" s="100" t="n"/>
      <x:c r="CN42" s="100" t="n"/>
      <x:c r="CO42" s="100" t="n"/>
      <x:c r="CP42" s="100" t="n"/>
      <x:c r="CQ42" s="100" t="n"/>
      <x:c r="CR42" s="100" t="n"/>
      <x:c r="CS42" s="100" t="n"/>
      <x:c r="CT42" s="100" t="n"/>
      <x:c r="CU42" s="100" t="n"/>
      <x:c r="CV42" s="100" t="n"/>
      <x:c r="CW42" s="100" t="n"/>
      <x:c r="CX42" s="100" t="n"/>
      <x:c r="CY42" s="100" t="n"/>
      <x:c r="CZ42" s="100" t="n"/>
      <x:c r="DA42" s="100" t="n"/>
      <x:c r="DB42" s="100" t="n"/>
      <x:c r="DC42" s="100" t="n"/>
      <x:c r="DD42" s="100" t="n"/>
      <x:c r="DE42" s="100" t="n"/>
      <x:c r="DF42" s="100" t="n"/>
      <x:c r="DG42" s="100" t="n"/>
      <x:c r="DH42" s="100" t="n"/>
      <x:c r="DI42" s="100" t="n"/>
      <x:c r="DJ42" s="100" t="n"/>
      <x:c r="DK42" s="100" t="n"/>
      <x:c r="DL42" s="100" t="n"/>
      <x:c r="DM42" s="100" t="n"/>
      <x:c r="DN42" s="100" t="n"/>
      <x:c r="DO42" s="100" t="n"/>
      <x:c r="DP42" s="100" t="n"/>
      <x:c r="DQ42" s="100" t="n"/>
      <x:c r="DR42" s="100" t="n"/>
      <x:c r="DS42" s="100" t="n"/>
      <x:c r="DT42" s="100" t="n"/>
      <x:c r="DU42" s="100" t="n"/>
      <x:c r="DV42" s="100" t="n"/>
      <x:c r="DW42" s="100" t="n"/>
      <x:c r="DX42" s="100" t="n"/>
      <x:c r="DY42" s="100" t="n"/>
      <x:c r="DZ42" s="100" t="n"/>
      <x:c r="EA42" s="100" t="n"/>
      <x:c r="EB42" s="100" t="n"/>
      <x:c r="EC42" s="100" t="n"/>
      <x:c r="ED42" s="100" t="n"/>
      <x:c r="EE42" s="100" t="n"/>
      <x:c r="EF42" s="100" t="n"/>
      <x:c r="EG42" s="100" t="n"/>
      <x:c r="EH42" s="100" t="n"/>
      <x:c r="EI42" s="100" t="n"/>
      <x:c r="EJ42" s="100" t="n"/>
      <x:c r="EK42" s="100" t="n"/>
      <x:c r="EL42" s="100" t="n"/>
      <x:c r="EM42" s="100" t="n"/>
      <x:c r="EN42" s="100" t="n"/>
      <x:c r="EO42" s="100" t="n"/>
      <x:c r="EP42" s="100" t="n"/>
      <x:c r="EQ42" s="100" t="n"/>
      <x:c r="ER42" s="100" t="n"/>
      <x:c r="ES42" s="100" t="n"/>
      <x:c r="ET42" s="100" t="n"/>
      <x:c r="EU42" s="100" t="n"/>
      <x:c r="EV42" s="100" t="n"/>
      <x:c r="EW42" s="100" t="n"/>
      <x:c r="EX42" s="100" t="n"/>
      <x:c r="EY42" s="100" t="n"/>
      <x:c r="EZ42" s="100" t="n"/>
      <x:c r="FA42" s="100" t="n"/>
      <x:c r="FB42" s="100" t="n"/>
      <x:c r="FC42" s="100" t="n"/>
      <x:c r="FD42" s="100" t="n"/>
      <x:c r="FE42" s="100" t="n"/>
      <x:c r="FF42" s="100" t="n"/>
      <x:c r="FG42" s="100" t="n"/>
      <x:c r="FH42" s="100" t="n"/>
      <x:c r="FI42" s="100" t="n"/>
      <x:c r="FJ42" s="100" t="n"/>
      <x:c r="FK42" s="100" t="n"/>
      <x:c r="FL42" s="100" t="n"/>
      <x:c r="FM42" s="100" t="n"/>
      <x:c r="FN42" s="100" t="n"/>
    </x:row>
    <x:row r="43" s="27" customFormat="1">
      <x:c r="A43" s="125" t="n"/>
      <x:c r="B43" s="39" t="n"/>
      <x:c r="C43" s="86" t="n">
        <x:f>E43*D$5</x:f>
        <x:v>4.2103999999999955</x:v>
      </x:c>
      <x:c r="D43" s="523" t="inlineStr">
        <x:is>
          <x:t xml:space="preserve">Clyde A. Pine</x:t>
        </x:is>
      </x:c>
      <x:c r="E43" s="86" t="n">
        <x:f>SUM(G43:HH43)</x:f>
        <x:v>0.05262999999999995</x:v>
      </x:c>
      <x:c r="F43" s="35" t="inlineStr">
        <x:is>
          <x:t xml:space="preserve"/>
        </x:is>
      </x:c>
      <x:c r="G43" s="121" t="n"/>
      <x:c r="H43" s="122" t="n"/>
      <x:c r="I43" s="122" t="n"/>
      <x:c r="J43" s="122" t="n"/>
      <x:c r="K43" s="122" t="n"/>
      <x:c r="L43" s="123" t="n"/>
      <x:c r="M43" s="123" t="n"/>
      <x:c r="N43" s="123" t="n"/>
      <x:c r="O43" s="124" t="n"/>
      <x:c r="P43" s="123" t="n"/>
      <x:c r="Q43" s="123" t="n"/>
      <x:c r="R43" s="123" t="n"/>
      <x:c r="S43" s="123" t="n"/>
      <x:c r="T43" s="123" t="n"/>
      <x:c r="U43" s="123" t="n"/>
      <x:c r="V43" s="123" t="n"/>
      <x:c r="W43" s="123" t="n"/>
      <x:c r="X43" s="123" t="n"/>
      <x:c r="Y43" s="123" t="n"/>
      <x:c r="Z43" s="123" t="n"/>
      <x:c r="AA43" s="123" t="n"/>
      <x:c r="AB43" s="123" t="n"/>
      <x:c r="AC43" s="123" t="n">
        <x:v>0.05262999999999995</x:v>
      </x:c>
      <x:c r="AD43" s="123" t="n"/>
      <x:c r="AE43" s="123" t="n"/>
      <x:c r="AF43" s="123" t="n"/>
      <x:c r="AG43" s="123" t="n"/>
      <x:c r="AH43" s="123" t="n"/>
      <x:c r="AI43" s="123" t="n"/>
      <x:c r="AJ43" s="124" t="n"/>
      <x:c r="AK43" s="123" t="n"/>
      <x:c r="AL43" s="123" t="n"/>
      <x:c r="AM43" s="123" t="n"/>
      <x:c r="AN43" s="123" t="n"/>
      <x:c r="AO43" s="123" t="n"/>
      <x:c r="AP43" s="123" t="n"/>
      <x:c r="AQ43" s="100" t="n"/>
      <x:c r="AR43" s="100" t="n"/>
      <x:c r="AS43" s="100" t="n"/>
      <x:c r="AT43" s="100" t="n"/>
      <x:c r="AU43" s="100" t="n"/>
      <x:c r="AV43" s="100" t="n"/>
      <x:c r="AW43" s="100" t="n"/>
      <x:c r="AX43" s="100" t="n"/>
      <x:c r="AY43" s="100" t="n"/>
      <x:c r="AZ43" s="100" t="n"/>
      <x:c r="BA43" s="100" t="n"/>
      <x:c r="BB43" s="100" t="n"/>
      <x:c r="BC43" s="100" t="n"/>
      <x:c r="BD43" s="100" t="n"/>
      <x:c r="BE43" s="100" t="n"/>
      <x:c r="BF43" s="100" t="n"/>
      <x:c r="BG43" s="100" t="n"/>
      <x:c r="BH43" s="100" t="n"/>
      <x:c r="BI43" s="100" t="n"/>
      <x:c r="BJ43" s="100" t="n"/>
      <x:c r="BK43" s="100" t="n"/>
      <x:c r="BL43" s="100" t="n"/>
      <x:c r="BM43" s="100" t="n"/>
      <x:c r="BN43" s="100" t="n"/>
      <x:c r="BO43" s="100" t="n"/>
      <x:c r="BP43" s="100" t="n"/>
      <x:c r="BQ43" s="100" t="n"/>
      <x:c r="BR43" s="100" t="n"/>
      <x:c r="BS43" s="100" t="n"/>
      <x:c r="BT43" s="100" t="n"/>
      <x:c r="BU43" s="100" t="n"/>
      <x:c r="BV43" s="100" t="n"/>
      <x:c r="BW43" s="100" t="n"/>
      <x:c r="BX43" s="100" t="n"/>
      <x:c r="BY43" s="100" t="n"/>
      <x:c r="BZ43" s="100" t="n"/>
      <x:c r="CA43" s="100" t="n"/>
      <x:c r="CB43" s="100" t="n"/>
      <x:c r="CC43" s="100" t="n"/>
      <x:c r="CD43" s="100" t="n"/>
      <x:c r="CE43" s="100" t="n"/>
      <x:c r="CF43" s="100" t="n"/>
      <x:c r="CG43" s="100" t="n"/>
      <x:c r="CH43" s="100" t="n"/>
      <x:c r="CI43" s="100" t="n"/>
      <x:c r="CJ43" s="100" t="n"/>
      <x:c r="CK43" s="100" t="n"/>
      <x:c r="CL43" s="100" t="n"/>
      <x:c r="CM43" s="100" t="n"/>
      <x:c r="CN43" s="100" t="n"/>
      <x:c r="CO43" s="100" t="n"/>
      <x:c r="CP43" s="100" t="n"/>
      <x:c r="CQ43" s="100" t="n"/>
      <x:c r="CR43" s="100" t="n"/>
      <x:c r="CS43" s="100" t="n"/>
      <x:c r="CT43" s="100" t="n"/>
      <x:c r="CU43" s="100" t="n"/>
      <x:c r="CV43" s="100" t="n"/>
      <x:c r="CW43" s="100" t="n"/>
      <x:c r="CX43" s="100" t="n"/>
      <x:c r="CY43" s="100" t="n"/>
      <x:c r="CZ43" s="100" t="n"/>
      <x:c r="DA43" s="100" t="n"/>
      <x:c r="DB43" s="100" t="n"/>
      <x:c r="DC43" s="100" t="n"/>
      <x:c r="DD43" s="100" t="n"/>
      <x:c r="DE43" s="100" t="n"/>
      <x:c r="DF43" s="100" t="n"/>
      <x:c r="DG43" s="100" t="n"/>
      <x:c r="DH43" s="100" t="n"/>
      <x:c r="DI43" s="100" t="n"/>
      <x:c r="DJ43" s="100" t="n"/>
      <x:c r="DK43" s="100" t="n"/>
      <x:c r="DL43" s="100" t="n"/>
      <x:c r="DM43" s="100" t="n"/>
      <x:c r="DN43" s="100" t="n"/>
      <x:c r="DO43" s="100" t="n"/>
      <x:c r="DP43" s="100" t="n"/>
      <x:c r="DQ43" s="100" t="n"/>
      <x:c r="DR43" s="100" t="n"/>
      <x:c r="DS43" s="100" t="n"/>
      <x:c r="DT43" s="100" t="n"/>
      <x:c r="DU43" s="100" t="n"/>
      <x:c r="DV43" s="100" t="n"/>
      <x:c r="DW43" s="100" t="n"/>
      <x:c r="DX43" s="100" t="n"/>
      <x:c r="DY43" s="100" t="n"/>
      <x:c r="DZ43" s="100" t="n"/>
      <x:c r="EA43" s="100" t="n"/>
      <x:c r="EB43" s="100" t="n"/>
      <x:c r="EC43" s="100" t="n"/>
      <x:c r="ED43" s="100" t="n"/>
      <x:c r="EE43" s="100" t="n"/>
      <x:c r="EF43" s="100" t="n"/>
      <x:c r="EG43" s="100" t="n"/>
      <x:c r="EH43" s="100" t="n"/>
      <x:c r="EI43" s="100" t="n"/>
      <x:c r="EJ43" s="100" t="n"/>
      <x:c r="EK43" s="100" t="n"/>
      <x:c r="EL43" s="100" t="n"/>
      <x:c r="EM43" s="100" t="n"/>
      <x:c r="EN43" s="100" t="n"/>
      <x:c r="EO43" s="100" t="n"/>
      <x:c r="EP43" s="100" t="n"/>
      <x:c r="EQ43" s="100" t="n"/>
      <x:c r="ER43" s="100" t="n"/>
      <x:c r="ES43" s="100" t="n"/>
      <x:c r="ET43" s="100" t="n"/>
      <x:c r="EU43" s="100" t="n"/>
      <x:c r="EV43" s="100" t="n"/>
      <x:c r="EW43" s="100" t="n"/>
      <x:c r="EX43" s="100" t="n"/>
      <x:c r="EY43" s="100" t="n"/>
      <x:c r="EZ43" s="100" t="n"/>
      <x:c r="FA43" s="100" t="n"/>
      <x:c r="FB43" s="100" t="n"/>
      <x:c r="FC43" s="100" t="n"/>
      <x:c r="FD43" s="100" t="n"/>
      <x:c r="FE43" s="100" t="n"/>
      <x:c r="FF43" s="100" t="n"/>
      <x:c r="FG43" s="100" t="n"/>
      <x:c r="FH43" s="100" t="n"/>
      <x:c r="FI43" s="100" t="n"/>
      <x:c r="FJ43" s="100" t="n"/>
      <x:c r="FK43" s="100" t="n"/>
      <x:c r="FL43" s="100" t="n"/>
      <x:c r="FM43" s="100" t="n"/>
      <x:c r="FN43" s="100" t="n"/>
    </x:row>
    <x:row r="44" s="27" customFormat="1" ht="12" customHeight="1">
      <x:c r="A44" s="125" t="n"/>
      <x:c r="B44" s="39" t="n"/>
      <x:c r="C44" s="86" t="n">
        <x:f>E44*D$5</x:f>
        <x:v>4.2103999999999955</x:v>
      </x:c>
      <x:c r="D44" s="4" t="inlineStr">
        <x:is>
          <x:t xml:space="preserve">Charles D. Ray</x:t>
        </x:is>
      </x:c>
      <x:c r="E44" s="86" t="n">
        <x:f>SUM(G44:HT44)</x:f>
        <x:v>0.05262999999999995</x:v>
      </x:c>
      <x:c r="F44" s="35" t="inlineStr">
        <x:is>
          <x:t xml:space="preserve"/>
        </x:is>
      </x:c>
      <x:c r="G44" s="121" t="n"/>
      <x:c r="H44" s="121" t="n"/>
      <x:c r="I44" s="121" t="n"/>
      <x:c r="J44" s="121" t="n"/>
      <x:c r="K44" s="121" t="n"/>
      <x:c r="L44" s="121" t="n"/>
      <x:c r="M44" s="121" t="n"/>
      <x:c r="N44" s="121" t="n"/>
      <x:c r="O44" s="121" t="n"/>
      <x:c r="P44" s="121" t="n"/>
      <x:c r="Q44" s="123" t="n"/>
      <x:c r="R44" s="123" t="n"/>
      <x:c r="S44" s="121" t="n"/>
      <x:c r="T44" s="121" t="n"/>
      <x:c r="U44" s="121" t="n"/>
      <x:c r="V44" s="121" t="n"/>
      <x:c r="W44" s="121" t="n"/>
      <x:c r="X44" s="121" t="n"/>
      <x:c r="Y44" s="121" t="n"/>
      <x:c r="Z44" s="121" t="n"/>
      <x:c r="AA44" s="121" t="n"/>
      <x:c r="AB44" s="121" t="n"/>
      <x:c r="AC44" s="121" t="n">
        <x:v>0.05262999999999995</x:v>
      </x:c>
      <x:c r="AD44" s="123" t="n"/>
      <x:c r="AE44" s="123" t="n"/>
      <x:c r="AF44" s="123" t="n"/>
      <x:c r="AG44" s="123" t="n"/>
      <x:c r="AH44" s="124" t="n"/>
      <x:c r="AI44" s="124" t="n"/>
      <x:c r="AJ44" s="123" t="n"/>
      <x:c r="AK44" s="121" t="n"/>
      <x:c r="AL44" s="123" t="n"/>
      <x:c r="AM44" s="121" t="n"/>
      <x:c r="AN44" s="123" t="n"/>
      <x:c r="AO44" s="121" t="n"/>
      <x:c r="AP44" s="121" t="n"/>
      <x:c r="AQ44" s="28" t="n"/>
      <x:c r="AR44" s="28" t="n"/>
      <x:c r="AS44" s="28" t="n"/>
    </x:row>
    <x:row r="45" s="27" customFormat="1">
      <x:c r="A45" s="125" t="n"/>
      <x:c r="B45" s="39" t="n"/>
      <x:c r="C45" s="86" t="n">
        <x:f>E45*D$5</x:f>
        <x:v>80</x:v>
      </x:c>
      <x:c r="D45" s="523" t="inlineStr">
        <x:is>
          <x:t xml:space="preserve">Continental Illinois Energy Development Corp</x:t>
        </x:is>
      </x:c>
      <x:c r="E45" s="86" t="n">
        <x:f>SUM(G45:HP45)</x:f>
        <x:v>1</x:v>
      </x:c>
      <x:c r="F45" s="35" t="inlineStr">
        <x:is>
          <x:t xml:space="preserve"/>
        </x:is>
      </x:c>
      <x:c r="G45" s="121" t="n"/>
      <x:c r="H45" s="123" t="n"/>
      <x:c r="I45" s="123" t="n"/>
      <x:c r="J45" s="123" t="n"/>
      <x:c r="K45" s="123" t="n"/>
      <x:c r="L45" s="123" t="n"/>
      <x:c r="M45" s="124" t="n"/>
      <x:c r="N45" s="124" t="n"/>
      <x:c r="O45" s="123" t="n"/>
      <x:c r="P45" s="123" t="n"/>
      <x:c r="Q45" s="123" t="n"/>
      <x:c r="R45" s="123" t="n"/>
      <x:c r="S45" s="123" t="n"/>
      <x:c r="T45" s="123" t="n"/>
      <x:c r="U45" s="123" t="n"/>
      <x:c r="V45" s="123" t="n"/>
      <x:c r="W45" s="123" t="n"/>
      <x:c r="X45" s="123" t="n"/>
      <x:c r="Y45" s="123" t="n"/>
      <x:c r="Z45" s="123" t="n"/>
      <x:c r="AA45" s="123" t="n"/>
      <x:c r="AB45" s="121" t="n"/>
      <x:c r="AC45" s="123" t="n"/>
      <x:c r="AD45" s="123" t="n">
        <x:v>1</x:v>
      </x:c>
      <x:c r="AE45" s="123" t="n"/>
      <x:c r="AF45" s="123" t="n"/>
      <x:c r="AG45" s="123" t="n"/>
      <x:c r="AH45" s="123" t="n"/>
      <x:c r="AI45" s="123" t="n"/>
      <x:c r="AJ45" s="124" t="n"/>
      <x:c r="AK45" s="123" t="n"/>
      <x:c r="AL45" s="121" t="n"/>
      <x:c r="AM45" s="123" t="n"/>
      <x:c r="AN45" s="123" t="n"/>
      <x:c r="AO45" s="123" t="n"/>
      <x:c r="AP45" s="123" t="n"/>
      <x:c r="AQ45" s="100" t="n"/>
      <x:c r="AR45" s="100" t="n"/>
      <x:c r="AS45" s="100" t="n"/>
      <x:c r="AT45" s="100" t="n"/>
      <x:c r="AU45" s="100" t="n"/>
      <x:c r="AV45" s="100" t="n"/>
      <x:c r="AW45" s="100" t="n"/>
      <x:c r="AX45" s="100" t="n"/>
      <x:c r="AY45" s="100" t="n"/>
      <x:c r="AZ45" s="100" t="n"/>
      <x:c r="BA45" s="100" t="n"/>
      <x:c r="BB45" s="100" t="n"/>
      <x:c r="BC45" s="100" t="n"/>
      <x:c r="BD45" s="100" t="n"/>
      <x:c r="BE45" s="100" t="n"/>
      <x:c r="BF45" s="100" t="n"/>
      <x:c r="BG45" s="100" t="n"/>
      <x:c r="BH45" s="100" t="n"/>
      <x:c r="BI45" s="100" t="n"/>
      <x:c r="BJ45" s="100" t="n"/>
      <x:c r="BK45" s="100" t="n"/>
      <x:c r="BL45" s="100" t="n"/>
      <x:c r="BM45" s="100" t="n"/>
      <x:c r="BN45" s="100" t="n"/>
      <x:c r="BO45" s="100" t="n"/>
      <x:c r="BP45" s="100" t="n"/>
      <x:c r="BQ45" s="100" t="n"/>
      <x:c r="BR45" s="100" t="n"/>
      <x:c r="BS45" s="100" t="n"/>
      <x:c r="BT45" s="100" t="n"/>
      <x:c r="BU45" s="100" t="n"/>
      <x:c r="BV45" s="100" t="n"/>
      <x:c r="BW45" s="100" t="n"/>
      <x:c r="BX45" s="100" t="n"/>
      <x:c r="BY45" s="100" t="n"/>
      <x:c r="BZ45" s="100" t="n"/>
      <x:c r="CA45" s="100" t="n"/>
      <x:c r="CB45" s="100" t="n"/>
      <x:c r="CC45" s="100" t="n"/>
      <x:c r="CD45" s="100" t="n"/>
      <x:c r="CE45" s="100" t="n"/>
      <x:c r="CF45" s="100" t="n"/>
      <x:c r="CG45" s="100" t="n"/>
      <x:c r="CH45" s="100" t="n"/>
      <x:c r="CI45" s="100" t="n"/>
      <x:c r="CJ45" s="100" t="n"/>
      <x:c r="CK45" s="100" t="n"/>
      <x:c r="CL45" s="100" t="n"/>
      <x:c r="CM45" s="100" t="n"/>
      <x:c r="CN45" s="100" t="n"/>
      <x:c r="CO45" s="100" t="n"/>
      <x:c r="CP45" s="100" t="n"/>
      <x:c r="CQ45" s="100" t="n"/>
      <x:c r="CR45" s="100" t="n"/>
      <x:c r="CS45" s="100" t="n"/>
      <x:c r="CT45" s="100" t="n"/>
      <x:c r="CU45" s="100" t="n"/>
      <x:c r="CV45" s="100" t="n"/>
      <x:c r="CW45" s="100" t="n"/>
      <x:c r="CX45" s="100" t="n"/>
      <x:c r="CY45" s="100" t="n"/>
      <x:c r="CZ45" s="100" t="n"/>
      <x:c r="DA45" s="100" t="n"/>
      <x:c r="DB45" s="100" t="n"/>
      <x:c r="DC45" s="100" t="n"/>
      <x:c r="DD45" s="100" t="n"/>
      <x:c r="DE45" s="100" t="n"/>
      <x:c r="DF45" s="100" t="n"/>
      <x:c r="DG45" s="100" t="n"/>
      <x:c r="DH45" s="100" t="n"/>
      <x:c r="DI45" s="100" t="n"/>
      <x:c r="DJ45" s="100" t="n"/>
      <x:c r="DK45" s="100" t="n"/>
      <x:c r="DL45" s="100" t="n"/>
      <x:c r="DM45" s="100" t="n"/>
      <x:c r="DN45" s="100" t="n"/>
      <x:c r="DO45" s="100" t="n"/>
      <x:c r="DP45" s="100" t="n"/>
      <x:c r="DQ45" s="100" t="n"/>
      <x:c r="DR45" s="100" t="n"/>
      <x:c r="DS45" s="100" t="n"/>
      <x:c r="DT45" s="100" t="n"/>
      <x:c r="DU45" s="100" t="n"/>
      <x:c r="DV45" s="100" t="n"/>
      <x:c r="DW45" s="100" t="n"/>
      <x:c r="DX45" s="100" t="n"/>
      <x:c r="DY45" s="100" t="n"/>
      <x:c r="DZ45" s="100" t="n"/>
      <x:c r="EA45" s="100" t="n"/>
      <x:c r="EB45" s="100" t="n"/>
      <x:c r="EC45" s="100" t="n"/>
      <x:c r="ED45" s="100" t="n"/>
      <x:c r="EE45" s="100" t="n"/>
      <x:c r="EF45" s="100" t="n"/>
      <x:c r="EG45" s="100" t="n"/>
      <x:c r="EH45" s="100" t="n"/>
      <x:c r="EI45" s="100" t="n"/>
      <x:c r="EJ45" s="100" t="n"/>
      <x:c r="EK45" s="100" t="n"/>
      <x:c r="EL45" s="100" t="n"/>
      <x:c r="EM45" s="100" t="n"/>
      <x:c r="EN45" s="100" t="n"/>
      <x:c r="EO45" s="100" t="n"/>
      <x:c r="EP45" s="100" t="n"/>
      <x:c r="EQ45" s="100" t="n"/>
      <x:c r="ER45" s="100" t="n"/>
      <x:c r="ES45" s="100" t="n"/>
      <x:c r="ET45" s="100" t="n"/>
      <x:c r="EU45" s="100" t="n"/>
      <x:c r="EV45" s="100" t="n"/>
      <x:c r="EW45" s="100" t="n"/>
      <x:c r="EX45" s="100" t="n"/>
      <x:c r="EY45" s="100" t="n"/>
      <x:c r="EZ45" s="100" t="n"/>
      <x:c r="FA45" s="100" t="n"/>
      <x:c r="FB45" s="100" t="n"/>
      <x:c r="FC45" s="100" t="n"/>
      <x:c r="FD45" s="100" t="n"/>
      <x:c r="FE45" s="100" t="n"/>
      <x:c r="FF45" s="100" t="n"/>
      <x:c r="FG45" s="100" t="n"/>
      <x:c r="FH45" s="100" t="n"/>
      <x:c r="FI45" s="100" t="n"/>
      <x:c r="FJ45" s="100" t="n"/>
      <x:c r="FK45" s="100" t="n"/>
      <x:c r="FL45" s="100" t="n"/>
      <x:c r="FM45" s="100" t="n"/>
      <x:c r="FN45" s="100" t="n"/>
      <x:c r="FO45" s="100" t="n"/>
      <x:c r="FP45" s="100" t="n"/>
      <x:c r="FQ45" s="100" t="n"/>
      <x:c r="FR45" s="100" t="n"/>
      <x:c r="FS45" s="100" t="n"/>
      <x:c r="FT45" s="100" t="n"/>
      <x:c r="FU45" s="100" t="n"/>
      <x:c r="FV45" s="100" t="n"/>
    </x:row>
    <x:row r="46" s="27" customFormat="1">
      <x:c r="A46" s="125" t="n"/>
      <x:c r="B46" s="39" t="n"/>
      <x:c r="C46" s="86" t="n">
        <x:f>E46*D$5</x:f>
        <x:v>-0.6153846153846152</x:v>
      </x:c>
      <x:c r="D46" s="410" t="inlineStr">
        <x:is>
          <x:t xml:space="preserve">Mann Childrens Trust, by Walter J. Rusek, Trustee</x:t>
        </x:is>
      </x:c>
      <x:c r="E46" s="413" t="n">
        <x:f>SUM(G46:HT46)</x:f>
        <x:v>-0.00769230769230769</x:v>
      </x:c>
      <x:c r="F46" s="35" t="inlineStr">
        <x:is>
          <x:t xml:space="preserve"/>
        </x:is>
      </x:c>
      <x:c r="G46" s="121" t="n"/>
      <x:c r="H46" s="121" t="n"/>
      <x:c r="I46" s="121" t="n"/>
      <x:c r="J46" s="121" t="n"/>
      <x:c r="K46" s="121" t="n"/>
      <x:c r="L46" s="121" t="n"/>
      <x:c r="M46" s="121" t="n"/>
      <x:c r="N46" s="121" t="n"/>
      <x:c r="O46" s="121" t="n"/>
      <x:c r="P46" s="121" t="n"/>
      <x:c r="Q46" s="123" t="n"/>
      <x:c r="R46" s="123" t="n"/>
      <x:c r="S46" s="121" t="n"/>
      <x:c r="T46" s="121" t="n"/>
      <x:c r="U46" s="121" t="n"/>
      <x:c r="V46" s="121" t="n"/>
      <x:c r="W46" s="121" t="n"/>
      <x:c r="X46" s="121" t="n"/>
      <x:c r="Y46" s="121" t="n"/>
      <x:c r="Z46" s="121" t="n"/>
      <x:c r="AA46" s="121" t="n"/>
      <x:c r="AB46" s="121" t="n"/>
      <x:c r="AC46" s="121" t="n"/>
      <x:c r="AD46" s="123" t="n"/>
      <x:c r="AE46" s="123" t="n">
        <x:v>-0.00769230769230769</x:v>
      </x:c>
      <x:c r="AF46" s="123" t="n"/>
      <x:c r="AG46" s="123" t="n"/>
      <x:c r="AH46" s="123" t="n"/>
      <x:c r="AI46" s="123" t="n"/>
      <x:c r="AJ46" s="124" t="n"/>
      <x:c r="AK46" s="121" t="n"/>
      <x:c r="AL46" s="123" t="n"/>
      <x:c r="AM46" s="129" t="n"/>
      <x:c r="AN46" s="123" t="n"/>
      <x:c r="AO46" s="121" t="n"/>
      <x:c r="AP46" s="121" t="n"/>
      <x:c r="AQ46" s="28" t="n"/>
      <x:c r="AR46" s="28" t="n"/>
      <x:c r="AS46" s="28" t="n"/>
    </x:row>
    <x:row r="47" s="27" customFormat="1">
      <x:c r="A47" s="125" t="n"/>
      <x:c r="B47" s="39" t="n"/>
      <x:c r="C47" s="86" t="n">
        <x:f>E47*D$5</x:f>
        <x:v>-2.461538461538465</x:v>
      </x:c>
      <x:c r="D47" s="412" t="inlineStr">
        <x:is>
          <x:t xml:space="preserve">Mann Group Investment Company</x:t>
        </x:is>
      </x:c>
      <x:c r="E47" s="413" t="n">
        <x:f>SUM(G47:HT47)</x:f>
        <x:v>-0.03076923076923081</x:v>
      </x:c>
      <x:c r="F47" s="35" t="inlineStr">
        <x:is>
          <x:t xml:space="preserve"/>
        </x:is>
      </x:c>
      <x:c r="G47" s="121" t="n"/>
      <x:c r="H47" s="121" t="n"/>
      <x:c r="I47" s="121" t="n"/>
      <x:c r="J47" s="121" t="n"/>
      <x:c r="K47" s="121" t="n"/>
      <x:c r="L47" s="121" t="n"/>
      <x:c r="M47" s="121" t="n"/>
      <x:c r="N47" s="121" t="n"/>
      <x:c r="O47" s="121" t="n"/>
      <x:c r="P47" s="121" t="n"/>
      <x:c r="Q47" s="123" t="n"/>
      <x:c r="R47" s="123" t="n"/>
      <x:c r="S47" s="121" t="n"/>
      <x:c r="T47" s="121" t="n"/>
      <x:c r="U47" s="121" t="n"/>
      <x:c r="V47" s="121" t="n"/>
      <x:c r="W47" s="121" t="n"/>
      <x:c r="X47" s="121" t="n"/>
      <x:c r="Y47" s="121" t="n"/>
      <x:c r="Z47" s="121" t="n"/>
      <x:c r="AA47" s="121" t="n"/>
      <x:c r="AB47" s="121" t="n"/>
      <x:c r="AC47" s="121" t="n"/>
      <x:c r="AD47" s="123" t="n"/>
      <x:c r="AE47" s="123" t="n">
        <x:v>0.00769230769230769</x:v>
      </x:c>
      <x:c r="AF47" s="123" t="n"/>
      <x:c r="AG47" s="123" t="n"/>
      <x:c r="AH47" s="123" t="n"/>
      <x:c r="AI47" s="123" t="n"/>
      <x:c r="AJ47" s="123" t="n">
        <x:v>-0.0384615384615385</x:v>
      </x:c>
      <x:c r="AK47" s="121" t="n"/>
      <x:c r="AL47" s="123" t="n"/>
      <x:c r="AM47" s="129" t="n"/>
      <x:c r="AN47" s="124" t="n"/>
      <x:c r="AO47" s="121" t="n"/>
      <x:c r="AP47" s="121" t="n"/>
      <x:c r="AQ47" s="28" t="n"/>
      <x:c r="AR47" s="28" t="n"/>
      <x:c r="AS47" s="28" t="n"/>
    </x:row>
    <x:row r="48" s="27" customFormat="1">
      <x:c r="A48" s="125" t="n"/>
      <x:c r="B48" s="39" t="n"/>
      <x:c r="C48" s="36" t="n">
        <x:f>E48*D$5</x:f>
        <x:v>66.892</x:v>
      </x:c>
      <x:c r="D48" s="4" t="inlineStr">
        <x:is>
          <x:t xml:space="preserve">Black Hawk Oil Company</x:t>
        </x:is>
      </x:c>
      <x:c r="E48" s="36" t="n">
        <x:f>SUM(G48:HT48)</x:f>
        <x:v>0.83615</x:v>
      </x:c>
      <x:c r="F48" s="35" t="inlineStr">
        <x:is>
          <x:t xml:space="preserve"/>
        </x:is>
      </x:c>
      <x:c r="G48" s="121" t="n"/>
      <x:c r="H48" s="121" t="n"/>
      <x:c r="I48" s="121" t="n"/>
      <x:c r="J48" s="121" t="n"/>
      <x:c r="K48" s="121" t="n"/>
      <x:c r="L48" s="121" t="n"/>
      <x:c r="M48" s="121" t="n"/>
      <x:c r="N48" s="121" t="n"/>
      <x:c r="O48" s="121" t="n"/>
      <x:c r="P48" s="121" t="n"/>
      <x:c r="Q48" s="123" t="n"/>
      <x:c r="R48" s="123" t="n"/>
      <x:c r="S48" s="121" t="n"/>
      <x:c r="T48" s="121" t="n"/>
      <x:c r="U48" s="121" t="n"/>
      <x:c r="V48" s="121" t="n"/>
      <x:c r="W48" s="121" t="n"/>
      <x:c r="X48" s="121" t="n"/>
      <x:c r="Y48" s="121" t="n"/>
      <x:c r="Z48" s="121" t="n"/>
      <x:c r="AA48" s="121" t="n"/>
      <x:c r="AB48" s="121" t="n"/>
      <x:c r="AC48" s="121" t="n"/>
      <x:c r="AD48" s="123" t="n"/>
      <x:c r="AE48" s="123" t="n"/>
      <x:c r="AF48" s="123" t="n">
        <x:v>1</x:v>
      </x:c>
      <x:c r="AG48" s="123" t="n">
        <x:v>-0.16385</x:v>
      </x:c>
      <x:c r="AH48" s="123" t="n"/>
      <x:c r="AI48" s="123" t="n"/>
      <x:c r="AJ48" s="123" t="n"/>
      <x:c r="AK48" s="121" t="n"/>
      <x:c r="AL48" s="123" t="n"/>
      <x:c r="AM48" s="129" t="n"/>
      <x:c r="AN48" s="124" t="n"/>
      <x:c r="AO48" s="121" t="n"/>
      <x:c r="AP48" s="121" t="n"/>
      <x:c r="AQ48" s="28" t="n"/>
      <x:c r="AR48" s="28" t="n"/>
      <x:c r="AS48" s="28" t="n"/>
    </x:row>
    <x:row r="49" s="27" customFormat="1">
      <x:c r="A49" s="125" t="n"/>
      <x:c r="B49" s="39" t="n"/>
      <x:c r="C49" s="86" t="n">
        <x:f>E49*D$5</x:f>
        <x:v>13.108</x:v>
      </x:c>
      <x:c r="D49" s="523" t="inlineStr">
        <x:is>
          <x:t xml:space="preserve">Proven Properties, Inc.</x:t>
        </x:is>
      </x:c>
      <x:c r="E49" s="36" t="n">
        <x:f>SUM(G49:HT49)</x:f>
        <x:v>0.16385</x:v>
      </x:c>
      <x:c r="F49" s="35" t="inlineStr">
        <x:is>
          <x:t xml:space="preserve"/>
        </x:is>
      </x:c>
      <x:c r="G49" s="121" t="n"/>
      <x:c r="H49" s="121" t="n"/>
      <x:c r="I49" s="121" t="n"/>
      <x:c r="J49" s="121" t="n"/>
      <x:c r="K49" s="121" t="n"/>
      <x:c r="L49" s="121" t="n"/>
      <x:c r="M49" s="121" t="n"/>
      <x:c r="N49" s="121" t="n"/>
      <x:c r="O49" s="121" t="n"/>
      <x:c r="P49" s="121" t="n"/>
      <x:c r="Q49" s="123" t="n"/>
      <x:c r="R49" s="123" t="n"/>
      <x:c r="S49" s="121" t="n"/>
      <x:c r="T49" s="121" t="n"/>
      <x:c r="U49" s="121" t="n"/>
      <x:c r="V49" s="121" t="n"/>
      <x:c r="W49" s="121" t="n"/>
      <x:c r="X49" s="121" t="n"/>
      <x:c r="Y49" s="121" t="n"/>
      <x:c r="Z49" s="121" t="n"/>
      <x:c r="AA49" s="121" t="n"/>
      <x:c r="AB49" s="121" t="n"/>
      <x:c r="AC49" s="121" t="n"/>
      <x:c r="AD49" s="123" t="n"/>
      <x:c r="AE49" s="123" t="n"/>
      <x:c r="AF49" s="123" t="n"/>
      <x:c r="AG49" s="123" t="n">
        <x:v>0.16385</x:v>
      </x:c>
      <x:c r="AH49" s="123" t="n"/>
      <x:c r="AI49" s="123" t="n"/>
      <x:c r="AJ49" s="123" t="n"/>
      <x:c r="AK49" s="121" t="n"/>
      <x:c r="AL49" s="123" t="n"/>
      <x:c r="AM49" s="121" t="n"/>
      <x:c r="AN49" s="124" t="n"/>
      <x:c r="AO49" s="121" t="n"/>
      <x:c r="AP49" s="121" t="n"/>
      <x:c r="AQ49" s="28" t="n"/>
      <x:c r="AR49" s="28" t="n"/>
      <x:c r="AS49" s="28" t="n"/>
    </x:row>
    <x:row r="50" s="27" customFormat="1">
      <x:c r="A50" s="38" t="n"/>
      <x:c r="B50" s="37" t="n"/>
      <x:c r="C50" s="36" t="n">
        <x:f>E50*D$5</x:f>
        <x:v>80</x:v>
      </x:c>
      <x:c r="D50" s="4" t="inlineStr">
        <x:is>
          <x:t xml:space="preserve">Kaiser Francis Oil Co.</x:t>
        </x:is>
      </x:c>
      <x:c r="E50" s="36" t="n">
        <x:f>SUM(G50:HT50)</x:f>
        <x:v>1</x:v>
      </x:c>
      <x:c r="F50" s="35" t="inlineStr">
        <x:is>
          <x:t xml:space="preserve"/>
        </x:is>
      </x:c>
      <x:c r="G50" s="121" t="n"/>
      <x:c r="H50" s="121" t="n"/>
      <x:c r="I50" s="121" t="n"/>
      <x:c r="J50" s="121" t="n"/>
      <x:c r="K50" s="121" t="n"/>
      <x:c r="L50" s="121" t="n"/>
      <x:c r="M50" s="121" t="n"/>
      <x:c r="N50" s="121" t="n"/>
      <x:c r="O50" s="121" t="n"/>
      <x:c r="P50" s="121" t="n"/>
      <x:c r="Q50" s="123" t="n"/>
      <x:c r="R50" s="123" t="n"/>
      <x:c r="S50" s="121" t="n"/>
      <x:c r="T50" s="121" t="n"/>
      <x:c r="U50" s="121" t="n"/>
      <x:c r="V50" s="121" t="n"/>
      <x:c r="W50" s="121" t="n"/>
      <x:c r="X50" s="121" t="n"/>
      <x:c r="Y50" s="121" t="n"/>
      <x:c r="Z50" s="121" t="n"/>
      <x:c r="AA50" s="121" t="n"/>
      <x:c r="AB50" s="122" t="n"/>
      <x:c r="AC50" s="121" t="n"/>
      <x:c r="AD50" s="123" t="n"/>
      <x:c r="AE50" s="123" t="n"/>
      <x:c r="AF50" s="123" t="n"/>
      <x:c r="AG50" s="123" t="n"/>
      <x:c r="AH50" s="123" t="n">
        <x:v>1</x:v>
      </x:c>
      <x:c r="AI50" s="123" t="n"/>
      <x:c r="AJ50" s="123" t="n"/>
      <x:c r="AK50" s="121" t="n"/>
      <x:c r="AL50" s="123" t="n"/>
      <x:c r="AM50" s="121" t="n"/>
      <x:c r="AN50" s="123" t="n"/>
      <x:c r="AO50" s="121" t="n"/>
      <x:c r="AP50" s="121" t="n"/>
      <x:c r="AQ50" s="28" t="n"/>
      <x:c r="AR50" s="28" t="n"/>
      <x:c r="AS50" s="28" t="n"/>
    </x:row>
    <x:row r="51" s="27" customFormat="1">
      <x:c r="A51" s="38" t="n"/>
      <x:c r="B51" s="37" t="n"/>
      <x:c r="C51" s="36" t="n">
        <x:f>E51*D$5</x:f>
        <x:v>-80</x:v>
      </x:c>
      <x:c r="D51" s="410" t="inlineStr">
        <x:is>
          <x:t xml:space="preserve">Cimarron Mineral Corporation</x:t>
        </x:is>
      </x:c>
      <x:c r="E51" s="411" t="n">
        <x:f>SUM(G51:HT51)</x:f>
        <x:v>-1</x:v>
      </x:c>
      <x:c r="F51" s="35" t="inlineStr">
        <x:is>
          <x:t xml:space="preserve"/>
        </x:is>
      </x:c>
      <x:c r="G51" s="121" t="n"/>
      <x:c r="H51" s="121" t="n"/>
      <x:c r="I51" s="121" t="n"/>
      <x:c r="J51" s="121" t="n"/>
      <x:c r="K51" s="121" t="n"/>
      <x:c r="L51" s="121" t="n"/>
      <x:c r="M51" s="121" t="n"/>
      <x:c r="N51" s="121" t="n"/>
      <x:c r="O51" s="121" t="n"/>
      <x:c r="P51" s="121" t="n"/>
      <x:c r="Q51" s="123" t="n"/>
      <x:c r="R51" s="123" t="n"/>
      <x:c r="S51" s="121" t="n"/>
      <x:c r="T51" s="121" t="n"/>
      <x:c r="U51" s="121" t="n"/>
      <x:c r="V51" s="121" t="n"/>
      <x:c r="W51" s="121" t="n"/>
      <x:c r="X51" s="121" t="n"/>
      <x:c r="Y51" s="121" t="n"/>
      <x:c r="Z51" s="121" t="n"/>
      <x:c r="AA51" s="121" t="n"/>
      <x:c r="AB51" s="121" t="n"/>
      <x:c r="AC51" s="121" t="n"/>
      <x:c r="AD51" s="123" t="n"/>
      <x:c r="AE51" s="123" t="n"/>
      <x:c r="AF51" s="123" t="n"/>
      <x:c r="AG51" s="123" t="n"/>
      <x:c r="AH51" s="123" t="n"/>
      <x:c r="AI51" s="123" t="n">
        <x:v>-1</x:v>
      </x:c>
      <x:c r="AJ51" s="123" t="n"/>
      <x:c r="AK51" s="121" t="n"/>
      <x:c r="AL51" s="123" t="n"/>
      <x:c r="AM51" s="121" t="n"/>
      <x:c r="AN51" s="123" t="n"/>
      <x:c r="AO51" s="121" t="n"/>
      <x:c r="AP51" s="121" t="n"/>
      <x:c r="AQ51" s="28" t="n"/>
      <x:c r="AR51" s="28" t="n"/>
      <x:c r="AS51" s="28" t="n"/>
    </x:row>
    <x:row r="52" s="27" customFormat="1">
      <x:c r="A52" s="38" t="n"/>
      <x:c r="B52" s="37" t="n"/>
      <x:c r="C52" s="86" t="n">
        <x:f>E52*D$5</x:f>
        <x:v>78.46153846153847</x:v>
      </x:c>
      <x:c r="D52" s="4" t="inlineStr">
        <x:is>
          <x:t xml:space="preserve">Inter-American Corporation</x:t>
        </x:is>
      </x:c>
      <x:c r="E52" s="86" t="n">
        <x:f>SUM(G52:HT52)</x:f>
        <x:v>0.9807692307692308</x:v>
      </x:c>
      <x:c r="F52" s="35" t="inlineStr">
        <x:is>
          <x:t xml:space="preserve"/>
        </x:is>
      </x:c>
      <x:c r="G52" s="121" t="n"/>
      <x:c r="H52" s="121" t="n"/>
      <x:c r="I52" s="121" t="n"/>
      <x:c r="J52" s="121" t="n"/>
      <x:c r="K52" s="121" t="n"/>
      <x:c r="L52" s="121" t="n"/>
      <x:c r="M52" s="121" t="n"/>
      <x:c r="N52" s="121" t="n"/>
      <x:c r="O52" s="121" t="n"/>
      <x:c r="P52" s="121" t="n"/>
      <x:c r="Q52" s="123" t="n"/>
      <x:c r="R52" s="123" t="n"/>
      <x:c r="S52" s="121" t="n"/>
      <x:c r="T52" s="121" t="n"/>
      <x:c r="U52" s="121" t="n"/>
      <x:c r="V52" s="121" t="n"/>
      <x:c r="W52" s="121" t="n"/>
      <x:c r="X52" s="121" t="n"/>
      <x:c r="Y52" s="121" t="n"/>
      <x:c r="Z52" s="121" t="n"/>
      <x:c r="AA52" s="121" t="n"/>
      <x:c r="AB52" s="121" t="n"/>
      <x:c r="AC52" s="121" t="n"/>
      <x:c r="AD52" s="123" t="n"/>
      <x:c r="AE52" s="123" t="n"/>
      <x:c r="AF52" s="123" t="n"/>
      <x:c r="AG52" s="123" t="n"/>
      <x:c r="AH52" s="123" t="n"/>
      <x:c r="AI52" s="123" t="n">
        <x:v>1</x:v>
      </x:c>
      <x:c r="AJ52" s="123" t="n"/>
      <x:c r="AK52" s="121" t="n"/>
      <x:c r="AL52" s="123" t="n"/>
      <x:c r="AM52" s="121" t="n"/>
      <x:c r="AN52" s="123" t="n"/>
      <x:c r="AO52" s="121" t="n"/>
      <x:c r="AP52" s="121" t="n">
        <x:v>-0.0192307692307692</x:v>
      </x:c>
      <x:c r="AQ52" s="28" t="n"/>
      <x:c r="AR52" s="28" t="n"/>
      <x:c r="AS52" s="28" t="n"/>
    </x:row>
    <x:row r="53" s="27" customFormat="1">
      <x:c r="A53" s="38" t="n"/>
      <x:c r="B53" s="37" t="n"/>
      <x:c r="C53" s="86" t="n">
        <x:f>E53*D$5</x:f>
        <x:v>-76.92307692307692</x:v>
      </x:c>
      <x:c r="D53" s="410" t="inlineStr">
        <x:is>
          <x:t xml:space="preserve">Bluebonnet Investments, Ltd.</x:t>
        </x:is>
      </x:c>
      <x:c r="E53" s="413" t="n">
        <x:f>SUM(G53:HT53)</x:f>
        <x:v>-0.9615384615384615</x:v>
      </x:c>
      <x:c r="F53" s="35" t="inlineStr">
        <x:is>
          <x:t xml:space="preserve"/>
        </x:is>
      </x:c>
      <x:c r="G53" s="121" t="n"/>
      <x:c r="H53" s="121" t="n"/>
      <x:c r="I53" s="121" t="n"/>
      <x:c r="J53" s="121" t="n"/>
      <x:c r="K53" s="121" t="n"/>
      <x:c r="L53" s="121" t="n"/>
      <x:c r="M53" s="121" t="n"/>
      <x:c r="N53" s="121" t="n"/>
      <x:c r="O53" s="121" t="n"/>
      <x:c r="P53" s="121" t="n"/>
      <x:c r="Q53" s="123" t="n"/>
      <x:c r="R53" s="123" t="n"/>
      <x:c r="S53" s="121" t="n"/>
      <x:c r="T53" s="121" t="n"/>
      <x:c r="U53" s="121" t="n"/>
      <x:c r="V53" s="121" t="n"/>
      <x:c r="W53" s="121" t="n"/>
      <x:c r="X53" s="121" t="n"/>
      <x:c r="Y53" s="121" t="n"/>
      <x:c r="Z53" s="121" t="n"/>
      <x:c r="AA53" s="121" t="n"/>
      <x:c r="AB53" s="121" t="n"/>
      <x:c r="AC53" s="121" t="n"/>
      <x:c r="AD53" s="123" t="n"/>
      <x:c r="AE53" s="123" t="n"/>
      <x:c r="AF53" s="123" t="n"/>
      <x:c r="AG53" s="123" t="n"/>
      <x:c r="AH53" s="123" t="n"/>
      <x:c r="AI53" s="123" t="n"/>
      <x:c r="AJ53" s="123" t="n">
        <x:v>0.0384615384615385</x:v>
      </x:c>
      <x:c r="AK53" s="121" t="n"/>
      <x:c r="AL53" s="123" t="n"/>
      <x:c r="AM53" s="121" t="n"/>
      <x:c r="AN53" s="123" t="n"/>
      <x:c r="AO53" s="121" t="n"/>
      <x:c r="AP53" s="121" t="n"/>
      <x:c r="AQ53" s="28" t="n"/>
      <x:c r="AR53" s="28" t="n"/>
      <x:c r="AS53" s="28" t="n"/>
      <x:c r="BF53" s="27" t="n">
        <x:v>-1</x:v>
      </x:c>
    </x:row>
    <x:row r="54" s="27" customFormat="1" ht="12.949999809265137" customHeight="1">
      <x:c r="A54" s="38" t="n"/>
      <x:c r="B54" s="37" t="n"/>
      <x:c r="C54" s="36" t="n">
        <x:f>E54*D$5</x:f>
        <x:v>-80</x:v>
      </x:c>
      <x:c r="D54" s="410" t="inlineStr">
        <x:is>
          <x:t xml:space="preserve">Federal Deposit Insurance Corporation</x:t>
        </x:is>
      </x:c>
      <x:c r="E54" s="411" t="n">
        <x:f>SUM(G54:HT54)</x:f>
        <x:v>-1</x:v>
      </x:c>
      <x:c r="F54" s="35" t="inlineStr">
        <x:is>
          <x:t xml:space="preserve"/>
        </x:is>
      </x:c>
      <x:c r="G54" s="121" t="n"/>
      <x:c r="H54" s="121" t="n"/>
      <x:c r="I54" s="121" t="n"/>
      <x:c r="J54" s="121" t="n"/>
      <x:c r="K54" s="121" t="n"/>
      <x:c r="L54" s="121" t="n"/>
      <x:c r="M54" s="121" t="n"/>
      <x:c r="N54" s="121" t="n"/>
      <x:c r="O54" s="121" t="n"/>
      <x:c r="P54" s="121" t="n"/>
      <x:c r="Q54" s="123" t="n"/>
      <x:c r="R54" s="123" t="n"/>
      <x:c r="S54" s="121" t="n"/>
      <x:c r="T54" s="121" t="n"/>
      <x:c r="U54" s="121" t="n"/>
      <x:c r="V54" s="121" t="n"/>
      <x:c r="W54" s="121" t="n"/>
      <x:c r="X54" s="121" t="n"/>
      <x:c r="Y54" s="121" t="n"/>
      <x:c r="Z54" s="121" t="n"/>
      <x:c r="AA54" s="121" t="n"/>
      <x:c r="AB54" s="121" t="n"/>
      <x:c r="AC54" s="121" t="n"/>
      <x:c r="AD54" s="123" t="n"/>
      <x:c r="AE54" s="123" t="n"/>
      <x:c r="AF54" s="123" t="n"/>
      <x:c r="AG54" s="123" t="n"/>
      <x:c r="AH54" s="123" t="n"/>
      <x:c r="AI54" s="123" t="n"/>
      <x:c r="AJ54" s="123" t="n"/>
      <x:c r="AK54" s="121" t="n">
        <x:v>-1</x:v>
      </x:c>
      <x:c r="AL54" s="123" t="n"/>
      <x:c r="AM54" s="121" t="n"/>
      <x:c r="AN54" s="123" t="n"/>
      <x:c r="AO54" s="121" t="n"/>
      <x:c r="AP54" s="121" t="n"/>
      <x:c r="AQ54" s="28" t="n"/>
      <x:c r="AR54" s="28" t="n"/>
      <x:c r="AS54" s="28" t="n"/>
    </x:row>
    <x:row r="55" s="27" customFormat="1" ht="14.100000381469727" customHeight="1">
      <x:c r="A55" s="38" t="n"/>
      <x:c r="B55" s="37" t="n"/>
      <x:c r="C55" s="36" t="n">
        <x:f>E55*D$5</x:f>
        <x:v>0</x:v>
      </x:c>
      <x:c r="D55" s="4" t="inlineStr">
        <x:is>
          <x:t xml:space="preserve">First State Bank &amp; Trust Company</x:t>
        </x:is>
      </x:c>
      <x:c r="E55" s="36" t="n">
        <x:f>SUM(G55:HT55)</x:f>
        <x:v>0</x:v>
      </x:c>
      <x:c r="F55" s="35" t="inlineStr">
        <x:is>
          <x:t xml:space="preserve"/>
        </x:is>
      </x:c>
      <x:c r="G55" s="121" t="n"/>
      <x:c r="H55" s="121" t="n"/>
      <x:c r="I55" s="121" t="n"/>
      <x:c r="J55" s="121" t="n"/>
      <x:c r="K55" s="121" t="n"/>
      <x:c r="L55" s="121" t="n"/>
      <x:c r="M55" s="121" t="n"/>
      <x:c r="N55" s="121" t="n"/>
      <x:c r="O55" s="121" t="n"/>
      <x:c r="P55" s="121" t="n"/>
      <x:c r="Q55" s="123" t="n"/>
      <x:c r="R55" s="123" t="n"/>
      <x:c r="S55" s="121" t="n"/>
      <x:c r="T55" s="121" t="n"/>
      <x:c r="U55" s="121" t="n"/>
      <x:c r="V55" s="121" t="n"/>
      <x:c r="W55" s="121" t="n"/>
      <x:c r="X55" s="121" t="n"/>
      <x:c r="Y55" s="121" t="n"/>
      <x:c r="Z55" s="121" t="n"/>
      <x:c r="AA55" s="121" t="n"/>
      <x:c r="AB55" s="121" t="n"/>
      <x:c r="AC55" s="121" t="n"/>
      <x:c r="AD55" s="123" t="n"/>
      <x:c r="AE55" s="123" t="n"/>
      <x:c r="AF55" s="123" t="n"/>
      <x:c r="AG55" s="123" t="n"/>
      <x:c r="AH55" s="123" t="n"/>
      <x:c r="AI55" s="123" t="n"/>
      <x:c r="AJ55" s="123" t="n"/>
      <x:c r="AK55" s="121" t="n">
        <x:v>1</x:v>
      </x:c>
      <x:c r="AL55" s="123" t="n"/>
      <x:c r="AM55" s="121" t="n"/>
      <x:c r="AN55" s="124" t="n">
        <x:v>-1</x:v>
      </x:c>
      <x:c r="AO55" s="121" t="n"/>
      <x:c r="AP55" s="121" t="n"/>
      <x:c r="AQ55" s="28" t="n"/>
      <x:c r="AR55" s="28" t="n"/>
      <x:c r="AS55" s="28" t="n"/>
    </x:row>
    <x:row r="56" s="27" customFormat="1" ht="17.450000762939453" customHeight="1">
      <x:c r="A56" s="38" t="n"/>
      <x:c r="B56" s="37" t="n"/>
      <x:c r="C56" s="36" t="n">
        <x:f>E56*D$5</x:f>
        <x:v>-80</x:v>
      </x:c>
      <x:c r="D56" s="414" t="inlineStr">
        <x:is>
          <x:t xml:space="preserve">State Bank &amp; Trust Company</x:t>
        </x:is>
      </x:c>
      <x:c r="E56" s="411" t="n">
        <x:f>SUM(G56:HT56)</x:f>
        <x:v>-1</x:v>
      </x:c>
      <x:c r="F56" s="35" t="inlineStr">
        <x:is>
          <x:t xml:space="preserve"/>
        </x:is>
      </x:c>
      <x:c r="G56" s="121" t="n"/>
      <x:c r="H56" s="28" t="n"/>
      <x:c r="I56" s="28" t="n"/>
      <x:c r="J56" s="28" t="n"/>
      <x:c r="K56" s="28" t="n"/>
      <x:c r="L56" s="28" t="n"/>
      <x:c r="M56" s="28" t="n"/>
      <x:c r="N56" s="28" t="n"/>
      <x:c r="O56" s="28" t="n"/>
      <x:c r="P56" s="28" t="n"/>
      <x:c r="Q56" s="100" t="n"/>
      <x:c r="R56" s="100" t="n"/>
      <x:c r="S56" s="28" t="n"/>
      <x:c r="T56" s="28" t="n"/>
      <x:c r="U56" s="28" t="n"/>
      <x:c r="V56" s="28" t="n"/>
      <x:c r="W56" s="28" t="n"/>
      <x:c r="X56" s="28" t="n"/>
      <x:c r="Y56" s="28" t="n"/>
      <x:c r="Z56" s="28" t="n"/>
      <x:c r="AA56" s="28" t="n"/>
      <x:c r="AB56" s="28" t="n"/>
      <x:c r="AC56" s="28" t="n"/>
      <x:c r="AD56" s="100" t="n"/>
      <x:c r="AE56" s="100" t="n"/>
      <x:c r="AF56" s="100" t="n"/>
      <x:c r="AG56" s="100" t="n"/>
      <x:c r="AH56" s="100" t="n"/>
      <x:c r="AI56" s="100" t="n"/>
      <x:c r="AJ56" s="100" t="n"/>
      <x:c r="AK56" s="28" t="n"/>
      <x:c r="AL56" s="100" t="n">
        <x:v>-1</x:v>
      </x:c>
      <x:c r="AM56" s="28" t="n"/>
      <x:c r="AN56" s="123" t="n"/>
      <x:c r="AO56" s="28" t="n"/>
      <x:c r="AP56" s="28" t="n"/>
      <x:c r="AQ56" s="28" t="n"/>
      <x:c r="AR56" s="28" t="n"/>
      <x:c r="AS56" s="28" t="n"/>
    </x:row>
    <x:row r="57" s="27" customFormat="1" ht="17.450000762939453" customHeight="1">
      <x:c r="A57" s="38" t="n"/>
      <x:c r="B57" s="37" t="n"/>
      <x:c r="C57" s="36" t="n">
        <x:f>E57*D$5</x:f>
        <x:v>240</x:v>
      </x:c>
      <x:c r="D57" s="89" t="inlineStr">
        <x:is>
          <x:t xml:space="preserve">Arrowhead Resources, Inc.</x:t>
        </x:is>
      </x:c>
      <x:c r="E57" s="36" t="n">
        <x:f>SUM(G57:HT57)</x:f>
        <x:v>3</x:v>
      </x:c>
      <x:c r="F57" s="35" t="inlineStr">
        <x:is>
          <x:t xml:space="preserve"/>
        </x:is>
      </x:c>
      <x:c r="G57" s="121" t="n"/>
      <x:c r="H57" s="28" t="n"/>
      <x:c r="I57" s="28" t="n"/>
      <x:c r="J57" s="28" t="n"/>
      <x:c r="K57" s="28" t="n"/>
      <x:c r="L57" s="28" t="n"/>
      <x:c r="M57" s="28" t="n"/>
      <x:c r="N57" s="28" t="n"/>
      <x:c r="O57" s="28" t="n"/>
      <x:c r="P57" s="28" t="n"/>
      <x:c r="Q57" s="100" t="n"/>
      <x:c r="R57" s="100" t="n"/>
      <x:c r="S57" s="28" t="n"/>
      <x:c r="T57" s="28" t="n"/>
      <x:c r="U57" s="28" t="n"/>
      <x:c r="V57" s="28" t="n"/>
      <x:c r="W57" s="28" t="n"/>
      <x:c r="X57" s="28" t="n"/>
      <x:c r="Y57" s="28" t="n"/>
      <x:c r="Z57" s="28" t="n"/>
      <x:c r="AA57" s="28" t="n"/>
      <x:c r="AB57" s="28" t="n"/>
      <x:c r="AC57" s="28" t="n"/>
      <x:c r="AD57" s="100" t="n"/>
      <x:c r="AE57" s="100" t="n"/>
      <x:c r="AF57" s="100" t="n"/>
      <x:c r="AG57" s="100" t="n"/>
      <x:c r="AH57" s="100" t="n"/>
      <x:c r="AI57" s="100" t="n"/>
      <x:c r="AJ57" s="100" t="n"/>
      <x:c r="AK57" s="28" t="n"/>
      <x:c r="AL57" s="100" t="n">
        <x:v>1</x:v>
      </x:c>
      <x:c r="AM57" s="28" t="n">
        <x:v>-1</x:v>
      </x:c>
      <x:c r="AN57" s="123" t="n">
        <x:v>1</x:v>
      </x:c>
      <x:c r="AO57" s="28" t="n">
        <x:v>-1</x:v>
      </x:c>
      <x:c r="AP57" s="28" t="n"/>
      <x:c r="AQ57" s="28" t="n"/>
      <x:c r="AR57" s="28" t="n"/>
      <x:c r="AS57" s="28" t="n"/>
      <x:c r="AZ57" s="27" t="n">
        <x:v>1</x:v>
      </x:c>
      <x:c r="BA57" s="27" t="n">
        <x:v>1</x:v>
      </x:c>
      <x:c r="BB57" s="27" t="n">
        <x:v>1</x:v>
      </x:c>
    </x:row>
    <x:row r="58" s="27" customFormat="1" ht="17.450000762939453" customHeight="1">
      <x:c r="A58" s="38" t="n"/>
      <x:c r="B58" s="37" t="n"/>
      <x:c r="C58" s="36" t="n">
        <x:f>E58*D$5</x:f>
        <x:v>80</x:v>
      </x:c>
      <x:c r="D58" s="87" t="inlineStr">
        <x:is>
          <x:t xml:space="preserve">Daniel D. Ferson</x:t>
        </x:is>
      </x:c>
      <x:c r="E58" s="36" t="n">
        <x:f>SUM(G58:HT58)</x:f>
        <x:v>1</x:v>
      </x:c>
      <x:c r="F58" s="35" t="inlineStr">
        <x:is>
          <x:t xml:space="preserve"/>
        </x:is>
      </x:c>
      <x:c r="G58" s="121" t="n"/>
      <x:c r="H58" s="28" t="n"/>
      <x:c r="I58" s="28" t="n"/>
      <x:c r="J58" s="28" t="n"/>
      <x:c r="K58" s="28" t="n"/>
      <x:c r="L58" s="28" t="n"/>
      <x:c r="M58" s="28" t="n"/>
      <x:c r="N58" s="28" t="n"/>
      <x:c r="O58" s="28" t="n"/>
      <x:c r="P58" s="28" t="n"/>
      <x:c r="Q58" s="100" t="n"/>
      <x:c r="R58" s="100" t="n"/>
      <x:c r="S58" s="28" t="n"/>
      <x:c r="T58" s="28" t="n"/>
      <x:c r="U58" s="28" t="n"/>
      <x:c r="V58" s="28" t="n"/>
      <x:c r="W58" s="28" t="n"/>
      <x:c r="X58" s="28" t="n"/>
      <x:c r="Y58" s="28" t="n"/>
      <x:c r="Z58" s="28" t="n"/>
      <x:c r="AA58" s="28" t="n"/>
      <x:c r="AB58" s="28" t="n"/>
      <x:c r="AC58" s="28" t="n"/>
      <x:c r="AD58" s="100" t="n"/>
      <x:c r="AE58" s="100" t="n"/>
      <x:c r="AF58" s="100" t="n"/>
      <x:c r="AG58" s="100" t="n"/>
      <x:c r="AH58" s="100" t="n"/>
      <x:c r="AI58" s="100" t="n"/>
      <x:c r="AJ58" s="100" t="n"/>
      <x:c r="AK58" s="28" t="n"/>
      <x:c r="AL58" s="100" t="n"/>
      <x:c r="AM58" s="28" t="n">
        <x:v>1</x:v>
      </x:c>
      <x:c r="AN58" s="123" t="n"/>
      <x:c r="AO58" s="28" t="n"/>
      <x:c r="AP58" s="28" t="n"/>
      <x:c r="AQ58" s="28" t="n"/>
      <x:c r="AR58" s="28" t="n"/>
      <x:c r="AS58" s="28" t="n"/>
    </x:row>
    <x:row r="59" s="27" customFormat="1" ht="17.450000762939453" customHeight="1">
      <x:c r="A59" s="38" t="n"/>
      <x:c r="B59" s="37" t="n"/>
      <x:c r="C59" s="36" t="n">
        <x:f>E59*D$5</x:f>
        <x:v>80</x:v>
      </x:c>
      <x:c r="D59" s="87" t="inlineStr">
        <x:is>
          <x:t xml:space="preserve">The Hefner Corporation</x:t>
        </x:is>
      </x:c>
      <x:c r="E59" s="36" t="n">
        <x:f>SUM(G59:HT59)</x:f>
        <x:v>1</x:v>
      </x:c>
      <x:c r="F59" s="35" t="inlineStr">
        <x:is>
          <x:t xml:space="preserve"/>
        </x:is>
      </x:c>
      <x:c r="G59" s="121" t="n"/>
      <x:c r="H59" s="28" t="n"/>
      <x:c r="I59" s="28" t="n"/>
      <x:c r="J59" s="28" t="n"/>
      <x:c r="K59" s="28" t="n"/>
      <x:c r="L59" s="28" t="n"/>
      <x:c r="M59" s="28" t="n"/>
      <x:c r="N59" s="28" t="n"/>
      <x:c r="O59" s="28" t="n"/>
      <x:c r="P59" s="28" t="n"/>
      <x:c r="Q59" s="100" t="n"/>
      <x:c r="R59" s="100" t="n"/>
      <x:c r="S59" s="28" t="n"/>
      <x:c r="T59" s="28" t="n"/>
      <x:c r="U59" s="28" t="n"/>
      <x:c r="V59" s="28" t="n"/>
      <x:c r="W59" s="28" t="n"/>
      <x:c r="X59" s="28" t="n"/>
      <x:c r="Y59" s="28" t="n"/>
      <x:c r="Z59" s="28" t="n"/>
      <x:c r="AA59" s="28" t="n"/>
      <x:c r="AB59" s="28" t="n"/>
      <x:c r="AC59" s="28" t="n"/>
      <x:c r="AD59" s="100" t="n"/>
      <x:c r="AE59" s="100" t="n"/>
      <x:c r="AF59" s="100" t="n"/>
      <x:c r="AG59" s="100" t="n"/>
      <x:c r="AH59" s="100" t="n"/>
      <x:c r="AI59" s="100" t="n"/>
      <x:c r="AJ59" s="100" t="n"/>
      <x:c r="AK59" s="28" t="n"/>
      <x:c r="AL59" s="100" t="n"/>
      <x:c r="AM59" s="28" t="n"/>
      <x:c r="AN59" s="123" t="n"/>
      <x:c r="AO59" s="28" t="n">
        <x:v>1</x:v>
      </x:c>
      <x:c r="AP59" s="28" t="n"/>
      <x:c r="AQ59" s="28" t="n"/>
      <x:c r="AR59" s="28" t="n"/>
      <x:c r="AS59" s="28" t="n"/>
    </x:row>
    <x:row r="60" s="27" customFormat="1" ht="16.5" customHeight="1">
      <x:c r="A60" s="38" t="n"/>
      <x:c r="B60" s="37" t="n"/>
      <x:c r="C60" s="36" t="n">
        <x:f>E60*D$5</x:f>
        <x:v>80.61538461538461</x:v>
      </x:c>
      <x:c r="D60" s="87" t="inlineStr">
        <x:is>
          <x:t xml:space="preserve">Hayhurst Oil Properties, Inc.</x:t>
        </x:is>
      </x:c>
      <x:c r="E60" s="36" t="n">
        <x:f>SUM(G60:HT60)</x:f>
        <x:v>1.0076923076923077</x:v>
      </x:c>
      <x:c r="F60" s="35" t="inlineStr">
        <x:is>
          <x:t xml:space="preserve"/>
        </x:is>
      </x:c>
      <x:c r="G60" s="121" t="n"/>
      <x:c r="H60" s="28" t="n"/>
      <x:c r="I60" s="28" t="n"/>
      <x:c r="J60" s="28" t="n"/>
      <x:c r="K60" s="28" t="n"/>
      <x:c r="L60" s="28" t="n"/>
      <x:c r="M60" s="28" t="n"/>
      <x:c r="N60" s="28" t="n"/>
      <x:c r="O60" s="28" t="n"/>
      <x:c r="P60" s="28" t="n"/>
      <x:c r="Q60" s="100" t="n"/>
      <x:c r="R60" s="100" t="n"/>
      <x:c r="S60" s="28" t="n"/>
      <x:c r="T60" s="28" t="n"/>
      <x:c r="U60" s="28" t="n"/>
      <x:c r="V60" s="28" t="n"/>
      <x:c r="W60" s="28" t="n"/>
      <x:c r="X60" s="28" t="n"/>
      <x:c r="Y60" s="28" t="n"/>
      <x:c r="Z60" s="28" t="n"/>
      <x:c r="AA60" s="28" t="n"/>
      <x:c r="AB60" s="28" t="n"/>
      <x:c r="AC60" s="28" t="n"/>
      <x:c r="AD60" s="100" t="n"/>
      <x:c r="AE60" s="100" t="n"/>
      <x:c r="AF60" s="100" t="n"/>
      <x:c r="AG60" s="100" t="n"/>
      <x:c r="AH60" s="100" t="n"/>
      <x:c r="AI60" s="100" t="n"/>
      <x:c r="AJ60" s="100" t="n"/>
      <x:c r="AK60" s="28" t="n"/>
      <x:c r="AL60" s="100" t="n"/>
      <x:c r="AM60" s="28" t="n"/>
      <x:c r="AN60" s="123" t="n"/>
      <x:c r="AO60" s="28" t="n"/>
      <x:c r="AP60" s="28" t="n">
        <x:v>0.0192307692307692</x:v>
      </x:c>
      <x:c r="AQ60" s="28" t="n">
        <x:v>1</x:v>
      </x:c>
      <x:c r="AR60" s="28" t="n"/>
      <x:c r="AS60" s="28" t="n"/>
      <x:c r="AT60" s="27" t="n">
        <x:v>-0.00384615384615385</x:v>
      </x:c>
      <x:c r="AU60" s="27" t="n">
        <x:v>-0.00769230769230769</x:v>
      </x:c>
    </x:row>
    <x:row r="61" s="27" customFormat="1">
      <x:c r="A61" s="38" t="n"/>
      <x:c r="B61" s="37" t="n"/>
      <x:c r="C61" s="36" t="n">
        <x:f>E61*D$5</x:f>
        <x:v>-80</x:v>
      </x:c>
      <x:c r="D61" s="421" t="inlineStr">
        <x:is>
          <x:t xml:space="preserve">Termo Company</x:t>
        </x:is>
      </x:c>
      <x:c r="E61" s="411" t="n">
        <x:f>SUM(G61:HT61)</x:f>
        <x:v>-1</x:v>
      </x:c>
      <x:c r="F61" s="35" t="inlineStr">
        <x:is>
          <x:t xml:space="preserve"/>
        </x:is>
      </x:c>
      <x:c r="G61" s="121" t="n"/>
      <x:c r="H61" s="28" t="n"/>
      <x:c r="I61" s="28" t="n"/>
      <x:c r="J61" s="28" t="n"/>
      <x:c r="K61" s="28" t="n"/>
      <x:c r="L61" s="28" t="n"/>
      <x:c r="M61" s="28" t="n"/>
      <x:c r="N61" s="28" t="n"/>
      <x:c r="O61" s="28" t="n"/>
      <x:c r="P61" s="28" t="n"/>
      <x:c r="Q61" s="100" t="n"/>
      <x:c r="R61" s="100" t="n"/>
      <x:c r="S61" s="28" t="n"/>
      <x:c r="T61" s="28" t="n"/>
      <x:c r="U61" s="28" t="n"/>
      <x:c r="V61" s="28" t="n"/>
      <x:c r="W61" s="28" t="n"/>
      <x:c r="X61" s="28" t="n"/>
      <x:c r="Y61" s="28" t="n"/>
      <x:c r="Z61" s="28" t="n"/>
      <x:c r="AA61" s="28" t="n"/>
      <x:c r="AB61" s="28" t="n"/>
      <x:c r="AC61" s="28" t="n"/>
      <x:c r="AD61" s="100" t="n"/>
      <x:c r="AE61" s="100" t="n"/>
      <x:c r="AF61" s="100" t="n"/>
      <x:c r="AG61" s="100" t="n"/>
      <x:c r="AH61" s="100" t="n"/>
      <x:c r="AI61" s="100" t="n"/>
      <x:c r="AJ61" s="100" t="n"/>
      <x:c r="AK61" s="28" t="n"/>
      <x:c r="AL61" s="100" t="n"/>
      <x:c r="AM61" s="28" t="n"/>
      <x:c r="AN61" s="123" t="n"/>
      <x:c r="AO61" s="28" t="n"/>
      <x:c r="AP61" s="28" t="n"/>
      <x:c r="AQ61" s="28" t="n">
        <x:v>-1</x:v>
      </x:c>
      <x:c r="AR61" s="28" t="n"/>
      <x:c r="AS61" s="28" t="n"/>
    </x:row>
    <x:row r="62" s="27" customFormat="1" ht="24" customHeight="1">
      <x:c r="A62" s="38" t="n"/>
      <x:c r="B62" s="37" t="n"/>
      <x:c r="C62" s="86" t="n">
        <x:f>E62*D$5</x:f>
        <x:v>-80</x:v>
      </x:c>
      <x:c r="D62" s="422" t="inlineStr">
        <x:is>
          <x:t xml:space="preserve">Beckham County Court, RE: In the Matter of the Estate of Annie E. Mitchel, Deceased</x:t>
        </x:is>
      </x:c>
      <x:c r="E62" s="413" t="n">
        <x:f>SUM(G62:HT62)</x:f>
        <x:v>-1</x:v>
      </x:c>
      <x:c r="F62" s="35" t="inlineStr">
        <x:is>
          <x:t xml:space="preserve"/>
        </x:is>
      </x:c>
      <x:c r="G62" s="121" t="n"/>
      <x:c r="H62" s="28" t="n"/>
      <x:c r="I62" s="28" t="n"/>
      <x:c r="J62" s="28" t="n"/>
      <x:c r="K62" s="28" t="n"/>
      <x:c r="L62" s="28" t="n"/>
      <x:c r="M62" s="28" t="n"/>
      <x:c r="N62" s="28" t="n"/>
      <x:c r="O62" s="28" t="n"/>
      <x:c r="P62" s="28" t="n"/>
      <x:c r="Q62" s="100" t="n"/>
      <x:c r="R62" s="100" t="n"/>
      <x:c r="S62" s="28" t="n"/>
      <x:c r="T62" s="28" t="n"/>
      <x:c r="U62" s="28" t="n"/>
      <x:c r="V62" s="28" t="n"/>
      <x:c r="W62" s="28" t="n"/>
      <x:c r="X62" s="28" t="n"/>
      <x:c r="Y62" s="28" t="n"/>
      <x:c r="Z62" s="28" t="n"/>
      <x:c r="AA62" s="28" t="n"/>
      <x:c r="AB62" s="28" t="n"/>
      <x:c r="AC62" s="28" t="n"/>
      <x:c r="AD62" s="100" t="n"/>
      <x:c r="AE62" s="100" t="n"/>
      <x:c r="AF62" s="100" t="n"/>
      <x:c r="AG62" s="100" t="n"/>
      <x:c r="AH62" s="100" t="n"/>
      <x:c r="AI62" s="100" t="n"/>
      <x:c r="AJ62" s="100" t="n"/>
      <x:c r="AK62" s="28" t="n"/>
      <x:c r="AL62" s="100" t="n"/>
      <x:c r="AM62" s="28" t="n"/>
      <x:c r="AN62" s="123" t="n"/>
      <x:c r="AO62" s="28" t="n"/>
      <x:c r="AP62" s="28" t="n"/>
      <x:c r="AQ62" s="28" t="n"/>
      <x:c r="AR62" s="28" t="n">
        <x:v>-1</x:v>
      </x:c>
      <x:c r="AS62" s="28" t="n"/>
    </x:row>
    <x:row r="63" s="27" customFormat="1">
      <x:c r="A63" s="38" t="n"/>
      <x:c r="B63" s="37" t="n"/>
      <x:c r="C63" s="86" t="n">
        <x:f>E63*D$5</x:f>
        <x:v>-13.33333333333336</x:v>
      </x:c>
      <x:c r="D63" s="412" t="inlineStr">
        <x:is>
          <x:t xml:space="preserve">Louise Ormand</x:t>
        </x:is>
      </x:c>
      <x:c r="E63" s="413" t="n">
        <x:f>SUM(G63:HT63)</x:f>
        <x:v>-0.16666666666666702</x:v>
      </x:c>
      <x:c r="F63" s="35" t="inlineStr">
        <x:is>
          <x:t xml:space="preserve"/>
        </x:is>
      </x:c>
      <x:c r="G63" s="121" t="n"/>
      <x:c r="H63" s="28" t="n"/>
      <x:c r="I63" s="28" t="n"/>
      <x:c r="J63" s="28" t="n"/>
      <x:c r="K63" s="28" t="n"/>
      <x:c r="L63" s="28" t="n"/>
      <x:c r="M63" s="28" t="n"/>
      <x:c r="N63" s="28" t="n"/>
      <x:c r="O63" s="28" t="n"/>
      <x:c r="P63" s="28" t="n"/>
      <x:c r="Q63" s="100" t="n"/>
      <x:c r="R63" s="100" t="n"/>
      <x:c r="S63" s="28" t="n"/>
      <x:c r="T63" s="28" t="n"/>
      <x:c r="U63" s="28" t="n"/>
      <x:c r="V63" s="28" t="n"/>
      <x:c r="W63" s="28" t="n"/>
      <x:c r="X63" s="28" t="n"/>
      <x:c r="Y63" s="28" t="n"/>
      <x:c r="Z63" s="28" t="n"/>
      <x:c r="AA63" s="28" t="n"/>
      <x:c r="AB63" s="28" t="n"/>
      <x:c r="AC63" s="28" t="n"/>
      <x:c r="AD63" s="100" t="n"/>
      <x:c r="AE63" s="100" t="n"/>
      <x:c r="AF63" s="100" t="n"/>
      <x:c r="AG63" s="100" t="n"/>
      <x:c r="AH63" s="100" t="n"/>
      <x:c r="AI63" s="100" t="n"/>
      <x:c r="AJ63" s="100" t="n"/>
      <x:c r="AK63" s="28" t="n"/>
      <x:c r="AL63" s="100" t="n"/>
      <x:c r="AM63" s="28" t="n"/>
      <x:c r="AN63" s="123" t="n"/>
      <x:c r="AO63" s="28" t="n"/>
      <x:c r="AP63" s="28" t="n"/>
      <x:c r="AQ63" s="28" t="n"/>
      <x:c r="AR63" s="28" t="n">
        <x:v>0.333333333333333</x:v>
      </x:c>
      <x:c r="AS63" s="28" t="n"/>
      <x:c r="BA63" s="27" t="n">
        <x:v>-0.5</x:v>
      </x:c>
    </x:row>
    <x:row r="64" s="27" customFormat="1">
      <x:c r="A64" s="38" t="n"/>
      <x:c r="B64" s="37" t="n"/>
      <x:c r="C64" s="36" t="n">
        <x:f>E64*D$5</x:f>
        <x:v>26.66666666666664</x:v>
      </x:c>
      <x:c r="D64" s="4" t="inlineStr">
        <x:is>
          <x:t xml:space="preserve">Mattie Britton</x:t>
        </x:is>
      </x:c>
      <x:c r="E64" s="36" t="n">
        <x:f>SUM(G64:HT64)</x:f>
        <x:v>0.333333333333333</x:v>
      </x:c>
      <x:c r="F64" s="35" t="inlineStr">
        <x:is>
          <x:t xml:space="preserve"/>
        </x:is>
      </x:c>
      <x:c r="G64" s="121" t="n"/>
      <x:c r="H64" s="28" t="n"/>
      <x:c r="I64" s="28" t="n"/>
      <x:c r="K64" s="28" t="n"/>
      <x:c r="L64" s="28" t="n"/>
      <x:c r="M64" s="28" t="n"/>
      <x:c r="N64" s="28" t="n"/>
      <x:c r="O64" s="28" t="n"/>
      <x:c r="P64" s="28" t="n"/>
      <x:c r="Q64" s="100" t="n"/>
      <x:c r="R64" s="100" t="n"/>
      <x:c r="S64" s="28" t="n"/>
      <x:c r="T64" s="28" t="n"/>
      <x:c r="U64" s="28" t="n"/>
      <x:c r="V64" s="28" t="n"/>
      <x:c r="W64" s="28" t="n"/>
      <x:c r="X64" s="28" t="n"/>
      <x:c r="Y64" s="28" t="n"/>
      <x:c r="Z64" s="28" t="n"/>
      <x:c r="AA64" s="28" t="n"/>
      <x:c r="AB64" s="28" t="n"/>
      <x:c r="AC64" s="28" t="n"/>
      <x:c r="AD64" s="100" t="n"/>
      <x:c r="AE64" s="100" t="n"/>
      <x:c r="AF64" s="100" t="n"/>
      <x:c r="AG64" s="100" t="n"/>
      <x:c r="AH64" s="100" t="n"/>
      <x:c r="AI64" s="100" t="n"/>
      <x:c r="AJ64" s="100" t="n"/>
      <x:c r="AK64" s="28" t="n"/>
      <x:c r="AL64" s="100" t="n"/>
      <x:c r="AM64" s="28" t="n"/>
      <x:c r="AN64" s="123" t="n"/>
      <x:c r="AO64" s="28" t="n"/>
      <x:c r="AP64" s="28" t="n"/>
      <x:c r="AQ64" s="28" t="n"/>
      <x:c r="AR64" s="28" t="n">
        <x:v>0.333333333333333</x:v>
      </x:c>
      <x:c r="AS64" s="28" t="n"/>
    </x:row>
    <x:row r="65" s="27" customFormat="1">
      <x:c r="A65" s="38" t="n"/>
      <x:c r="B65" s="37" t="n"/>
      <x:c r="C65" s="86" t="n">
        <x:f>E65*D$5</x:f>
        <x:v>-80</x:v>
      </x:c>
      <x:c r="D65" s="422" t="inlineStr">
        <x:is>
          <x:t xml:space="preserve">Mattie C. Britton</x:t>
        </x:is>
      </x:c>
      <x:c r="E65" s="413" t="n">
        <x:f>SUM(G65:HT65)</x:f>
        <x:v>-1</x:v>
      </x:c>
      <x:c r="F65" s="35" t="inlineStr">
        <x:is>
          <x:t xml:space="preserve"/>
        </x:is>
      </x:c>
      <x:c r="G65" s="121" t="n"/>
      <x:c r="H65" s="28" t="n"/>
      <x:c r="I65" s="28" t="n"/>
      <x:c r="L65" s="28" t="n"/>
      <x:c r="M65" s="28" t="n"/>
      <x:c r="N65" s="28" t="n"/>
      <x:c r="O65" s="28" t="n"/>
      <x:c r="P65" s="28" t="n"/>
      <x:c r="Q65" s="100" t="n"/>
      <x:c r="R65" s="100" t="n"/>
      <x:c r="S65" s="28" t="n"/>
      <x:c r="T65" s="28" t="n"/>
      <x:c r="U65" s="28" t="n"/>
      <x:c r="V65" s="28" t="n"/>
      <x:c r="W65" s="28" t="n"/>
      <x:c r="X65" s="28" t="n"/>
      <x:c r="Y65" s="28" t="n"/>
      <x:c r="Z65" s="28" t="n"/>
      <x:c r="AA65" s="28" t="n"/>
      <x:c r="AB65" s="28" t="n"/>
      <x:c r="AC65" s="28" t="n"/>
      <x:c r="AD65" s="100" t="n"/>
      <x:c r="AE65" s="100" t="n"/>
      <x:c r="AF65" s="100" t="n"/>
      <x:c r="AG65" s="100" t="n"/>
      <x:c r="AH65" s="100" t="n"/>
      <x:c r="AI65" s="100" t="n"/>
      <x:c r="AJ65" s="100" t="n"/>
      <x:c r="AK65" s="28" t="n"/>
      <x:c r="AL65" s="100" t="n"/>
      <x:c r="AM65" s="28" t="n"/>
      <x:c r="AN65" s="123" t="n"/>
      <x:c r="AO65" s="28" t="n"/>
      <x:c r="AP65" s="28" t="n"/>
      <x:c r="AQ65" s="28" t="n"/>
      <x:c r="AR65" s="28" t="n"/>
      <x:c r="AS65" s="28" t="n">
        <x:v>-1</x:v>
      </x:c>
    </x:row>
    <x:row r="66" s="27" customFormat="1">
      <x:c r="A66" s="38" t="n"/>
      <x:c r="B66" s="37" t="n"/>
      <x:c r="C66" s="86" t="n">
        <x:f>E66*D$5</x:f>
        <x:v>80</x:v>
      </x:c>
      <x:c r="D66" s="523" t="inlineStr">
        <x:is>
          <x:t xml:space="preserve">Joe Britton and Anna R. Britton, HW, JTWROS</x:t>
        </x:is>
      </x:c>
      <x:c r="E66" s="86" t="n">
        <x:f>SUM(G66:HT66)</x:f>
        <x:v>1</x:v>
      </x:c>
      <x:c r="F66" s="35" t="inlineStr">
        <x:is>
          <x:t xml:space="preserve"/>
        </x:is>
      </x:c>
      <x:c r="G66" s="121" t="n"/>
      <x:c r="H66" s="28" t="n"/>
      <x:c r="I66" s="28" t="n"/>
      <x:c r="L66" s="28" t="n"/>
      <x:c r="M66" s="28" t="n"/>
      <x:c r="N66" s="28" t="n"/>
      <x:c r="O66" s="28" t="n"/>
      <x:c r="P66" s="28" t="n"/>
      <x:c r="Q66" s="100" t="n"/>
      <x:c r="R66" s="100" t="n"/>
      <x:c r="S66" s="28" t="n"/>
      <x:c r="T66" s="28" t="n"/>
      <x:c r="U66" s="28" t="n"/>
      <x:c r="V66" s="28" t="n"/>
      <x:c r="W66" s="28" t="n"/>
      <x:c r="X66" s="28" t="n"/>
      <x:c r="Y66" s="28" t="n"/>
      <x:c r="Z66" s="28" t="n"/>
      <x:c r="AA66" s="28" t="n"/>
      <x:c r="AB66" s="28" t="n"/>
      <x:c r="AC66" s="28" t="n"/>
      <x:c r="AD66" s="100" t="n"/>
      <x:c r="AE66" s="100" t="n"/>
      <x:c r="AF66" s="100" t="n"/>
      <x:c r="AG66" s="101" t="n"/>
      <x:c r="AH66" s="101" t="n"/>
      <x:c r="AI66" s="100" t="n"/>
      <x:c r="AJ66" s="100" t="n"/>
      <x:c r="AK66" s="28" t="n"/>
      <x:c r="AL66" s="100" t="n"/>
      <x:c r="AM66" s="28" t="n"/>
      <x:c r="AN66" s="123" t="n"/>
      <x:c r="AO66" s="28" t="n"/>
      <x:c r="AP66" s="28" t="n"/>
      <x:c r="AQ66" s="28" t="n"/>
      <x:c r="AR66" s="28" t="n"/>
      <x:c r="AS66" s="28" t="n">
        <x:v>1</x:v>
      </x:c>
    </x:row>
    <x:row r="67" s="27" customFormat="1">
      <x:c r="A67" s="38" t="n"/>
      <x:c r="B67" s="37" t="n"/>
      <x:c r="C67" s="36" t="n">
        <x:f>E67*D$5</x:f>
        <x:v>0.307692307692308</x:v>
      </x:c>
      <x:c r="D67" s="4" t="inlineStr">
        <x:is>
          <x:t xml:space="preserve">Minion Investment Company</x:t>
        </x:is>
      </x:c>
      <x:c r="E67" s="36" t="n">
        <x:f>SUM(G67:HT67)</x:f>
        <x:v>0.00384615384615385</x:v>
      </x:c>
      <x:c r="F67" s="35" t="inlineStr">
        <x:is>
          <x:t xml:space="preserve"/>
        </x:is>
      </x:c>
      <x:c r="G67" s="121" t="n"/>
      <x:c r="H67" s="28" t="n"/>
      <x:c r="I67" s="28" t="n"/>
      <x:c r="J67" s="28" t="n"/>
      <x:c r="K67" s="28" t="n"/>
      <x:c r="L67" s="28" t="n"/>
      <x:c r="M67" s="28" t="n"/>
      <x:c r="N67" s="28" t="n"/>
      <x:c r="O67" s="28" t="n"/>
      <x:c r="P67" s="28" t="n"/>
      <x:c r="Q67" s="100" t="n"/>
      <x:c r="R67" s="100" t="n"/>
      <x:c r="S67" s="28" t="n"/>
      <x:c r="T67" s="28" t="n"/>
      <x:c r="U67" s="28" t="n"/>
      <x:c r="V67" s="28" t="n"/>
      <x:c r="W67" s="28" t="n"/>
      <x:c r="X67" s="28" t="n"/>
      <x:c r="Y67" s="28" t="n"/>
      <x:c r="Z67" s="28" t="n"/>
      <x:c r="AA67" s="28" t="n"/>
      <x:c r="AB67" s="28" t="n"/>
      <x:c r="AC67" s="28" t="n"/>
      <x:c r="AD67" s="100" t="n"/>
      <x:c r="AE67" s="100" t="n"/>
      <x:c r="AF67" s="100" t="n"/>
      <x:c r="AG67" s="101" t="n"/>
      <x:c r="AH67" s="100" t="n"/>
      <x:c r="AI67" s="100" t="n"/>
      <x:c r="AJ67" s="101" t="n"/>
      <x:c r="AK67" s="28" t="n"/>
      <x:c r="AL67" s="100" t="n"/>
      <x:c r="AM67" s="28" t="n"/>
      <x:c r="AN67" s="123" t="n"/>
      <x:c r="AO67" s="28" t="n"/>
      <x:c r="AP67" s="28" t="n"/>
      <x:c r="AQ67" s="28" t="n"/>
      <x:c r="AR67" s="28" t="n"/>
      <x:c r="AS67" s="28" t="n"/>
      <x:c r="AT67" s="27" t="n">
        <x:v>0.00384615384615385</x:v>
      </x:c>
    </x:row>
    <x:row r="68" s="27" customFormat="1">
      <x:c r="A68" s="38" t="n"/>
      <x:c r="B68" s="37" t="n"/>
      <x:c r="C68" s="36" t="n">
        <x:f>E68*D$5</x:f>
        <x:v>0.3076923076923076</x:v>
      </x:c>
      <x:c r="D68" s="4" t="inlineStr">
        <x:is>
          <x:t xml:space="preserve">Nam Corporation</x:t>
        </x:is>
      </x:c>
      <x:c r="E68" s="36" t="n">
        <x:f>SUM(G68:HT68)</x:f>
        <x:v>0.003846153846153845</x:v>
      </x:c>
      <x:c r="F68" s="35" t="inlineStr">
        <x:is>
          <x:t xml:space="preserve"/>
        </x:is>
      </x:c>
      <x:c r="G68" s="121" t="n"/>
      <x:c r="H68" s="28" t="n"/>
      <x:c r="I68" s="28" t="n"/>
      <x:c r="J68" s="28" t="n"/>
      <x:c r="K68" s="28" t="n"/>
      <x:c r="L68" s="28" t="n"/>
      <x:c r="M68" s="28" t="n"/>
      <x:c r="N68" s="28" t="n"/>
      <x:c r="O68" s="28" t="n"/>
      <x:c r="P68" s="28" t="n"/>
      <x:c r="Q68" s="100" t="n"/>
      <x:c r="R68" s="100" t="n"/>
      <x:c r="S68" s="28" t="n"/>
      <x:c r="T68" s="28" t="n"/>
      <x:c r="U68" s="28" t="n"/>
      <x:c r="V68" s="28" t="n"/>
      <x:c r="W68" s="28" t="n"/>
      <x:c r="X68" s="28" t="n"/>
      <x:c r="Y68" s="28" t="n"/>
      <x:c r="Z68" s="28" t="n"/>
      <x:c r="AA68" s="28" t="n"/>
      <x:c r="AB68" s="28" t="n"/>
      <x:c r="AC68" s="28" t="n"/>
      <x:c r="AD68" s="100" t="n"/>
      <x:c r="AE68" s="100" t="n"/>
      <x:c r="AF68" s="100" t="n"/>
      <x:c r="AG68" s="100" t="n"/>
      <x:c r="AH68" s="101" t="n"/>
      <x:c r="AI68" s="101" t="n"/>
      <x:c r="AJ68" s="100" t="n"/>
      <x:c r="AK68" s="28" t="n"/>
      <x:c r="AL68" s="100" t="n"/>
      <x:c r="AM68" s="28" t="n"/>
      <x:c r="AN68" s="124" t="n"/>
      <x:c r="AO68" s="28" t="n"/>
      <x:c r="AP68" s="28" t="n"/>
      <x:c r="AQ68" s="28" t="n"/>
      <x:c r="AR68" s="28" t="n"/>
      <x:c r="AS68" s="28" t="n"/>
      <x:c r="AU68" s="27" t="n">
        <x:v>0.003846153846153845</x:v>
      </x:c>
    </x:row>
    <x:row r="69" s="27" customFormat="1">
      <x:c r="A69" s="38" t="n"/>
      <x:c r="B69" s="37" t="n"/>
      <x:c r="C69" s="36" t="n">
        <x:f>E69*D$5</x:f>
        <x:v>-159.69230769230768</x:v>
      </x:c>
      <x:c r="D69" s="410" t="inlineStr">
        <x:is>
          <x:t xml:space="preserve">Tripco, Inc.</x:t>
        </x:is>
      </x:c>
      <x:c r="E69" s="411" t="n">
        <x:f>SUM(G69:HT69)</x:f>
        <x:v>-1.9961538461538462</x:v>
      </x:c>
      <x:c r="F69" s="35" t="inlineStr">
        <x:is>
          <x:t xml:space="preserve"/>
        </x:is>
      </x:c>
      <x:c r="G69" s="121" t="n"/>
      <x:c r="H69" s="28" t="n"/>
      <x:c r="I69" s="28" t="n"/>
      <x:c r="J69" s="28" t="n"/>
      <x:c r="K69" s="28" t="n"/>
      <x:c r="L69" s="28" t="n"/>
      <x:c r="M69" s="28" t="n"/>
      <x:c r="N69" s="28" t="n"/>
      <x:c r="O69" s="28" t="n"/>
      <x:c r="P69" s="28" t="n"/>
      <x:c r="Q69" s="100" t="n"/>
      <x:c r="R69" s="100" t="n"/>
      <x:c r="S69" s="28" t="n"/>
      <x:c r="T69" s="28" t="n"/>
      <x:c r="U69" s="28" t="n"/>
      <x:c r="V69" s="28" t="n"/>
      <x:c r="W69" s="28" t="n"/>
      <x:c r="X69" s="28" t="n"/>
      <x:c r="Y69" s="28" t="n"/>
      <x:c r="Z69" s="28" t="n"/>
      <x:c r="AA69" s="28" t="n"/>
      <x:c r="AB69" s="28" t="n"/>
      <x:c r="AC69" s="28" t="n"/>
      <x:c r="AD69" s="100" t="n"/>
      <x:c r="AE69" s="100" t="n"/>
      <x:c r="AF69" s="100" t="n"/>
      <x:c r="AG69" s="100" t="n"/>
      <x:c r="AH69" s="100" t="n"/>
      <x:c r="AI69" s="100" t="n"/>
      <x:c r="AJ69" s="101" t="n"/>
      <x:c r="AK69" s="28" t="n"/>
      <x:c r="AL69" s="100" t="n"/>
      <x:c r="AM69" s="28" t="n"/>
      <x:c r="AN69" s="123" t="n"/>
      <x:c r="AO69" s="28" t="n"/>
      <x:c r="AP69" s="28" t="n"/>
      <x:c r="AQ69" s="28" t="n"/>
      <x:c r="AR69" s="28" t="n"/>
      <x:c r="AS69" s="28" t="n"/>
      <x:c r="AU69" s="27" t="n">
        <x:v>0.003846153846153845</x:v>
      </x:c>
      <x:c r="AV69" s="27" t="n">
        <x:v>-1</x:v>
      </x:c>
      <x:c r="BN69" s="27" t="n">
        <x:v>-1</x:v>
      </x:c>
    </x:row>
    <x:row r="70" s="27" customFormat="1">
      <x:c r="A70" s="38" t="n"/>
      <x:c r="B70" s="37" t="n"/>
      <x:c r="C70" s="36" t="n">
        <x:f>E70*D$5</x:f>
        <x:v>26.66666666666664</x:v>
      </x:c>
      <x:c r="D70" s="89" t="inlineStr">
        <x:is>
          <x:t xml:space="preserve">Prudential Securities</x:t>
        </x:is>
      </x:c>
      <x:c r="E70" s="36" t="n">
        <x:f>SUM(G70:HT70)</x:f>
        <x:v>0.333333333333333</x:v>
      </x:c>
      <x:c r="F70" s="35" t="inlineStr">
        <x:is>
          <x:t xml:space="preserve"/>
        </x:is>
      </x:c>
      <x:c r="G70" s="121" t="n"/>
      <x:c r="H70" s="28" t="n"/>
      <x:c r="I70" s="28" t="n"/>
      <x:c r="J70" s="28" t="n"/>
      <x:c r="K70" s="28" t="n"/>
      <x:c r="L70" s="28" t="n"/>
      <x:c r="M70" s="28" t="n"/>
      <x:c r="N70" s="28" t="n"/>
      <x:c r="O70" s="28" t="n"/>
      <x:c r="P70" s="28" t="n"/>
      <x:c r="Q70" s="100" t="n"/>
      <x:c r="R70" s="100" t="n"/>
      <x:c r="S70" s="28" t="n"/>
      <x:c r="T70" s="28" t="n"/>
      <x:c r="U70" s="28" t="n"/>
      <x:c r="V70" s="28" t="n"/>
      <x:c r="W70" s="28" t="n"/>
      <x:c r="X70" s="28" t="n"/>
      <x:c r="Y70" s="28" t="n"/>
      <x:c r="Z70" s="28" t="n"/>
      <x:c r="AA70" s="28" t="n"/>
      <x:c r="AB70" s="28" t="n"/>
      <x:c r="AC70" s="28" t="n"/>
      <x:c r="AD70" s="100" t="n"/>
      <x:c r="AE70" s="100" t="n"/>
      <x:c r="AF70" s="100" t="n"/>
      <x:c r="AG70" s="100" t="n"/>
      <x:c r="AH70" s="100" t="n"/>
      <x:c r="AI70" s="100" t="n"/>
      <x:c r="AJ70" s="101" t="n"/>
      <x:c r="AK70" s="28" t="n"/>
      <x:c r="AL70" s="100" t="n"/>
      <x:c r="AM70" s="28" t="n"/>
      <x:c r="AN70" s="123" t="n"/>
      <x:c r="AO70" s="28" t="n"/>
      <x:c r="AP70" s="28" t="n"/>
      <x:c r="AQ70" s="28" t="n"/>
      <x:c r="AR70" s="28" t="n"/>
      <x:c r="AS70" s="28" t="n"/>
      <x:c r="AV70" s="27" t="n">
        <x:v>0.333333333333333</x:v>
      </x:c>
    </x:row>
    <x:row r="71" s="27" customFormat="1">
      <x:c r="A71" s="38" t="n"/>
      <x:c r="B71" s="37" t="n"/>
      <x:c r="C71" s="36" t="n">
        <x:f>E71*D$5</x:f>
        <x:v>26.66666666666664</x:v>
      </x:c>
      <x:c r="D71" s="66" t="inlineStr">
        <x:is>
          <x:t xml:space="preserve">C/F Cynthia L. Pipkin I.R.A. Rollover Dated January 23</x:t>
        </x:is>
      </x:c>
      <x:c r="E71" s="36" t="n">
        <x:f>SUM(G71:HT71)</x:f>
        <x:v>0.333333333333333</x:v>
      </x:c>
      <x:c r="F71" s="35" t="inlineStr">
        <x:is>
          <x:t xml:space="preserve"/>
        </x:is>
      </x:c>
      <x:c r="G71" s="121" t="n"/>
      <x:c r="H71" s="28" t="n"/>
      <x:c r="I71" s="28" t="n"/>
      <x:c r="J71" s="28" t="n"/>
      <x:c r="K71" s="28" t="n"/>
      <x:c r="L71" s="28" t="n"/>
      <x:c r="M71" s="28" t="n"/>
      <x:c r="N71" s="28" t="n"/>
      <x:c r="O71" s="28" t="n"/>
      <x:c r="P71" s="28" t="n"/>
      <x:c r="Q71" s="100" t="n"/>
      <x:c r="R71" s="100" t="n"/>
      <x:c r="S71" s="28" t="n"/>
      <x:c r="T71" s="28" t="n"/>
      <x:c r="U71" s="28" t="n"/>
      <x:c r="V71" s="28" t="n"/>
      <x:c r="W71" s="28" t="n"/>
      <x:c r="X71" s="28" t="n"/>
      <x:c r="Y71" s="28" t="n"/>
      <x:c r="Z71" s="28" t="n"/>
      <x:c r="AA71" s="28" t="n"/>
      <x:c r="AB71" s="28" t="n"/>
      <x:c r="AC71" s="28" t="n"/>
      <x:c r="AD71" s="100" t="n"/>
      <x:c r="AE71" s="100" t="n"/>
      <x:c r="AF71" s="100" t="n"/>
      <x:c r="AG71" s="100" t="n"/>
      <x:c r="AH71" s="100" t="n"/>
      <x:c r="AI71" s="100" t="n"/>
      <x:c r="AJ71" s="101" t="n"/>
      <x:c r="AK71" s="28" t="n"/>
      <x:c r="AL71" s="100" t="n"/>
      <x:c r="AM71" s="28" t="n"/>
      <x:c r="AN71" s="123" t="n"/>
      <x:c r="AO71" s="28" t="n"/>
      <x:c r="AP71" s="28" t="n"/>
      <x:c r="AQ71" s="28" t="n"/>
      <x:c r="AR71" s="28" t="n"/>
      <x:c r="AS71" s="28" t="n"/>
      <x:c r="AV71" s="27" t="n">
        <x:v>0.333333333333333</x:v>
      </x:c>
    </x:row>
    <x:row r="72" s="27" customFormat="1">
      <x:c r="A72" s="38" t="n"/>
      <x:c r="B72" s="37" t="n"/>
      <x:c r="C72" s="36" t="n">
        <x:f>E72*D$5</x:f>
        <x:v>26.66666666666664</x:v>
      </x:c>
      <x:c r="D72" s="66" t="n">
        <x:v>1995</x:v>
      </x:c>
      <x:c r="E72" s="36" t="n">
        <x:f>SUM(G72:HT72)</x:f>
        <x:v>0.333333333333333</x:v>
      </x:c>
      <x:c r="F72" s="35" t="inlineStr">
        <x:is>
          <x:t xml:space="preserve"/>
        </x:is>
      </x:c>
      <x:c r="G72" s="121" t="n"/>
      <x:c r="H72" s="28" t="n"/>
      <x:c r="I72" s="28" t="n"/>
      <x:c r="J72" s="28" t="n"/>
      <x:c r="K72" s="28" t="n"/>
      <x:c r="L72" s="28" t="n"/>
      <x:c r="M72" s="28" t="n"/>
      <x:c r="N72" s="28" t="n"/>
      <x:c r="O72" s="28" t="n"/>
      <x:c r="P72" s="28" t="n"/>
      <x:c r="Q72" s="100" t="n"/>
      <x:c r="R72" s="100" t="n"/>
      <x:c r="S72" s="28" t="n"/>
      <x:c r="T72" s="28" t="n"/>
      <x:c r="U72" s="28" t="n"/>
      <x:c r="V72" s="28" t="n"/>
      <x:c r="W72" s="28" t="n"/>
      <x:c r="X72" s="28" t="n"/>
      <x:c r="Y72" s="28" t="n"/>
      <x:c r="Z72" s="28" t="n"/>
      <x:c r="AA72" s="28" t="n"/>
      <x:c r="AB72" s="28" t="n"/>
      <x:c r="AC72" s="28" t="n"/>
      <x:c r="AD72" s="100" t="n"/>
      <x:c r="AE72" s="100" t="n"/>
      <x:c r="AF72" s="100" t="n"/>
      <x:c r="AG72" s="100" t="n"/>
      <x:c r="AH72" s="100" t="n"/>
      <x:c r="AI72" s="100" t="n"/>
      <x:c r="AJ72" s="101" t="n"/>
      <x:c r="AK72" s="28" t="n"/>
      <x:c r="AL72" s="100" t="n"/>
      <x:c r="AM72" s="28" t="n"/>
      <x:c r="AN72" s="123" t="n"/>
      <x:c r="AO72" s="28" t="n"/>
      <x:c r="AP72" s="28" t="n"/>
      <x:c r="AQ72" s="28" t="n"/>
      <x:c r="AR72" s="28" t="n"/>
      <x:c r="AS72" s="28" t="n"/>
      <x:c r="AV72" s="27" t="n">
        <x:v>0.333333333333333</x:v>
      </x:c>
    </x:row>
    <x:row r="73" s="27" customFormat="1">
      <x:c r="A73" s="38" t="n"/>
      <x:c r="B73" s="37" t="n"/>
      <x:c r="C73" s="86" t="n">
        <x:f>E73*D$5</x:f>
        <x:v>-80</x:v>
      </x:c>
      <x:c r="D73" s="416" t="inlineStr">
        <x:is>
          <x:t xml:space="preserve">Charles R. Atha, a/k/a Charles Atha and Letty Atha, HW</x:t>
        </x:is>
      </x:c>
      <x:c r="E73" s="413" t="n">
        <x:f>SUM(G73:HT73)</x:f>
        <x:v>-1</x:v>
      </x:c>
      <x:c r="F73" s="35" t="inlineStr">
        <x:is>
          <x:t xml:space="preserve"/>
        </x:is>
      </x:c>
      <x:c r="G73" s="121" t="n"/>
      <x:c r="H73" s="28" t="n"/>
      <x:c r="I73" s="28" t="n"/>
      <x:c r="J73" s="28" t="n"/>
      <x:c r="K73" s="28" t="n"/>
      <x:c r="L73" s="28" t="n"/>
      <x:c r="M73" s="28" t="n"/>
      <x:c r="N73" s="28" t="n"/>
      <x:c r="O73" s="28" t="n"/>
      <x:c r="P73" s="28" t="n"/>
      <x:c r="Q73" s="100" t="n"/>
      <x:c r="R73" s="100" t="n"/>
      <x:c r="S73" s="28" t="n"/>
      <x:c r="T73" s="28" t="n"/>
      <x:c r="U73" s="28" t="n"/>
      <x:c r="V73" s="28" t="n"/>
      <x:c r="W73" s="28" t="n"/>
      <x:c r="X73" s="28" t="n"/>
      <x:c r="Y73" s="28" t="n"/>
      <x:c r="Z73" s="28" t="n"/>
      <x:c r="AA73" s="28" t="n"/>
      <x:c r="AB73" s="28" t="n"/>
      <x:c r="AC73" s="28" t="n"/>
      <x:c r="AD73" s="100" t="n"/>
      <x:c r="AE73" s="100" t="n"/>
      <x:c r="AF73" s="100" t="n"/>
      <x:c r="AG73" s="100" t="n"/>
      <x:c r="AH73" s="100" t="n"/>
      <x:c r="AI73" s="100" t="n"/>
      <x:c r="AJ73" s="100" t="n"/>
      <x:c r="AK73" s="28" t="n"/>
      <x:c r="AL73" s="100" t="n"/>
      <x:c r="AM73" s="28" t="n"/>
      <x:c r="AN73" s="123" t="n"/>
      <x:c r="AO73" s="28" t="n"/>
      <x:c r="AP73" s="28" t="n"/>
      <x:c r="AQ73" s="28" t="n"/>
      <x:c r="AR73" s="28" t="n"/>
      <x:c r="AS73" s="28" t="n"/>
      <x:c r="AW73" s="27" t="n">
        <x:v>-1</x:v>
      </x:c>
    </x:row>
    <x:row r="74" s="27" customFormat="1" ht="24" customHeight="1">
      <x:c r="A74" s="38" t="n"/>
      <x:c r="B74" s="37" t="n"/>
      <x:c r="C74" s="86" t="n">
        <x:f>E74*D$5</x:f>
        <x:v>80</x:v>
      </x:c>
      <x:c r="D74" s="66" t="inlineStr">
        <x:is>
          <x:t xml:space="preserve">Charles R. Atha, a/k/a Charles Atha and Letty Atha, HW, JTWROS</x:t>
        </x:is>
      </x:c>
      <x:c r="E74" s="86" t="n">
        <x:f>SUM(G74:HT74)</x:f>
        <x:v>1</x:v>
      </x:c>
      <x:c r="F74" s="35" t="inlineStr">
        <x:is>
          <x:t xml:space="preserve"/>
        </x:is>
      </x:c>
      <x:c r="G74" s="121" t="n"/>
      <x:c r="H74" s="28" t="n"/>
      <x:c r="I74" s="28" t="n"/>
      <x:c r="J74" s="28" t="n"/>
      <x:c r="K74" s="28" t="n"/>
      <x:c r="L74" s="28" t="n"/>
      <x:c r="M74" s="28" t="n"/>
      <x:c r="N74" s="28" t="n"/>
      <x:c r="O74" s="28" t="n"/>
      <x:c r="P74" s="28" t="n"/>
      <x:c r="Q74" s="100" t="n"/>
      <x:c r="R74" s="100" t="n"/>
      <x:c r="S74" s="28" t="n"/>
      <x:c r="T74" s="28" t="n"/>
      <x:c r="U74" s="28" t="n"/>
      <x:c r="V74" s="28" t="n"/>
      <x:c r="W74" s="28" t="n"/>
      <x:c r="X74" s="28" t="n"/>
      <x:c r="Y74" s="28" t="n"/>
      <x:c r="Z74" s="28" t="n"/>
      <x:c r="AA74" s="28" t="n"/>
      <x:c r="AB74" s="28" t="n"/>
      <x:c r="AC74" s="28" t="n"/>
      <x:c r="AD74" s="100" t="n"/>
      <x:c r="AE74" s="100" t="n"/>
      <x:c r="AF74" s="100" t="n"/>
      <x:c r="AG74" s="100" t="n"/>
      <x:c r="AH74" s="100" t="n"/>
      <x:c r="AI74" s="100" t="n"/>
      <x:c r="AJ74" s="100" t="n"/>
      <x:c r="AK74" s="28" t="n"/>
      <x:c r="AL74" s="100" t="n"/>
      <x:c r="AM74" s="28" t="n"/>
      <x:c r="AN74" s="123" t="n"/>
      <x:c r="AO74" s="28" t="n"/>
      <x:c r="AP74" s="28" t="n"/>
      <x:c r="AQ74" s="28" t="n"/>
      <x:c r="AR74" s="28" t="n"/>
      <x:c r="AS74" s="28" t="n"/>
      <x:c r="AW74" s="27" t="n">
        <x:v>1</x:v>
      </x:c>
    </x:row>
    <x:row r="75" s="27" customFormat="1" ht="24" customHeight="1">
      <x:c r="A75" s="38" t="n"/>
      <x:c r="B75" s="37" t="n"/>
      <x:c r="C75" s="36" t="n">
        <x:f>E75*D$5</x:f>
        <x:v>-80</x:v>
      </x:c>
      <x:c r="D75" s="416" t="inlineStr">
        <x:is>
          <x:t xml:space="preserve">Roger Mills County Court RE: In the Matter of the Estate of Letty Jane Atha, Deceased</x:t>
        </x:is>
      </x:c>
      <x:c r="E75" s="411" t="n">
        <x:f>SUM(G75:HT75)</x:f>
        <x:v>-1</x:v>
      </x:c>
      <x:c r="F75" s="35" t="inlineStr">
        <x:is>
          <x:t xml:space="preserve"/>
        </x:is>
      </x:c>
      <x:c r="G75" s="121" t="n"/>
      <x:c r="H75" s="28" t="n"/>
      <x:c r="I75" s="28" t="n"/>
      <x:c r="J75" s="28" t="n"/>
      <x:c r="K75" s="28" t="n"/>
      <x:c r="L75" s="28" t="n"/>
      <x:c r="M75" s="28" t="n"/>
      <x:c r="N75" s="28" t="n"/>
      <x:c r="O75" s="28" t="n"/>
      <x:c r="P75" s="28" t="n"/>
      <x:c r="Q75" s="100" t="n"/>
      <x:c r="R75" s="100" t="n"/>
      <x:c r="S75" s="28" t="n"/>
      <x:c r="T75" s="28" t="n"/>
      <x:c r="U75" s="28" t="n"/>
      <x:c r="V75" s="28" t="n"/>
      <x:c r="W75" s="28" t="n"/>
      <x:c r="X75" s="28" t="n"/>
      <x:c r="Y75" s="28" t="n"/>
      <x:c r="Z75" s="28" t="n"/>
      <x:c r="AA75" s="28" t="n"/>
      <x:c r="AB75" s="28" t="n"/>
      <x:c r="AC75" s="28" t="n"/>
      <x:c r="AD75" s="100" t="n"/>
      <x:c r="AE75" s="100" t="n"/>
      <x:c r="AF75" s="100" t="n"/>
      <x:c r="AG75" s="100" t="n"/>
      <x:c r="AH75" s="100" t="n"/>
      <x:c r="AI75" s="100" t="n"/>
      <x:c r="AJ75" s="100" t="n"/>
      <x:c r="AK75" s="28" t="n"/>
      <x:c r="AL75" s="100" t="n"/>
      <x:c r="AM75" s="28" t="n"/>
      <x:c r="AN75" s="100" t="n"/>
      <x:c r="AO75" s="28" t="n"/>
      <x:c r="AP75" s="28" t="n"/>
      <x:c r="AQ75" s="28" t="n"/>
      <x:c r="AR75" s="28" t="n"/>
      <x:c r="AS75" s="28" t="n"/>
      <x:c r="AX75" s="27" t="n">
        <x:v>-1</x:v>
      </x:c>
    </x:row>
    <x:row r="76" s="27" customFormat="1">
      <x:c r="A76" s="38" t="n"/>
      <x:c r="B76" s="37" t="n"/>
      <x:c r="C76" s="36" t="n">
        <x:f>E76*D$5</x:f>
        <x:v>80</x:v>
      </x:c>
      <x:c r="D76" s="66" t="inlineStr">
        <x:is>
          <x:t xml:space="preserve">Charles Allen Atha</x:t>
        </x:is>
      </x:c>
      <x:c r="E76" s="36" t="n">
        <x:f>SUM(G76:HT76)</x:f>
        <x:v>1</x:v>
      </x:c>
      <x:c r="F76" s="35" t="inlineStr">
        <x:is>
          <x:t xml:space="preserve"/>
        </x:is>
      </x:c>
      <x:c r="G76" s="121" t="n"/>
      <x:c r="H76" s="28" t="n"/>
      <x:c r="I76" s="28" t="n"/>
      <x:c r="J76" s="28" t="n"/>
      <x:c r="K76" s="28" t="n"/>
      <x:c r="L76" s="28" t="n"/>
      <x:c r="M76" s="28" t="n"/>
      <x:c r="N76" s="28" t="n"/>
      <x:c r="O76" s="28" t="n"/>
      <x:c r="P76" s="28" t="n"/>
      <x:c r="Q76" s="100" t="n"/>
      <x:c r="R76" s="100" t="n"/>
      <x:c r="S76" s="28" t="n"/>
      <x:c r="T76" s="28" t="n"/>
      <x:c r="U76" s="28" t="n"/>
      <x:c r="V76" s="28" t="n"/>
      <x:c r="W76" s="28" t="n"/>
      <x:c r="X76" s="28" t="n"/>
      <x:c r="Y76" s="28" t="n"/>
      <x:c r="Z76" s="28" t="n"/>
      <x:c r="AA76" s="28" t="n"/>
      <x:c r="AB76" s="28" t="n"/>
      <x:c r="AC76" s="28" t="n"/>
      <x:c r="AD76" s="100" t="n"/>
      <x:c r="AE76" s="100" t="n"/>
      <x:c r="AF76" s="100" t="n"/>
      <x:c r="AG76" s="100" t="n"/>
      <x:c r="AH76" s="100" t="n"/>
      <x:c r="AI76" s="100" t="n"/>
      <x:c r="AJ76" s="100" t="n"/>
      <x:c r="AK76" s="28" t="n"/>
      <x:c r="AL76" s="100" t="n"/>
      <x:c r="AM76" s="28" t="n"/>
      <x:c r="AN76" s="100" t="n"/>
      <x:c r="AO76" s="28" t="n"/>
      <x:c r="AP76" s="28" t="n"/>
      <x:c r="AQ76" s="28" t="n"/>
      <x:c r="AR76" s="28" t="n"/>
      <x:c r="AS76" s="28" t="n"/>
      <x:c r="AX76" s="27" t="n">
        <x:v>1</x:v>
      </x:c>
    </x:row>
    <x:row r="77" s="27" customFormat="1">
      <x:c r="A77" s="38" t="n"/>
      <x:c r="B77" s="37" t="n"/>
      <x:c r="C77" s="36" t="n">
        <x:f>E77*D$5</x:f>
        <x:v>-80</x:v>
      </x:c>
      <x:c r="D77" s="417" t="inlineStr">
        <x:is>
          <x:t xml:space="preserve">Fer-Scher Exploration, LLC</x:t>
        </x:is>
      </x:c>
      <x:c r="E77" s="411" t="n">
        <x:f>SUM(G77:HT77)</x:f>
        <x:v>-1</x:v>
      </x:c>
      <x:c r="F77" s="35" t="inlineStr">
        <x:is>
          <x:t xml:space="preserve"/>
        </x:is>
      </x:c>
      <x:c r="G77" s="121" t="n"/>
      <x:c r="H77" s="28" t="n"/>
      <x:c r="I77" s="28" t="n"/>
      <x:c r="J77" s="28" t="n"/>
      <x:c r="K77" s="28" t="n"/>
      <x:c r="L77" s="28" t="n"/>
      <x:c r="M77" s="28" t="n"/>
      <x:c r="N77" s="28" t="n"/>
      <x:c r="O77" s="28" t="n"/>
      <x:c r="P77" s="28" t="n"/>
      <x:c r="Q77" s="100" t="n"/>
      <x:c r="R77" s="100" t="n"/>
      <x:c r="S77" s="28" t="n"/>
      <x:c r="T77" s="28" t="n"/>
      <x:c r="U77" s="28" t="n"/>
      <x:c r="V77" s="28" t="n"/>
      <x:c r="W77" s="28" t="n"/>
      <x:c r="X77" s="28" t="n"/>
      <x:c r="Y77" s="28" t="n"/>
      <x:c r="Z77" s="28" t="n"/>
      <x:c r="AA77" s="28" t="n"/>
      <x:c r="AB77" s="28" t="n"/>
      <x:c r="AC77" s="28" t="n"/>
      <x:c r="AD77" s="100" t="n"/>
      <x:c r="AE77" s="100" t="n"/>
      <x:c r="AF77" s="100" t="n"/>
      <x:c r="AG77" s="100" t="n"/>
      <x:c r="AH77" s="100" t="n"/>
      <x:c r="AI77" s="100" t="n"/>
      <x:c r="AJ77" s="100" t="n"/>
      <x:c r="AK77" s="28" t="n"/>
      <x:c r="AL77" s="100" t="n"/>
      <x:c r="AM77" s="28" t="n"/>
      <x:c r="AN77" s="100" t="n"/>
      <x:c r="AO77" s="28" t="n"/>
      <x:c r="AP77" s="28" t="n"/>
      <x:c r="AQ77" s="28" t="n"/>
      <x:c r="AR77" s="28" t="n"/>
      <x:c r="AS77" s="28" t="n"/>
      <x:c r="AY77" s="27" t="n">
        <x:v>-1</x:v>
      </x:c>
    </x:row>
    <x:row r="78" s="27" customFormat="1">
      <x:c r="A78" s="38" t="n"/>
      <x:c r="B78" s="37" t="n"/>
      <x:c r="C78" s="36" t="n">
        <x:f>E78*D$5</x:f>
        <x:v>80</x:v>
      </x:c>
      <x:c r="D78" s="66" t="inlineStr">
        <x:is>
          <x:t xml:space="preserve">Aspen Minerals Group</x:t>
        </x:is>
      </x:c>
      <x:c r="E78" s="36" t="n">
        <x:f>SUM(G78:HT78)</x:f>
        <x:v>1</x:v>
      </x:c>
      <x:c r="F78" s="35" t="inlineStr">
        <x:is>
          <x:t xml:space="preserve"/>
        </x:is>
      </x:c>
      <x:c r="G78" s="121" t="n"/>
      <x:c r="H78" s="28" t="n"/>
      <x:c r="I78" s="28" t="n"/>
      <x:c r="J78" s="28" t="n"/>
      <x:c r="K78" s="28" t="n"/>
      <x:c r="L78" s="28" t="n"/>
      <x:c r="M78" s="28" t="n"/>
      <x:c r="N78" s="28" t="n"/>
      <x:c r="O78" s="28" t="n"/>
      <x:c r="P78" s="28" t="n"/>
      <x:c r="Q78" s="100" t="n"/>
      <x:c r="R78" s="100" t="n"/>
      <x:c r="S78" s="28" t="n"/>
      <x:c r="T78" s="28" t="n"/>
      <x:c r="U78" s="28" t="n"/>
      <x:c r="V78" s="28" t="n"/>
      <x:c r="W78" s="28" t="n"/>
      <x:c r="X78" s="28" t="n"/>
      <x:c r="Y78" s="28" t="n"/>
      <x:c r="Z78" s="28" t="n"/>
      <x:c r="AA78" s="28" t="n"/>
      <x:c r="AB78" s="28" t="n"/>
      <x:c r="AC78" s="28" t="n"/>
      <x:c r="AD78" s="100" t="n"/>
      <x:c r="AE78" s="100" t="n"/>
      <x:c r="AF78" s="100" t="n"/>
      <x:c r="AG78" s="100" t="n"/>
      <x:c r="AH78" s="100" t="n"/>
      <x:c r="AI78" s="100" t="n"/>
      <x:c r="AJ78" s="100" t="n"/>
      <x:c r="AK78" s="28" t="n"/>
      <x:c r="AL78" s="100" t="n"/>
      <x:c r="AM78" s="28" t="n"/>
      <x:c r="AN78" s="100" t="n"/>
      <x:c r="AO78" s="28" t="n"/>
      <x:c r="AP78" s="28" t="n"/>
      <x:c r="AQ78" s="28" t="n"/>
      <x:c r="AR78" s="28" t="n"/>
      <x:c r="AS78" s="28" t="n"/>
      <x:c r="AY78" s="27" t="n">
        <x:v>1</x:v>
      </x:c>
    </x:row>
    <x:row r="79" s="27" customFormat="1">
      <x:c r="A79" s="38" t="n"/>
      <x:c r="B79" s="37" t="n"/>
      <x:c r="C79" s="86" t="n">
        <x:f>E79*D$5</x:f>
        <x:v>0</x:v>
      </x:c>
      <x:c r="D79" s="523" t="inlineStr">
        <x:is>
          <x:t xml:space="preserve">Nanalee Faye Barnett</x:t>
        </x:is>
      </x:c>
      <x:c r="E79" s="86" t="n">
        <x:f>SUM(G79:HT79)</x:f>
        <x:v>0</x:v>
      </x:c>
      <x:c r="F79" s="35" t="inlineStr">
        <x:is>
          <x:t xml:space="preserve"/>
        </x:is>
      </x:c>
      <x:c r="G79" s="121" t="n"/>
      <x:c r="H79" s="28" t="n"/>
      <x:c r="I79" s="28" t="n"/>
      <x:c r="J79" s="28" t="n"/>
      <x:c r="K79" s="28" t="n"/>
      <x:c r="L79" s="28" t="n"/>
      <x:c r="M79" s="28" t="n"/>
      <x:c r="N79" s="28" t="n"/>
      <x:c r="O79" s="28" t="n"/>
      <x:c r="P79" s="28" t="n"/>
      <x:c r="Q79" s="100" t="n"/>
      <x:c r="R79" s="100" t="n"/>
      <x:c r="S79" s="28" t="n"/>
      <x:c r="T79" s="28" t="n"/>
      <x:c r="U79" s="28" t="n"/>
      <x:c r="V79" s="28" t="n"/>
      <x:c r="W79" s="28" t="n"/>
      <x:c r="X79" s="28" t="n"/>
      <x:c r="Y79" s="28" t="n"/>
      <x:c r="Z79" s="28" t="n"/>
      <x:c r="AA79" s="28" t="n"/>
      <x:c r="AB79" s="28" t="n"/>
      <x:c r="AC79" s="28" t="n"/>
      <x:c r="AD79" s="100" t="n"/>
      <x:c r="AE79" s="100" t="n"/>
      <x:c r="AF79" s="100" t="n"/>
      <x:c r="AG79" s="100" t="n"/>
      <x:c r="AH79" s="100" t="n"/>
      <x:c r="AI79" s="100" t="n"/>
      <x:c r="AJ79" s="100" t="n"/>
      <x:c r="AK79" s="28" t="n"/>
      <x:c r="AL79" s="100" t="n"/>
      <x:c r="AM79" s="28" t="n"/>
      <x:c r="AN79" s="100" t="n"/>
      <x:c r="AO79" s="28" t="n"/>
      <x:c r="AP79" s="28" t="n"/>
      <x:c r="AQ79" s="28" t="n"/>
      <x:c r="AR79" s="28" t="n"/>
      <x:c r="AS79" s="28" t="n"/>
      <x:c r="AZ79" s="27" t="n">
        <x:v>-1</x:v>
      </x:c>
      <x:c r="BC79" s="27" t="n">
        <x:v>1</x:v>
      </x:c>
    </x:row>
    <x:row r="80" s="27" customFormat="1">
      <x:c r="A80" s="38" t="n"/>
      <x:c r="B80" s="37" t="n"/>
      <x:c r="C80" s="36" t="n">
        <x:f>E80*D$5</x:f>
        <x:v>-40</x:v>
      </x:c>
      <x:c r="D80" s="416" t="inlineStr">
        <x:is>
          <x:t xml:space="preserve">now Louise Ormand McLerran</x:t>
        </x:is>
      </x:c>
      <x:c r="E80" s="411" t="n">
        <x:f>SUM(G80:HT80)</x:f>
        <x:v>-0.5</x:v>
      </x:c>
      <x:c r="F80" s="35" t="inlineStr">
        <x:is>
          <x:t xml:space="preserve"/>
        </x:is>
      </x:c>
      <x:c r="G80" s="121" t="n"/>
      <x:c r="H80" s="28" t="n"/>
      <x:c r="I80" s="28" t="n"/>
      <x:c r="J80" s="28" t="n"/>
      <x:c r="K80" s="28" t="n"/>
      <x:c r="L80" s="28" t="n"/>
      <x:c r="M80" s="28" t="n"/>
      <x:c r="N80" s="28" t="n"/>
      <x:c r="O80" s="28" t="n"/>
      <x:c r="P80" s="28" t="n"/>
      <x:c r="Q80" s="100" t="n"/>
      <x:c r="R80" s="100" t="n"/>
      <x:c r="S80" s="28" t="n"/>
      <x:c r="T80" s="28" t="n"/>
      <x:c r="U80" s="28" t="n"/>
      <x:c r="V80" s="28" t="n"/>
      <x:c r="W80" s="28" t="n"/>
      <x:c r="X80" s="28" t="n"/>
      <x:c r="Y80" s="28" t="n"/>
      <x:c r="Z80" s="28" t="n"/>
      <x:c r="AA80" s="28" t="n"/>
      <x:c r="AB80" s="28" t="n"/>
      <x:c r="AC80" s="28" t="n"/>
      <x:c r="AD80" s="100" t="n"/>
      <x:c r="AE80" s="100" t="n"/>
      <x:c r="AF80" s="100" t="n"/>
      <x:c r="AG80" s="100" t="n"/>
      <x:c r="AH80" s="100" t="n"/>
      <x:c r="AI80" s="100" t="n"/>
      <x:c r="AJ80" s="100" t="n"/>
      <x:c r="AK80" s="28" t="n"/>
      <x:c r="AL80" s="100" t="n"/>
      <x:c r="AM80" s="28" t="n"/>
      <x:c r="AN80" s="100" t="n"/>
      <x:c r="AO80" s="28" t="n"/>
      <x:c r="AP80" s="28" t="n"/>
      <x:c r="AQ80" s="28" t="n"/>
      <x:c r="AR80" s="28" t="n"/>
      <x:c r="AS80" s="28" t="n"/>
      <x:c r="BA80" s="27" t="n">
        <x:v>-0.5</x:v>
      </x:c>
    </x:row>
    <x:row r="81" s="27" customFormat="1">
      <x:c r="A81" s="38" t="n"/>
      <x:c r="B81" s="37" t="n"/>
      <x:c r="C81" s="86" t="n">
        <x:f>E81*D$5</x:f>
        <x:v>-80</x:v>
      </x:c>
      <x:c r="D81" s="412" t="inlineStr">
        <x:is>
          <x:t xml:space="preserve">Glenn D. Mitchel, a/k/a Glen D. Mitchel</x:t>
        </x:is>
      </x:c>
      <x:c r="E81" s="413" t="n">
        <x:f>SUM(G81:HT81)</x:f>
        <x:v>-1</x:v>
      </x:c>
      <x:c r="F81" s="35" t="inlineStr">
        <x:is>
          <x:t xml:space="preserve"/>
        </x:is>
      </x:c>
      <x:c r="G81" s="121" t="n"/>
      <x:c r="H81" s="28" t="n"/>
      <x:c r="I81" s="28" t="n"/>
      <x:c r="J81" s="28" t="n"/>
      <x:c r="K81" s="28" t="n"/>
      <x:c r="L81" s="28" t="n"/>
      <x:c r="M81" s="28" t="n"/>
      <x:c r="N81" s="28" t="n"/>
      <x:c r="O81" s="28" t="n"/>
      <x:c r="P81" s="28" t="n"/>
      <x:c r="Q81" s="100" t="n"/>
      <x:c r="R81" s="100" t="n"/>
      <x:c r="S81" s="28" t="n"/>
      <x:c r="T81" s="28" t="n"/>
      <x:c r="U81" s="28" t="n"/>
      <x:c r="V81" s="28" t="n"/>
      <x:c r="W81" s="28" t="n"/>
      <x:c r="X81" s="28" t="n"/>
      <x:c r="Y81" s="28" t="n"/>
      <x:c r="Z81" s="28" t="n"/>
      <x:c r="AA81" s="28" t="n"/>
      <x:c r="AB81" s="28" t="n"/>
      <x:c r="AC81" s="28" t="n"/>
      <x:c r="AD81" s="100" t="n"/>
      <x:c r="AE81" s="100" t="n"/>
      <x:c r="AF81" s="100" t="n"/>
      <x:c r="AG81" s="100" t="n"/>
      <x:c r="AH81" s="100" t="n"/>
      <x:c r="AI81" s="100" t="n"/>
      <x:c r="AJ81" s="100" t="n"/>
      <x:c r="AK81" s="28" t="n"/>
      <x:c r="AL81" s="100" t="n"/>
      <x:c r="AM81" s="28" t="n"/>
      <x:c r="AN81" s="100" t="n"/>
      <x:c r="AO81" s="28" t="n"/>
      <x:c r="AP81" s="28" t="n"/>
      <x:c r="AQ81" s="28" t="n"/>
      <x:c r="AR81" s="28" t="n"/>
      <x:c r="AS81" s="28" t="n"/>
      <x:c r="BB81" s="27" t="n">
        <x:v>-1</x:v>
      </x:c>
    </x:row>
    <x:row r="82" s="27" customFormat="1" ht="24" customHeight="1">
      <x:c r="A82" s="38" t="n"/>
      <x:c r="B82" s="37" t="n"/>
      <x:c r="C82" s="36" t="n">
        <x:f>E82*D$5</x:f>
        <x:v>-80</x:v>
      </x:c>
      <x:c r="D82" s="416" t="inlineStr">
        <x:is>
          <x:t xml:space="preserve">Roger Mills County Court RE: In the Matter of the Estate of Jack E. Barnett, Deceased</x:t>
        </x:is>
      </x:c>
      <x:c r="E82" s="411" t="n">
        <x:f>SUM(G82:HT82)</x:f>
        <x:v>-1</x:v>
      </x:c>
      <x:c r="F82" s="35" t="inlineStr">
        <x:is>
          <x:t xml:space="preserve"/>
        </x:is>
      </x:c>
      <x:c r="G82" s="121" t="n"/>
      <x:c r="H82" s="28" t="n"/>
      <x:c r="I82" s="28" t="n"/>
      <x:c r="J82" s="28" t="n"/>
      <x:c r="K82" s="28" t="n"/>
      <x:c r="L82" s="28" t="n"/>
      <x:c r="M82" s="28" t="n"/>
      <x:c r="N82" s="28" t="n"/>
      <x:c r="O82" s="28" t="n"/>
      <x:c r="P82" s="28" t="n"/>
      <x:c r="Q82" s="100" t="n"/>
      <x:c r="R82" s="100" t="n"/>
      <x:c r="S82" s="28" t="n"/>
      <x:c r="T82" s="28" t="n"/>
      <x:c r="U82" s="28" t="n"/>
      <x:c r="V82" s="28" t="n"/>
      <x:c r="W82" s="28" t="n"/>
      <x:c r="X82" s="28" t="n"/>
      <x:c r="Y82" s="28" t="n"/>
      <x:c r="Z82" s="28" t="n"/>
      <x:c r="AA82" s="28" t="n"/>
      <x:c r="AB82" s="28" t="n"/>
      <x:c r="AC82" s="28" t="n"/>
      <x:c r="AD82" s="100" t="n"/>
      <x:c r="AE82" s="100" t="n"/>
      <x:c r="AF82" s="100" t="n"/>
      <x:c r="AG82" s="100" t="n"/>
      <x:c r="AH82" s="100" t="n"/>
      <x:c r="AI82" s="100" t="n"/>
      <x:c r="AJ82" s="100" t="n"/>
      <x:c r="AK82" s="28" t="n"/>
      <x:c r="AL82" s="100" t="n"/>
      <x:c r="AM82" s="28" t="n"/>
      <x:c r="AN82" s="100" t="n"/>
      <x:c r="AO82" s="28" t="n"/>
      <x:c r="AP82" s="28" t="n"/>
      <x:c r="AQ82" s="28" t="n"/>
      <x:c r="AR82" s="28" t="n"/>
      <x:c r="AS82" s="28" t="n"/>
      <x:c r="BC82" s="27" t="n">
        <x:v>-1</x:v>
      </x:c>
    </x:row>
    <x:row r="83" s="27" customFormat="1" ht="24" customHeight="1">
      <x:c r="A83" s="38" t="n"/>
      <x:c r="B83" s="37" t="n"/>
      <x:c r="C83" s="86" t="n">
        <x:f>E83*D$5</x:f>
        <x:v>0</x:v>
      </x:c>
      <x:c r="D83" s="523" t="inlineStr">
        <x:is>
          <x:t xml:space="preserve">Peggy J. HAYHURST, TRUSTEE, of the Peggy J. Hayhurst Revocable Trust datedrNovember 9, 1993</x:t>
        </x:is>
      </x:c>
      <x:c r="E83" s="86" t="n">
        <x:f>SUM(G83:HT83)</x:f>
        <x:v>0</x:v>
      </x:c>
      <x:c r="F83" s="35" t="inlineStr">
        <x:is>
          <x:t xml:space="preserve"/>
        </x:is>
      </x:c>
      <x:c r="G83" s="121" t="n"/>
      <x:c r="H83" s="28" t="n"/>
      <x:c r="I83" s="28" t="n"/>
      <x:c r="J83" s="28" t="n"/>
      <x:c r="K83" s="28" t="n"/>
      <x:c r="L83" s="28" t="n"/>
      <x:c r="M83" s="28" t="n"/>
      <x:c r="N83" s="28" t="n"/>
      <x:c r="O83" s="28" t="n"/>
      <x:c r="P83" s="28" t="n"/>
      <x:c r="Q83" s="100" t="n"/>
      <x:c r="R83" s="100" t="n"/>
      <x:c r="S83" s="28" t="n"/>
      <x:c r="T83" s="28" t="n"/>
      <x:c r="U83" s="28" t="n"/>
      <x:c r="V83" s="28" t="n"/>
      <x:c r="W83" s="28" t="n"/>
      <x:c r="X83" s="28" t="n"/>
      <x:c r="Y83" s="28" t="n"/>
      <x:c r="Z83" s="28" t="n"/>
      <x:c r="AA83" s="28" t="n"/>
      <x:c r="AB83" s="28" t="n"/>
      <x:c r="AC83" s="28" t="n"/>
      <x:c r="AD83" s="100" t="n"/>
      <x:c r="AE83" s="100" t="n"/>
      <x:c r="AF83" s="100" t="n"/>
      <x:c r="AG83" s="100" t="n"/>
      <x:c r="AH83" s="100" t="n"/>
      <x:c r="AI83" s="100" t="n"/>
      <x:c r="AJ83" s="100" t="n"/>
      <x:c r="AK83" s="28" t="n"/>
      <x:c r="AL83" s="100" t="n"/>
      <x:c r="AM83" s="28" t="n"/>
      <x:c r="AN83" s="100" t="n"/>
      <x:c r="AO83" s="28" t="n"/>
      <x:c r="AP83" s="28" t="n"/>
      <x:c r="AQ83" s="28" t="n"/>
      <x:c r="AR83" s="28" t="n"/>
      <x:c r="AS83" s="28" t="n"/>
    </x:row>
    <x:row r="84" s="27" customFormat="1">
      <x:c r="A84" s="38" t="n"/>
      <x:c r="B84" s="37" t="n"/>
      <x:c r="C84" s="36" t="n">
        <x:f>E84*D$5</x:f>
        <x:v>0</x:v>
      </x:c>
      <x:c r="D84" s="66" t="inlineStr">
        <x:is>
          <x:t xml:space="preserve">Confirm — Missing conveyed interest 2002-004595</x:t>
        </x:is>
      </x:c>
      <x:c r="E84" s="36" t="n">
        <x:f>SUM(G84:HT84)</x:f>
        <x:v>0</x:v>
      </x:c>
      <x:c r="F84" s="35" t="inlineStr">
        <x:is>
          <x:t xml:space="preserve"/>
        </x:is>
      </x:c>
      <x:c r="G84" s="121" t="n"/>
      <x:c r="H84" s="28" t="n"/>
      <x:c r="I84" s="28" t="n"/>
      <x:c r="J84" s="28" t="n"/>
      <x:c r="K84" s="28" t="n"/>
      <x:c r="L84" s="28" t="n"/>
      <x:c r="M84" s="28" t="n"/>
      <x:c r="N84" s="28" t="n"/>
      <x:c r="O84" s="28" t="n"/>
      <x:c r="P84" s="28" t="n"/>
      <x:c r="Q84" s="100" t="n"/>
      <x:c r="R84" s="100" t="n"/>
      <x:c r="S84" s="28" t="n"/>
      <x:c r="T84" s="28" t="n"/>
      <x:c r="U84" s="28" t="n"/>
      <x:c r="V84" s="28" t="n"/>
      <x:c r="W84" s="28" t="n"/>
      <x:c r="X84" s="28" t="n"/>
      <x:c r="Y84" s="28" t="n"/>
      <x:c r="Z84" s="28" t="n"/>
      <x:c r="AA84" s="28" t="n"/>
      <x:c r="AB84" s="28" t="n"/>
      <x:c r="AC84" s="28" t="n"/>
      <x:c r="AD84" s="100" t="n"/>
      <x:c r="AE84" s="100" t="n"/>
      <x:c r="AF84" s="100" t="n"/>
      <x:c r="AG84" s="100" t="n"/>
      <x:c r="AH84" s="100" t="n"/>
      <x:c r="AI84" s="100" t="n"/>
      <x:c r="AJ84" s="100" t="n"/>
      <x:c r="AK84" s="28" t="n"/>
      <x:c r="AL84" s="100" t="n"/>
      <x:c r="AM84" s="28" t="n"/>
      <x:c r="AN84" s="100" t="n"/>
      <x:c r="AO84" s="28" t="n"/>
      <x:c r="AP84" s="28" t="n"/>
      <x:c r="AQ84" s="28" t="n"/>
      <x:c r="AR84" s="28" t="n"/>
      <x:c r="AS84" s="28" t="n"/>
    </x:row>
    <x:row r="85" s="27" customFormat="1" ht="24" customHeight="1">
      <x:c r="A85" s="38" t="n"/>
      <x:c r="B85" s="37" t="n"/>
      <x:c r="C85" s="36" t="n">
        <x:f>E85*D$5</x:f>
        <x:v>-80</x:v>
      </x:c>
      <x:c r="D85" s="416" t="inlineStr">
        <x:is>
          <x:t xml:space="preserve">Beckham County Court, RE: In the Matter of the Estate of Glenn Douglas Mitchel, Deceased</x:t>
        </x:is>
      </x:c>
      <x:c r="E85" s="411" t="n">
        <x:f>SUM(G85:HT85)</x:f>
        <x:v>-1</x:v>
      </x:c>
      <x:c r="F85" s="35" t="inlineStr">
        <x:is>
          <x:t xml:space="preserve"/>
        </x:is>
      </x:c>
      <x:c r="G85" s="121" t="n"/>
      <x:c r="H85" s="28" t="n"/>
      <x:c r="I85" s="28" t="n"/>
      <x:c r="J85" s="28" t="n"/>
      <x:c r="K85" s="28" t="n"/>
      <x:c r="L85" s="28" t="n"/>
      <x:c r="M85" s="28" t="n"/>
      <x:c r="N85" s="28" t="n"/>
      <x:c r="O85" s="28" t="n"/>
      <x:c r="P85" s="28" t="n"/>
      <x:c r="Q85" s="100" t="n"/>
      <x:c r="R85" s="100" t="n"/>
      <x:c r="S85" s="28" t="n"/>
      <x:c r="T85" s="28" t="n"/>
      <x:c r="U85" s="28" t="n"/>
      <x:c r="V85" s="28" t="n"/>
      <x:c r="W85" s="28" t="n"/>
      <x:c r="X85" s="28" t="n"/>
      <x:c r="Y85" s="28" t="n"/>
      <x:c r="Z85" s="28" t="n"/>
      <x:c r="AA85" s="28" t="n"/>
      <x:c r="AB85" s="28" t="n"/>
      <x:c r="AC85" s="28" t="n"/>
      <x:c r="AD85" s="100" t="n"/>
      <x:c r="AE85" s="100" t="n"/>
      <x:c r="AF85" s="100" t="n"/>
      <x:c r="AG85" s="100" t="n"/>
      <x:c r="AH85" s="100" t="n"/>
      <x:c r="AI85" s="100" t="n"/>
      <x:c r="AJ85" s="100" t="n"/>
      <x:c r="AK85" s="28" t="n"/>
      <x:c r="AL85" s="100" t="n"/>
      <x:c r="AM85" s="28" t="n"/>
      <x:c r="AN85" s="100" t="n"/>
      <x:c r="AO85" s="28" t="n"/>
      <x:c r="AP85" s="28" t="n"/>
      <x:c r="AQ85" s="28" t="n"/>
      <x:c r="AR85" s="28" t="n"/>
      <x:c r="AS85" s="28" t="n"/>
      <x:c r="BE85" s="27" t="n">
        <x:v>-1</x:v>
      </x:c>
    </x:row>
    <x:row r="86" s="27" customFormat="1">
      <x:c r="A86" s="38" t="n"/>
      <x:c r="B86" s="37" t="n"/>
      <x:c r="C86" s="36" t="n">
        <x:f>E86*D$5</x:f>
        <x:v>153.33333333333337</x:v>
      </x:c>
      <x:c r="D86" s="66" t="inlineStr">
        <x:is>
          <x:t xml:space="preserve">The Public</x:t>
        </x:is>
      </x:c>
      <x:c r="E86" s="36" t="n">
        <x:f>SUM(G86:HT86)</x:f>
        <x:v>1.916666666666667</x:v>
      </x:c>
      <x:c r="F86" s="35" t="inlineStr">
        <x:is>
          <x:t xml:space="preserve"/>
        </x:is>
      </x:c>
      <x:c r="G86" s="121" t="n"/>
      <x:c r="H86" s="28" t="n"/>
      <x:c r="I86" s="28" t="n"/>
      <x:c r="J86" s="28" t="n"/>
      <x:c r="K86" s="28" t="n"/>
      <x:c r="L86" s="28" t="n"/>
      <x:c r="M86" s="28" t="n"/>
      <x:c r="N86" s="28" t="n"/>
      <x:c r="O86" s="28" t="n"/>
      <x:c r="P86" s="28" t="n"/>
      <x:c r="Q86" s="100" t="n"/>
      <x:c r="R86" s="100" t="n"/>
      <x:c r="S86" s="28" t="n"/>
      <x:c r="T86" s="28" t="n"/>
      <x:c r="U86" s="28" t="n"/>
      <x:c r="V86" s="28" t="n"/>
      <x:c r="W86" s="28" t="n"/>
      <x:c r="X86" s="28" t="n"/>
      <x:c r="Y86" s="28" t="n"/>
      <x:c r="Z86" s="28" t="n"/>
      <x:c r="AA86" s="28" t="n"/>
      <x:c r="AB86" s="28" t="n"/>
      <x:c r="AC86" s="28" t="n"/>
      <x:c r="AD86" s="100" t="n"/>
      <x:c r="AE86" s="100" t="n"/>
      <x:c r="AF86" s="100" t="n"/>
      <x:c r="AG86" s="100" t="n"/>
      <x:c r="AH86" s="100" t="n"/>
      <x:c r="AI86" s="100" t="n"/>
      <x:c r="AJ86" s="100" t="n"/>
      <x:c r="AK86" s="28" t="n"/>
      <x:c r="AL86" s="100" t="n"/>
      <x:c r="AM86" s="28" t="n"/>
      <x:c r="AN86" s="100" t="n"/>
      <x:c r="AO86" s="28" t="n"/>
      <x:c r="AP86" s="28" t="n"/>
      <x:c r="AQ86" s="28" t="n"/>
      <x:c r="AR86" s="28" t="n"/>
      <x:c r="AS86" s="28" t="n"/>
      <x:c r="BE86" s="27" t="n">
        <x:v>1</x:v>
      </x:c>
      <x:c r="BO86" s="27" t="n">
        <x:v>0.916666666666667</x:v>
      </x:c>
    </x:row>
    <x:row r="87" s="27" customFormat="1">
      <x:c r="A87" s="38" t="n"/>
      <x:c r="B87" s="37" t="n"/>
      <x:c r="C87" s="36" t="n">
        <x:f>E87*D$5</x:f>
        <x:v>40</x:v>
      </x:c>
      <x:c r="D87" s="66" t="inlineStr">
        <x:is>
          <x:t xml:space="preserve">White Birch</x:t>
        </x:is>
      </x:c>
      <x:c r="E87" s="36" t="n">
        <x:f>SUM(G87:HT87)</x:f>
        <x:v>0.5</x:v>
      </x:c>
      <x:c r="F87" s="35" t="inlineStr">
        <x:is>
          <x:t xml:space="preserve"/>
        </x:is>
      </x:c>
      <x:c r="G87" s="121" t="n"/>
      <x:c r="Q87" s="100" t="n"/>
      <x:c r="R87" s="100" t="n"/>
      <x:c r="AD87" s="100" t="n"/>
      <x:c r="AE87" s="100" t="n"/>
      <x:c r="AF87" s="100" t="n"/>
      <x:c r="AG87" s="100" t="n"/>
      <x:c r="AH87" s="100" t="n"/>
      <x:c r="AI87" s="100" t="n"/>
      <x:c r="AJ87" s="100" t="n"/>
      <x:c r="AL87" s="100" t="n"/>
      <x:c r="AN87" s="100" t="n"/>
      <x:c r="BF87" s="27" t="n">
        <x:v>0.5</x:v>
      </x:c>
    </x:row>
    <x:row r="88" s="27" customFormat="1">
      <x:c r="A88" s="38" t="n"/>
      <x:c r="B88" s="37" t="n"/>
      <x:c r="C88" s="86" t="n">
        <x:f>E88*D$5</x:f>
        <x:v>80</x:v>
      </x:c>
      <x:c r="D88" s="523" t="inlineStr">
        <x:is>
          <x:t xml:space="preserve">L.P.</x:t>
        </x:is>
      </x:c>
      <x:c r="E88" s="86" t="n">
        <x:f>SUM(G88:HT88)</x:f>
        <x:v>1</x:v>
      </x:c>
      <x:c r="F88" s="35" t="inlineStr">
        <x:is>
          <x:t xml:space="preserve"/>
        </x:is>
      </x:c>
      <x:c r="G88" s="121" t="n"/>
      <x:c r="Q88" s="100" t="n"/>
      <x:c r="R88" s="100" t="n"/>
      <x:c r="AD88" s="100" t="n"/>
      <x:c r="AE88" s="100" t="n"/>
      <x:c r="AF88" s="100" t="n"/>
      <x:c r="AG88" s="100" t="n"/>
      <x:c r="AH88" s="100" t="n"/>
      <x:c r="AI88" s="100" t="n"/>
      <x:c r="AJ88" s="100" t="n"/>
      <x:c r="AL88" s="100" t="n"/>
      <x:c r="AN88" s="100" t="n"/>
      <x:c r="BF88" s="27" t="n">
        <x:v>0.5</x:v>
      </x:c>
      <x:c r="BP88" s="27" t="n">
        <x:v>0.5</x:v>
      </x:c>
    </x:row>
    <x:row r="89" s="27" customFormat="1" ht="24" customHeight="1">
      <x:c r="A89" s="38" t="n"/>
      <x:c r="B89" s="37" t="n"/>
      <x:c r="C89" s="36" t="n">
        <x:f>E89*D$5</x:f>
        <x:v>-80</x:v>
      </x:c>
      <x:c r="D89" s="418" t="inlineStr">
        <x:is>
          <x:t xml:space="preserve">Beckham County Court, RE: In the Matter of the Estate of Evelyn Louise McLerran, Deceased</x:t>
        </x:is>
      </x:c>
      <x:c r="E89" s="411" t="n">
        <x:f>SUM(G89:HT89)</x:f>
        <x:v>-1</x:v>
      </x:c>
      <x:c r="F89" s="35" t="inlineStr">
        <x:is>
          <x:t xml:space="preserve"/>
        </x:is>
      </x:c>
      <x:c r="G89" s="121" t="n"/>
      <x:c r="Q89" s="100" t="n"/>
      <x:c r="R89" s="100" t="n"/>
      <x:c r="AD89" s="100" t="n"/>
      <x:c r="AE89" s="100" t="n"/>
      <x:c r="AF89" s="100" t="n"/>
      <x:c r="AG89" s="100" t="n"/>
      <x:c r="AH89" s="100" t="n"/>
      <x:c r="AI89" s="100" t="n"/>
      <x:c r="AJ89" s="100" t="n"/>
      <x:c r="AL89" s="100" t="n"/>
      <x:c r="AN89" s="100" t="n"/>
      <x:c r="BG89" s="27" t="n">
        <x:v>-1</x:v>
      </x:c>
    </x:row>
    <x:row r="90" s="27" customFormat="1">
      <x:c r="A90" s="38" t="n"/>
      <x:c r="B90" s="37" t="n"/>
      <x:c r="C90" s="36" t="n">
        <x:f>E90*D$5</x:f>
        <x:v>80</x:v>
      </x:c>
      <x:c r="D90" s="66" t="inlineStr">
        <x:is>
          <x:t xml:space="preserve">Nana Lou Jones</x:t>
        </x:is>
      </x:c>
      <x:c r="E90" s="86" t="n">
        <x:f>SUM(G90:HT90)</x:f>
        <x:v>1</x:v>
      </x:c>
      <x:c r="F90" s="35" t="inlineStr">
        <x:is>
          <x:t xml:space="preserve"/>
        </x:is>
      </x:c>
      <x:c r="G90" s="121" t="n"/>
      <x:c r="Q90" s="100" t="n"/>
      <x:c r="R90" s="100" t="n"/>
      <x:c r="AD90" s="100" t="n"/>
      <x:c r="AE90" s="100" t="n"/>
      <x:c r="AF90" s="100" t="n"/>
      <x:c r="AG90" s="100" t="n"/>
      <x:c r="AH90" s="100" t="n"/>
      <x:c r="AI90" s="100" t="n"/>
      <x:c r="AJ90" s="100" t="n"/>
      <x:c r="AL90" s="100" t="n"/>
      <x:c r="AN90" s="100" t="n"/>
      <x:c r="BG90" s="27" t="n">
        <x:v>1</x:v>
      </x:c>
    </x:row>
    <x:row r="91" s="27" customFormat="1">
      <x:c r="A91" s="38" t="n"/>
      <x:c r="B91" s="37" t="n"/>
      <x:c r="C91" s="86" t="n">
        <x:f>E91*D$5</x:f>
        <x:v>0</x:v>
      </x:c>
      <x:c r="D91" s="336" t="inlineStr">
        <x:is>
          <x:t xml:space="preserve">Sandra Lorraine York</x:t>
        </x:is>
      </x:c>
      <x:c r="E91" s="86" t="n">
        <x:f>SUM(G91:HT91)</x:f>
        <x:v>0</x:v>
      </x:c>
      <x:c r="F91" s="35" t="inlineStr">
        <x:is>
          <x:t xml:space="preserve"/>
        </x:is>
      </x:c>
      <x:c r="G91" s="121" t="n"/>
      <x:c r="Q91" s="100" t="n"/>
      <x:c r="R91" s="100" t="n"/>
      <x:c r="AD91" s="100" t="n"/>
      <x:c r="AE91" s="100" t="n"/>
      <x:c r="AF91" s="100" t="n"/>
      <x:c r="AG91" s="100" t="n"/>
      <x:c r="AH91" s="100" t="n"/>
      <x:c r="AI91" s="100" t="n"/>
      <x:c r="AJ91" s="100" t="n"/>
      <x:c r="AL91" s="100" t="n"/>
      <x:c r="AN91" s="100" t="n"/>
    </x:row>
    <x:row r="92" s="27" customFormat="1">
      <x:c r="A92" s="38" t="n"/>
      <x:c r="B92" s="37" t="n"/>
      <x:c r="C92" s="36" t="n">
        <x:f>E92*D$5</x:f>
        <x:v>0</x:v>
      </x:c>
      <x:c r="D92" s="66" t="inlineStr">
        <x:is>
          <x:t xml:space="preserve">Koala Production Company</x:t>
        </x:is>
      </x:c>
      <x:c r="E92" s="86" t="n">
        <x:f>SUM(G92:HT92)</x:f>
        <x:v>0</x:v>
      </x:c>
      <x:c r="F92" s="35" t="inlineStr">
        <x:is>
          <x:t xml:space="preserve"/>
        </x:is>
      </x:c>
      <x:c r="G92" s="121" t="n"/>
      <x:c r="Q92" s="100" t="n"/>
      <x:c r="R92" s="100" t="n"/>
      <x:c r="AD92" s="100" t="n"/>
      <x:c r="AE92" s="100" t="n"/>
      <x:c r="AF92" s="100" t="n"/>
      <x:c r="AG92" s="100" t="n"/>
      <x:c r="AH92" s="100" t="n"/>
      <x:c r="AI92" s="100" t="n"/>
      <x:c r="AJ92" s="100" t="n"/>
      <x:c r="AL92" s="100" t="n"/>
      <x:c r="AN92" s="100" t="n"/>
    </x:row>
    <x:row r="93" s="27" customFormat="1">
      <x:c r="A93" s="38" t="n"/>
      <x:c r="B93" s="37" t="n"/>
      <x:c r="C93" s="86" t="n">
        <x:f>E93*D$5</x:f>
        <x:v>0</x:v>
      </x:c>
      <x:c r="D93" s="66" t="inlineStr">
        <x:is>
          <x:t xml:space="preserve">Confirm — Missing conveyed interest 2004-005738</x:t>
        </x:is>
      </x:c>
      <x:c r="E93" s="86" t="n">
        <x:f>SUM(G93:HT93)</x:f>
        <x:v>0</x:v>
      </x:c>
      <x:c r="F93" s="35" t="inlineStr">
        <x:is>
          <x:t xml:space="preserve"/>
        </x:is>
      </x:c>
      <x:c r="G93" s="121" t="n"/>
      <x:c r="Q93" s="100" t="n"/>
      <x:c r="R93" s="100" t="n"/>
      <x:c r="AD93" s="100" t="n"/>
      <x:c r="AE93" s="100" t="n"/>
      <x:c r="AF93" s="100" t="n"/>
      <x:c r="AG93" s="100" t="n"/>
      <x:c r="AH93" s="100" t="n"/>
      <x:c r="AI93" s="100" t="n"/>
      <x:c r="AJ93" s="100" t="n"/>
      <x:c r="AL93" s="100" t="n"/>
      <x:c r="AN93" s="100" t="n"/>
    </x:row>
    <x:row r="94" s="27" customFormat="1">
      <x:c r="A94" s="38" t="n"/>
      <x:c r="B94" s="37" t="n"/>
      <x:c r="C94" s="36" t="n">
        <x:f>E94*D$5</x:f>
        <x:v>0</x:v>
      </x:c>
      <x:c r="D94" s="66" t="inlineStr">
        <x:is>
          <x:t xml:space="preserve">Confirm — Missing conveyed interest 2004-005739</x:t>
        </x:is>
      </x:c>
      <x:c r="E94" s="86" t="n">
        <x:f>SUM(G94:HT94)</x:f>
        <x:v>0</x:v>
      </x:c>
      <x:c r="F94" s="35" t="inlineStr">
        <x:is>
          <x:t xml:space="preserve"/>
        </x:is>
      </x:c>
      <x:c r="G94" s="121" t="n"/>
      <x:c r="Q94" s="100" t="n"/>
      <x:c r="R94" s="100" t="n"/>
      <x:c r="AD94" s="100" t="n"/>
      <x:c r="AE94" s="100" t="n"/>
      <x:c r="AF94" s="100" t="n"/>
      <x:c r="AG94" s="100" t="n"/>
      <x:c r="AH94" s="100" t="n"/>
      <x:c r="AI94" s="100" t="n"/>
      <x:c r="AJ94" s="100" t="n"/>
      <x:c r="AL94" s="100" t="n"/>
      <x:c r="AN94" s="100" t="n"/>
    </x:row>
    <x:row r="95" s="27" customFormat="1">
      <x:c r="A95" s="38" t="n"/>
      <x:c r="B95" s="37" t="n"/>
      <x:c r="C95" s="86" t="n">
        <x:f>E95*D$5</x:f>
        <x:v>-80</x:v>
      </x:c>
      <x:c r="D95" s="416" t="inlineStr">
        <x:is>
          <x:t xml:space="preserve">Aspen Energy Group, Inc.</x:t>
        </x:is>
      </x:c>
      <x:c r="E95" s="413" t="n">
        <x:f>SUM(G95:HT95)</x:f>
        <x:v>-1</x:v>
      </x:c>
      <x:c r="F95" s="35" t="inlineStr">
        <x:is>
          <x:t xml:space="preserve"/>
        </x:is>
      </x:c>
      <x:c r="G95" s="121" t="n"/>
      <x:c r="Q95" s="100" t="n"/>
      <x:c r="R95" s="100" t="n"/>
      <x:c r="AD95" s="100" t="n"/>
      <x:c r="AE95" s="100" t="n"/>
      <x:c r="AF95" s="100" t="n"/>
      <x:c r="AG95" s="100" t="n"/>
      <x:c r="AH95" s="100" t="n"/>
      <x:c r="AI95" s="100" t="n"/>
      <x:c r="AJ95" s="100" t="n"/>
      <x:c r="AL95" s="100" t="n"/>
      <x:c r="AN95" s="100" t="n"/>
      <x:c r="BJ95" s="27" t="n">
        <x:v>-1</x:v>
      </x:c>
    </x:row>
    <x:row r="96" s="27" customFormat="1">
      <x:c r="A96" s="38" t="n"/>
      <x:c r="B96" s="37" t="n"/>
      <x:c r="C96" s="36" t="n">
        <x:f>E96*D$5</x:f>
        <x:v>80</x:v>
      </x:c>
      <x:c r="D96" s="66" t="inlineStr">
        <x:is>
          <x:t xml:space="preserve">Crusader Energy Corporation</x:t>
        </x:is>
      </x:c>
      <x:c r="E96" s="36" t="n">
        <x:f>SUM(G96:HT96)</x:f>
        <x:v>1</x:v>
      </x:c>
      <x:c r="F96" s="35" t="inlineStr">
        <x:is>
          <x:t xml:space="preserve"/>
        </x:is>
      </x:c>
      <x:c r="G96" s="121" t="n"/>
      <x:c r="Q96" s="100" t="n"/>
      <x:c r="R96" s="100" t="n"/>
      <x:c r="AD96" s="100" t="n"/>
      <x:c r="AE96" s="100" t="n"/>
      <x:c r="AF96" s="100" t="n"/>
      <x:c r="AG96" s="100" t="n"/>
      <x:c r="AH96" s="100" t="n"/>
      <x:c r="AI96" s="100" t="n"/>
      <x:c r="AJ96" s="100" t="n"/>
      <x:c r="AL96" s="100" t="n"/>
      <x:c r="AN96" s="100" t="n"/>
      <x:c r="BJ96" s="27" t="n">
        <x:v>1</x:v>
      </x:c>
    </x:row>
    <x:row r="97" s="27" customFormat="1">
      <x:c r="A97" s="38" t="n"/>
      <x:c r="B97" s="37" t="n"/>
      <x:c r="C97" s="36" t="n">
        <x:f>E97*D$5</x:f>
        <x:v>0</x:v>
      </x:c>
      <x:c r="D97" s="66" t="inlineStr">
        <x:is>
          <x:t xml:space="preserve">Fleshman Agency, Inc.</x:t>
        </x:is>
      </x:c>
      <x:c r="E97" s="36" t="n">
        <x:f>SUM(G97:HT97)</x:f>
        <x:v>0</x:v>
      </x:c>
      <x:c r="F97" s="35" t="inlineStr">
        <x:is>
          <x:t xml:space="preserve"/>
        </x:is>
      </x:c>
      <x:c r="G97" s="121" t="n"/>
      <x:c r="Q97" s="100" t="n"/>
      <x:c r="R97" s="100" t="n"/>
      <x:c r="AD97" s="100" t="n"/>
      <x:c r="AE97" s="100" t="n"/>
      <x:c r="AF97" s="100" t="n"/>
      <x:c r="AG97" s="100" t="n"/>
      <x:c r="AH97" s="100" t="n"/>
      <x:c r="AI97" s="100" t="n"/>
      <x:c r="AJ97" s="100" t="n"/>
      <x:c r="AL97" s="100" t="n"/>
      <x:c r="AN97" s="100" t="n"/>
    </x:row>
    <x:row r="98" s="27" customFormat="1">
      <x:c r="A98" s="38" t="n"/>
      <x:c r="B98" s="37" t="n"/>
      <x:c r="C98" s="36" t="n">
        <x:f>E98*D$5</x:f>
        <x:v>0</x:v>
      </x:c>
      <x:c r="D98" s="66" t="inlineStr">
        <x:is>
          <x:t xml:space="preserve">Confirm — Missing conveyed interest 2008-006536</x:t>
        </x:is>
      </x:c>
      <x:c r="E98" s="36" t="n">
        <x:f>SUM(G98:HT98)</x:f>
        <x:v>0</x:v>
      </x:c>
      <x:c r="F98" s="35" t="inlineStr">
        <x:is>
          <x:t xml:space="preserve"/>
        </x:is>
      </x:c>
      <x:c r="G98" s="121" t="n"/>
      <x:c r="Q98" s="100" t="n"/>
      <x:c r="R98" s="100" t="n"/>
      <x:c r="AD98" s="100" t="n"/>
      <x:c r="AE98" s="100" t="n"/>
      <x:c r="AF98" s="100" t="n"/>
      <x:c r="AG98" s="100" t="n"/>
      <x:c r="AH98" s="100" t="n"/>
      <x:c r="AI98" s="100" t="n"/>
      <x:c r="AJ98" s="100" t="n"/>
      <x:c r="AL98" s="100" t="n"/>
      <x:c r="AN98" s="100" t="n"/>
    </x:row>
    <x:row r="99" s="27" customFormat="1">
      <x:c r="A99" s="38" t="n"/>
      <x:c r="B99" s="37" t="n"/>
      <x:c r="C99" s="36" t="n">
        <x:f>E99*D$5</x:f>
        <x:v>-80</x:v>
      </x:c>
      <x:c r="D99" s="412" t="inlineStr">
        <x:is>
          <x:t xml:space="preserve">Minion Investment Co, Brian L. Rice</x:t>
        </x:is>
      </x:c>
      <x:c r="E99" s="411" t="n">
        <x:f>SUM(G99:HT99)</x:f>
        <x:v>-1</x:v>
      </x:c>
      <x:c r="F99" s="35" t="inlineStr">
        <x:is>
          <x:t xml:space="preserve"/>
        </x:is>
      </x:c>
      <x:c r="G99" s="121" t="n"/>
      <x:c r="Q99" s="100" t="n"/>
      <x:c r="R99" s="100" t="n"/>
      <x:c r="AD99" s="100" t="n"/>
      <x:c r="AE99" s="100" t="n"/>
      <x:c r="AF99" s="100" t="n"/>
      <x:c r="AG99" s="100" t="n"/>
      <x:c r="AH99" s="100" t="n"/>
      <x:c r="AI99" s="100" t="n"/>
      <x:c r="AJ99" s="100" t="n"/>
      <x:c r="AL99" s="100" t="n"/>
      <x:c r="AN99" s="100" t="n"/>
      <x:c r="BL99" s="27" t="n">
        <x:v>-1</x:v>
      </x:c>
    </x:row>
    <x:row r="100" s="27" customFormat="1">
      <x:c r="A100" s="38" t="n"/>
      <x:c r="B100" s="37" t="n"/>
      <x:c r="C100" s="36" t="n">
        <x:f>E100*D$5</x:f>
        <x:v>160</x:v>
      </x:c>
      <x:c r="D100" s="523" t="inlineStr">
        <x:is>
          <x:t xml:space="preserve">Prism Energy, Inc.</x:t>
        </x:is>
      </x:c>
      <x:c r="E100" s="36" t="n">
        <x:f>SUM(G100:HT100)</x:f>
        <x:v>2</x:v>
      </x:c>
      <x:c r="F100" s="35" t="inlineStr">
        <x:is>
          <x:t xml:space="preserve"/>
        </x:is>
      </x:c>
      <x:c r="G100" s="121" t="n"/>
      <x:c r="Q100" s="100" t="n"/>
      <x:c r="R100" s="100" t="n"/>
      <x:c r="AD100" s="100" t="n"/>
      <x:c r="AE100" s="100" t="n"/>
      <x:c r="AF100" s="100" t="n"/>
      <x:c r="AG100" s="100" t="n"/>
      <x:c r="AH100" s="100" t="n"/>
      <x:c r="AI100" s="100" t="n"/>
      <x:c r="AJ100" s="100" t="n"/>
      <x:c r="AL100" s="100" t="n"/>
      <x:c r="AN100" s="100" t="n"/>
      <x:c r="BL100" s="27" t="n">
        <x:v>1</x:v>
      </x:c>
      <x:c r="BN100" s="27" t="n">
        <x:v>1</x:v>
      </x:c>
    </x:row>
    <x:row r="101" s="27" customFormat="1">
      <x:c r="A101" s="38" t="n"/>
      <x:c r="B101" s="37" t="n"/>
      <x:c r="C101" s="36" t="n">
        <x:f>E101*D$5</x:f>
        <x:v>-80</x:v>
      </x:c>
      <x:c r="D101" s="419" t="inlineStr">
        <x:is>
          <x:t xml:space="preserve">Koala Pordution Company</x:t>
        </x:is>
      </x:c>
      <x:c r="E101" s="411" t="n">
        <x:f>SUM(G101:HT101)</x:f>
        <x:v>-1</x:v>
      </x:c>
      <x:c r="F101" s="35" t="inlineStr">
        <x:is>
          <x:t xml:space="preserve"/>
        </x:is>
      </x:c>
      <x:c r="G101" s="121" t="n"/>
      <x:c r="Q101" s="100" t="n"/>
      <x:c r="R101" s="100" t="n"/>
      <x:c r="AD101" s="100" t="n"/>
      <x:c r="AE101" s="100" t="n"/>
      <x:c r="AF101" s="100" t="n"/>
      <x:c r="AG101" s="100" t="n"/>
      <x:c r="AH101" s="100" t="n"/>
      <x:c r="AI101" s="100" t="n"/>
      <x:c r="AJ101" s="100" t="n"/>
      <x:c r="AL101" s="100" t="n"/>
      <x:c r="AN101" s="100" t="n"/>
      <x:c r="BM101" s="27" t="n">
        <x:v>-1</x:v>
      </x:c>
    </x:row>
    <x:row r="102" s="27" customFormat="1">
      <x:c r="A102" s="38" t="n"/>
      <x:c r="B102" s="37" t="n"/>
      <x:c r="C102" s="36" t="n">
        <x:f>E102*D$5</x:f>
        <x:v>80</x:v>
      </x:c>
      <x:c r="D102" s="20" t="inlineStr">
        <x:is>
          <x:t xml:space="preserve">Chisholm Royalty Partners</x:t>
        </x:is>
      </x:c>
      <x:c r="E102" s="36" t="n">
        <x:f>SUM(G102:HT102)</x:f>
        <x:v>1</x:v>
      </x:c>
      <x:c r="F102" s="35" t="inlineStr">
        <x:is>
          <x:t xml:space="preserve"/>
        </x:is>
      </x:c>
      <x:c r="G102" s="121" t="n"/>
      <x:c r="Q102" s="100" t="n"/>
      <x:c r="R102" s="100" t="n"/>
      <x:c r="AD102" s="100" t="n"/>
      <x:c r="AE102" s="100" t="n"/>
      <x:c r="AF102" s="100" t="n"/>
      <x:c r="AG102" s="100" t="n"/>
      <x:c r="AH102" s="100" t="n"/>
      <x:c r="AI102" s="100" t="n"/>
      <x:c r="AJ102" s="100" t="n"/>
      <x:c r="AL102" s="100" t="n"/>
      <x:c r="AN102" s="100" t="n"/>
      <x:c r="BM102" s="27" t="n">
        <x:v>1</x:v>
      </x:c>
    </x:row>
    <x:row r="103" s="27" customFormat="1" ht="25.5" customHeight="1">
      <x:c r="A103" s="38" t="n"/>
      <x:c r="B103" s="37" t="n"/>
      <x:c r="C103" s="36" t="n">
        <x:f>E103*D$5</x:f>
        <x:v>-73.33333333333336</x:v>
      </x:c>
      <x:c r="D103" s="419" t="inlineStr">
        <x:is>
          <x:t xml:space="preserve">Glenda A. Palmer, Trustee of the Glenn Douglas Mitchel and Hazel Pearl Mitchel Trust</x:t>
        </x:is>
      </x:c>
      <x:c r="E103" s="411" t="n">
        <x:f>SUM(G103:HT103)</x:f>
        <x:v>-0.916666666666667</x:v>
      </x:c>
      <x:c r="F103" s="35" t="inlineStr">
        <x:is>
          <x:t xml:space="preserve"/>
        </x:is>
      </x:c>
      <x:c r="G103" s="121" t="n"/>
      <x:c r="Q103" s="100" t="n"/>
      <x:c r="R103" s="100" t="n"/>
      <x:c r="AD103" s="100" t="n"/>
      <x:c r="AE103" s="100" t="n"/>
      <x:c r="AF103" s="100" t="n"/>
      <x:c r="AG103" s="100" t="n"/>
      <x:c r="AH103" s="100" t="n"/>
      <x:c r="AI103" s="100" t="n"/>
      <x:c r="AJ103" s="100" t="n"/>
      <x:c r="AL103" s="100" t="n"/>
      <x:c r="AN103" s="100" t="n"/>
      <x:c r="BO103" s="27" t="n">
        <x:v>-0.916666666666667</x:v>
      </x:c>
    </x:row>
    <x:row r="104" s="27" customFormat="1">
      <x:c r="A104" s="38" t="n"/>
      <x:c r="B104" s="37" t="n"/>
      <x:c r="C104" s="36" t="n">
        <x:f>E104*D$5</x:f>
        <x:v>-80</x:v>
      </x:c>
      <x:c r="D104" s="420" t="inlineStr">
        <x:is>
          <x:t xml:space="preserve">Petrohawk Energy Corporation</x:t>
        </x:is>
      </x:c>
      <x:c r="E104" s="411" t="n">
        <x:f>SUM(G104:HT104)</x:f>
        <x:v>-1</x:v>
      </x:c>
      <x:c r="F104" s="35" t="inlineStr">
        <x:is>
          <x:t xml:space="preserve"/>
        </x:is>
      </x:c>
      <x:c r="G104" s="121" t="n"/>
      <x:c r="Q104" s="100" t="n"/>
      <x:c r="R104" s="100" t="n"/>
      <x:c r="AD104" s="100" t="n"/>
      <x:c r="AE104" s="100" t="n"/>
      <x:c r="AF104" s="100" t="n"/>
      <x:c r="AG104" s="100" t="n"/>
      <x:c r="AH104" s="100" t="n"/>
      <x:c r="AI104" s="100" t="n"/>
      <x:c r="AJ104" s="100" t="n"/>
      <x:c r="AL104" s="100" t="n"/>
      <x:c r="AN104" s="100" t="n"/>
      <x:c r="BP104" s="27" t="n">
        <x:v>-1</x:v>
      </x:c>
    </x:row>
    <x:row r="105" s="27" customFormat="1">
      <x:c r="A105" s="38" t="n"/>
      <x:c r="B105" s="37" t="n"/>
      <x:c r="C105" s="36" t="n">
        <x:f>E105*D$5</x:f>
        <x:v>40</x:v>
      </x:c>
      <x:c r="D105" s="20" t="inlineStr">
        <x:is>
          <x:t xml:space="preserve">Petrohawk Properties</x:t>
        </x:is>
      </x:c>
      <x:c r="E105" s="36" t="n">
        <x:f>SUM(G105:HT105)</x:f>
        <x:v>0.5</x:v>
      </x:c>
      <x:c r="F105" s="35" t="inlineStr">
        <x:is>
          <x:t xml:space="preserve"/>
        </x:is>
      </x:c>
      <x:c r="G105" s="121" t="n"/>
      <x:c r="Q105" s="100" t="n"/>
      <x:c r="R105" s="100" t="n"/>
      <x:c r="AD105" s="100" t="n"/>
      <x:c r="AE105" s="100" t="n"/>
      <x:c r="AF105" s="100" t="n"/>
      <x:c r="AG105" s="100" t="n"/>
      <x:c r="AH105" s="100" t="n"/>
      <x:c r="AI105" s="100" t="n"/>
      <x:c r="AJ105" s="100" t="n"/>
      <x:c r="AL105" s="100" t="n"/>
      <x:c r="AN105" s="100" t="n"/>
      <x:c r="BP105" s="27" t="n">
        <x:v>0.5</x:v>
      </x:c>
    </x:row>
    <x:row r="106" s="27" customFormat="1">
      <x:c r="A106" s="38" t="n"/>
      <x:c r="B106" s="37" t="n"/>
      <x:c r="C106" s="36" t="n">
        <x:f>E106*D$5</x:f>
        <x:v>-80</x:v>
      </x:c>
      <x:c r="D106" s="419" t="inlineStr">
        <x:is>
          <x:t xml:space="preserve">Richard Palmer and Glenda Palmer, HW</x:t>
        </x:is>
      </x:c>
      <x:c r="E106" s="411" t="n">
        <x:f>SUM(G106:HT106)</x:f>
        <x:v>-1</x:v>
      </x:c>
      <x:c r="F106" s="35" t="inlineStr">
        <x:is>
          <x:t xml:space="preserve"/>
        </x:is>
      </x:c>
      <x:c r="G106" s="121" t="n"/>
      <x:c r="Q106" s="100" t="n"/>
      <x:c r="R106" s="100" t="n"/>
      <x:c r="AD106" s="100" t="n"/>
      <x:c r="AE106" s="100" t="n"/>
      <x:c r="AF106" s="100" t="n"/>
      <x:c r="AG106" s="100" t="n"/>
      <x:c r="AH106" s="100" t="n"/>
      <x:c r="AI106" s="100" t="n"/>
      <x:c r="AJ106" s="100" t="n"/>
      <x:c r="AL106" s="100" t="n"/>
      <x:c r="AN106" s="100" t="n"/>
      <x:c r="BQ106" s="27" t="n">
        <x:v>-1</x:v>
      </x:c>
    </x:row>
    <x:row r="107" s="27" customFormat="1" ht="38.25" customHeight="1">
      <x:c r="A107" s="38" t="n"/>
      <x:c r="B107" s="37" t="n"/>
      <x:c r="C107" s="36" t="n">
        <x:f>E107*D$5</x:f>
        <x:v>53.33333333333328</x:v>
      </x:c>
      <x:c r="D107" s="20" t="inlineStr">
        <x:is>
          <x:t xml:space="preserve">Glenda Ann Palmer and Richard Royce Palmer, as Trustees of The Palmer Family Trust, u/t/a dated November 19, 2010</x:t>
        </x:is>
      </x:c>
      <x:c r="E107" s="36" t="n">
        <x:f>SUM(G107:HT107)</x:f>
        <x:v>0.666666666666666</x:v>
      </x:c>
      <x:c r="F107" s="35" t="inlineStr">
        <x:is>
          <x:t xml:space="preserve"/>
        </x:is>
      </x:c>
      <x:c r="G107" s="121" t="n"/>
      <x:c r="Q107" s="100" t="n"/>
      <x:c r="R107" s="100" t="n"/>
      <x:c r="AD107" s="100" t="n"/>
      <x:c r="AE107" s="100" t="n"/>
      <x:c r="AF107" s="100" t="n"/>
      <x:c r="AG107" s="100" t="n"/>
      <x:c r="AH107" s="100" t="n"/>
      <x:c r="AI107" s="100" t="n"/>
      <x:c r="AJ107" s="100" t="n"/>
      <x:c r="AL107" s="100" t="n"/>
      <x:c r="AN107" s="100" t="n"/>
      <x:c r="BQ107" s="27" t="n">
        <x:v>0.333333333333333</x:v>
      </x:c>
      <x:c r="BR107" s="27" t="n">
        <x:v>0.333333333333333</x:v>
      </x:c>
    </x:row>
    <x:row r="108" s="27" customFormat="1" ht="38.25" customHeight="1">
      <x:c r="A108" s="38" t="n"/>
      <x:c r="B108" s="37" t="n"/>
      <x:c r="C108" s="36" t="n">
        <x:f>E108*D$5</x:f>
        <x:v>53.33333333333328</x:v>
      </x:c>
      <x:c r="D108" s="20" t="inlineStr">
        <x:is>
          <x:t xml:space="preserve">Shonna Arlene Mitchel, as Trustee of the Jack D. Mitchel and Shonna A. Mitchel Family Trust, u/t/a dated September 13, 1990</x:t>
        </x:is>
      </x:c>
      <x:c r="E108" s="36" t="n">
        <x:f>SUM(G108:HT108)</x:f>
        <x:v>0.666666666666666</x:v>
      </x:c>
      <x:c r="F108" s="35" t="inlineStr">
        <x:is>
          <x:t xml:space="preserve"/>
        </x:is>
      </x:c>
      <x:c r="G108" s="121" t="n"/>
      <x:c r="Q108" s="100" t="n"/>
      <x:c r="R108" s="100" t="n"/>
      <x:c r="AD108" s="100" t="n"/>
      <x:c r="AE108" s="100" t="n"/>
      <x:c r="AF108" s="100" t="n"/>
      <x:c r="AG108" s="100" t="n"/>
      <x:c r="AH108" s="100" t="n"/>
      <x:c r="AI108" s="100" t="n"/>
      <x:c r="AJ108" s="100" t="n"/>
      <x:c r="AL108" s="100" t="n"/>
      <x:c r="AN108" s="100" t="n"/>
      <x:c r="BQ108" s="27" t="n">
        <x:v>0.333333333333333</x:v>
      </x:c>
      <x:c r="BR108" s="27" t="n">
        <x:v>0.333333333333333</x:v>
      </x:c>
    </x:row>
    <x:row r="109" s="27" customFormat="1">
      <x:c r="A109" s="38" t="n"/>
      <x:c r="B109" s="37" t="n"/>
      <x:c r="C109" s="36" t="n">
        <x:f>E109*D$5</x:f>
        <x:v>53.33333333333328</x:v>
      </x:c>
      <x:c r="D109" s="20" t="inlineStr">
        <x:is>
          <x:t xml:space="preserve">Shanti Jonathan Mitchel</x:t>
        </x:is>
      </x:c>
      <x:c r="E109" s="36" t="n">
        <x:f>SUM(G109:HT109)</x:f>
        <x:v>0.666666666666666</x:v>
      </x:c>
      <x:c r="F109" s="35" t="inlineStr">
        <x:is>
          <x:t xml:space="preserve"/>
        </x:is>
      </x:c>
      <x:c r="G109" s="121" t="n"/>
      <x:c r="Q109" s="100" t="n"/>
      <x:c r="R109" s="100" t="n"/>
      <x:c r="AD109" s="100" t="n"/>
      <x:c r="AE109" s="100" t="n"/>
      <x:c r="AF109" s="100" t="n"/>
      <x:c r="AG109" s="100" t="n"/>
      <x:c r="AH109" s="100" t="n"/>
      <x:c r="AI109" s="100" t="n"/>
      <x:c r="AJ109" s="100" t="n"/>
      <x:c r="AL109" s="100" t="n"/>
      <x:c r="AN109" s="100" t="n"/>
      <x:c r="BQ109" s="27" t="n">
        <x:v>0.333333333333333</x:v>
      </x:c>
      <x:c r="BR109" s="27" t="n">
        <x:v>0.333333333333333</x:v>
      </x:c>
    </x:row>
    <x:row r="110" s="27" customFormat="1" ht="25.5" customHeight="1">
      <x:c r="A110" s="38" t="n"/>
      <x:c r="B110" s="37" t="n"/>
      <x:c r="C110" s="36" t="n">
        <x:f>E110*D$5</x:f>
        <x:v>-80</x:v>
      </x:c>
      <x:c r="D110" s="419" t="inlineStr">
        <x:is>
          <x:t xml:space="preserve">Glenda Ann Palmer, as Trustee of the Glenn Douglas Mitchel and Hazel Pearl Mitchel Trust</x:t>
        </x:is>
      </x:c>
      <x:c r="E110" s="411" t="n">
        <x:f>SUM(G110:HT110)</x:f>
        <x:v>-1</x:v>
      </x:c>
      <x:c r="F110" s="35" t="inlineStr">
        <x:is>
          <x:t xml:space="preserve"/>
        </x:is>
      </x:c>
      <x:c r="G110" s="121" t="n"/>
      <x:c r="Q110" s="100" t="n"/>
      <x:c r="R110" s="100" t="n"/>
      <x:c r="AD110" s="100" t="n"/>
      <x:c r="AE110" s="100" t="n"/>
      <x:c r="AF110" s="100" t="n"/>
      <x:c r="AG110" s="100" t="n"/>
      <x:c r="AH110" s="100" t="n"/>
      <x:c r="AI110" s="100" t="n"/>
      <x:c r="AJ110" s="100" t="n"/>
      <x:c r="AL110" s="100" t="n"/>
      <x:c r="AN110" s="100" t="n"/>
      <x:c r="BR110" s="27" t="n">
        <x:v>-1</x:v>
      </x:c>
    </x:row>
    <x:row r="111" s="27" customFormat="1">
      <x:c r="A111" s="38" t="n"/>
      <x:c r="B111" s="37" t="n"/>
      <x:c r="C111" s="36" t="n">
        <x:f>E111*D$5</x:f>
        <x:v>-26.66666666666664</x:v>
      </x:c>
      <x:c r="D111" s="419" t="inlineStr">
        <x:is>
          <x:t xml:space="preserve">Shonna Mitchel</x:t>
        </x:is>
      </x:c>
      <x:c r="E111" s="411" t="n">
        <x:f>SUM(G111:HT111)</x:f>
        <x:v>-0.333333333333333</x:v>
      </x:c>
      <x:c r="F111" s="35" t="inlineStr">
        <x:is>
          <x:t xml:space="preserve"/>
        </x:is>
      </x:c>
      <x:c r="G111" s="121" t="n"/>
      <x:c r="Q111" s="100" t="n"/>
      <x:c r="R111" s="100" t="n"/>
      <x:c r="AD111" s="100" t="n"/>
      <x:c r="AE111" s="100" t="n"/>
      <x:c r="AF111" s="100" t="n"/>
      <x:c r="AG111" s="100" t="n"/>
      <x:c r="AH111" s="100" t="n"/>
      <x:c r="AI111" s="100" t="n"/>
      <x:c r="AJ111" s="100" t="n"/>
      <x:c r="AL111" s="100" t="n"/>
      <x:c r="AN111" s="100" t="n"/>
      <x:c r="BS111" s="27" t="n">
        <x:v>-0.333333333333333</x:v>
      </x:c>
    </x:row>
    <x:row r="112" s="27" customFormat="1" ht="25.5" customHeight="1">
      <x:c r="A112" s="38" t="n"/>
      <x:c r="B112" s="37" t="n"/>
      <x:c r="C112" s="36" t="n">
        <x:f>E112*D$5</x:f>
        <x:v>-26.66666666666664</x:v>
      </x:c>
      <x:c r="D112" s="419" t="inlineStr">
        <x:is>
          <x:t xml:space="preserve">same person as Shonna A. Mitchel and as Shonna Arlene Mitchel</x:t>
        </x:is>
      </x:c>
      <x:c r="E112" s="411" t="n">
        <x:f>SUM(G112:HT112)</x:f>
        <x:v>-0.333333333333333</x:v>
      </x:c>
      <x:c r="F112" s="35" t="inlineStr">
        <x:is>
          <x:t xml:space="preserve"/>
        </x:is>
      </x:c>
      <x:c r="G112" s="121" t="n"/>
      <x:c r="Q112" s="100" t="n"/>
      <x:c r="R112" s="100" t="n"/>
      <x:c r="AD112" s="100" t="n"/>
      <x:c r="AE112" s="100" t="n"/>
      <x:c r="AF112" s="100" t="n"/>
      <x:c r="AG112" s="100" t="n"/>
      <x:c r="AH112" s="100" t="n"/>
      <x:c r="AI112" s="100" t="n"/>
      <x:c r="AJ112" s="100" t="n"/>
      <x:c r="AL112" s="100" t="n"/>
      <x:c r="AN112" s="100" t="n"/>
      <x:c r="BS112" s="27" t="n">
        <x:v>-0.333333333333333</x:v>
      </x:c>
    </x:row>
    <x:row r="113" s="27" customFormat="1">
      <x:c r="A113" s="38" t="n"/>
      <x:c r="B113" s="37" t="n"/>
      <x:c r="C113" s="36" t="n">
        <x:f>E113*D$5</x:f>
        <x:v>-26.66666666666664</x:v>
      </x:c>
      <x:c r="D113" s="419" t="inlineStr">
        <x:is>
          <x:t xml:space="preserve">single person</x:t>
        </x:is>
      </x:c>
      <x:c r="E113" s="411" t="n">
        <x:f>SUM(G113:HT113)</x:f>
        <x:v>-0.333333333333333</x:v>
      </x:c>
      <x:c r="F113" s="35" t="inlineStr">
        <x:is>
          <x:t xml:space="preserve"/>
        </x:is>
      </x:c>
      <x:c r="G113" s="121" t="n"/>
      <x:c r="Q113" s="100" t="n"/>
      <x:c r="R113" s="100" t="n"/>
      <x:c r="AD113" s="100" t="n"/>
      <x:c r="AE113" s="100" t="n"/>
      <x:c r="AF113" s="100" t="n"/>
      <x:c r="AG113" s="100" t="n"/>
      <x:c r="AH113" s="100" t="n"/>
      <x:c r="AI113" s="100" t="n"/>
      <x:c r="AJ113" s="100" t="n"/>
      <x:c r="AL113" s="100" t="n"/>
      <x:c r="AN113" s="100" t="n"/>
      <x:c r="BS113" s="27" t="n">
        <x:v>-0.333333333333333</x:v>
      </x:c>
    </x:row>
    <x:row r="114" s="27" customFormat="1" ht="38.25" customHeight="1">
      <x:c r="A114" s="38" t="n"/>
      <x:c r="B114" s="37" t="n"/>
      <x:c r="C114" s="36" t="n">
        <x:f>E114*D$5</x:f>
        <x:v>80</x:v>
      </x:c>
      <x:c r="D114" s="20" t="inlineStr">
        <x:is>
          <x:t xml:space="preserve">Shonna Arlene Mitchel, same person as Shonna A. Mitchel, as Trustee of The Jack D. Mitchel and Shonna A. Mitchel Family Trust, u/t/a dated September 13, 1990</x:t>
        </x:is>
      </x:c>
      <x:c r="E114" s="36" t="n">
        <x:f>SUM(G114:HT114)</x:f>
        <x:v>1</x:v>
      </x:c>
      <x:c r="F114" s="35" t="inlineStr">
        <x:is>
          <x:t xml:space="preserve"/>
        </x:is>
      </x:c>
      <x:c r="G114" s="121" t="n"/>
      <x:c r="Q114" s="100" t="n"/>
      <x:c r="R114" s="100" t="n"/>
      <x:c r="AD114" s="100" t="n"/>
      <x:c r="AE114" s="100" t="n"/>
      <x:c r="AF114" s="100" t="n"/>
      <x:c r="AG114" s="100" t="n"/>
      <x:c r="AH114" s="100" t="n"/>
      <x:c r="AI114" s="100" t="n"/>
      <x:c r="AJ114" s="100" t="n"/>
      <x:c r="AL114" s="100" t="n"/>
      <x:c r="AN114" s="100" t="n"/>
      <x:c r="BS114" s="27" t="n">
        <x:v>1</x:v>
      </x:c>
    </x:row>
    <x:row r="115" s="27" customFormat="1" ht="38.25" customHeight="1">
      <x:c r="A115" s="38" t="n"/>
      <x:c r="B115" s="37" t="n"/>
      <x:c r="C115" s="36" t="n">
        <x:f>E115*D$5</x:f>
        <x:v>-80</x:v>
      </x:c>
      <x:c r="D115" s="419" t="inlineStr">
        <x:is>
          <x:t xml:space="preserve">Kiowa County Court, RE: In the Matter of the Probate of The Last Will and Testament of Nancy Mitchell WILLIAMS, Deceased</x:t>
        </x:is>
      </x:c>
      <x:c r="E115" s="411" t="n">
        <x:f>SUM(G115:HT115)</x:f>
        <x:v>-1</x:v>
      </x:c>
      <x:c r="F115" s="35" t="inlineStr">
        <x:is>
          <x:t xml:space="preserve"/>
        </x:is>
      </x:c>
      <x:c r="G115" s="121" t="n"/>
      <x:c r="Q115" s="100" t="n"/>
      <x:c r="R115" s="100" t="n"/>
      <x:c r="AD115" s="100" t="n"/>
      <x:c r="AE115" s="100" t="n"/>
      <x:c r="AF115" s="100" t="n"/>
      <x:c r="AG115" s="100" t="n"/>
      <x:c r="AH115" s="100" t="n"/>
      <x:c r="AI115" s="100" t="n"/>
      <x:c r="AJ115" s="100" t="n"/>
      <x:c r="AL115" s="100" t="n"/>
      <x:c r="AN115" s="100" t="n"/>
      <x:c r="BT115" s="27" t="n">
        <x:v>-1</x:v>
      </x:c>
    </x:row>
    <x:row r="116" s="27" customFormat="1">
      <x:c r="A116" s="38" t="n"/>
      <x:c r="B116" s="37" t="n"/>
      <x:c r="C116" s="36" t="n">
        <x:f>E116*D$5</x:f>
        <x:v>80</x:v>
      </x:c>
      <x:c r="D116" s="20" t="inlineStr">
        <x:is>
          <x:t xml:space="preserve">Gene G. Williams</x:t>
        </x:is>
      </x:c>
      <x:c r="E116" s="36" t="n">
        <x:f>SUM(G116:HT116)</x:f>
        <x:v>1</x:v>
      </x:c>
      <x:c r="F116" s="35" t="inlineStr">
        <x:is>
          <x:t xml:space="preserve"/>
        </x:is>
      </x:c>
      <x:c r="G116" s="121" t="n"/>
      <x:c r="Q116" s="100" t="n"/>
      <x:c r="R116" s="100" t="n"/>
      <x:c r="AD116" s="100" t="n"/>
      <x:c r="AE116" s="100" t="n"/>
      <x:c r="AF116" s="100" t="n"/>
      <x:c r="AG116" s="100" t="n"/>
      <x:c r="AH116" s="100" t="n"/>
      <x:c r="AI116" s="100" t="n"/>
      <x:c r="AJ116" s="100" t="n"/>
      <x:c r="AL116" s="100" t="n"/>
      <x:c r="AN116" s="100" t="n"/>
      <x:c r="BT116" s="27" t="n">
        <x:v>1</x:v>
      </x:c>
    </x:row>
    <x:row r="117" s="27" customFormat="1">
      <x:c r="A117" s="38" t="n"/>
      <x:c r="B117" s="37" t="n"/>
      <x:c r="C117" s="36" t="n">
        <x:f>E117*D$5</x:f>
        <x:v>-33.84615384615384</x:v>
      </x:c>
      <x:c r="D117" s="419" t="inlineStr">
        <x:is>
          <x:t xml:space="preserve">Luther Ervin Thurman and Veronica Gentry Thurman, HW</x:t>
        </x:is>
      </x:c>
      <x:c r="E117" s="411" t="n">
        <x:f>SUM(G117:HT117)</x:f>
        <x:v>-0.423076923076923</x:v>
      </x:c>
      <x:c r="F117" s="35" t="inlineStr">
        <x:is>
          <x:t xml:space="preserve"/>
        </x:is>
      </x:c>
      <x:c r="G117" s="121" t="n"/>
      <x:c r="Q117" s="100" t="n"/>
      <x:c r="R117" s="100" t="n"/>
      <x:c r="AD117" s="100" t="n"/>
      <x:c r="AE117" s="100" t="n"/>
      <x:c r="AF117" s="100" t="n"/>
      <x:c r="AG117" s="100" t="n"/>
      <x:c r="AH117" s="100" t="n"/>
      <x:c r="AI117" s="100" t="n"/>
      <x:c r="AJ117" s="100" t="n"/>
      <x:c r="AL117" s="100" t="n"/>
      <x:c r="AN117" s="100" t="n"/>
      <x:c r="BU117" s="27" t="n">
        <x:v>-0.423076923076923</x:v>
      </x:c>
    </x:row>
    <x:row r="118" s="27" customFormat="1" ht="51" customHeight="1">
      <x:c r="A118" s="38" t="n"/>
      <x:c r="B118" s="37" t="n"/>
      <x:c r="C118" s="36" t="n">
        <x:f>E118*D$5</x:f>
        <x:v>33.84615384615384</x:v>
      </x:c>
      <x:c r="D118" s="20" t="inlineStr">
        <x:is>
          <x:t xml:space="preserve">Luther Ervin Thurman and Veronica Gentry Thurman, Trustees or their successors in Trust under the Luther and Veronica Thurman Living Trust, a Revocable Trust, dated April 17, 2014, and any amendments thereto</x:t>
        </x:is>
      </x:c>
      <x:c r="E118" s="36" t="n">
        <x:f>SUM(G118:HT118)</x:f>
        <x:v>0.423076923076923</x:v>
      </x:c>
      <x:c r="F118" s="35" t="inlineStr">
        <x:is>
          <x:t xml:space="preserve"/>
        </x:is>
      </x:c>
      <x:c r="G118" s="121" t="n"/>
      <x:c r="Q118" s="100" t="n"/>
      <x:c r="R118" s="100" t="n"/>
      <x:c r="AD118" s="100" t="n"/>
      <x:c r="AE118" s="100" t="n"/>
      <x:c r="AF118" s="100" t="n"/>
      <x:c r="AG118" s="100" t="n"/>
      <x:c r="AH118" s="100" t="n"/>
      <x:c r="AI118" s="100" t="n"/>
      <x:c r="AJ118" s="100" t="n"/>
      <x:c r="AL118" s="100" t="n"/>
      <x:c r="AN118" s="100" t="n"/>
      <x:c r="BU118" s="27" t="n">
        <x:v>0.423076923076923</x:v>
      </x:c>
    </x:row>
    <x:row r="119" s="27" customFormat="1">
      <x:c r="A119" s="38" t="n"/>
      <x:c r="B119" s="37" t="n"/>
      <x:c r="C119" s="36" t="n">
        <x:f>E119*D$5</x:f>
        <x:v>-80</x:v>
      </x:c>
      <x:c r="D119" s="419" t="inlineStr">
        <x:is>
          <x:t xml:space="preserve">Eddie Tom Lakey and Marinita Lakey, HW</x:t>
        </x:is>
      </x:c>
      <x:c r="E119" s="411" t="n">
        <x:f>SUM(G119:HT119)</x:f>
        <x:v>-1</x:v>
      </x:c>
      <x:c r="F119" s="35" t="inlineStr">
        <x:is>
          <x:t xml:space="preserve"/>
        </x:is>
      </x:c>
      <x:c r="G119" s="121" t="n"/>
      <x:c r="Q119" s="100" t="n"/>
      <x:c r="R119" s="100" t="n"/>
      <x:c r="AD119" s="100" t="n"/>
      <x:c r="AE119" s="100" t="n"/>
      <x:c r="AF119" s="100" t="n"/>
      <x:c r="AG119" s="100" t="n"/>
      <x:c r="AH119" s="100" t="n"/>
      <x:c r="AI119" s="100" t="n"/>
      <x:c r="AJ119" s="100" t="n"/>
      <x:c r="AL119" s="100" t="n"/>
      <x:c r="AN119" s="100" t="n"/>
      <x:c r="BV119" s="27" t="n">
        <x:v>-1</x:v>
      </x:c>
    </x:row>
    <x:row r="120" s="27" customFormat="1" ht="25.5" customHeight="1">
      <x:c r="A120" s="38" t="n"/>
      <x:c r="B120" s="37" t="n"/>
      <x:c r="C120" s="36" t="n">
        <x:f>E120*D$5</x:f>
        <x:v>80</x:v>
      </x:c>
      <x:c r="D120" s="20" t="inlineStr">
        <x:is>
          <x:t xml:space="preserve">The Eddie Tom Lakey and Marinita Ann Lakey Revocable Trust dated June 1, 2014</x:t>
        </x:is>
      </x:c>
      <x:c r="E120" s="36" t="n">
        <x:f>SUM(G120:HT120)</x:f>
        <x:v>1</x:v>
      </x:c>
      <x:c r="F120" s="35" t="inlineStr">
        <x:is>
          <x:t xml:space="preserve"/>
        </x:is>
      </x:c>
      <x:c r="G120" s="121" t="n"/>
      <x:c r="Q120" s="100" t="n"/>
      <x:c r="R120" s="100" t="n"/>
      <x:c r="AD120" s="100" t="n"/>
      <x:c r="AE120" s="100" t="n"/>
      <x:c r="AF120" s="100" t="n"/>
      <x:c r="AG120" s="100" t="n"/>
      <x:c r="AH120" s="100" t="n"/>
      <x:c r="AI120" s="100" t="n"/>
      <x:c r="AJ120" s="100" t="n"/>
      <x:c r="AL120" s="100" t="n"/>
      <x:c r="AN120" s="100" t="n"/>
      <x:c r="BV120" s="27" t="n">
        <x:v>1</x:v>
      </x:c>
    </x:row>
    <x:row r="121" s="27" customFormat="1" ht="25.5" customHeight="1">
      <x:c r="A121" s="38" t="n"/>
      <x:c r="B121" s="37" t="n"/>
      <x:c r="C121" s="36" t="n">
        <x:f>E121*D$5</x:f>
        <x:v>-80</x:v>
      </x:c>
      <x:c r="D121" s="419" t="inlineStr">
        <x:is>
          <x:t xml:space="preserve">Joe Britton, same person as Joe H. Britton and Joe Harold Britton, Grantor, joined by his wife, Etta Britton</x:t>
        </x:is>
      </x:c>
      <x:c r="E121" s="411" t="n">
        <x:f>SUM(G121:HT121)</x:f>
        <x:v>-1</x:v>
      </x:c>
      <x:c r="F121" s="35" t="inlineStr">
        <x:is>
          <x:t xml:space="preserve"/>
        </x:is>
      </x:c>
      <x:c r="G121" s="121" t="n"/>
      <x:c r="Q121" s="100" t="n"/>
      <x:c r="R121" s="100" t="n"/>
      <x:c r="AD121" s="100" t="n"/>
      <x:c r="AE121" s="100" t="n"/>
      <x:c r="AF121" s="100" t="n"/>
      <x:c r="AG121" s="100" t="n"/>
      <x:c r="AH121" s="100" t="n"/>
      <x:c r="AI121" s="100" t="n"/>
      <x:c r="AJ121" s="100" t="n"/>
      <x:c r="AL121" s="100" t="n"/>
      <x:c r="AN121" s="100" t="n"/>
      <x:c r="BW121" s="27" t="n">
        <x:v>-1</x:v>
      </x:c>
    </x:row>
    <x:row r="122" s="27" customFormat="1">
      <x:c r="A122" s="38" t="n"/>
      <x:c r="B122" s="37" t="n"/>
      <x:c r="C122" s="36" t="n">
        <x:f>E122*D$5</x:f>
        <x:v>80</x:v>
      </x:c>
      <x:c r="D122" s="20" t="inlineStr">
        <x:is>
          <x:t xml:space="preserve">Linda C. Browning</x:t>
        </x:is>
      </x:c>
      <x:c r="E122" s="36" t="n">
        <x:f>SUM(G122:HT122)</x:f>
        <x:v>1</x:v>
      </x:c>
      <x:c r="F122" s="35" t="inlineStr">
        <x:is>
          <x:t xml:space="preserve"/>
        </x:is>
      </x:c>
      <x:c r="G122" s="121" t="n"/>
      <x:c r="Q122" s="100" t="n"/>
      <x:c r="R122" s="100" t="n"/>
      <x:c r="AD122" s="100" t="n"/>
      <x:c r="AE122" s="100" t="n"/>
      <x:c r="AF122" s="100" t="n"/>
      <x:c r="AG122" s="100" t="n"/>
      <x:c r="AH122" s="100" t="n"/>
      <x:c r="AI122" s="100" t="n"/>
      <x:c r="AJ122" s="100" t="n"/>
      <x:c r="AL122" s="100" t="n"/>
      <x:c r="AN122" s="100" t="n"/>
      <x:c r="BW122" s="27" t="n">
        <x:v>1</x:v>
      </x:c>
    </x:row>
    <x:row r="123" s="27" customFormat="1" ht="38.25" customHeight="1">
      <x:c r="A123" s="38" t="n"/>
      <x:c r="B123" s="37" t="n"/>
      <x:c r="C123" s="36" t="n">
        <x:f>E123*D$5</x:f>
        <x:v>-80</x:v>
      </x:c>
      <x:c r="D123" s="419" t="inlineStr">
        <x:is>
          <x:t xml:space="preserve">Cindy Lou Vignal, Trustee under the Luther and Veronica Thurman Living Trust, a Revocable Trust, dated April 17, 2014</x:t>
        </x:is>
      </x:c>
      <x:c r="E123" s="411" t="n">
        <x:f>SUM(G123:HT123)</x:f>
        <x:v>-1</x:v>
      </x:c>
      <x:c r="F123" s="35" t="inlineStr">
        <x:is>
          <x:t xml:space="preserve"/>
        </x:is>
      </x:c>
      <x:c r="G123" s="121" t="n"/>
      <x:c r="Q123" s="100" t="n"/>
      <x:c r="R123" s="100" t="n"/>
      <x:c r="AD123" s="100" t="n"/>
      <x:c r="AE123" s="100" t="n"/>
      <x:c r="AF123" s="100" t="n"/>
      <x:c r="AG123" s="100" t="n"/>
      <x:c r="AH123" s="100" t="n"/>
      <x:c r="AI123" s="100" t="n"/>
      <x:c r="AJ123" s="100" t="n"/>
      <x:c r="AL123" s="100" t="n"/>
      <x:c r="AN123" s="100" t="n"/>
      <x:c r="BX123" s="27" t="n">
        <x:v>-1</x:v>
      </x:c>
    </x:row>
    <x:row r="124" s="27" customFormat="1" ht="63.75" customHeight="1">
      <x:c r="A124" s="38" t="n"/>
      <x:c r="B124" s="37" t="n"/>
      <x:c r="C124" s="36" t="n">
        <x:f>E124*D$5</x:f>
        <x:v>80</x:v>
      </x:c>
      <x:c r="D124" s="20" t="inlineStr">
        <x:is>
          <x:t xml:space="preserve">Gary Wayne Vignal and Cindy Lou Vignal, Co-Trustees or their successors in Trust under the Gary and Cindy Vignal Living Trust, a Revocable Trust, dated September 20, 2018, and any amendments thereto 11598 N. 1800 Road Sayre, OK 73662</x:t>
        </x:is>
      </x:c>
      <x:c r="E124" s="36" t="n">
        <x:f>SUM(G124:HT124)</x:f>
        <x:v>1</x:v>
      </x:c>
      <x:c r="F124" s="35" t="inlineStr">
        <x:is>
          <x:t xml:space="preserve"/>
        </x:is>
      </x:c>
      <x:c r="G124" s="121" t="n"/>
      <x:c r="Q124" s="100" t="n"/>
      <x:c r="R124" s="100" t="n"/>
      <x:c r="AD124" s="100" t="n"/>
      <x:c r="AE124" s="100" t="n"/>
      <x:c r="AF124" s="100" t="n"/>
      <x:c r="AG124" s="100" t="n"/>
      <x:c r="AH124" s="100" t="n"/>
      <x:c r="AI124" s="100" t="n"/>
      <x:c r="AJ124" s="100" t="n"/>
      <x:c r="AL124" s="100" t="n"/>
      <x:c r="AN124" s="100" t="n"/>
      <x:c r="BX124" s="27" t="n">
        <x:v>1</x:v>
      </x:c>
    </x:row>
    <x:row r="125" s="27" customFormat="1">
      <x:c r="A125" s="38" t="n"/>
      <x:c r="B125" s="37" t="n"/>
      <x:c r="C125" s="36" t="n">
        <x:f>E125*D$5</x:f>
        <x:v>-80</x:v>
      </x:c>
      <x:c r="D125" s="419" t="inlineStr">
        <x:is>
          <x:t xml:space="preserve">Colt Development, LLC, Roca Development, LLC</x:t>
        </x:is>
      </x:c>
      <x:c r="E125" s="411" t="n">
        <x:f>SUM(G125:HT125)</x:f>
        <x:v>-1</x:v>
      </x:c>
      <x:c r="F125" s="35" t="inlineStr">
        <x:is>
          <x:t xml:space="preserve"/>
        </x:is>
      </x:c>
      <x:c r="G125" s="121" t="n"/>
      <x:c r="Q125" s="100" t="n"/>
      <x:c r="R125" s="100" t="n"/>
      <x:c r="AD125" s="100" t="n"/>
      <x:c r="AE125" s="100" t="n"/>
      <x:c r="AF125" s="100" t="n"/>
      <x:c r="AG125" s="100" t="n"/>
      <x:c r="AH125" s="100" t="n"/>
      <x:c r="AI125" s="100" t="n"/>
      <x:c r="AJ125" s="100" t="n"/>
      <x:c r="AL125" s="100" t="n"/>
      <x:c r="AN125" s="100" t="n"/>
      <x:c r="BY125" s="27" t="n">
        <x:v>-1</x:v>
      </x:c>
    </x:row>
    <x:row r="126" s="27" customFormat="1" ht="25.5" customHeight="1">
      <x:c r="A126" s="38" t="n"/>
      <x:c r="B126" s="37" t="inlineStr">
        <x:is>
          <x:t xml:space="preserve">HBP (base)</x:t>
        </x:is>
      </x:c>
      <x:c r="C126" s="36" t="n">
        <x:f>E126*D$5</x:f>
        <x:v>80</x:v>
      </x:c>
      <x:c r="D126" s="20" t="inlineStr">
        <x:is>
          <x:t xml:space="preserve">Dustin Deal, LLC</x:t>
        </x:is>
      </x:c>
      <x:c r="E126" s="36" t="n">
        <x:f>SUM(G126:HT126)</x:f>
        <x:v>1</x:v>
      </x:c>
      <x:c r="F126" s="35" t="inlineStr">
        <x:is>
          <x:t xml:space="preserve"/>
        </x:is>
      </x:c>
      <x:c r="G126" s="121" t="n"/>
      <x:c r="Q126" s="100" t="n"/>
      <x:c r="R126" s="100" t="n"/>
      <x:c r="AD126" s="100" t="n"/>
      <x:c r="AE126" s="100" t="n"/>
      <x:c r="AF126" s="100" t="n"/>
      <x:c r="AG126" s="100" t="n"/>
      <x:c r="AH126" s="100" t="n"/>
      <x:c r="AI126" s="100" t="n"/>
      <x:c r="AJ126" s="100" t="n"/>
      <x:c r="AL126" s="100" t="n"/>
      <x:c r="AN126" s="100" t="n"/>
      <x:c r="BY126" s="27" t="n">
        <x:v>1</x:v>
      </x:c>
    </x:row>
    <x:row r="127" s="27" customFormat="1">
      <x:c r="A127" s="38" t="n"/>
      <x:c r="B127" s="37" t="n"/>
      <x:c r="C127" s="36" t="n">
        <x:f>E127*D$5</x:f>
        <x:v>-80</x:v>
      </x:c>
      <x:c r="D127" s="419" t="inlineStr">
        <x:is>
          <x:t xml:space="preserve">Grizzly Operating, LLC, Vanguard Operating, LLC</x:t>
        </x:is>
      </x:c>
      <x:c r="E127" s="411" t="n">
        <x:f>SUM(G127:HT127)</x:f>
        <x:v>-1</x:v>
      </x:c>
      <x:c r="F127" s="35" t="inlineStr">
        <x:is>
          <x:t xml:space="preserve"/>
        </x:is>
      </x:c>
      <x:c r="G127" s="121" t="n"/>
      <x:c r="Q127" s="100" t="n"/>
      <x:c r="R127" s="100" t="n"/>
      <x:c r="AD127" s="100" t="n"/>
      <x:c r="AE127" s="100" t="n"/>
      <x:c r="AF127" s="100" t="n"/>
      <x:c r="AG127" s="100" t="n"/>
      <x:c r="AH127" s="100" t="n"/>
      <x:c r="AI127" s="100" t="n"/>
      <x:c r="AJ127" s="100" t="n"/>
      <x:c r="AL127" s="100" t="n"/>
      <x:c r="AN127" s="100" t="n"/>
      <x:c r="BZ127" s="27" t="n">
        <x:v>-1</x:v>
      </x:c>
    </x:row>
    <x:row r="128" s="27" customFormat="1">
      <x:c r="A128" s="38" t="n"/>
      <x:c r="B128" s="37" t="n"/>
      <x:c r="C128" s="36" t="n">
        <x:f>E128*D$5</x:f>
        <x:v>80</x:v>
      </x:c>
      <x:c r="D128" s="20" t="inlineStr">
        <x:is>
          <x:t xml:space="preserve">Psi Lke, LLC</x:t>
        </x:is>
      </x:c>
      <x:c r="E128" s="36" t="n">
        <x:f>SUM(G128:HT128)</x:f>
        <x:v>1</x:v>
      </x:c>
      <x:c r="F128" s="35" t="inlineStr">
        <x:is>
          <x:t xml:space="preserve"/>
        </x:is>
      </x:c>
      <x:c r="G128" s="121" t="n"/>
      <x:c r="Q128" s="100" t="n"/>
      <x:c r="R128" s="100" t="n"/>
      <x:c r="AD128" s="100" t="n"/>
      <x:c r="AE128" s="100" t="n"/>
      <x:c r="AF128" s="100" t="n"/>
      <x:c r="AG128" s="100" t="n"/>
      <x:c r="AH128" s="100" t="n"/>
      <x:c r="AI128" s="100" t="n"/>
      <x:c r="AJ128" s="100" t="n"/>
      <x:c r="AL128" s="100" t="n"/>
      <x:c r="AN128" s="100" t="n"/>
      <x:c r="BZ128" s="27" t="n">
        <x:v>1</x:v>
      </x:c>
    </x:row>
    <x:row r="129" s="27" customFormat="1">
      <x:c r="A129" s="38" t="n"/>
      <x:c r="B129" s="37" t="n"/>
      <x:c r="C129" s="36" t="n">
        <x:f>E129*D$5</x:f>
        <x:v>-40</x:v>
      </x:c>
      <x:c r="D129" s="419" t="inlineStr">
        <x:is>
          <x:t xml:space="preserve">H. M. Carter and Mrs Ethel Carter, HW</x:t>
        </x:is>
      </x:c>
      <x:c r="E129" s="411" t="n">
        <x:f>SUM(G129:HT129)</x:f>
        <x:v>-0.5</x:v>
      </x:c>
      <x:c r="F129" s="35" t="inlineStr">
        <x:is>
          <x:t xml:space="preserve"/>
        </x:is>
      </x:c>
      <x:c r="G129" s="121" t="n"/>
      <x:c r="Q129" s="100" t="n"/>
      <x:c r="R129" s="100" t="n"/>
      <x:c r="AD129" s="100" t="n"/>
      <x:c r="AE129" s="100" t="n"/>
      <x:c r="AF129" s="100" t="n"/>
      <x:c r="AG129" s="100" t="n"/>
      <x:c r="AH129" s="100" t="n"/>
      <x:c r="AI129" s="100" t="n"/>
      <x:c r="AJ129" s="100" t="n"/>
      <x:c r="AL129" s="100" t="n"/>
      <x:c r="AN129" s="100" t="n"/>
      <x:c r="CA129" s="27" t="n">
        <x:v>-0.5</x:v>
      </x:c>
    </x:row>
    <x:row r="130" s="27" customFormat="1">
      <x:c r="A130" s="38" t="n"/>
      <x:c r="B130" s="37" t="n"/>
      <x:c r="C130" s="36" t="n">
        <x:f>E130*D$5</x:f>
        <x:v>-80</x:v>
      </x:c>
      <x:c r="D130" s="419" t="inlineStr">
        <x:is>
          <x:t xml:space="preserve">United States of America</x:t>
        </x:is>
      </x:c>
      <x:c r="E130" s="411" t="n">
        <x:f>SUM(G130:HT130)</x:f>
        <x:v>-1</x:v>
      </x:c>
      <x:c r="F130" s="35" t="inlineStr">
        <x:is>
          <x:t xml:space="preserve"/>
        </x:is>
      </x:c>
      <x:c r="G130" s="121" t="n"/>
      <x:c r="Q130" s="100" t="n"/>
      <x:c r="R130" s="100" t="n"/>
      <x:c r="AD130" s="100" t="n"/>
      <x:c r="AE130" s="100" t="n"/>
      <x:c r="AF130" s="100" t="n"/>
      <x:c r="AG130" s="100" t="n"/>
      <x:c r="AH130" s="100" t="n"/>
      <x:c r="AI130" s="100" t="n"/>
      <x:c r="AJ130" s="100" t="n"/>
      <x:c r="AL130" s="100" t="n"/>
      <x:c r="AN130" s="100" t="n"/>
      <x:c r="CB130" s="27" t="n">
        <x:v>-1</x:v>
      </x:c>
    </x:row>
    <x:row r="131" s="27" customFormat="1">
      <x:c r="A131" s="38" t="n"/>
      <x:c r="B131" s="37" t="n"/>
      <x:c r="C131" s="36" t="n">
        <x:f>E131*D$5</x:f>
        <x:v>0</x:v>
      </x:c>
      <x:c r="D131" s="20" t="n"/>
      <x:c r="E131" s="36" t="n">
        <x:f>SUM(G131:HT131)</x:f>
        <x:v>0</x:v>
      </x:c>
      <x:c r="Q131" s="100" t="n"/>
      <x:c r="R131" s="100" t="n"/>
      <x:c r="AD131" s="100" t="n"/>
      <x:c r="AE131" s="100" t="n"/>
      <x:c r="AF131" s="100" t="n"/>
      <x:c r="AG131" s="100" t="n"/>
      <x:c r="AH131" s="100" t="n"/>
      <x:c r="AI131" s="100" t="n"/>
      <x:c r="AJ131" s="100" t="n"/>
      <x:c r="AL131" s="100" t="n"/>
      <x:c r="AN131" s="100" t="n"/>
    </x:row>
    <x:row r="132" s="27" customFormat="1">
      <x:c r="A132" s="38" t="n"/>
      <x:c r="B132" s="37" t="n"/>
      <x:c r="C132" s="36" t="n">
        <x:f>E132*D$5</x:f>
        <x:v>0</x:v>
      </x:c>
      <x:c r="D132" s="20" t="n"/>
      <x:c r="E132" s="36" t="n">
        <x:f>SUM(G132:HT132)</x:f>
        <x:v>0</x:v>
      </x:c>
      <x:c r="Q132" s="100" t="n"/>
      <x:c r="R132" s="100" t="n"/>
      <x:c r="AD132" s="100" t="n"/>
      <x:c r="AE132" s="100" t="n"/>
      <x:c r="AF132" s="100" t="n"/>
      <x:c r="AG132" s="100" t="n"/>
      <x:c r="AH132" s="100" t="n"/>
      <x:c r="AI132" s="100" t="n"/>
      <x:c r="AJ132" s="100" t="n"/>
      <x:c r="AL132" s="100" t="n"/>
      <x:c r="AN132" s="100" t="n"/>
    </x:row>
    <x:row r="133" s="27" customFormat="1">
      <x:c r="A133" s="38" t="n"/>
      <x:c r="B133" s="37" t="n"/>
      <x:c r="C133" s="36" t="n">
        <x:f>E133*D$5</x:f>
        <x:v>0</x:v>
      </x:c>
      <x:c r="D133" s="20" t="n"/>
      <x:c r="E133" s="36" t="n">
        <x:f>SUM(G133:HT133)</x:f>
        <x:v>0</x:v>
      </x:c>
      <x:c r="Q133" s="100" t="n"/>
      <x:c r="R133" s="100" t="n"/>
      <x:c r="AD133" s="100" t="n"/>
      <x:c r="AE133" s="100" t="n"/>
      <x:c r="AF133" s="100" t="n"/>
      <x:c r="AG133" s="100" t="n"/>
      <x:c r="AH133" s="100" t="n"/>
      <x:c r="AI133" s="100" t="n"/>
      <x:c r="AJ133" s="100" t="n"/>
      <x:c r="AL133" s="100" t="n"/>
      <x:c r="AN133" s="100" t="n"/>
    </x:row>
    <x:row r="134" s="27" customFormat="1">
      <x:c r="A134" s="38" t="n"/>
      <x:c r="B134" s="37" t="n"/>
      <x:c r="C134" s="36" t="n">
        <x:f>E134*D$5</x:f>
        <x:v>0</x:v>
      </x:c>
      <x:c r="D134" s="20" t="n"/>
      <x:c r="E134" s="36" t="n">
        <x:f>SUM(G134:HT134)</x:f>
        <x:v>0</x:v>
      </x:c>
      <x:c r="Q134" s="100" t="n"/>
      <x:c r="R134" s="100" t="n"/>
      <x:c r="AD134" s="100" t="n"/>
      <x:c r="AE134" s="100" t="n"/>
      <x:c r="AF134" s="100" t="n"/>
      <x:c r="AG134" s="100" t="n"/>
      <x:c r="AH134" s="100" t="n"/>
      <x:c r="AI134" s="100" t="n"/>
      <x:c r="AJ134" s="100" t="n"/>
      <x:c r="AL134" s="100" t="n"/>
      <x:c r="AN134" s="100" t="n"/>
    </x:row>
    <x:row r="135" s="27" customFormat="1">
      <x:c r="A135" s="38" t="n"/>
      <x:c r="B135" s="37" t="n"/>
      <x:c r="C135" s="36" t="n">
        <x:f>E135*D$5</x:f>
        <x:v>0</x:v>
      </x:c>
      <x:c r="D135" s="20" t="n"/>
      <x:c r="E135" s="36" t="n">
        <x:f>SUM(G135:HT135)</x:f>
        <x:v>0</x:v>
      </x:c>
      <x:c r="Q135" s="100" t="n"/>
      <x:c r="R135" s="100" t="n"/>
      <x:c r="AD135" s="100" t="n"/>
      <x:c r="AE135" s="100" t="n"/>
      <x:c r="AF135" s="100" t="n"/>
      <x:c r="AG135" s="100" t="n"/>
      <x:c r="AH135" s="100" t="n"/>
      <x:c r="AI135" s="100" t="n"/>
      <x:c r="AJ135" s="100" t="n"/>
      <x:c r="AL135" s="100" t="n"/>
      <x:c r="AN135" s="100" t="n"/>
    </x:row>
    <x:row r="136" s="27" customFormat="1">
      <x:c r="A136" s="38" t="n"/>
      <x:c r="B136" s="37" t="n"/>
      <x:c r="C136" s="36" t="n">
        <x:f>E136*D$5</x:f>
        <x:v>0</x:v>
      </x:c>
      <x:c r="D136" s="20" t="n"/>
      <x:c r="E136" s="36" t="n">
        <x:f>SUM(G136:HT136)</x:f>
        <x:v>0</x:v>
      </x:c>
      <x:c r="Q136" s="100" t="n"/>
      <x:c r="R136" s="100" t="n"/>
      <x:c r="AD136" s="100" t="n"/>
      <x:c r="AE136" s="100" t="n"/>
      <x:c r="AF136" s="100" t="n"/>
      <x:c r="AG136" s="100" t="n"/>
      <x:c r="AH136" s="100" t="n"/>
      <x:c r="AI136" s="100" t="n"/>
      <x:c r="AJ136" s="100" t="n"/>
      <x:c r="AL136" s="100" t="n"/>
      <x:c r="AN136" s="100" t="n"/>
    </x:row>
    <x:row r="137" s="27" customFormat="1">
      <x:c r="A137" s="38" t="n"/>
      <x:c r="B137" s="37" t="n"/>
      <x:c r="C137" s="36" t="n">
        <x:f>E137*D$5</x:f>
        <x:v>0</x:v>
      </x:c>
      <x:c r="D137" s="20" t="n"/>
      <x:c r="E137" s="36" t="n">
        <x:f>SUM(G137:HT137)</x:f>
        <x:v>0</x:v>
      </x:c>
      <x:c r="Q137" s="100" t="n"/>
      <x:c r="R137" s="100" t="n"/>
      <x:c r="AD137" s="100" t="n"/>
      <x:c r="AE137" s="100" t="n"/>
      <x:c r="AF137" s="100" t="n"/>
      <x:c r="AG137" s="100" t="n"/>
      <x:c r="AH137" s="100" t="n"/>
      <x:c r="AI137" s="100" t="n"/>
      <x:c r="AJ137" s="100" t="n"/>
      <x:c r="AL137" s="100" t="n"/>
      <x:c r="AN137" s="100" t="n"/>
    </x:row>
    <x:row r="138" s="27" customFormat="1">
      <x:c r="A138" s="38" t="n"/>
      <x:c r="B138" s="37" t="n"/>
      <x:c r="C138" s="36" t="n">
        <x:f>E138*D$5</x:f>
        <x:v>0</x:v>
      </x:c>
      <x:c r="D138" s="20" t="n"/>
      <x:c r="E138" s="36" t="n">
        <x:f>SUM(G138:HT138)</x:f>
        <x:v>0</x:v>
      </x:c>
      <x:c r="Q138" s="100" t="n"/>
      <x:c r="R138" s="100" t="n"/>
      <x:c r="AD138" s="100" t="n"/>
      <x:c r="AE138" s="100" t="n"/>
      <x:c r="AF138" s="100" t="n"/>
      <x:c r="AG138" s="100" t="n"/>
      <x:c r="AH138" s="100" t="n"/>
      <x:c r="AI138" s="100" t="n"/>
      <x:c r="AJ138" s="100" t="n"/>
      <x:c r="AL138" s="100" t="n"/>
      <x:c r="AN138" s="100" t="n"/>
    </x:row>
    <x:row r="139" s="27" customFormat="1">
      <x:c r="A139" s="38" t="n"/>
      <x:c r="B139" s="37" t="n"/>
      <x:c r="C139" s="36" t="n">
        <x:f>E139*D$5</x:f>
        <x:v>0</x:v>
      </x:c>
      <x:c r="D139" s="20" t="n"/>
      <x:c r="E139" s="36" t="n">
        <x:f>SUM(G139:HT139)</x:f>
        <x:v>0</x:v>
      </x:c>
      <x:c r="Q139" s="100" t="n"/>
      <x:c r="R139" s="100" t="n"/>
      <x:c r="AD139" s="100" t="n"/>
      <x:c r="AE139" s="100" t="n"/>
      <x:c r="AF139" s="100" t="n"/>
      <x:c r="AG139" s="100" t="n"/>
      <x:c r="AH139" s="100" t="n"/>
      <x:c r="AI139" s="100" t="n"/>
      <x:c r="AJ139" s="100" t="n"/>
      <x:c r="AL139" s="100" t="n"/>
      <x:c r="AN139" s="100" t="n"/>
    </x:row>
    <x:row r="140" s="27" customFormat="1">
      <x:c r="A140" s="38" t="n"/>
      <x:c r="B140" s="37" t="n"/>
      <x:c r="C140" s="36" t="n">
        <x:f>E140*D$5</x:f>
        <x:v>0</x:v>
      </x:c>
      <x:c r="D140" s="20" t="n"/>
      <x:c r="E140" s="36" t="n">
        <x:f>SUM(G140:HT140)</x:f>
        <x:v>0</x:v>
      </x:c>
      <x:c r="Q140" s="100" t="n"/>
      <x:c r="R140" s="100" t="n"/>
      <x:c r="AD140" s="100" t="n"/>
      <x:c r="AE140" s="100" t="n"/>
      <x:c r="AF140" s="100" t="n"/>
      <x:c r="AG140" s="100" t="n"/>
      <x:c r="AH140" s="100" t="n"/>
      <x:c r="AI140" s="100" t="n"/>
      <x:c r="AJ140" s="100" t="n"/>
      <x:c r="AL140" s="100" t="n"/>
      <x:c r="AN140" s="100" t="n"/>
    </x:row>
    <x:row r="141" s="27" customFormat="1">
      <x:c r="A141" s="38" t="n"/>
      <x:c r="B141" s="37" t="n"/>
      <x:c r="C141" s="36" t="n">
        <x:f>E141*D$5</x:f>
        <x:v>0</x:v>
      </x:c>
      <x:c r="D141" s="20" t="n"/>
      <x:c r="E141" s="36" t="n">
        <x:f>SUM(G141:HT141)</x:f>
        <x:v>0</x:v>
      </x:c>
      <x:c r="Q141" s="100" t="n"/>
      <x:c r="R141" s="100" t="n"/>
      <x:c r="AD141" s="100" t="n"/>
      <x:c r="AE141" s="100" t="n"/>
      <x:c r="AF141" s="100" t="n"/>
      <x:c r="AG141" s="100" t="n"/>
      <x:c r="AH141" s="100" t="n"/>
      <x:c r="AI141" s="100" t="n"/>
      <x:c r="AJ141" s="100" t="n"/>
      <x:c r="AL141" s="100" t="n"/>
      <x:c r="AN141" s="100" t="n"/>
    </x:row>
    <x:row r="142" s="27" customFormat="1">
      <x:c r="A142" s="38" t="n"/>
      <x:c r="B142" s="37" t="n"/>
      <x:c r="C142" s="36" t="n">
        <x:f>E142*D$5</x:f>
        <x:v>0</x:v>
      </x:c>
      <x:c r="D142" s="20" t="n"/>
      <x:c r="E142" s="36" t="n">
        <x:f>SUM(G142:HT142)</x:f>
        <x:v>0</x:v>
      </x:c>
      <x:c r="Q142" s="100" t="n"/>
      <x:c r="R142" s="100" t="n"/>
      <x:c r="AD142" s="100" t="n"/>
      <x:c r="AE142" s="100" t="n"/>
      <x:c r="AF142" s="100" t="n"/>
      <x:c r="AG142" s="100" t="n"/>
      <x:c r="AH142" s="100" t="n"/>
      <x:c r="AI142" s="100" t="n"/>
      <x:c r="AJ142" s="100" t="n"/>
      <x:c r="AL142" s="100" t="n"/>
      <x:c r="AN142" s="100" t="n"/>
    </x:row>
    <x:row r="143" s="27" customFormat="1">
      <x:c r="A143" s="38" t="n"/>
      <x:c r="B143" s="37" t="n"/>
      <x:c r="C143" s="36" t="n">
        <x:f>E143*D$5</x:f>
        <x:v>0</x:v>
      </x:c>
      <x:c r="D143" s="20" t="n"/>
      <x:c r="E143" s="36" t="n">
        <x:f>SUM(G143:HT143)</x:f>
        <x:v>0</x:v>
      </x:c>
      <x:c r="Q143" s="100" t="n"/>
      <x:c r="R143" s="100" t="n"/>
      <x:c r="AD143" s="100" t="n"/>
      <x:c r="AE143" s="100" t="n"/>
      <x:c r="AF143" s="100" t="n"/>
      <x:c r="AG143" s="100" t="n"/>
      <x:c r="AH143" s="100" t="n"/>
      <x:c r="AI143" s="100" t="n"/>
      <x:c r="AJ143" s="100" t="n"/>
      <x:c r="AL143" s="100" t="n"/>
      <x:c r="AN143" s="100" t="n"/>
    </x:row>
    <x:row r="144" s="27" customFormat="1">
      <x:c r="A144" s="38" t="n"/>
      <x:c r="B144" s="37" t="n"/>
      <x:c r="C144" s="36" t="n">
        <x:f>E144*D$5</x:f>
        <x:v>0</x:v>
      </x:c>
      <x:c r="D144" s="20" t="n"/>
      <x:c r="E144" s="36" t="n">
        <x:f>SUM(G144:HT144)</x:f>
        <x:v>0</x:v>
      </x:c>
      <x:c r="Q144" s="100" t="n"/>
      <x:c r="R144" s="100" t="n"/>
      <x:c r="AD144" s="100" t="n"/>
      <x:c r="AE144" s="100" t="n"/>
      <x:c r="AF144" s="100" t="n"/>
      <x:c r="AG144" s="100" t="n"/>
      <x:c r="AH144" s="100" t="n"/>
      <x:c r="AI144" s="100" t="n"/>
      <x:c r="AJ144" s="100" t="n"/>
      <x:c r="AL144" s="100" t="n"/>
      <x:c r="AN144" s="100" t="n"/>
    </x:row>
    <x:row r="145" s="27" customFormat="1">
      <x:c r="A145" s="38" t="n"/>
      <x:c r="B145" s="37" t="n"/>
      <x:c r="C145" s="36" t="n">
        <x:f>E145*D$5</x:f>
        <x:v>0</x:v>
      </x:c>
      <x:c r="D145" s="20" t="n"/>
      <x:c r="E145" s="36" t="n">
        <x:f>SUM(G145:HT145)</x:f>
        <x:v>0</x:v>
      </x:c>
      <x:c r="Q145" s="100" t="n"/>
      <x:c r="R145" s="100" t="n"/>
      <x:c r="AD145" s="100" t="n"/>
      <x:c r="AE145" s="100" t="n"/>
      <x:c r="AF145" s="100" t="n"/>
      <x:c r="AG145" s="100" t="n"/>
      <x:c r="AH145" s="100" t="n"/>
      <x:c r="AI145" s="100" t="n"/>
      <x:c r="AJ145" s="100" t="n"/>
      <x:c r="AL145" s="100" t="n"/>
      <x:c r="AN145" s="100" t="n"/>
    </x:row>
    <x:row r="146" s="27" customFormat="1">
      <x:c r="A146" s="38" t="n"/>
      <x:c r="B146" s="37" t="n"/>
      <x:c r="C146" s="36" t="n">
        <x:f>E146*D$5</x:f>
        <x:v>0</x:v>
      </x:c>
      <x:c r="D146" s="20" t="n"/>
      <x:c r="E146" s="36" t="n">
        <x:f>SUM(G146:HT146)</x:f>
        <x:v>0</x:v>
      </x:c>
      <x:c r="Q146" s="100" t="n"/>
      <x:c r="R146" s="100" t="n"/>
      <x:c r="AD146" s="100" t="n"/>
      <x:c r="AE146" s="100" t="n"/>
      <x:c r="AF146" s="100" t="n"/>
      <x:c r="AG146" s="100" t="n"/>
      <x:c r="AH146" s="100" t="n"/>
      <x:c r="AI146" s="100" t="n"/>
      <x:c r="AJ146" s="100" t="n"/>
      <x:c r="AL146" s="100" t="n"/>
      <x:c r="AN146" s="100" t="n"/>
    </x:row>
    <x:row r="147" s="27" customFormat="1">
      <x:c r="A147" s="38" t="n"/>
      <x:c r="B147" s="37" t="n"/>
      <x:c r="C147" s="36" t="n">
        <x:f>E147*D$5</x:f>
        <x:v>0</x:v>
      </x:c>
      <x:c r="D147" s="20" t="n"/>
      <x:c r="E147" s="36" t="n">
        <x:f>SUM(G147:HT147)</x:f>
        <x:v>0</x:v>
      </x:c>
      <x:c r="Q147" s="100" t="n"/>
      <x:c r="R147" s="100" t="n"/>
      <x:c r="AD147" s="100" t="n"/>
      <x:c r="AE147" s="100" t="n"/>
      <x:c r="AF147" s="100" t="n"/>
      <x:c r="AG147" s="100" t="n"/>
      <x:c r="AH147" s="100" t="n"/>
      <x:c r="AI147" s="100" t="n"/>
      <x:c r="AJ147" s="100" t="n"/>
      <x:c r="AL147" s="100" t="n"/>
      <x:c r="AN147" s="100" t="n"/>
    </x:row>
    <x:row r="148" s="27" customFormat="1">
      <x:c r="A148" s="38" t="n"/>
      <x:c r="B148" s="37" t="n"/>
      <x:c r="C148" s="36" t="n">
        <x:f>E148*D$5</x:f>
        <x:v>0</x:v>
      </x:c>
      <x:c r="D148" s="20" t="n"/>
      <x:c r="E148" s="36" t="n">
        <x:f>SUM(G148:HT148)</x:f>
        <x:v>0</x:v>
      </x:c>
      <x:c r="Q148" s="100" t="n"/>
      <x:c r="R148" s="100" t="n"/>
      <x:c r="AD148" s="100" t="n"/>
      <x:c r="AE148" s="100" t="n"/>
      <x:c r="AF148" s="100" t="n"/>
      <x:c r="AG148" s="100" t="n"/>
      <x:c r="AH148" s="100" t="n"/>
      <x:c r="AI148" s="100" t="n"/>
      <x:c r="AJ148" s="100" t="n"/>
      <x:c r="AL148" s="100" t="n"/>
      <x:c r="AN148" s="100" t="n"/>
    </x:row>
    <x:row r="149" s="27" customFormat="1">
      <x:c r="A149" s="38" t="n"/>
      <x:c r="B149" s="37" t="n"/>
      <x:c r="C149" s="36" t="n">
        <x:f>E149*D$5</x:f>
        <x:v>0</x:v>
      </x:c>
      <x:c r="D149" s="20" t="n"/>
      <x:c r="E149" s="36" t="n">
        <x:f>SUM(G149:HT149)</x:f>
        <x:v>0</x:v>
      </x:c>
      <x:c r="Q149" s="100" t="n"/>
      <x:c r="R149" s="100" t="n"/>
      <x:c r="AD149" s="100" t="n"/>
      <x:c r="AE149" s="100" t="n"/>
      <x:c r="AF149" s="100" t="n"/>
      <x:c r="AG149" s="100" t="n"/>
      <x:c r="AH149" s="100" t="n"/>
      <x:c r="AI149" s="100" t="n"/>
      <x:c r="AJ149" s="100" t="n"/>
      <x:c r="AL149" s="100" t="n"/>
      <x:c r="AN149" s="100" t="n"/>
    </x:row>
    <x:row r="150" s="27" customFormat="1">
      <x:c r="A150" s="38" t="n"/>
      <x:c r="B150" s="37" t="n"/>
      <x:c r="C150" s="36" t="n">
        <x:f>E150*D$5</x:f>
        <x:v>0</x:v>
      </x:c>
      <x:c r="D150" s="20" t="n"/>
      <x:c r="E150" s="36" t="n">
        <x:f>SUM(G150:HT150)</x:f>
        <x:v>0</x:v>
      </x:c>
      <x:c r="Q150" s="100" t="n"/>
      <x:c r="R150" s="100" t="n"/>
      <x:c r="AD150" s="100" t="n"/>
      <x:c r="AE150" s="100" t="n"/>
      <x:c r="AF150" s="100" t="n"/>
      <x:c r="AG150" s="100" t="n"/>
      <x:c r="AH150" s="100" t="n"/>
      <x:c r="AI150" s="100" t="n"/>
      <x:c r="AJ150" s="100" t="n"/>
      <x:c r="AL150" s="100" t="n"/>
      <x:c r="AN150" s="100" t="n"/>
    </x:row>
    <x:row r="151" s="27" customFormat="1">
      <x:c r="A151" s="38" t="n"/>
      <x:c r="B151" s="37" t="n"/>
      <x:c r="C151" s="36" t="n">
        <x:f>E151*D$5</x:f>
        <x:v>0</x:v>
      </x:c>
      <x:c r="D151" s="20" t="n"/>
      <x:c r="E151" s="36" t="n">
        <x:f>SUM(G151:HT151)</x:f>
        <x:v>0</x:v>
      </x:c>
      <x:c r="Q151" s="100" t="n"/>
      <x:c r="R151" s="100" t="n"/>
      <x:c r="AD151" s="100" t="n"/>
      <x:c r="AE151" s="100" t="n"/>
      <x:c r="AF151" s="100" t="n"/>
      <x:c r="AG151" s="100" t="n"/>
      <x:c r="AH151" s="100" t="n"/>
      <x:c r="AI151" s="100" t="n"/>
      <x:c r="AJ151" s="100" t="n"/>
      <x:c r="AL151" s="100" t="n"/>
      <x:c r="AN151" s="100" t="n"/>
    </x:row>
    <x:row r="152" s="27" customFormat="1">
      <x:c r="A152" s="38" t="n"/>
      <x:c r="B152" s="37" t="n"/>
      <x:c r="C152" s="36" t="n">
        <x:f>E152*D$5</x:f>
        <x:v>0</x:v>
      </x:c>
      <x:c r="D152" s="20" t="n"/>
      <x:c r="E152" s="36" t="n">
        <x:f>SUM(G152:HT152)</x:f>
        <x:v>0</x:v>
      </x:c>
      <x:c r="Q152" s="100" t="n"/>
      <x:c r="R152" s="100" t="n"/>
      <x:c r="AD152" s="100" t="n"/>
      <x:c r="AE152" s="100" t="n"/>
      <x:c r="AF152" s="100" t="n"/>
      <x:c r="AG152" s="100" t="n"/>
      <x:c r="AH152" s="100" t="n"/>
      <x:c r="AI152" s="100" t="n"/>
      <x:c r="AJ152" s="100" t="n"/>
      <x:c r="AL152" s="100" t="n"/>
      <x:c r="AN152" s="100" t="n"/>
    </x:row>
    <x:row r="153" s="27" customFormat="1">
      <x:c r="A153" s="38" t="n"/>
      <x:c r="B153" s="37" t="n"/>
      <x:c r="C153" s="36" t="n">
        <x:f>E153*D$5</x:f>
        <x:v>0</x:v>
      </x:c>
      <x:c r="D153" s="20" t="n"/>
      <x:c r="E153" s="36" t="n">
        <x:f>SUM(G153:HT153)</x:f>
        <x:v>0</x:v>
      </x:c>
      <x:c r="Q153" s="100" t="n"/>
      <x:c r="R153" s="100" t="n"/>
      <x:c r="AD153" s="100" t="n"/>
      <x:c r="AE153" s="100" t="n"/>
      <x:c r="AF153" s="100" t="n"/>
      <x:c r="AG153" s="100" t="n"/>
      <x:c r="AH153" s="100" t="n"/>
      <x:c r="AI153" s="100" t="n"/>
      <x:c r="AJ153" s="100" t="n"/>
      <x:c r="AL153" s="100" t="n"/>
      <x:c r="AN153" s="100" t="n"/>
    </x:row>
    <x:row r="154" s="27" customFormat="1">
      <x:c r="A154" s="38" t="n"/>
      <x:c r="B154" s="37" t="n"/>
      <x:c r="C154" s="36" t="n">
        <x:f>E154*D$5</x:f>
        <x:v>0</x:v>
      </x:c>
      <x:c r="D154" s="20" t="n"/>
      <x:c r="E154" s="36" t="n">
        <x:f>SUM(G154:HT154)</x:f>
        <x:v>0</x:v>
      </x:c>
      <x:c r="Q154" s="100" t="n"/>
      <x:c r="R154" s="100" t="n"/>
      <x:c r="AD154" s="100" t="n"/>
      <x:c r="AE154" s="100" t="n"/>
      <x:c r="AF154" s="100" t="n"/>
      <x:c r="AG154" s="100" t="n"/>
      <x:c r="AH154" s="100" t="n"/>
      <x:c r="AI154" s="100" t="n"/>
      <x:c r="AJ154" s="100" t="n"/>
      <x:c r="AL154" s="100" t="n"/>
      <x:c r="AN154" s="100" t="n"/>
    </x:row>
    <x:row r="155" s="27" customFormat="1">
      <x:c r="A155" s="38" t="n"/>
      <x:c r="B155" s="37" t="n"/>
      <x:c r="C155" s="36" t="n">
        <x:f>E155*D$5</x:f>
        <x:v>0</x:v>
      </x:c>
      <x:c r="D155" s="20" t="n"/>
      <x:c r="E155" s="36" t="n">
        <x:f>SUM(G155:HT155)</x:f>
        <x:v>0</x:v>
      </x:c>
      <x:c r="Q155" s="100" t="n"/>
      <x:c r="R155" s="100" t="n"/>
      <x:c r="AD155" s="100" t="n"/>
      <x:c r="AE155" s="100" t="n"/>
      <x:c r="AF155" s="100" t="n"/>
      <x:c r="AG155" s="100" t="n"/>
      <x:c r="AH155" s="100" t="n"/>
      <x:c r="AI155" s="100" t="n"/>
      <x:c r="AJ155" s="100" t="n"/>
      <x:c r="AL155" s="100" t="n"/>
      <x:c r="AN155" s="100" t="n"/>
    </x:row>
    <x:row r="156" s="27" customFormat="1">
      <x:c r="A156" s="38" t="n"/>
      <x:c r="B156" s="37" t="n"/>
      <x:c r="C156" s="36" t="n">
        <x:f>E156*D$5</x:f>
        <x:v>0</x:v>
      </x:c>
      <x:c r="D156" s="20" t="n"/>
      <x:c r="E156" s="36" t="n">
        <x:f>SUM(G156:HT156)</x:f>
        <x:v>0</x:v>
      </x:c>
      <x:c r="Q156" s="100" t="n"/>
      <x:c r="R156" s="100" t="n"/>
      <x:c r="AD156" s="100" t="n"/>
      <x:c r="AE156" s="100" t="n"/>
      <x:c r="AF156" s="100" t="n"/>
      <x:c r="AG156" s="100" t="n"/>
      <x:c r="AH156" s="100" t="n"/>
      <x:c r="AI156" s="100" t="n"/>
      <x:c r="AJ156" s="100" t="n"/>
      <x:c r="AL156" s="100" t="n"/>
      <x:c r="AN156" s="100" t="n"/>
    </x:row>
    <x:row r="157" s="27" customFormat="1">
      <x:c r="A157" s="38" t="n"/>
      <x:c r="B157" s="37" t="n"/>
      <x:c r="C157" s="36" t="n">
        <x:f>E157*D$5</x:f>
        <x:v>0</x:v>
      </x:c>
      <x:c r="D157" s="20" t="n"/>
      <x:c r="E157" s="36" t="n">
        <x:f>SUM(G157:HT157)</x:f>
        <x:v>0</x:v>
      </x:c>
      <x:c r="Q157" s="100" t="n"/>
      <x:c r="R157" s="100" t="n"/>
      <x:c r="AD157" s="100" t="n"/>
      <x:c r="AE157" s="100" t="n"/>
      <x:c r="AF157" s="100" t="n"/>
      <x:c r="AG157" s="100" t="n"/>
      <x:c r="AH157" s="100" t="n"/>
      <x:c r="AI157" s="100" t="n"/>
      <x:c r="AJ157" s="100" t="n"/>
      <x:c r="AL157" s="100" t="n"/>
      <x:c r="AN157" s="100" t="n"/>
    </x:row>
    <x:row r="158" s="27" customFormat="1">
      <x:c r="A158" s="38" t="n"/>
      <x:c r="B158" s="37" t="n"/>
      <x:c r="C158" s="36" t="n">
        <x:f>E158*D$5</x:f>
        <x:v>0</x:v>
      </x:c>
      <x:c r="D158" s="20" t="n"/>
      <x:c r="E158" s="36" t="n">
        <x:f>SUM(G158:HT158)</x:f>
        <x:v>0</x:v>
      </x:c>
      <x:c r="Q158" s="100" t="n"/>
      <x:c r="R158" s="100" t="n"/>
      <x:c r="AD158" s="100" t="n"/>
      <x:c r="AE158" s="100" t="n"/>
      <x:c r="AF158" s="100" t="n"/>
      <x:c r="AG158" s="100" t="n"/>
      <x:c r="AH158" s="100" t="n"/>
      <x:c r="AI158" s="100" t="n"/>
      <x:c r="AJ158" s="100" t="n"/>
      <x:c r="AL158" s="100" t="n"/>
      <x:c r="AN158" s="100" t="n"/>
    </x:row>
    <x:row r="159" s="27" customFormat="1">
      <x:c r="A159" s="38" t="n"/>
      <x:c r="B159" s="37" t="n"/>
      <x:c r="C159" s="36" t="n">
        <x:f>E159*D$5</x:f>
        <x:v>0</x:v>
      </x:c>
      <x:c r="D159" s="20" t="n"/>
      <x:c r="E159" s="36" t="n">
        <x:f>SUM(G159:HT159)</x:f>
        <x:v>0</x:v>
      </x:c>
      <x:c r="Q159" s="100" t="n"/>
      <x:c r="R159" s="100" t="n"/>
      <x:c r="AD159" s="100" t="n"/>
      <x:c r="AE159" s="100" t="n"/>
      <x:c r="AF159" s="100" t="n"/>
      <x:c r="AG159" s="100" t="n"/>
      <x:c r="AH159" s="100" t="n"/>
      <x:c r="AI159" s="100" t="n"/>
      <x:c r="AJ159" s="100" t="n"/>
      <x:c r="AL159" s="100" t="n"/>
      <x:c r="AN159" s="100" t="n"/>
    </x:row>
    <x:row r="160" s="27" customFormat="1">
      <x:c r="A160" s="38" t="n"/>
      <x:c r="B160" s="37" t="n"/>
      <x:c r="C160" s="36" t="n">
        <x:f>E160*D$5</x:f>
        <x:v>0</x:v>
      </x:c>
      <x:c r="D160" s="20" t="n"/>
      <x:c r="E160" s="36" t="n">
        <x:f>SUM(G160:HT160)</x:f>
        <x:v>0</x:v>
      </x:c>
      <x:c r="Q160" s="100" t="n"/>
      <x:c r="R160" s="100" t="n"/>
      <x:c r="AD160" s="100" t="n"/>
      <x:c r="AE160" s="100" t="n"/>
      <x:c r="AF160" s="100" t="n"/>
      <x:c r="AG160" s="100" t="n"/>
      <x:c r="AH160" s="100" t="n"/>
      <x:c r="AI160" s="100" t="n"/>
      <x:c r="AJ160" s="100" t="n"/>
      <x:c r="AL160" s="100" t="n"/>
      <x:c r="AN160" s="100" t="n"/>
    </x:row>
    <x:row r="161" s="27" customFormat="1">
      <x:c r="A161" s="38" t="n"/>
      <x:c r="B161" s="37" t="n"/>
      <x:c r="C161" s="36" t="n">
        <x:f>E161*D$5</x:f>
        <x:v>0</x:v>
      </x:c>
      <x:c r="D161" s="20" t="n"/>
      <x:c r="E161" s="36" t="n"/>
      <x:c r="Q161" s="100" t="n"/>
      <x:c r="R161" s="100" t="n"/>
      <x:c r="AD161" s="100" t="n"/>
      <x:c r="AE161" s="100" t="n"/>
      <x:c r="AF161" s="100" t="n"/>
      <x:c r="AG161" s="100" t="n"/>
      <x:c r="AH161" s="100" t="n"/>
      <x:c r="AI161" s="100" t="n"/>
      <x:c r="AJ161" s="100" t="n"/>
      <x:c r="AL161" s="100" t="n"/>
      <x:c r="AN161" s="100" t="n"/>
    </x:row>
    <x:row r="162" s="27" customFormat="1">
      <x:c r="A162" s="38" t="n"/>
      <x:c r="B162" s="37" t="n"/>
      <x:c r="C162" s="36" t="n">
        <x:f>E162*D$5</x:f>
        <x:v>0</x:v>
      </x:c>
      <x:c r="D162" s="20" t="n"/>
      <x:c r="E162" s="36" t="n"/>
      <x:c r="Q162" s="100" t="n"/>
      <x:c r="R162" s="100" t="n"/>
      <x:c r="AD162" s="100" t="n"/>
      <x:c r="AE162" s="100" t="n"/>
      <x:c r="AF162" s="100" t="n"/>
      <x:c r="AG162" s="100" t="n"/>
      <x:c r="AH162" s="100" t="n"/>
      <x:c r="AI162" s="100" t="n"/>
      <x:c r="AJ162" s="100" t="n"/>
      <x:c r="AL162" s="100" t="n"/>
      <x:c r="AN162" s="100" t="n"/>
    </x:row>
    <x:row r="163" s="27" customFormat="1">
      <x:c r="A163" s="38" t="n"/>
      <x:c r="B163" s="37" t="n"/>
      <x:c r="C163" s="36" t="n">
        <x:f>E163*D$5</x:f>
        <x:v>0</x:v>
      </x:c>
      <x:c r="D163" s="20" t="n"/>
      <x:c r="E163" s="36" t="n"/>
      <x:c r="Q163" s="100" t="n"/>
      <x:c r="R163" s="100" t="n"/>
      <x:c r="AD163" s="100" t="n"/>
      <x:c r="AE163" s="100" t="n"/>
      <x:c r="AF163" s="100" t="n"/>
      <x:c r="AG163" s="100" t="n"/>
      <x:c r="AH163" s="100" t="n"/>
      <x:c r="AI163" s="100" t="n"/>
      <x:c r="AJ163" s="100" t="n"/>
      <x:c r="AL163" s="100" t="n"/>
      <x:c r="AN163" s="100" t="n"/>
    </x:row>
    <x:row r="164" s="27" customFormat="1">
      <x:c r="A164" s="38" t="n"/>
      <x:c r="B164" s="37" t="n"/>
      <x:c r="C164" s="36" t="n">
        <x:f>E164*D$5</x:f>
        <x:v>0</x:v>
      </x:c>
      <x:c r="D164" s="20" t="n"/>
      <x:c r="E164" s="36" t="n"/>
      <x:c r="Q164" s="100" t="n"/>
      <x:c r="R164" s="100" t="n"/>
      <x:c r="AD164" s="100" t="n"/>
      <x:c r="AE164" s="100" t="n"/>
      <x:c r="AF164" s="100" t="n"/>
      <x:c r="AG164" s="100" t="n"/>
      <x:c r="AH164" s="100" t="n"/>
      <x:c r="AI164" s="100" t="n"/>
      <x:c r="AJ164" s="100" t="n"/>
      <x:c r="AL164" s="100" t="n"/>
      <x:c r="AN164" s="100" t="n"/>
    </x:row>
    <x:row r="165" s="27" customFormat="1">
      <x:c r="A165" s="38" t="n"/>
      <x:c r="B165" s="37" t="n"/>
      <x:c r="C165" s="36" t="n">
        <x:f>E165*D$5</x:f>
        <x:v>0</x:v>
      </x:c>
      <x:c r="D165" s="20" t="n"/>
      <x:c r="E165" s="36" t="n"/>
      <x:c r="Q165" s="100" t="n"/>
      <x:c r="R165" s="100" t="n"/>
      <x:c r="AD165" s="100" t="n"/>
      <x:c r="AE165" s="100" t="n"/>
      <x:c r="AF165" s="100" t="n"/>
      <x:c r="AG165" s="100" t="n"/>
      <x:c r="AH165" s="100" t="n"/>
      <x:c r="AI165" s="100" t="n"/>
      <x:c r="AJ165" s="100" t="n"/>
      <x:c r="AL165" s="100" t="n"/>
      <x:c r="AN165" s="100" t="n"/>
    </x:row>
    <x:row r="166" s="27" customFormat="1">
      <x:c r="A166" s="38" t="n"/>
      <x:c r="B166" s="37" t="n"/>
      <x:c r="C166" s="36" t="n">
        <x:f>E166*D$5</x:f>
        <x:v>0</x:v>
      </x:c>
      <x:c r="D166" s="20" t="n"/>
      <x:c r="E166" s="36" t="n"/>
      <x:c r="Q166" s="100" t="n"/>
      <x:c r="R166" s="100" t="n"/>
      <x:c r="AD166" s="100" t="n"/>
      <x:c r="AE166" s="100" t="n"/>
      <x:c r="AF166" s="100" t="n"/>
      <x:c r="AG166" s="100" t="n"/>
      <x:c r="AH166" s="100" t="n"/>
      <x:c r="AI166" s="100" t="n"/>
      <x:c r="AJ166" s="100" t="n"/>
      <x:c r="AL166" s="100" t="n"/>
      <x:c r="AN166" s="100" t="n"/>
    </x:row>
    <x:row r="167" s="27" customFormat="1">
      <x:c r="A167" s="38" t="n"/>
      <x:c r="B167" s="37" t="n"/>
      <x:c r="C167" s="36" t="n">
        <x:f>E167*D$5</x:f>
        <x:v>0</x:v>
      </x:c>
      <x:c r="D167" s="20" t="n"/>
      <x:c r="E167" s="36" t="n"/>
      <x:c r="Q167" s="100" t="n"/>
      <x:c r="R167" s="100" t="n"/>
      <x:c r="AD167" s="100" t="n"/>
      <x:c r="AE167" s="100" t="n"/>
      <x:c r="AF167" s="100" t="n"/>
      <x:c r="AG167" s="100" t="n"/>
      <x:c r="AH167" s="100" t="n"/>
      <x:c r="AI167" s="100" t="n"/>
      <x:c r="AJ167" s="100" t="n"/>
      <x:c r="AL167" s="100" t="n"/>
      <x:c r="AN167" s="100" t="n"/>
    </x:row>
    <x:row r="168" s="27" customFormat="1">
      <x:c r="A168" s="38" t="n"/>
      <x:c r="B168" s="37" t="n"/>
      <x:c r="C168" s="36" t="n">
        <x:f>E168*D$5</x:f>
        <x:v>0</x:v>
      </x:c>
      <x:c r="D168" s="20" t="n"/>
      <x:c r="E168" s="36" t="n"/>
      <x:c r="Q168" s="100" t="n"/>
      <x:c r="R168" s="100" t="n"/>
      <x:c r="AD168" s="100" t="n"/>
      <x:c r="AE168" s="100" t="n"/>
      <x:c r="AF168" s="100" t="n"/>
      <x:c r="AG168" s="100" t="n"/>
      <x:c r="AH168" s="100" t="n"/>
      <x:c r="AI168" s="100" t="n"/>
      <x:c r="AJ168" s="100" t="n"/>
      <x:c r="AL168" s="100" t="n"/>
      <x:c r="AN168" s="100" t="n"/>
    </x:row>
    <x:row r="169" s="27" customFormat="1">
      <x:c r="A169" s="38" t="n"/>
      <x:c r="B169" s="37" t="n"/>
      <x:c r="C169" s="36" t="n">
        <x:f>E169*D$5</x:f>
        <x:v>0</x:v>
      </x:c>
      <x:c r="D169" s="20" t="n"/>
      <x:c r="E169" s="36" t="n"/>
      <x:c r="Q169" s="100" t="n"/>
      <x:c r="R169" s="100" t="n"/>
      <x:c r="AD169" s="100" t="n"/>
      <x:c r="AE169" s="100" t="n"/>
      <x:c r="AF169" s="100" t="n"/>
      <x:c r="AG169" s="100" t="n"/>
      <x:c r="AH169" s="100" t="n"/>
      <x:c r="AI169" s="100" t="n"/>
      <x:c r="AJ169" s="100" t="n"/>
      <x:c r="AL169" s="100" t="n"/>
      <x:c r="AN169" s="100" t="n"/>
    </x:row>
    <x:row r="170" s="27" customFormat="1">
      <x:c r="A170" s="38" t="n"/>
      <x:c r="B170" s="37" t="n"/>
      <x:c r="C170" s="36" t="n">
        <x:f>E170*D$5</x:f>
        <x:v>0</x:v>
      </x:c>
      <x:c r="D170" s="20" t="n"/>
      <x:c r="E170" s="36" t="n"/>
      <x:c r="Q170" s="100" t="n"/>
      <x:c r="R170" s="100" t="n"/>
      <x:c r="AD170" s="100" t="n"/>
      <x:c r="AE170" s="100" t="n"/>
      <x:c r="AF170" s="100" t="n"/>
      <x:c r="AG170" s="100" t="n"/>
      <x:c r="AH170" s="100" t="n"/>
      <x:c r="AI170" s="100" t="n"/>
      <x:c r="AJ170" s="100" t="n"/>
      <x:c r="AL170" s="100" t="n"/>
      <x:c r="AN170" s="100" t="n"/>
    </x:row>
    <x:row r="171" s="27" customFormat="1">
      <x:c r="A171" s="38" t="n"/>
      <x:c r="B171" s="37" t="n"/>
      <x:c r="C171" s="36" t="n">
        <x:f>E171*D$5</x:f>
        <x:v>0</x:v>
      </x:c>
      <x:c r="D171" s="20" t="n"/>
      <x:c r="E171" s="36" t="n"/>
      <x:c r="Q171" s="100" t="n"/>
      <x:c r="R171" s="100" t="n"/>
      <x:c r="AD171" s="100" t="n"/>
      <x:c r="AE171" s="100" t="n"/>
      <x:c r="AF171" s="100" t="n"/>
      <x:c r="AG171" s="100" t="n"/>
      <x:c r="AH171" s="100" t="n"/>
      <x:c r="AI171" s="100" t="n"/>
      <x:c r="AJ171" s="100" t="n"/>
      <x:c r="AL171" s="100" t="n"/>
      <x:c r="AN171" s="100" t="n"/>
    </x:row>
    <x:row r="172" s="27" customFormat="1">
      <x:c r="A172" s="38" t="n"/>
      <x:c r="B172" s="37" t="n"/>
      <x:c r="C172" s="36" t="n">
        <x:f>E172*D$5</x:f>
        <x:v>0</x:v>
      </x:c>
      <x:c r="D172" s="20" t="n"/>
      <x:c r="E172" s="36" t="n"/>
      <x:c r="Q172" s="100" t="n"/>
      <x:c r="R172" s="100" t="n"/>
      <x:c r="AD172" s="100" t="n"/>
      <x:c r="AE172" s="100" t="n"/>
      <x:c r="AF172" s="100" t="n"/>
      <x:c r="AG172" s="100" t="n"/>
      <x:c r="AH172" s="100" t="n"/>
      <x:c r="AI172" s="100" t="n"/>
      <x:c r="AJ172" s="100" t="n"/>
      <x:c r="AL172" s="100" t="n"/>
      <x:c r="AN172" s="100" t="n"/>
    </x:row>
    <x:row r="173" s="27" customFormat="1">
      <x:c r="A173" s="38" t="n"/>
      <x:c r="B173" s="37" t="n"/>
      <x:c r="C173" s="36" t="n">
        <x:f>E173*D$5</x:f>
        <x:v>0</x:v>
      </x:c>
      <x:c r="D173" s="20" t="n"/>
      <x:c r="E173" s="36" t="n"/>
      <x:c r="Q173" s="100" t="n"/>
      <x:c r="R173" s="100" t="n"/>
      <x:c r="AD173" s="100" t="n"/>
      <x:c r="AE173" s="100" t="n"/>
      <x:c r="AF173" s="100" t="n"/>
      <x:c r="AG173" s="100" t="n"/>
      <x:c r="AH173" s="100" t="n"/>
      <x:c r="AI173" s="100" t="n"/>
      <x:c r="AJ173" s="100" t="n"/>
      <x:c r="AL173" s="100" t="n"/>
      <x:c r="AN173" s="100" t="n"/>
    </x:row>
    <x:row r="174" s="27" customFormat="1">
      <x:c r="A174" s="38" t="n"/>
      <x:c r="B174" s="37" t="n"/>
      <x:c r="C174" s="36" t="n">
        <x:f>E174*D$5</x:f>
        <x:v>0</x:v>
      </x:c>
      <x:c r="D174" s="20" t="n"/>
      <x:c r="E174" s="36" t="n"/>
      <x:c r="Q174" s="100" t="n"/>
      <x:c r="R174" s="100" t="n"/>
      <x:c r="AD174" s="100" t="n"/>
      <x:c r="AE174" s="100" t="n"/>
      <x:c r="AF174" s="100" t="n"/>
      <x:c r="AG174" s="100" t="n"/>
      <x:c r="AH174" s="100" t="n"/>
      <x:c r="AI174" s="100" t="n"/>
      <x:c r="AJ174" s="100" t="n"/>
      <x:c r="AL174" s="100" t="n"/>
      <x:c r="AN174" s="100" t="n"/>
    </x:row>
    <x:row r="175" s="27" customFormat="1">
      <x:c r="A175" s="38" t="n"/>
      <x:c r="B175" s="37" t="n"/>
      <x:c r="C175" s="36" t="n">
        <x:f>E175*D$5</x:f>
        <x:v>0</x:v>
      </x:c>
      <x:c r="D175" s="20" t="n"/>
      <x:c r="E175" s="36" t="n"/>
      <x:c r="Q175" s="100" t="n"/>
      <x:c r="R175" s="100" t="n"/>
      <x:c r="AD175" s="100" t="n"/>
      <x:c r="AE175" s="100" t="n"/>
      <x:c r="AF175" s="100" t="n"/>
      <x:c r="AG175" s="100" t="n"/>
      <x:c r="AH175" s="100" t="n"/>
      <x:c r="AI175" s="100" t="n"/>
      <x:c r="AJ175" s="100" t="n"/>
      <x:c r="AL175" s="100" t="n"/>
      <x:c r="AN175" s="100" t="n"/>
    </x:row>
    <x:row r="176" s="27" customFormat="1">
      <x:c r="A176" s="38" t="n"/>
      <x:c r="B176" s="37" t="n"/>
      <x:c r="C176" s="36" t="n"/>
      <x:c r="D176" s="20" t="n"/>
      <x:c r="E176" s="36" t="n"/>
      <x:c r="Q176" s="100" t="n"/>
      <x:c r="R176" s="100" t="n"/>
      <x:c r="AD176" s="100" t="n"/>
      <x:c r="AE176" s="100" t="n"/>
      <x:c r="AF176" s="100" t="n"/>
      <x:c r="AG176" s="100" t="n"/>
      <x:c r="AH176" s="100" t="n"/>
      <x:c r="AI176" s="100" t="n"/>
      <x:c r="AJ176" s="100" t="n"/>
      <x:c r="AL176" s="100" t="n"/>
      <x:c r="AN176" s="100" t="n"/>
    </x:row>
    <x:row r="177" s="27" customFormat="1">
      <x:c r="A177" s="38" t="n"/>
      <x:c r="B177" s="37" t="n"/>
      <x:c r="C177" s="36" t="n"/>
      <x:c r="D177" s="20" t="n"/>
      <x:c r="E177" s="36" t="n"/>
      <x:c r="Q177" s="100" t="n"/>
      <x:c r="R177" s="100" t="n"/>
      <x:c r="AD177" s="100" t="n"/>
      <x:c r="AE177" s="100" t="n"/>
      <x:c r="AF177" s="100" t="n"/>
      <x:c r="AG177" s="100" t="n"/>
      <x:c r="AH177" s="100" t="n"/>
      <x:c r="AI177" s="100" t="n"/>
      <x:c r="AJ177" s="100" t="n"/>
      <x:c r="AL177" s="100" t="n"/>
      <x:c r="AN177" s="100" t="n"/>
    </x:row>
    <x:row r="178" s="27" customFormat="1">
      <x:c r="A178" s="38" t="n"/>
      <x:c r="B178" s="37" t="n"/>
      <x:c r="C178" s="36" t="n"/>
      <x:c r="D178" s="20" t="n"/>
      <x:c r="E178" s="36" t="n"/>
      <x:c r="Q178" s="100" t="n"/>
      <x:c r="R178" s="100" t="n"/>
      <x:c r="AD178" s="100" t="n"/>
      <x:c r="AE178" s="100" t="n"/>
      <x:c r="AF178" s="100" t="n"/>
      <x:c r="AG178" s="100" t="n"/>
      <x:c r="AH178" s="100" t="n"/>
      <x:c r="AI178" s="100" t="n"/>
      <x:c r="AJ178" s="100" t="n"/>
      <x:c r="AL178" s="100" t="n"/>
      <x:c r="AN178" s="100" t="n"/>
    </x:row>
    <x:row r="179" s="27" customFormat="1">
      <x:c r="A179" s="38" t="n"/>
      <x:c r="B179" s="37" t="n"/>
      <x:c r="C179" s="36" t="n">
        <x:f>E179*D$5</x:f>
        <x:v>0</x:v>
      </x:c>
      <x:c r="D179" s="20" t="n"/>
      <x:c r="E179" s="36" t="n">
        <x:f>SUM(G179:HS179)</x:f>
        <x:v>0</x:v>
      </x:c>
      <x:c r="Q179" s="100" t="n"/>
      <x:c r="R179" s="100" t="n"/>
      <x:c r="AD179" s="100" t="n"/>
      <x:c r="AE179" s="100" t="n"/>
      <x:c r="AF179" s="100" t="n"/>
      <x:c r="AG179" s="100" t="n"/>
      <x:c r="AH179" s="100" t="n"/>
      <x:c r="AI179" s="100" t="n"/>
      <x:c r="AJ179" s="100" t="n"/>
      <x:c r="AL179" s="100" t="n"/>
      <x:c r="AN179" s="100" t="n"/>
    </x:row>
    <x:row r="180" s="27" customFormat="1">
      <x:c r="A180" s="38" t="n"/>
      <x:c r="B180" s="37" t="n"/>
      <x:c r="C180" s="36" t="n">
        <x:f>E180*D$5</x:f>
        <x:v>0</x:v>
      </x:c>
      <x:c r="D180" s="20" t="n"/>
      <x:c r="E180" s="36" t="n">
        <x:f>SUM(G180:HS180)</x:f>
        <x:v>0</x:v>
      </x:c>
      <x:c r="Q180" s="100" t="n"/>
      <x:c r="R180" s="100" t="n"/>
      <x:c r="AD180" s="100" t="n"/>
      <x:c r="AE180" s="100" t="n"/>
      <x:c r="AF180" s="100" t="n"/>
      <x:c r="AG180" s="100" t="n"/>
      <x:c r="AH180" s="100" t="n"/>
      <x:c r="AI180" s="100" t="n"/>
      <x:c r="AJ180" s="100" t="n"/>
      <x:c r="AL180" s="100" t="n"/>
      <x:c r="AN180" s="100" t="n"/>
    </x:row>
    <x:row r="181" s="27" customFormat="1">
      <x:c r="A181" s="38" t="n"/>
      <x:c r="B181" s="37" t="n"/>
      <x:c r="C181" s="36" t="n">
        <x:f>E181*D$5</x:f>
        <x:v>0</x:v>
      </x:c>
      <x:c r="D181" s="20" t="n"/>
      <x:c r="E181" s="36" t="n">
        <x:f>SUM(G181:HS181)</x:f>
        <x:v>0</x:v>
      </x:c>
      <x:c r="Q181" s="100" t="n"/>
      <x:c r="R181" s="100" t="n"/>
      <x:c r="AD181" s="100" t="n"/>
      <x:c r="AE181" s="100" t="n"/>
      <x:c r="AF181" s="100" t="n"/>
      <x:c r="AG181" s="100" t="n"/>
      <x:c r="AH181" s="100" t="n"/>
      <x:c r="AI181" s="100" t="n"/>
      <x:c r="AJ181" s="100" t="n"/>
      <x:c r="AL181" s="100" t="n"/>
      <x:c r="AN181" s="100" t="n"/>
    </x:row>
    <x:row r="182" s="27" customFormat="1">
      <x:c r="A182" s="38" t="n"/>
      <x:c r="B182" s="37" t="n"/>
      <x:c r="C182" s="36" t="n">
        <x:f>E182*D$5</x:f>
        <x:v>0</x:v>
      </x:c>
      <x:c r="D182" s="20" t="n"/>
      <x:c r="E182" s="36" t="n">
        <x:f>SUM(G182:HS182)</x:f>
        <x:v>0</x:v>
      </x:c>
      <x:c r="Q182" s="100" t="n"/>
      <x:c r="R182" s="100" t="n"/>
      <x:c r="AD182" s="100" t="n"/>
      <x:c r="AE182" s="100" t="n"/>
      <x:c r="AF182" s="100" t="n"/>
      <x:c r="AG182" s="100" t="n"/>
      <x:c r="AH182" s="100" t="n"/>
      <x:c r="AI182" s="100" t="n"/>
      <x:c r="AJ182" s="100" t="n"/>
      <x:c r="AL182" s="100" t="n"/>
      <x:c r="AN182" s="100" t="n"/>
    </x:row>
    <x:row r="183" s="27" customFormat="1">
      <x:c r="A183" s="38" t="n"/>
      <x:c r="B183" s="37" t="n"/>
      <x:c r="C183" s="36" t="n">
        <x:f>E183*D$5</x:f>
        <x:v>0</x:v>
      </x:c>
      <x:c r="D183" s="20" t="n"/>
      <x:c r="E183" s="36" t="n">
        <x:f>SUM(G183:HS183)</x:f>
        <x:v>0</x:v>
      </x:c>
      <x:c r="Q183" s="100" t="n"/>
      <x:c r="R183" s="100" t="n"/>
      <x:c r="AD183" s="100" t="n"/>
      <x:c r="AE183" s="100" t="n"/>
      <x:c r="AF183" s="100" t="n"/>
      <x:c r="AG183" s="100" t="n"/>
      <x:c r="AH183" s="100" t="n"/>
      <x:c r="AI183" s="100" t="n"/>
      <x:c r="AJ183" s="100" t="n"/>
      <x:c r="AL183" s="100" t="n"/>
      <x:c r="AN183" s="100" t="n"/>
    </x:row>
    <x:row r="184" s="27" customFormat="1">
      <x:c r="A184" s="38" t="n"/>
      <x:c r="B184" s="37" t="n"/>
      <x:c r="C184" s="36" t="n">
        <x:f>E184*D$5</x:f>
        <x:v>0</x:v>
      </x:c>
      <x:c r="D184" s="20" t="n"/>
      <x:c r="E184" s="36" t="n">
        <x:f>SUM(G184:HS184)</x:f>
        <x:v>0</x:v>
      </x:c>
      <x:c r="Q184" s="100" t="n"/>
      <x:c r="R184" s="100" t="n"/>
      <x:c r="AD184" s="100" t="n"/>
      <x:c r="AE184" s="100" t="n"/>
      <x:c r="AF184" s="100" t="n"/>
      <x:c r="AG184" s="100" t="n"/>
      <x:c r="AH184" s="100" t="n"/>
      <x:c r="AI184" s="100" t="n"/>
      <x:c r="AJ184" s="100" t="n"/>
      <x:c r="AL184" s="100" t="n"/>
      <x:c r="AN184" s="100" t="n"/>
    </x:row>
    <x:row r="185" s="27" customFormat="1">
      <x:c r="A185" s="38" t="n"/>
      <x:c r="B185" s="37" t="n"/>
      <x:c r="C185" s="36" t="n">
        <x:f>E185*D$5</x:f>
        <x:v>0</x:v>
      </x:c>
      <x:c r="D185" s="20" t="n"/>
      <x:c r="E185" s="36" t="n">
        <x:f>SUM(G185:HS185)</x:f>
        <x:v>0</x:v>
      </x:c>
      <x:c r="Q185" s="100" t="n"/>
      <x:c r="R185" s="100" t="n"/>
      <x:c r="AD185" s="100" t="n"/>
      <x:c r="AE185" s="100" t="n"/>
      <x:c r="AF185" s="100" t="n"/>
      <x:c r="AG185" s="100" t="n"/>
      <x:c r="AH185" s="100" t="n"/>
      <x:c r="AI185" s="100" t="n"/>
      <x:c r="AJ185" s="100" t="n"/>
      <x:c r="AL185" s="100" t="n"/>
      <x:c r="AN185" s="100" t="n"/>
    </x:row>
    <x:row r="186" s="27" customFormat="1">
      <x:c r="A186" s="38" t="n"/>
      <x:c r="B186" s="37" t="n"/>
      <x:c r="C186" s="36" t="n">
        <x:f>E186*D$5</x:f>
        <x:v>0</x:v>
      </x:c>
      <x:c r="D186" s="20" t="n"/>
      <x:c r="E186" s="36" t="n">
        <x:f>SUM(G186:HS186)</x:f>
        <x:v>0</x:v>
      </x:c>
      <x:c r="Q186" s="100" t="n"/>
      <x:c r="R186" s="100" t="n"/>
      <x:c r="AD186" s="100" t="n"/>
      <x:c r="AE186" s="100" t="n"/>
      <x:c r="AF186" s="100" t="n"/>
      <x:c r="AG186" s="100" t="n"/>
      <x:c r="AH186" s="100" t="n"/>
      <x:c r="AI186" s="100" t="n"/>
      <x:c r="AJ186" s="100" t="n"/>
      <x:c r="AL186" s="100" t="n"/>
      <x:c r="AN186" s="100" t="n"/>
    </x:row>
    <x:row r="187" s="27" customFormat="1">
      <x:c r="A187" s="38" t="n"/>
      <x:c r="B187" s="37" t="n"/>
      <x:c r="C187" s="36" t="n">
        <x:f>E187*D$5</x:f>
        <x:v>0</x:v>
      </x:c>
      <x:c r="D187" s="20" t="n"/>
      <x:c r="E187" s="36" t="n">
        <x:f>SUM(G187:HS187)</x:f>
        <x:v>0</x:v>
      </x:c>
      <x:c r="Q187" s="100" t="n"/>
      <x:c r="R187" s="100" t="n"/>
      <x:c r="AD187" s="100" t="n"/>
      <x:c r="AE187" s="100" t="n"/>
      <x:c r="AF187" s="100" t="n"/>
      <x:c r="AG187" s="100" t="n"/>
      <x:c r="AH187" s="100" t="n"/>
      <x:c r="AI187" s="100" t="n"/>
      <x:c r="AJ187" s="100" t="n"/>
      <x:c r="AL187" s="100" t="n"/>
      <x:c r="AN187" s="100" t="n"/>
    </x:row>
    <x:row r="188" s="27" customFormat="1">
      <x:c r="A188" s="38" t="n"/>
      <x:c r="B188" s="37" t="n"/>
      <x:c r="C188" s="36" t="n">
        <x:f>E188*D$5</x:f>
        <x:v>0</x:v>
      </x:c>
      <x:c r="D188" s="20" t="n"/>
      <x:c r="E188" s="36" t="n">
        <x:f>SUM(G188:HS188)</x:f>
        <x:v>0</x:v>
      </x:c>
      <x:c r="Q188" s="100" t="n"/>
      <x:c r="R188" s="100" t="n"/>
      <x:c r="AD188" s="100" t="n"/>
      <x:c r="AE188" s="100" t="n"/>
      <x:c r="AF188" s="100" t="n"/>
      <x:c r="AG188" s="100" t="n"/>
      <x:c r="AH188" s="100" t="n"/>
      <x:c r="AI188" s="100" t="n"/>
      <x:c r="AJ188" s="100" t="n"/>
      <x:c r="AL188" s="100" t="n"/>
      <x:c r="AN188" s="100" t="n"/>
    </x:row>
    <x:row r="189" s="27" customFormat="1">
      <x:c r="A189" s="38" t="n"/>
      <x:c r="B189" s="37" t="n"/>
      <x:c r="C189" s="36" t="n">
        <x:f>E189*D$5</x:f>
        <x:v>0</x:v>
      </x:c>
      <x:c r="D189" s="20" t="n"/>
      <x:c r="E189" s="36" t="n">
        <x:f>SUM(G189:HS189)</x:f>
        <x:v>0</x:v>
      </x:c>
      <x:c r="Q189" s="100" t="n"/>
      <x:c r="R189" s="100" t="n"/>
      <x:c r="AD189" s="100" t="n"/>
      <x:c r="AE189" s="100" t="n"/>
      <x:c r="AF189" s="100" t="n"/>
      <x:c r="AG189" s="100" t="n"/>
      <x:c r="AH189" s="100" t="n"/>
      <x:c r="AI189" s="100" t="n"/>
      <x:c r="AJ189" s="100" t="n"/>
      <x:c r="AL189" s="100" t="n"/>
      <x:c r="AN189" s="100" t="n"/>
    </x:row>
    <x:row r="190" s="27" customFormat="1">
      <x:c r="A190" s="38" t="n"/>
      <x:c r="B190" s="37" t="n"/>
      <x:c r="C190" s="36" t="n">
        <x:f>E190*D$5</x:f>
        <x:v>0</x:v>
      </x:c>
      <x:c r="D190" s="20" t="n"/>
      <x:c r="E190" s="36" t="n">
        <x:f>SUM(G190:HS190)</x:f>
        <x:v>0</x:v>
      </x:c>
      <x:c r="Q190" s="100" t="n"/>
      <x:c r="R190" s="100" t="n"/>
      <x:c r="AD190" s="100" t="n"/>
      <x:c r="AE190" s="100" t="n"/>
      <x:c r="AF190" s="100" t="n"/>
      <x:c r="AG190" s="100" t="n"/>
      <x:c r="AH190" s="100" t="n"/>
      <x:c r="AI190" s="100" t="n"/>
      <x:c r="AJ190" s="100" t="n"/>
      <x:c r="AL190" s="100" t="n"/>
      <x:c r="AN190" s="100" t="n"/>
    </x:row>
    <x:row r="191" s="27" customFormat="1">
      <x:c r="A191" s="38" t="n"/>
      <x:c r="B191" s="37" t="n"/>
      <x:c r="C191" s="36" t="n">
        <x:f>E191*D$5</x:f>
        <x:v>0</x:v>
      </x:c>
      <x:c r="D191" s="20" t="n"/>
      <x:c r="E191" s="36" t="n">
        <x:f>SUM(G191:HS191)</x:f>
        <x:v>0</x:v>
      </x:c>
      <x:c r="Q191" s="100" t="n"/>
      <x:c r="R191" s="100" t="n"/>
      <x:c r="AD191" s="100" t="n"/>
      <x:c r="AE191" s="100" t="n"/>
      <x:c r="AF191" s="100" t="n"/>
      <x:c r="AG191" s="100" t="n"/>
      <x:c r="AH191" s="100" t="n"/>
      <x:c r="AI191" s="100" t="n"/>
      <x:c r="AJ191" s="100" t="n"/>
      <x:c r="AL191" s="100" t="n"/>
      <x:c r="AN191" s="100" t="n"/>
    </x:row>
    <x:row r="192" s="27" customFormat="1">
      <x:c r="A192" s="38" t="n"/>
      <x:c r="B192" s="37" t="n"/>
      <x:c r="C192" s="36" t="n">
        <x:f>E192*D$5</x:f>
        <x:v>0</x:v>
      </x:c>
      <x:c r="D192" s="20" t="n"/>
      <x:c r="E192" s="36" t="n">
        <x:f>SUM(G192:HS192)</x:f>
        <x:v>0</x:v>
      </x:c>
      <x:c r="Q192" s="100" t="n"/>
      <x:c r="R192" s="100" t="n"/>
      <x:c r="AD192" s="100" t="n"/>
      <x:c r="AE192" s="100" t="n"/>
      <x:c r="AF192" s="100" t="n"/>
      <x:c r="AG192" s="100" t="n"/>
      <x:c r="AH192" s="100" t="n"/>
      <x:c r="AI192" s="100" t="n"/>
      <x:c r="AJ192" s="100" t="n"/>
      <x:c r="AL192" s="100" t="n"/>
      <x:c r="AN192" s="100" t="n"/>
    </x:row>
    <x:row r="193" s="27" customFormat="1">
      <x:c r="A193" s="38" t="n"/>
      <x:c r="B193" s="37" t="n"/>
      <x:c r="C193" s="36" t="n">
        <x:f>E193*D$5</x:f>
        <x:v>0</x:v>
      </x:c>
      <x:c r="D193" s="20" t="n"/>
      <x:c r="E193" s="36" t="n">
        <x:f>SUM(G193:HS193)</x:f>
        <x:v>0</x:v>
      </x:c>
      <x:c r="Q193" s="100" t="n"/>
      <x:c r="R193" s="100" t="n"/>
      <x:c r="AD193" s="100" t="n"/>
      <x:c r="AE193" s="100" t="n"/>
      <x:c r="AF193" s="100" t="n"/>
      <x:c r="AG193" s="100" t="n"/>
      <x:c r="AH193" s="100" t="n"/>
      <x:c r="AI193" s="100" t="n"/>
      <x:c r="AJ193" s="100" t="n"/>
      <x:c r="AL193" s="100" t="n"/>
      <x:c r="AN193" s="100" t="n"/>
    </x:row>
    <x:row r="194" s="27" customFormat="1">
      <x:c r="A194" s="38" t="n"/>
      <x:c r="B194" s="37" t="n"/>
      <x:c r="C194" s="36" t="n">
        <x:f>E194*D$5</x:f>
        <x:v>0</x:v>
      </x:c>
      <x:c r="D194" s="20" t="n"/>
      <x:c r="E194" s="36" t="n">
        <x:f>SUM(G194:HS194)</x:f>
        <x:v>0</x:v>
      </x:c>
      <x:c r="Q194" s="100" t="n"/>
      <x:c r="R194" s="100" t="n"/>
      <x:c r="AD194" s="100" t="n"/>
      <x:c r="AE194" s="100" t="n"/>
      <x:c r="AF194" s="100" t="n"/>
      <x:c r="AG194" s="100" t="n"/>
      <x:c r="AH194" s="100" t="n"/>
      <x:c r="AI194" s="100" t="n"/>
      <x:c r="AJ194" s="100" t="n"/>
      <x:c r="AL194" s="100" t="n"/>
      <x:c r="AN194" s="100" t="n"/>
    </x:row>
    <x:row r="195" s="27" customFormat="1">
      <x:c r="A195" s="38" t="n"/>
      <x:c r="B195" s="37" t="n"/>
      <x:c r="C195" s="36" t="n">
        <x:f>E195*D$5</x:f>
        <x:v>0</x:v>
      </x:c>
      <x:c r="D195" s="20" t="n"/>
      <x:c r="E195" s="36" t="n">
        <x:f>SUM(G195:HS195)</x:f>
        <x:v>0</x:v>
      </x:c>
      <x:c r="Q195" s="100" t="n"/>
      <x:c r="R195" s="100" t="n"/>
      <x:c r="AD195" s="100" t="n"/>
      <x:c r="AE195" s="100" t="n"/>
      <x:c r="AF195" s="100" t="n"/>
      <x:c r="AG195" s="100" t="n"/>
      <x:c r="AH195" s="100" t="n"/>
      <x:c r="AI195" s="100" t="n"/>
      <x:c r="AJ195" s="100" t="n"/>
      <x:c r="AL195" s="100" t="n"/>
      <x:c r="AN195" s="100" t="n"/>
    </x:row>
    <x:row r="196" s="27" customFormat="1">
      <x:c r="A196" s="38" t="n"/>
      <x:c r="B196" s="37" t="n"/>
      <x:c r="C196" s="36" t="n">
        <x:f>E196*D$5</x:f>
        <x:v>0</x:v>
      </x:c>
      <x:c r="D196" s="20" t="n"/>
      <x:c r="E196" s="36" t="n">
        <x:f>SUM(G196:HS196)</x:f>
        <x:v>0</x:v>
      </x:c>
      <x:c r="Q196" s="100" t="n"/>
      <x:c r="R196" s="100" t="n"/>
      <x:c r="AD196" s="100" t="n"/>
      <x:c r="AE196" s="100" t="n"/>
      <x:c r="AF196" s="100" t="n"/>
      <x:c r="AG196" s="100" t="n"/>
      <x:c r="AH196" s="100" t="n"/>
      <x:c r="AI196" s="100" t="n"/>
      <x:c r="AJ196" s="100" t="n"/>
      <x:c r="AL196" s="100" t="n"/>
      <x:c r="AN196" s="100" t="n"/>
    </x:row>
    <x:row r="197" s="27" customFormat="1">
      <x:c r="A197" s="38" t="n"/>
      <x:c r="B197" s="37" t="n"/>
      <x:c r="C197" s="36" t="n">
        <x:f>E197*D$5</x:f>
        <x:v>0</x:v>
      </x:c>
      <x:c r="D197" s="20" t="n"/>
      <x:c r="E197" s="36" t="n">
        <x:f>SUM(G197:HS197)</x:f>
        <x:v>0</x:v>
      </x:c>
      <x:c r="Q197" s="100" t="n"/>
      <x:c r="R197" s="100" t="n"/>
      <x:c r="AD197" s="100" t="n"/>
      <x:c r="AE197" s="100" t="n"/>
      <x:c r="AF197" s="100" t="n"/>
      <x:c r="AG197" s="100" t="n"/>
      <x:c r="AH197" s="100" t="n"/>
      <x:c r="AI197" s="100" t="n"/>
      <x:c r="AJ197" s="100" t="n"/>
      <x:c r="AL197" s="100" t="n"/>
      <x:c r="AN197" s="100" t="n"/>
    </x:row>
    <x:row r="198" s="27" customFormat="1">
      <x:c r="A198" s="38" t="n"/>
      <x:c r="B198" s="37" t="n"/>
      <x:c r="C198" s="36" t="n">
        <x:f>E198*D$5</x:f>
        <x:v>0</x:v>
      </x:c>
      <x:c r="D198" s="20" t="n"/>
      <x:c r="E198" s="36" t="n">
        <x:f>SUM(G198:HT198)</x:f>
        <x:v>0</x:v>
      </x:c>
      <x:c r="R198" s="100" t="n"/>
      <x:c r="S198" s="100" t="n"/>
      <x:c r="AE198" s="100" t="n"/>
      <x:c r="AF198" s="100" t="n"/>
      <x:c r="AG198" s="100" t="n"/>
      <x:c r="AH198" s="100" t="n"/>
      <x:c r="AI198" s="100" t="n"/>
      <x:c r="AJ198" s="100" t="n"/>
      <x:c r="AK198" s="100" t="n"/>
      <x:c r="AM198" s="100" t="n"/>
      <x:c r="AO198" s="100" t="n"/>
    </x:row>
    <x:row r="199" s="27" customFormat="1">
      <x:c r="A199" s="38" t="n"/>
      <x:c r="B199" s="37" t="n"/>
      <x:c r="C199" s="36" t="n">
        <x:f>E199*D$5</x:f>
        <x:v>0</x:v>
      </x:c>
      <x:c r="D199" s="20" t="n"/>
      <x:c r="E199" s="36" t="n">
        <x:f>SUM(G199:HT199)</x:f>
        <x:v>0</x:v>
      </x:c>
      <x:c r="R199" s="100" t="n"/>
      <x:c r="S199" s="100" t="n"/>
      <x:c r="AE199" s="100" t="n"/>
      <x:c r="AF199" s="100" t="n"/>
      <x:c r="AG199" s="100" t="n"/>
      <x:c r="AH199" s="100" t="n"/>
      <x:c r="AI199" s="100" t="n"/>
      <x:c r="AJ199" s="100" t="n"/>
      <x:c r="AK199" s="100" t="n"/>
      <x:c r="AM199" s="100" t="n"/>
      <x:c r="AO199" s="100" t="n"/>
    </x:row>
    <x:row r="200" s="27" customFormat="1">
      <x:c r="A200" s="38" t="n"/>
      <x:c r="B200" s="37" t="n"/>
      <x:c r="C200" s="36" t="n">
        <x:f>E200*D$5</x:f>
        <x:v>0</x:v>
      </x:c>
      <x:c r="D200" s="20" t="n"/>
      <x:c r="E200" s="36" t="n">
        <x:f>SUM(G200:HT200)</x:f>
        <x:v>0</x:v>
      </x:c>
      <x:c r="R200" s="100" t="n"/>
      <x:c r="S200" s="100" t="n"/>
      <x:c r="AE200" s="100" t="n"/>
      <x:c r="AF200" s="100" t="n"/>
      <x:c r="AG200" s="100" t="n"/>
      <x:c r="AH200" s="100" t="n"/>
      <x:c r="AI200" s="100" t="n"/>
      <x:c r="AJ200" s="100" t="n"/>
      <x:c r="AK200" s="100" t="n"/>
      <x:c r="AM200" s="100" t="n"/>
      <x:c r="AO200" s="100" t="n"/>
    </x:row>
    <x:row r="201" s="27" customFormat="1">
      <x:c r="A201" s="38" t="n"/>
      <x:c r="B201" s="37" t="n"/>
      <x:c r="C201" s="36" t="n">
        <x:f>E201*D$5</x:f>
        <x:v>0</x:v>
      </x:c>
      <x:c r="D201" s="20" t="n"/>
      <x:c r="E201" s="36" t="n">
        <x:f>SUM(G201:HT201)</x:f>
        <x:v>0</x:v>
      </x:c>
      <x:c r="R201" s="100" t="n"/>
      <x:c r="S201" s="100" t="n"/>
      <x:c r="AE201" s="100" t="n"/>
      <x:c r="AF201" s="100" t="n"/>
      <x:c r="AG201" s="100" t="n"/>
      <x:c r="AH201" s="100" t="n"/>
      <x:c r="AI201" s="100" t="n"/>
      <x:c r="AJ201" s="100" t="n"/>
      <x:c r="AK201" s="100" t="n"/>
      <x:c r="AM201" s="100" t="n"/>
      <x:c r="AO201" s="100" t="n"/>
    </x:row>
    <x:row r="202" s="27" customFormat="1">
      <x:c r="A202" s="38" t="n"/>
      <x:c r="B202" s="37" t="n"/>
      <x:c r="C202" s="36" t="n">
        <x:f>E202*D$5</x:f>
        <x:v>0</x:v>
      </x:c>
      <x:c r="D202" s="20" t="n"/>
      <x:c r="E202" s="36" t="n">
        <x:f>SUM(G202:HT202)</x:f>
        <x:v>0</x:v>
      </x:c>
      <x:c r="R202" s="100" t="n"/>
      <x:c r="S202" s="100" t="n"/>
      <x:c r="AE202" s="100" t="n"/>
      <x:c r="AF202" s="100" t="n"/>
      <x:c r="AG202" s="100" t="n"/>
      <x:c r="AH202" s="100" t="n"/>
      <x:c r="AI202" s="100" t="n"/>
      <x:c r="AJ202" s="100" t="n"/>
      <x:c r="AK202" s="100" t="n"/>
      <x:c r="AM202" s="100" t="n"/>
      <x:c r="AO202" s="100" t="n"/>
    </x:row>
    <x:row r="203" s="27" customFormat="1">
      <x:c r="A203" s="38" t="n"/>
      <x:c r="B203" s="37" t="n"/>
      <x:c r="C203" s="36" t="n">
        <x:f>E203*D$5</x:f>
        <x:v>0</x:v>
      </x:c>
      <x:c r="D203" s="20" t="n"/>
      <x:c r="E203" s="36" t="n">
        <x:f>SUM(G203:HT203)</x:f>
        <x:v>0</x:v>
      </x:c>
      <x:c r="R203" s="100" t="n"/>
      <x:c r="S203" s="100" t="n"/>
      <x:c r="AE203" s="100" t="n"/>
      <x:c r="AF203" s="100" t="n"/>
      <x:c r="AG203" s="100" t="n"/>
      <x:c r="AH203" s="100" t="n"/>
      <x:c r="AI203" s="100" t="n"/>
      <x:c r="AJ203" s="100" t="n"/>
      <x:c r="AK203" s="100" t="n"/>
      <x:c r="AM203" s="102" t="n"/>
      <x:c r="AO203" s="100" t="n"/>
    </x:row>
    <x:row r="204" s="29" customFormat="1">
      <x:c r="A204" s="34" t="n"/>
      <x:c r="B204" s="33" t="n"/>
      <x:c r="C204" s="32" t="n"/>
      <x:c r="D204" s="31" t="n"/>
      <x:c r="E204" s="30" t="n"/>
      <x:c r="R204" s="100" t="n"/>
      <x:c r="S204" s="100" t="n"/>
      <x:c r="AE204" s="100" t="n"/>
      <x:c r="AF204" s="100" t="n"/>
      <x:c r="AG204" s="100" t="n"/>
      <x:c r="AH204" s="100" t="n"/>
      <x:c r="AI204" s="100" t="n"/>
      <x:c r="AJ204" s="100" t="n"/>
      <x:c r="AK204" s="100" t="n"/>
      <x:c r="AM204" s="95" t="n"/>
      <x:c r="AO204" s="100" t="n"/>
    </x:row>
    <x:row r="205" s="26" customFormat="1">
      <x:c r="A205" s="25" t="n"/>
      <x:c r="B205" s="24" t="n"/>
      <x:c r="C205" s="23" t="n"/>
      <x:c r="D205" s="22" t="n"/>
      <x:c r="E205" s="21" t="n"/>
      <x:c r="R205" s="100" t="n"/>
      <x:c r="S205" s="100" t="n"/>
      <x:c r="AE205" s="100" t="n"/>
      <x:c r="AF205" s="100" t="n"/>
      <x:c r="AG205" s="100" t="n"/>
      <x:c r="AH205" s="100" t="n"/>
      <x:c r="AI205" s="100" t="n"/>
      <x:c r="AJ205" s="100" t="n"/>
      <x:c r="AK205" s="100" t="n"/>
      <x:c r="AM205" s="95" t="n"/>
      <x:c r="AO205" s="100" t="n"/>
    </x:row>
    <x:row r="206">
      <x:c r="A206" s="25" t="n"/>
      <x:c r="B206" s="24" t="n"/>
      <x:c r="C206" s="23" t="n"/>
      <x:c r="D206" s="22" t="n"/>
      <x:c r="E206" s="21" t="n"/>
      <x:c r="R206" s="100" t="n"/>
      <x:c r="S206" s="100" t="n"/>
      <x:c r="AE206" s="100" t="n"/>
      <x:c r="AF206" s="100" t="n"/>
      <x:c r="AG206" s="100" t="n"/>
      <x:c r="AH206" s="102" t="n"/>
      <x:c r="AI206" s="102" t="n"/>
      <x:c r="AJ206" s="102" t="n"/>
      <x:c r="AK206" s="102" t="n"/>
      <x:c r="AO206" s="102" t="n"/>
    </x:row>
    <x:row r="207">
      <x:c r="R207" s="100" t="n"/>
      <x:c r="S207" s="100" t="n"/>
      <x:c r="AE207" s="102" t="n"/>
      <x:c r="AF207" s="100" t="n"/>
      <x:c r="AG207" s="100" t="n"/>
    </x:row>
    <x:row r="208">
      <x:c r="R208" s="102" t="n"/>
      <x:c r="S208" s="102" t="n"/>
      <x:c r="AF208" s="102" t="n"/>
      <x:c r="AG208" s="100" t="n"/>
    </x:row>
    <x:row r="209">
      <x:c r="AG209" s="100" t="n"/>
    </x:row>
    <x:row r="210">
      <x:c r="AG210" s="100" t="n"/>
    </x:row>
    <x:row r="211">
      <x:c r="AG211" s="100" t="n"/>
    </x:row>
    <x:row r="212">
      <x:c r="AG212" s="102" t="n"/>
    </x:row>
  </x:sheetData>
  <x:mergeCells>
    <x:mergeCell ref="CG7:CG8"/>
    <x:mergeCell ref="EX7:EX8"/>
    <x:mergeCell ref="EZ7:EZ8"/>
    <x:mergeCell ref="DH7:DH8"/>
    <x:mergeCell ref="BR7:BR8"/>
    <x:mergeCell ref="BA7:BA8"/>
    <x:mergeCell ref="BC7:BC8"/>
    <x:mergeCell ref="DT7:DT8"/>
    <x:mergeCell ref="M7:M8"/>
    <x:mergeCell ref="DV7:DV8"/>
    <x:mergeCell ref="FD7:FD8"/>
    <x:mergeCell ref="FV7:FV8"/>
    <x:mergeCell ref="BO7:BO8"/>
    <x:mergeCell ref="FX7:FX8"/>
    <x:mergeCell ref="CI7:CI8"/>
    <x:mergeCell ref="DS7:DS8"/>
    <x:mergeCell ref="E1:F1"/>
    <x:mergeCell ref="P7:P8"/>
    <x:mergeCell ref="AM7:AM8"/>
    <x:mergeCell ref="FF7:FF8"/>
    <x:mergeCell ref="CA7:CA8"/>
    <x:mergeCell ref="T7:T8"/>
    <x:mergeCell ref="V7:V8"/>
    <x:mergeCell ref="CM7:CM8"/>
    <x:mergeCell ref="AN7:AN8"/>
    <x:mergeCell ref="AP7:AP8"/>
    <x:mergeCell ref="AF7:AF8"/>
    <x:mergeCell ref="DG7:DG8"/>
    <x:mergeCell ref="EO7:EO8"/>
    <x:mergeCell ref="AH7:AH8"/>
    <x:mergeCell ref="EQ7:EQ8"/>
    <x:mergeCell ref="D2:D4"/>
    <x:mergeCell ref="FI7:FI8"/>
    <x:mergeCell ref="CJ7:CJ8"/>
    <x:mergeCell ref="BB7:BB8"/>
    <x:mergeCell ref="FA7:FA8"/>
    <x:mergeCell ref="BD7:BD8"/>
    <x:mergeCell ref="FC7:FC8"/>
    <x:mergeCell ref="EN7:EN8"/>
    <x:mergeCell ref="AT7:AT8"/>
    <x:mergeCell ref="DK7:DK8"/>
    <x:mergeCell ref="AV7:AV8"/>
    <x:mergeCell ref="CP7:CP8"/>
    <x:mergeCell ref="DM7:DM8"/>
    <x:mergeCell ref="C6:C7"/>
    <x:mergeCell ref="BF7:BF8"/>
    <x:mergeCell ref="FO7:FO8"/>
    <x:mergeCell ref="BH7:BH8"/>
    <x:mergeCell ref="E3:F3"/>
    <x:mergeCell ref="FQ7:FQ8"/>
    <x:mergeCell ref="DY7:DY8"/>
    <x:mergeCell ref="EA7:EA8"/>
    <x:mergeCell ref="DJ7:DJ8"/>
    <x:mergeCell ref="GA7:GA8"/>
    <x:mergeCell ref="BT7:BT8"/>
    <x:mergeCell ref="B3:C3"/>
    <x:mergeCell ref="A2:A6"/>
    <x:mergeCell ref="E5:F5"/>
    <x:mergeCell ref="G7:G8"/>
    <x:mergeCell ref="DP7:DP8"/>
    <x:mergeCell ref="I7:I8"/>
    <x:mergeCell ref="BI7:BI8"/>
    <x:mergeCell ref="S7:S8"/>
    <x:mergeCell ref="EB7:EB8"/>
    <x:mergeCell ref="U7:U8"/>
    <x:mergeCell ref="FL7:FL8"/>
    <x:mergeCell ref="W7:W8"/>
    <x:mergeCell ref="E4:F4"/>
    <x:mergeCell ref="BW7:BW8"/>
    <x:mergeCell ref="CT7:CT8"/>
    <x:mergeCell ref="B2:C2"/>
    <x:mergeCell ref="CF7:CF8"/>
    <x:mergeCell ref="EF7:EF8"/>
    <x:mergeCell ref="AI7:AI8"/>
    <x:mergeCell ref="Y7:Y8"/>
    <x:mergeCell ref="EH7:EH8"/>
    <x:mergeCell ref="CZ7:CZ8"/>
    <x:mergeCell ref="AA7:AA8"/>
    <x:mergeCell ref="CR7:CR8"/>
    <x:mergeCell ref="AS7:AS8"/>
    <x:mergeCell ref="CC7:CC8"/>
    <x:mergeCell ref="AU7:AU8"/>
    <x:mergeCell ref="ET7:ET8"/>
    <x:mergeCell ref="F6:F8"/>
    <x:mergeCell ref="EV7:EV8"/>
    <x:mergeCell ref="CW7:CW8"/>
    <x:mergeCell ref="FN7:FN8"/>
    <x:mergeCell ref="CO7:CO8"/>
    <x:mergeCell ref="FP7:FP8"/>
    <x:mergeCell ref="DI7:DI8"/>
    <x:mergeCell ref="AY7:AY8"/>
    <x:mergeCell ref="AD7:AD8"/>
    <x:mergeCell ref="CU7:CU8"/>
    <x:mergeCell ref="DR7:DR8"/>
    <x:mergeCell ref="FR7:FR8"/>
    <x:mergeCell ref="BK7:BK8"/>
    <x:mergeCell ref="FT7:FT8"/>
    <x:mergeCell ref="DO7:DO8"/>
    <x:mergeCell ref="BQ7:BQ8"/>
    <x:mergeCell ref="DA7:DA8"/>
    <x:mergeCell ref="L7:L8"/>
    <x:mergeCell ref="DU7:DU8"/>
    <x:mergeCell ref="N7:N8"/>
    <x:mergeCell ref="BN7:BN8"/>
    <x:mergeCell ref="BP7:BP8"/>
    <x:mergeCell ref="EG7:EG8"/>
    <x:mergeCell ref="BZ7:BZ8"/>
    <x:mergeCell ref="CB7:CB8"/>
    <x:mergeCell ref="R7:R8"/>
    <x:mergeCell ref="CE7:CE8"/>
    <x:mergeCell ref="AJ7:AJ8"/>
    <x:mergeCell ref="CK7:CK8"/>
    <x:mergeCell ref="AL7:AL8"/>
    <x:mergeCell ref="EK7:EK8"/>
    <x:mergeCell ref="DC7:DC8"/>
    <x:mergeCell ref="EM7:EM8"/>
    <x:mergeCell ref="CN7:CN8"/>
    <x:mergeCell ref="FE7:FE8"/>
    <x:mergeCell ref="AX7:AX8"/>
    <x:mergeCell ref="FG7:FG8"/>
    <x:mergeCell ref="EW7:EW8"/>
    <x:mergeCell ref="EY7:EY8"/>
    <x:mergeCell ref="DB7:DB8"/>
    <x:mergeCell ref="CL7:CL8"/>
    <x:mergeCell ref="AG7:AG8"/>
    <x:mergeCell ref="EP7:EP8"/>
    <x:mergeCell ref="FW7:FW8"/>
    <x:mergeCell ref="FB7:FB8"/>
    <x:mergeCell ref="FY7:FY8"/>
    <x:mergeCell ref="DL7:DL8"/>
    <x:mergeCell ref="DD7:DD8"/>
    <x:mergeCell ref="BV7:BV8"/>
    <x:mergeCell ref="BE7:BE8"/>
    <x:mergeCell ref="DF7:DF8"/>
    <x:mergeCell ref="BG7:BG8"/>
    <x:mergeCell ref="O7:O8"/>
    <x:mergeCell ref="DX7:DX8"/>
    <x:mergeCell ref="Q7:Q8"/>
    <x:mergeCell ref="FH7:FH8"/>
    <x:mergeCell ref="DZ7:DZ8"/>
    <x:mergeCell ref="FZ7:FZ8"/>
    <x:mergeCell ref="BS7:BS8"/>
    <x:mergeCell ref="EJ7:EJ8"/>
    <x:mergeCell ref="BU7:BU8"/>
    <x:mergeCell ref="DW7:DW8"/>
    <x:mergeCell ref="AR7:AR8"/>
    <x:mergeCell ref="B5:C5"/>
    <x:mergeCell ref="EI7:EI8"/>
    <x:mergeCell ref="ED7:ED8"/>
    <x:mergeCell ref="AO7:AO8"/>
    <x:mergeCell ref="D6:D7"/>
    <x:mergeCell ref="BY7:BY8"/>
    <x:mergeCell ref="AQ7:AQ8"/>
    <x:mergeCell ref="B6:B8"/>
    <x:mergeCell ref="B4:C4"/>
    <x:mergeCell ref="ER7:ER8"/>
    <x:mergeCell ref="CS7:CS8"/>
    <x:mergeCell ref="FJ7:FJ8"/>
    <x:mergeCell ref="DE7:DE8"/>
    <x:mergeCell ref="X7:X8"/>
    <x:mergeCell ref="Z7:Z8"/>
    <x:mergeCell ref="CQ7:CQ8"/>
    <x:mergeCell ref="ES7:ES8"/>
    <x:mergeCell ref="EU7:EU8"/>
    <x:mergeCell ref="BM7:BM8"/>
    <x:mergeCell ref="AZ7:AZ8"/>
    <x:mergeCell ref="H7:H8"/>
    <x:mergeCell ref="DQ7:DQ8"/>
    <x:mergeCell ref="J7:J8"/>
    <x:mergeCell ref="E6:E7"/>
    <x:mergeCell ref="BJ7:BJ8"/>
    <x:mergeCell ref="AB7:AB8"/>
    <x:mergeCell ref="FS7:FS8"/>
    <x:mergeCell ref="BL7:BL8"/>
    <x:mergeCell ref="FU7:FU8"/>
    <x:mergeCell ref="FK7:FK8"/>
    <x:mergeCell ref="EC7:EC8"/>
    <x:mergeCell ref="FM7:FM8"/>
    <x:mergeCell ref="EE7:EE8"/>
    <x:mergeCell ref="DN7:DN8"/>
    <x:mergeCell ref="CD7:CD8"/>
    <x:mergeCell ref="BX7:BX8"/>
    <x:mergeCell ref="E2:F2"/>
    <x:mergeCell ref="K7:K8"/>
    <x:mergeCell ref="CY7:CY8"/>
    <x:mergeCell ref="CX7:CX8"/>
    <x:mergeCell ref="CH7:CH8"/>
    <x:mergeCell ref="AK7:AK8"/>
    <x:mergeCell ref="AC7:AC8"/>
    <x:mergeCell ref="EL7:EL8"/>
    <x:mergeCell ref="AE7:AE8"/>
    <x:mergeCell ref="CV7:CV8"/>
    <x:mergeCell ref="AW7:AW8"/>
  </x:mergeCells>
  <x:pageMargins left="0.7" right="0.7" top="0.75" bottom="0.75" header="0.3" footer="0.3"/>
</x:worksheet>
</file>

<file path=xl/worksheets/sheet10.xml><?xml version="1.0" encoding="utf-8"?>
<x:worksheet xmlns:x="http://schemas.openxmlformats.org/spreadsheetml/2006/main">
  <x:sheetFormatPr baseColWidth="8" defaultColWidth="14.42578125" defaultRowHeight="12.75"/>
  <x:cols>
    <x:col min="1" max="1" width="8.140625" style="19" customWidth="1"/>
    <x:col min="2" max="2" width="6.85546875" style="18" customWidth="1"/>
    <x:col min="3" max="3" width="13.28515625" style="17" customWidth="1"/>
    <x:col min="4" max="4" width="51.42578125" style="16" customWidth="1"/>
    <x:col min="5" max="5" width="11.140625" style="15" customWidth="1"/>
    <x:col min="6" max="6" width="6.85546875" style="13" customWidth="1"/>
    <x:col min="7" max="17" width="13" style="13" customWidth="1"/>
    <x:col min="18" max="19" width="13" style="95" customWidth="1"/>
    <x:col min="20" max="30" width="13" style="13" customWidth="1"/>
    <x:col min="31" max="37" width="13" style="95" customWidth="1"/>
    <x:col min="38" max="38" width="13" style="13" customWidth="1"/>
    <x:col min="39" max="39" width="13" style="95" customWidth="1"/>
    <x:col min="40" max="40" width="13" style="13" customWidth="1"/>
    <x:col min="41" max="41" width="13" style="95" customWidth="1"/>
    <x:col min="42" max="183" width="13" style="13" customWidth="1"/>
    <x:col min="184" max="184" width="13" style="14" customWidth="1"/>
    <x:col min="185" max="187" width="13" style="13" customWidth="1"/>
    <x:col min="188" max="16384" width="14.42578125" style="13" customWidth="1"/>
  </x:cols>
  <x:sheetData>
    <x:row r="1" s="569" customFormat="1" ht="13.5" customHeight="1">
      <x:c r="E1" s="477" t="inlineStr">
        <x:is>
          <x:t xml:space="preserve">Instrument</x:t>
        </x:is>
      </x:c>
      <x:c r="F1" s="592" t="n"/>
      <x:c r="G1" s="63" t="inlineStr">
        <x:is>
          <x:t xml:space="preserve"/>
        </x:is>
      </x:c>
      <x:c r="H1" s="116" t="inlineStr">
        <x:is>
          <x:t xml:space="preserve">PAT</x:t>
        </x:is>
      </x:c>
      <x:c r="I1" s="116" t="inlineStr">
        <x:is>
          <x:t xml:space="preserve">PAT</x:t>
        </x:is>
      </x:c>
      <x:c r="J1" s="116" t="inlineStr">
        <x:is>
          <x:t xml:space="preserve">DEED</x:t>
        </x:is>
      </x:c>
      <x:c r="K1" s="116" t="inlineStr">
        <x:is>
          <x:t xml:space="preserve">DEED</x:t>
        </x:is>
      </x:c>
      <x:c r="L1" s="116" t="inlineStr">
        <x:is>
          <x:t xml:space="preserve">QCD</x:t>
        </x:is>
      </x:c>
      <x:c r="M1" s="116" t="inlineStr">
        <x:is>
          <x:t xml:space="preserve">WD</x:t>
        </x:is>
      </x:c>
      <x:c r="N1" s="116" t="inlineStr">
        <x:is>
          <x:t xml:space="preserve">MD</x:t>
        </x:is>
      </x:c>
      <x:c r="O1" s="116" t="inlineStr">
        <x:is>
          <x:t xml:space="preserve">MD</x:t>
        </x:is>
      </x:c>
      <x:c r="P1" s="116" t="inlineStr">
        <x:is>
          <x:t xml:space="preserve">MD</x:t>
        </x:is>
      </x:c>
      <x:c r="Q1" s="116" t="inlineStr">
        <x:is>
          <x:t xml:space="preserve">MD</x:t>
        </x:is>
      </x:c>
      <x:c r="R1" s="116" t="inlineStr">
        <x:is>
          <x:t xml:space="preserve">WD</x:t>
        </x:is>
      </x:c>
      <x:c r="S1" s="116" t="inlineStr">
        <x:is>
          <x:t xml:space="preserve">JTWD</x:t>
        </x:is>
      </x:c>
      <x:c r="T1" s="116" t="inlineStr">
        <x:is>
          <x:t xml:space="preserve">DECREE</x:t>
        </x:is>
      </x:c>
      <x:c r="U1" s="116" t="inlineStr">
        <x:is>
          <x:t xml:space="preserve">MD</x:t>
        </x:is>
      </x:c>
      <x:c r="V1" s="116" t="inlineStr">
        <x:is>
          <x:t xml:space="preserve">DEED</x:t>
        </x:is>
      </x:c>
      <x:c r="W1" s="116" t="inlineStr">
        <x:is>
          <x:t xml:space="preserve">QCD</x:t>
        </x:is>
      </x:c>
      <x:c r="X1" s="116" t="inlineStr">
        <x:is>
          <x:t xml:space="preserve">DECREE</x:t>
        </x:is>
      </x:c>
      <x:c r="Y1" s="116" t="inlineStr">
        <x:is>
          <x:t xml:space="preserve">MD</x:t>
        </x:is>
      </x:c>
      <x:c r="Z1" s="116" t="inlineStr">
        <x:is>
          <x:t xml:space="preserve">DECREE</x:t>
        </x:is>
      </x:c>
      <x:c r="AA1" s="116" t="inlineStr">
        <x:is>
          <x:t xml:space="preserve">DECREE</x:t>
        </x:is>
      </x:c>
      <x:c r="AB1" s="116" t="inlineStr">
        <x:is>
          <x:t xml:space="preserve">MD</x:t>
        </x:is>
      </x:c>
      <x:c r="AC1" s="116" t="inlineStr">
        <x:is>
          <x:t xml:space="preserve">QCD</x:t>
        </x:is>
      </x:c>
      <x:c r="AD1" s="116" t="inlineStr">
        <x:is>
          <x:t xml:space="preserve">WD</x:t>
        </x:is>
      </x:c>
      <x:c r="AE1" s="116" t="inlineStr">
        <x:is>
          <x:t xml:space="preserve">MD</x:t>
        </x:is>
      </x:c>
      <x:c r="AF1" s="116" t="inlineStr">
        <x:is>
          <x:t xml:space="preserve">DECREE</x:t>
        </x:is>
      </x:c>
      <x:c r="AG1" s="116" t="inlineStr">
        <x:is>
          <x:t xml:space="preserve">DECREE</x:t>
        </x:is>
      </x:c>
      <x:c r="AH1" s="116" t="inlineStr">
        <x:is>
          <x:t xml:space="preserve">QCD</x:t>
        </x:is>
      </x:c>
      <x:c r="AI1" s="116" t="inlineStr">
        <x:is>
          <x:t xml:space="preserve">QCD</x:t>
        </x:is>
      </x:c>
      <x:c r="AJ1" s="116" t="inlineStr">
        <x:is>
          <x:t xml:space="preserve">WD</x:t>
        </x:is>
      </x:c>
      <x:c r="AK1" s="116" t="inlineStr">
        <x:is>
          <x:t xml:space="preserve">DECREE</x:t>
        </x:is>
      </x:c>
      <x:c r="AL1" s="116" t="inlineStr">
        <x:is>
          <x:t xml:space="preserve">MD</x:t>
        </x:is>
      </x:c>
      <x:c r="AM1" s="116" t="inlineStr">
        <x:is>
          <x:t xml:space="preserve">QCD</x:t>
        </x:is>
      </x:c>
      <x:c r="AN1" s="116" t="inlineStr">
        <x:is>
          <x:t xml:space="preserve">JTWD</x:t>
        </x:is>
      </x:c>
      <x:c r="AO1" s="116" t="inlineStr">
        <x:is>
          <x:t xml:space="preserve">MD</x:t>
        </x:is>
      </x:c>
      <x:c r="AP1" s="95" t="inlineStr">
        <x:is>
          <x:t xml:space="preserve">JTWD</x:t>
        </x:is>
      </x:c>
      <x:c r="AQ1" s="95" t="inlineStr">
        <x:is>
          <x:t xml:space="preserve">QCD</x:t>
        </x:is>
      </x:c>
      <x:c r="AR1" s="95" t="inlineStr">
        <x:is>
          <x:t xml:space="preserve">MD</x:t>
        </x:is>
      </x:c>
      <x:c r="AS1" s="95" t="inlineStr">
        <x:is>
          <x:t xml:space="preserve">MD</x:t>
        </x:is>
      </x:c>
      <x:c r="AT1" s="95" t="inlineStr">
        <x:is>
          <x:t xml:space="preserve">MD</x:t>
        </x:is>
      </x:c>
      <x:c r="AU1" s="95" t="inlineStr">
        <x:is>
          <x:t xml:space="preserve">MD</x:t>
        </x:is>
      </x:c>
      <x:c r="AV1" s="95" t="inlineStr">
        <x:is>
          <x:t xml:space="preserve">CONV</x:t>
        </x:is>
      </x:c>
      <x:c r="AW1" s="95" t="inlineStr">
        <x:is>
          <x:t xml:space="preserve">DECREE</x:t>
        </x:is>
      </x:c>
      <x:c r="AX1" s="95" t="inlineStr">
        <x:is>
          <x:t xml:space="preserve">MD</x:t>
        </x:is>
      </x:c>
      <x:c r="AY1" s="95" t="inlineStr">
        <x:is>
          <x:t xml:space="preserve">MD</x:t>
        </x:is>
      </x:c>
      <x:c r="AZ1" s="95" t="inlineStr">
        <x:is>
          <x:t xml:space="preserve">MD</x:t>
        </x:is>
      </x:c>
      <x:c r="BA1" s="95" t="inlineStr">
        <x:is>
          <x:t xml:space="preserve">QCD</x:t>
        </x:is>
      </x:c>
      <x:c r="BB1" s="95" t="inlineStr">
        <x:is>
          <x:t xml:space="preserve">MD</x:t>
        </x:is>
      </x:c>
      <x:c r="BC1" s="95" t="inlineStr">
        <x:is>
          <x:t xml:space="preserve">QCD</x:t>
        </x:is>
      </x:c>
      <x:c r="BD1" s="95" t="inlineStr">
        <x:is>
          <x:t xml:space="preserve">QCD</x:t>
        </x:is>
      </x:c>
      <x:c r="BE1" s="95" t="inlineStr">
        <x:is>
          <x:t xml:space="preserve">MD</x:t>
        </x:is>
      </x:c>
      <x:c r="BF1" s="95" t="inlineStr">
        <x:is>
          <x:t xml:space="preserve">DECREE</x:t>
        </x:is>
      </x:c>
      <x:c r="BG1" s="95" t="inlineStr">
        <x:is>
          <x:t xml:space="preserve">DECREE</x:t>
        </x:is>
      </x:c>
      <x:c r="BH1" s="95" t="inlineStr">
        <x:is>
          <x:t xml:space="preserve">QCD</x:t>
        </x:is>
      </x:c>
      <x:c r="BI1" s="95" t="inlineStr">
        <x:is>
          <x:t xml:space="preserve">MD</x:t>
        </x:is>
      </x:c>
      <x:c r="BJ1" s="95" t="inlineStr">
        <x:is>
          <x:t xml:space="preserve">QCD</x:t>
        </x:is>
      </x:c>
      <x:c r="BK1" s="95" t="inlineStr">
        <x:is>
          <x:t xml:space="preserve">MD</x:t>
        </x:is>
      </x:c>
      <x:c r="BL1" s="95" t="inlineStr">
        <x:is>
          <x:t xml:space="preserve">DECREE</x:t>
        </x:is>
      </x:c>
      <x:c r="BM1" s="95" t="inlineStr">
        <x:is>
          <x:t xml:space="preserve">QCD</x:t>
        </x:is>
      </x:c>
      <x:c r="BN1" s="95" t="inlineStr">
        <x:is>
          <x:t xml:space="preserve">QCD</x:t>
        </x:is>
      </x:c>
      <x:c r="BO1" s="95" t="inlineStr">
        <x:is>
          <x:t xml:space="preserve">WD</x:t>
        </x:is>
      </x:c>
      <x:c r="BP1" s="95" t="inlineStr">
        <x:is>
          <x:t xml:space="preserve">MD</x:t>
        </x:is>
      </x:c>
      <x:c r="BQ1" s="95" t="inlineStr">
        <x:is>
          <x:t xml:space="preserve">MD</x:t>
        </x:is>
      </x:c>
      <x:c r="BR1" s="95" t="inlineStr">
        <x:is>
          <x:t xml:space="preserve">DEED</x:t>
        </x:is>
      </x:c>
      <x:c r="BS1" s="95" t="inlineStr">
        <x:is>
          <x:t xml:space="preserve">DEED</x:t>
        </x:is>
      </x:c>
      <x:c r="BT1" s="95" t="inlineStr">
        <x:is>
          <x:t xml:space="preserve">DEED</x:t>
        </x:is>
      </x:c>
      <x:c r="BU1" s="95" t="inlineStr">
        <x:is>
          <x:t xml:space="preserve">WD</x:t>
        </x:is>
      </x:c>
      <x:c r="BV1" s="95" t="inlineStr">
        <x:is>
          <x:t xml:space="preserve">DECREE</x:t>
        </x:is>
      </x:c>
      <x:c r="BW1" s="95" t="inlineStr">
        <x:is>
          <x:t xml:space="preserve">QCD</x:t>
        </x:is>
      </x:c>
      <x:c r="BX1" s="95" t="inlineStr">
        <x:is>
          <x:t xml:space="preserve">DECREE</x:t>
        </x:is>
      </x:c>
      <x:c r="BY1" s="95" t="inlineStr">
        <x:is>
          <x:t xml:space="preserve">PAT</x:t>
        </x:is>
      </x:c>
      <x:c r="BZ1" s="95" t="inlineStr">
        <x:is>
          <x:t xml:space="preserve">PAT</x:t>
        </x:is>
      </x:c>
      <x:c r="CA1" s="95" t="n"/>
      <x:c r="CB1" s="95" t="n"/>
      <x:c r="CC1" s="95" t="n"/>
      <x:c r="CD1" s="95" t="n"/>
      <x:c r="CE1" s="95" t="n"/>
      <x:c r="CF1" s="95" t="n"/>
      <x:c r="CG1" s="95" t="n"/>
      <x:c r="CH1" s="95" t="n"/>
      <x:c r="CI1" s="95" t="n"/>
      <x:c r="CJ1" s="95" t="n"/>
      <x:c r="CK1" s="95" t="n"/>
      <x:c r="CL1" s="95" t="n"/>
      <x:c r="CM1" s="95" t="n"/>
      <x:c r="CN1" s="95" t="n"/>
      <x:c r="CO1" s="95" t="n"/>
      <x:c r="CP1" s="95" t="n"/>
      <x:c r="CQ1" s="95" t="n"/>
      <x:c r="CR1" s="95" t="n"/>
      <x:c r="CS1" s="95" t="n"/>
      <x:c r="CT1" s="95" t="n"/>
      <x:c r="CU1" s="95" t="n"/>
      <x:c r="CV1" s="95" t="n"/>
      <x:c r="CW1" s="95" t="n"/>
      <x:c r="CX1" s="95" t="n"/>
      <x:c r="CY1" s="95" t="n"/>
      <x:c r="CZ1" s="95" t="n"/>
      <x:c r="DA1" s="95" t="n"/>
      <x:c r="DB1" s="95" t="n"/>
      <x:c r="DC1" s="95" t="n"/>
      <x:c r="DD1" s="95" t="n"/>
      <x:c r="DE1" s="95" t="n"/>
      <x:c r="DF1" s="95" t="n"/>
      <x:c r="DG1" s="95" t="n"/>
      <x:c r="DH1" s="95" t="n"/>
      <x:c r="DI1" s="95" t="n"/>
      <x:c r="DJ1" s="95" t="n"/>
      <x:c r="DK1" s="95" t="n"/>
      <x:c r="DL1" s="95" t="n"/>
      <x:c r="DM1" s="95" t="n"/>
      <x:c r="DN1" s="95" t="n"/>
      <x:c r="DO1" s="95" t="n"/>
      <x:c r="DP1" s="95" t="n"/>
      <x:c r="DQ1" s="95" t="n"/>
      <x:c r="DR1" s="95" t="n"/>
      <x:c r="DS1" s="95" t="n"/>
      <x:c r="DT1" s="95" t="n"/>
      <x:c r="DU1" s="95" t="n"/>
      <x:c r="DV1" s="95" t="n"/>
      <x:c r="DW1" s="95" t="n"/>
      <x:c r="DX1" s="95" t="n"/>
      <x:c r="DY1" s="95" t="n"/>
      <x:c r="DZ1" s="95" t="n"/>
      <x:c r="EA1" s="95" t="n"/>
      <x:c r="EB1" s="95" t="n"/>
      <x:c r="EC1" s="95" t="n"/>
      <x:c r="ED1" s="95" t="n"/>
      <x:c r="EE1" s="95" t="n"/>
      <x:c r="EF1" s="95" t="n"/>
      <x:c r="EG1" s="95" t="n"/>
      <x:c r="EH1" s="95" t="n"/>
      <x:c r="EI1" s="95" t="n"/>
      <x:c r="EJ1" s="95" t="n"/>
      <x:c r="EK1" s="95" t="n"/>
      <x:c r="EL1" s="95" t="n"/>
      <x:c r="EM1" s="95" t="n"/>
      <x:c r="EN1" s="95" t="n"/>
      <x:c r="EO1" s="95" t="n"/>
      <x:c r="EP1" s="95" t="n"/>
      <x:c r="EQ1" s="95" t="n"/>
      <x:c r="ER1" s="95" t="n"/>
      <x:c r="ES1" s="95" t="n"/>
      <x:c r="ET1" s="95" t="n"/>
      <x:c r="EU1" s="95" t="n"/>
      <x:c r="EV1" s="95" t="n"/>
      <x:c r="EW1" s="95" t="n"/>
      <x:c r="EX1" s="95" t="n"/>
      <x:c r="EY1" s="95" t="n"/>
      <x:c r="EZ1" s="95" t="n"/>
      <x:c r="FA1" s="95" t="n"/>
      <x:c r="FB1" s="95" t="n"/>
      <x:c r="FC1" s="95" t="n"/>
      <x:c r="FD1" s="95" t="n"/>
      <x:c r="FE1" s="95" t="n"/>
      <x:c r="FF1" s="95" t="n"/>
      <x:c r="FG1" s="95" t="n"/>
      <x:c r="FH1" s="95" t="n"/>
      <x:c r="FI1" s="95" t="n"/>
      <x:c r="FJ1" s="95" t="n"/>
      <x:c r="FK1" s="95" t="n"/>
      <x:c r="FL1" s="95" t="n"/>
      <x:c r="FM1" s="95" t="n"/>
      <x:c r="FN1" s="95" t="n"/>
      <x:c r="FO1" s="95" t="n"/>
      <x:c r="FP1" s="95" t="n"/>
      <x:c r="FQ1" s="95" t="n"/>
      <x:c r="FR1" s="95" t="n"/>
      <x:c r="FS1" s="95" t="n"/>
      <x:c r="FT1" s="95" t="n"/>
      <x:c r="FU1" s="95" t="n"/>
      <x:c r="FV1" s="95" t="n"/>
      <x:c r="FW1" s="95" t="n"/>
      <x:c r="FX1" s="95" t="n"/>
    </x:row>
    <x:row r="2" s="62" customFormat="1" ht="12.75" customHeight="1">
      <x:c r="A2" s="614" t="inlineStr">
        <x:is>
          <x:t xml:space="preserve">5</x:t>
        </x:is>
      </x:c>
      <x:c r="B2" s="615" t="inlineStr">
        <x:is>
          <x:t xml:space="preserve">TRACT</x:t>
        </x:is>
      </x:c>
      <x:c r="C2" s="593" t="n"/>
      <x:c r="D2" s="643" t="inlineStr">
        <x:is>
          <x:t xml:space="preserve">W/2 NW/4 (Lots 1 &amp; 2) and SE/4 SW/4, less and except the South 51 acres of a 51-acre metes-and-bounds tract (west-side strip), and less and except The South 32.8 acres in a tract of land described as W. 1820 chains (72 8/10 Rods) of Lots 1 &amp; 2 ADA W 18.20 chains (or 72 8/10 Rods) of W/2 NW/4, containing 38.28 acres, more or less</x:t>
        </x:is>
      </x:c>
      <x:c r="E2" s="617" t="inlineStr">
        <x:is>
          <x:t xml:space="preserve">Image Number</x:t>
        </x:is>
      </x:c>
      <x:c r="F2" s="618" t="n"/>
      <x:c r="G2" s="63" t="n"/>
      <x:c r="H2" s="118" t="inlineStr">
        <x:is>
          <x:t xml:space="preserve">1907-005379</x:t>
        </x:is>
      </x:c>
      <x:c r="I2" s="118" t="inlineStr">
        <x:is>
          <x:t xml:space="preserve">1931-001789</x:t>
        </x:is>
      </x:c>
      <x:c r="J2" s="118" t="inlineStr">
        <x:is>
          <x:t xml:space="preserve">1905-000429</x:t>
        </x:is>
      </x:c>
      <x:c r="K2" s="118" t="inlineStr">
        <x:is>
          <x:t xml:space="preserve">1925-000406</x:t>
        </x:is>
      </x:c>
      <x:c r="L2" s="118" t="inlineStr">
        <x:is>
          <x:t xml:space="preserve">1949-003394</x:t>
        </x:is>
      </x:c>
      <x:c r="M2" s="118" t="inlineStr">
        <x:is>
          <x:t xml:space="preserve">1953-000493</x:t>
        </x:is>
      </x:c>
      <x:c r="N2" s="118" t="inlineStr">
        <x:is>
          <x:t xml:space="preserve">1962-001141</x:t>
        </x:is>
      </x:c>
      <x:c r="O2" s="118" t="inlineStr">
        <x:is>
          <x:t xml:space="preserve">1962-001145</x:t>
        </x:is>
      </x:c>
      <x:c r="P2" s="118" t="inlineStr">
        <x:is>
          <x:t xml:space="preserve">1962-001389</x:t>
        </x:is>
      </x:c>
      <x:c r="Q2" s="118" t="inlineStr">
        <x:is>
          <x:t xml:space="preserve">1962-001390</x:t>
        </x:is>
      </x:c>
      <x:c r="R2" s="118" t="inlineStr">
        <x:is>
          <x:t xml:space="preserve">1976-003251</x:t>
        </x:is>
      </x:c>
      <x:c r="S2" s="118" t="inlineStr">
        <x:is>
          <x:t xml:space="preserve">1977-007503</x:t>
        </x:is>
      </x:c>
      <x:c r="T2" s="118" t="inlineStr">
        <x:is>
          <x:t xml:space="preserve">1979-002206</x:t>
        </x:is>
      </x:c>
      <x:c r="U2" s="118" t="inlineStr">
        <x:is>
          <x:t xml:space="preserve">1982-007158</x:t>
        </x:is>
      </x:c>
      <x:c r="V2" s="118" t="inlineStr">
        <x:is>
          <x:t xml:space="preserve">1985-005895</x:t>
        </x:is>
      </x:c>
      <x:c r="W2" s="118" t="inlineStr">
        <x:is>
          <x:t xml:space="preserve">1985-007096</x:t>
        </x:is>
      </x:c>
      <x:c r="X2" s="118" t="inlineStr">
        <x:is>
          <x:t xml:space="preserve">1988-004635</x:t>
        </x:is>
      </x:c>
      <x:c r="Y2" s="118" t="inlineStr">
        <x:is>
          <x:t xml:space="preserve">1989-001220</x:t>
        </x:is>
      </x:c>
      <x:c r="Z2" s="118" t="inlineStr">
        <x:is>
          <x:t xml:space="preserve">1989-001559</x:t>
        </x:is>
      </x:c>
      <x:c r="AA2" s="118" t="inlineStr">
        <x:is>
          <x:t xml:space="preserve">1990-001996</x:t>
        </x:is>
      </x:c>
      <x:c r="AB2" s="118" t="inlineStr">
        <x:is>
          <x:t xml:space="preserve">1990-002606</x:t>
        </x:is>
      </x:c>
      <x:c r="AC2" s="118" t="inlineStr">
        <x:is>
          <x:t xml:space="preserve">1990-004213</x:t>
        </x:is>
      </x:c>
      <x:c r="AD2" s="118" t="inlineStr">
        <x:is>
          <x:t xml:space="preserve">1991-003518</x:t>
        </x:is>
      </x:c>
      <x:c r="AE2" s="118" t="inlineStr">
        <x:is>
          <x:t xml:space="preserve">1992-003373</x:t>
        </x:is>
      </x:c>
      <x:c r="AF2" s="118" t="inlineStr">
        <x:is>
          <x:t xml:space="preserve">1993-000918</x:t>
        </x:is>
      </x:c>
      <x:c r="AG2" s="118" t="inlineStr">
        <x:is>
          <x:t xml:space="preserve">1994-004940</x:t>
        </x:is>
      </x:c>
      <x:c r="AH2" s="118" t="inlineStr">
        <x:is>
          <x:t xml:space="preserve">1995-003767</x:t>
        </x:is>
      </x:c>
      <x:c r="AI2" s="118" t="inlineStr">
        <x:is>
          <x:t xml:space="preserve">1995-000748</x:t>
        </x:is>
      </x:c>
      <x:c r="AJ2" s="118" t="inlineStr">
        <x:is>
          <x:t xml:space="preserve">1997-003023</x:t>
        </x:is>
      </x:c>
      <x:c r="AK2" s="118" t="inlineStr">
        <x:is>
          <x:t xml:space="preserve">1999-005936</x:t>
        </x:is>
      </x:c>
      <x:c r="AL2" s="118" t="inlineStr">
        <x:is>
          <x:t xml:space="preserve">1979-005655</x:t>
        </x:is>
      </x:c>
      <x:c r="AM2" s="118" t="inlineStr">
        <x:is>
          <x:t xml:space="preserve">2001-002190</x:t>
        </x:is>
      </x:c>
      <x:c r="AN2" s="118" t="inlineStr">
        <x:is>
          <x:t xml:space="preserve">2001-002496</x:t>
        </x:is>
      </x:c>
      <x:c r="AO2" s="118" t="inlineStr">
        <x:is>
          <x:t xml:space="preserve">2002-003563</x:t>
        </x:is>
      </x:c>
      <x:c r="AP2" s="96" t="inlineStr">
        <x:is>
          <x:t xml:space="preserve">2003-004685</x:t>
        </x:is>
      </x:c>
      <x:c r="AQ2" s="96" t="inlineStr">
        <x:is>
          <x:t xml:space="preserve">2004-000364</x:t>
        </x:is>
      </x:c>
      <x:c r="AR2" s="96" t="inlineStr">
        <x:is>
          <x:t xml:space="preserve">2004-005738</x:t>
        </x:is>
      </x:c>
      <x:c r="AS2" s="96" t="inlineStr">
        <x:is>
          <x:t xml:space="preserve">2004-005739</x:t>
        </x:is>
      </x:c>
      <x:c r="AT2" s="96" t="inlineStr">
        <x:is>
          <x:t xml:space="preserve">2008-006536</x:t>
        </x:is>
      </x:c>
      <x:c r="AU2" s="96" t="inlineStr">
        <x:is>
          <x:t xml:space="preserve">2004-006577</x:t>
        </x:is>
      </x:c>
      <x:c r="AV2" s="96" t="inlineStr">
        <x:is>
          <x:t xml:space="preserve">2005-000347</x:t>
        </x:is>
      </x:c>
      <x:c r="AW2" s="96" t="inlineStr">
        <x:is>
          <x:t xml:space="preserve">2005-002196</x:t>
        </x:is>
      </x:c>
      <x:c r="AX2" s="96" t="inlineStr">
        <x:is>
          <x:t xml:space="preserve">2005-004793</x:t>
        </x:is>
      </x:c>
      <x:c r="AY2" s="96" t="inlineStr">
        <x:is>
          <x:t xml:space="preserve">2005-005251</x:t>
        </x:is>
      </x:c>
      <x:c r="AZ2" s="96" t="inlineStr">
        <x:is>
          <x:t xml:space="preserve">2005-004044</x:t>
        </x:is>
      </x:c>
      <x:c r="BA2" s="96" t="inlineStr">
        <x:is>
          <x:t xml:space="preserve">2006-000153</x:t>
        </x:is>
      </x:c>
      <x:c r="BB2" s="96" t="inlineStr">
        <x:is>
          <x:t xml:space="preserve">2006-000870</x:t>
        </x:is>
      </x:c>
      <x:c r="BC2" s="96" t="inlineStr">
        <x:is>
          <x:t xml:space="preserve">2007-001848</x:t>
        </x:is>
      </x:c>
      <x:c r="BD2" s="96" t="inlineStr">
        <x:is>
          <x:t xml:space="preserve">2008-004060</x:t>
        </x:is>
      </x:c>
      <x:c r="BE2" s="96" t="inlineStr">
        <x:is>
          <x:t xml:space="preserve">2011-007826</x:t>
        </x:is>
      </x:c>
      <x:c r="BF2" s="96" t="inlineStr">
        <x:is>
          <x:t xml:space="preserve">2012-002191</x:t>
        </x:is>
      </x:c>
      <x:c r="BG2" s="96" t="inlineStr">
        <x:is>
          <x:t xml:space="preserve">2013-000518</x:t>
        </x:is>
      </x:c>
      <x:c r="BH2" s="96" t="inlineStr">
        <x:is>
          <x:t xml:space="preserve">2013-001724</x:t>
        </x:is>
      </x:c>
      <x:c r="BI2" s="96" t="inlineStr">
        <x:is>
          <x:t xml:space="preserve">2013-006585</x:t>
        </x:is>
      </x:c>
      <x:c r="BJ2" s="96" t="inlineStr">
        <x:is>
          <x:t xml:space="preserve">2013-006129</x:t>
        </x:is>
      </x:c>
      <x:c r="BK2" s="96" t="inlineStr">
        <x:is>
          <x:t xml:space="preserve">2014-005899</x:t>
        </x:is>
      </x:c>
      <x:c r="BL2" s="96" t="inlineStr">
        <x:is>
          <x:t xml:space="preserve">2026-002877</x:t>
        </x:is>
      </x:c>
      <x:c r="BM2" s="96" t="inlineStr">
        <x:is>
          <x:t xml:space="preserve">2020-001374</x:t>
        </x:is>
      </x:c>
      <x:c r="BN2" s="96" t="inlineStr">
        <x:is>
          <x:t xml:space="preserve">2025-001343</x:t>
        </x:is>
      </x:c>
      <x:c r="BO2" s="96" t="inlineStr">
        <x:is>
          <x:t xml:space="preserve">2025-003963</x:t>
        </x:is>
      </x:c>
      <x:c r="BP2" s="96" t="inlineStr">
        <x:is>
          <x:t xml:space="preserve">2026-000691</x:t>
        </x:is>
      </x:c>
      <x:c r="BQ2" s="96" t="inlineStr">
        <x:is>
          <x:t xml:space="preserve">2026-001374</x:t>
        </x:is>
      </x:c>
      <x:c r="BR2" s="96" t="inlineStr">
        <x:is>
          <x:t xml:space="preserve">1988-004185</x:t>
        </x:is>
      </x:c>
      <x:c r="BS2" s="96" t="inlineStr">
        <x:is>
          <x:t xml:space="preserve">1918-000943</x:t>
        </x:is>
      </x:c>
      <x:c r="BT2" s="96" t="inlineStr">
        <x:is>
          <x:t xml:space="preserve">1927-000706</x:t>
        </x:is>
      </x:c>
      <x:c r="BU2" s="96" t="inlineStr">
        <x:is>
          <x:t xml:space="preserve">1949-000809</x:t>
        </x:is>
      </x:c>
      <x:c r="BV2" s="96" t="inlineStr">
        <x:is>
          <x:t xml:space="preserve">1942-000630</x:t>
        </x:is>
      </x:c>
      <x:c r="BW2" s="96" t="inlineStr">
        <x:is>
          <x:t xml:space="preserve">2016-001882</x:t>
        </x:is>
      </x:c>
      <x:c r="BX2" s="96" t="inlineStr">
        <x:is>
          <x:t xml:space="preserve">1967-002816</x:t>
        </x:is>
      </x:c>
      <x:c r="BY2" s="96" t="inlineStr">
        <x:is>
          <x:t xml:space="preserve">1907-005379</x:t>
        </x:is>
      </x:c>
      <x:c r="BZ2" s="96" t="inlineStr">
        <x:is>
          <x:t xml:space="preserve">1931-001789</x:t>
        </x:is>
      </x:c>
      <x:c r="CA2" s="96" t="n"/>
      <x:c r="CB2" s="96" t="n"/>
      <x:c r="CC2" s="96" t="n"/>
      <x:c r="CD2" s="96" t="n"/>
      <x:c r="CE2" s="96" t="n"/>
      <x:c r="CF2" s="96" t="n"/>
      <x:c r="CG2" s="96" t="n"/>
      <x:c r="CH2" s="96" t="n"/>
      <x:c r="CI2" s="96" t="n"/>
      <x:c r="CJ2" s="96" t="n"/>
      <x:c r="CK2" s="96" t="n"/>
      <x:c r="CL2" s="96" t="n"/>
      <x:c r="CM2" s="96" t="n"/>
      <x:c r="CN2" s="96" t="n"/>
      <x:c r="CO2" s="96" t="n"/>
      <x:c r="CP2" s="96" t="n"/>
      <x:c r="CQ2" s="96" t="n"/>
      <x:c r="CR2" s="96" t="n"/>
      <x:c r="CS2" s="96" t="n"/>
      <x:c r="CT2" s="96" t="n"/>
      <x:c r="CU2" s="96" t="n"/>
      <x:c r="CV2" s="96" t="n"/>
      <x:c r="CW2" s="96" t="n"/>
      <x:c r="CX2" s="96" t="n"/>
      <x:c r="CY2" s="96" t="n"/>
      <x:c r="CZ2" s="96" t="n"/>
      <x:c r="DA2" s="96" t="n"/>
      <x:c r="DB2" s="96" t="n"/>
      <x:c r="DC2" s="96" t="n"/>
      <x:c r="DD2" s="96" t="n"/>
      <x:c r="DE2" s="96" t="n"/>
      <x:c r="DF2" s="96" t="n"/>
      <x:c r="DG2" s="96" t="n"/>
      <x:c r="DH2" s="96" t="n"/>
      <x:c r="DI2" s="96" t="n"/>
      <x:c r="DJ2" s="96" t="n"/>
      <x:c r="DK2" s="96" t="n"/>
      <x:c r="DL2" s="96" t="n"/>
      <x:c r="DM2" s="96" t="n"/>
      <x:c r="DN2" s="96" t="n"/>
      <x:c r="DO2" s="96" t="n"/>
      <x:c r="DP2" s="96" t="n"/>
      <x:c r="DQ2" s="96" t="n"/>
      <x:c r="DR2" s="96" t="n"/>
      <x:c r="DS2" s="96" t="n"/>
      <x:c r="DT2" s="96" t="n"/>
      <x:c r="DU2" s="96" t="n"/>
      <x:c r="DV2" s="96" t="n"/>
      <x:c r="DW2" s="96" t="n"/>
      <x:c r="DX2" s="96" t="n"/>
      <x:c r="DY2" s="96" t="n"/>
      <x:c r="DZ2" s="96" t="n"/>
      <x:c r="EA2" s="96" t="n"/>
      <x:c r="EB2" s="96" t="n"/>
      <x:c r="EC2" s="96" t="n"/>
      <x:c r="ED2" s="96" t="n"/>
      <x:c r="EE2" s="96" t="n"/>
      <x:c r="EF2" s="96" t="n"/>
      <x:c r="EG2" s="96" t="n"/>
      <x:c r="EH2" s="96" t="n"/>
      <x:c r="EI2" s="96" t="n"/>
      <x:c r="EJ2" s="96" t="n"/>
      <x:c r="EK2" s="96" t="n"/>
      <x:c r="EL2" s="96" t="n"/>
      <x:c r="EM2" s="96" t="n"/>
      <x:c r="EN2" s="96" t="n"/>
      <x:c r="EO2" s="96" t="n"/>
      <x:c r="EP2" s="96" t="n"/>
      <x:c r="EQ2" s="96" t="n"/>
      <x:c r="ER2" s="96" t="n"/>
      <x:c r="ES2" s="96" t="n"/>
      <x:c r="ET2" s="96" t="n"/>
      <x:c r="EU2" s="96" t="n"/>
      <x:c r="EV2" s="96" t="n"/>
      <x:c r="EW2" s="96" t="n"/>
      <x:c r="EX2" s="96" t="n"/>
      <x:c r="EY2" s="96" t="n"/>
      <x:c r="EZ2" s="96" t="n"/>
      <x:c r="FA2" s="96" t="n"/>
      <x:c r="FB2" s="96" t="n"/>
      <x:c r="FC2" s="96" t="n"/>
      <x:c r="FD2" s="96" t="n"/>
      <x:c r="FE2" s="96" t="n"/>
      <x:c r="FF2" s="96" t="n"/>
      <x:c r="FG2" s="96" t="n"/>
      <x:c r="FH2" s="96" t="n"/>
      <x:c r="FI2" s="96" t="n"/>
      <x:c r="FJ2" s="96" t="n"/>
      <x:c r="FK2" s="96" t="n"/>
      <x:c r="FL2" s="96" t="n"/>
      <x:c r="FM2" s="96" t="n"/>
      <x:c r="FN2" s="96" t="n"/>
      <x:c r="FO2" s="96" t="n"/>
      <x:c r="FP2" s="96" t="n"/>
      <x:c r="FQ2" s="96" t="n"/>
      <x:c r="FR2" s="96" t="n"/>
      <x:c r="FS2" s="96" t="n"/>
      <x:c r="FT2" s="96" t="n"/>
      <x:c r="FU2" s="96" t="n"/>
      <x:c r="FV2" s="96" t="n"/>
      <x:c r="FW2" s="96" t="n"/>
      <x:c r="FX2" s="96" t="n"/>
      <x:c r="FY2" s="59" t="n"/>
      <x:c r="FZ2" s="59" t="n"/>
      <x:c r="GA2" s="59" t="n"/>
    </x:row>
    <x:row r="3" s="62" customFormat="1" ht="23.100000381469727" customHeight="1">
      <x:c r="A3" s="619" t="n"/>
      <x:c r="B3" s="620" t="inlineStr">
        <x:is>
          <x:t xml:space="preserve">DESCRIPTION</x:t>
        </x:is>
      </x:c>
      <x:c r="C3" s="593" t="n"/>
      <x:c r="D3" s="621" t="n"/>
      <x:c r="E3" s="622" t="inlineStr">
        <x:is>
          <x:t xml:space="preserve">Book / Page </x:t>
        </x:is>
      </x:c>
      <x:c r="F3" s="618" t="n"/>
      <x:c r="G3" s="63" t="n"/>
      <x:c r="H3" s="6" t="inlineStr">
        <x:is>
          <x:t xml:space="preserve">PAT3/495</x:t>
        </x:is>
      </x:c>
      <x:c r="I3" s="6" t="inlineStr">
        <x:is>
          <x:t xml:space="preserve">PAT7/374</x:t>
        </x:is>
      </x:c>
      <x:c r="J3" s="6" t="inlineStr">
        <x:is>
          <x:t xml:space="preserve">D6/206</x:t>
        </x:is>
      </x:c>
      <x:c r="K3" s="6" t="inlineStr">
        <x:is>
          <x:t xml:space="preserve">D34/104</x:t>
        </x:is>
      </x:c>
      <x:c r="L3" s="6" t="inlineStr">
        <x:is>
          <x:t xml:space="preserve">QCD5/92</x:t>
        </x:is>
      </x:c>
      <x:c r="M3" s="6" t="inlineStr">
        <x:is>
          <x:t xml:space="preserve">D67/154</x:t>
        </x:is>
      </x:c>
      <x:c r="N3" s="6" t="inlineStr">
        <x:is>
          <x:t xml:space="preserve">MIS47/164</x:t>
        </x:is>
      </x:c>
      <x:c r="O3" s="6" t="inlineStr">
        <x:is>
          <x:t xml:space="preserve">MIS47/169</x:t>
        </x:is>
      </x:c>
      <x:c r="P3" s="6" t="inlineStr">
        <x:is>
          <x:t xml:space="preserve">MIS47/558</x:t>
        </x:is>
      </x:c>
      <x:c r="Q3" s="6" t="inlineStr">
        <x:is>
          <x:t xml:space="preserve">MIS47/559</x:t>
        </x:is>
      </x:c>
      <x:c r="R3" s="6" t="inlineStr">
        <x:is>
          <x:t xml:space="preserve">197/116</x:t>
        </x:is>
      </x:c>
      <x:c r="S3" s="6" t="inlineStr">
        <x:is>
          <x:t xml:space="preserve">227/89</x:t>
        </x:is>
      </x:c>
      <x:c r="T3" s="6" t="inlineStr">
        <x:is>
          <x:t xml:space="preserve">264/428</x:t>
        </x:is>
      </x:c>
      <x:c r="U3" s="6" t="inlineStr">
        <x:is>
          <x:t xml:space="preserve">451/176</x:t>
        </x:is>
      </x:c>
      <x:c r="V3" s="6" t="inlineStr">
        <x:is>
          <x:t xml:space="preserve">745/75</x:t>
        </x:is>
      </x:c>
      <x:c r="W3" s="6" t="inlineStr">
        <x:is>
          <x:t xml:space="preserve">756/79</x:t>
        </x:is>
      </x:c>
      <x:c r="X3" s="6" t="inlineStr">
        <x:is>
          <x:t xml:space="preserve">986/185</x:t>
        </x:is>
      </x:c>
      <x:c r="Y3" s="6" t="inlineStr">
        <x:is>
          <x:t xml:space="preserve">1038/219</x:t>
        </x:is>
      </x:c>
      <x:c r="Z3" s="6" t="inlineStr">
        <x:is>
          <x:t xml:space="preserve">1042/126</x:t>
        </x:is>
      </x:c>
      <x:c r="AA3" s="6" t="inlineStr">
        <x:is>
          <x:t xml:space="preserve">1126/234</x:t>
        </x:is>
      </x:c>
      <x:c r="AB3" s="118" t="inlineStr">
        <x:is>
          <x:t xml:space="preserve">1132/285</x:t>
        </x:is>
      </x:c>
      <x:c r="AC3" s="118" t="inlineStr">
        <x:is>
          <x:t xml:space="preserve">1151/107</x:t>
        </x:is>
      </x:c>
      <x:c r="AD3" s="6" t="inlineStr">
        <x:is>
          <x:t xml:space="preserve">1229/180</x:t>
        </x:is>
      </x:c>
      <x:c r="AE3" s="6" t="inlineStr">
        <x:is>
          <x:t xml:space="preserve">1294/169</x:t>
        </x:is>
      </x:c>
      <x:c r="AF3" s="6" t="inlineStr">
        <x:is>
          <x:t xml:space="preserve">1324/22</x:t>
        </x:is>
      </x:c>
      <x:c r="AG3" s="6" t="inlineStr">
        <x:is>
          <x:t xml:space="preserve">1405/223</x:t>
        </x:is>
      </x:c>
      <x:c r="AH3" s="6" t="inlineStr">
        <x:is>
          <x:t xml:space="preserve">1459/583</x:t>
        </x:is>
      </x:c>
      <x:c r="AI3" s="6" t="inlineStr">
        <x:is>
          <x:t xml:space="preserve">1471/574</x:t>
        </x:is>
      </x:c>
      <x:c r="AJ3" s="6" t="inlineStr">
        <x:is>
          <x:t xml:space="preserve">1514/525</x:t>
        </x:is>
      </x:c>
      <x:c r="AK3" s="6" t="inlineStr">
        <x:is>
          <x:t xml:space="preserve">1600/1</x:t>
        </x:is>
      </x:c>
      <x:c r="AL3" s="118" t="inlineStr">
        <x:is>
          <x:t xml:space="preserve">277/64</x:t>
        </x:is>
      </x:c>
      <x:c r="AM3" s="5" t="inlineStr">
        <x:is>
          <x:t xml:space="preserve">1642/532</x:t>
        </x:is>
      </x:c>
      <x:c r="AN3" s="118" t="inlineStr">
        <x:is>
          <x:t xml:space="preserve">1644/460</x:t>
        </x:is>
      </x:c>
      <x:c r="AO3" s="118" t="inlineStr">
        <x:is>
          <x:t xml:space="preserve">1688/374</x:t>
        </x:is>
      </x:c>
      <x:c r="AP3" s="107" t="inlineStr">
        <x:is>
          <x:t xml:space="preserve">1722/449</x:t>
        </x:is>
      </x:c>
      <x:c r="AQ3" s="107" t="inlineStr">
        <x:is>
          <x:t xml:space="preserve">1735/133</x:t>
        </x:is>
      </x:c>
      <x:c r="AR3" s="108" t="inlineStr">
        <x:is>
          <x:t xml:space="preserve">1764/344</x:t>
        </x:is>
      </x:c>
      <x:c r="AS3" s="107" t="inlineStr">
        <x:is>
          <x:t xml:space="preserve">1764/345</x:t>
        </x:is>
      </x:c>
      <x:c r="AT3" s="107" t="inlineStr">
        <x:is>
          <x:t xml:space="preserve">1937/418</x:t>
        </x:is>
      </x:c>
      <x:c r="AU3" s="96" t="inlineStr">
        <x:is>
          <x:t xml:space="preserve">1768/339</x:t>
        </x:is>
      </x:c>
      <x:c r="AV3" s="96" t="inlineStr">
        <x:is>
          <x:t xml:space="preserve">1775/296</x:t>
        </x:is>
      </x:c>
      <x:c r="AW3" s="96" t="inlineStr">
        <x:is>
          <x:t xml:space="preserve">1784/591</x:t>
        </x:is>
      </x:c>
      <x:c r="AX3" s="96" t="inlineStr">
        <x:is>
          <x:t xml:space="preserve">1797/463</x:t>
        </x:is>
      </x:c>
      <x:c r="AY3" s="96" t="inlineStr">
        <x:is>
          <x:t xml:space="preserve">1800/453</x:t>
        </x:is>
      </x:c>
      <x:c r="AZ3" s="96" t="inlineStr">
        <x:is>
          <x:t xml:space="preserve">1794/173</x:t>
        </x:is>
      </x:c>
      <x:c r="BA3" s="96" t="inlineStr">
        <x:is>
          <x:t xml:space="preserve">1819/156</x:t>
        </x:is>
      </x:c>
      <x:c r="BB3" s="96" t="inlineStr">
        <x:is>
          <x:t xml:space="preserve">1822/291</x:t>
        </x:is>
      </x:c>
      <x:c r="BC3" s="96" t="inlineStr">
        <x:is>
          <x:t xml:space="preserve">1872/277</x:t>
        </x:is>
      </x:c>
      <x:c r="BD3" s="96" t="inlineStr">
        <x:is>
          <x:t xml:space="preserve">1919/359</x:t>
        </x:is>
      </x:c>
      <x:c r="BE3" s="96" t="inlineStr">
        <x:is>
          <x:t xml:space="preserve">2104/537</x:t>
        </x:is>
      </x:c>
      <x:c r="BF3" s="96" t="inlineStr">
        <x:is>
          <x:t xml:space="preserve">2124/117</x:t>
        </x:is>
      </x:c>
      <x:c r="BG3" s="96" t="inlineStr">
        <x:is>
          <x:t xml:space="preserve">2177/33</x:t>
        </x:is>
      </x:c>
      <x:c r="BH3" s="96" t="inlineStr">
        <x:is>
          <x:t xml:space="preserve">2184/570</x:t>
        </x:is>
      </x:c>
      <x:c r="BI3" s="96" t="inlineStr">
        <x:is>
          <x:t xml:space="preserve">2224/382</x:t>
        </x:is>
      </x:c>
      <x:c r="BJ3" s="96" t="inlineStr">
        <x:is>
          <x:t xml:space="preserve">2220/118</x:t>
        </x:is>
      </x:c>
      <x:c r="BK3" s="96" t="inlineStr">
        <x:is>
          <x:t xml:space="preserve">2270/252</x:t>
        </x:is>
      </x:c>
      <x:c r="BL3" s="96" t="inlineStr">
        <x:is>
          <x:t xml:space="preserve">2700/395</x:t>
        </x:is>
      </x:c>
      <x:c r="BM3" s="96" t="inlineStr">
        <x:is>
          <x:t xml:space="preserve">2450/598</x:t>
        </x:is>
      </x:c>
      <x:c r="BN3" s="96" t="inlineStr">
        <x:is>
          <x:t xml:space="preserve">2617/228</x:t>
        </x:is>
      </x:c>
      <x:c r="BO3" s="96" t="inlineStr">
        <x:is>
          <x:t xml:space="preserve">2638/58</x:t>
        </x:is>
      </x:c>
      <x:c r="BP3" s="96" t="inlineStr">
        <x:is>
          <x:t xml:space="preserve">2682/183</x:t>
        </x:is>
      </x:c>
      <x:c r="BQ3" s="96" t="inlineStr">
        <x:is>
          <x:t xml:space="preserve">2688/409</x:t>
        </x:is>
      </x:c>
      <x:c r="BR3" s="96" t="inlineStr">
        <x:is>
          <x:t xml:space="preserve">981/2</x:t>
        </x:is>
      </x:c>
      <x:c r="BS3" s="96" t="inlineStr">
        <x:is>
          <x:t xml:space="preserve">D27/477</x:t>
        </x:is>
      </x:c>
      <x:c r="BT3" s="96" t="inlineStr">
        <x:is>
          <x:t xml:space="preserve">D38/162</x:t>
        </x:is>
      </x:c>
      <x:c r="BU3" s="96" t="inlineStr">
        <x:is>
          <x:t xml:space="preserve">D59/246</x:t>
        </x:is>
      </x:c>
      <x:c r="BV3" s="96" t="inlineStr">
        <x:is>
          <x:t xml:space="preserve">MIS21/471</x:t>
        </x:is>
      </x:c>
      <x:c r="BW3" s="96" t="inlineStr">
        <x:is>
          <x:t xml:space="preserve">2342/219</x:t>
        </x:is>
      </x:c>
      <x:c r="BX3" s="96" t="inlineStr">
        <x:is>
          <x:t xml:space="preserve">MIS86/33</x:t>
        </x:is>
      </x:c>
      <x:c r="BY3" s="96" t="inlineStr">
        <x:is>
          <x:t xml:space="preserve">PAT3/495</x:t>
        </x:is>
      </x:c>
      <x:c r="BZ3" s="96" t="inlineStr">
        <x:is>
          <x:t xml:space="preserve">PAT7/374</x:t>
        </x:is>
      </x:c>
      <x:c r="CA3" s="96" t="n"/>
      <x:c r="CB3" s="96" t="n"/>
      <x:c r="CC3" s="96" t="n"/>
      <x:c r="CD3" s="96" t="n"/>
      <x:c r="CE3" s="96" t="n"/>
      <x:c r="CF3" s="96" t="n"/>
      <x:c r="CG3" s="96" t="n"/>
      <x:c r="CH3" s="96" t="n"/>
      <x:c r="CI3" s="96" t="n"/>
      <x:c r="CJ3" s="96" t="n"/>
      <x:c r="CK3" s="96" t="n"/>
      <x:c r="CL3" s="96" t="n"/>
      <x:c r="CM3" s="96" t="n"/>
      <x:c r="CN3" s="96" t="n"/>
      <x:c r="CO3" s="96" t="n"/>
      <x:c r="CP3" s="96" t="n"/>
      <x:c r="CQ3" s="96" t="n"/>
      <x:c r="CR3" s="96" t="n"/>
      <x:c r="CS3" s="96" t="n"/>
      <x:c r="CT3" s="96" t="n"/>
      <x:c r="CU3" s="96" t="n"/>
      <x:c r="CV3" s="96" t="n"/>
      <x:c r="CW3" s="96" t="n"/>
      <x:c r="CX3" s="96" t="n"/>
      <x:c r="CY3" s="96" t="n"/>
      <x:c r="CZ3" s="96" t="n"/>
      <x:c r="DA3" s="96" t="n"/>
      <x:c r="DB3" s="96" t="n"/>
      <x:c r="DC3" s="96" t="n"/>
      <x:c r="DD3" s="96" t="n"/>
      <x:c r="DE3" s="96" t="n"/>
      <x:c r="DF3" s="96" t="n"/>
      <x:c r="DG3" s="96" t="n"/>
      <x:c r="DH3" s="96" t="n"/>
      <x:c r="DI3" s="96" t="n"/>
      <x:c r="DJ3" s="96" t="n"/>
      <x:c r="DK3" s="96" t="n"/>
      <x:c r="DL3" s="96" t="n"/>
      <x:c r="DM3" s="96" t="n"/>
      <x:c r="DN3" s="96" t="n"/>
      <x:c r="DO3" s="96" t="n"/>
      <x:c r="DP3" s="96" t="n"/>
      <x:c r="DQ3" s="96" t="n"/>
      <x:c r="DR3" s="96" t="n"/>
      <x:c r="DS3" s="96" t="n"/>
      <x:c r="DT3" s="96" t="n"/>
      <x:c r="DU3" s="96" t="n"/>
      <x:c r="DV3" s="96" t="n"/>
      <x:c r="DW3" s="96" t="n"/>
      <x:c r="DX3" s="96" t="n"/>
      <x:c r="DY3" s="96" t="n"/>
      <x:c r="DZ3" s="96" t="n"/>
      <x:c r="EA3" s="96" t="n"/>
      <x:c r="EB3" s="96" t="n"/>
      <x:c r="EC3" s="96" t="n"/>
      <x:c r="ED3" s="96" t="n"/>
      <x:c r="EE3" s="96" t="n"/>
      <x:c r="EF3" s="96" t="n"/>
      <x:c r="EG3" s="96" t="n"/>
      <x:c r="EH3" s="96" t="n"/>
      <x:c r="EI3" s="96" t="n"/>
      <x:c r="EJ3" s="96" t="n"/>
      <x:c r="EK3" s="96" t="n"/>
      <x:c r="EL3" s="96" t="n"/>
      <x:c r="EM3" s="96" t="n"/>
      <x:c r="EN3" s="96" t="n"/>
      <x:c r="EO3" s="96" t="n"/>
      <x:c r="EP3" s="96" t="n"/>
      <x:c r="EQ3" s="96" t="n"/>
      <x:c r="ER3" s="96" t="n"/>
      <x:c r="ES3" s="96" t="n"/>
      <x:c r="ET3" s="96" t="n"/>
      <x:c r="EU3" s="96" t="n"/>
      <x:c r="EV3" s="96" t="n"/>
      <x:c r="EW3" s="96" t="n"/>
      <x:c r="EX3" s="96" t="n"/>
      <x:c r="EY3" s="96" t="n"/>
      <x:c r="EZ3" s="96" t="n"/>
      <x:c r="FA3" s="96" t="n"/>
      <x:c r="FB3" s="96" t="n"/>
      <x:c r="FC3" s="96" t="n"/>
      <x:c r="FD3" s="96" t="n"/>
      <x:c r="FE3" s="96" t="n"/>
      <x:c r="FF3" s="96" t="n"/>
      <x:c r="FG3" s="96" t="n"/>
      <x:c r="FH3" s="96" t="n"/>
      <x:c r="FI3" s="96" t="n"/>
      <x:c r="FJ3" s="96" t="n"/>
      <x:c r="FK3" s="96" t="n"/>
      <x:c r="FL3" s="96" t="n"/>
      <x:c r="FM3" s="96" t="n"/>
      <x:c r="FN3" s="96" t="n"/>
      <x:c r="FO3" s="96" t="n"/>
      <x:c r="FP3" s="96" t="n"/>
      <x:c r="FQ3" s="96" t="n"/>
      <x:c r="FR3" s="96" t="n"/>
      <x:c r="FS3" s="96" t="n"/>
      <x:c r="FT3" s="96" t="n"/>
      <x:c r="FU3" s="96" t="n"/>
      <x:c r="FV3" s="96" t="n"/>
      <x:c r="FW3" s="96" t="n"/>
      <x:c r="FX3" s="96" t="n"/>
      <x:c r="FY3" s="59" t="n"/>
      <x:c r="FZ3" s="59" t="n"/>
      <x:c r="GA3" s="59" t="n"/>
    </x:row>
    <x:row r="4" s="62" customFormat="1" ht="12.75" customHeight="1">
      <x:c r="A4" s="619" t="n"/>
      <x:c r="B4" s="623" t="n"/>
      <x:c r="C4" s="593" t="n"/>
      <x:c r="D4" s="644" t="n"/>
      <x:c r="E4" s="491" t="inlineStr">
        <x:is>
          <x:t xml:space="preserve">Date </x:t>
        </x:is>
      </x:c>
      <x:c r="F4" s="618" t="n"/>
      <x:c r="G4" s="60" t="n"/>
      <x:c r="H4" s="5" t="n">
        <x:v>2169</x:v>
      </x:c>
      <x:c r="I4" s="5" t="n">
        <x:v>2917</x:v>
      </x:c>
      <x:c r="J4" s="5" t="n">
        <x:v>2062</x:v>
      </x:c>
      <x:c r="K4" s="5" t="n">
        <x:v>9137</x:v>
      </x:c>
      <x:c r="L4" s="5" t="n">
        <x:v>18056</x:v>
      </x:c>
      <x:c r="M4" s="5" t="n">
        <x:v>19396</x:v>
      </x:c>
      <x:c r="N4" s="5" t="n">
        <x:v>22906</x:v>
      </x:c>
      <x:c r="O4" s="5" t="n">
        <x:v>22906</x:v>
      </x:c>
      <x:c r="P4" s="5" t="n">
        <x:v>22938</x:v>
      </x:c>
      <x:c r="Q4" s="5" t="n">
        <x:v>22938</x:v>
      </x:c>
      <x:c r="R4" s="5" t="n">
        <x:v>28005</x:v>
      </x:c>
      <x:c r="S4" s="5" t="n">
        <x:v>28445</x:v>
      </x:c>
      <x:c r="T4" s="5" t="n">
        <x:v>28961</x:v>
      </x:c>
      <x:c r="U4" s="5" t="n">
        <x:v>30124</x:v>
      </x:c>
      <x:c r="V4" s="5" t="n">
        <x:v>31279</x:v>
      </x:c>
      <x:c r="W4" s="5" t="n">
        <x:v>31330</x:v>
      </x:c>
      <x:c r="X4" s="5" t="n">
        <x:v>32350</x:v>
      </x:c>
      <x:c r="Y4" s="5" t="n">
        <x:v>32566</x:v>
      </x:c>
      <x:c r="Z4" s="5" t="n">
        <x:v>32579</x:v>
      </x:c>
      <x:c r="AA4" s="5" t="n">
        <x:v>32969</x:v>
      </x:c>
      <x:c r="AB4" s="120" t="n">
        <x:v>33000</x:v>
      </x:c>
      <x:c r="AC4" s="120" t="n">
        <x:v>33073</x:v>
      </x:c>
      <x:c r="AD4" s="5" t="n">
        <x:v>33456</x:v>
      </x:c>
      <x:c r="AE4" s="5" t="n">
        <x:v>33857</x:v>
      </x:c>
      <x:c r="AF4" s="5" t="n">
        <x:v>34032</x:v>
      </x:c>
      <x:c r="AG4" s="5" t="n">
        <x:v>34452</x:v>
      </x:c>
      <x:c r="AH4" s="5" t="n">
        <x:v>34778</x:v>
      </x:c>
      <x:c r="AI4" s="5" t="n">
        <x:v>34950</x:v>
      </x:c>
      <x:c r="AJ4" s="5" t="n">
        <x:v>35479</x:v>
      </x:c>
      <x:c r="AK4" s="5" t="n">
        <x:v>36511</x:v>
      </x:c>
      <x:c r="AL4" s="120" t="n">
        <x:v>29126</x:v>
      </x:c>
      <x:c r="AM4" s="5" t="n">
        <x:v>37022</x:v>
      </x:c>
      <x:c r="AN4" s="120" t="n">
        <x:v>37034</x:v>
      </x:c>
      <x:c r="AO4" s="120" t="n">
        <x:v>37482</x:v>
      </x:c>
      <x:c r="AP4" s="108" t="n">
        <x:v>37866</x:v>
      </x:c>
      <x:c r="AQ4" s="108" t="n">
        <x:v>37959</x:v>
      </x:c>
      <x:c r="AR4" s="108" t="n">
        <x:v>38260</x:v>
      </x:c>
      <x:c r="AS4" s="108" t="n">
        <x:v>38267</x:v>
      </x:c>
      <x:c r="AT4" s="108" t="n">
        <x:v>38286</x:v>
      </x:c>
      <x:c r="AU4" s="97" t="n">
        <x:v>38292</x:v>
      </x:c>
      <x:c r="AV4" s="97" t="n">
        <x:v>38338</x:v>
      </x:c>
      <x:c r="AW4" s="97" t="n">
        <x:v>38455</x:v>
      </x:c>
      <x:c r="AX4" s="97" t="n">
        <x:v>38473</x:v>
      </x:c>
      <x:c r="AY4" s="97" t="n">
        <x:v>38473</x:v>
      </x:c>
      <x:c r="AZ4" s="97" t="n">
        <x:v>38516</x:v>
      </x:c>
      <x:c r="BA4" s="97" t="n">
        <x:v>38694</x:v>
      </x:c>
      <x:c r="BB4" s="97" t="n">
        <x:v>38733</x:v>
      </x:c>
      <x:c r="BC4" s="97" t="n">
        <x:v>39162</x:v>
      </x:c>
      <x:c r="BD4" s="97" t="n">
        <x:v>39645</x:v>
      </x:c>
      <x:c r="BE4" s="97" t="n">
        <x:v>40855</x:v>
      </x:c>
      <x:c r="BF4" s="97" t="n">
        <x:v>40988</x:v>
      </x:c>
      <x:c r="BG4" s="97" t="n">
        <x:v>41290</x:v>
      </x:c>
      <x:c r="BH4" s="97" t="n">
        <x:v>41368</x:v>
      </x:c>
      <x:c r="BI4" s="97" t="n">
        <x:v>41486</x:v>
      </x:c>
      <x:c r="BJ4" s="97" t="n">
        <x:v>41505</x:v>
      </x:c>
      <x:c r="BK4" s="97" t="n">
        <x:v>41851</x:v>
      </x:c>
      <x:c r="BL4" s="97" t="n">
        <x:v>43500</x:v>
      </x:c>
      <x:c r="BM4" s="97" t="n">
        <x:v>44071</x:v>
      </x:c>
      <x:c r="BN4" s="97" t="n">
        <x:v>45726</x:v>
      </x:c>
      <x:c r="BO4" s="97" t="n">
        <x:v>45726</x:v>
      </x:c>
      <x:c r="BP4" s="97" t="n">
        <x:v>45971</x:v>
      </x:c>
      <x:c r="BQ4" s="97" t="n">
        <x:v>46084</x:v>
      </x:c>
      <x:c r="BR4" s="97" t="n">
        <x:v>32216</x:v>
      </x:c>
      <x:c r="BS4" s="97" t="n">
        <x:v>6568</x:v>
      </x:c>
      <x:c r="BT4" s="97" t="n">
        <x:v>10069</x:v>
      </x:c>
      <x:c r="BU4" s="97" t="n">
        <x:v>18015</x:v>
      </x:c>
      <x:c r="BV4" s="97" t="n">
        <x:v>15490</x:v>
      </x:c>
      <x:c r="BW4" s="97" t="n">
        <x:v>42370</x:v>
      </x:c>
      <x:c r="BX4" s="97" t="n">
        <x:v>24709</x:v>
      </x:c>
      <x:c r="BY4" s="97" t="n">
        <x:v>2169</x:v>
      </x:c>
      <x:c r="BZ4" s="97" t="n">
        <x:v>2917</x:v>
      </x:c>
      <x:c r="CA4" s="97" t="n"/>
      <x:c r="CB4" s="97" t="n"/>
      <x:c r="CC4" s="97" t="n"/>
      <x:c r="CD4" s="97" t="n"/>
      <x:c r="CE4" s="97" t="n"/>
      <x:c r="CF4" s="97" t="n"/>
      <x:c r="CG4" s="97" t="n"/>
      <x:c r="CH4" s="97" t="n"/>
      <x:c r="CI4" s="97" t="n"/>
      <x:c r="CJ4" s="97" t="n"/>
      <x:c r="CK4" s="97" t="n"/>
      <x:c r="CL4" s="97" t="n"/>
      <x:c r="CM4" s="97" t="n"/>
      <x:c r="CN4" s="97" t="n"/>
      <x:c r="CO4" s="97" t="n"/>
      <x:c r="CP4" s="97" t="n"/>
      <x:c r="CQ4" s="97" t="n"/>
      <x:c r="CR4" s="97" t="n"/>
      <x:c r="CS4" s="97" t="n"/>
      <x:c r="CT4" s="97" t="n"/>
      <x:c r="CU4" s="97" t="n"/>
      <x:c r="CV4" s="97" t="n"/>
      <x:c r="CW4" s="97" t="n"/>
      <x:c r="CX4" s="97" t="n"/>
      <x:c r="CY4" s="97" t="n"/>
      <x:c r="CZ4" s="97" t="n"/>
      <x:c r="DA4" s="97" t="n"/>
      <x:c r="DB4" s="97" t="n"/>
      <x:c r="DC4" s="97" t="n"/>
      <x:c r="DD4" s="97" t="n"/>
      <x:c r="DE4" s="97" t="n"/>
      <x:c r="DF4" s="97" t="n"/>
      <x:c r="DG4" s="97" t="n"/>
      <x:c r="DH4" s="97" t="n"/>
      <x:c r="DI4" s="97" t="n"/>
      <x:c r="DJ4" s="97" t="n"/>
      <x:c r="DK4" s="97" t="n"/>
      <x:c r="DL4" s="97" t="n"/>
      <x:c r="DM4" s="97" t="n"/>
      <x:c r="DN4" s="97" t="n"/>
      <x:c r="DO4" s="97" t="n"/>
      <x:c r="DP4" s="97" t="n"/>
      <x:c r="DQ4" s="97" t="n"/>
      <x:c r="DR4" s="97" t="n"/>
      <x:c r="DS4" s="97" t="n"/>
      <x:c r="DT4" s="97" t="n"/>
      <x:c r="DU4" s="97" t="n"/>
      <x:c r="DV4" s="97" t="n"/>
      <x:c r="DW4" s="97" t="n"/>
      <x:c r="DX4" s="97" t="n"/>
      <x:c r="DY4" s="97" t="n"/>
      <x:c r="DZ4" s="97" t="n"/>
      <x:c r="EA4" s="97" t="n"/>
      <x:c r="EB4" s="97" t="n"/>
      <x:c r="EC4" s="97" t="n"/>
      <x:c r="ED4" s="97" t="n"/>
      <x:c r="EE4" s="97" t="n"/>
      <x:c r="EF4" s="97" t="n"/>
      <x:c r="EG4" s="97" t="n"/>
      <x:c r="EH4" s="97" t="n"/>
      <x:c r="EI4" s="97" t="n"/>
      <x:c r="EJ4" s="97" t="n"/>
      <x:c r="EK4" s="97" t="n"/>
      <x:c r="EL4" s="97" t="n"/>
      <x:c r="EM4" s="97" t="n"/>
      <x:c r="EN4" s="97" t="n"/>
      <x:c r="EO4" s="97" t="n"/>
      <x:c r="EP4" s="97" t="n"/>
      <x:c r="EQ4" s="97" t="n"/>
      <x:c r="ER4" s="97" t="n"/>
      <x:c r="ES4" s="97" t="n"/>
      <x:c r="ET4" s="97" t="n"/>
      <x:c r="EU4" s="97" t="n"/>
      <x:c r="EV4" s="97" t="n"/>
      <x:c r="EW4" s="97" t="n"/>
      <x:c r="EX4" s="97" t="n"/>
      <x:c r="EY4" s="97" t="n"/>
      <x:c r="EZ4" s="97" t="n"/>
      <x:c r="FA4" s="97" t="n"/>
      <x:c r="FB4" s="97" t="n"/>
      <x:c r="FC4" s="97" t="n"/>
      <x:c r="FD4" s="97" t="n"/>
      <x:c r="FE4" s="97" t="n"/>
      <x:c r="FF4" s="97" t="n"/>
      <x:c r="FG4" s="97" t="n"/>
      <x:c r="FH4" s="97" t="n"/>
      <x:c r="FI4" s="97" t="n"/>
      <x:c r="FJ4" s="97" t="n"/>
      <x:c r="FK4" s="97" t="n"/>
      <x:c r="FL4" s="97" t="n"/>
      <x:c r="FM4" s="97" t="n"/>
      <x:c r="FN4" s="97" t="n"/>
      <x:c r="FO4" s="97" t="n"/>
      <x:c r="FP4" s="97" t="n"/>
      <x:c r="FQ4" s="97" t="n"/>
      <x:c r="FR4" s="97" t="n"/>
      <x:c r="FS4" s="97" t="n"/>
      <x:c r="FT4" s="97" t="n"/>
      <x:c r="FU4" s="97" t="n"/>
      <x:c r="FV4" s="97" t="n"/>
      <x:c r="FW4" s="97" t="n"/>
      <x:c r="FX4" s="97" t="n"/>
      <x:c r="FY4" s="58" t="n"/>
      <x:c r="FZ4" s="58" t="n"/>
      <x:c r="GA4" s="58" t="n"/>
    </x:row>
    <x:row r="5" s="57" customFormat="1" ht="27.75" customHeight="1">
      <x:c r="A5" s="619" t="n"/>
      <x:c r="B5" s="625" t="inlineStr">
        <x:is>
          <x:t xml:space="preserve">TRACT ACRES</x:t>
        </x:is>
      </x:c>
      <x:c r="C5" s="626" t="n"/>
      <x:c r="D5" s="65" t="n">
        <x:v>38.28</x:v>
      </x:c>
      <x:c r="E5" s="627" t="inlineStr">
        <x:is>
          <x:t xml:space="preserve">Conveyance </x:t>
        </x:is>
      </x:c>
      <x:c r="F5" s="628" t="n"/>
      <x:c r="G5" s="60" t="n"/>
      <x:c r="H5" s="118" t="inlineStr">
        <x:is>
          <x:t xml:space="preserve">ARTI</x:t>
        </x:is>
      </x:c>
      <x:c r="I5" s="118" t="inlineStr">
        <x:is>
          <x:t xml:space="preserve">ARTI</x:t>
        </x:is>
      </x:c>
      <x:c r="J5" s="118" t="inlineStr">
        <x:is>
          <x:t xml:space="preserve">ARTI</x:t>
        </x:is>
      </x:c>
      <x:c r="K5" s="118" t="inlineStr">
        <x:is>
          <x:t xml:space="preserve">ARTI</x:t>
        </x:is>
      </x:c>
      <x:c r="L5" s="118" t="inlineStr">
        <x:is>
          <x:t xml:space="preserve">ARTI</x:t>
        </x:is>
      </x:c>
      <x:c r="M5" s="118" t="inlineStr">
        <x:is>
          <x:t xml:space="preserve">ARTI</x:t>
        </x:is>
      </x:c>
      <x:c r="N5" s="118" t="inlineStr">
        <x:is>
          <x:t xml:space="preserve">286.110629 NMA</x:t>
        </x:is>
      </x:c>
      <x:c r="O5" s="118" t="inlineStr">
        <x:is>
          <x:t xml:space="preserve">209.814462 NMA</x:t>
        </x:is>
      </x:c>
      <x:c r="P5" s="118" t="inlineStr">
        <x:is>
          <x:t xml:space="preserve">38.148084 NMA</x:t>
        </x:is>
      </x:c>
      <x:c r="Q5" s="118" t="inlineStr">
        <x:is>
          <x:t xml:space="preserve">38.148084 NMA</x:t>
        </x:is>
      </x:c>
      <x:c r="R5" s="118" t="inlineStr">
        <x:is>
          <x:t xml:space="preserve">ARTI</x:t>
        </x:is>
      </x:c>
      <x:c r="S5" s="118" t="inlineStr">
        <x:is>
          <x:t xml:space="preserve">ARTI</x:t>
        </x:is>
      </x:c>
      <x:c r="T5" s="118" t="inlineStr">
        <x:is>
          <x:t xml:space="preserve">ARTI</x:t>
        </x:is>
      </x:c>
      <x:c r="U5" s="118" t="inlineStr">
        <x:is>
          <x:t xml:space="preserve">Interest not stated — confirm from image.</x:t>
        </x:is>
      </x:c>
      <x:c r="V5" s="118" t="inlineStr">
        <x:is>
          <x:t xml:space="preserve">ARTI</x:t>
        </x:is>
      </x:c>
      <x:c r="W5" s="118" t="inlineStr">
        <x:is>
          <x:t xml:space="preserve">ARTI</x:t>
        </x:is>
      </x:c>
      <x:c r="X5" s="118" t="inlineStr">
        <x:is>
          <x:t xml:space="preserve">ARTI</x:t>
        </x:is>
      </x:c>
      <x:c r="Y5" s="118" t="inlineStr">
        <x:is>
          <x:t xml:space="preserve">0.9722 NMA</x:t>
        </x:is>
      </x:c>
      <x:c r="Z5" s="118" t="inlineStr">
        <x:is>
          <x:t xml:space="preserve">ARTI</x:t>
        </x:is>
      </x:c>
      <x:c r="AA5" s="118" t="inlineStr">
        <x:is>
          <x:t xml:space="preserve">17.5 NMA</x:t>
        </x:is>
      </x:c>
      <x:c r="AB5" s="118" t="inlineStr">
        <x:is>
          <x:t xml:space="preserve">1/3</x:t>
        </x:is>
      </x:c>
      <x:c r="AC5" s="118" t="inlineStr">
        <x:is>
          <x:t xml:space="preserve">ARTI</x:t>
        </x:is>
      </x:c>
      <x:c r="AD5" s="118" t="inlineStr">
        <x:is>
          <x:t xml:space="preserve">17.5 NMA</x:t>
        </x:is>
      </x:c>
      <x:c r="AE5" s="118" t="inlineStr">
        <x:is>
          <x:t xml:space="preserve">Interest not stated — confirm from image.</x:t>
        </x:is>
      </x:c>
      <x:c r="AF5" s="118" t="inlineStr">
        <x:is>
          <x:t xml:space="preserve">Interest not stated — confirm from image.</x:t>
        </x:is>
      </x:c>
      <x:c r="AG5" s="118" t="inlineStr">
        <x:is>
          <x:t xml:space="preserve">ARTI</x:t>
        </x:is>
      </x:c>
      <x:c r="AH5" s="118" t="inlineStr">
        <x:is>
          <x:t xml:space="preserve">ARTI</x:t>
        </x:is>
      </x:c>
      <x:c r="AI5" s="118" t="inlineStr">
        <x:is>
          <x:t xml:space="preserve">ARTI</x:t>
        </x:is>
      </x:c>
      <x:c r="AJ5" s="118" t="inlineStr">
        <x:is>
          <x:t xml:space="preserve">ARTI</x:t>
        </x:is>
      </x:c>
      <x:c r="AK5" s="118" t="inlineStr">
        <x:is>
          <x:t xml:space="preserve">ARTI</x:t>
        </x:is>
      </x:c>
      <x:c r="AL5" s="118" t="inlineStr">
        <x:is>
          <x:t xml:space="preserve">ARTI</x:t>
        </x:is>
      </x:c>
      <x:c r="AM5" s="118" t="inlineStr">
        <x:is>
          <x:t xml:space="preserve">ARTI</x:t>
        </x:is>
      </x:c>
      <x:c r="AN5" s="118" t="inlineStr">
        <x:is>
          <x:t xml:space="preserve">ARTI</x:t>
        </x:is>
      </x:c>
      <x:c r="AO5" s="118" t="inlineStr">
        <x:is>
          <x:t xml:space="preserve">ARTI</x:t>
        </x:is>
      </x:c>
      <x:c r="AP5" s="96" t="inlineStr">
        <x:is>
          <x:t xml:space="preserve">ARTI</x:t>
        </x:is>
      </x:c>
      <x:c r="AQ5" s="96" t="inlineStr">
        <x:is>
          <x:t xml:space="preserve">ARTI</x:t>
        </x:is>
      </x:c>
      <x:c r="AR5" s="96" t="inlineStr">
        <x:is>
          <x:t xml:space="preserve">Interest not stated — confirm from image.</x:t>
        </x:is>
      </x:c>
      <x:c r="AS5" s="96" t="inlineStr">
        <x:is>
          <x:t xml:space="preserve">Interest not stated — confirm from image.</x:t>
        </x:is>
      </x:c>
      <x:c r="AT5" s="96" t="inlineStr">
        <x:is>
          <x:t xml:space="preserve">Interest not stated — confirm from image.</x:t>
        </x:is>
      </x:c>
      <x:c r="AU5" s="96" t="inlineStr">
        <x:is>
          <x:t xml:space="preserve">ARTI</x:t>
        </x:is>
      </x:c>
      <x:c r="AV5" s="96" t="inlineStr">
        <x:is>
          <x:t xml:space="preserve">ARTI</x:t>
        </x:is>
      </x:c>
      <x:c r="AW5" s="96" t="inlineStr">
        <x:is>
          <x:t xml:space="preserve">ARTI</x:t>
        </x:is>
      </x:c>
      <x:c r="AX5" s="96" t="inlineStr">
        <x:is>
          <x:t xml:space="preserve">Interest not stated — confirm from image.</x:t>
        </x:is>
      </x:c>
      <x:c r="AY5" s="96" t="inlineStr">
        <x:is>
          <x:t xml:space="preserve">Interest not stated — confirm from image.</x:t>
        </x:is>
      </x:c>
      <x:c r="AZ5" s="96" t="inlineStr">
        <x:is>
          <x:t xml:space="preserve">ARTI</x:t>
        </x:is>
      </x:c>
      <x:c r="BA5" s="96" t="inlineStr">
        <x:is>
          <x:t xml:space="preserve">Interest not stated — confirm from image.</x:t>
        </x:is>
      </x:c>
      <x:c r="BB5" s="96" t="inlineStr">
        <x:is>
          <x:t xml:space="preserve">Interest not stated — confirm from image.</x:t>
        </x:is>
      </x:c>
      <x:c r="BC5" s="96" t="inlineStr">
        <x:is>
          <x:t xml:space="preserve">ARTI</x:t>
        </x:is>
      </x:c>
      <x:c r="BD5" s="96" t="inlineStr">
        <x:is>
          <x:t xml:space="preserve">ARTI</x:t>
        </x:is>
      </x:c>
      <x:c r="BE5" s="96" t="inlineStr">
        <x:is>
          <x:t xml:space="preserve">1758.332 NMA</x:t>
        </x:is>
      </x:c>
      <x:c r="BF5" s="96" t="inlineStr">
        <x:is>
          <x:t xml:space="preserve">ARTI</x:t>
        </x:is>
      </x:c>
      <x:c r="BG5" s="96" t="inlineStr">
        <x:is>
          <x:t xml:space="preserve">ARTI</x:t>
        </x:is>
      </x:c>
      <x:c r="BH5" s="96" t="inlineStr">
        <x:is>
          <x:t xml:space="preserve">Interest not stated — confirm from image.</x:t>
        </x:is>
      </x:c>
      <x:c r="BI5" s="96" t="inlineStr">
        <x:is>
          <x:t xml:space="preserve">Interest not stated — confirm from image.</x:t>
        </x:is>
      </x:c>
      <x:c r="BJ5" s="96" t="inlineStr">
        <x:is>
          <x:t xml:space="preserve">60 NMA</x:t>
        </x:is>
      </x:c>
      <x:c r="BK5" s="96" t="inlineStr">
        <x:is>
          <x:t xml:space="preserve">ARTI</x:t>
        </x:is>
      </x:c>
      <x:c r="BL5" s="96" t="inlineStr">
        <x:is>
          <x:t xml:space="preserve">ARTI</x:t>
        </x:is>
      </x:c>
      <x:c r="BM5" s="96" t="inlineStr">
        <x:is>
          <x:t xml:space="preserve">ARTI</x:t>
        </x:is>
      </x:c>
      <x:c r="BN5" s="96" t="inlineStr">
        <x:is>
          <x:t xml:space="preserve">ARTI</x:t>
        </x:is>
      </x:c>
      <x:c r="BO5" s="96" t="inlineStr">
        <x:is>
          <x:t xml:space="preserve">Interest not stated — confirm from image.</x:t>
        </x:is>
      </x:c>
      <x:c r="BP5" s="96" t="inlineStr">
        <x:is>
          <x:t xml:space="preserve">ARTI</x:t>
        </x:is>
      </x:c>
      <x:c r="BQ5" s="96" t="inlineStr">
        <x:is>
          <x:t xml:space="preserve">ARTI</x:t>
        </x:is>
      </x:c>
      <x:c r="BR5" s="96" t="inlineStr">
        <x:is>
          <x:t xml:space="preserve">25 NMA</x:t>
        </x:is>
      </x:c>
      <x:c r="BS5" s="96" t="inlineStr">
        <x:is>
          <x:t xml:space="preserve">ARTI</x:t>
        </x:is>
      </x:c>
      <x:c r="BT5" s="96" t="inlineStr">
        <x:is>
          <x:t xml:space="preserve">60 NMA</x:t>
        </x:is>
      </x:c>
      <x:c r="BU5" s="96" t="inlineStr">
        <x:is>
          <x:t xml:space="preserve">ARTI</x:t>
        </x:is>
      </x:c>
      <x:c r="BV5" s="96" t="inlineStr">
        <x:is>
          <x:t xml:space="preserve">ARTI</x:t>
        </x:is>
      </x:c>
      <x:c r="BW5" s="96" t="inlineStr">
        <x:is>
          <x:t xml:space="preserve">ARTI</x:t>
        </x:is>
      </x:c>
      <x:c r="BX5" s="96" t="inlineStr">
        <x:is>
          <x:t xml:space="preserve">ARTI</x:t>
        </x:is>
      </x:c>
      <x:c r="BY5" s="96" t="inlineStr">
        <x:is>
          <x:t xml:space="preserve">ARTI</x:t>
        </x:is>
      </x:c>
      <x:c r="BZ5" s="96" t="inlineStr">
        <x:is>
          <x:t xml:space="preserve">ARTI</x:t>
        </x:is>
      </x:c>
      <x:c r="CA5" s="96" t="n"/>
      <x:c r="CB5" s="96" t="n"/>
      <x:c r="CC5" s="96" t="n"/>
      <x:c r="CD5" s="96" t="n"/>
      <x:c r="CE5" s="96" t="n"/>
      <x:c r="CF5" s="96" t="n"/>
      <x:c r="CG5" s="96" t="n"/>
      <x:c r="CH5" s="96" t="n"/>
      <x:c r="CI5" s="96" t="n"/>
      <x:c r="CJ5" s="96" t="n"/>
      <x:c r="CK5" s="96" t="n"/>
      <x:c r="CL5" s="96" t="n"/>
      <x:c r="CM5" s="96" t="n"/>
      <x:c r="CN5" s="96" t="n"/>
      <x:c r="CO5" s="96" t="n"/>
      <x:c r="CP5" s="96" t="n"/>
      <x:c r="CQ5" s="96" t="n"/>
      <x:c r="CR5" s="96" t="n"/>
      <x:c r="CS5" s="96" t="n"/>
      <x:c r="CT5" s="96" t="n"/>
      <x:c r="CU5" s="96" t="n"/>
      <x:c r="CV5" s="96" t="n"/>
      <x:c r="CW5" s="96" t="n"/>
      <x:c r="CX5" s="96" t="n"/>
      <x:c r="CY5" s="96" t="n"/>
      <x:c r="CZ5" s="96" t="n"/>
      <x:c r="DA5" s="96" t="n"/>
      <x:c r="DB5" s="96" t="n"/>
      <x:c r="DC5" s="96" t="n"/>
      <x:c r="DD5" s="96" t="n"/>
      <x:c r="DE5" s="96" t="n"/>
      <x:c r="DF5" s="96" t="n"/>
      <x:c r="DG5" s="96" t="n"/>
      <x:c r="DH5" s="96" t="n"/>
      <x:c r="DI5" s="96" t="n"/>
      <x:c r="DJ5" s="96" t="n"/>
      <x:c r="DK5" s="96" t="n"/>
      <x:c r="DL5" s="96" t="n"/>
      <x:c r="DM5" s="96" t="n"/>
      <x:c r="DN5" s="96" t="n"/>
      <x:c r="DO5" s="96" t="n"/>
      <x:c r="DP5" s="96" t="n"/>
      <x:c r="DQ5" s="96" t="n"/>
      <x:c r="DR5" s="96" t="n"/>
      <x:c r="DS5" s="96" t="n"/>
      <x:c r="DT5" s="96" t="n"/>
      <x:c r="DU5" s="96" t="n"/>
      <x:c r="DV5" s="96" t="n"/>
      <x:c r="DW5" s="96" t="n"/>
      <x:c r="DX5" s="96" t="n"/>
      <x:c r="DY5" s="96" t="n"/>
      <x:c r="DZ5" s="96" t="n"/>
      <x:c r="EA5" s="96" t="n"/>
      <x:c r="EB5" s="96" t="n"/>
      <x:c r="EC5" s="96" t="n"/>
      <x:c r="ED5" s="96" t="n"/>
      <x:c r="EE5" s="96" t="n"/>
      <x:c r="EF5" s="96" t="n"/>
      <x:c r="EG5" s="96" t="n"/>
      <x:c r="EH5" s="96" t="n"/>
      <x:c r="EI5" s="96" t="n"/>
      <x:c r="EJ5" s="96" t="n"/>
      <x:c r="EK5" s="96" t="n"/>
      <x:c r="EL5" s="96" t="n"/>
      <x:c r="EM5" s="96" t="n"/>
      <x:c r="EN5" s="96" t="n"/>
      <x:c r="EO5" s="96" t="n"/>
      <x:c r="EP5" s="96" t="n"/>
      <x:c r="EQ5" s="96" t="n"/>
      <x:c r="ER5" s="96" t="n"/>
      <x:c r="ES5" s="96" t="n"/>
      <x:c r="ET5" s="96" t="n"/>
      <x:c r="EU5" s="96" t="n"/>
      <x:c r="EV5" s="96" t="n"/>
      <x:c r="EW5" s="96" t="n"/>
      <x:c r="EX5" s="96" t="n"/>
      <x:c r="EY5" s="96" t="n"/>
      <x:c r="EZ5" s="96" t="n"/>
      <x:c r="FA5" s="96" t="n"/>
      <x:c r="FB5" s="96" t="n"/>
      <x:c r="FC5" s="96" t="n"/>
      <x:c r="FD5" s="96" t="n"/>
      <x:c r="FE5" s="96" t="n"/>
      <x:c r="FF5" s="96" t="n"/>
      <x:c r="FG5" s="96" t="n"/>
      <x:c r="FH5" s="96" t="n"/>
      <x:c r="FI5" s="96" t="n"/>
      <x:c r="FJ5" s="96" t="n"/>
      <x:c r="FK5" s="96" t="n"/>
      <x:c r="FL5" s="96" t="n"/>
      <x:c r="FM5" s="96" t="n"/>
      <x:c r="FN5" s="96" t="n"/>
      <x:c r="FO5" s="96" t="n"/>
      <x:c r="FP5" s="96" t="n"/>
      <x:c r="FQ5" s="96" t="n"/>
      <x:c r="FR5" s="96" t="n"/>
      <x:c r="FS5" s="96" t="n"/>
      <x:c r="FT5" s="96" t="n"/>
      <x:c r="FU5" s="96" t="n"/>
      <x:c r="FV5" s="96" t="n"/>
      <x:c r="FW5" s="96" t="n"/>
      <x:c r="FX5" s="96" t="n"/>
      <x:c r="FY5" s="59" t="n"/>
      <x:c r="FZ5" s="59" t="n"/>
      <x:c r="GA5" s="59" t="n"/>
    </x:row>
    <x:row r="6" s="55" customFormat="1" ht="14.25" customHeight="1">
      <x:c r="A6" s="629" t="n"/>
      <x:c r="B6" s="630" t="inlineStr">
        <x:is>
          <x:t xml:space="preserve">BASE OGL</x:t>
        </x:is>
      </x:c>
      <x:c r="C6" s="631" t="n">
        <x:v>38.28</x:v>
      </x:c>
      <x:c r="D6" s="632" t="inlineStr">
        <x:is>
          <x:t xml:space="preserve">Tract 5</x:t>
        </x:is>
      </x:c>
      <x:c r="E6" s="631" t="n">
        <x:f>SUBTOTAL(9,E9:E203)</x:f>
        <x:v>0.9999999999999956</x:v>
      </x:c>
      <x:c r="F6" s="633" t="inlineStr">
        <x:is>
          <x:t xml:space="preserve">SURFACE</x:t>
        </x:is>
      </x:c>
      <x:c r="G6" s="64" t="n"/>
      <x:c r="H6" s="64" t="str">
        <x:f>IF(H7=0,"","RECHECK")</x:f>
      </x:c>
      <x:c r="I6" s="64" t="n"/>
      <x:c r="J6" s="64" t="n"/>
      <x:c r="K6" s="64" t="str">
        <x:f>IF(K7=0,"","RECHECK")</x:f>
      </x:c>
      <x:c r="L6" s="64" t="n"/>
      <x:c r="M6" s="64" t="str">
        <x:f>IF(M7=0,"","RECHECK")</x:f>
      </x:c>
      <x:c r="N6" s="64" t="str">
        <x:f>IF(N7=0,"","RECHECK")</x:f>
      </x:c>
      <x:c r="O6" s="64" t="str">
        <x:f>IF(O7=0,"","RECHECK")</x:f>
      </x:c>
      <x:c r="P6" s="64" t="str">
        <x:f>IF(P7=0,"","RECHECK")</x:f>
      </x:c>
      <x:c r="Q6" s="64" t="n"/>
      <x:c r="R6" s="98" t="str">
        <x:f>IF(R7=0,"","RECHECK")</x:f>
      </x:c>
      <x:c r="S6" s="98" t="n"/>
      <x:c r="T6" s="64" t="str">
        <x:f>IF(T7=0,"","RECHECK")</x:f>
      </x:c>
      <x:c r="U6" s="64" t="str">
        <x:f>IF(U7=0,"","RECHECK")</x:f>
      </x:c>
      <x:c r="V6" s="64" t="str">
        <x:f>IF(V7=0,"","RECHECK")</x:f>
      </x:c>
      <x:c r="W6" s="64" t="str">
        <x:f>IF(W7=0,"","RECHECK")</x:f>
      </x:c>
      <x:c r="X6" s="64" t="str">
        <x:f>IF(X7=0,"","RECHECK")</x:f>
      </x:c>
      <x:c r="Y6" s="64" t="str">
        <x:f>IF(Y7=0,"","RECHECK")</x:f>
      </x:c>
      <x:c r="Z6" s="64" t="str">
        <x:f>IF(Z7=0,"","RECHECK")</x:f>
      </x:c>
      <x:c r="AA6" s="64" t="str">
        <x:f>IF(AA7=0,"","RECHECK")</x:f>
      </x:c>
      <x:c r="AB6" s="64" t="str">
        <x:f>IF(AB7=0,"","RECHECK")</x:f>
      </x:c>
      <x:c r="AC6" s="64" t="str">
        <x:f>IF(AC7=0,"","RECHECK")</x:f>
      </x:c>
      <x:c r="AD6" s="64" t="str">
        <x:f>IF(AD7=0,"","RECHECK")</x:f>
      </x:c>
      <x:c r="AE6" s="98" t="str">
        <x:f>IF(AE7=0,"","RECHECK")</x:f>
      </x:c>
      <x:c r="AF6" s="98" t="str">
        <x:f>IF(AF7=0,"","RECHECK")</x:f>
      </x:c>
      <x:c r="AG6" s="98" t="n"/>
      <x:c r="AH6" s="98" t="n"/>
      <x:c r="AI6" s="98" t="str">
        <x:f>IF(AI7=0,"","RECHECK")</x:f>
      </x:c>
      <x:c r="AJ6" s="98" t="str">
        <x:f>IF(AJ7=0,"","RECHECK")</x:f>
      </x:c>
      <x:c r="AK6" s="98" t="str">
        <x:f>IF(AK7=0,"","RECHECK")</x:f>
      </x:c>
      <x:c r="AL6" s="64" t="str">
        <x:f>IF(AL7=0,"","RECHECK")</x:f>
      </x:c>
      <x:c r="AM6" s="98" t="str">
        <x:f>IF(AM7=0,"","RECHECK")</x:f>
      </x:c>
      <x:c r="AN6" s="64" t="str">
        <x:f>IF(AN7=0,"","RECHECK")</x:f>
      </x:c>
      <x:c r="AO6" s="98" t="str">
        <x:f>IF(AO7=0,"","RECHECK")</x:f>
      </x:c>
      <x:c r="AP6" s="64" t="str">
        <x:f>IF(AP7=0,"","RECHECK")</x:f>
      </x:c>
      <x:c r="AQ6" s="64" t="str">
        <x:f>IF(AQ7=0,"","RECHECK")</x:f>
      </x:c>
      <x:c r="AR6" s="64" t="str">
        <x:f>IF(AR7=0,"","RECHECK")</x:f>
      </x:c>
      <x:c r="AS6" s="64" t="str">
        <x:f>IF(AS7=0,"","RECHECK")</x:f>
      </x:c>
      <x:c r="AT6" s="64" t="str">
        <x:f>IF(AT7=0,"","RECHECK")</x:f>
      </x:c>
      <x:c r="AU6" s="64" t="str">
        <x:f>IF(AU7=0,"","RECHECK")</x:f>
      </x:c>
      <x:c r="AV6" s="64" t="str">
        <x:f>IF(AV7=0,"","RECHECK")</x:f>
      </x:c>
      <x:c r="AW6" s="64" t="str">
        <x:f>IF(AW7=0,"","RECHECK")</x:f>
      </x:c>
      <x:c r="AX6" s="64" t="str">
        <x:f>IF(AX7=0,"","RECHECK")</x:f>
      </x:c>
      <x:c r="AY6" s="64" t="str">
        <x:f>IF(AY7=0,"","RECHECK")</x:f>
      </x:c>
      <x:c r="AZ6" s="64" t="str">
        <x:f>IF(AZ7=0,"","RECHECK")</x:f>
      </x:c>
      <x:c r="BA6" s="64" t="str">
        <x:f>IF(BA7=0,"","RECHECK")</x:f>
      </x:c>
      <x:c r="BB6" s="64" t="str">
        <x:f>IF(BB7=0,"","RECHECK")</x:f>
      </x:c>
      <x:c r="BC6" s="64" t="str">
        <x:f>IF(BC7=0,"","RECHECK")</x:f>
      </x:c>
      <x:c r="BD6" s="64" t="str">
        <x:f>IF(BD7=0,"","RECHECK")</x:f>
      </x:c>
      <x:c r="BE6" s="64" t="str">
        <x:f>IF(BE7=0,"","RECHECK")</x:f>
      </x:c>
      <x:c r="BF6" s="64" t="str">
        <x:f>IF(BF7=0,"","RECHECK")</x:f>
      </x:c>
      <x:c r="BG6" s="64" t="str">
        <x:f>IF(BG7=0,"","RECHECK")</x:f>
      </x:c>
      <x:c r="BH6" s="64" t="str">
        <x:f>IF(BH7=0,"","RECHECK")</x:f>
      </x:c>
      <x:c r="BI6" s="64" t="str">
        <x:f>IF(BI7=0,"","RECHECK")</x:f>
      </x:c>
      <x:c r="BJ6" s="64" t="str">
        <x:f>IF(BJ7=0,"","RECHECK")</x:f>
      </x:c>
      <x:c r="BK6" s="64" t="str">
        <x:f>IF(BK7=0,"","RECHECK")</x:f>
      </x:c>
      <x:c r="BL6" s="64" t="str">
        <x:f>IF(BL7=0,"","RECHECK")</x:f>
      </x:c>
      <x:c r="BM6" s="64" t="str">
        <x:f>IF(BM7=0,"","RECHECK")</x:f>
      </x:c>
      <x:c r="BN6" s="64" t="str">
        <x:f>IF(BN7=0,"","RECHECK")</x:f>
      </x:c>
      <x:c r="BO6" s="64" t="str">
        <x:f>IF(BO7=0,"","RECHECK")</x:f>
      </x:c>
      <x:c r="BP6" s="64" t="str">
        <x:f>IF(BP7=0,"","RECHECK")</x:f>
      </x:c>
      <x:c r="BQ6" s="64" t="str">
        <x:f>IF(BQ7=0,"","RECHECK")</x:f>
      </x:c>
      <x:c r="BR6" s="64" t="str">
        <x:f>IF(BR7=0,"","RECHECK")</x:f>
      </x:c>
      <x:c r="BS6" s="64" t="str">
        <x:f>IF(BS7=0,"","RECHECK")</x:f>
      </x:c>
      <x:c r="BT6" s="64" t="str">
        <x:f>IF(BT7=0,"","RECHECK")</x:f>
      </x:c>
      <x:c r="BU6" s="64" t="str">
        <x:f>IF(BU7=0,"","RECHECK")</x:f>
      </x:c>
      <x:c r="BV6" s="64" t="str">
        <x:f>IF(BV7=0,"","RECHECK")</x:f>
      </x:c>
      <x:c r="BW6" s="64" t="str">
        <x:f>IF(BW7=0,"","RECHECK")</x:f>
      </x:c>
      <x:c r="BX6" s="64" t="str">
        <x:f>IF(BX7=0,"","RECHECK")</x:f>
      </x:c>
      <x:c r="BY6" s="64" t="str">
        <x:f>IF(BY7=0,"","RECHECK")</x:f>
      </x:c>
      <x:c r="BZ6" s="64" t="str">
        <x:f>IF(BZ7=0,"","RECHECK")</x:f>
      </x:c>
      <x:c r="CA6" s="64" t="str">
        <x:f>IF(CA7=0,"","RECHECK")</x:f>
      </x:c>
      <x:c r="CB6" s="64" t="str">
        <x:f>IF(CB7=0,"","RECHECK")</x:f>
      </x:c>
      <x:c r="CC6" s="64" t="str">
        <x:f>IF(CC7=0,"","RECHECK")</x:f>
      </x:c>
      <x:c r="CD6" s="64" t="str">
        <x:f>IF(CD7=0,"","RECHECK")</x:f>
      </x:c>
      <x:c r="CE6" s="64" t="str">
        <x:f>IF(CE7=0,"","RECHECK")</x:f>
      </x:c>
      <x:c r="CF6" s="64" t="str">
        <x:f>IF(CF7=0,"","RECHECK")</x:f>
      </x:c>
      <x:c r="CG6" s="64" t="str">
        <x:f>IF(CG7=0,"","RECHECK")</x:f>
      </x:c>
      <x:c r="CH6" s="64" t="str">
        <x:f>IF(CH7=0,"","RECHECK")</x:f>
      </x:c>
      <x:c r="CI6" s="64" t="str">
        <x:f>IF(CI7=0,"","RECHECK")</x:f>
      </x:c>
      <x:c r="CJ6" s="64" t="str">
        <x:f>IF(CJ7=0,"","RECHECK")</x:f>
      </x:c>
      <x:c r="CK6" s="64" t="str">
        <x:f>IF(CK7=0,"","RECHECK")</x:f>
      </x:c>
      <x:c r="CL6" s="64" t="str">
        <x:f>IF(CL7=0,"","RECHECK")</x:f>
      </x:c>
      <x:c r="CM6" s="64" t="str">
        <x:f>IF(CM7=0,"","RECHECK")</x:f>
      </x:c>
      <x:c r="CN6" s="64" t="str">
        <x:f>IF(CN7=0,"","RECHECK")</x:f>
      </x:c>
      <x:c r="CO6" s="64" t="str">
        <x:f>IF(CO7=0,"","RECHECK")</x:f>
      </x:c>
      <x:c r="CP6" s="64" t="str">
        <x:f>IF(CP7=0,"","RECHECK")</x:f>
      </x:c>
      <x:c r="CQ6" s="64" t="str">
        <x:f>IF(CQ7=0,"","RECHECK")</x:f>
      </x:c>
      <x:c r="CR6" s="64" t="str">
        <x:f>IF(CR7=0,"","RECHECK")</x:f>
      </x:c>
      <x:c r="CS6" s="64" t="str">
        <x:f>IF(CS7=0,"","RECHECK")</x:f>
      </x:c>
      <x:c r="CT6" s="64" t="str">
        <x:f>IF(CT7=0,"","RECHECK")</x:f>
      </x:c>
      <x:c r="CU6" s="64" t="str">
        <x:f>IF(CU7=0,"","RECHECK")</x:f>
      </x:c>
      <x:c r="CV6" s="64" t="str">
        <x:f>IF(CV7=0,"","RECHECK")</x:f>
      </x:c>
      <x:c r="CW6" s="64" t="str">
        <x:f>IF(CW7=0,"","RECHECK")</x:f>
      </x:c>
      <x:c r="CX6" s="64" t="str">
        <x:f>IF(CX7=0,"","RECHECK")</x:f>
      </x:c>
      <x:c r="CY6" s="64" t="str">
        <x:f>IF(CY7=0,"","RECHECK")</x:f>
      </x:c>
      <x:c r="CZ6" s="64" t="str">
        <x:f>IF(CZ7=0,"","RECHECK")</x:f>
      </x:c>
      <x:c r="DA6" s="64" t="str">
        <x:f>IF(DA7=0,"","RECHECK")</x:f>
      </x:c>
      <x:c r="DB6" s="64" t="str">
        <x:f>IF(DB7=0,"","RECHECK")</x:f>
      </x:c>
      <x:c r="DC6" s="64" t="str">
        <x:f>IF(DC7=0,"","RECHECK")</x:f>
      </x:c>
      <x:c r="DD6" s="64" t="str">
        <x:f>IF(DD7=0,"","RECHECK")</x:f>
      </x:c>
      <x:c r="DE6" s="64" t="str">
        <x:f>IF(DE7=0,"","RECHECK")</x:f>
      </x:c>
      <x:c r="DF6" s="64" t="str">
        <x:f>IF(DF7=0,"","RECHECK")</x:f>
      </x:c>
      <x:c r="DG6" s="64" t="str">
        <x:f>IF(DG7=0,"","RECHECK")</x:f>
      </x:c>
      <x:c r="DH6" s="64" t="str">
        <x:f>IF(DH7=0,"","RECHECK")</x:f>
      </x:c>
      <x:c r="DI6" s="64" t="str">
        <x:f>IF(DI7=0,"","RECHECK")</x:f>
      </x:c>
      <x:c r="DJ6" s="64" t="str">
        <x:f>IF(DJ7=0,"","RECHECK")</x:f>
      </x:c>
      <x:c r="DK6" s="64" t="str">
        <x:f>IF(DK7=0,"","RECHECK")</x:f>
      </x:c>
      <x:c r="DL6" s="64" t="str">
        <x:f>IF(DL7=0,"","RECHECK")</x:f>
      </x:c>
      <x:c r="DM6" s="64" t="str">
        <x:f>IF(DM7=0,"","RECHECK")</x:f>
      </x:c>
      <x:c r="DN6" s="64" t="str">
        <x:f>IF(DN7=0,"","RECHECK")</x:f>
      </x:c>
      <x:c r="DO6" s="64" t="str">
        <x:f>IF(DO7=0,"","RECHECK")</x:f>
      </x:c>
      <x:c r="DP6" s="64" t="str">
        <x:f>IF(DP7=0,"","RECHECK")</x:f>
      </x:c>
      <x:c r="DQ6" s="64" t="str">
        <x:f>IF(DQ7=0,"","RECHECK")</x:f>
      </x:c>
      <x:c r="DR6" s="64" t="str">
        <x:f>IF(DR7=0,"","RECHECK")</x:f>
      </x:c>
      <x:c r="DS6" s="64" t="str">
        <x:f>IF(DS7=0,"","RECHECK")</x:f>
      </x:c>
      <x:c r="DT6" s="64" t="str">
        <x:f>IF(DT7=0,"","RECHECK")</x:f>
      </x:c>
      <x:c r="DU6" s="64" t="str">
        <x:f>IF(DU7=0,"","RECHECK")</x:f>
      </x:c>
      <x:c r="DV6" s="64" t="str">
        <x:f>IF(DV7=0,"","RECHECK")</x:f>
      </x:c>
      <x:c r="DW6" s="64" t="str">
        <x:f>IF(DW7=0,"","RECHECK")</x:f>
      </x:c>
      <x:c r="DX6" s="64" t="str">
        <x:f>IF(DX7=0,"","RECHECK")</x:f>
      </x:c>
      <x:c r="DY6" s="64" t="str">
        <x:f>IF(DY7=0,"","RECHECK")</x:f>
      </x:c>
      <x:c r="DZ6" s="64" t="str">
        <x:f>IF(DZ7=0,"","RECHECK")</x:f>
      </x:c>
      <x:c r="EA6" s="64" t="str">
        <x:f>IF(EA7=0,"","RECHECK")</x:f>
      </x:c>
      <x:c r="EB6" s="64" t="str">
        <x:f>IF(EB7=0,"","RECHECK")</x:f>
      </x:c>
      <x:c r="EC6" s="64" t="str">
        <x:f>IF(EC7=0,"","RECHECK")</x:f>
      </x:c>
      <x:c r="ED6" s="64" t="str">
        <x:f>IF(ED7=0,"","RECHECK")</x:f>
      </x:c>
      <x:c r="EE6" s="64" t="str">
        <x:f>IF(EE7=0,"","RECHECK")</x:f>
      </x:c>
      <x:c r="EF6" s="64" t="str">
        <x:f>IF(EF7=0,"","RECHECK")</x:f>
      </x:c>
      <x:c r="EG6" s="64" t="str">
        <x:f>IF(EG7=0,"","RECHECK")</x:f>
      </x:c>
      <x:c r="EH6" s="64" t="str">
        <x:f>IF(EH7=0,"","RECHECK")</x:f>
      </x:c>
      <x:c r="EI6" s="64" t="str">
        <x:f>IF(EI7=0,"","RECHECK")</x:f>
      </x:c>
      <x:c r="EJ6" s="64" t="str">
        <x:f>IF(EJ7=0,"","RECHECK")</x:f>
      </x:c>
      <x:c r="EK6" s="64" t="str">
        <x:f>IF(EK7=0,"","RECHECK")</x:f>
      </x:c>
      <x:c r="EL6" s="64" t="str">
        <x:f>IF(EL7=0,"","RECHECK")</x:f>
      </x:c>
      <x:c r="EM6" s="64" t="str">
        <x:f>IF(EM7=0,"","RECHECK")</x:f>
      </x:c>
      <x:c r="EN6" s="64" t="str">
        <x:f>IF(EN7=0,"","RECHECK")</x:f>
      </x:c>
      <x:c r="EO6" s="64" t="str">
        <x:f>IF(EO7=0,"","RECHECK")</x:f>
      </x:c>
      <x:c r="EP6" s="64" t="str">
        <x:f>IF(EP7=0,"","RECHECK")</x:f>
      </x:c>
      <x:c r="EQ6" s="64" t="str">
        <x:f>IF(EQ7=0,"","RECHECK")</x:f>
      </x:c>
      <x:c r="ER6" s="64" t="str">
        <x:f>IF(ER7=0,"","RECHECK")</x:f>
      </x:c>
      <x:c r="ES6" s="64" t="str">
        <x:f>IF(ES7=0,"","RECHECK")</x:f>
      </x:c>
      <x:c r="ET6" s="64" t="str">
        <x:f>IF(ET7=0,"","RECHECK")</x:f>
      </x:c>
      <x:c r="EU6" s="64" t="str">
        <x:f>IF(EU7=0,"","RECHECK")</x:f>
      </x:c>
      <x:c r="EV6" s="64" t="str">
        <x:f>IF(EV7=0,"","RECHECK")</x:f>
      </x:c>
      <x:c r="EW6" s="64" t="str">
        <x:f>IF(EW7=0,"","RECHECK")</x:f>
      </x:c>
      <x:c r="EX6" s="64" t="str">
        <x:f>IF(EX7=0,"","RECHECK")</x:f>
      </x:c>
      <x:c r="EY6" s="64" t="str">
        <x:f>IF(EY7=0,"","RECHECK")</x:f>
      </x:c>
      <x:c r="EZ6" s="64" t="str">
        <x:f>IF(EZ7=0,"","RECHECK")</x:f>
      </x:c>
      <x:c r="FA6" s="64" t="str">
        <x:f>IF(FA7=0,"","RECHECK")</x:f>
      </x:c>
      <x:c r="FB6" s="64" t="str">
        <x:f>IF(FB7=0,"","RECHECK")</x:f>
      </x:c>
      <x:c r="FC6" s="64" t="str">
        <x:f>IF(FC7=0,"","RECHECK")</x:f>
      </x:c>
      <x:c r="FD6" s="64" t="str">
        <x:f>IF(FD7=0,"","RECHECK")</x:f>
      </x:c>
      <x:c r="FE6" s="64" t="str">
        <x:f>IF(FE7=0,"","RECHECK")</x:f>
      </x:c>
      <x:c r="FF6" s="64" t="str">
        <x:f>IF(FF7=0,"","RECHECK")</x:f>
      </x:c>
      <x:c r="FG6" s="64" t="str">
        <x:f>IF(FG7=0,"","RECHECK")</x:f>
      </x:c>
      <x:c r="FH6" s="64" t="str">
        <x:f>IF(FH7=0,"","RECHECK")</x:f>
      </x:c>
      <x:c r="FI6" s="64" t="str">
        <x:f>IF(FI7=0,"","RECHECK")</x:f>
      </x:c>
      <x:c r="FJ6" s="64" t="str">
        <x:f>IF(FJ7=0,"","RECHECK")</x:f>
      </x:c>
      <x:c r="FK6" s="64" t="str">
        <x:f>IF(FK7=0,"","RECHECK")</x:f>
      </x:c>
      <x:c r="FL6" s="64" t="str">
        <x:f>IF(FL7=0,"","RECHECK")</x:f>
      </x:c>
      <x:c r="FM6" s="64" t="str">
        <x:f>IF(FM7=0,"","RECHECK")</x:f>
      </x:c>
      <x:c r="FN6" s="64" t="str">
        <x:f>IF(FN7=0,"","RECHECK")</x:f>
      </x:c>
      <x:c r="FO6" s="64" t="str">
        <x:f>IF(FO7=0,"","RECHECK")</x:f>
      </x:c>
      <x:c r="FP6" s="64" t="str">
        <x:f>IF(FP7=0,"","RECHECK")</x:f>
      </x:c>
      <x:c r="FQ6" s="64" t="str">
        <x:f>IF(FQ7=0,"","RECHECK")</x:f>
      </x:c>
      <x:c r="FR6" s="64" t="str">
        <x:f>IF(FR7=0,"","RECHECK")</x:f>
      </x:c>
      <x:c r="FS6" s="64" t="str">
        <x:f>IF(FS7=0,"","RECHECK")</x:f>
      </x:c>
      <x:c r="FT6" s="64" t="str">
        <x:f>IF(FT7=0,"","RECHECK")</x:f>
      </x:c>
      <x:c r="FU6" s="64" t="str">
        <x:f>IF(FU7=0,"","RECHECK")</x:f>
      </x:c>
      <x:c r="FV6" s="64" t="str">
        <x:f>IF(FV7=0,"","RECHECK")</x:f>
      </x:c>
      <x:c r="FW6" s="64" t="str">
        <x:f>IF(FW7=0,"","RECHECK")</x:f>
      </x:c>
      <x:c r="FX6" s="64" t="str">
        <x:f>IF(FX7=0,"","RECHECK")</x:f>
      </x:c>
      <x:c r="FY6" s="64" t="str">
        <x:f>IF(FY7=0,"","RECHECK")</x:f>
      </x:c>
      <x:c r="FZ6" s="64" t="str">
        <x:f>IF(FZ7=0,"","RECHECK")</x:f>
      </x:c>
      <x:c r="GA6" s="64" t="str">
        <x:f>IF(GA7=0,"","RECHECK")</x:f>
      </x:c>
    </x:row>
    <x:row r="7" s="53" customFormat="1" ht="14.25" customHeight="1">
      <x:c r="A7" s="54" t="n"/>
      <x:c r="B7" s="593" t="n"/>
      <x:c r="C7" s="634" t="n"/>
      <x:c r="D7" s="634" t="n"/>
      <x:c r="E7" s="634" t="n"/>
      <x:c r="F7" s="635" t="n"/>
      <x:c r="G7" s="636" t="n">
        <x:f>SUBTOTAL(9,G10:G204)</x:f>
        <x:v>1</x:v>
      </x:c>
      <x:c r="H7" s="637" t="n">
        <x:f>SUBTOTAL(9,H10:H204)</x:f>
        <x:v>0</x:v>
      </x:c>
      <x:c r="I7" s="637" t="n">
        <x:f>SUBTOTAL(9,I10:I204)</x:f>
        <x:v>0</x:v>
      </x:c>
      <x:c r="J7" s="637" t="n">
        <x:f>SUBTOTAL(9,J10:J204)</x:f>
        <x:v>0</x:v>
      </x:c>
      <x:c r="K7" s="637" t="n">
        <x:f>SUBTOTAL(9,K10:K204)</x:f>
        <x:v>0</x:v>
      </x:c>
      <x:c r="L7" s="637" t="n">
        <x:f>SUBTOTAL(9,L10:L204)</x:f>
        <x:v>0</x:v>
      </x:c>
      <x:c r="M7" s="637" t="n">
        <x:f>SUBTOTAL(9,M10:M204)</x:f>
        <x:v>0</x:v>
      </x:c>
      <x:c r="N7" s="637" t="n">
        <x:f>SUBTOTAL(9,N10:N204)</x:f>
        <x:v>0</x:v>
      </x:c>
      <x:c r="O7" s="637" t="n">
        <x:f>SUBTOTAL(9,O10:O204)</x:f>
        <x:v>0</x:v>
      </x:c>
      <x:c r="P7" s="637" t="n">
        <x:f>SUBTOTAL(9,P10:P204)</x:f>
        <x:v>0</x:v>
      </x:c>
      <x:c r="Q7" s="637" t="n">
        <x:f>SUBTOTAL(9,Q10:Q204)</x:f>
        <x:v>0</x:v>
      </x:c>
      <x:c r="R7" s="638" t="n">
        <x:f>SUBTOTAL(9,R10:R208)</x:f>
        <x:v>0</x:v>
      </x:c>
      <x:c r="S7" s="638" t="n">
        <x:f>SUBTOTAL(9,S10:S208)</x:f>
        <x:v>0</x:v>
      </x:c>
      <x:c r="T7" s="637" t="n">
        <x:f>SUBTOTAL(9,T10:T204)</x:f>
        <x:v>0</x:v>
      </x:c>
      <x:c r="U7" s="637" t="n">
        <x:f>SUBTOTAL(9,U10:U204)</x:f>
        <x:v>0</x:v>
      </x:c>
      <x:c r="V7" s="637" t="n">
        <x:f>SUBTOTAL(9,V10:V204)</x:f>
        <x:v>0</x:v>
      </x:c>
      <x:c r="W7" s="637" t="n">
        <x:f>SUBTOTAL(9,W10:W204)</x:f>
        <x:v>0</x:v>
      </x:c>
      <x:c r="X7" s="637" t="n">
        <x:f>SUBTOTAL(9,X10:X204)</x:f>
        <x:v>-9.992007221626409e-16</x:v>
      </x:c>
      <x:c r="Y7" s="637" t="n">
        <x:f>SUBTOTAL(9,Y10:Y204)</x:f>
        <x:v>0</x:v>
      </x:c>
      <x:c r="Z7" s="637" t="n">
        <x:f>SUBTOTAL(9,Z10:Z204)</x:f>
        <x:v>0</x:v>
      </x:c>
      <x:c r="AA7" s="637" t="n">
        <x:f>SUBTOTAL(9,AA10:AA204)</x:f>
        <x:v>-1.5265566588595902e-16</x:v>
      </x:c>
      <x:c r="AB7" s="637" t="n">
        <x:f>SUBTOTAL(9,AB10:AB204)</x:f>
        <x:v>0</x:v>
      </x:c>
      <x:c r="AC7" s="637" t="n">
        <x:f>SUBTOTAL(9,AC10:AC204)</x:f>
        <x:v>0</x:v>
      </x:c>
      <x:c r="AD7" s="637" t="n">
        <x:f>SUBTOTAL(9,AD10:AD204)</x:f>
        <x:v>0</x:v>
      </x:c>
      <x:c r="AE7" s="638" t="n">
        <x:f>SUBTOTAL(9,AE10:AE204)</x:f>
        <x:v>0</x:v>
      </x:c>
      <x:c r="AF7" s="638" t="n">
        <x:f>SUBTOTAL(9,AF10:AF208)</x:f>
        <x:v>0</x:v>
      </x:c>
      <x:c r="AG7" s="638" t="n">
        <x:f>SUBTOTAL(9,AG10:AG212)</x:f>
        <x:v>-3.164135620181696e-15</x:v>
      </x:c>
      <x:c r="AH7" s="638" t="n">
        <x:f>SUBTOTAL(9,AH10:AH206)</x:f>
        <x:v>0</x:v>
      </x:c>
      <x:c r="AI7" s="638" t="n">
        <x:f>SUBTOTAL(9,AI10:AI206)</x:f>
        <x:v>0</x:v>
      </x:c>
      <x:c r="AJ7" s="638" t="n">
        <x:f>SUBTOTAL(9,AJ10:AJ206)</x:f>
        <x:v>0</x:v>
      </x:c>
      <x:c r="AK7" s="638" t="n">
        <x:f>SUBTOTAL(9,AK10:AK206)</x:f>
        <x:v>0</x:v>
      </x:c>
      <x:c r="AL7" s="637" t="n">
        <x:f>SUBTOTAL(9,AL10:AL204)</x:f>
        <x:v>0</x:v>
      </x:c>
      <x:c r="AM7" s="638" t="n">
        <x:f>SUBTOTAL(9,AM10:AM203)</x:f>
        <x:v>0</x:v>
      </x:c>
      <x:c r="AN7" s="637" t="n">
        <x:f>SUBTOTAL(9,AN10:AN204)</x:f>
        <x:v>0</x:v>
      </x:c>
      <x:c r="AO7" s="638" t="n">
        <x:f>SUBTOTAL(9,AO10:AO206)</x:f>
        <x:v>0</x:v>
      </x:c>
      <x:c r="AP7" s="637" t="n">
        <x:f>SUBTOTAL(9,AP10:AP204)</x:f>
        <x:v>0</x:v>
      </x:c>
      <x:c r="AQ7" s="637" t="n">
        <x:f>SUBTOTAL(9,AQ10:AQ204)</x:f>
        <x:v>0</x:v>
      </x:c>
      <x:c r="AR7" s="637" t="n">
        <x:f>SUBTOTAL(9,AR10:AR204)</x:f>
        <x:v>0</x:v>
      </x:c>
      <x:c r="AS7" s="637" t="n">
        <x:f>SUBTOTAL(9,AS10:AS204)</x:f>
        <x:v>0</x:v>
      </x:c>
      <x:c r="AT7" s="637" t="n">
        <x:f>SUBTOTAL(9,AT10:AT204)</x:f>
        <x:v>0</x:v>
      </x:c>
      <x:c r="AU7" s="637" t="n">
        <x:f>SUBTOTAL(9,AU10:AU204)</x:f>
        <x:v>0</x:v>
      </x:c>
      <x:c r="AV7" s="637" t="n">
        <x:f>SUBTOTAL(9,AV10:AV204)</x:f>
        <x:v>0</x:v>
      </x:c>
      <x:c r="AW7" s="637" t="n">
        <x:f>SUBTOTAL(9,AW10:AW204)</x:f>
        <x:v>0</x:v>
      </x:c>
      <x:c r="AX7" s="637" t="n">
        <x:f>SUBTOTAL(9,AX10:AX204)</x:f>
        <x:v>0</x:v>
      </x:c>
      <x:c r="AY7" s="637" t="n">
        <x:f>SUBTOTAL(9,AY10:AY204)</x:f>
        <x:v>0</x:v>
      </x:c>
      <x:c r="AZ7" s="637" t="n">
        <x:f>SUBTOTAL(9,AZ10:AZ204)</x:f>
        <x:v>0</x:v>
      </x:c>
      <x:c r="BA7" s="637" t="n">
        <x:f>SUBTOTAL(9,BA10:BA204)</x:f>
        <x:v>0</x:v>
      </x:c>
      <x:c r="BB7" s="637" t="n">
        <x:f>SUBTOTAL(9,BB10:BB204)</x:f>
        <x:v>0</x:v>
      </x:c>
      <x:c r="BC7" s="637" t="n">
        <x:f>SUBTOTAL(9,BC10:BC204)</x:f>
        <x:v>0</x:v>
      </x:c>
      <x:c r="BD7" s="637" t="n">
        <x:f>SUBTOTAL(9,BD10:BD204)</x:f>
        <x:v>0</x:v>
      </x:c>
      <x:c r="BE7" s="637" t="n">
        <x:f>SUBTOTAL(9,BE10:BE204)</x:f>
        <x:v>0</x:v>
      </x:c>
      <x:c r="BF7" s="637" t="n">
        <x:f>SUBTOTAL(9,BF10:BF204)</x:f>
        <x:v>0</x:v>
      </x:c>
      <x:c r="BG7" s="637" t="n">
        <x:f>SUBTOTAL(9,BG10:BG204)</x:f>
        <x:v>0</x:v>
      </x:c>
      <x:c r="BH7" s="637" t="n">
        <x:f>SUBTOTAL(9,BH10:BH204)</x:f>
        <x:v>0</x:v>
      </x:c>
      <x:c r="BI7" s="637" t="n">
        <x:f>SUBTOTAL(9,BI10:BI204)</x:f>
        <x:v>0</x:v>
      </x:c>
      <x:c r="BJ7" s="637" t="n">
        <x:f>SUBTOTAL(9,BJ10:BJ204)</x:f>
        <x:v>0</x:v>
      </x:c>
      <x:c r="BK7" s="637" t="n">
        <x:f>SUBTOTAL(9,BK10:BK204)</x:f>
        <x:v>0</x:v>
      </x:c>
      <x:c r="BL7" s="637" t="n">
        <x:f>SUBTOTAL(9,BL10:BL204)</x:f>
        <x:v>0</x:v>
      </x:c>
      <x:c r="BM7" s="637" t="n">
        <x:f>SUBTOTAL(9,BM10:BM204)</x:f>
        <x:v>0</x:v>
      </x:c>
      <x:c r="BN7" s="637" t="n">
        <x:f>SUBTOTAL(9,BN10:BN204)</x:f>
        <x:v>0</x:v>
      </x:c>
      <x:c r="BO7" s="637" t="n">
        <x:f>SUBTOTAL(9,BO10:BO204)</x:f>
        <x:v>0</x:v>
      </x:c>
      <x:c r="BP7" s="637" t="n">
        <x:f>SUBTOTAL(9,BP10:BP204)</x:f>
        <x:v>0</x:v>
      </x:c>
      <x:c r="BQ7" s="637" t="n">
        <x:f>SUBTOTAL(9,BQ10:BQ204)</x:f>
        <x:v>0</x:v>
      </x:c>
      <x:c r="BR7" s="637" t="n">
        <x:f>SUBTOTAL(9,BR10:BR204)</x:f>
        <x:v>0</x:v>
      </x:c>
      <x:c r="BS7" s="637" t="n">
        <x:f>SUBTOTAL(9,BS10:BS204)</x:f>
        <x:v>0</x:v>
      </x:c>
      <x:c r="BT7" s="637" t="n">
        <x:f>SUBTOTAL(9,BT10:BT204)</x:f>
        <x:v>0</x:v>
      </x:c>
      <x:c r="BU7" s="637" t="n">
        <x:f>SUBTOTAL(9,BU10:BU204)</x:f>
        <x:v>0</x:v>
      </x:c>
      <x:c r="BV7" s="637" t="n">
        <x:f>SUBTOTAL(9,BV10:BV204)</x:f>
        <x:v>0</x:v>
      </x:c>
      <x:c r="BW7" s="637" t="n">
        <x:f>SUBTOTAL(9,BW10:BW204)</x:f>
        <x:v>0</x:v>
      </x:c>
      <x:c r="BX7" s="637" t="n">
        <x:f>SUBTOTAL(9,BX10:BX204)</x:f>
        <x:v>0</x:v>
      </x:c>
      <x:c r="BY7" s="637" t="n">
        <x:f>SUBTOTAL(9,BY10:BY204)</x:f>
        <x:v>0</x:v>
      </x:c>
      <x:c r="BZ7" s="637" t="n">
        <x:f>SUBTOTAL(9,BZ10:BZ204)</x:f>
        <x:v>0</x:v>
      </x:c>
      <x:c r="CA7" s="637" t="n">
        <x:f>SUBTOTAL(9,CA10:CA204)</x:f>
        <x:v>0</x:v>
      </x:c>
      <x:c r="CB7" s="637" t="n">
        <x:f>SUBTOTAL(9,CB10:CB204)</x:f>
        <x:v>0</x:v>
      </x:c>
      <x:c r="CC7" s="637" t="n">
        <x:f>SUBTOTAL(9,CC10:CC204)</x:f>
        <x:v>0</x:v>
      </x:c>
      <x:c r="CD7" s="637" t="n">
        <x:f>SUBTOTAL(9,CD10:CD204)</x:f>
        <x:v>0</x:v>
      </x:c>
      <x:c r="CE7" s="637" t="n">
        <x:f>SUBTOTAL(9,CE10:CE204)</x:f>
        <x:v>0</x:v>
      </x:c>
      <x:c r="CF7" s="637" t="n">
        <x:f>SUBTOTAL(9,CF10:CF204)</x:f>
        <x:v>0</x:v>
      </x:c>
      <x:c r="CG7" s="637" t="n">
        <x:f>SUBTOTAL(9,CG10:CG204)</x:f>
        <x:v>0</x:v>
      </x:c>
      <x:c r="CH7" s="637" t="n">
        <x:f>SUBTOTAL(9,CH10:CH204)</x:f>
        <x:v>0</x:v>
      </x:c>
      <x:c r="CI7" s="637" t="n">
        <x:f>SUBTOTAL(9,CI10:CI204)</x:f>
        <x:v>0</x:v>
      </x:c>
      <x:c r="CJ7" s="637" t="n">
        <x:f>SUBTOTAL(9,CJ10:CJ204)</x:f>
        <x:v>0</x:v>
      </x:c>
      <x:c r="CK7" s="637" t="n">
        <x:f>SUBTOTAL(9,CK10:CK204)</x:f>
        <x:v>0</x:v>
      </x:c>
      <x:c r="CL7" s="637" t="n">
        <x:f>SUBTOTAL(9,CL10:CL204)</x:f>
        <x:v>0</x:v>
      </x:c>
      <x:c r="CM7" s="637" t="n">
        <x:f>SUBTOTAL(9,CM10:CM204)</x:f>
        <x:v>0</x:v>
      </x:c>
      <x:c r="CN7" s="637" t="n">
        <x:f>SUBTOTAL(9,CN10:CN204)</x:f>
        <x:v>0</x:v>
      </x:c>
      <x:c r="CO7" s="637" t="n">
        <x:f>SUBTOTAL(9,CO10:CO204)</x:f>
        <x:v>0</x:v>
      </x:c>
      <x:c r="CP7" s="637" t="n">
        <x:f>SUBTOTAL(9,CP10:CP204)</x:f>
        <x:v>0</x:v>
      </x:c>
      <x:c r="CQ7" s="637" t="n">
        <x:f>SUBTOTAL(9,CQ10:CQ204)</x:f>
        <x:v>0</x:v>
      </x:c>
      <x:c r="CR7" s="637" t="n">
        <x:f>SUBTOTAL(9,CR10:CR204)</x:f>
        <x:v>0</x:v>
      </x:c>
      <x:c r="CS7" s="637" t="n">
        <x:f>SUBTOTAL(9,CS10:CS204)</x:f>
        <x:v>0</x:v>
      </x:c>
      <x:c r="CT7" s="637" t="n">
        <x:f>SUBTOTAL(9,CT10:CT204)</x:f>
        <x:v>0</x:v>
      </x:c>
      <x:c r="CU7" s="637" t="n">
        <x:f>SUBTOTAL(9,CU10:CU204)</x:f>
        <x:v>0</x:v>
      </x:c>
      <x:c r="CV7" s="637" t="n">
        <x:f>SUBTOTAL(9,CV10:CV204)</x:f>
        <x:v>0</x:v>
      </x:c>
      <x:c r="CW7" s="637" t="n">
        <x:f>SUBTOTAL(9,CW10:CW204)</x:f>
        <x:v>0</x:v>
      </x:c>
      <x:c r="CX7" s="637" t="n">
        <x:f>SUBTOTAL(9,CX10:CX204)</x:f>
        <x:v>0</x:v>
      </x:c>
      <x:c r="CY7" s="637" t="n">
        <x:f>SUBTOTAL(9,CY10:CY204)</x:f>
        <x:v>0</x:v>
      </x:c>
      <x:c r="CZ7" s="637" t="n">
        <x:f>SUBTOTAL(9,CZ10:CZ204)</x:f>
        <x:v>0</x:v>
      </x:c>
      <x:c r="DA7" s="637" t="n">
        <x:f>SUBTOTAL(9,DA10:DA204)</x:f>
        <x:v>0</x:v>
      </x:c>
      <x:c r="DB7" s="637" t="n">
        <x:f>SUBTOTAL(9,DB10:DB204)</x:f>
        <x:v>0</x:v>
      </x:c>
      <x:c r="DC7" s="637" t="n">
        <x:f>SUBTOTAL(9,DC10:DC204)</x:f>
        <x:v>0</x:v>
      </x:c>
      <x:c r="DD7" s="637" t="n">
        <x:f>SUBTOTAL(9,DD10:DD204)</x:f>
        <x:v>0</x:v>
      </x:c>
      <x:c r="DE7" s="637" t="n">
        <x:f>SUBTOTAL(9,DE10:DE204)</x:f>
        <x:v>0</x:v>
      </x:c>
      <x:c r="DF7" s="637" t="n">
        <x:f>SUBTOTAL(9,DF10:DF204)</x:f>
        <x:v>0</x:v>
      </x:c>
      <x:c r="DG7" s="637" t="n">
        <x:f>SUBTOTAL(9,DG10:DG204)</x:f>
        <x:v>0</x:v>
      </x:c>
      <x:c r="DH7" s="637" t="n">
        <x:f>SUBTOTAL(9,DH10:DH204)</x:f>
        <x:v>0</x:v>
      </x:c>
      <x:c r="DI7" s="637" t="n">
        <x:f>SUBTOTAL(9,DI10:DI204)</x:f>
        <x:v>0</x:v>
      </x:c>
      <x:c r="DJ7" s="637" t="n">
        <x:f>SUBTOTAL(9,DJ10:DJ204)</x:f>
        <x:v>0</x:v>
      </x:c>
      <x:c r="DK7" s="637" t="n">
        <x:f>SUBTOTAL(9,DK10:DK204)</x:f>
        <x:v>0</x:v>
      </x:c>
      <x:c r="DL7" s="637" t="n">
        <x:f>SUBTOTAL(9,DL10:DL204)</x:f>
        <x:v>0</x:v>
      </x:c>
      <x:c r="DM7" s="637" t="n">
        <x:f>SUBTOTAL(9,DM10:DM204)</x:f>
        <x:v>0</x:v>
      </x:c>
      <x:c r="DN7" s="637" t="n">
        <x:f>SUBTOTAL(9,DN10:DN204)</x:f>
        <x:v>0</x:v>
      </x:c>
      <x:c r="DO7" s="637" t="n">
        <x:f>SUBTOTAL(9,DO10:DO204)</x:f>
        <x:v>0</x:v>
      </x:c>
      <x:c r="DP7" s="637" t="n">
        <x:f>SUBTOTAL(9,DP10:DP204)</x:f>
        <x:v>0</x:v>
      </x:c>
      <x:c r="DQ7" s="637" t="n">
        <x:f>SUBTOTAL(9,DQ10:DQ204)</x:f>
        <x:v>0</x:v>
      </x:c>
      <x:c r="DR7" s="637" t="n">
        <x:f>SUBTOTAL(9,DR10:DR204)</x:f>
        <x:v>0</x:v>
      </x:c>
      <x:c r="DS7" s="637" t="n">
        <x:f>SUBTOTAL(9,DS10:DS204)</x:f>
        <x:v>0</x:v>
      </x:c>
      <x:c r="DT7" s="637" t="n">
        <x:f>SUBTOTAL(9,DT10:DT204)</x:f>
        <x:v>0</x:v>
      </x:c>
      <x:c r="DU7" s="637" t="n">
        <x:f>SUBTOTAL(9,DU10:DU204)</x:f>
        <x:v>0</x:v>
      </x:c>
      <x:c r="DV7" s="637" t="n">
        <x:f>SUBTOTAL(9,DV10:DV204)</x:f>
        <x:v>0</x:v>
      </x:c>
      <x:c r="DW7" s="637" t="n">
        <x:f>SUBTOTAL(9,DW10:DW204)</x:f>
        <x:v>0</x:v>
      </x:c>
      <x:c r="DX7" s="637" t="n">
        <x:f>SUBTOTAL(9,DX10:DX204)</x:f>
        <x:v>0</x:v>
      </x:c>
      <x:c r="DY7" s="637" t="n">
        <x:f>SUBTOTAL(9,DY10:DY204)</x:f>
        <x:v>0</x:v>
      </x:c>
      <x:c r="DZ7" s="637" t="n">
        <x:f>SUBTOTAL(9,DZ10:DZ204)</x:f>
        <x:v>0</x:v>
      </x:c>
      <x:c r="EA7" s="637" t="n">
        <x:f>SUBTOTAL(9,EA10:EA204)</x:f>
        <x:v>0</x:v>
      </x:c>
      <x:c r="EB7" s="637" t="n">
        <x:f>SUBTOTAL(9,EB10:EB204)</x:f>
        <x:v>0</x:v>
      </x:c>
      <x:c r="EC7" s="637" t="n">
        <x:f>SUBTOTAL(9,EC10:EC204)</x:f>
        <x:v>0</x:v>
      </x:c>
      <x:c r="ED7" s="637" t="n">
        <x:f>SUBTOTAL(9,ED10:ED204)</x:f>
        <x:v>0</x:v>
      </x:c>
      <x:c r="EE7" s="637" t="n">
        <x:f>SUBTOTAL(9,EE10:EE204)</x:f>
        <x:v>0</x:v>
      </x:c>
      <x:c r="EF7" s="637" t="n">
        <x:f>SUBTOTAL(9,EF10:EF204)</x:f>
        <x:v>0</x:v>
      </x:c>
      <x:c r="EG7" s="637" t="n">
        <x:f>SUBTOTAL(9,EG10:EG204)</x:f>
        <x:v>0</x:v>
      </x:c>
      <x:c r="EH7" s="637" t="n">
        <x:f>SUBTOTAL(9,EH10:EH204)</x:f>
        <x:v>0</x:v>
      </x:c>
      <x:c r="EI7" s="637" t="n">
        <x:f>SUBTOTAL(9,EI10:EI204)</x:f>
        <x:v>0</x:v>
      </x:c>
      <x:c r="EJ7" s="637" t="n">
        <x:f>SUBTOTAL(9,EJ10:EJ204)</x:f>
        <x:v>0</x:v>
      </x:c>
      <x:c r="EK7" s="637" t="n">
        <x:f>SUBTOTAL(9,EK10:EK204)</x:f>
        <x:v>0</x:v>
      </x:c>
      <x:c r="EL7" s="637" t="n">
        <x:f>SUBTOTAL(9,EL10:EL204)</x:f>
        <x:v>0</x:v>
      </x:c>
      <x:c r="EM7" s="637" t="n">
        <x:f>SUBTOTAL(9,EM10:EM204)</x:f>
        <x:v>0</x:v>
      </x:c>
      <x:c r="EN7" s="637" t="n">
        <x:f>SUBTOTAL(9,EN10:EN204)</x:f>
        <x:v>0</x:v>
      </x:c>
      <x:c r="EO7" s="637" t="n">
        <x:f>SUBTOTAL(9,EO10:EO204)</x:f>
        <x:v>0</x:v>
      </x:c>
      <x:c r="EP7" s="637" t="n">
        <x:f>SUBTOTAL(9,EP10:EP204)</x:f>
        <x:v>0</x:v>
      </x:c>
      <x:c r="EQ7" s="637" t="n">
        <x:f>SUBTOTAL(9,EQ10:EQ204)</x:f>
        <x:v>0</x:v>
      </x:c>
      <x:c r="ER7" s="637" t="n">
        <x:f>SUBTOTAL(9,ER10:ER204)</x:f>
        <x:v>0</x:v>
      </x:c>
      <x:c r="ES7" s="637" t="n">
        <x:f>SUBTOTAL(9,ES10:ES204)</x:f>
        <x:v>0</x:v>
      </x:c>
      <x:c r="ET7" s="637" t="n">
        <x:f>SUBTOTAL(9,ET10:ET204)</x:f>
        <x:v>0</x:v>
      </x:c>
      <x:c r="EU7" s="637" t="n">
        <x:f>SUBTOTAL(9,EU10:EU204)</x:f>
        <x:v>0</x:v>
      </x:c>
      <x:c r="EV7" s="637" t="n">
        <x:f>SUBTOTAL(9,EV10:EV204)</x:f>
        <x:v>0</x:v>
      </x:c>
      <x:c r="EW7" s="637" t="n">
        <x:f>SUBTOTAL(9,EW10:EW204)</x:f>
        <x:v>0</x:v>
      </x:c>
      <x:c r="EX7" s="637" t="n">
        <x:f>SUBTOTAL(9,EX10:EX204)</x:f>
        <x:v>0</x:v>
      </x:c>
      <x:c r="EY7" s="637" t="n">
        <x:f>SUBTOTAL(9,EY10:EY204)</x:f>
        <x:v>0</x:v>
      </x:c>
      <x:c r="EZ7" s="637" t="n">
        <x:f>SUBTOTAL(9,EZ10:EZ204)</x:f>
        <x:v>0</x:v>
      </x:c>
      <x:c r="FA7" s="637" t="n">
        <x:f>SUBTOTAL(9,FA10:FA204)</x:f>
        <x:v>0</x:v>
      </x:c>
      <x:c r="FB7" s="637" t="n">
        <x:f>SUBTOTAL(9,FB10:FB204)</x:f>
        <x:v>0</x:v>
      </x:c>
      <x:c r="FC7" s="637" t="n">
        <x:f>SUBTOTAL(9,FC10:FC204)</x:f>
        <x:v>0</x:v>
      </x:c>
      <x:c r="FD7" s="637" t="n">
        <x:f>SUBTOTAL(9,FD10:FD204)</x:f>
        <x:v>0</x:v>
      </x:c>
      <x:c r="FE7" s="637" t="n">
        <x:f>SUBTOTAL(9,FE10:FE204)</x:f>
        <x:v>0</x:v>
      </x:c>
      <x:c r="FF7" s="637" t="n">
        <x:f>SUBTOTAL(9,FF10:FF204)</x:f>
        <x:v>0</x:v>
      </x:c>
      <x:c r="FG7" s="637" t="n">
        <x:f>SUBTOTAL(9,FG10:FG204)</x:f>
        <x:v>0</x:v>
      </x:c>
      <x:c r="FH7" s="637" t="n">
        <x:f>SUBTOTAL(9,FH10:FH204)</x:f>
        <x:v>0</x:v>
      </x:c>
      <x:c r="FI7" s="637" t="n">
        <x:f>SUBTOTAL(9,FI10:FI204)</x:f>
        <x:v>0</x:v>
      </x:c>
      <x:c r="FJ7" s="637" t="n">
        <x:f>SUBTOTAL(9,FJ10:FJ204)</x:f>
        <x:v>0</x:v>
      </x:c>
      <x:c r="FK7" s="637" t="n">
        <x:f>SUBTOTAL(9,FK10:FK204)</x:f>
        <x:v>0</x:v>
      </x:c>
      <x:c r="FL7" s="637" t="n">
        <x:f>SUBTOTAL(9,FL10:FL204)</x:f>
        <x:v>0</x:v>
      </x:c>
      <x:c r="FM7" s="637" t="n">
        <x:f>SUBTOTAL(9,FM10:FM204)</x:f>
        <x:v>0</x:v>
      </x:c>
      <x:c r="FN7" s="637" t="n">
        <x:f>SUBTOTAL(9,FN10:FN204)</x:f>
        <x:v>0</x:v>
      </x:c>
      <x:c r="FO7" s="637" t="n">
        <x:f>SUBTOTAL(9,FO10:FO204)</x:f>
        <x:v>0</x:v>
      </x:c>
      <x:c r="FP7" s="637" t="n">
        <x:f>SUBTOTAL(9,FP10:FP204)</x:f>
        <x:v>0</x:v>
      </x:c>
      <x:c r="FQ7" s="637" t="n">
        <x:f>SUBTOTAL(9,FQ10:FQ204)</x:f>
        <x:v>0</x:v>
      </x:c>
      <x:c r="FR7" s="637" t="n">
        <x:f>SUBTOTAL(9,FR10:FR204)</x:f>
        <x:v>0</x:v>
      </x:c>
      <x:c r="FS7" s="637" t="n">
        <x:f>SUBTOTAL(9,FS10:FS204)</x:f>
        <x:v>0</x:v>
      </x:c>
      <x:c r="FT7" s="637" t="n">
        <x:f>SUBTOTAL(9,FT10:FT204)</x:f>
        <x:v>0</x:v>
      </x:c>
      <x:c r="FU7" s="637" t="n">
        <x:f>SUBTOTAL(9,FU10:FU204)</x:f>
        <x:v>0</x:v>
      </x:c>
      <x:c r="FV7" s="637" t="n">
        <x:f>SUBTOTAL(9,FV10:FV204)</x:f>
        <x:v>0</x:v>
      </x:c>
      <x:c r="FW7" s="637" t="n">
        <x:f>SUBTOTAL(9,FW10:FW204)</x:f>
        <x:v>0</x:v>
      </x:c>
      <x:c r="FX7" s="637" t="n">
        <x:f>SUBTOTAL(9,FX10:FX204)</x:f>
        <x:v>0</x:v>
      </x:c>
      <x:c r="FY7" s="637" t="n">
        <x:f>SUBTOTAL(9,FY10:FY204)</x:f>
        <x:v>0</x:v>
      </x:c>
      <x:c r="FZ7" s="637" t="n">
        <x:f>SUBTOTAL(9,FZ10:FZ204)</x:f>
        <x:v>0</x:v>
      </x:c>
      <x:c r="GA7" s="637" t="n">
        <x:f>SUBTOTAL(9,GA10:GA204)</x:f>
        <x:v>0</x:v>
      </x:c>
    </x:row>
    <x:row r="8" s="26" customFormat="1" ht="14.25" customHeight="1">
      <x:c r="A8" s="52" t="inlineStr">
        <x:is>
          <x:t xml:space="preserve">NOTES</x:t>
        </x:is>
      </x:c>
      <x:c r="B8" s="639" t="n"/>
      <x:c r="C8" s="51" t="inlineStr">
        <x:is>
          <x:t xml:space="preserve">NET ACRES</x:t>
        </x:is>
      </x:c>
      <x:c r="D8" s="50" t="inlineStr">
        <x:is>
          <x:t xml:space="preserve">OWNERS</x:t>
        </x:is>
      </x:c>
      <x:c r="E8" s="49" t="inlineStr">
        <x:is>
          <x:t xml:space="preserve">TOTAL </x:t>
        </x:is>
      </x:c>
      <x:c r="F8" s="640" t="n"/>
      <x:c r="G8" s="641" t="n"/>
      <x:c r="H8" s="642" t="n"/>
      <x:c r="I8" s="642" t="n"/>
      <x:c r="J8" s="642" t="n"/>
      <x:c r="K8" s="642" t="n"/>
      <x:c r="L8" s="642" t="n"/>
      <x:c r="M8" s="642" t="n"/>
      <x:c r="N8" s="642" t="n"/>
      <x:c r="O8" s="642" t="n"/>
      <x:c r="P8" s="642" t="n"/>
      <x:c r="Q8" s="642" t="n"/>
      <x:c r="R8" s="642" t="n"/>
      <x:c r="S8" s="642" t="n"/>
      <x:c r="T8" s="642" t="n"/>
      <x:c r="U8" s="642" t="n"/>
      <x:c r="V8" s="642" t="n"/>
      <x:c r="W8" s="642" t="n"/>
      <x:c r="X8" s="642" t="n"/>
      <x:c r="Y8" s="642" t="n"/>
      <x:c r="Z8" s="642" t="n"/>
      <x:c r="AA8" s="642" t="n"/>
      <x:c r="AB8" s="642" t="n"/>
      <x:c r="AC8" s="642" t="n"/>
      <x:c r="AD8" s="642" t="n"/>
      <x:c r="AE8" s="642" t="n"/>
      <x:c r="AF8" s="642" t="n"/>
      <x:c r="AG8" s="642" t="n"/>
      <x:c r="AH8" s="642" t="n"/>
      <x:c r="AI8" s="642" t="n"/>
      <x:c r="AJ8" s="642" t="n"/>
      <x:c r="AK8" s="642" t="n"/>
      <x:c r="AL8" s="642" t="n"/>
      <x:c r="AM8" s="642" t="n"/>
      <x:c r="AN8" s="642" t="n"/>
      <x:c r="AO8" s="642" t="n"/>
      <x:c r="AP8" s="642" t="n"/>
      <x:c r="AQ8" s="642" t="n"/>
      <x:c r="AR8" s="642" t="n"/>
      <x:c r="AS8" s="642" t="n"/>
      <x:c r="AT8" s="642" t="n"/>
      <x:c r="AU8" s="642" t="n"/>
      <x:c r="AV8" s="642" t="n"/>
      <x:c r="AW8" s="642" t="n"/>
      <x:c r="AX8" s="642" t="n"/>
      <x:c r="AY8" s="642" t="n"/>
      <x:c r="AZ8" s="642" t="n"/>
      <x:c r="BA8" s="642" t="n"/>
      <x:c r="BB8" s="642" t="n"/>
      <x:c r="BC8" s="642" t="n"/>
      <x:c r="BD8" s="642" t="n"/>
      <x:c r="BE8" s="642" t="n"/>
      <x:c r="BF8" s="642" t="n"/>
      <x:c r="BG8" s="642" t="n"/>
      <x:c r="BH8" s="642" t="n"/>
      <x:c r="BI8" s="642" t="n"/>
      <x:c r="BJ8" s="642" t="n"/>
      <x:c r="BK8" s="642" t="n"/>
      <x:c r="BL8" s="642" t="n"/>
      <x:c r="BM8" s="642" t="n"/>
      <x:c r="BN8" s="642" t="n"/>
      <x:c r="BO8" s="642" t="n"/>
      <x:c r="BP8" s="642" t="n"/>
      <x:c r="BQ8" s="642" t="n"/>
      <x:c r="BR8" s="642" t="n"/>
      <x:c r="BS8" s="642" t="n"/>
      <x:c r="BT8" s="642" t="n"/>
      <x:c r="BU8" s="642" t="n"/>
      <x:c r="BV8" s="642" t="n"/>
      <x:c r="BW8" s="642" t="n"/>
      <x:c r="BX8" s="642" t="n"/>
      <x:c r="BY8" s="642" t="n"/>
      <x:c r="BZ8" s="642" t="n"/>
      <x:c r="CA8" s="642" t="n"/>
      <x:c r="CB8" s="642" t="n"/>
      <x:c r="CC8" s="642" t="n"/>
      <x:c r="CD8" s="642" t="n"/>
      <x:c r="CE8" s="642" t="n"/>
      <x:c r="CF8" s="642" t="n"/>
      <x:c r="CG8" s="642" t="n"/>
      <x:c r="CH8" s="642" t="n"/>
      <x:c r="CI8" s="642" t="n"/>
      <x:c r="CJ8" s="642" t="n"/>
      <x:c r="CK8" s="642" t="n"/>
      <x:c r="CL8" s="642" t="n"/>
      <x:c r="CM8" s="642" t="n"/>
      <x:c r="CN8" s="642" t="n"/>
      <x:c r="CO8" s="642" t="n"/>
      <x:c r="CP8" s="642" t="n"/>
      <x:c r="CQ8" s="642" t="n"/>
      <x:c r="CR8" s="642" t="n"/>
      <x:c r="CS8" s="642" t="n"/>
      <x:c r="CT8" s="642" t="n"/>
      <x:c r="CU8" s="642" t="n"/>
      <x:c r="CV8" s="642" t="n"/>
      <x:c r="CW8" s="642" t="n"/>
      <x:c r="CX8" s="642" t="n"/>
      <x:c r="CY8" s="642" t="n"/>
      <x:c r="CZ8" s="642" t="n"/>
      <x:c r="DA8" s="642" t="n"/>
      <x:c r="DB8" s="642" t="n"/>
      <x:c r="DC8" s="642" t="n"/>
      <x:c r="DD8" s="642" t="n"/>
      <x:c r="DE8" s="642" t="n"/>
      <x:c r="DF8" s="642" t="n"/>
      <x:c r="DG8" s="642" t="n"/>
      <x:c r="DH8" s="642" t="n"/>
      <x:c r="DI8" s="642" t="n"/>
      <x:c r="DJ8" s="642" t="n"/>
      <x:c r="DK8" s="642" t="n"/>
      <x:c r="DL8" s="642" t="n"/>
      <x:c r="DM8" s="642" t="n"/>
      <x:c r="DN8" s="642" t="n"/>
      <x:c r="DO8" s="642" t="n"/>
      <x:c r="DP8" s="642" t="n"/>
      <x:c r="DQ8" s="642" t="n"/>
      <x:c r="DR8" s="642" t="n"/>
      <x:c r="DS8" s="642" t="n"/>
      <x:c r="DT8" s="642" t="n"/>
      <x:c r="DU8" s="642" t="n"/>
      <x:c r="DV8" s="642" t="n"/>
      <x:c r="DW8" s="642" t="n"/>
      <x:c r="DX8" s="642" t="n"/>
      <x:c r="DY8" s="642" t="n"/>
      <x:c r="DZ8" s="642" t="n"/>
      <x:c r="EA8" s="642" t="n"/>
      <x:c r="EB8" s="642" t="n"/>
      <x:c r="EC8" s="642" t="n"/>
      <x:c r="ED8" s="642" t="n"/>
      <x:c r="EE8" s="642" t="n"/>
      <x:c r="EF8" s="642" t="n"/>
      <x:c r="EG8" s="642" t="n"/>
      <x:c r="EH8" s="642" t="n"/>
      <x:c r="EI8" s="642" t="n"/>
      <x:c r="EJ8" s="642" t="n"/>
      <x:c r="EK8" s="642" t="n"/>
      <x:c r="EL8" s="642" t="n"/>
      <x:c r="EM8" s="642" t="n"/>
      <x:c r="EN8" s="642" t="n"/>
      <x:c r="EO8" s="642" t="n"/>
      <x:c r="EP8" s="642" t="n"/>
      <x:c r="EQ8" s="642" t="n"/>
      <x:c r="ER8" s="642" t="n"/>
      <x:c r="ES8" s="642" t="n"/>
      <x:c r="ET8" s="642" t="n"/>
      <x:c r="EU8" s="642" t="n"/>
      <x:c r="EV8" s="642" t="n"/>
      <x:c r="EW8" s="642" t="n"/>
      <x:c r="EX8" s="642" t="n"/>
      <x:c r="EY8" s="642" t="n"/>
      <x:c r="EZ8" s="642" t="n"/>
      <x:c r="FA8" s="642" t="n"/>
      <x:c r="FB8" s="642" t="n"/>
      <x:c r="FC8" s="642" t="n"/>
      <x:c r="FD8" s="642" t="n"/>
      <x:c r="FE8" s="642" t="n"/>
      <x:c r="FF8" s="642" t="n"/>
      <x:c r="FG8" s="642" t="n"/>
      <x:c r="FH8" s="642" t="n"/>
      <x:c r="FI8" s="642" t="n"/>
      <x:c r="FJ8" s="642" t="n"/>
      <x:c r="FK8" s="642" t="n"/>
      <x:c r="FL8" s="642" t="n"/>
      <x:c r="FM8" s="642" t="n"/>
      <x:c r="FN8" s="642" t="n"/>
      <x:c r="FO8" s="642" t="n"/>
      <x:c r="FP8" s="642" t="n"/>
      <x:c r="FQ8" s="642" t="n"/>
      <x:c r="FR8" s="642" t="n"/>
      <x:c r="FS8" s="642" t="n"/>
      <x:c r="FT8" s="642" t="n"/>
      <x:c r="FU8" s="642" t="n"/>
      <x:c r="FV8" s="642" t="n"/>
      <x:c r="FW8" s="642" t="n"/>
      <x:c r="FX8" s="642" t="n"/>
      <x:c r="FY8" s="642" t="n"/>
      <x:c r="FZ8" s="642" t="n"/>
      <x:c r="GA8" s="642" t="n"/>
    </x:row>
    <x:row r="9" s="40" customFormat="1" ht="12.75" customHeight="1">
      <x:c r="A9" s="48" t="n"/>
      <x:c r="B9" s="47" t="n"/>
      <x:c r="C9" s="45" t="n"/>
      <x:c r="D9" s="46" t="n"/>
      <x:c r="E9" s="45" t="n"/>
      <x:c r="F9" s="44" t="n"/>
      <x:c r="G9" s="43" t="n"/>
      <x:c r="H9" s="41" t="n"/>
      <x:c r="I9" s="42" t="n"/>
      <x:c r="J9" s="41" t="n"/>
      <x:c r="K9" s="41" t="n"/>
      <x:c r="L9" s="41" t="n"/>
      <x:c r="M9" s="41" t="n"/>
      <x:c r="N9" s="41" t="n"/>
      <x:c r="O9" s="41" t="n"/>
      <x:c r="P9" s="41" t="n"/>
      <x:c r="Q9" s="41" t="n"/>
      <x:c r="R9" s="99" t="n"/>
      <x:c r="S9" s="99" t="n"/>
      <x:c r="T9" s="41" t="n"/>
      <x:c r="U9" s="41" t="n"/>
      <x:c r="V9" s="41" t="n"/>
      <x:c r="W9" s="41" t="n"/>
      <x:c r="X9" s="41" t="n"/>
      <x:c r="Y9" s="41" t="n"/>
      <x:c r="Z9" s="41" t="n"/>
      <x:c r="AA9" s="41" t="n"/>
      <x:c r="AB9" s="41" t="n"/>
      <x:c r="AC9" s="41" t="n"/>
      <x:c r="AD9" s="41" t="n"/>
      <x:c r="AE9" s="99" t="n"/>
      <x:c r="AF9" s="99" t="n"/>
      <x:c r="AG9" s="99" t="n"/>
      <x:c r="AH9" s="99" t="n"/>
      <x:c r="AI9" s="99" t="n"/>
      <x:c r="AJ9" s="99" t="n"/>
      <x:c r="AK9" s="99" t="n"/>
      <x:c r="AL9" s="41" t="n"/>
      <x:c r="AM9" s="99" t="n"/>
      <x:c r="AN9" s="41" t="n"/>
      <x:c r="AO9" s="99" t="n"/>
      <x:c r="AP9" s="41" t="n"/>
      <x:c r="AQ9" s="41" t="n"/>
      <x:c r="AR9" s="41" t="n"/>
      <x:c r="AS9" s="41" t="n"/>
      <x:c r="AT9" s="41" t="n"/>
      <x:c r="AU9" s="41" t="n"/>
      <x:c r="AV9" s="41" t="n"/>
      <x:c r="AW9" s="41" t="n"/>
      <x:c r="AX9" s="41" t="n"/>
      <x:c r="AY9" s="41" t="n"/>
      <x:c r="AZ9" s="41" t="n"/>
      <x:c r="BA9" s="41" t="n"/>
      <x:c r="BB9" s="41" t="n"/>
      <x:c r="BC9" s="41" t="n"/>
      <x:c r="BD9" s="41" t="n"/>
      <x:c r="BE9" s="41" t="n"/>
      <x:c r="BF9" s="41" t="n"/>
      <x:c r="BG9" s="41" t="n"/>
      <x:c r="BH9" s="41" t="n"/>
      <x:c r="BI9" s="41" t="n"/>
      <x:c r="BJ9" s="41" t="n"/>
      <x:c r="BK9" s="41" t="n"/>
      <x:c r="BL9" s="41" t="n"/>
      <x:c r="BM9" s="41" t="n"/>
      <x:c r="BN9" s="41" t="n"/>
      <x:c r="BO9" s="41" t="n"/>
      <x:c r="BP9" s="41" t="n"/>
      <x:c r="BQ9" s="41" t="n"/>
      <x:c r="BR9" s="41" t="n"/>
      <x:c r="BS9" s="41" t="n"/>
      <x:c r="BT9" s="41" t="n"/>
      <x:c r="BU9" s="41" t="n"/>
      <x:c r="BV9" s="41" t="n"/>
      <x:c r="BW9" s="41" t="n"/>
      <x:c r="BX9" s="41" t="n"/>
      <x:c r="BY9" s="41" t="n"/>
      <x:c r="BZ9" s="41" t="n"/>
      <x:c r="CA9" s="41" t="n"/>
      <x:c r="CB9" s="41" t="n"/>
      <x:c r="CC9" s="41" t="n"/>
      <x:c r="CD9" s="41" t="n"/>
      <x:c r="CE9" s="41" t="n"/>
      <x:c r="CF9" s="41" t="n"/>
      <x:c r="CG9" s="41" t="n"/>
      <x:c r="CH9" s="41" t="n"/>
      <x:c r="CI9" s="41" t="n"/>
      <x:c r="CJ9" s="41" t="n"/>
      <x:c r="CK9" s="41" t="n"/>
      <x:c r="CL9" s="41" t="n"/>
      <x:c r="CM9" s="41" t="n"/>
      <x:c r="CN9" s="41" t="n"/>
      <x:c r="CO9" s="41" t="n"/>
      <x:c r="CP9" s="41" t="n"/>
      <x:c r="CQ9" s="41" t="n"/>
      <x:c r="CR9" s="41" t="n"/>
      <x:c r="CS9" s="41" t="n"/>
      <x:c r="CT9" s="41" t="n"/>
      <x:c r="CU9" s="41" t="n"/>
      <x:c r="CV9" s="41" t="n"/>
      <x:c r="CW9" s="41" t="n"/>
      <x:c r="CX9" s="41" t="n"/>
      <x:c r="CY9" s="41" t="n"/>
      <x:c r="CZ9" s="41" t="n"/>
      <x:c r="DA9" s="41" t="n"/>
      <x:c r="DB9" s="41" t="n"/>
      <x:c r="DC9" s="41" t="n"/>
      <x:c r="DD9" s="41" t="n"/>
      <x:c r="DE9" s="41" t="n"/>
      <x:c r="DF9" s="41" t="n"/>
      <x:c r="DG9" s="41" t="n"/>
      <x:c r="DH9" s="41" t="n"/>
      <x:c r="DI9" s="41" t="n"/>
      <x:c r="DJ9" s="41" t="n"/>
      <x:c r="DK9" s="41" t="n"/>
      <x:c r="DL9" s="41" t="n"/>
      <x:c r="DM9" s="41" t="n"/>
      <x:c r="DN9" s="41" t="n"/>
      <x:c r="DO9" s="41" t="n"/>
      <x:c r="DP9" s="41" t="n"/>
      <x:c r="DQ9" s="41" t="n"/>
      <x:c r="DR9" s="41" t="n"/>
      <x:c r="DS9" s="41" t="n"/>
      <x:c r="DT9" s="41" t="n"/>
      <x:c r="DU9" s="41" t="n"/>
      <x:c r="DV9" s="41" t="n"/>
      <x:c r="DW9" s="41" t="n"/>
      <x:c r="DX9" s="41" t="n"/>
      <x:c r="DY9" s="41" t="n"/>
      <x:c r="DZ9" s="41" t="n"/>
      <x:c r="EA9" s="41" t="n"/>
      <x:c r="EB9" s="41" t="n"/>
      <x:c r="EC9" s="41" t="n"/>
      <x:c r="ED9" s="41" t="n"/>
      <x:c r="EE9" s="41" t="n"/>
      <x:c r="EF9" s="41" t="n"/>
      <x:c r="EG9" s="41" t="n"/>
      <x:c r="EH9" s="41" t="n"/>
      <x:c r="EI9" s="41" t="n"/>
      <x:c r="EJ9" s="41" t="n"/>
      <x:c r="EK9" s="41" t="n"/>
      <x:c r="EL9" s="41" t="n"/>
      <x:c r="EM9" s="41" t="n"/>
      <x:c r="EN9" s="41" t="n"/>
      <x:c r="EO9" s="41" t="n"/>
      <x:c r="EP9" s="41" t="n"/>
      <x:c r="EQ9" s="41" t="n"/>
      <x:c r="ER9" s="41" t="n"/>
      <x:c r="ES9" s="41" t="n"/>
      <x:c r="ET9" s="41" t="n"/>
      <x:c r="EU9" s="41" t="n"/>
      <x:c r="EV9" s="41" t="n"/>
      <x:c r="EW9" s="41" t="n"/>
      <x:c r="EX9" s="41" t="n"/>
      <x:c r="EY9" s="41" t="n"/>
      <x:c r="EZ9" s="41" t="n"/>
      <x:c r="FA9" s="41" t="n"/>
      <x:c r="FB9" s="41" t="n"/>
      <x:c r="FC9" s="41" t="n"/>
      <x:c r="FD9" s="41" t="n"/>
      <x:c r="FE9" s="41" t="n"/>
      <x:c r="FF9" s="41" t="n"/>
      <x:c r="FG9" s="41" t="n"/>
      <x:c r="FH9" s="41" t="n"/>
      <x:c r="FI9" s="41" t="n"/>
      <x:c r="FJ9" s="41" t="n"/>
      <x:c r="FK9" s="41" t="n"/>
      <x:c r="FL9" s="41" t="n"/>
      <x:c r="FM9" s="41" t="n"/>
      <x:c r="FN9" s="41" t="n"/>
      <x:c r="FO9" s="41" t="n"/>
      <x:c r="FP9" s="41" t="n"/>
      <x:c r="FQ9" s="41" t="n"/>
      <x:c r="FR9" s="41" t="n"/>
      <x:c r="FS9" s="41" t="n"/>
      <x:c r="FT9" s="41" t="n"/>
      <x:c r="FU9" s="41" t="n"/>
      <x:c r="FV9" s="41" t="n"/>
      <x:c r="FW9" s="41" t="n"/>
      <x:c r="FX9" s="41" t="n"/>
      <x:c r="FY9" s="41" t="n"/>
      <x:c r="FZ9" s="41" t="n"/>
      <x:c r="GA9" s="41" t="n"/>
    </x:row>
    <x:row r="10" s="27" customFormat="1">
      <x:c r="A10" s="38" t="n"/>
      <x:c r="B10" s="37" t="n"/>
      <x:c r="C10" s="36" t="n">
        <x:f>E10*D$5</x:f>
        <x:v>0</x:v>
      </x:c>
      <x:c r="D10" s="103" t="inlineStr">
        <x:is>
          <x:t xml:space="preserve">United States of America</x:t>
        </x:is>
      </x:c>
      <x:c r="E10" s="36" t="n">
        <x:f>SUM(G10:HT10)</x:f>
        <x:v>0</x:v>
      </x:c>
      <x:c r="F10" s="35" t="inlineStr">
        <x:is>
          <x:t xml:space="preserve"/>
        </x:is>
      </x:c>
      <x:c r="G10" s="121" t="n">
        <x:v>1</x:v>
      </x:c>
      <x:c r="H10" s="122" t="n">
        <x:v>-1</x:v>
      </x:c>
      <x:c r="I10" s="121" t="n"/>
      <x:c r="J10" s="121" t="n"/>
      <x:c r="K10" s="122" t="n"/>
      <x:c r="L10" s="121" t="n"/>
      <x:c r="M10" s="121" t="n"/>
      <x:c r="N10" s="121" t="n"/>
      <x:c r="O10" s="121" t="n"/>
      <x:c r="P10" s="121" t="n"/>
      <x:c r="Q10" s="121" t="n"/>
      <x:c r="R10" s="123" t="n"/>
      <x:c r="S10" s="123" t="n"/>
      <x:c r="T10" s="121" t="n"/>
      <x:c r="U10" s="121" t="n"/>
      <x:c r="V10" s="121" t="n"/>
      <x:c r="W10" s="121" t="n"/>
      <x:c r="X10" s="121" t="n"/>
      <x:c r="Y10" s="121" t="n"/>
      <x:c r="Z10" s="121" t="n"/>
      <x:c r="AA10" s="121" t="n"/>
      <x:c r="AB10" s="121" t="n"/>
      <x:c r="AC10" s="121" t="n"/>
      <x:c r="AD10" s="121" t="n"/>
      <x:c r="AE10" s="123" t="n"/>
      <x:c r="AF10" s="123" t="n"/>
      <x:c r="AG10" s="123" t="n"/>
      <x:c r="AH10" s="123" t="n"/>
      <x:c r="AI10" s="123" t="n"/>
      <x:c r="AJ10" s="123" t="n"/>
      <x:c r="AK10" s="123" t="n"/>
      <x:c r="AL10" s="121" t="n"/>
      <x:c r="AM10" s="123" t="n"/>
      <x:c r="AN10" s="121" t="n"/>
      <x:c r="AO10" s="123" t="n"/>
      <x:c r="AP10" s="121" t="n"/>
      <x:c r="AQ10" s="121" t="n"/>
      <x:c r="AR10" s="28" t="n"/>
      <x:c r="AS10" s="28" t="n"/>
      <x:c r="AT10" s="28" t="n"/>
      <x:c r="AU10" s="28" t="n"/>
      <x:c r="AV10" s="28" t="n"/>
      <x:c r="AW10" s="28" t="n"/>
      <x:c r="AX10" s="28" t="n"/>
      <x:c r="AY10" s="28" t="n"/>
      <x:c r="AZ10" s="28" t="n"/>
      <x:c r="BA10" s="28" t="n"/>
      <x:c r="BB10" s="28" t="n"/>
      <x:c r="BC10" s="28" t="n"/>
      <x:c r="BD10" s="28" t="n"/>
      <x:c r="BE10" s="28" t="n"/>
      <x:c r="BF10" s="28" t="n"/>
      <x:c r="BG10" s="28" t="n"/>
      <x:c r="BH10" s="28" t="n"/>
      <x:c r="BI10" s="28" t="n"/>
      <x:c r="BJ10" s="28" t="n"/>
      <x:c r="BK10" s="28" t="n"/>
      <x:c r="BL10" s="28" t="n"/>
      <x:c r="BM10" s="28" t="n"/>
      <x:c r="BN10" s="28" t="n"/>
      <x:c r="BO10" s="28" t="n"/>
      <x:c r="BP10" s="28" t="n"/>
      <x:c r="BQ10" s="28" t="n"/>
      <x:c r="BR10" s="28" t="n"/>
      <x:c r="BS10" s="28" t="n"/>
      <x:c r="BT10" s="28" t="n"/>
      <x:c r="BU10" s="28" t="n"/>
      <x:c r="BV10" s="28" t="n"/>
      <x:c r="BW10" s="28" t="n"/>
      <x:c r="BX10" s="28" t="n"/>
      <x:c r="BY10" s="28" t="n"/>
      <x:c r="BZ10" s="28" t="n"/>
      <x:c r="CA10" s="28" t="n"/>
      <x:c r="CB10" s="28" t="n"/>
      <x:c r="CC10" s="28" t="n"/>
      <x:c r="CD10" s="28" t="n"/>
      <x:c r="CE10" s="28" t="n"/>
      <x:c r="CF10" s="28" t="n"/>
      <x:c r="CG10" s="28" t="n"/>
      <x:c r="CH10" s="28" t="n"/>
      <x:c r="CI10" s="28" t="n"/>
      <x:c r="CJ10" s="28" t="n"/>
      <x:c r="CK10" s="28" t="n"/>
      <x:c r="CL10" s="28" t="n"/>
      <x:c r="CM10" s="28" t="n"/>
      <x:c r="CN10" s="28" t="n"/>
      <x:c r="CO10" s="28" t="n"/>
      <x:c r="CP10" s="28" t="n"/>
      <x:c r="CQ10" s="28" t="n"/>
      <x:c r="CR10" s="28" t="n"/>
      <x:c r="CS10" s="28" t="n"/>
      <x:c r="CT10" s="28" t="n"/>
      <x:c r="CU10" s="28" t="n"/>
      <x:c r="CV10" s="28" t="n"/>
      <x:c r="CW10" s="28" t="n"/>
      <x:c r="CX10" s="28" t="n"/>
      <x:c r="CY10" s="28" t="n"/>
      <x:c r="CZ10" s="28" t="n"/>
      <x:c r="DA10" s="28" t="n"/>
      <x:c r="DB10" s="28" t="n"/>
      <x:c r="DC10" s="28" t="n"/>
      <x:c r="DD10" s="28" t="n"/>
      <x:c r="DE10" s="28" t="n"/>
      <x:c r="DF10" s="28" t="n"/>
      <x:c r="DG10" s="28" t="n"/>
      <x:c r="DH10" s="28" t="n"/>
      <x:c r="DI10" s="28" t="n"/>
      <x:c r="DJ10" s="28" t="n"/>
      <x:c r="DK10" s="28" t="n"/>
      <x:c r="DL10" s="28" t="n"/>
      <x:c r="DM10" s="28" t="n"/>
      <x:c r="DN10" s="28" t="n"/>
      <x:c r="DO10" s="28" t="n"/>
      <x:c r="DP10" s="28" t="n"/>
      <x:c r="DQ10" s="28" t="n"/>
      <x:c r="DR10" s="28" t="n"/>
      <x:c r="DS10" s="28" t="n"/>
      <x:c r="DT10" s="28" t="n"/>
      <x:c r="DU10" s="28" t="n"/>
      <x:c r="DV10" s="28" t="n"/>
      <x:c r="DW10" s="28" t="n"/>
      <x:c r="DX10" s="28" t="n"/>
      <x:c r="DY10" s="28" t="n"/>
      <x:c r="DZ10" s="28" t="n"/>
      <x:c r="EA10" s="28" t="n"/>
      <x:c r="EB10" s="28" t="n"/>
      <x:c r="EC10" s="28" t="n"/>
      <x:c r="ED10" s="28" t="n"/>
      <x:c r="EE10" s="28" t="n"/>
      <x:c r="EF10" s="28" t="n"/>
      <x:c r="EG10" s="28" t="n"/>
      <x:c r="EH10" s="28" t="n"/>
      <x:c r="EI10" s="28" t="n"/>
      <x:c r="EJ10" s="28" t="n"/>
      <x:c r="EK10" s="28" t="n"/>
      <x:c r="EL10" s="28" t="n"/>
      <x:c r="EM10" s="28" t="n"/>
      <x:c r="EN10" s="28" t="n"/>
      <x:c r="EO10" s="28" t="n"/>
      <x:c r="EP10" s="28" t="n"/>
      <x:c r="EQ10" s="28" t="n"/>
      <x:c r="ER10" s="28" t="n"/>
      <x:c r="ES10" s="28" t="n"/>
      <x:c r="ET10" s="28" t="n"/>
      <x:c r="EU10" s="28" t="n"/>
      <x:c r="EV10" s="28" t="n"/>
      <x:c r="EW10" s="28" t="n"/>
      <x:c r="EX10" s="28" t="n"/>
      <x:c r="EY10" s="28" t="n"/>
      <x:c r="EZ10" s="28" t="n"/>
      <x:c r="FA10" s="28" t="n"/>
      <x:c r="FB10" s="28" t="n"/>
      <x:c r="FC10" s="28" t="n"/>
      <x:c r="FD10" s="28" t="n"/>
      <x:c r="FE10" s="28" t="n"/>
      <x:c r="FF10" s="28" t="n"/>
      <x:c r="FG10" s="28" t="n"/>
      <x:c r="FH10" s="28" t="n"/>
      <x:c r="FI10" s="28" t="n"/>
      <x:c r="FJ10" s="28" t="n"/>
      <x:c r="FK10" s="28" t="n"/>
      <x:c r="FL10" s="28" t="n"/>
      <x:c r="FM10" s="28" t="n"/>
      <x:c r="FN10" s="28" t="n"/>
      <x:c r="FO10" s="28" t="n"/>
      <x:c r="FP10" s="28" t="n"/>
      <x:c r="FQ10" s="28" t="n"/>
      <x:c r="FR10" s="28" t="n"/>
      <x:c r="FS10" s="28" t="n"/>
      <x:c r="FT10" s="28" t="n"/>
      <x:c r="FU10" s="28" t="n"/>
      <x:c r="FV10" s="28" t="n"/>
      <x:c r="FW10" s="28" t="n"/>
      <x:c r="FX10" s="28" t="n"/>
      <x:c r="FY10" s="28" t="n"/>
      <x:c r="FZ10" s="28" t="n"/>
      <x:c r="GA10" s="28" t="n"/>
    </x:row>
    <x:row r="11" s="27" customFormat="1">
      <x:c r="A11" s="20" t="n"/>
      <x:c r="B11" s="37" t="n"/>
      <x:c r="C11" s="86" t="n">
        <x:f>E11*D$5</x:f>
        <x:v>38.28</x:v>
      </x:c>
      <x:c r="D11" s="103" t="inlineStr">
        <x:is>
          <x:t xml:space="preserve">Leo Kennett</x:t>
        </x:is>
      </x:c>
      <x:c r="E11" s="86" t="n">
        <x:f>SUM(G11:HT11)</x:f>
        <x:v>1</x:v>
      </x:c>
      <x:c r="F11" s="35" t="inlineStr">
        <x:is>
          <x:t xml:space="preserve"/>
        </x:is>
      </x:c>
      <x:c r="G11" s="121" t="n"/>
      <x:c r="H11" s="121" t="n">
        <x:v>1</x:v>
      </x:c>
      <x:c r="I11" s="121" t="n"/>
      <x:c r="J11" s="122" t="n">
        <x:v>-1</x:v>
      </x:c>
      <x:c r="K11" s="121" t="n"/>
      <x:c r="L11" s="121" t="n"/>
      <x:c r="M11" s="121" t="n"/>
      <x:c r="N11" s="121" t="n"/>
      <x:c r="O11" s="121" t="n"/>
      <x:c r="P11" s="121" t="n"/>
      <x:c r="Q11" s="123" t="n"/>
      <x:c r="R11" s="123" t="n"/>
      <x:c r="S11" s="121" t="n"/>
      <x:c r="T11" s="121" t="n"/>
      <x:c r="U11" s="121" t="n"/>
      <x:c r="V11" s="121" t="n"/>
      <x:c r="W11" s="121" t="n"/>
      <x:c r="X11" s="121" t="n"/>
      <x:c r="Y11" s="121" t="n"/>
      <x:c r="Z11" s="121" t="n"/>
      <x:c r="AA11" s="121" t="n"/>
      <x:c r="AB11" s="121" t="n"/>
      <x:c r="AC11" s="121" t="n"/>
      <x:c r="AD11" s="124" t="n"/>
      <x:c r="AE11" s="123" t="n"/>
      <x:c r="AF11" s="123" t="n"/>
      <x:c r="AG11" s="123" t="n"/>
      <x:c r="AH11" s="123" t="n"/>
      <x:c r="AI11" s="123" t="n"/>
      <x:c r="AJ11" s="123" t="n"/>
      <x:c r="AK11" s="121" t="n"/>
      <x:c r="AL11" s="123" t="n"/>
      <x:c r="AM11" s="121" t="n"/>
      <x:c r="AN11" s="123" t="n"/>
      <x:c r="AO11" s="121" t="n"/>
      <x:c r="AP11" s="121" t="n"/>
      <x:c r="AQ11" s="28" t="n"/>
      <x:c r="AR11" s="28" t="n"/>
      <x:c r="AS11" s="28" t="n"/>
      <x:c r="AT11" s="28" t="n"/>
      <x:c r="AU11" s="28" t="n"/>
      <x:c r="AV11" s="28" t="n"/>
      <x:c r="AW11" s="28" t="n"/>
      <x:c r="AX11" s="28" t="n"/>
      <x:c r="AY11" s="28" t="n"/>
      <x:c r="AZ11" s="28" t="n"/>
      <x:c r="BA11" s="28" t="n"/>
      <x:c r="BB11" s="28" t="n"/>
      <x:c r="BC11" s="28" t="n"/>
      <x:c r="BD11" s="28" t="n"/>
      <x:c r="BE11" s="28" t="n"/>
      <x:c r="BF11" s="28" t="n"/>
      <x:c r="BG11" s="28" t="n"/>
      <x:c r="BH11" s="28" t="n"/>
      <x:c r="BI11" s="28" t="n"/>
      <x:c r="BJ11" s="28" t="n"/>
      <x:c r="BK11" s="28" t="n"/>
      <x:c r="BL11" s="28" t="n"/>
      <x:c r="BM11" s="28" t="n"/>
      <x:c r="BN11" s="28" t="n"/>
      <x:c r="BO11" s="28" t="n"/>
      <x:c r="BP11" s="28" t="n"/>
      <x:c r="BQ11" s="28" t="n"/>
      <x:c r="BR11" s="28" t="n"/>
      <x:c r="BS11" s="28" t="n"/>
      <x:c r="BT11" s="28" t="n"/>
      <x:c r="BU11" s="28" t="n"/>
      <x:c r="BV11" s="28" t="n"/>
      <x:c r="BW11" s="28" t="n"/>
      <x:c r="BX11" s="28" t="n"/>
      <x:c r="BY11" s="28" t="n">
        <x:v>1</x:v>
      </x:c>
      <x:c r="BZ11" s="28" t="n"/>
      <x:c r="CA11" s="28" t="n"/>
      <x:c r="CB11" s="28" t="n"/>
      <x:c r="CC11" s="28" t="n"/>
      <x:c r="CD11" s="28" t="n"/>
      <x:c r="CE11" s="28" t="n"/>
      <x:c r="CF11" s="28" t="n"/>
      <x:c r="CG11" s="28" t="n"/>
      <x:c r="CH11" s="28" t="n"/>
      <x:c r="CI11" s="28" t="n"/>
      <x:c r="CJ11" s="28" t="n"/>
      <x:c r="CK11" s="28" t="n"/>
      <x:c r="CL11" s="28" t="n"/>
      <x:c r="CM11" s="28" t="n"/>
      <x:c r="CN11" s="28" t="n"/>
      <x:c r="CO11" s="28" t="n"/>
      <x:c r="CP11" s="28" t="n"/>
      <x:c r="CQ11" s="28" t="n"/>
      <x:c r="CR11" s="28" t="n"/>
      <x:c r="CS11" s="28" t="n"/>
      <x:c r="CT11" s="28" t="n"/>
      <x:c r="CU11" s="28" t="n"/>
      <x:c r="CV11" s="28" t="n"/>
      <x:c r="CW11" s="28" t="n"/>
      <x:c r="CX11" s="28" t="n"/>
      <x:c r="CY11" s="28" t="n"/>
      <x:c r="CZ11" s="28" t="n"/>
      <x:c r="DA11" s="28" t="n"/>
      <x:c r="DB11" s="28" t="n"/>
      <x:c r="DC11" s="28" t="n"/>
      <x:c r="DD11" s="28" t="n"/>
      <x:c r="DE11" s="28" t="n"/>
      <x:c r="DF11" s="28" t="n"/>
      <x:c r="DG11" s="28" t="n"/>
      <x:c r="DH11" s="28" t="n"/>
      <x:c r="DI11" s="28" t="n"/>
      <x:c r="DJ11" s="28" t="n"/>
      <x:c r="DK11" s="28" t="n"/>
      <x:c r="DL11" s="28" t="n"/>
      <x:c r="DM11" s="28" t="n"/>
      <x:c r="DN11" s="28" t="n"/>
      <x:c r="DO11" s="28" t="n"/>
      <x:c r="DP11" s="28" t="n"/>
      <x:c r="DQ11" s="28" t="n"/>
      <x:c r="DR11" s="28" t="n"/>
      <x:c r="DS11" s="28" t="n"/>
      <x:c r="DT11" s="28" t="n"/>
      <x:c r="DU11" s="28" t="n"/>
      <x:c r="DV11" s="28" t="n"/>
      <x:c r="DW11" s="28" t="n"/>
      <x:c r="DX11" s="28" t="n"/>
      <x:c r="DY11" s="28" t="n"/>
      <x:c r="DZ11" s="28" t="n"/>
      <x:c r="EA11" s="28" t="n"/>
      <x:c r="EB11" s="28" t="n"/>
      <x:c r="EC11" s="28" t="n"/>
      <x:c r="ED11" s="28" t="n"/>
      <x:c r="EE11" s="28" t="n"/>
      <x:c r="EF11" s="28" t="n"/>
      <x:c r="EG11" s="28" t="n"/>
      <x:c r="EH11" s="28" t="n"/>
      <x:c r="EI11" s="28" t="n"/>
      <x:c r="EJ11" s="28" t="n"/>
      <x:c r="EK11" s="28" t="n"/>
      <x:c r="EL11" s="28" t="n"/>
      <x:c r="EM11" s="28" t="n"/>
      <x:c r="EN11" s="28" t="n"/>
      <x:c r="EO11" s="28" t="n"/>
      <x:c r="EP11" s="28" t="n"/>
      <x:c r="EQ11" s="28" t="n"/>
      <x:c r="ER11" s="28" t="n"/>
      <x:c r="ES11" s="28" t="n"/>
      <x:c r="ET11" s="28" t="n"/>
      <x:c r="EU11" s="28" t="n"/>
      <x:c r="EV11" s="28" t="n"/>
      <x:c r="EW11" s="28" t="n"/>
      <x:c r="EX11" s="28" t="n"/>
      <x:c r="EY11" s="28" t="n"/>
      <x:c r="EZ11" s="28" t="n"/>
      <x:c r="FA11" s="28" t="n"/>
      <x:c r="FB11" s="28" t="n"/>
      <x:c r="FC11" s="28" t="n"/>
      <x:c r="FD11" s="28" t="n"/>
      <x:c r="FE11" s="28" t="n"/>
      <x:c r="FF11" s="28" t="n"/>
      <x:c r="FG11" s="28" t="n"/>
      <x:c r="FH11" s="28" t="n"/>
      <x:c r="FI11" s="28" t="n"/>
      <x:c r="FJ11" s="28" t="n"/>
      <x:c r="FK11" s="28" t="n"/>
      <x:c r="FL11" s="28" t="n"/>
      <x:c r="FM11" s="28" t="n"/>
      <x:c r="FN11" s="28" t="n"/>
      <x:c r="FO11" s="28" t="n"/>
      <x:c r="FP11" s="28" t="n"/>
      <x:c r="FQ11" s="28" t="n"/>
      <x:c r="FR11" s="28" t="n"/>
      <x:c r="FS11" s="28" t="n"/>
      <x:c r="FT11" s="28" t="n"/>
      <x:c r="FU11" s="28" t="n"/>
      <x:c r="FV11" s="28" t="n"/>
      <x:c r="FW11" s="28" t="n"/>
      <x:c r="FX11" s="28" t="n"/>
      <x:c r="FY11" s="28" t="n"/>
      <x:c r="FZ11" s="28" t="n"/>
    </x:row>
    <x:row r="12" s="27" customFormat="1">
      <x:c r="A12" s="20" t="n"/>
      <x:c r="B12" s="37" t="n"/>
      <x:c r="C12" s="86" t="n">
        <x:f>E12*D$5</x:f>
        <x:v>38.28</x:v>
      </x:c>
      <x:c r="D12" s="103" t="inlineStr">
        <x:is>
          <x:t xml:space="preserve">Herbert E. McGuire</x:t>
        </x:is>
      </x:c>
      <x:c r="E12" s="86" t="n">
        <x:f>SUM(G12:HT12)</x:f>
        <x:v>1</x:v>
      </x:c>
      <x:c r="F12" s="35" t="inlineStr">
        <x:is>
          <x:t xml:space="preserve"/>
        </x:is>
      </x:c>
      <x:c r="G12" s="121" t="n"/>
      <x:c r="H12" s="121" t="n"/>
      <x:c r="I12" s="121" t="n">
        <x:v>1</x:v>
      </x:c>
      <x:c r="J12" s="121" t="n"/>
      <x:c r="K12" s="121" t="n"/>
      <x:c r="L12" s="121" t="n"/>
      <x:c r="M12" s="121" t="n"/>
      <x:c r="N12" s="121" t="n"/>
      <x:c r="O12" s="121" t="n"/>
      <x:c r="P12" s="121" t="n"/>
      <x:c r="Q12" s="123" t="n"/>
      <x:c r="R12" s="123" t="n"/>
      <x:c r="S12" s="121" t="n"/>
      <x:c r="T12" s="121" t="n"/>
      <x:c r="U12" s="121" t="n"/>
      <x:c r="V12" s="121" t="n"/>
      <x:c r="W12" s="121" t="n"/>
      <x:c r="X12" s="121" t="n"/>
      <x:c r="Y12" s="121" t="n"/>
      <x:c r="Z12" s="121" t="n"/>
      <x:c r="AA12" s="121" t="n"/>
      <x:c r="AB12" s="121" t="n"/>
      <x:c r="AC12" s="121" t="n"/>
      <x:c r="AD12" s="124" t="n"/>
      <x:c r="AE12" s="123" t="n"/>
      <x:c r="AF12" s="123" t="n"/>
      <x:c r="AG12" s="123" t="n"/>
      <x:c r="AH12" s="123" t="n"/>
      <x:c r="AI12" s="123" t="n"/>
      <x:c r="AJ12" s="123" t="n"/>
      <x:c r="AK12" s="121" t="n"/>
      <x:c r="AL12" s="124" t="n"/>
      <x:c r="AM12" s="121" t="n"/>
      <x:c r="AN12" s="123" t="n"/>
      <x:c r="AO12" s="121" t="n"/>
      <x:c r="AP12" s="121" t="n"/>
      <x:c r="AQ12" s="28" t="n"/>
      <x:c r="AR12" s="28" t="n"/>
      <x:c r="AS12" s="28" t="n"/>
      <x:c r="AT12" s="28" t="n"/>
      <x:c r="AU12" s="28" t="n"/>
      <x:c r="AV12" s="28" t="n"/>
      <x:c r="AW12" s="28" t="n"/>
      <x:c r="AX12" s="28" t="n"/>
      <x:c r="AY12" s="28" t="n"/>
      <x:c r="AZ12" s="28" t="n"/>
      <x:c r="BA12" s="28" t="n"/>
      <x:c r="BB12" s="28" t="n"/>
      <x:c r="BC12" s="28" t="n"/>
      <x:c r="BD12" s="28" t="n"/>
      <x:c r="BE12" s="28" t="n"/>
      <x:c r="BF12" s="28" t="n"/>
      <x:c r="BG12" s="28" t="n"/>
      <x:c r="BH12" s="28" t="n"/>
      <x:c r="BI12" s="28" t="n"/>
      <x:c r="BJ12" s="28" t="n"/>
      <x:c r="BK12" s="28" t="n"/>
      <x:c r="BL12" s="28" t="n"/>
      <x:c r="BM12" s="28" t="n"/>
      <x:c r="BN12" s="28" t="n"/>
      <x:c r="BO12" s="28" t="n"/>
      <x:c r="BP12" s="28" t="n"/>
      <x:c r="BQ12" s="28" t="n"/>
      <x:c r="BR12" s="28" t="n"/>
      <x:c r="BS12" s="28" t="n"/>
      <x:c r="BT12" s="28" t="n"/>
      <x:c r="BU12" s="28" t="n"/>
      <x:c r="BV12" s="28" t="n"/>
      <x:c r="BW12" s="28" t="n"/>
      <x:c r="BX12" s="28" t="n"/>
      <x:c r="BY12" s="28" t="n"/>
      <x:c r="BZ12" s="28" t="n"/>
      <x:c r="CA12" s="28" t="n"/>
      <x:c r="CB12" s="28" t="n"/>
      <x:c r="CC12" s="28" t="n"/>
      <x:c r="CD12" s="28" t="n"/>
      <x:c r="CE12" s="28" t="n"/>
      <x:c r="CF12" s="28" t="n"/>
      <x:c r="CG12" s="28" t="n"/>
      <x:c r="CH12" s="28" t="n"/>
      <x:c r="CI12" s="28" t="n"/>
      <x:c r="CJ12" s="28" t="n"/>
      <x:c r="CK12" s="28" t="n"/>
      <x:c r="CL12" s="28" t="n"/>
      <x:c r="CM12" s="28" t="n"/>
      <x:c r="CN12" s="28" t="n"/>
      <x:c r="CO12" s="28" t="n"/>
      <x:c r="CP12" s="28" t="n"/>
      <x:c r="CQ12" s="28" t="n"/>
      <x:c r="CR12" s="28" t="n"/>
      <x:c r="CS12" s="28" t="n"/>
      <x:c r="CT12" s="28" t="n"/>
      <x:c r="CU12" s="28" t="n"/>
      <x:c r="CV12" s="28" t="n"/>
      <x:c r="CW12" s="28" t="n"/>
      <x:c r="CX12" s="28" t="n"/>
      <x:c r="CY12" s="28" t="n"/>
      <x:c r="CZ12" s="28" t="n"/>
      <x:c r="DA12" s="28" t="n"/>
      <x:c r="DB12" s="28" t="n"/>
      <x:c r="DC12" s="28" t="n"/>
      <x:c r="DD12" s="28" t="n"/>
      <x:c r="DE12" s="28" t="n"/>
      <x:c r="DF12" s="28" t="n"/>
      <x:c r="DG12" s="28" t="n"/>
      <x:c r="DH12" s="28" t="n"/>
      <x:c r="DI12" s="28" t="n"/>
      <x:c r="DJ12" s="28" t="n"/>
      <x:c r="DK12" s="28" t="n"/>
      <x:c r="DL12" s="28" t="n"/>
      <x:c r="DM12" s="28" t="n"/>
      <x:c r="DN12" s="28" t="n"/>
      <x:c r="DO12" s="28" t="n"/>
      <x:c r="DP12" s="28" t="n"/>
      <x:c r="DQ12" s="28" t="n"/>
      <x:c r="DR12" s="28" t="n"/>
      <x:c r="DS12" s="28" t="n"/>
      <x:c r="DT12" s="28" t="n"/>
      <x:c r="DU12" s="28" t="n"/>
      <x:c r="DV12" s="28" t="n"/>
      <x:c r="DW12" s="28" t="n"/>
      <x:c r="DX12" s="28" t="n"/>
      <x:c r="DY12" s="28" t="n"/>
      <x:c r="DZ12" s="28" t="n"/>
      <x:c r="EA12" s="28" t="n"/>
      <x:c r="EB12" s="28" t="n"/>
      <x:c r="EC12" s="28" t="n"/>
      <x:c r="ED12" s="28" t="n"/>
      <x:c r="EE12" s="28" t="n"/>
      <x:c r="EF12" s="28" t="n"/>
      <x:c r="EG12" s="28" t="n"/>
      <x:c r="EH12" s="28" t="n"/>
      <x:c r="EI12" s="28" t="n"/>
      <x:c r="EJ12" s="28" t="n"/>
      <x:c r="EK12" s="28" t="n"/>
      <x:c r="EL12" s="28" t="n"/>
      <x:c r="EM12" s="28" t="n"/>
      <x:c r="EN12" s="28" t="n"/>
      <x:c r="EO12" s="28" t="n"/>
      <x:c r="EP12" s="28" t="n"/>
      <x:c r="EQ12" s="28" t="n"/>
      <x:c r="ER12" s="28" t="n"/>
      <x:c r="ES12" s="28" t="n"/>
      <x:c r="ET12" s="28" t="n"/>
      <x:c r="EU12" s="28" t="n"/>
      <x:c r="EV12" s="28" t="n"/>
      <x:c r="EW12" s="28" t="n"/>
      <x:c r="EX12" s="28" t="n"/>
      <x:c r="EY12" s="28" t="n"/>
      <x:c r="EZ12" s="28" t="n"/>
      <x:c r="FA12" s="28" t="n"/>
      <x:c r="FB12" s="28" t="n"/>
      <x:c r="FC12" s="28" t="n"/>
      <x:c r="FD12" s="28" t="n"/>
      <x:c r="FE12" s="28" t="n"/>
      <x:c r="FF12" s="28" t="n"/>
      <x:c r="FG12" s="28" t="n"/>
      <x:c r="FH12" s="28" t="n"/>
      <x:c r="FI12" s="28" t="n"/>
      <x:c r="FJ12" s="28" t="n"/>
      <x:c r="FK12" s="28" t="n"/>
      <x:c r="FL12" s="28" t="n"/>
      <x:c r="FM12" s="28" t="n"/>
      <x:c r="FN12" s="28" t="n"/>
      <x:c r="FO12" s="28" t="n"/>
      <x:c r="FP12" s="28" t="n"/>
      <x:c r="FQ12" s="28" t="n"/>
      <x:c r="FR12" s="28" t="n"/>
      <x:c r="FS12" s="28" t="n"/>
      <x:c r="FT12" s="28" t="n"/>
      <x:c r="FU12" s="28" t="n"/>
      <x:c r="FV12" s="28" t="n"/>
      <x:c r="FW12" s="28" t="n"/>
      <x:c r="FX12" s="28" t="n"/>
      <x:c r="FY12" s="28" t="n"/>
      <x:c r="FZ12" s="28" t="n"/>
    </x:row>
    <x:row r="13" s="27" customFormat="1">
      <x:c r="A13" s="20" t="n"/>
      <x:c r="B13" s="37" t="n"/>
      <x:c r="C13" s="86" t="n">
        <x:f>E13*D$5</x:f>
        <x:v>38.28</x:v>
      </x:c>
      <x:c r="D13" s="103" t="inlineStr">
        <x:is>
          <x:t xml:space="preserve">Mack Hawbrook</x:t>
        </x:is>
      </x:c>
      <x:c r="E13" s="86" t="n">
        <x:f>SUM(G13:HT13)</x:f>
        <x:v>1</x:v>
      </x:c>
      <x:c r="F13" s="35" t="inlineStr">
        <x:is>
          <x:t xml:space="preserve"/>
        </x:is>
      </x:c>
      <x:c r="G13" s="121" t="n"/>
      <x:c r="H13" s="121" t="n"/>
      <x:c r="I13" s="121" t="n"/>
      <x:c r="J13" s="121" t="n">
        <x:v>1</x:v>
      </x:c>
      <x:c r="K13" s="121" t="n"/>
      <x:c r="L13" s="121" t="n"/>
      <x:c r="M13" s="121" t="n"/>
      <x:c r="N13" s="121" t="n"/>
      <x:c r="O13" s="122" t="n"/>
      <x:c r="P13" s="121" t="n"/>
      <x:c r="Q13" s="123" t="n"/>
      <x:c r="R13" s="123" t="n"/>
      <x:c r="S13" s="121" t="n"/>
      <x:c r="T13" s="121" t="n"/>
      <x:c r="U13" s="121" t="n"/>
      <x:c r="V13" s="121" t="n"/>
      <x:c r="W13" s="121" t="n"/>
      <x:c r="X13" s="121" t="n"/>
      <x:c r="Y13" s="121" t="n"/>
      <x:c r="Z13" s="121" t="n"/>
      <x:c r="AA13" s="121" t="n"/>
      <x:c r="AB13" s="121" t="n"/>
      <x:c r="AC13" s="121" t="n"/>
      <x:c r="AD13" s="123" t="n"/>
      <x:c r="AE13" s="123" t="n"/>
      <x:c r="AF13" s="124" t="n"/>
      <x:c r="AG13" s="123" t="n"/>
      <x:c r="AH13" s="123" t="n"/>
      <x:c r="AI13" s="123" t="n"/>
      <x:c r="AJ13" s="123" t="n"/>
      <x:c r="AK13" s="121" t="n"/>
      <x:c r="AL13" s="123" t="n"/>
      <x:c r="AM13" s="121" t="n"/>
      <x:c r="AN13" s="123" t="n"/>
      <x:c r="AO13" s="121" t="n"/>
      <x:c r="AP13" s="121" t="n"/>
      <x:c r="AQ13" s="28" t="n"/>
      <x:c r="AR13" s="28" t="n"/>
      <x:c r="AS13" s="28" t="n"/>
      <x:c r="AT13" s="28" t="n"/>
      <x:c r="AU13" s="28" t="n"/>
      <x:c r="AV13" s="28" t="n"/>
      <x:c r="AW13" s="28" t="n"/>
      <x:c r="AX13" s="28" t="n"/>
      <x:c r="AY13" s="28" t="n"/>
      <x:c r="AZ13" s="28" t="n"/>
      <x:c r="BA13" s="28" t="n"/>
      <x:c r="BB13" s="28" t="n"/>
      <x:c r="BC13" s="28" t="n"/>
      <x:c r="BD13" s="28" t="n"/>
      <x:c r="BE13" s="28" t="n"/>
      <x:c r="BF13" s="28" t="n"/>
      <x:c r="BG13" s="28" t="n"/>
      <x:c r="BH13" s="28" t="n"/>
      <x:c r="BI13" s="28" t="n"/>
      <x:c r="BJ13" s="28" t="n"/>
      <x:c r="BK13" s="28" t="n"/>
      <x:c r="BL13" s="28" t="n"/>
      <x:c r="BM13" s="28" t="n"/>
      <x:c r="BN13" s="28" t="n"/>
      <x:c r="BO13" s="28" t="n"/>
      <x:c r="BP13" s="28" t="n"/>
      <x:c r="BQ13" s="28" t="n"/>
      <x:c r="BR13" s="28" t="n"/>
      <x:c r="BS13" s="28" t="n"/>
      <x:c r="BT13" s="28" t="n"/>
      <x:c r="BU13" s="28" t="n"/>
      <x:c r="BV13" s="28" t="n"/>
      <x:c r="BW13" s="28" t="n"/>
      <x:c r="BX13" s="28" t="n"/>
      <x:c r="BY13" s="28" t="n"/>
      <x:c r="BZ13" s="28" t="n"/>
      <x:c r="CA13" s="28" t="n"/>
      <x:c r="CB13" s="28" t="n"/>
      <x:c r="CC13" s="28" t="n"/>
      <x:c r="CD13" s="28" t="n"/>
      <x:c r="CE13" s="28" t="n"/>
      <x:c r="CF13" s="28" t="n"/>
      <x:c r="CG13" s="28" t="n"/>
      <x:c r="CH13" s="28" t="n"/>
      <x:c r="CI13" s="28" t="n"/>
      <x:c r="CJ13" s="28" t="n"/>
      <x:c r="CK13" s="28" t="n"/>
      <x:c r="CL13" s="28" t="n"/>
      <x:c r="CM13" s="28" t="n"/>
      <x:c r="CN13" s="28" t="n"/>
      <x:c r="CO13" s="28" t="n"/>
      <x:c r="CP13" s="28" t="n"/>
      <x:c r="CQ13" s="28" t="n"/>
      <x:c r="CR13" s="28" t="n"/>
      <x:c r="CS13" s="28" t="n"/>
      <x:c r="CT13" s="28" t="n"/>
      <x:c r="CU13" s="28" t="n"/>
      <x:c r="CV13" s="28" t="n"/>
      <x:c r="CW13" s="28" t="n"/>
      <x:c r="CX13" s="28" t="n"/>
      <x:c r="CY13" s="28" t="n"/>
      <x:c r="CZ13" s="28" t="n"/>
      <x:c r="DA13" s="28" t="n"/>
      <x:c r="DB13" s="28" t="n"/>
      <x:c r="DC13" s="28" t="n"/>
      <x:c r="DD13" s="28" t="n"/>
      <x:c r="DE13" s="28" t="n"/>
      <x:c r="DF13" s="28" t="n"/>
      <x:c r="DG13" s="28" t="n"/>
      <x:c r="DH13" s="28" t="n"/>
      <x:c r="DI13" s="28" t="n"/>
      <x:c r="DJ13" s="28" t="n"/>
      <x:c r="DK13" s="28" t="n"/>
      <x:c r="DL13" s="28" t="n"/>
      <x:c r="DM13" s="28" t="n"/>
      <x:c r="DN13" s="28" t="n"/>
      <x:c r="DO13" s="28" t="n"/>
      <x:c r="DP13" s="28" t="n"/>
      <x:c r="DQ13" s="28" t="n"/>
      <x:c r="DR13" s="28" t="n"/>
      <x:c r="DS13" s="28" t="n"/>
      <x:c r="DT13" s="28" t="n"/>
      <x:c r="DU13" s="28" t="n"/>
      <x:c r="DV13" s="28" t="n"/>
      <x:c r="DW13" s="28" t="n"/>
      <x:c r="DX13" s="28" t="n"/>
      <x:c r="DY13" s="28" t="n"/>
      <x:c r="DZ13" s="28" t="n"/>
      <x:c r="EA13" s="28" t="n"/>
      <x:c r="EB13" s="28" t="n"/>
      <x:c r="EC13" s="28" t="n"/>
      <x:c r="ED13" s="28" t="n"/>
      <x:c r="EE13" s="28" t="n"/>
      <x:c r="EF13" s="28" t="n"/>
      <x:c r="EG13" s="28" t="n"/>
      <x:c r="EH13" s="28" t="n"/>
      <x:c r="EI13" s="28" t="n"/>
      <x:c r="EJ13" s="28" t="n"/>
      <x:c r="EK13" s="28" t="n"/>
      <x:c r="EL13" s="28" t="n"/>
      <x:c r="EM13" s="28" t="n"/>
      <x:c r="EN13" s="28" t="n"/>
      <x:c r="EO13" s="28" t="n"/>
      <x:c r="EP13" s="28" t="n"/>
      <x:c r="EQ13" s="28" t="n"/>
      <x:c r="ER13" s="28" t="n"/>
      <x:c r="ES13" s="28" t="n"/>
      <x:c r="ET13" s="28" t="n"/>
      <x:c r="EU13" s="28" t="n"/>
      <x:c r="EV13" s="28" t="n"/>
      <x:c r="EW13" s="28" t="n"/>
      <x:c r="EX13" s="28" t="n"/>
      <x:c r="EY13" s="28" t="n"/>
      <x:c r="EZ13" s="28" t="n"/>
      <x:c r="FA13" s="28" t="n"/>
      <x:c r="FB13" s="28" t="n"/>
      <x:c r="FC13" s="28" t="n"/>
      <x:c r="FD13" s="28" t="n"/>
      <x:c r="FE13" s="28" t="n"/>
      <x:c r="FF13" s="28" t="n"/>
      <x:c r="FG13" s="28" t="n"/>
      <x:c r="FH13" s="28" t="n"/>
      <x:c r="FI13" s="28" t="n"/>
      <x:c r="FJ13" s="28" t="n"/>
      <x:c r="FK13" s="28" t="n"/>
      <x:c r="FL13" s="28" t="n"/>
      <x:c r="FM13" s="28" t="n"/>
      <x:c r="FN13" s="28" t="n"/>
      <x:c r="FO13" s="28" t="n"/>
      <x:c r="FP13" s="28" t="n"/>
      <x:c r="FQ13" s="28" t="n"/>
      <x:c r="FR13" s="28" t="n"/>
      <x:c r="FS13" s="28" t="n"/>
      <x:c r="FT13" s="28" t="n"/>
      <x:c r="FU13" s="28" t="n"/>
      <x:c r="FV13" s="28" t="n"/>
      <x:c r="FW13" s="28" t="n"/>
      <x:c r="FX13" s="28" t="n"/>
      <x:c r="FY13" s="28" t="n"/>
      <x:c r="FZ13" s="28" t="n"/>
    </x:row>
    <x:row r="14" s="27" customFormat="1">
      <x:c r="B14" s="80" t="n"/>
      <x:c r="C14" s="36" t="n">
        <x:f>E14*D$5</x:f>
        <x:v>-38.28</x:v>
      </x:c>
      <x:c r="D14" s="410" t="inlineStr">
        <x:is>
          <x:t xml:space="preserve">E. T. Gamble and Zella M. Gamble, HW</x:t>
        </x:is>
      </x:c>
      <x:c r="E14" s="411" t="n">
        <x:f>SUM(G14:HT14)</x:f>
        <x:v>-1</x:v>
      </x:c>
      <x:c r="F14" s="35" t="inlineStr">
        <x:is>
          <x:t xml:space="preserve"/>
        </x:is>
      </x:c>
      <x:c r="G14" s="121" t="n"/>
      <x:c r="H14" s="122" t="n"/>
      <x:c r="I14" s="121" t="n"/>
      <x:c r="J14" s="121" t="n"/>
      <x:c r="K14" s="121" t="n">
        <x:v>-1</x:v>
      </x:c>
      <x:c r="L14" s="121" t="n"/>
      <x:c r="M14" s="121" t="n"/>
      <x:c r="N14" s="121" t="n"/>
      <x:c r="O14" s="121" t="n"/>
      <x:c r="P14" s="121" t="n"/>
      <x:c r="Q14" s="123" t="n"/>
      <x:c r="R14" s="123" t="n"/>
      <x:c r="S14" s="121" t="n"/>
      <x:c r="T14" s="121" t="n"/>
      <x:c r="U14" s="121" t="n"/>
      <x:c r="V14" s="121" t="n"/>
      <x:c r="W14" s="121" t="n"/>
      <x:c r="X14" s="121" t="n"/>
      <x:c r="Y14" s="121" t="n"/>
      <x:c r="Z14" s="121" t="n"/>
      <x:c r="AA14" s="121" t="n"/>
      <x:c r="AB14" s="121" t="n"/>
      <x:c r="AC14" s="121" t="n"/>
      <x:c r="AD14" s="123" t="n"/>
      <x:c r="AE14" s="123" t="n"/>
      <x:c r="AF14" s="124" t="n"/>
      <x:c r="AG14" s="122" t="n"/>
      <x:c r="AH14" s="122" t="n"/>
      <x:c r="AI14" s="122" t="n"/>
      <x:c r="AJ14" s="122" t="n"/>
      <x:c r="AK14" s="121" t="n"/>
      <x:c r="AL14" s="123" t="n"/>
      <x:c r="AM14" s="121" t="n"/>
      <x:c r="AN14" s="123" t="n"/>
      <x:c r="AO14" s="121" t="n"/>
      <x:c r="AP14" s="121" t="n"/>
      <x:c r="AQ14" s="28" t="n"/>
      <x:c r="AR14" s="28" t="n"/>
      <x:c r="AS14" s="28" t="n"/>
      <x:c r="AT14" s="28" t="n"/>
      <x:c r="AU14" s="28" t="n"/>
      <x:c r="AV14" s="28" t="n"/>
      <x:c r="AW14" s="28" t="n"/>
      <x:c r="AX14" s="28" t="n"/>
      <x:c r="AY14" s="28" t="n"/>
      <x:c r="AZ14" s="28" t="n"/>
      <x:c r="BA14" s="28" t="n"/>
      <x:c r="BB14" s="28" t="n"/>
      <x:c r="BC14" s="28" t="n"/>
      <x:c r="BD14" s="28" t="n"/>
      <x:c r="BE14" s="28" t="n"/>
      <x:c r="BF14" s="28" t="n"/>
      <x:c r="BG14" s="28" t="n"/>
      <x:c r="BH14" s="28" t="n"/>
      <x:c r="BI14" s="28" t="n"/>
      <x:c r="BJ14" s="28" t="n"/>
      <x:c r="BK14" s="28" t="n"/>
      <x:c r="BL14" s="28" t="n"/>
      <x:c r="BM14" s="28" t="n"/>
      <x:c r="BN14" s="28" t="n"/>
      <x:c r="BO14" s="28" t="n"/>
      <x:c r="BP14" s="28" t="n"/>
      <x:c r="BQ14" s="28" t="n"/>
      <x:c r="BR14" s="28" t="n"/>
      <x:c r="BS14" s="28" t="n"/>
      <x:c r="BT14" s="28" t="n"/>
      <x:c r="BU14" s="28" t="n"/>
      <x:c r="BV14" s="28" t="n"/>
      <x:c r="BW14" s="28" t="n"/>
      <x:c r="BX14" s="28" t="n"/>
      <x:c r="BY14" s="28" t="n"/>
      <x:c r="BZ14" s="28" t="n"/>
      <x:c r="CA14" s="28" t="n"/>
      <x:c r="CB14" s="28" t="n"/>
      <x:c r="CC14" s="28" t="n"/>
      <x:c r="CD14" s="28" t="n"/>
      <x:c r="CE14" s="28" t="n"/>
      <x:c r="CF14" s="28" t="n"/>
      <x:c r="CG14" s="28" t="n"/>
      <x:c r="CH14" s="28" t="n"/>
      <x:c r="CI14" s="28" t="n"/>
      <x:c r="CJ14" s="28" t="n"/>
      <x:c r="CK14" s="28" t="n"/>
      <x:c r="CL14" s="28" t="n"/>
      <x:c r="CM14" s="28" t="n"/>
      <x:c r="CN14" s="28" t="n"/>
      <x:c r="CO14" s="28" t="n"/>
      <x:c r="CP14" s="28" t="n"/>
      <x:c r="CQ14" s="28" t="n"/>
      <x:c r="CR14" s="28" t="n"/>
      <x:c r="CS14" s="28" t="n"/>
      <x:c r="CT14" s="28" t="n"/>
      <x:c r="CU14" s="28" t="n"/>
      <x:c r="CV14" s="28" t="n"/>
      <x:c r="CW14" s="28" t="n"/>
      <x:c r="CX14" s="28" t="n"/>
      <x:c r="CY14" s="28" t="n"/>
      <x:c r="CZ14" s="28" t="n"/>
      <x:c r="DA14" s="28" t="n"/>
      <x:c r="DB14" s="28" t="n"/>
      <x:c r="DC14" s="28" t="n"/>
      <x:c r="DD14" s="28" t="n"/>
      <x:c r="DE14" s="28" t="n"/>
      <x:c r="DF14" s="28" t="n"/>
      <x:c r="DG14" s="28" t="n"/>
      <x:c r="DH14" s="28" t="n"/>
      <x:c r="DI14" s="28" t="n"/>
      <x:c r="DJ14" s="28" t="n"/>
      <x:c r="DK14" s="28" t="n"/>
      <x:c r="DL14" s="28" t="n"/>
      <x:c r="DM14" s="28" t="n"/>
      <x:c r="DN14" s="28" t="n"/>
      <x:c r="DO14" s="28" t="n"/>
      <x:c r="DP14" s="28" t="n"/>
      <x:c r="DQ14" s="28" t="n"/>
      <x:c r="DR14" s="28" t="n"/>
      <x:c r="DS14" s="28" t="n"/>
      <x:c r="DT14" s="28" t="n"/>
      <x:c r="DU14" s="28" t="n"/>
      <x:c r="DV14" s="28" t="n"/>
      <x:c r="DW14" s="28" t="n"/>
      <x:c r="DX14" s="28" t="n"/>
      <x:c r="DY14" s="28" t="n"/>
      <x:c r="DZ14" s="28" t="n"/>
      <x:c r="EA14" s="28" t="n"/>
      <x:c r="EB14" s="28" t="n"/>
      <x:c r="EC14" s="28" t="n"/>
      <x:c r="ED14" s="28" t="n"/>
      <x:c r="EE14" s="28" t="n"/>
      <x:c r="EF14" s="28" t="n"/>
      <x:c r="EG14" s="28" t="n"/>
      <x:c r="EH14" s="28" t="n"/>
      <x:c r="EI14" s="28" t="n"/>
      <x:c r="EJ14" s="28" t="n"/>
      <x:c r="EK14" s="28" t="n"/>
      <x:c r="EL14" s="28" t="n"/>
      <x:c r="EM14" s="28" t="n"/>
      <x:c r="EN14" s="28" t="n"/>
      <x:c r="EO14" s="28" t="n"/>
      <x:c r="EP14" s="28" t="n"/>
      <x:c r="EQ14" s="28" t="n"/>
      <x:c r="ER14" s="28" t="n"/>
      <x:c r="ES14" s="28" t="n"/>
      <x:c r="ET14" s="28" t="n"/>
      <x:c r="EU14" s="28" t="n"/>
      <x:c r="EV14" s="28" t="n"/>
      <x:c r="EW14" s="28" t="n"/>
      <x:c r="EX14" s="28" t="n"/>
      <x:c r="EY14" s="28" t="n"/>
      <x:c r="EZ14" s="28" t="n"/>
      <x:c r="FA14" s="28" t="n"/>
      <x:c r="FB14" s="28" t="n"/>
      <x:c r="FC14" s="28" t="n"/>
      <x:c r="FD14" s="28" t="n"/>
      <x:c r="FE14" s="28" t="n"/>
      <x:c r="FF14" s="28" t="n"/>
      <x:c r="FG14" s="28" t="n"/>
      <x:c r="FH14" s="28" t="n"/>
      <x:c r="FI14" s="28" t="n"/>
      <x:c r="FJ14" s="28" t="n"/>
      <x:c r="FK14" s="28" t="n"/>
      <x:c r="FL14" s="28" t="n"/>
      <x:c r="FM14" s="28" t="n"/>
      <x:c r="FN14" s="28" t="n"/>
      <x:c r="FO14" s="28" t="n"/>
      <x:c r="FP14" s="28" t="n"/>
      <x:c r="FQ14" s="28" t="n"/>
      <x:c r="FR14" s="28" t="n"/>
      <x:c r="FS14" s="28" t="n"/>
      <x:c r="FT14" s="28" t="n"/>
      <x:c r="FU14" s="28" t="n"/>
      <x:c r="FV14" s="28" t="n"/>
      <x:c r="FW14" s="28" t="n"/>
      <x:c r="FX14" s="28" t="n"/>
      <x:c r="FY14" s="28" t="n"/>
      <x:c r="FZ14" s="28" t="n"/>
    </x:row>
    <x:row r="15" s="27" customFormat="1">
      <x:c r="A15" s="79" t="n"/>
      <x:c r="B15" s="79" t="n"/>
      <x:c r="C15" s="36" t="n">
        <x:f>E15*D$5</x:f>
        <x:v>38.28</x:v>
      </x:c>
      <x:c r="D15" s="103" t="inlineStr">
        <x:is>
          <x:t xml:space="preserve">Leo Aulbert</x:t>
        </x:is>
      </x:c>
      <x:c r="E15" s="36" t="n">
        <x:f>SUM(G15:HT15)</x:f>
        <x:v>1</x:v>
      </x:c>
      <x:c r="F15" s="35" t="inlineStr">
        <x:is>
          <x:t xml:space="preserve"/>
        </x:is>
      </x:c>
      <x:c r="G15" s="121" t="n"/>
      <x:c r="H15" s="121" t="n"/>
      <x:c r="I15" s="121" t="n"/>
      <x:c r="J15" s="121" t="n"/>
      <x:c r="K15" s="121" t="n">
        <x:v>1</x:v>
      </x:c>
      <x:c r="L15" s="121" t="n"/>
      <x:c r="M15" s="121" t="n"/>
      <x:c r="N15" s="121" t="n"/>
      <x:c r="O15" s="121" t="n"/>
      <x:c r="P15" s="121" t="n"/>
      <x:c r="Q15" s="123" t="n"/>
      <x:c r="R15" s="123" t="n"/>
      <x:c r="S15" s="121" t="n"/>
      <x:c r="T15" s="121" t="n"/>
      <x:c r="U15" s="121" t="n"/>
      <x:c r="V15" s="121" t="n"/>
      <x:c r="W15" s="121" t="n"/>
      <x:c r="X15" s="121" t="n"/>
      <x:c r="Y15" s="121" t="n"/>
      <x:c r="Z15" s="121" t="n"/>
      <x:c r="AA15" s="121" t="n"/>
      <x:c r="AB15" s="121" t="n"/>
      <x:c r="AC15" s="121" t="n"/>
      <x:c r="AD15" s="123" t="n"/>
      <x:c r="AE15" s="123" t="n"/>
      <x:c r="AF15" s="123" t="n"/>
      <x:c r="AG15" s="122" t="n"/>
      <x:c r="AH15" s="122" t="n"/>
      <x:c r="AI15" s="122" t="n"/>
      <x:c r="AJ15" s="122" t="n"/>
      <x:c r="AK15" s="121" t="n"/>
      <x:c r="AL15" s="123" t="n"/>
      <x:c r="AM15" s="121" t="n"/>
      <x:c r="AN15" s="123" t="n"/>
      <x:c r="AO15" s="121" t="n"/>
      <x:c r="AP15" s="121" t="n"/>
      <x:c r="AQ15" s="28" t="n"/>
      <x:c r="AR15" s="28" t="n"/>
      <x:c r="AS15" s="28" t="n"/>
      <x:c r="AT15" s="28" t="n"/>
      <x:c r="AU15" s="28" t="n"/>
      <x:c r="AV15" s="28" t="n"/>
      <x:c r="AW15" s="28" t="n"/>
      <x:c r="AX15" s="28" t="n"/>
      <x:c r="AY15" s="28" t="n"/>
      <x:c r="AZ15" s="28" t="n"/>
      <x:c r="BA15" s="28" t="n"/>
      <x:c r="BB15" s="28" t="n"/>
      <x:c r="BC15" s="28" t="n"/>
      <x:c r="BD15" s="28" t="n"/>
      <x:c r="BE15" s="28" t="n"/>
      <x:c r="BF15" s="28" t="n"/>
      <x:c r="BG15" s="28" t="n"/>
      <x:c r="BH15" s="28" t="n"/>
      <x:c r="BI15" s="28" t="n"/>
      <x:c r="BJ15" s="28" t="n"/>
      <x:c r="BK15" s="28" t="n"/>
      <x:c r="BL15" s="28" t="n"/>
      <x:c r="BM15" s="28" t="n"/>
      <x:c r="BN15" s="28" t="n"/>
      <x:c r="BO15" s="28" t="n"/>
      <x:c r="BP15" s="28" t="n"/>
      <x:c r="BQ15" s="28" t="n"/>
      <x:c r="BR15" s="28" t="n"/>
      <x:c r="BS15" s="28" t="n"/>
      <x:c r="BT15" s="28" t="n"/>
      <x:c r="BU15" s="28" t="n"/>
      <x:c r="BV15" s="28" t="n"/>
      <x:c r="BW15" s="28" t="n"/>
      <x:c r="BX15" s="28" t="n"/>
      <x:c r="BY15" s="28" t="n"/>
      <x:c r="BZ15" s="28" t="n"/>
      <x:c r="CA15" s="28" t="n"/>
      <x:c r="CB15" s="28" t="n"/>
      <x:c r="CC15" s="28" t="n"/>
      <x:c r="CD15" s="28" t="n"/>
      <x:c r="CE15" s="28" t="n"/>
      <x:c r="CF15" s="28" t="n"/>
      <x:c r="CG15" s="28" t="n"/>
      <x:c r="CH15" s="28" t="n"/>
      <x:c r="CI15" s="28" t="n"/>
      <x:c r="CJ15" s="28" t="n"/>
      <x:c r="CK15" s="28" t="n"/>
      <x:c r="CL15" s="28" t="n"/>
      <x:c r="CM15" s="28" t="n"/>
      <x:c r="CN15" s="28" t="n"/>
      <x:c r="CO15" s="28" t="n"/>
      <x:c r="CP15" s="28" t="n"/>
      <x:c r="CQ15" s="28" t="n"/>
      <x:c r="CR15" s="28" t="n"/>
      <x:c r="CS15" s="28" t="n"/>
      <x:c r="CT15" s="28" t="n"/>
      <x:c r="CU15" s="28" t="n"/>
      <x:c r="CV15" s="28" t="n"/>
      <x:c r="CW15" s="28" t="n"/>
      <x:c r="CX15" s="28" t="n"/>
      <x:c r="CY15" s="28" t="n"/>
      <x:c r="CZ15" s="28" t="n"/>
      <x:c r="DA15" s="28" t="n"/>
      <x:c r="DB15" s="28" t="n"/>
      <x:c r="DC15" s="28" t="n"/>
      <x:c r="DD15" s="28" t="n"/>
      <x:c r="DE15" s="28" t="n"/>
      <x:c r="DF15" s="28" t="n"/>
      <x:c r="DG15" s="28" t="n"/>
      <x:c r="DH15" s="28" t="n"/>
      <x:c r="DI15" s="28" t="n"/>
      <x:c r="DJ15" s="28" t="n"/>
      <x:c r="DK15" s="28" t="n"/>
      <x:c r="DL15" s="28" t="n"/>
      <x:c r="DM15" s="28" t="n"/>
      <x:c r="DN15" s="28" t="n"/>
      <x:c r="DO15" s="28" t="n"/>
      <x:c r="DP15" s="28" t="n"/>
      <x:c r="DQ15" s="28" t="n"/>
      <x:c r="DR15" s="28" t="n"/>
      <x:c r="DS15" s="28" t="n"/>
      <x:c r="DT15" s="28" t="n"/>
      <x:c r="DU15" s="28" t="n"/>
      <x:c r="DV15" s="28" t="n"/>
      <x:c r="DW15" s="28" t="n"/>
      <x:c r="DX15" s="28" t="n"/>
      <x:c r="DY15" s="28" t="n"/>
      <x:c r="DZ15" s="28" t="n"/>
      <x:c r="EA15" s="28" t="n"/>
      <x:c r="EB15" s="28" t="n"/>
      <x:c r="EC15" s="28" t="n"/>
      <x:c r="ED15" s="28" t="n"/>
      <x:c r="EE15" s="28" t="n"/>
      <x:c r="EF15" s="28" t="n"/>
      <x:c r="EG15" s="28" t="n"/>
      <x:c r="EH15" s="28" t="n"/>
      <x:c r="EI15" s="28" t="n"/>
      <x:c r="EJ15" s="28" t="n"/>
      <x:c r="EK15" s="28" t="n"/>
      <x:c r="EL15" s="28" t="n"/>
      <x:c r="EM15" s="28" t="n"/>
      <x:c r="EN15" s="28" t="n"/>
      <x:c r="EO15" s="28" t="n"/>
      <x:c r="EP15" s="28" t="n"/>
      <x:c r="EQ15" s="28" t="n"/>
      <x:c r="ER15" s="28" t="n"/>
      <x:c r="ES15" s="28" t="n"/>
      <x:c r="ET15" s="28" t="n"/>
      <x:c r="EU15" s="28" t="n"/>
      <x:c r="EV15" s="28" t="n"/>
      <x:c r="EW15" s="28" t="n"/>
      <x:c r="EX15" s="28" t="n"/>
      <x:c r="EY15" s="28" t="n"/>
      <x:c r="EZ15" s="28" t="n"/>
      <x:c r="FA15" s="28" t="n"/>
      <x:c r="FB15" s="28" t="n"/>
      <x:c r="FC15" s="28" t="n"/>
      <x:c r="FD15" s="28" t="n"/>
      <x:c r="FE15" s="28" t="n"/>
      <x:c r="FF15" s="28" t="n"/>
      <x:c r="FG15" s="28" t="n"/>
      <x:c r="FH15" s="28" t="n"/>
      <x:c r="FI15" s="28" t="n"/>
      <x:c r="FJ15" s="28" t="n"/>
      <x:c r="FK15" s="28" t="n"/>
      <x:c r="FL15" s="28" t="n"/>
      <x:c r="FM15" s="28" t="n"/>
      <x:c r="FN15" s="28" t="n"/>
      <x:c r="FO15" s="28" t="n"/>
      <x:c r="FP15" s="28" t="n"/>
      <x:c r="FQ15" s="28" t="n"/>
      <x:c r="FR15" s="28" t="n"/>
      <x:c r="FS15" s="28" t="n"/>
      <x:c r="FT15" s="28" t="n"/>
      <x:c r="FU15" s="28" t="n"/>
      <x:c r="FV15" s="28" t="n"/>
      <x:c r="FW15" s="28" t="n"/>
      <x:c r="FX15" s="28" t="n"/>
      <x:c r="FY15" s="28" t="n"/>
      <x:c r="FZ15" s="28" t="n"/>
    </x:row>
    <x:row r="16" s="27" customFormat="1">
      <x:c r="A16" s="38" t="n"/>
      <x:c r="B16" s="37" t="n"/>
      <x:c r="C16" s="36" t="n">
        <x:f>E16*D$5</x:f>
        <x:v>-38.28</x:v>
      </x:c>
      <x:c r="D16" s="410" t="inlineStr">
        <x:is>
          <x:t xml:space="preserve">A. H. Douglas</x:t>
        </x:is>
      </x:c>
      <x:c r="E16" s="411" t="n">
        <x:f>SUM(G16:HT16)</x:f>
        <x:v>-1</x:v>
      </x:c>
      <x:c r="F16" s="35" t="inlineStr">
        <x:is>
          <x:t xml:space="preserve"/>
        </x:is>
      </x:c>
      <x:c r="G16" s="121" t="n"/>
      <x:c r="H16" s="122" t="n"/>
      <x:c r="I16" s="121" t="n"/>
      <x:c r="J16" s="121" t="n"/>
      <x:c r="K16" s="121" t="n"/>
      <x:c r="L16" s="121" t="n">
        <x:v>-1</x:v>
      </x:c>
      <x:c r="M16" s="121" t="n"/>
      <x:c r="N16" s="121" t="n"/>
      <x:c r="O16" s="121" t="n"/>
      <x:c r="P16" s="122" t="n"/>
      <x:c r="Q16" s="123" t="n"/>
      <x:c r="R16" s="123" t="n"/>
      <x:c r="S16" s="121" t="n"/>
      <x:c r="T16" s="121" t="n"/>
      <x:c r="U16" s="121" t="n"/>
      <x:c r="V16" s="121" t="n"/>
      <x:c r="W16" s="121" t="n"/>
      <x:c r="X16" s="121" t="n"/>
      <x:c r="Y16" s="121" t="n"/>
      <x:c r="Z16" s="121" t="n"/>
      <x:c r="AA16" s="122" t="n"/>
      <x:c r="AB16" s="121" t="n"/>
      <x:c r="AC16" s="121" t="n"/>
      <x:c r="AD16" s="123" t="n"/>
      <x:c r="AE16" s="123" t="n"/>
      <x:c r="AF16" s="123" t="n"/>
      <x:c r="AG16" s="122" t="n"/>
      <x:c r="AH16" s="122" t="n"/>
      <x:c r="AI16" s="122" t="n"/>
      <x:c r="AJ16" s="122" t="n"/>
      <x:c r="AK16" s="121" t="n"/>
      <x:c r="AL16" s="123" t="n"/>
      <x:c r="AM16" s="121" t="n"/>
      <x:c r="AN16" s="123" t="n"/>
      <x:c r="AO16" s="121" t="n"/>
      <x:c r="AP16" s="121" t="n"/>
      <x:c r="AQ16" s="28" t="n"/>
      <x:c r="AR16" s="28" t="n"/>
      <x:c r="AS16" s="28" t="n"/>
      <x:c r="AT16" s="28" t="n"/>
      <x:c r="AU16" s="28" t="n"/>
      <x:c r="AV16" s="28" t="n"/>
      <x:c r="AW16" s="28" t="n"/>
      <x:c r="AX16" s="28" t="n"/>
      <x:c r="AY16" s="28" t="n"/>
      <x:c r="AZ16" s="28" t="n"/>
      <x:c r="BA16" s="28" t="n"/>
      <x:c r="BB16" s="28" t="n"/>
      <x:c r="BC16" s="28" t="n"/>
      <x:c r="BD16" s="28" t="n"/>
      <x:c r="BE16" s="28" t="n"/>
      <x:c r="BF16" s="28" t="n"/>
      <x:c r="BG16" s="28" t="n"/>
      <x:c r="BH16" s="28" t="n"/>
      <x:c r="BI16" s="28" t="n"/>
      <x:c r="BJ16" s="28" t="n"/>
      <x:c r="BK16" s="28" t="n"/>
      <x:c r="BL16" s="28" t="n"/>
      <x:c r="BM16" s="28" t="n"/>
      <x:c r="BN16" s="28" t="n"/>
      <x:c r="BO16" s="28" t="n"/>
      <x:c r="BP16" s="28" t="n"/>
      <x:c r="BQ16" s="28" t="n"/>
      <x:c r="BR16" s="28" t="n"/>
      <x:c r="BS16" s="28" t="n"/>
      <x:c r="BT16" s="28" t="n"/>
      <x:c r="BU16" s="28" t="n"/>
      <x:c r="BV16" s="28" t="n"/>
      <x:c r="BW16" s="28" t="n"/>
      <x:c r="BX16" s="28" t="n"/>
      <x:c r="BY16" s="28" t="n"/>
      <x:c r="BZ16" s="28" t="n"/>
      <x:c r="CA16" s="28" t="n"/>
      <x:c r="CB16" s="28" t="n"/>
      <x:c r="CC16" s="28" t="n"/>
      <x:c r="CD16" s="28" t="n"/>
      <x:c r="CE16" s="28" t="n"/>
      <x:c r="CF16" s="28" t="n"/>
      <x:c r="CG16" s="28" t="n"/>
      <x:c r="CH16" s="28" t="n"/>
      <x:c r="CI16" s="28" t="n"/>
      <x:c r="CJ16" s="28" t="n"/>
      <x:c r="CK16" s="28" t="n"/>
      <x:c r="CL16" s="28" t="n"/>
      <x:c r="CM16" s="28" t="n"/>
      <x:c r="CN16" s="28" t="n"/>
      <x:c r="CO16" s="28" t="n"/>
      <x:c r="CP16" s="28" t="n"/>
      <x:c r="CQ16" s="28" t="n"/>
      <x:c r="CR16" s="28" t="n"/>
      <x:c r="CS16" s="28" t="n"/>
      <x:c r="CT16" s="28" t="n"/>
      <x:c r="CU16" s="28" t="n"/>
      <x:c r="CV16" s="28" t="n"/>
      <x:c r="CW16" s="28" t="n"/>
      <x:c r="CX16" s="28" t="n"/>
      <x:c r="CY16" s="28" t="n"/>
      <x:c r="CZ16" s="28" t="n"/>
      <x:c r="DA16" s="28" t="n"/>
      <x:c r="DB16" s="28" t="n"/>
      <x:c r="DC16" s="28" t="n"/>
      <x:c r="DD16" s="28" t="n"/>
      <x:c r="DE16" s="28" t="n"/>
      <x:c r="DF16" s="28" t="n"/>
      <x:c r="DG16" s="28" t="n"/>
      <x:c r="DH16" s="28" t="n"/>
      <x:c r="DI16" s="28" t="n"/>
      <x:c r="DJ16" s="28" t="n"/>
      <x:c r="DK16" s="28" t="n"/>
      <x:c r="DL16" s="28" t="n"/>
      <x:c r="DM16" s="28" t="n"/>
      <x:c r="DN16" s="28" t="n"/>
      <x:c r="DO16" s="28" t="n"/>
      <x:c r="DP16" s="28" t="n"/>
      <x:c r="DQ16" s="28" t="n"/>
      <x:c r="DR16" s="28" t="n"/>
      <x:c r="DS16" s="28" t="n"/>
      <x:c r="DT16" s="28" t="n"/>
      <x:c r="DU16" s="28" t="n"/>
      <x:c r="DV16" s="28" t="n"/>
      <x:c r="DW16" s="28" t="n"/>
      <x:c r="DX16" s="28" t="n"/>
      <x:c r="DY16" s="28" t="n"/>
      <x:c r="DZ16" s="28" t="n"/>
      <x:c r="EA16" s="28" t="n"/>
      <x:c r="EB16" s="28" t="n"/>
      <x:c r="EC16" s="28" t="n"/>
      <x:c r="ED16" s="28" t="n"/>
      <x:c r="EE16" s="28" t="n"/>
      <x:c r="EF16" s="28" t="n"/>
      <x:c r="EG16" s="28" t="n"/>
      <x:c r="EH16" s="28" t="n"/>
      <x:c r="EI16" s="28" t="n"/>
      <x:c r="EJ16" s="28" t="n"/>
      <x:c r="EK16" s="28" t="n"/>
      <x:c r="EL16" s="28" t="n"/>
      <x:c r="EM16" s="28" t="n"/>
      <x:c r="EN16" s="28" t="n"/>
      <x:c r="EO16" s="28" t="n"/>
      <x:c r="EP16" s="28" t="n"/>
      <x:c r="EQ16" s="28" t="n"/>
      <x:c r="ER16" s="28" t="n"/>
      <x:c r="ES16" s="28" t="n"/>
      <x:c r="ET16" s="28" t="n"/>
      <x:c r="EU16" s="28" t="n"/>
      <x:c r="EV16" s="28" t="n"/>
      <x:c r="EW16" s="28" t="n"/>
      <x:c r="EX16" s="28" t="n"/>
      <x:c r="EY16" s="28" t="n"/>
      <x:c r="EZ16" s="28" t="n"/>
      <x:c r="FA16" s="28" t="n"/>
      <x:c r="FB16" s="28" t="n"/>
      <x:c r="FC16" s="28" t="n"/>
      <x:c r="FD16" s="28" t="n"/>
      <x:c r="FE16" s="28" t="n"/>
      <x:c r="FF16" s="28" t="n"/>
      <x:c r="FG16" s="28" t="n"/>
      <x:c r="FH16" s="28" t="n"/>
      <x:c r="FI16" s="28" t="n"/>
      <x:c r="FJ16" s="28" t="n"/>
      <x:c r="FK16" s="28" t="n"/>
      <x:c r="FL16" s="28" t="n"/>
      <x:c r="FM16" s="28" t="n"/>
      <x:c r="FN16" s="28" t="n"/>
      <x:c r="FO16" s="28" t="n"/>
      <x:c r="FP16" s="28" t="n"/>
      <x:c r="FQ16" s="28" t="n"/>
      <x:c r="FR16" s="28" t="n"/>
      <x:c r="FS16" s="28" t="n"/>
      <x:c r="FT16" s="28" t="n"/>
      <x:c r="FU16" s="28" t="n"/>
      <x:c r="FV16" s="28" t="n"/>
      <x:c r="FW16" s="28" t="n"/>
      <x:c r="FX16" s="28" t="n"/>
      <x:c r="FY16" s="28" t="n"/>
      <x:c r="FZ16" s="28" t="n"/>
    </x:row>
    <x:row r="17" s="27" customFormat="1">
      <x:c r="A17" s="38" t="n"/>
      <x:c r="B17" s="37" t="n"/>
      <x:c r="C17" s="36" t="n">
        <x:f>E17*D$5</x:f>
        <x:v>38.28</x:v>
      </x:c>
      <x:c r="D17" s="103" t="inlineStr">
        <x:is>
          <x:t xml:space="preserve">Marvin G. Mitchell</x:t>
        </x:is>
      </x:c>
      <x:c r="E17" s="36" t="n">
        <x:f>SUM(G17:HT17)</x:f>
        <x:v>1</x:v>
      </x:c>
      <x:c r="F17" s="35" t="inlineStr">
        <x:is>
          <x:t xml:space="preserve"/>
        </x:is>
      </x:c>
      <x:c r="G17" s="121" t="n"/>
      <x:c r="H17" s="122" t="n"/>
      <x:c r="I17" s="121" t="n"/>
      <x:c r="J17" s="121" t="n"/>
      <x:c r="K17" s="121" t="n"/>
      <x:c r="L17" s="121" t="n">
        <x:v>1</x:v>
      </x:c>
      <x:c r="M17" s="121" t="n"/>
      <x:c r="N17" s="121" t="n"/>
      <x:c r="O17" s="121" t="n"/>
      <x:c r="P17" s="121" t="n"/>
      <x:c r="Q17" s="123" t="n"/>
      <x:c r="R17" s="123" t="n"/>
      <x:c r="S17" s="121" t="n"/>
      <x:c r="T17" s="121" t="n"/>
      <x:c r="U17" s="121" t="n"/>
      <x:c r="V17" s="121" t="n"/>
      <x:c r="W17" s="121" t="n"/>
      <x:c r="X17" s="121" t="n"/>
      <x:c r="Y17" s="121" t="n"/>
      <x:c r="Z17" s="121" t="n"/>
      <x:c r="AA17" s="121" t="n"/>
      <x:c r="AB17" s="121" t="n"/>
      <x:c r="AC17" s="121" t="n"/>
      <x:c r="AD17" s="123" t="n"/>
      <x:c r="AE17" s="123" t="n"/>
      <x:c r="AF17" s="123" t="n"/>
      <x:c r="AG17" s="122" t="n"/>
      <x:c r="AH17" s="122" t="n"/>
      <x:c r="AI17" s="122" t="n"/>
      <x:c r="AJ17" s="122" t="n"/>
      <x:c r="AK17" s="121" t="n"/>
      <x:c r="AL17" s="123" t="n"/>
      <x:c r="AM17" s="121" t="n"/>
      <x:c r="AN17" s="123" t="n"/>
      <x:c r="AO17" s="121" t="n"/>
      <x:c r="AP17" s="121" t="n"/>
      <x:c r="AQ17" s="28" t="n"/>
      <x:c r="AR17" s="28" t="n"/>
      <x:c r="AS17" s="28" t="n"/>
      <x:c r="AT17" s="28" t="n"/>
      <x:c r="AU17" s="28" t="n"/>
      <x:c r="AV17" s="28" t="n"/>
      <x:c r="AW17" s="28" t="n"/>
      <x:c r="AX17" s="28" t="n"/>
      <x:c r="AY17" s="28" t="n"/>
      <x:c r="AZ17" s="28" t="n"/>
      <x:c r="BA17" s="28" t="n"/>
      <x:c r="BB17" s="28" t="n"/>
      <x:c r="BC17" s="28" t="n"/>
      <x:c r="BD17" s="28" t="n"/>
      <x:c r="BE17" s="28" t="n"/>
      <x:c r="BF17" s="28" t="n"/>
      <x:c r="BG17" s="28" t="n"/>
      <x:c r="BH17" s="28" t="n"/>
      <x:c r="BI17" s="28" t="n"/>
      <x:c r="BJ17" s="28" t="n"/>
      <x:c r="BK17" s="28" t="n"/>
      <x:c r="BL17" s="28" t="n"/>
      <x:c r="BM17" s="28" t="n"/>
      <x:c r="BN17" s="28" t="n"/>
      <x:c r="BO17" s="28" t="n"/>
      <x:c r="BP17" s="28" t="n"/>
      <x:c r="BQ17" s="28" t="n"/>
      <x:c r="BR17" s="28" t="n"/>
      <x:c r="BS17" s="28" t="n"/>
      <x:c r="BT17" s="28" t="n"/>
      <x:c r="BU17" s="28" t="n"/>
      <x:c r="BV17" s="28" t="n"/>
      <x:c r="BW17" s="28" t="n"/>
      <x:c r="BX17" s="28" t="n"/>
      <x:c r="BY17" s="28" t="n"/>
      <x:c r="BZ17" s="28" t="n"/>
      <x:c r="CA17" s="28" t="n"/>
      <x:c r="CB17" s="28" t="n"/>
      <x:c r="CC17" s="28" t="n"/>
      <x:c r="CD17" s="28" t="n"/>
      <x:c r="CE17" s="28" t="n"/>
      <x:c r="CF17" s="28" t="n"/>
      <x:c r="CG17" s="28" t="n"/>
      <x:c r="CH17" s="28" t="n"/>
      <x:c r="CI17" s="28" t="n"/>
      <x:c r="CJ17" s="28" t="n"/>
      <x:c r="CK17" s="28" t="n"/>
      <x:c r="CL17" s="28" t="n"/>
      <x:c r="CM17" s="28" t="n"/>
      <x:c r="CN17" s="28" t="n"/>
      <x:c r="CO17" s="28" t="n"/>
      <x:c r="CP17" s="28" t="n"/>
      <x:c r="CQ17" s="28" t="n"/>
      <x:c r="CR17" s="28" t="n"/>
      <x:c r="CS17" s="28" t="n"/>
      <x:c r="CT17" s="28" t="n"/>
      <x:c r="CU17" s="28" t="n"/>
      <x:c r="CV17" s="28" t="n"/>
      <x:c r="CW17" s="28" t="n"/>
      <x:c r="CX17" s="28" t="n"/>
      <x:c r="CY17" s="28" t="n"/>
      <x:c r="CZ17" s="28" t="n"/>
      <x:c r="DA17" s="28" t="n"/>
      <x:c r="DB17" s="28" t="n"/>
      <x:c r="DC17" s="28" t="n"/>
      <x:c r="DD17" s="28" t="n"/>
      <x:c r="DE17" s="28" t="n"/>
      <x:c r="DF17" s="28" t="n"/>
      <x:c r="DG17" s="28" t="n"/>
      <x:c r="DH17" s="28" t="n"/>
      <x:c r="DI17" s="28" t="n"/>
      <x:c r="DJ17" s="28" t="n"/>
      <x:c r="DK17" s="28" t="n"/>
      <x:c r="DL17" s="28" t="n"/>
      <x:c r="DM17" s="28" t="n"/>
      <x:c r="DN17" s="28" t="n"/>
      <x:c r="DO17" s="28" t="n"/>
      <x:c r="DP17" s="28" t="n"/>
      <x:c r="DQ17" s="28" t="n"/>
      <x:c r="DR17" s="28" t="n"/>
      <x:c r="DS17" s="28" t="n"/>
      <x:c r="DT17" s="28" t="n"/>
      <x:c r="DU17" s="28" t="n"/>
      <x:c r="DV17" s="28" t="n"/>
      <x:c r="DW17" s="28" t="n"/>
      <x:c r="DX17" s="28" t="n"/>
      <x:c r="DY17" s="28" t="n"/>
      <x:c r="DZ17" s="28" t="n"/>
      <x:c r="EA17" s="28" t="n"/>
      <x:c r="EB17" s="28" t="n"/>
      <x:c r="EC17" s="28" t="n"/>
      <x:c r="ED17" s="28" t="n"/>
      <x:c r="EE17" s="28" t="n"/>
      <x:c r="EF17" s="28" t="n"/>
      <x:c r="EG17" s="28" t="n"/>
      <x:c r="EH17" s="28" t="n"/>
      <x:c r="EI17" s="28" t="n"/>
      <x:c r="EJ17" s="28" t="n"/>
      <x:c r="EK17" s="28" t="n"/>
      <x:c r="EL17" s="28" t="n"/>
      <x:c r="EM17" s="28" t="n"/>
      <x:c r="EN17" s="28" t="n"/>
      <x:c r="EO17" s="28" t="n"/>
      <x:c r="EP17" s="28" t="n"/>
      <x:c r="EQ17" s="28" t="n"/>
      <x:c r="ER17" s="28" t="n"/>
      <x:c r="ES17" s="28" t="n"/>
      <x:c r="ET17" s="28" t="n"/>
      <x:c r="EU17" s="28" t="n"/>
      <x:c r="EV17" s="28" t="n"/>
      <x:c r="EW17" s="28" t="n"/>
      <x:c r="EX17" s="28" t="n"/>
      <x:c r="EY17" s="28" t="n"/>
      <x:c r="EZ17" s="28" t="n"/>
      <x:c r="FA17" s="28" t="n"/>
      <x:c r="FB17" s="28" t="n"/>
      <x:c r="FC17" s="28" t="n"/>
      <x:c r="FD17" s="28" t="n"/>
      <x:c r="FE17" s="28" t="n"/>
      <x:c r="FF17" s="28" t="n"/>
      <x:c r="FG17" s="28" t="n"/>
      <x:c r="FH17" s="28" t="n"/>
      <x:c r="FI17" s="28" t="n"/>
      <x:c r="FJ17" s="28" t="n"/>
      <x:c r="FK17" s="28" t="n"/>
      <x:c r="FL17" s="28" t="n"/>
      <x:c r="FM17" s="28" t="n"/>
      <x:c r="FN17" s="28" t="n"/>
      <x:c r="FO17" s="28" t="n"/>
      <x:c r="FP17" s="28" t="n"/>
      <x:c r="FQ17" s="28" t="n"/>
      <x:c r="FR17" s="28" t="n"/>
      <x:c r="FS17" s="28" t="n"/>
      <x:c r="FT17" s="28" t="n"/>
      <x:c r="FU17" s="28" t="n"/>
      <x:c r="FV17" s="28" t="n"/>
      <x:c r="FW17" s="28" t="n"/>
      <x:c r="FX17" s="28" t="n"/>
      <x:c r="FY17" s="28" t="n"/>
      <x:c r="FZ17" s="28" t="n"/>
    </x:row>
    <x:row r="18" s="27" customFormat="1">
      <x:c r="A18" s="38" t="n"/>
      <x:c r="B18" s="39" t="n"/>
      <x:c r="C18" s="36" t="n">
        <x:f>E18*D$5</x:f>
        <x:v>-38.28</x:v>
      </x:c>
      <x:c r="D18" s="410" t="inlineStr">
        <x:is>
          <x:t xml:space="preserve">Elvin J. Ridling and Dorothy Jean Ridling, HW</x:t>
        </x:is>
      </x:c>
      <x:c r="E18" s="411" t="n">
        <x:f>SUM(G18:HT18)</x:f>
        <x:v>-1</x:v>
      </x:c>
      <x:c r="F18" s="35" t="inlineStr">
        <x:is>
          <x:t xml:space="preserve"/>
        </x:is>
      </x:c>
      <x:c r="G18" s="121" t="n"/>
      <x:c r="H18" s="121" t="n"/>
      <x:c r="I18" s="121" t="n"/>
      <x:c r="J18" s="121" t="n"/>
      <x:c r="K18" s="121" t="n"/>
      <x:c r="L18" s="121" t="n"/>
      <x:c r="M18" s="121" t="n">
        <x:v>-1</x:v>
      </x:c>
      <x:c r="N18" s="121" t="n"/>
      <x:c r="O18" s="122" t="n"/>
      <x:c r="P18" s="128" t="n"/>
      <x:c r="Q18" s="124" t="n"/>
      <x:c r="R18" s="123" t="n"/>
      <x:c r="S18" s="129" t="n"/>
      <x:c r="T18" s="121" t="n"/>
      <x:c r="U18" s="121" t="n"/>
      <x:c r="V18" s="121" t="n"/>
      <x:c r="W18" s="121" t="n"/>
      <x:c r="X18" s="121" t="n"/>
      <x:c r="Y18" s="121" t="n"/>
      <x:c r="Z18" s="121" t="n"/>
      <x:c r="AA18" s="121" t="n"/>
      <x:c r="AB18" s="121" t="n"/>
      <x:c r="AC18" s="121" t="n"/>
      <x:c r="AD18" s="123" t="n"/>
      <x:c r="AE18" s="123" t="n"/>
      <x:c r="AF18" s="123" t="n"/>
      <x:c r="AG18" s="122" t="n"/>
      <x:c r="AH18" s="122" t="n"/>
      <x:c r="AI18" s="122" t="n"/>
      <x:c r="AJ18" s="122" t="n"/>
      <x:c r="AK18" s="121" t="n"/>
      <x:c r="AL18" s="124" t="n"/>
      <x:c r="AM18" s="121" t="n"/>
      <x:c r="AN18" s="123" t="n"/>
      <x:c r="AO18" s="121" t="n"/>
      <x:c r="AP18" s="121" t="n"/>
      <x:c r="AQ18" s="28" t="n"/>
      <x:c r="AR18" s="28" t="n"/>
      <x:c r="AS18" s="28" t="n"/>
      <x:c r="AT18" s="28" t="n"/>
      <x:c r="AU18" s="28" t="n"/>
      <x:c r="AV18" s="28" t="n"/>
      <x:c r="AW18" s="28" t="n"/>
      <x:c r="AX18" s="28" t="n"/>
      <x:c r="AY18" s="28" t="n"/>
      <x:c r="AZ18" s="28" t="n"/>
      <x:c r="BA18" s="28" t="n"/>
      <x:c r="BB18" s="28" t="n"/>
      <x:c r="BC18" s="28" t="n"/>
      <x:c r="BD18" s="28" t="n"/>
      <x:c r="BE18" s="28" t="n"/>
      <x:c r="BF18" s="28" t="n"/>
      <x:c r="BG18" s="28" t="n"/>
      <x:c r="BH18" s="28" t="n"/>
      <x:c r="BI18" s="28" t="n"/>
      <x:c r="BJ18" s="28" t="n"/>
      <x:c r="BK18" s="28" t="n"/>
      <x:c r="BL18" s="28" t="n"/>
      <x:c r="BM18" s="28" t="n"/>
      <x:c r="BN18" s="28" t="n"/>
      <x:c r="BO18" s="28" t="n"/>
      <x:c r="BP18" s="28" t="n"/>
      <x:c r="BQ18" s="28" t="n"/>
      <x:c r="BR18" s="28" t="n"/>
      <x:c r="BS18" s="28" t="n"/>
      <x:c r="BT18" s="28" t="n"/>
      <x:c r="BU18" s="28" t="n"/>
      <x:c r="BV18" s="28" t="n"/>
      <x:c r="BW18" s="28" t="n"/>
      <x:c r="BX18" s="28" t="n"/>
      <x:c r="BY18" s="28" t="n"/>
      <x:c r="BZ18" s="28" t="n"/>
      <x:c r="CA18" s="28" t="n"/>
      <x:c r="CB18" s="28" t="n"/>
      <x:c r="CC18" s="28" t="n"/>
      <x:c r="CD18" s="28" t="n"/>
      <x:c r="CE18" s="28" t="n"/>
      <x:c r="CF18" s="28" t="n"/>
      <x:c r="CG18" s="28" t="n"/>
      <x:c r="CH18" s="28" t="n"/>
      <x:c r="CI18" s="28" t="n"/>
      <x:c r="CJ18" s="28" t="n"/>
      <x:c r="CK18" s="28" t="n"/>
      <x:c r="CL18" s="28" t="n"/>
      <x:c r="CM18" s="28" t="n"/>
      <x:c r="CN18" s="28" t="n"/>
      <x:c r="CO18" s="28" t="n"/>
      <x:c r="CP18" s="28" t="n"/>
      <x:c r="CQ18" s="28" t="n"/>
      <x:c r="CR18" s="28" t="n"/>
      <x:c r="CS18" s="28" t="n"/>
      <x:c r="CT18" s="28" t="n"/>
      <x:c r="CU18" s="28" t="n"/>
      <x:c r="CV18" s="28" t="n"/>
      <x:c r="CW18" s="28" t="n"/>
      <x:c r="CX18" s="28" t="n"/>
      <x:c r="CY18" s="28" t="n"/>
      <x:c r="CZ18" s="28" t="n"/>
      <x:c r="DA18" s="28" t="n"/>
      <x:c r="DB18" s="28" t="n"/>
      <x:c r="DC18" s="28" t="n"/>
      <x:c r="DD18" s="28" t="n"/>
      <x:c r="DE18" s="28" t="n"/>
      <x:c r="DF18" s="28" t="n"/>
      <x:c r="DG18" s="28" t="n"/>
      <x:c r="DH18" s="28" t="n"/>
      <x:c r="DI18" s="28" t="n"/>
      <x:c r="DJ18" s="28" t="n"/>
      <x:c r="DK18" s="28" t="n"/>
      <x:c r="DL18" s="28" t="n"/>
      <x:c r="DM18" s="28" t="n"/>
      <x:c r="DN18" s="28" t="n"/>
      <x:c r="DO18" s="28" t="n"/>
      <x:c r="DP18" s="28" t="n"/>
      <x:c r="DQ18" s="28" t="n"/>
      <x:c r="DR18" s="28" t="n"/>
      <x:c r="DS18" s="28" t="n"/>
      <x:c r="DT18" s="28" t="n"/>
      <x:c r="DU18" s="28" t="n"/>
      <x:c r="DV18" s="28" t="n"/>
      <x:c r="DW18" s="28" t="n"/>
      <x:c r="DX18" s="28" t="n"/>
      <x:c r="DY18" s="28" t="n"/>
      <x:c r="DZ18" s="28" t="n"/>
      <x:c r="EA18" s="28" t="n"/>
      <x:c r="EB18" s="28" t="n"/>
      <x:c r="EC18" s="28" t="n"/>
      <x:c r="ED18" s="28" t="n"/>
      <x:c r="EE18" s="28" t="n"/>
      <x:c r="EF18" s="28" t="n"/>
      <x:c r="EG18" s="28" t="n"/>
      <x:c r="EH18" s="28" t="n"/>
      <x:c r="EI18" s="28" t="n"/>
      <x:c r="EJ18" s="28" t="n"/>
      <x:c r="EK18" s="28" t="n"/>
      <x:c r="EL18" s="28" t="n"/>
      <x:c r="EM18" s="28" t="n"/>
      <x:c r="EN18" s="28" t="n"/>
      <x:c r="EO18" s="28" t="n"/>
      <x:c r="EP18" s="28" t="n"/>
      <x:c r="EQ18" s="28" t="n"/>
      <x:c r="ER18" s="28" t="n"/>
      <x:c r="ES18" s="28" t="n"/>
      <x:c r="ET18" s="28" t="n"/>
      <x:c r="EU18" s="28" t="n"/>
      <x:c r="EV18" s="28" t="n"/>
      <x:c r="EW18" s="28" t="n"/>
      <x:c r="EX18" s="28" t="n"/>
      <x:c r="EY18" s="28" t="n"/>
      <x:c r="EZ18" s="28" t="n"/>
      <x:c r="FA18" s="28" t="n"/>
      <x:c r="FB18" s="28" t="n"/>
      <x:c r="FC18" s="28" t="n"/>
      <x:c r="FD18" s="28" t="n"/>
      <x:c r="FE18" s="28" t="n"/>
      <x:c r="FF18" s="28" t="n"/>
      <x:c r="FG18" s="28" t="n"/>
      <x:c r="FH18" s="28" t="n"/>
      <x:c r="FI18" s="28" t="n"/>
      <x:c r="FJ18" s="28" t="n"/>
      <x:c r="FK18" s="28" t="n"/>
      <x:c r="FL18" s="28" t="n"/>
      <x:c r="FM18" s="28" t="n"/>
      <x:c r="FN18" s="28" t="n"/>
      <x:c r="FO18" s="28" t="n"/>
      <x:c r="FP18" s="28" t="n"/>
      <x:c r="FQ18" s="28" t="n"/>
      <x:c r="FR18" s="28" t="n"/>
      <x:c r="FS18" s="28" t="n"/>
      <x:c r="FT18" s="28" t="n"/>
      <x:c r="FU18" s="28" t="n"/>
      <x:c r="FV18" s="28" t="n"/>
      <x:c r="FW18" s="28" t="n"/>
      <x:c r="FX18" s="28" t="n"/>
      <x:c r="FY18" s="28" t="n"/>
      <x:c r="FZ18" s="28" t="n"/>
    </x:row>
    <x:row r="19" s="27" customFormat="1">
      <x:c r="A19" s="38" t="n"/>
      <x:c r="B19" s="39" t="n"/>
      <x:c r="C19" s="36" t="n">
        <x:f>E19*D$5</x:f>
        <x:v>38.28</x:v>
      </x:c>
      <x:c r="D19" s="104" t="inlineStr">
        <x:is>
          <x:t xml:space="preserve">M. G. Mitchell and Carrie Lou Mitchell, HW, JTWROS</x:t>
        </x:is>
      </x:c>
      <x:c r="E19" s="36" t="n">
        <x:f>SUM(G19:HT19)</x:f>
        <x:v>1</x:v>
      </x:c>
      <x:c r="F19" s="35" t="inlineStr">
        <x:is>
          <x:t xml:space="preserve"/>
        </x:is>
      </x:c>
      <x:c r="G19" s="121" t="n"/>
      <x:c r="H19" s="121" t="n"/>
      <x:c r="I19" s="121" t="n"/>
      <x:c r="J19" s="121" t="n"/>
      <x:c r="K19" s="121" t="n"/>
      <x:c r="L19" s="121" t="n"/>
      <x:c r="M19" s="121" t="n">
        <x:v>1</x:v>
      </x:c>
      <x:c r="N19" s="121" t="n"/>
      <x:c r="O19" s="122" t="n"/>
      <x:c r="P19" s="128" t="n"/>
      <x:c r="Q19" s="128" t="n"/>
      <x:c r="R19" s="123" t="n"/>
      <x:c r="S19" s="129" t="n"/>
      <x:c r="T19" s="121" t="n"/>
      <x:c r="U19" s="121" t="n"/>
      <x:c r="V19" s="121" t="n"/>
      <x:c r="W19" s="121" t="n"/>
      <x:c r="X19" s="121" t="n"/>
      <x:c r="Y19" s="121" t="n"/>
      <x:c r="Z19" s="121" t="n"/>
      <x:c r="AA19" s="121" t="n"/>
      <x:c r="AB19" s="121" t="n"/>
      <x:c r="AC19" s="121" t="n"/>
      <x:c r="AD19" s="123" t="n"/>
      <x:c r="AE19" s="123" t="n"/>
      <x:c r="AF19" s="123" t="n"/>
      <x:c r="AG19" s="122" t="n"/>
      <x:c r="AH19" s="122" t="n"/>
      <x:c r="AI19" s="122" t="n"/>
      <x:c r="AJ19" s="122" t="n"/>
      <x:c r="AK19" s="121" t="n"/>
      <x:c r="AL19" s="123" t="n"/>
      <x:c r="AM19" s="121" t="n"/>
      <x:c r="AN19" s="123" t="n"/>
      <x:c r="AO19" s="121" t="n"/>
      <x:c r="AP19" s="121" t="n"/>
      <x:c r="AQ19" s="28" t="n"/>
      <x:c r="AR19" s="28" t="n"/>
      <x:c r="AS19" s="28" t="n"/>
      <x:c r="AT19" s="28" t="n"/>
      <x:c r="AU19" s="28" t="n"/>
      <x:c r="AV19" s="28" t="n"/>
      <x:c r="AW19" s="28" t="n"/>
      <x:c r="AX19" s="28" t="n"/>
      <x:c r="AY19" s="28" t="n"/>
      <x:c r="AZ19" s="28" t="n"/>
      <x:c r="BA19" s="28" t="n"/>
      <x:c r="BB19" s="28" t="n"/>
      <x:c r="BC19" s="28" t="n"/>
      <x:c r="BD19" s="28" t="n"/>
      <x:c r="BE19" s="28" t="n"/>
      <x:c r="BF19" s="28" t="n"/>
      <x:c r="BG19" s="28" t="n"/>
      <x:c r="BH19" s="28" t="n"/>
      <x:c r="BI19" s="28" t="n"/>
      <x:c r="BJ19" s="28" t="n"/>
      <x:c r="BK19" s="28" t="n"/>
      <x:c r="BL19" s="28" t="n"/>
      <x:c r="BM19" s="28" t="n"/>
      <x:c r="BN19" s="28" t="n"/>
      <x:c r="BO19" s="28" t="n"/>
      <x:c r="BP19" s="28" t="n"/>
      <x:c r="BQ19" s="28" t="n"/>
      <x:c r="BR19" s="28" t="n"/>
      <x:c r="BS19" s="28" t="n"/>
      <x:c r="BT19" s="28" t="n"/>
      <x:c r="BU19" s="28" t="n"/>
      <x:c r="BV19" s="28" t="n"/>
      <x:c r="BW19" s="28" t="n"/>
      <x:c r="BX19" s="28" t="n"/>
      <x:c r="BY19" s="28" t="n"/>
      <x:c r="BZ19" s="28" t="n"/>
      <x:c r="CA19" s="28" t="n"/>
      <x:c r="CB19" s="28" t="n"/>
      <x:c r="CC19" s="28" t="n"/>
      <x:c r="CD19" s="28" t="n"/>
      <x:c r="CE19" s="28" t="n"/>
      <x:c r="CF19" s="28" t="n"/>
      <x:c r="CG19" s="28" t="n"/>
      <x:c r="CH19" s="28" t="n"/>
      <x:c r="CI19" s="28" t="n"/>
      <x:c r="CJ19" s="28" t="n"/>
      <x:c r="CK19" s="28" t="n"/>
      <x:c r="CL19" s="28" t="n"/>
      <x:c r="CM19" s="28" t="n"/>
      <x:c r="CN19" s="28" t="n"/>
      <x:c r="CO19" s="28" t="n"/>
      <x:c r="CP19" s="28" t="n"/>
      <x:c r="CQ19" s="28" t="n"/>
      <x:c r="CR19" s="28" t="n"/>
      <x:c r="CS19" s="28" t="n"/>
      <x:c r="CT19" s="28" t="n"/>
      <x:c r="CU19" s="28" t="n"/>
      <x:c r="CV19" s="28" t="n"/>
      <x:c r="CW19" s="28" t="n"/>
      <x:c r="CX19" s="28" t="n"/>
      <x:c r="CY19" s="28" t="n"/>
      <x:c r="CZ19" s="28" t="n"/>
      <x:c r="DA19" s="28" t="n"/>
      <x:c r="DB19" s="28" t="n"/>
      <x:c r="DC19" s="28" t="n"/>
      <x:c r="DD19" s="28" t="n"/>
      <x:c r="DE19" s="28" t="n"/>
      <x:c r="DF19" s="28" t="n"/>
      <x:c r="DG19" s="28" t="n"/>
      <x:c r="DH19" s="28" t="n"/>
      <x:c r="DI19" s="28" t="n"/>
      <x:c r="DJ19" s="28" t="n"/>
      <x:c r="DK19" s="28" t="n"/>
      <x:c r="DL19" s="28" t="n"/>
      <x:c r="DM19" s="28" t="n"/>
      <x:c r="DN19" s="28" t="n"/>
      <x:c r="DO19" s="28" t="n"/>
      <x:c r="DP19" s="28" t="n"/>
      <x:c r="DQ19" s="28" t="n"/>
      <x:c r="DR19" s="28" t="n"/>
      <x:c r="DS19" s="28" t="n"/>
      <x:c r="DT19" s="28" t="n"/>
      <x:c r="DU19" s="28" t="n"/>
      <x:c r="DV19" s="28" t="n"/>
      <x:c r="DW19" s="28" t="n"/>
      <x:c r="DX19" s="28" t="n"/>
      <x:c r="DY19" s="28" t="n"/>
      <x:c r="DZ19" s="28" t="n"/>
      <x:c r="EA19" s="28" t="n"/>
      <x:c r="EB19" s="28" t="n"/>
      <x:c r="EC19" s="28" t="n"/>
      <x:c r="ED19" s="28" t="n"/>
      <x:c r="EE19" s="28" t="n"/>
      <x:c r="EF19" s="28" t="n"/>
      <x:c r="EG19" s="28" t="n"/>
      <x:c r="EH19" s="28" t="n"/>
      <x:c r="EI19" s="28" t="n"/>
      <x:c r="EJ19" s="28" t="n"/>
      <x:c r="EK19" s="28" t="n"/>
      <x:c r="EL19" s="28" t="n"/>
      <x:c r="EM19" s="28" t="n"/>
      <x:c r="EN19" s="28" t="n"/>
      <x:c r="EO19" s="28" t="n"/>
      <x:c r="EP19" s="28" t="n"/>
      <x:c r="EQ19" s="28" t="n"/>
      <x:c r="ER19" s="28" t="n"/>
      <x:c r="ES19" s="28" t="n"/>
      <x:c r="ET19" s="28" t="n"/>
      <x:c r="EU19" s="28" t="n"/>
      <x:c r="EV19" s="28" t="n"/>
      <x:c r="EW19" s="28" t="n"/>
      <x:c r="EX19" s="28" t="n"/>
      <x:c r="EY19" s="28" t="n"/>
      <x:c r="EZ19" s="28" t="n"/>
      <x:c r="FA19" s="28" t="n"/>
      <x:c r="FB19" s="28" t="n"/>
      <x:c r="FC19" s="28" t="n"/>
      <x:c r="FD19" s="28" t="n"/>
      <x:c r="FE19" s="28" t="n"/>
      <x:c r="FF19" s="28" t="n"/>
      <x:c r="FG19" s="28" t="n"/>
      <x:c r="FH19" s="28" t="n"/>
      <x:c r="FI19" s="28" t="n"/>
      <x:c r="FJ19" s="28" t="n"/>
      <x:c r="FK19" s="28" t="n"/>
      <x:c r="FL19" s="28" t="n"/>
      <x:c r="FM19" s="28" t="n"/>
      <x:c r="FN19" s="28" t="n"/>
      <x:c r="FO19" s="28" t="n"/>
      <x:c r="FP19" s="28" t="n"/>
      <x:c r="FQ19" s="28" t="n"/>
      <x:c r="FR19" s="28" t="n"/>
      <x:c r="FS19" s="28" t="n"/>
      <x:c r="FT19" s="28" t="n"/>
      <x:c r="FU19" s="28" t="n"/>
      <x:c r="FV19" s="28" t="n"/>
      <x:c r="FW19" s="28" t="n"/>
      <x:c r="FX19" s="28" t="n"/>
      <x:c r="FY19" s="28" t="n"/>
      <x:c r="FZ19" s="28" t="n"/>
    </x:row>
    <x:row r="20" s="27" customFormat="1">
      <x:c r="A20" s="38" t="n"/>
      <x:c r="B20" s="39" t="n"/>
      <x:c r="C20" s="86" t="n">
        <x:f>E20*D$5</x:f>
        <x:v>-24.89162476157447</x:v>
      </x:c>
      <x:c r="D20" s="412" t="inlineStr">
        <x:is>
          <x:t xml:space="preserve">W. L. Ayers and Hazel Ayers, HW</x:t>
        </x:is>
      </x:c>
      <x:c r="E20" s="413" t="n">
        <x:f>SUM(G20:HT20)</x:f>
        <x:v>-0.650251430553147</x:v>
      </x:c>
      <x:c r="F20" s="35" t="inlineStr">
        <x:is>
          <x:t xml:space="preserve"/>
        </x:is>
      </x:c>
      <x:c r="G20" s="121" t="n"/>
      <x:c r="H20" s="122" t="n"/>
      <x:c r="I20" s="121" t="n"/>
      <x:c r="J20" s="121" t="n"/>
      <x:c r="K20" s="121" t="n"/>
      <x:c r="L20" s="121" t="n"/>
      <x:c r="M20" s="121" t="n"/>
      <x:c r="N20" s="121" t="n">
        <x:v>-0.650251430553147</x:v>
      </x:c>
      <x:c r="O20" s="122" t="n"/>
      <x:c r="P20" s="128" t="n"/>
      <x:c r="Q20" s="128" t="n"/>
      <x:c r="R20" s="123" t="n"/>
      <x:c r="S20" s="129" t="n"/>
      <x:c r="T20" s="121" t="n"/>
      <x:c r="U20" s="121" t="n"/>
      <x:c r="V20" s="121" t="n"/>
      <x:c r="W20" s="121" t="n"/>
      <x:c r="X20" s="121" t="n"/>
      <x:c r="Y20" s="121" t="n"/>
      <x:c r="Z20" s="121" t="n"/>
      <x:c r="AA20" s="121" t="n"/>
      <x:c r="AB20" s="121" t="n"/>
      <x:c r="AC20" s="121" t="n"/>
      <x:c r="AD20" s="123" t="n"/>
      <x:c r="AE20" s="123" t="n"/>
      <x:c r="AF20" s="123" t="n"/>
      <x:c r="AG20" s="123" t="n"/>
      <x:c r="AH20" s="123" t="n"/>
      <x:c r="AI20" s="123" t="n"/>
      <x:c r="AJ20" s="123" t="n"/>
      <x:c r="AK20" s="121" t="n"/>
      <x:c r="AL20" s="123" t="n"/>
      <x:c r="AM20" s="121" t="n"/>
      <x:c r="AN20" s="123" t="n"/>
      <x:c r="AO20" s="121" t="n"/>
      <x:c r="AP20" s="121" t="n"/>
      <x:c r="AQ20" s="28" t="n"/>
      <x:c r="AR20" s="28" t="n"/>
      <x:c r="AS20" s="28" t="n"/>
      <x:c r="AT20" s="28" t="n"/>
      <x:c r="AU20" s="28" t="n"/>
      <x:c r="AV20" s="28" t="n"/>
      <x:c r="AW20" s="28" t="n"/>
      <x:c r="AX20" s="28" t="n"/>
      <x:c r="AY20" s="28" t="n"/>
      <x:c r="AZ20" s="28" t="n"/>
      <x:c r="BA20" s="28" t="n"/>
      <x:c r="BB20" s="28" t="n"/>
      <x:c r="BC20" s="28" t="n"/>
      <x:c r="BD20" s="28" t="n"/>
      <x:c r="BE20" s="28" t="n"/>
      <x:c r="BF20" s="28" t="n"/>
      <x:c r="BG20" s="28" t="n"/>
      <x:c r="BH20" s="28" t="n"/>
      <x:c r="BI20" s="28" t="n"/>
      <x:c r="BJ20" s="28" t="n"/>
      <x:c r="BK20" s="28" t="n"/>
      <x:c r="BL20" s="28" t="n"/>
      <x:c r="BM20" s="28" t="n"/>
      <x:c r="BN20" s="28" t="n"/>
      <x:c r="BO20" s="28" t="n"/>
      <x:c r="BP20" s="28" t="n"/>
      <x:c r="BQ20" s="28" t="n"/>
      <x:c r="BR20" s="28" t="n"/>
      <x:c r="BS20" s="28" t="n"/>
      <x:c r="BT20" s="28" t="n"/>
      <x:c r="BU20" s="28" t="n"/>
      <x:c r="BV20" s="28" t="n"/>
      <x:c r="BW20" s="28" t="n"/>
      <x:c r="BX20" s="28" t="n"/>
      <x:c r="BY20" s="28" t="n"/>
      <x:c r="BZ20" s="28" t="n"/>
      <x:c r="CA20" s="28" t="n"/>
      <x:c r="CB20" s="28" t="n"/>
      <x:c r="CC20" s="28" t="n"/>
      <x:c r="CD20" s="28" t="n"/>
      <x:c r="CE20" s="28" t="n"/>
      <x:c r="CF20" s="28" t="n"/>
      <x:c r="CG20" s="28" t="n"/>
      <x:c r="CH20" s="28" t="n"/>
      <x:c r="CI20" s="28" t="n"/>
      <x:c r="CJ20" s="28" t="n"/>
      <x:c r="CK20" s="28" t="n"/>
      <x:c r="CL20" s="28" t="n"/>
      <x:c r="CM20" s="28" t="n"/>
      <x:c r="CN20" s="28" t="n"/>
      <x:c r="CO20" s="28" t="n"/>
      <x:c r="CP20" s="28" t="n"/>
      <x:c r="CQ20" s="28" t="n"/>
      <x:c r="CR20" s="28" t="n"/>
      <x:c r="CS20" s="28" t="n"/>
      <x:c r="CT20" s="28" t="n"/>
      <x:c r="CU20" s="28" t="n"/>
      <x:c r="CV20" s="28" t="n"/>
      <x:c r="CW20" s="28" t="n"/>
      <x:c r="CX20" s="28" t="n"/>
      <x:c r="CY20" s="28" t="n"/>
      <x:c r="CZ20" s="28" t="n"/>
      <x:c r="DA20" s="28" t="n"/>
      <x:c r="DB20" s="28" t="n"/>
      <x:c r="DC20" s="28" t="n"/>
      <x:c r="DD20" s="28" t="n"/>
      <x:c r="DE20" s="28" t="n"/>
      <x:c r="DF20" s="28" t="n"/>
      <x:c r="DG20" s="28" t="n"/>
      <x:c r="DH20" s="28" t="n"/>
      <x:c r="DI20" s="28" t="n"/>
      <x:c r="DJ20" s="28" t="n"/>
      <x:c r="DK20" s="28" t="n"/>
      <x:c r="DL20" s="28" t="n"/>
      <x:c r="DM20" s="28" t="n"/>
      <x:c r="DN20" s="28" t="n"/>
      <x:c r="DO20" s="28" t="n"/>
      <x:c r="DP20" s="28" t="n"/>
      <x:c r="DQ20" s="28" t="n"/>
      <x:c r="DR20" s="28" t="n"/>
      <x:c r="DS20" s="28" t="n"/>
      <x:c r="DT20" s="28" t="n"/>
      <x:c r="DU20" s="28" t="n"/>
      <x:c r="DV20" s="28" t="n"/>
      <x:c r="DW20" s="28" t="n"/>
      <x:c r="DX20" s="28" t="n"/>
      <x:c r="DY20" s="28" t="n"/>
      <x:c r="DZ20" s="28" t="n"/>
      <x:c r="EA20" s="28" t="n"/>
      <x:c r="EB20" s="28" t="n"/>
      <x:c r="EC20" s="28" t="n"/>
      <x:c r="ED20" s="28" t="n"/>
      <x:c r="EE20" s="28" t="n"/>
      <x:c r="EF20" s="28" t="n"/>
      <x:c r="EG20" s="28" t="n"/>
      <x:c r="EH20" s="28" t="n"/>
      <x:c r="EI20" s="28" t="n"/>
      <x:c r="EJ20" s="28" t="n"/>
      <x:c r="EK20" s="28" t="n"/>
      <x:c r="EL20" s="28" t="n"/>
      <x:c r="EM20" s="28" t="n"/>
      <x:c r="EN20" s="28" t="n"/>
      <x:c r="EO20" s="28" t="n"/>
      <x:c r="EP20" s="28" t="n"/>
      <x:c r="EQ20" s="28" t="n"/>
      <x:c r="ER20" s="28" t="n"/>
      <x:c r="ES20" s="28" t="n"/>
      <x:c r="ET20" s="28" t="n"/>
      <x:c r="EU20" s="28" t="n"/>
      <x:c r="EV20" s="28" t="n"/>
      <x:c r="EW20" s="28" t="n"/>
      <x:c r="EX20" s="28" t="n"/>
      <x:c r="EY20" s="28" t="n"/>
      <x:c r="EZ20" s="28" t="n"/>
      <x:c r="FA20" s="28" t="n"/>
      <x:c r="FB20" s="28" t="n"/>
      <x:c r="FC20" s="28" t="n"/>
      <x:c r="FD20" s="28" t="n"/>
      <x:c r="FE20" s="28" t="n"/>
      <x:c r="FF20" s="28" t="n"/>
      <x:c r="FG20" s="28" t="n"/>
      <x:c r="FH20" s="28" t="n"/>
      <x:c r="FI20" s="28" t="n"/>
      <x:c r="FJ20" s="28" t="n"/>
      <x:c r="FK20" s="28" t="n"/>
      <x:c r="FL20" s="28" t="n"/>
      <x:c r="FM20" s="28" t="n"/>
      <x:c r="FN20" s="28" t="n"/>
      <x:c r="FO20" s="28" t="n"/>
      <x:c r="FP20" s="28" t="n"/>
      <x:c r="FQ20" s="28" t="n"/>
      <x:c r="FR20" s="28" t="n"/>
      <x:c r="FS20" s="28" t="n"/>
      <x:c r="FT20" s="28" t="n"/>
      <x:c r="FU20" s="28" t="n"/>
      <x:c r="FV20" s="28" t="n"/>
      <x:c r="FW20" s="28" t="n"/>
      <x:c r="FX20" s="28" t="n"/>
      <x:c r="FY20" s="28" t="n"/>
      <x:c r="FZ20" s="28" t="n"/>
    </x:row>
    <x:row r="21" s="27" customFormat="1">
      <x:c r="A21" s="38" t="n"/>
      <x:c r="B21" s="37" t="n"/>
      <x:c r="C21" s="36" t="n">
        <x:f>E21*D$5</x:f>
        <x:v>18.253858158487947</x:v>
      </x:c>
      <x:c r="D21" s="103" t="inlineStr">
        <x:is>
          <x:t xml:space="preserve">Robert O. Lister Jr.</x:t>
        </x:is>
      </x:c>
      <x:c r="E21" s="36" t="n">
        <x:f>SUM(G21:HT21)</x:f>
        <x:v>0.4768510490723079</x:v>
      </x:c>
      <x:c r="F21" s="35" t="inlineStr">
        <x:is>
          <x:t xml:space="preserve"/>
        </x:is>
      </x:c>
      <x:c r="G21" s="121" t="n"/>
      <x:c r="H21" s="121" t="n"/>
      <x:c r="I21" s="121" t="n"/>
      <x:c r="J21" s="121" t="n"/>
      <x:c r="K21" s="121" t="n"/>
      <x:c r="L21" s="121" t="n"/>
      <x:c r="M21" s="121" t="n"/>
      <x:c r="N21" s="121" t="n">
        <x:v>0.650251430553147</x:v>
      </x:c>
      <x:c r="O21" s="121" t="n"/>
      <x:c r="P21" s="128" t="n">
        <x:v>-0.0867001907404196</x:v>
      </x:c>
      <x:c r="Q21" s="128" t="n">
        <x:v>-0.0867001907404196</x:v>
      </x:c>
      <x:c r="R21" s="123" t="n"/>
      <x:c r="S21" s="129" t="n"/>
      <x:c r="T21" s="121" t="n"/>
      <x:c r="U21" s="121" t="n"/>
      <x:c r="V21" s="121" t="n"/>
      <x:c r="W21" s="121" t="n"/>
      <x:c r="X21" s="121" t="n"/>
      <x:c r="Y21" s="121" t="n"/>
      <x:c r="Z21" s="121" t="n"/>
      <x:c r="AA21" s="121" t="n"/>
      <x:c r="AB21" s="121" t="n"/>
      <x:c r="AC21" s="121" t="n"/>
      <x:c r="AD21" s="123" t="n"/>
      <x:c r="AE21" s="123" t="n"/>
      <x:c r="AF21" s="123" t="n"/>
      <x:c r="AG21" s="123" t="n"/>
      <x:c r="AH21" s="123" t="n"/>
      <x:c r="AI21" s="123" t="n"/>
      <x:c r="AJ21" s="123" t="n"/>
      <x:c r="AK21" s="121" t="n"/>
      <x:c r="AL21" s="123" t="n"/>
      <x:c r="AM21" s="122" t="n"/>
      <x:c r="AN21" s="123" t="n"/>
      <x:c r="AO21" s="121" t="n"/>
      <x:c r="AP21" s="121" t="n"/>
      <x:c r="AQ21" s="28" t="n"/>
      <x:c r="AR21" s="28" t="n"/>
      <x:c r="AS21" s="28" t="n"/>
      <x:c r="AT21" s="28" t="n"/>
      <x:c r="AU21" s="28" t="n"/>
      <x:c r="AV21" s="28" t="n"/>
      <x:c r="AW21" s="28" t="n"/>
      <x:c r="AX21" s="28" t="n"/>
      <x:c r="AY21" s="28" t="n"/>
      <x:c r="AZ21" s="28" t="n"/>
      <x:c r="BA21" s="28" t="n"/>
      <x:c r="BB21" s="28" t="n"/>
      <x:c r="BC21" s="28" t="n"/>
      <x:c r="BD21" s="28" t="n"/>
      <x:c r="BE21" s="28" t="n"/>
      <x:c r="BF21" s="28" t="n"/>
      <x:c r="BG21" s="28" t="n"/>
      <x:c r="BH21" s="28" t="n"/>
      <x:c r="BI21" s="28" t="n"/>
      <x:c r="BJ21" s="28" t="n"/>
      <x:c r="BK21" s="28" t="n"/>
      <x:c r="BL21" s="28" t="n"/>
      <x:c r="BM21" s="28" t="n"/>
      <x:c r="BN21" s="28" t="n"/>
      <x:c r="BO21" s="28" t="n"/>
      <x:c r="BP21" s="28" t="n"/>
      <x:c r="BQ21" s="28" t="n"/>
      <x:c r="BR21" s="28" t="n"/>
      <x:c r="BS21" s="28" t="n"/>
      <x:c r="BT21" s="28" t="n"/>
      <x:c r="BU21" s="28" t="n"/>
      <x:c r="BV21" s="28" t="n"/>
      <x:c r="BW21" s="28" t="n"/>
      <x:c r="BX21" s="28" t="n"/>
      <x:c r="BY21" s="28" t="n"/>
      <x:c r="BZ21" s="28" t="n"/>
      <x:c r="CA21" s="28" t="n"/>
      <x:c r="CB21" s="28" t="n"/>
      <x:c r="CC21" s="28" t="n"/>
      <x:c r="CD21" s="28" t="n"/>
      <x:c r="CE21" s="28" t="n"/>
      <x:c r="CF21" s="28" t="n"/>
      <x:c r="CG21" s="28" t="n"/>
      <x:c r="CH21" s="28" t="n"/>
      <x:c r="CI21" s="28" t="n"/>
      <x:c r="CJ21" s="28" t="n"/>
      <x:c r="CK21" s="28" t="n"/>
      <x:c r="CL21" s="28" t="n"/>
      <x:c r="CM21" s="28" t="n"/>
      <x:c r="CN21" s="28" t="n"/>
      <x:c r="CO21" s="28" t="n"/>
      <x:c r="CP21" s="28" t="n"/>
      <x:c r="CQ21" s="28" t="n"/>
      <x:c r="CR21" s="28" t="n"/>
      <x:c r="CS21" s="28" t="n"/>
      <x:c r="CT21" s="28" t="n"/>
      <x:c r="CU21" s="28" t="n"/>
      <x:c r="CV21" s="28" t="n"/>
      <x:c r="CW21" s="28" t="n"/>
      <x:c r="CX21" s="28" t="n"/>
      <x:c r="CY21" s="28" t="n"/>
      <x:c r="CZ21" s="28" t="n"/>
      <x:c r="DA21" s="28" t="n"/>
      <x:c r="DB21" s="28" t="n"/>
      <x:c r="DC21" s="28" t="n"/>
      <x:c r="DD21" s="28" t="n"/>
      <x:c r="DE21" s="28" t="n"/>
      <x:c r="DF21" s="28" t="n"/>
      <x:c r="DG21" s="28" t="n"/>
      <x:c r="DH21" s="28" t="n"/>
      <x:c r="DI21" s="28" t="n"/>
      <x:c r="DJ21" s="28" t="n"/>
      <x:c r="DK21" s="28" t="n"/>
      <x:c r="DL21" s="28" t="n"/>
      <x:c r="DM21" s="28" t="n"/>
      <x:c r="DN21" s="28" t="n"/>
      <x:c r="DO21" s="28" t="n"/>
      <x:c r="DP21" s="28" t="n"/>
      <x:c r="DQ21" s="28" t="n"/>
      <x:c r="DR21" s="28" t="n"/>
      <x:c r="DS21" s="28" t="n"/>
      <x:c r="DT21" s="28" t="n"/>
      <x:c r="DU21" s="28" t="n"/>
      <x:c r="DV21" s="28" t="n"/>
      <x:c r="DW21" s="28" t="n"/>
      <x:c r="DX21" s="28" t="n"/>
      <x:c r="DY21" s="28" t="n"/>
      <x:c r="DZ21" s="28" t="n"/>
      <x:c r="EA21" s="28" t="n"/>
      <x:c r="EB21" s="28" t="n"/>
      <x:c r="EC21" s="28" t="n"/>
      <x:c r="ED21" s="28" t="n"/>
      <x:c r="EE21" s="28" t="n"/>
      <x:c r="EF21" s="28" t="n"/>
      <x:c r="EG21" s="28" t="n"/>
      <x:c r="EH21" s="28" t="n"/>
      <x:c r="EI21" s="28" t="n"/>
      <x:c r="EJ21" s="28" t="n"/>
      <x:c r="EK21" s="28" t="n"/>
      <x:c r="EL21" s="28" t="n"/>
      <x:c r="EM21" s="28" t="n"/>
      <x:c r="EN21" s="28" t="n"/>
      <x:c r="EO21" s="28" t="n"/>
      <x:c r="EP21" s="28" t="n"/>
      <x:c r="EQ21" s="28" t="n"/>
      <x:c r="ER21" s="28" t="n"/>
      <x:c r="ES21" s="28" t="n"/>
      <x:c r="ET21" s="28" t="n"/>
      <x:c r="EU21" s="28" t="n"/>
      <x:c r="EV21" s="28" t="n"/>
      <x:c r="EW21" s="28" t="n"/>
      <x:c r="EX21" s="28" t="n"/>
      <x:c r="EY21" s="28" t="n"/>
      <x:c r="EZ21" s="28" t="n"/>
      <x:c r="FA21" s="28" t="n"/>
      <x:c r="FB21" s="28" t="n"/>
      <x:c r="FC21" s="28" t="n"/>
      <x:c r="FD21" s="28" t="n"/>
      <x:c r="FE21" s="28" t="n"/>
      <x:c r="FF21" s="28" t="n"/>
      <x:c r="FG21" s="28" t="n"/>
      <x:c r="FH21" s="28" t="n"/>
      <x:c r="FI21" s="28" t="n"/>
      <x:c r="FJ21" s="28" t="n"/>
      <x:c r="FK21" s="28" t="n"/>
      <x:c r="FL21" s="28" t="n"/>
      <x:c r="FM21" s="28" t="n"/>
      <x:c r="FN21" s="28" t="n"/>
      <x:c r="FO21" s="28" t="n"/>
      <x:c r="FP21" s="28" t="n"/>
      <x:c r="FQ21" s="28" t="n"/>
      <x:c r="FR21" s="28" t="n"/>
      <x:c r="FS21" s="28" t="n"/>
      <x:c r="FT21" s="28" t="n"/>
      <x:c r="FU21" s="28" t="n"/>
      <x:c r="FV21" s="28" t="n"/>
      <x:c r="FW21" s="28" t="n"/>
      <x:c r="FX21" s="28" t="n"/>
      <x:c r="FY21" s="28" t="n"/>
      <x:c r="FZ21" s="28" t="n"/>
    </x:row>
    <x:row r="22" s="27" customFormat="1">
      <x:c r="A22" s="38" t="n"/>
      <x:c r="B22" s="37" t="n"/>
      <x:c r="C22" s="86" t="n">
        <x:f>E22*D$5</x:f>
        <x:v>-18.25385815848795</x:v>
      </x:c>
      <x:c r="D22" s="410" t="inlineStr">
        <x:is>
          <x:t xml:space="preserve">Robert O. Lister, Jr. and Marie Lister, HW</x:t>
        </x:is>
      </x:c>
      <x:c r="E22" s="413" t="n">
        <x:f>SUM(G22:HT22)</x:f>
        <x:v>-0.476851049072308</x:v>
      </x:c>
      <x:c r="F22" s="35" t="inlineStr">
        <x:is>
          <x:t xml:space="preserve"/>
        </x:is>
      </x:c>
      <x:c r="G22" s="121" t="n"/>
      <x:c r="H22" s="121" t="n"/>
      <x:c r="I22" s="121" t="n"/>
      <x:c r="J22" s="121" t="n"/>
      <x:c r="K22" s="121" t="n"/>
      <x:c r="L22" s="121" t="n"/>
      <x:c r="M22" s="121" t="n"/>
      <x:c r="N22" s="121" t="n"/>
      <x:c r="O22" s="121" t="n">
        <x:v>-0.476851049072308</x:v>
      </x:c>
      <x:c r="P22" s="128" t="n"/>
      <x:c r="Q22" s="128" t="n"/>
      <x:c r="R22" s="123" t="n"/>
      <x:c r="S22" s="129" t="n"/>
      <x:c r="T22" s="121" t="n"/>
      <x:c r="U22" s="121" t="n"/>
      <x:c r="V22" s="121" t="n"/>
      <x:c r="W22" s="121" t="n"/>
      <x:c r="X22" s="121" t="n"/>
      <x:c r="Y22" s="121" t="n"/>
      <x:c r="Z22" s="121" t="n"/>
      <x:c r="AA22" s="121" t="n"/>
      <x:c r="AB22" s="121" t="n"/>
      <x:c r="AC22" s="121" t="n"/>
      <x:c r="AD22" s="123" t="n"/>
      <x:c r="AE22" s="123" t="n"/>
      <x:c r="AF22" s="123" t="n"/>
      <x:c r="AG22" s="123" t="n"/>
      <x:c r="AH22" s="123" t="n"/>
      <x:c r="AI22" s="123" t="n"/>
      <x:c r="AJ22" s="123" t="n"/>
      <x:c r="AK22" s="121" t="n"/>
      <x:c r="AL22" s="123" t="n"/>
      <x:c r="AM22" s="122" t="n"/>
      <x:c r="AN22" s="123" t="n"/>
      <x:c r="AO22" s="121" t="n"/>
      <x:c r="AP22" s="121" t="n"/>
      <x:c r="AQ22" s="28" t="n"/>
      <x:c r="AR22" s="28" t="n"/>
      <x:c r="AS22" s="28" t="n"/>
      <x:c r="AT22" s="28" t="n"/>
      <x:c r="AU22" s="28" t="n"/>
      <x:c r="AV22" s="28" t="n"/>
      <x:c r="AW22" s="28" t="n"/>
      <x:c r="AX22" s="28" t="n"/>
      <x:c r="AY22" s="28" t="n"/>
      <x:c r="AZ22" s="28" t="n"/>
      <x:c r="BA22" s="28" t="n"/>
      <x:c r="BB22" s="28" t="n"/>
      <x:c r="BC22" s="28" t="n"/>
      <x:c r="BD22" s="28" t="n"/>
      <x:c r="BE22" s="28" t="n"/>
      <x:c r="BF22" s="28" t="n"/>
      <x:c r="BG22" s="28" t="n"/>
      <x:c r="BH22" s="28" t="n"/>
      <x:c r="BI22" s="28" t="n"/>
      <x:c r="BJ22" s="28" t="n"/>
      <x:c r="BK22" s="28" t="n"/>
      <x:c r="BL22" s="28" t="n"/>
      <x:c r="BM22" s="28" t="n"/>
      <x:c r="BN22" s="28" t="n"/>
      <x:c r="BO22" s="28" t="n"/>
      <x:c r="BP22" s="28" t="n"/>
      <x:c r="BQ22" s="28" t="n"/>
      <x:c r="BR22" s="28" t="n"/>
      <x:c r="BS22" s="28" t="n"/>
      <x:c r="BT22" s="28" t="n"/>
      <x:c r="BU22" s="28" t="n"/>
      <x:c r="BV22" s="28" t="n"/>
      <x:c r="BW22" s="28" t="n"/>
      <x:c r="BX22" s="28" t="n"/>
      <x:c r="BY22" s="28" t="n"/>
      <x:c r="BZ22" s="28" t="n"/>
      <x:c r="CA22" s="28" t="n"/>
      <x:c r="CB22" s="28" t="n"/>
      <x:c r="CC22" s="28" t="n"/>
      <x:c r="CD22" s="28" t="n"/>
      <x:c r="CE22" s="28" t="n"/>
      <x:c r="CF22" s="28" t="n"/>
      <x:c r="CG22" s="28" t="n"/>
      <x:c r="CH22" s="28" t="n"/>
      <x:c r="CI22" s="28" t="n"/>
      <x:c r="CJ22" s="28" t="n"/>
      <x:c r="CK22" s="28" t="n"/>
      <x:c r="CL22" s="28" t="n"/>
      <x:c r="CM22" s="28" t="n"/>
      <x:c r="CN22" s="28" t="n"/>
      <x:c r="CO22" s="28" t="n"/>
      <x:c r="CP22" s="28" t="n"/>
      <x:c r="CQ22" s="28" t="n"/>
      <x:c r="CR22" s="28" t="n"/>
      <x:c r="CS22" s="28" t="n"/>
      <x:c r="CT22" s="28" t="n"/>
      <x:c r="CU22" s="28" t="n"/>
      <x:c r="CV22" s="28" t="n"/>
      <x:c r="CW22" s="28" t="n"/>
      <x:c r="CX22" s="28" t="n"/>
      <x:c r="CY22" s="28" t="n"/>
      <x:c r="CZ22" s="28" t="n"/>
      <x:c r="DA22" s="28" t="n"/>
      <x:c r="DB22" s="28" t="n"/>
      <x:c r="DC22" s="28" t="n"/>
      <x:c r="DD22" s="28" t="n"/>
      <x:c r="DE22" s="28" t="n"/>
      <x:c r="DF22" s="28" t="n"/>
      <x:c r="DG22" s="28" t="n"/>
      <x:c r="DH22" s="28" t="n"/>
      <x:c r="DI22" s="28" t="n"/>
      <x:c r="DJ22" s="28" t="n"/>
      <x:c r="DK22" s="28" t="n"/>
      <x:c r="DL22" s="28" t="n"/>
      <x:c r="DM22" s="28" t="n"/>
      <x:c r="DN22" s="28" t="n"/>
      <x:c r="DO22" s="28" t="n"/>
      <x:c r="DP22" s="28" t="n"/>
      <x:c r="DQ22" s="28" t="n"/>
      <x:c r="DR22" s="28" t="n"/>
      <x:c r="DS22" s="28" t="n"/>
      <x:c r="DT22" s="28" t="n"/>
      <x:c r="DU22" s="28" t="n"/>
      <x:c r="DV22" s="28" t="n"/>
      <x:c r="DW22" s="28" t="n"/>
      <x:c r="DX22" s="28" t="n"/>
      <x:c r="DY22" s="28" t="n"/>
      <x:c r="DZ22" s="28" t="n"/>
      <x:c r="EA22" s="28" t="n"/>
      <x:c r="EB22" s="28" t="n"/>
      <x:c r="EC22" s="28" t="n"/>
      <x:c r="ED22" s="28" t="n"/>
      <x:c r="EE22" s="28" t="n"/>
      <x:c r="EF22" s="28" t="n"/>
      <x:c r="EG22" s="28" t="n"/>
      <x:c r="EH22" s="28" t="n"/>
      <x:c r="EI22" s="28" t="n"/>
      <x:c r="EJ22" s="28" t="n"/>
      <x:c r="EK22" s="28" t="n"/>
      <x:c r="EL22" s="28" t="n"/>
      <x:c r="EM22" s="28" t="n"/>
      <x:c r="EN22" s="28" t="n"/>
      <x:c r="EO22" s="28" t="n"/>
      <x:c r="EP22" s="28" t="n"/>
      <x:c r="EQ22" s="28" t="n"/>
      <x:c r="ER22" s="28" t="n"/>
      <x:c r="ES22" s="28" t="n"/>
      <x:c r="ET22" s="28" t="n"/>
      <x:c r="EU22" s="28" t="n"/>
      <x:c r="EV22" s="28" t="n"/>
      <x:c r="EW22" s="28" t="n"/>
      <x:c r="EX22" s="28" t="n"/>
      <x:c r="EY22" s="28" t="n"/>
      <x:c r="EZ22" s="28" t="n"/>
      <x:c r="FA22" s="28" t="n"/>
      <x:c r="FB22" s="28" t="n"/>
      <x:c r="FC22" s="28" t="n"/>
      <x:c r="FD22" s="28" t="n"/>
      <x:c r="FE22" s="28" t="n"/>
      <x:c r="FF22" s="28" t="n"/>
      <x:c r="FG22" s="28" t="n"/>
      <x:c r="FH22" s="28" t="n"/>
      <x:c r="FI22" s="28" t="n"/>
      <x:c r="FJ22" s="28" t="n"/>
      <x:c r="FK22" s="28" t="n"/>
      <x:c r="FL22" s="28" t="n"/>
      <x:c r="FM22" s="28" t="n"/>
      <x:c r="FN22" s="28" t="n"/>
      <x:c r="FO22" s="28" t="n"/>
      <x:c r="FP22" s="28" t="n"/>
      <x:c r="FQ22" s="28" t="n"/>
      <x:c r="FR22" s="28" t="n"/>
      <x:c r="FS22" s="28" t="n"/>
      <x:c r="FT22" s="28" t="n"/>
      <x:c r="FU22" s="28" t="n"/>
      <x:c r="FV22" s="28" t="n"/>
      <x:c r="FW22" s="28" t="n"/>
      <x:c r="FX22" s="28" t="n"/>
      <x:c r="FY22" s="28" t="n"/>
      <x:c r="FZ22" s="28" t="n"/>
    </x:row>
    <x:row r="23" s="27" customFormat="1">
      <x:c r="A23" s="125" t="n"/>
      <x:c r="B23" s="39" t="n"/>
      <x:c r="C23" s="86" t="n">
        <x:f>E23*D$5</x:f>
        <x:v>18.25385815848795</x:v>
      </x:c>
      <x:c r="D23" s="4" t="inlineStr">
        <x:is>
          <x:t xml:space="preserve">Carrie Lou Mitchell</x:t>
        </x:is>
      </x:c>
      <x:c r="E23" s="86" t="n">
        <x:f>SUM(G23:HT23)</x:f>
        <x:v>0.476851049072308</x:v>
      </x:c>
      <x:c r="F23" s="35" t="inlineStr">
        <x:is>
          <x:t xml:space="preserve"/>
        </x:is>
      </x:c>
      <x:c r="G23" s="121" t="n"/>
      <x:c r="H23" s="121" t="n"/>
      <x:c r="I23" s="121" t="n"/>
      <x:c r="J23" s="121" t="n"/>
      <x:c r="K23" s="121" t="n"/>
      <x:c r="L23" s="121" t="n"/>
      <x:c r="M23" s="121" t="n"/>
      <x:c r="N23" s="121" t="n"/>
      <x:c r="O23" s="121" t="n">
        <x:v>0.476851049072308</x:v>
      </x:c>
      <x:c r="P23" s="121" t="n"/>
      <x:c r="Q23" s="124" t="n"/>
      <x:c r="R23" s="123" t="n"/>
      <x:c r="S23" s="121" t="n"/>
      <x:c r="T23" s="129" t="n"/>
      <x:c r="U23" s="121" t="n"/>
      <x:c r="V23" s="121" t="n"/>
      <x:c r="W23" s="121" t="n"/>
      <x:c r="X23" s="121" t="n"/>
      <x:c r="Y23" s="121" t="n"/>
      <x:c r="Z23" s="121" t="n"/>
      <x:c r="AA23" s="121" t="n"/>
      <x:c r="AB23" s="121" t="n"/>
      <x:c r="AC23" s="121" t="n"/>
      <x:c r="AD23" s="123" t="n"/>
      <x:c r="AE23" s="123" t="n"/>
      <x:c r="AF23" s="123" t="n"/>
      <x:c r="AG23" s="123" t="n"/>
      <x:c r="AH23" s="123" t="n"/>
      <x:c r="AI23" s="123" t="n"/>
      <x:c r="AJ23" s="123" t="n"/>
      <x:c r="AK23" s="121" t="n"/>
      <x:c r="AL23" s="123" t="n"/>
      <x:c r="AM23" s="122" t="n"/>
      <x:c r="AN23" s="123" t="n"/>
      <x:c r="AO23" s="121" t="n"/>
      <x:c r="AP23" s="121" t="n"/>
      <x:c r="AQ23" s="28" t="n"/>
      <x:c r="AR23" s="28" t="n"/>
      <x:c r="AS23" s="28" t="n"/>
      <x:c r="AT23" s="28" t="n"/>
      <x:c r="AU23" s="28" t="n"/>
      <x:c r="AV23" s="28" t="n"/>
      <x:c r="AW23" s="28" t="n"/>
      <x:c r="AX23" s="28" t="n"/>
      <x:c r="AY23" s="28" t="n"/>
      <x:c r="AZ23" s="28" t="n"/>
      <x:c r="BA23" s="28" t="n"/>
      <x:c r="BB23" s="28" t="n"/>
      <x:c r="BC23" s="28" t="n"/>
      <x:c r="BD23" s="28" t="n"/>
      <x:c r="BE23" s="28" t="n"/>
      <x:c r="BF23" s="28" t="n"/>
      <x:c r="BG23" s="28" t="n"/>
      <x:c r="BH23" s="28" t="n"/>
      <x:c r="BI23" s="28" t="n"/>
      <x:c r="BJ23" s="28" t="n"/>
      <x:c r="BK23" s="28" t="n"/>
      <x:c r="BL23" s="28" t="n"/>
      <x:c r="BM23" s="28" t="n"/>
      <x:c r="BN23" s="28" t="n"/>
      <x:c r="BO23" s="28" t="n"/>
      <x:c r="BP23" s="28" t="n"/>
      <x:c r="BQ23" s="28" t="n"/>
      <x:c r="BR23" s="28" t="n"/>
      <x:c r="BS23" s="28" t="n"/>
      <x:c r="BT23" s="28" t="n"/>
      <x:c r="BU23" s="28" t="n"/>
      <x:c r="BV23" s="28" t="n"/>
      <x:c r="BW23" s="28" t="n"/>
      <x:c r="BX23" s="28" t="n"/>
      <x:c r="BY23" s="28" t="n"/>
      <x:c r="BZ23" s="28" t="n"/>
      <x:c r="CA23" s="28" t="n"/>
      <x:c r="CB23" s="28" t="n"/>
      <x:c r="CC23" s="28" t="n"/>
      <x:c r="CD23" s="28" t="n"/>
      <x:c r="CE23" s="28" t="n"/>
      <x:c r="CF23" s="28" t="n"/>
      <x:c r="CG23" s="28" t="n"/>
      <x:c r="CH23" s="28" t="n"/>
      <x:c r="CI23" s="28" t="n"/>
      <x:c r="CJ23" s="28" t="n"/>
      <x:c r="CK23" s="28" t="n"/>
      <x:c r="CL23" s="28" t="n"/>
      <x:c r="CM23" s="28" t="n"/>
      <x:c r="CN23" s="28" t="n"/>
      <x:c r="CO23" s="28" t="n"/>
      <x:c r="CP23" s="28" t="n"/>
      <x:c r="CQ23" s="28" t="n"/>
      <x:c r="CR23" s="28" t="n"/>
      <x:c r="CS23" s="28" t="n"/>
      <x:c r="CT23" s="28" t="n"/>
      <x:c r="CU23" s="28" t="n"/>
      <x:c r="CV23" s="28" t="n"/>
      <x:c r="CW23" s="28" t="n"/>
      <x:c r="CX23" s="28" t="n"/>
      <x:c r="CY23" s="28" t="n"/>
      <x:c r="CZ23" s="28" t="n"/>
      <x:c r="DA23" s="28" t="n"/>
      <x:c r="DB23" s="28" t="n"/>
      <x:c r="DC23" s="28" t="n"/>
      <x:c r="DD23" s="28" t="n"/>
      <x:c r="DE23" s="28" t="n"/>
      <x:c r="DF23" s="28" t="n"/>
      <x:c r="DG23" s="28" t="n"/>
      <x:c r="DH23" s="28" t="n"/>
      <x:c r="DI23" s="28" t="n"/>
      <x:c r="DJ23" s="28" t="n"/>
      <x:c r="DK23" s="28" t="n"/>
      <x:c r="DL23" s="28" t="n"/>
      <x:c r="DM23" s="28" t="n"/>
      <x:c r="DN23" s="28" t="n"/>
      <x:c r="DO23" s="28" t="n"/>
      <x:c r="DP23" s="28" t="n"/>
      <x:c r="DQ23" s="28" t="n"/>
      <x:c r="DR23" s="28" t="n"/>
      <x:c r="DS23" s="28" t="n"/>
      <x:c r="DT23" s="28" t="n"/>
      <x:c r="DU23" s="28" t="n"/>
      <x:c r="DV23" s="28" t="n"/>
      <x:c r="DW23" s="28" t="n"/>
      <x:c r="DX23" s="28" t="n"/>
      <x:c r="DY23" s="28" t="n"/>
      <x:c r="DZ23" s="28" t="n"/>
      <x:c r="EA23" s="28" t="n"/>
      <x:c r="EB23" s="28" t="n"/>
      <x:c r="EC23" s="28" t="n"/>
      <x:c r="ED23" s="28" t="n"/>
      <x:c r="EE23" s="28" t="n"/>
      <x:c r="EF23" s="28" t="n"/>
      <x:c r="EG23" s="28" t="n"/>
      <x:c r="EH23" s="28" t="n"/>
      <x:c r="EI23" s="28" t="n"/>
      <x:c r="EJ23" s="28" t="n"/>
      <x:c r="EK23" s="28" t="n"/>
      <x:c r="EL23" s="28" t="n"/>
      <x:c r="EM23" s="28" t="n"/>
      <x:c r="EN23" s="28" t="n"/>
      <x:c r="EO23" s="28" t="n"/>
      <x:c r="EP23" s="28" t="n"/>
      <x:c r="EQ23" s="28" t="n"/>
      <x:c r="ER23" s="28" t="n"/>
      <x:c r="ES23" s="28" t="n"/>
      <x:c r="ET23" s="28" t="n"/>
      <x:c r="EU23" s="28" t="n"/>
      <x:c r="EV23" s="28" t="n"/>
      <x:c r="EW23" s="28" t="n"/>
      <x:c r="EX23" s="28" t="n"/>
      <x:c r="EY23" s="28" t="n"/>
      <x:c r="EZ23" s="28" t="n"/>
      <x:c r="FA23" s="28" t="n"/>
      <x:c r="FB23" s="28" t="n"/>
      <x:c r="FC23" s="28" t="n"/>
      <x:c r="FD23" s="28" t="n"/>
      <x:c r="FE23" s="28" t="n"/>
      <x:c r="FF23" s="28" t="n"/>
      <x:c r="FG23" s="28" t="n"/>
      <x:c r="FH23" s="28" t="n"/>
      <x:c r="FI23" s="28" t="n"/>
      <x:c r="FJ23" s="28" t="n"/>
      <x:c r="FK23" s="28" t="n"/>
      <x:c r="FL23" s="28" t="n"/>
      <x:c r="FM23" s="28" t="n"/>
      <x:c r="FN23" s="28" t="n"/>
      <x:c r="FO23" s="28" t="n"/>
      <x:c r="FP23" s="28" t="n"/>
      <x:c r="FQ23" s="28" t="n"/>
      <x:c r="FR23" s="28" t="n"/>
      <x:c r="FS23" s="28" t="n"/>
      <x:c r="FT23" s="28" t="n"/>
      <x:c r="FU23" s="28" t="n"/>
      <x:c r="FV23" s="28" t="n"/>
      <x:c r="FW23" s="28" t="n"/>
      <x:c r="FX23" s="28" t="n"/>
      <x:c r="FY23" s="28" t="n"/>
      <x:c r="FZ23" s="28" t="n"/>
    </x:row>
    <x:row r="24" s="27" customFormat="1">
      <x:c r="A24" s="125" t="n"/>
      <x:c r="B24" s="39" t="n"/>
      <x:c r="C24" s="86" t="n">
        <x:f>E24*D$5</x:f>
        <x:v>3.3188833015432624</x:v>
      </x:c>
      <x:c r="D24" s="103" t="inlineStr">
        <x:is>
          <x:t xml:space="preserve">A. C. Campbell</x:t>
        </x:is>
      </x:c>
      <x:c r="E24" s="86" t="n">
        <x:f>SUM(G24:HT24)</x:f>
        <x:v>0.0867001907404196</x:v>
      </x:c>
      <x:c r="F24" s="35" t="inlineStr">
        <x:is>
          <x:t xml:space="preserve"/>
        </x:is>
      </x:c>
      <x:c r="G24" s="121" t="n"/>
      <x:c r="H24" s="121" t="n"/>
      <x:c r="I24" s="121" t="n"/>
      <x:c r="J24" s="121" t="n"/>
      <x:c r="K24" s="121" t="n"/>
      <x:c r="L24" s="121" t="n"/>
      <x:c r="M24" s="121" t="n"/>
      <x:c r="N24" s="121" t="n"/>
      <x:c r="O24" s="121" t="n"/>
      <x:c r="P24" s="121" t="n">
        <x:v>0.0867001907404196</x:v>
      </x:c>
      <x:c r="Q24" s="124" t="n"/>
      <x:c r="R24" s="123" t="n"/>
      <x:c r="S24" s="121" t="n"/>
      <x:c r="T24" s="129" t="n"/>
      <x:c r="U24" s="121" t="n"/>
      <x:c r="V24" s="121" t="n"/>
      <x:c r="W24" s="121" t="n"/>
      <x:c r="X24" s="121" t="n"/>
      <x:c r="Y24" s="121" t="n"/>
      <x:c r="Z24" s="121" t="n"/>
      <x:c r="AA24" s="121" t="n"/>
      <x:c r="AB24" s="121" t="n"/>
      <x:c r="AC24" s="121" t="n"/>
      <x:c r="AD24" s="123" t="n"/>
      <x:c r="AE24" s="123" t="n"/>
      <x:c r="AF24" s="123" t="n"/>
      <x:c r="AG24" s="123" t="n"/>
      <x:c r="AH24" s="123" t="n"/>
      <x:c r="AI24" s="123" t="n"/>
      <x:c r="AJ24" s="123" t="n"/>
      <x:c r="AK24" s="121" t="n"/>
      <x:c r="AL24" s="123" t="n"/>
      <x:c r="AM24" s="122" t="n"/>
      <x:c r="AN24" s="123" t="n"/>
      <x:c r="AO24" s="121" t="n"/>
      <x:c r="AP24" s="121" t="n"/>
      <x:c r="AQ24" s="28" t="n"/>
      <x:c r="AR24" s="28" t="n"/>
      <x:c r="AS24" s="28" t="n"/>
      <x:c r="AT24" s="28" t="n"/>
      <x:c r="AU24" s="28" t="n"/>
      <x:c r="AV24" s="28" t="n"/>
      <x:c r="AW24" s="28" t="n"/>
      <x:c r="AX24" s="28" t="n"/>
      <x:c r="AY24" s="28" t="n"/>
      <x:c r="AZ24" s="28" t="n"/>
      <x:c r="BA24" s="28" t="n"/>
      <x:c r="BB24" s="28" t="n"/>
      <x:c r="BC24" s="28" t="n"/>
      <x:c r="BD24" s="28" t="n"/>
      <x:c r="BE24" s="28" t="n"/>
      <x:c r="BF24" s="28" t="n"/>
      <x:c r="BG24" s="28" t="n"/>
      <x:c r="BH24" s="28" t="n"/>
      <x:c r="BI24" s="28" t="n"/>
      <x:c r="BJ24" s="28" t="n"/>
      <x:c r="BK24" s="28" t="n"/>
      <x:c r="BL24" s="28" t="n"/>
      <x:c r="BM24" s="28" t="n"/>
      <x:c r="BN24" s="28" t="n"/>
      <x:c r="BO24" s="28" t="n"/>
      <x:c r="BP24" s="28" t="n"/>
      <x:c r="BQ24" s="28" t="n"/>
      <x:c r="BR24" s="28" t="n"/>
      <x:c r="BS24" s="28" t="n"/>
      <x:c r="BT24" s="28" t="n"/>
      <x:c r="BU24" s="28" t="n"/>
      <x:c r="BV24" s="28" t="n"/>
      <x:c r="BW24" s="28" t="n"/>
      <x:c r="BX24" s="28" t="n"/>
      <x:c r="BY24" s="28" t="n"/>
      <x:c r="BZ24" s="28" t="n"/>
      <x:c r="CA24" s="28" t="n"/>
      <x:c r="CB24" s="28" t="n"/>
      <x:c r="CC24" s="28" t="n"/>
      <x:c r="CD24" s="28" t="n"/>
      <x:c r="CE24" s="28" t="n"/>
      <x:c r="CF24" s="28" t="n"/>
      <x:c r="CG24" s="28" t="n"/>
      <x:c r="CH24" s="28" t="n"/>
      <x:c r="CI24" s="28" t="n"/>
      <x:c r="CJ24" s="28" t="n"/>
      <x:c r="CK24" s="28" t="n"/>
      <x:c r="CL24" s="28" t="n"/>
      <x:c r="CM24" s="28" t="n"/>
      <x:c r="CN24" s="28" t="n"/>
      <x:c r="CO24" s="28" t="n"/>
      <x:c r="CP24" s="28" t="n"/>
      <x:c r="CQ24" s="28" t="n"/>
      <x:c r="CR24" s="28" t="n"/>
      <x:c r="CS24" s="28" t="n"/>
      <x:c r="CT24" s="28" t="n"/>
      <x:c r="CU24" s="28" t="n"/>
      <x:c r="CV24" s="28" t="n"/>
      <x:c r="CW24" s="28" t="n"/>
      <x:c r="CX24" s="28" t="n"/>
      <x:c r="CY24" s="28" t="n"/>
      <x:c r="CZ24" s="28" t="n"/>
      <x:c r="DA24" s="28" t="n"/>
      <x:c r="DB24" s="28" t="n"/>
      <x:c r="DC24" s="28" t="n"/>
      <x:c r="DD24" s="28" t="n"/>
      <x:c r="DE24" s="28" t="n"/>
      <x:c r="DF24" s="28" t="n"/>
      <x:c r="DG24" s="28" t="n"/>
      <x:c r="DH24" s="28" t="n"/>
      <x:c r="DI24" s="28" t="n"/>
      <x:c r="DJ24" s="28" t="n"/>
      <x:c r="DK24" s="28" t="n"/>
      <x:c r="DL24" s="28" t="n"/>
      <x:c r="DM24" s="28" t="n"/>
      <x:c r="DN24" s="28" t="n"/>
      <x:c r="DO24" s="28" t="n"/>
      <x:c r="DP24" s="28" t="n"/>
      <x:c r="DQ24" s="28" t="n"/>
      <x:c r="DR24" s="28" t="n"/>
      <x:c r="DS24" s="28" t="n"/>
      <x:c r="DT24" s="28" t="n"/>
      <x:c r="DU24" s="28" t="n"/>
      <x:c r="DV24" s="28" t="n"/>
      <x:c r="DW24" s="28" t="n"/>
      <x:c r="DX24" s="28" t="n"/>
      <x:c r="DY24" s="28" t="n"/>
      <x:c r="DZ24" s="28" t="n"/>
      <x:c r="EA24" s="28" t="n"/>
      <x:c r="EB24" s="28" t="n"/>
      <x:c r="EC24" s="28" t="n"/>
      <x:c r="ED24" s="28" t="n"/>
      <x:c r="EE24" s="28" t="n"/>
      <x:c r="EF24" s="28" t="n"/>
      <x:c r="EG24" s="28" t="n"/>
      <x:c r="EH24" s="28" t="n"/>
      <x:c r="EI24" s="28" t="n"/>
      <x:c r="EJ24" s="28" t="n"/>
      <x:c r="EK24" s="28" t="n"/>
      <x:c r="EL24" s="28" t="n"/>
      <x:c r="EM24" s="28" t="n"/>
      <x:c r="EN24" s="28" t="n"/>
      <x:c r="EO24" s="28" t="n"/>
      <x:c r="EP24" s="28" t="n"/>
      <x:c r="EQ24" s="28" t="n"/>
      <x:c r="ER24" s="28" t="n"/>
      <x:c r="ES24" s="28" t="n"/>
      <x:c r="ET24" s="28" t="n"/>
      <x:c r="EU24" s="28" t="n"/>
      <x:c r="EV24" s="28" t="n"/>
      <x:c r="EW24" s="28" t="n"/>
      <x:c r="EX24" s="28" t="n"/>
      <x:c r="EY24" s="28" t="n"/>
      <x:c r="EZ24" s="28" t="n"/>
      <x:c r="FA24" s="28" t="n"/>
      <x:c r="FB24" s="28" t="n"/>
      <x:c r="FC24" s="28" t="n"/>
      <x:c r="FD24" s="28" t="n"/>
      <x:c r="FE24" s="28" t="n"/>
      <x:c r="FF24" s="28" t="n"/>
      <x:c r="FG24" s="28" t="n"/>
      <x:c r="FH24" s="28" t="n"/>
      <x:c r="FI24" s="28" t="n"/>
      <x:c r="FJ24" s="28" t="n"/>
      <x:c r="FK24" s="28" t="n"/>
      <x:c r="FL24" s="28" t="n"/>
      <x:c r="FM24" s="28" t="n"/>
      <x:c r="FN24" s="28" t="n"/>
      <x:c r="FO24" s="28" t="n"/>
      <x:c r="FP24" s="28" t="n"/>
      <x:c r="FQ24" s="28" t="n"/>
      <x:c r="FR24" s="28" t="n"/>
      <x:c r="FS24" s="28" t="n"/>
      <x:c r="FT24" s="28" t="n"/>
      <x:c r="FU24" s="28" t="n"/>
      <x:c r="FV24" s="28" t="n"/>
      <x:c r="FW24" s="28" t="n"/>
      <x:c r="FX24" s="28" t="n"/>
      <x:c r="FY24" s="28" t="n"/>
      <x:c r="FZ24" s="28" t="n"/>
    </x:row>
    <x:row r="25" s="27" customFormat="1">
      <x:c r="A25" s="125" t="n"/>
      <x:c r="B25" s="39" t="n"/>
      <x:c r="C25" s="86" t="n">
        <x:f>E25*D$5</x:f>
        <x:v>3.3188833015432624</x:v>
      </x:c>
      <x:c r="D25" s="104" t="inlineStr">
        <x:is>
          <x:t xml:space="preserve">J. W. Klopfenstein</x:t>
        </x:is>
      </x:c>
      <x:c r="E25" s="86" t="n">
        <x:f>SUM(G25:HT25)</x:f>
        <x:v>0.0867001907404196</x:v>
      </x:c>
      <x:c r="F25" s="35" t="inlineStr">
        <x:is>
          <x:t xml:space="preserve"/>
        </x:is>
      </x:c>
      <x:c r="G25" s="121" t="n"/>
      <x:c r="H25" s="121" t="n"/>
      <x:c r="I25" s="121" t="n"/>
      <x:c r="J25" s="121" t="n"/>
      <x:c r="K25" s="121" t="n"/>
      <x:c r="L25" s="121" t="n"/>
      <x:c r="M25" s="121" t="n"/>
      <x:c r="N25" s="121" t="n"/>
      <x:c r="O25" s="121" t="n"/>
      <x:c r="P25" s="121" t="n"/>
      <x:c r="Q25" s="124" t="n">
        <x:v>0.0867001907404196</x:v>
      </x:c>
      <x:c r="R25" s="123" t="n"/>
      <x:c r="S25" s="121" t="n"/>
      <x:c r="T25" s="121" t="n"/>
      <x:c r="U25" s="129" t="n"/>
      <x:c r="V25" s="121" t="n"/>
      <x:c r="W25" s="121" t="n"/>
      <x:c r="X25" s="121" t="n"/>
      <x:c r="Y25" s="121" t="n"/>
      <x:c r="Z25" s="121" t="n"/>
      <x:c r="AA25" s="121" t="n"/>
      <x:c r="AB25" s="121" t="n"/>
      <x:c r="AC25" s="121" t="n"/>
      <x:c r="AD25" s="123" t="n"/>
      <x:c r="AE25" s="123" t="n"/>
      <x:c r="AF25" s="123" t="n"/>
      <x:c r="AG25" s="123" t="n"/>
      <x:c r="AH25" s="123" t="n"/>
      <x:c r="AI25" s="6" t="n"/>
      <x:c r="AJ25" s="123" t="n"/>
      <x:c r="AK25" s="121" t="n"/>
      <x:c r="AL25" s="123" t="n"/>
      <x:c r="AM25" s="121" t="n"/>
      <x:c r="AN25" s="123" t="n"/>
      <x:c r="AO25" s="121" t="n"/>
      <x:c r="AP25" s="121" t="n"/>
      <x:c r="AQ25" s="28" t="n"/>
      <x:c r="AR25" s="28" t="n"/>
      <x:c r="AS25" s="28" t="n"/>
      <x:c r="AT25" s="28" t="n"/>
      <x:c r="AU25" s="28" t="n"/>
      <x:c r="AV25" s="28" t="n"/>
      <x:c r="AW25" s="28" t="n"/>
      <x:c r="AX25" s="28" t="n"/>
      <x:c r="AY25" s="28" t="n"/>
      <x:c r="AZ25" s="28" t="n"/>
      <x:c r="BA25" s="28" t="n"/>
      <x:c r="BB25" s="28" t="n"/>
      <x:c r="BC25" s="28" t="n"/>
      <x:c r="BD25" s="28" t="n"/>
      <x:c r="BE25" s="28" t="n"/>
      <x:c r="BF25" s="28" t="n"/>
      <x:c r="BG25" s="28" t="n"/>
      <x:c r="BH25" s="28" t="n"/>
      <x:c r="BI25" s="28" t="n"/>
      <x:c r="BJ25" s="28" t="n"/>
      <x:c r="BK25" s="28" t="n"/>
      <x:c r="BL25" s="28" t="n"/>
      <x:c r="BM25" s="28" t="n"/>
      <x:c r="BN25" s="28" t="n"/>
      <x:c r="BO25" s="28" t="n"/>
      <x:c r="BP25" s="28" t="n"/>
      <x:c r="BQ25" s="28" t="n"/>
      <x:c r="BR25" s="28" t="n"/>
      <x:c r="BS25" s="28" t="n"/>
      <x:c r="BT25" s="28" t="n"/>
      <x:c r="BU25" s="28" t="n"/>
      <x:c r="BV25" s="28" t="n"/>
      <x:c r="BW25" s="28" t="n"/>
      <x:c r="BX25" s="28" t="n"/>
      <x:c r="BY25" s="28" t="n"/>
      <x:c r="BZ25" s="28" t="n"/>
      <x:c r="CA25" s="28" t="n"/>
      <x:c r="CB25" s="28" t="n"/>
      <x:c r="CC25" s="28" t="n"/>
      <x:c r="CD25" s="28" t="n"/>
      <x:c r="CE25" s="28" t="n"/>
      <x:c r="CF25" s="28" t="n"/>
      <x:c r="CG25" s="28" t="n"/>
      <x:c r="CH25" s="28" t="n"/>
      <x:c r="CI25" s="28" t="n"/>
      <x:c r="CJ25" s="28" t="n"/>
      <x:c r="CK25" s="28" t="n"/>
      <x:c r="CL25" s="28" t="n"/>
      <x:c r="CM25" s="28" t="n"/>
      <x:c r="CN25" s="28" t="n"/>
      <x:c r="CO25" s="28" t="n"/>
      <x:c r="CP25" s="28" t="n"/>
      <x:c r="CQ25" s="28" t="n"/>
      <x:c r="CR25" s="28" t="n"/>
      <x:c r="CS25" s="28" t="n"/>
      <x:c r="CT25" s="28" t="n"/>
      <x:c r="CU25" s="28" t="n"/>
      <x:c r="CV25" s="28" t="n"/>
      <x:c r="CW25" s="28" t="n"/>
      <x:c r="CX25" s="28" t="n"/>
      <x:c r="CY25" s="28" t="n"/>
      <x:c r="CZ25" s="28" t="n"/>
      <x:c r="DA25" s="28" t="n"/>
      <x:c r="DB25" s="28" t="n"/>
      <x:c r="DC25" s="28" t="n"/>
      <x:c r="DD25" s="28" t="n"/>
      <x:c r="DE25" s="28" t="n"/>
      <x:c r="DF25" s="28" t="n"/>
      <x:c r="DG25" s="28" t="n"/>
      <x:c r="DH25" s="28" t="n"/>
      <x:c r="DI25" s="28" t="n"/>
      <x:c r="DJ25" s="28" t="n"/>
      <x:c r="DK25" s="28" t="n"/>
      <x:c r="DL25" s="28" t="n"/>
      <x:c r="DM25" s="28" t="n"/>
      <x:c r="DN25" s="28" t="n"/>
      <x:c r="DO25" s="28" t="n"/>
      <x:c r="DP25" s="28" t="n"/>
      <x:c r="DQ25" s="28" t="n"/>
      <x:c r="DR25" s="28" t="n"/>
      <x:c r="DS25" s="28" t="n"/>
      <x:c r="DT25" s="28" t="n"/>
      <x:c r="DU25" s="28" t="n"/>
      <x:c r="DV25" s="28" t="n"/>
      <x:c r="DW25" s="28" t="n"/>
      <x:c r="DX25" s="28" t="n"/>
      <x:c r="DY25" s="28" t="n"/>
      <x:c r="DZ25" s="28" t="n"/>
      <x:c r="EA25" s="28" t="n"/>
      <x:c r="EB25" s="28" t="n"/>
      <x:c r="EC25" s="28" t="n"/>
      <x:c r="ED25" s="28" t="n"/>
      <x:c r="EE25" s="28" t="n"/>
      <x:c r="EF25" s="28" t="n"/>
      <x:c r="EG25" s="28" t="n"/>
      <x:c r="EH25" s="28" t="n"/>
      <x:c r="EI25" s="28" t="n"/>
      <x:c r="EJ25" s="28" t="n"/>
      <x:c r="EK25" s="28" t="n"/>
      <x:c r="EL25" s="28" t="n"/>
      <x:c r="EM25" s="28" t="n"/>
      <x:c r="EN25" s="28" t="n"/>
      <x:c r="EO25" s="28" t="n"/>
      <x:c r="EP25" s="28" t="n"/>
      <x:c r="EQ25" s="28" t="n"/>
      <x:c r="ER25" s="28" t="n"/>
      <x:c r="ES25" s="28" t="n"/>
      <x:c r="ET25" s="28" t="n"/>
      <x:c r="EU25" s="28" t="n"/>
      <x:c r="EV25" s="28" t="n"/>
      <x:c r="EW25" s="28" t="n"/>
      <x:c r="EX25" s="28" t="n"/>
      <x:c r="EY25" s="28" t="n"/>
      <x:c r="EZ25" s="28" t="n"/>
      <x:c r="FA25" s="28" t="n"/>
      <x:c r="FB25" s="28" t="n"/>
      <x:c r="FC25" s="28" t="n"/>
      <x:c r="FD25" s="28" t="n"/>
      <x:c r="FE25" s="28" t="n"/>
      <x:c r="FF25" s="28" t="n"/>
      <x:c r="FG25" s="28" t="n"/>
      <x:c r="FH25" s="28" t="n"/>
      <x:c r="FI25" s="28" t="n"/>
      <x:c r="FJ25" s="28" t="n"/>
      <x:c r="FK25" s="28" t="n"/>
      <x:c r="FL25" s="28" t="n"/>
      <x:c r="FM25" s="28" t="n"/>
      <x:c r="FN25" s="28" t="n"/>
      <x:c r="FO25" s="28" t="n"/>
      <x:c r="FP25" s="28" t="n"/>
      <x:c r="FQ25" s="28" t="n"/>
      <x:c r="FR25" s="28" t="n"/>
      <x:c r="FS25" s="28" t="n"/>
      <x:c r="FT25" s="28" t="n"/>
      <x:c r="FU25" s="28" t="n"/>
      <x:c r="FV25" s="28" t="n"/>
      <x:c r="FW25" s="28" t="n"/>
      <x:c r="FX25" s="28" t="n"/>
      <x:c r="FY25" s="28" t="n"/>
      <x:c r="FZ25" s="28" t="n"/>
    </x:row>
    <x:row r="26" s="27" customFormat="1">
      <x:c r="A26" s="125" t="n"/>
      <x:c r="B26" s="39" t="n"/>
      <x:c r="C26" s="86" t="n">
        <x:f>E26*D$5</x:f>
        <x:v>-38.28</x:v>
      </x:c>
      <x:c r="D26" s="412" t="inlineStr">
        <x:is>
          <x:t xml:space="preserve">Elmo W. Kirk and Freeda Kirk, HW</x:t>
        </x:is>
      </x:c>
      <x:c r="E26" s="413" t="n">
        <x:f>SUM(G26:HT26)</x:f>
        <x:v>-1</x:v>
      </x:c>
      <x:c r="F26" s="35" t="inlineStr">
        <x:is>
          <x:t xml:space="preserve"/>
        </x:is>
      </x:c>
      <x:c r="G26" s="121" t="n"/>
      <x:c r="H26" s="121" t="n"/>
      <x:c r="I26" s="121" t="n"/>
      <x:c r="J26" s="121" t="n"/>
      <x:c r="K26" s="121" t="n"/>
      <x:c r="L26" s="121" t="n"/>
      <x:c r="M26" s="121" t="n"/>
      <x:c r="N26" s="121" t="n"/>
      <x:c r="O26" s="121" t="n"/>
      <x:c r="P26" s="121" t="n"/>
      <x:c r="Q26" s="123" t="n"/>
      <x:c r="R26" s="123" t="n">
        <x:v>-1</x:v>
      </x:c>
      <x:c r="S26" s="121" t="n"/>
      <x:c r="T26" s="121" t="n"/>
      <x:c r="U26" s="129" t="n"/>
      <x:c r="V26" s="121" t="n"/>
      <x:c r="W26" s="121" t="n"/>
      <x:c r="X26" s="121" t="n"/>
      <x:c r="Y26" s="121" t="n"/>
      <x:c r="Z26" s="121" t="n"/>
      <x:c r="AA26" s="121" t="n"/>
      <x:c r="AB26" s="121" t="n"/>
      <x:c r="AC26" s="121" t="n"/>
      <x:c r="AD26" s="123" t="n"/>
      <x:c r="AE26" s="123" t="n"/>
      <x:c r="AF26" s="123" t="n"/>
      <x:c r="AG26" s="123" t="n"/>
      <x:c r="AH26" s="123" t="n"/>
      <x:c r="AI26" s="5" t="n"/>
      <x:c r="AJ26" s="123" t="n"/>
      <x:c r="AK26" s="121" t="n"/>
      <x:c r="AL26" s="123" t="n"/>
      <x:c r="AM26" s="122" t="n"/>
      <x:c r="AN26" s="123" t="n"/>
      <x:c r="AO26" s="121" t="n"/>
      <x:c r="AP26" s="121" t="n"/>
      <x:c r="AQ26" s="28" t="n"/>
      <x:c r="AR26" s="28" t="n"/>
      <x:c r="AS26" s="28" t="n"/>
      <x:c r="AT26" s="28" t="n"/>
      <x:c r="AU26" s="28" t="n"/>
      <x:c r="AV26" s="28" t="n"/>
      <x:c r="AW26" s="28" t="n"/>
      <x:c r="AX26" s="28" t="n"/>
      <x:c r="AY26" s="28" t="n"/>
      <x:c r="AZ26" s="28" t="n"/>
      <x:c r="BA26" s="28" t="n"/>
      <x:c r="BB26" s="28" t="n"/>
      <x:c r="BC26" s="28" t="n"/>
      <x:c r="BD26" s="28" t="n"/>
      <x:c r="BE26" s="28" t="n"/>
      <x:c r="BF26" s="28" t="n"/>
      <x:c r="BG26" s="28" t="n"/>
      <x:c r="BH26" s="28" t="n"/>
      <x:c r="BI26" s="28" t="n"/>
      <x:c r="BJ26" s="28" t="n"/>
      <x:c r="BK26" s="28" t="n"/>
      <x:c r="BL26" s="28" t="n"/>
      <x:c r="BM26" s="28" t="n"/>
      <x:c r="BN26" s="28" t="n"/>
      <x:c r="BO26" s="28" t="n"/>
      <x:c r="BP26" s="28" t="n"/>
      <x:c r="BQ26" s="28" t="n"/>
      <x:c r="BR26" s="28" t="n"/>
      <x:c r="BS26" s="28" t="n"/>
      <x:c r="BT26" s="28" t="n"/>
      <x:c r="BU26" s="28" t="n"/>
      <x:c r="BV26" s="28" t="n"/>
      <x:c r="BW26" s="28" t="n"/>
      <x:c r="BX26" s="28" t="n"/>
      <x:c r="BY26" s="28" t="n"/>
      <x:c r="BZ26" s="28" t="n"/>
      <x:c r="CA26" s="28" t="n"/>
      <x:c r="CB26" s="28" t="n"/>
      <x:c r="CC26" s="28" t="n"/>
      <x:c r="CD26" s="28" t="n"/>
      <x:c r="CE26" s="28" t="n"/>
      <x:c r="CF26" s="28" t="n"/>
      <x:c r="CG26" s="28" t="n"/>
      <x:c r="CH26" s="28" t="n"/>
      <x:c r="CI26" s="28" t="n"/>
      <x:c r="CJ26" s="28" t="n"/>
      <x:c r="CK26" s="28" t="n"/>
      <x:c r="CL26" s="28" t="n"/>
      <x:c r="CM26" s="28" t="n"/>
      <x:c r="CN26" s="28" t="n"/>
      <x:c r="CO26" s="28" t="n"/>
      <x:c r="CP26" s="28" t="n"/>
      <x:c r="CQ26" s="28" t="n"/>
      <x:c r="CR26" s="28" t="n"/>
      <x:c r="CS26" s="28" t="n"/>
      <x:c r="CT26" s="28" t="n"/>
      <x:c r="CU26" s="28" t="n"/>
      <x:c r="CV26" s="28" t="n"/>
      <x:c r="CW26" s="28" t="n"/>
      <x:c r="CX26" s="28" t="n"/>
      <x:c r="CY26" s="28" t="n"/>
      <x:c r="CZ26" s="28" t="n"/>
      <x:c r="DA26" s="28" t="n"/>
      <x:c r="DB26" s="28" t="n"/>
      <x:c r="DC26" s="28" t="n"/>
      <x:c r="DD26" s="28" t="n"/>
      <x:c r="DE26" s="28" t="n"/>
      <x:c r="DF26" s="28" t="n"/>
      <x:c r="DG26" s="28" t="n"/>
      <x:c r="DH26" s="28" t="n"/>
      <x:c r="DI26" s="28" t="n"/>
      <x:c r="DJ26" s="28" t="n"/>
      <x:c r="DK26" s="28" t="n"/>
      <x:c r="DL26" s="28" t="n"/>
      <x:c r="DM26" s="28" t="n"/>
      <x:c r="DN26" s="28" t="n"/>
      <x:c r="DO26" s="28" t="n"/>
      <x:c r="DP26" s="28" t="n"/>
      <x:c r="DQ26" s="28" t="n"/>
      <x:c r="DR26" s="28" t="n"/>
      <x:c r="DS26" s="28" t="n"/>
      <x:c r="DT26" s="28" t="n"/>
      <x:c r="DU26" s="28" t="n"/>
      <x:c r="DV26" s="28" t="n"/>
      <x:c r="DW26" s="28" t="n"/>
      <x:c r="DX26" s="28" t="n"/>
      <x:c r="DY26" s="28" t="n"/>
      <x:c r="DZ26" s="28" t="n"/>
      <x:c r="EA26" s="28" t="n"/>
      <x:c r="EB26" s="28" t="n"/>
      <x:c r="EC26" s="28" t="n"/>
      <x:c r="ED26" s="28" t="n"/>
      <x:c r="EE26" s="28" t="n"/>
      <x:c r="EF26" s="28" t="n"/>
      <x:c r="EG26" s="28" t="n"/>
      <x:c r="EH26" s="28" t="n"/>
      <x:c r="EI26" s="28" t="n"/>
      <x:c r="EJ26" s="28" t="n"/>
      <x:c r="EK26" s="28" t="n"/>
      <x:c r="EL26" s="28" t="n"/>
      <x:c r="EM26" s="28" t="n"/>
      <x:c r="EN26" s="28" t="n"/>
      <x:c r="EO26" s="28" t="n"/>
      <x:c r="EP26" s="28" t="n"/>
      <x:c r="EQ26" s="28" t="n"/>
      <x:c r="ER26" s="28" t="n"/>
      <x:c r="ES26" s="28" t="n"/>
      <x:c r="ET26" s="28" t="n"/>
      <x:c r="EU26" s="28" t="n"/>
      <x:c r="EV26" s="28" t="n"/>
      <x:c r="EW26" s="28" t="n"/>
      <x:c r="EX26" s="28" t="n"/>
      <x:c r="EY26" s="28" t="n"/>
      <x:c r="EZ26" s="28" t="n"/>
      <x:c r="FA26" s="28" t="n"/>
      <x:c r="FB26" s="28" t="n"/>
      <x:c r="FC26" s="28" t="n"/>
      <x:c r="FD26" s="28" t="n"/>
      <x:c r="FE26" s="28" t="n"/>
      <x:c r="FF26" s="28" t="n"/>
      <x:c r="FG26" s="28" t="n"/>
      <x:c r="FH26" s="28" t="n"/>
      <x:c r="FI26" s="28" t="n"/>
      <x:c r="FJ26" s="28" t="n"/>
      <x:c r="FK26" s="28" t="n"/>
      <x:c r="FL26" s="28" t="n"/>
      <x:c r="FM26" s="28" t="n"/>
      <x:c r="FN26" s="28" t="n"/>
      <x:c r="FO26" s="28" t="n"/>
      <x:c r="FP26" s="28" t="n"/>
      <x:c r="FQ26" s="28" t="n"/>
      <x:c r="FR26" s="28" t="n"/>
      <x:c r="FS26" s="28" t="n"/>
      <x:c r="FT26" s="28" t="n"/>
      <x:c r="FU26" s="28" t="n"/>
      <x:c r="FV26" s="28" t="n"/>
      <x:c r="FW26" s="28" t="n"/>
      <x:c r="FX26" s="28" t="n"/>
      <x:c r="FY26" s="28" t="n"/>
      <x:c r="FZ26" s="28" t="n"/>
    </x:row>
    <x:row r="27" s="27" customFormat="1">
      <x:c r="A27" s="125" t="n"/>
      <x:c r="B27" s="39" t="n"/>
      <x:c r="C27" s="36" t="n">
        <x:f>E27*D$5</x:f>
        <x:v>-38.28</x:v>
      </x:c>
      <x:c r="D27" s="422" t="inlineStr">
        <x:is>
          <x:t xml:space="preserve">Margie Kirk</x:t>
        </x:is>
      </x:c>
      <x:c r="E27" s="411" t="n">
        <x:f>SUM(G27:HT27)</x:f>
        <x:v>-1</x:v>
      </x:c>
      <x:c r="F27" s="35" t="inlineStr">
        <x:is>
          <x:t xml:space="preserve"/>
        </x:is>
      </x:c>
      <x:c r="G27" s="121" t="n"/>
      <x:c r="H27" s="121" t="n"/>
      <x:c r="I27" s="121" t="n"/>
      <x:c r="J27" s="121" t="n"/>
      <x:c r="K27" s="121" t="n"/>
      <x:c r="L27" s="121" t="n"/>
      <x:c r="M27" s="6" t="n"/>
      <x:c r="N27" s="121" t="n"/>
      <x:c r="O27" s="121" t="n"/>
      <x:c r="P27" s="121" t="n"/>
      <x:c r="Q27" s="123" t="n"/>
      <x:c r="R27" s="123" t="n">
        <x:v>1</x:v>
      </x:c>
      <x:c r="S27" s="121" t="n">
        <x:v>-1</x:v>
      </x:c>
      <x:c r="T27" s="121" t="n"/>
      <x:c r="U27" s="121" t="n"/>
      <x:c r="V27" s="129" t="n"/>
      <x:c r="W27" s="121" t="n">
        <x:v>-1</x:v>
      </x:c>
      <x:c r="X27" s="121" t="n"/>
      <x:c r="Y27" s="121" t="n"/>
      <x:c r="Z27" s="121" t="n"/>
      <x:c r="AA27" s="121" t="n"/>
      <x:c r="AB27" s="121" t="n"/>
      <x:c r="AC27" s="121" t="n"/>
      <x:c r="AD27" s="123" t="n"/>
      <x:c r="AE27" s="123" t="n"/>
      <x:c r="AF27" s="123" t="n"/>
      <x:c r="AG27" s="123" t="n"/>
      <x:c r="AH27" s="123" t="n"/>
      <x:c r="AI27" s="5" t="n"/>
      <x:c r="AJ27" s="123" t="n"/>
      <x:c r="AK27" s="121" t="n"/>
      <x:c r="AL27" s="123" t="n"/>
      <x:c r="AM27" s="121" t="n"/>
      <x:c r="AN27" s="123" t="n"/>
      <x:c r="AO27" s="121" t="n"/>
      <x:c r="AP27" s="121" t="n"/>
      <x:c r="AQ27" s="28" t="n"/>
      <x:c r="AR27" s="28" t="n"/>
      <x:c r="AS27" s="28" t="n"/>
    </x:row>
    <x:row r="28" s="27" customFormat="1">
      <x:c r="A28" s="125" t="n"/>
      <x:c r="B28" s="39" t="n"/>
      <x:c r="C28" s="36" t="n">
        <x:f>E28*D$5</x:f>
        <x:v>38.28</x:v>
      </x:c>
      <x:c r="D28" s="4" t="inlineStr">
        <x:is>
          <x:t xml:space="preserve">Gordon E. Kirk and Ella Pearl Kirk, HW, JTWROS</x:t>
        </x:is>
      </x:c>
      <x:c r="E28" s="36" t="n">
        <x:f>SUM(G28:HT28)</x:f>
        <x:v>1</x:v>
      </x:c>
      <x:c r="F28" s="35" t="inlineStr">
        <x:is>
          <x:t xml:space="preserve"/>
        </x:is>
      </x:c>
      <x:c r="G28" s="121" t="n"/>
      <x:c r="H28" s="121" t="n"/>
      <x:c r="I28" s="121" t="n"/>
      <x:c r="J28" s="121" t="n"/>
      <x:c r="K28" s="121" t="n"/>
      <x:c r="L28" s="121" t="n"/>
      <x:c r="M28" s="5" t="n"/>
      <x:c r="N28" s="121" t="n"/>
      <x:c r="O28" s="121" t="n"/>
      <x:c r="P28" s="121" t="n"/>
      <x:c r="Q28" s="123" t="n"/>
      <x:c r="R28" s="123" t="n"/>
      <x:c r="S28" s="121" t="n">
        <x:v>1</x:v>
      </x:c>
      <x:c r="T28" s="121" t="n"/>
      <x:c r="U28" s="121" t="n"/>
      <x:c r="V28" s="129" t="n"/>
      <x:c r="W28" s="121" t="n"/>
      <x:c r="X28" s="121" t="n"/>
      <x:c r="Y28" s="121" t="n"/>
      <x:c r="Z28" s="121" t="n"/>
      <x:c r="AA28" s="121" t="n"/>
      <x:c r="AB28" s="121" t="n"/>
      <x:c r="AC28" s="121" t="n"/>
      <x:c r="AD28" s="123" t="n"/>
      <x:c r="AE28" s="123" t="n"/>
      <x:c r="AF28" s="123" t="n"/>
      <x:c r="AG28" s="123" t="n"/>
      <x:c r="AH28" s="123" t="n"/>
      <x:c r="AI28" s="5" t="n"/>
      <x:c r="AJ28" s="123" t="n"/>
      <x:c r="AK28" s="121" t="n"/>
      <x:c r="AL28" s="123" t="n"/>
      <x:c r="AM28" s="121" t="n"/>
      <x:c r="AN28" s="123" t="n"/>
      <x:c r="AO28" s="121" t="n"/>
      <x:c r="AP28" s="121" t="n"/>
      <x:c r="AQ28" s="28" t="n"/>
      <x:c r="AR28" s="28" t="n"/>
      <x:c r="AS28" s="28" t="n"/>
    </x:row>
    <x:row r="29" s="27" customFormat="1" ht="24" customHeight="1">
      <x:c r="A29" s="125" t="n"/>
      <x:c r="B29" s="39" t="n"/>
      <x:c r="C29" s="86" t="n">
        <x:f>E29*D$5</x:f>
        <x:v>-38.28</x:v>
      </x:c>
      <x:c r="D29" s="421" t="inlineStr">
        <x:is>
          <x:t xml:space="preserve">Beckham County Court, RE: In the Matter of the Estate of Lillie Campbell, Deceased</x:t>
        </x:is>
      </x:c>
      <x:c r="E29" s="413" t="n">
        <x:f>SUM(G29:HT29)</x:f>
        <x:v>-1</x:v>
      </x:c>
      <x:c r="F29" s="35" t="inlineStr">
        <x:is>
          <x:t xml:space="preserve"/>
        </x:is>
      </x:c>
      <x:c r="G29" s="121" t="n"/>
      <x:c r="H29" s="121" t="n"/>
      <x:c r="I29" s="121" t="n"/>
      <x:c r="J29" s="121" t="n"/>
      <x:c r="K29" s="121" t="n"/>
      <x:c r="L29" s="121" t="n"/>
      <x:c r="M29" s="5" t="n"/>
      <x:c r="N29" s="121" t="n"/>
      <x:c r="O29" s="121" t="n"/>
      <x:c r="P29" s="121" t="n"/>
      <x:c r="Q29" s="123" t="n"/>
      <x:c r="R29" s="123" t="n"/>
      <x:c r="S29" s="121" t="n"/>
      <x:c r="T29" s="121" t="n">
        <x:v>-1</x:v>
      </x:c>
      <x:c r="U29" s="121" t="n"/>
      <x:c r="V29" s="129" t="n"/>
      <x:c r="W29" s="121" t="n"/>
      <x:c r="X29" s="121" t="n"/>
      <x:c r="Y29" s="121" t="n"/>
      <x:c r="Z29" s="121" t="n"/>
      <x:c r="AA29" s="121" t="n"/>
      <x:c r="AB29" s="121" t="n"/>
      <x:c r="AC29" s="121" t="n"/>
      <x:c r="AD29" s="123" t="n"/>
      <x:c r="AE29" s="123" t="n"/>
      <x:c r="AF29" s="123" t="n"/>
      <x:c r="AG29" s="123" t="n"/>
      <x:c r="AH29" s="123" t="n"/>
      <x:c r="AI29" s="5" t="n"/>
      <x:c r="AJ29" s="123" t="n"/>
      <x:c r="AK29" s="121" t="n"/>
      <x:c r="AL29" s="123" t="n"/>
      <x:c r="AM29" s="121" t="n"/>
      <x:c r="AN29" s="123" t="n"/>
      <x:c r="AO29" s="121" t="n"/>
      <x:c r="AP29" s="121" t="n"/>
      <x:c r="AQ29" s="28" t="n"/>
      <x:c r="AR29" s="28" t="n"/>
      <x:c r="AS29" s="28" t="n"/>
    </x:row>
    <x:row r="30" s="27" customFormat="1">
      <x:c r="A30" s="125" t="n"/>
      <x:c r="B30" s="39" t="n"/>
      <x:c r="C30" s="36" t="n">
        <x:f>E30*D$5</x:f>
        <x:v>19.14</x:v>
      </x:c>
      <x:c r="D30" s="103" t="inlineStr">
        <x:is>
          <x:t xml:space="preserve">Virgil Hambrook</x:t>
        </x:is>
      </x:c>
      <x:c r="E30" s="36" t="n">
        <x:f>SUM(G30:HT30)</x:f>
        <x:v>0.5</x:v>
      </x:c>
      <x:c r="F30" s="35" t="inlineStr">
        <x:is>
          <x:t xml:space="preserve"/>
        </x:is>
      </x:c>
      <x:c r="G30" s="121" t="n"/>
      <x:c r="H30" s="121" t="n"/>
      <x:c r="I30" s="121" t="n"/>
      <x:c r="J30" s="121" t="n"/>
      <x:c r="K30" s="121" t="n"/>
      <x:c r="L30" s="121" t="n"/>
      <x:c r="M30" s="117" t="n"/>
      <x:c r="N30" s="121" t="n"/>
      <x:c r="O30" s="121" t="n"/>
      <x:c r="P30" s="121" t="n"/>
      <x:c r="Q30" s="123" t="n"/>
      <x:c r="R30" s="123" t="n"/>
      <x:c r="S30" s="121" t="n"/>
      <x:c r="T30" s="121" t="n">
        <x:v>0.5</x:v>
      </x:c>
      <x:c r="U30" s="121" t="n"/>
      <x:c r="V30" s="121" t="n"/>
      <x:c r="W30" s="129" t="n"/>
      <x:c r="X30" s="129" t="n"/>
      <x:c r="Y30" s="129" t="n"/>
      <x:c r="Z30" s="129" t="n"/>
      <x:c r="AA30" s="129" t="n"/>
      <x:c r="AB30" s="121" t="n"/>
      <x:c r="AC30" s="121" t="n"/>
      <x:c r="AD30" s="123" t="n"/>
      <x:c r="AE30" s="123" t="n"/>
      <x:c r="AF30" s="123" t="n"/>
      <x:c r="AG30" s="123" t="n"/>
      <x:c r="AH30" s="123" t="n"/>
      <x:c r="AI30" s="118" t="n"/>
      <x:c r="AJ30" s="123" t="n"/>
      <x:c r="AK30" s="121" t="n"/>
      <x:c r="AL30" s="123" t="n"/>
      <x:c r="AM30" s="121" t="n"/>
      <x:c r="AN30" s="123" t="n"/>
      <x:c r="AO30" s="121" t="n"/>
      <x:c r="AP30" s="121" t="n"/>
      <x:c r="AQ30" s="28" t="n"/>
      <x:c r="AR30" s="28" t="n"/>
      <x:c r="AS30" s="28" t="n"/>
    </x:row>
    <x:row r="31" s="27" customFormat="1">
      <x:c r="A31" s="125" t="n"/>
      <x:c r="B31" s="39" t="n"/>
      <x:c r="C31" s="86" t="n">
        <x:f>E31*D$5</x:f>
        <x:v>19.14</x:v>
      </x:c>
      <x:c r="D31" s="103" t="inlineStr">
        <x:is>
          <x:t xml:space="preserve">Letty Atha</x:t>
        </x:is>
      </x:c>
      <x:c r="E31" s="86" t="n">
        <x:f>SUM(G31:HT31)</x:f>
        <x:v>0.5</x:v>
      </x:c>
      <x:c r="F31" s="35" t="inlineStr">
        <x:is>
          <x:t xml:space="preserve"/>
        </x:is>
      </x:c>
      <x:c r="G31" s="121" t="n"/>
      <x:c r="H31" s="121" t="n"/>
      <x:c r="I31" s="121" t="n"/>
      <x:c r="J31" s="121" t="n"/>
      <x:c r="K31" s="121" t="n"/>
      <x:c r="L31" s="121" t="n"/>
      <x:c r="M31" s="117" t="n"/>
      <x:c r="N31" s="121" t="n"/>
      <x:c r="O31" s="121" t="n"/>
      <x:c r="P31" s="121" t="n"/>
      <x:c r="Q31" s="123" t="n"/>
      <x:c r="R31" s="123" t="n"/>
      <x:c r="S31" s="121" t="n"/>
      <x:c r="T31" s="121" t="n">
        <x:v>0.5</x:v>
      </x:c>
      <x:c r="U31" s="121" t="n"/>
      <x:c r="V31" s="121" t="n"/>
      <x:c r="W31" s="129" t="n"/>
      <x:c r="X31" s="129" t="n"/>
      <x:c r="Y31" s="121" t="n"/>
      <x:c r="Z31" s="121" t="n"/>
      <x:c r="AA31" s="121" t="n"/>
      <x:c r="AB31" s="121" t="n"/>
      <x:c r="AC31" s="121" t="n"/>
      <x:c r="AD31" s="123" t="n"/>
      <x:c r="AE31" s="123" t="n"/>
      <x:c r="AF31" s="123" t="n"/>
      <x:c r="AG31" s="123" t="n"/>
      <x:c r="AH31" s="123" t="n"/>
      <x:c r="AI31" s="118" t="n"/>
      <x:c r="AJ31" s="123" t="n"/>
      <x:c r="AK31" s="121" t="n"/>
      <x:c r="AL31" s="123" t="n"/>
      <x:c r="AM31" s="121" t="n"/>
      <x:c r="AN31" s="123" t="n"/>
      <x:c r="AO31" s="121" t="n"/>
      <x:c r="AP31" s="121" t="n"/>
      <x:c r="AQ31" s="28" t="n"/>
      <x:c r="AR31" s="28" t="n"/>
      <x:c r="AS31" s="28" t="n"/>
    </x:row>
    <x:row r="32" s="27" customFormat="1">
      <x:c r="A32" s="125" t="n"/>
      <x:c r="B32" s="39" t="n"/>
      <x:c r="C32" s="86" t="n">
        <x:f>E32*D$5</x:f>
        <x:v>0</x:v>
      </x:c>
      <x:c r="D32" s="103" t="inlineStr">
        <x:is>
          <x:t xml:space="preserve">Margie Ann Kirk</x:t>
        </x:is>
      </x:c>
      <x:c r="E32" s="86" t="n">
        <x:f>SUM(G32:HT32)</x:f>
        <x:v>0</x:v>
      </x:c>
      <x:c r="F32" s="35" t="inlineStr">
        <x:is>
          <x:t xml:space="preserve"/>
        </x:is>
      </x:c>
      <x:c r="G32" s="121" t="n"/>
      <x:c r="H32" s="121" t="n"/>
      <x:c r="I32" s="121" t="n"/>
      <x:c r="J32" s="121" t="n"/>
      <x:c r="K32" s="121" t="n"/>
      <x:c r="L32" s="121" t="n"/>
      <x:c r="M32" s="117" t="n"/>
      <x:c r="N32" s="121" t="n"/>
      <x:c r="O32" s="121" t="n"/>
      <x:c r="P32" s="121" t="n"/>
      <x:c r="Q32" s="123" t="n"/>
      <x:c r="R32" s="123" t="n"/>
      <x:c r="S32" s="121" t="n"/>
      <x:c r="T32" s="121" t="n"/>
      <x:c r="U32" s="121" t="n"/>
      <x:c r="V32" s="121" t="n"/>
      <x:c r="W32" s="129" t="n"/>
      <x:c r="X32" s="121" t="n"/>
      <x:c r="Y32" s="129" t="n"/>
      <x:c r="Z32" s="121" t="n"/>
      <x:c r="AA32" s="121" t="n"/>
      <x:c r="AB32" s="121" t="n"/>
      <x:c r="AC32" s="121" t="n"/>
      <x:c r="AD32" s="123" t="n"/>
      <x:c r="AE32" s="123" t="n"/>
      <x:c r="AF32" s="123" t="n"/>
      <x:c r="AG32" s="123" t="n"/>
      <x:c r="AH32" s="123" t="n"/>
      <x:c r="AI32" s="118" t="n"/>
      <x:c r="AJ32" s="123" t="n"/>
      <x:c r="AK32" s="121" t="n"/>
      <x:c r="AL32" s="123" t="n"/>
      <x:c r="AM32" s="121" t="n"/>
      <x:c r="AN32" s="123" t="n"/>
      <x:c r="AO32" s="121" t="n"/>
      <x:c r="AP32" s="121" t="n"/>
      <x:c r="AQ32" s="28" t="n"/>
      <x:c r="AR32" s="28" t="n"/>
      <x:c r="AS32" s="28" t="n"/>
    </x:row>
    <x:row r="33" s="27" customFormat="1">
      <x:c r="A33" s="125" t="n"/>
      <x:c r="B33" s="39" t="n"/>
      <x:c r="C33" s="36" t="n">
        <x:f>E33*D$5</x:f>
        <x:v>0</x:v>
      </x:c>
      <x:c r="D33" s="103" t="inlineStr">
        <x:is>
          <x:t xml:space="preserve">Eddie Tom Lakey</x:t>
        </x:is>
      </x:c>
      <x:c r="E33" s="36" t="n">
        <x:f>SUM(G33:HT33)</x:f>
        <x:v>0</x:v>
      </x:c>
      <x:c r="F33" s="35" t="inlineStr">
        <x:is>
          <x:t xml:space="preserve"/>
        </x:is>
      </x:c>
      <x:c r="G33" s="121" t="n"/>
      <x:c r="H33" s="121" t="n"/>
      <x:c r="I33" s="121" t="n"/>
      <x:c r="J33" s="121" t="n"/>
      <x:c r="K33" s="121" t="n"/>
      <x:c r="L33" s="121" t="n"/>
      <x:c r="M33" s="121" t="n"/>
      <x:c r="N33" s="121" t="n"/>
      <x:c r="O33" s="121" t="n"/>
      <x:c r="P33" s="121" t="n"/>
      <x:c r="Q33" s="123" t="n"/>
      <x:c r="R33" s="123" t="n"/>
      <x:c r="S33" s="121" t="n"/>
      <x:c r="T33" s="121" t="n"/>
      <x:c r="U33" s="121" t="n"/>
      <x:c r="V33" s="121" t="n"/>
      <x:c r="W33" s="129" t="n"/>
      <x:c r="X33" s="121" t="n"/>
      <x:c r="Y33" s="121" t="n"/>
      <x:c r="Z33" s="129" t="n"/>
      <x:c r="AA33" s="121" t="n"/>
      <x:c r="AB33" s="121" t="n"/>
      <x:c r="AC33" s="121" t="n"/>
      <x:c r="AD33" s="123" t="n"/>
      <x:c r="AE33" s="123" t="n"/>
      <x:c r="AF33" s="123" t="n"/>
      <x:c r="AG33" s="123" t="n"/>
      <x:c r="AH33" s="123" t="n"/>
      <x:c r="AI33" s="123" t="n"/>
      <x:c r="AJ33" s="123" t="n"/>
      <x:c r="AK33" s="121" t="n"/>
      <x:c r="AL33" s="123" t="n"/>
      <x:c r="AM33" s="121" t="n"/>
      <x:c r="AN33" s="123" t="n"/>
      <x:c r="AO33" s="121" t="n"/>
      <x:c r="AP33" s="121" t="n"/>
      <x:c r="AQ33" s="28" t="n"/>
      <x:c r="AR33" s="28" t="n"/>
      <x:c r="AS33" s="28" t="n"/>
    </x:row>
    <x:row r="34" s="27" customFormat="1">
      <x:c r="A34" s="125" t="n"/>
      <x:c r="B34" s="39" t="n"/>
      <x:c r="C34" s="36" t="n">
        <x:f>E34*D$5</x:f>
        <x:v>0</x:v>
      </x:c>
      <x:c r="D34" s="103" t="inlineStr">
        <x:is>
          <x:t xml:space="preserve">Confirm — Missing conveyed interest 1982-007158</x:t>
        </x:is>
      </x:c>
      <x:c r="E34" s="36" t="n">
        <x:f>SUM(G34:HT34)</x:f>
        <x:v>0</x:v>
      </x:c>
      <x:c r="F34" s="35" t="inlineStr">
        <x:is>
          <x:t xml:space="preserve"/>
        </x:is>
      </x:c>
      <x:c r="G34" s="121" t="n"/>
      <x:c r="H34" s="121" t="n"/>
      <x:c r="I34" s="121" t="n"/>
      <x:c r="J34" s="121" t="n"/>
      <x:c r="K34" s="121" t="n"/>
      <x:c r="L34" s="121" t="n"/>
      <x:c r="M34" s="121" t="n"/>
      <x:c r="N34" s="121" t="n"/>
      <x:c r="O34" s="121" t="n"/>
      <x:c r="P34" s="121" t="n"/>
      <x:c r="Q34" s="123" t="n"/>
      <x:c r="R34" s="123" t="n"/>
      <x:c r="S34" s="121" t="n"/>
      <x:c r="T34" s="121" t="n"/>
      <x:c r="U34" s="121" t="n"/>
      <x:c r="V34" s="121" t="n"/>
      <x:c r="W34" s="129" t="n"/>
      <x:c r="X34" s="121" t="n"/>
      <x:c r="Y34" s="121" t="n"/>
      <x:c r="Z34" s="121" t="n"/>
      <x:c r="AA34" s="129" t="n"/>
      <x:c r="AB34" s="121" t="n"/>
      <x:c r="AC34" s="121" t="n"/>
      <x:c r="AD34" s="121" t="n"/>
      <x:c r="AE34" s="123" t="n"/>
      <x:c r="AF34" s="123" t="n"/>
      <x:c r="AG34" s="123" t="n"/>
      <x:c r="AH34" s="123" t="n"/>
      <x:c r="AI34" s="123" t="n"/>
      <x:c r="AJ34" s="123" t="n"/>
      <x:c r="AK34" s="121" t="n"/>
      <x:c r="AL34" s="123" t="n"/>
      <x:c r="AM34" s="121" t="n"/>
      <x:c r="AN34" s="123" t="n"/>
      <x:c r="AO34" s="121" t="n"/>
      <x:c r="AP34" s="121" t="n"/>
      <x:c r="AQ34" s="28" t="n"/>
      <x:c r="AR34" s="28" t="n"/>
      <x:c r="AS34" s="28" t="n"/>
    </x:row>
    <x:row r="35" s="27" customFormat="1">
      <x:c r="A35" s="125" t="n"/>
      <x:c r="B35" s="39" t="n"/>
      <x:c r="C35" s="36" t="n">
        <x:f>E35*D$5</x:f>
        <x:v>-38.28</x:v>
      </x:c>
      <x:c r="D35" s="410" t="inlineStr">
        <x:is>
          <x:t xml:space="preserve">Roger Mills County Sheriff</x:t>
        </x:is>
      </x:c>
      <x:c r="E35" s="411" t="n">
        <x:f>SUM(G35:HT35)</x:f>
        <x:v>-1</x:v>
      </x:c>
      <x:c r="F35" s="35" t="inlineStr">
        <x:is>
          <x:t xml:space="preserve"/>
        </x:is>
      </x:c>
      <x:c r="G35" s="121" t="n"/>
      <x:c r="H35" s="121" t="n"/>
      <x:c r="I35" s="121" t="n"/>
      <x:c r="J35" s="121" t="n"/>
      <x:c r="K35" s="121" t="n"/>
      <x:c r="L35" s="121" t="n"/>
      <x:c r="M35" s="121" t="n"/>
      <x:c r="N35" s="121" t="n"/>
      <x:c r="O35" s="121" t="n"/>
      <x:c r="P35" s="121" t="n"/>
      <x:c r="Q35" s="123" t="n"/>
      <x:c r="R35" s="123" t="n"/>
      <x:c r="S35" s="121" t="n"/>
      <x:c r="T35" s="121" t="n"/>
      <x:c r="U35" s="121" t="n"/>
      <x:c r="V35" s="121" t="n">
        <x:v>-1</x:v>
      </x:c>
      <x:c r="W35" s="129" t="n"/>
      <x:c r="X35" s="121" t="n"/>
      <x:c r="Y35" s="121" t="n"/>
      <x:c r="Z35" s="121" t="n"/>
      <x:c r="AA35" s="121" t="n"/>
      <x:c r="AB35" s="121" t="n"/>
      <x:c r="AC35" s="121" t="n"/>
      <x:c r="AD35" s="121" t="n"/>
      <x:c r="AE35" s="123" t="n"/>
      <x:c r="AF35" s="123" t="n"/>
      <x:c r="AG35" s="123" t="n"/>
      <x:c r="AH35" s="123" t="n"/>
      <x:c r="AI35" s="123" t="n"/>
      <x:c r="AJ35" s="123" t="n"/>
      <x:c r="AK35" s="121" t="n"/>
      <x:c r="AL35" s="121" t="n"/>
      <x:c r="AM35" s="121" t="n"/>
      <x:c r="AN35" s="123" t="n"/>
      <x:c r="AO35" s="121" t="n"/>
      <x:c r="AP35" s="121" t="n"/>
      <x:c r="AQ35" s="28" t="n"/>
      <x:c r="AR35" s="28" t="n"/>
      <x:c r="AS35" s="28" t="n"/>
    </x:row>
    <x:row r="36" s="27" customFormat="1">
      <x:c r="A36" s="125" t="n"/>
      <x:c r="B36" s="39" t="n"/>
      <x:c r="C36" s="36" t="n">
        <x:f>E36*D$5</x:f>
        <x:v>38.28</x:v>
      </x:c>
      <x:c r="D36" s="103" t="inlineStr">
        <x:is>
          <x:t xml:space="preserve">City National Bank of Sayre</x:t>
        </x:is>
      </x:c>
      <x:c r="E36" s="36" t="n">
        <x:f>SUM(G36:HT36)</x:f>
        <x:v>1</x:v>
      </x:c>
      <x:c r="F36" s="35" t="inlineStr">
        <x:is>
          <x:t xml:space="preserve"/>
        </x:is>
      </x:c>
      <x:c r="G36" s="121" t="n"/>
      <x:c r="H36" s="121" t="n"/>
      <x:c r="I36" s="121" t="n"/>
      <x:c r="J36" s="121" t="n"/>
      <x:c r="K36" s="121" t="n"/>
      <x:c r="L36" s="121" t="n"/>
      <x:c r="M36" s="121" t="n"/>
      <x:c r="N36" s="121" t="n"/>
      <x:c r="O36" s="121" t="n"/>
      <x:c r="P36" s="121" t="n"/>
      <x:c r="Q36" s="123" t="n"/>
      <x:c r="R36" s="123" t="n"/>
      <x:c r="S36" s="121" t="n"/>
      <x:c r="T36" s="121" t="n"/>
      <x:c r="U36" s="121" t="n"/>
      <x:c r="V36" s="121" t="n">
        <x:v>1</x:v>
      </x:c>
      <x:c r="W36" s="121" t="n"/>
      <x:c r="X36" s="121" t="n"/>
      <x:c r="Y36" s="121" t="n"/>
      <x:c r="Z36" s="121" t="n"/>
      <x:c r="AA36" s="121" t="n"/>
      <x:c r="AB36" s="121" t="n"/>
      <x:c r="AC36" s="121" t="n"/>
      <x:c r="AD36" s="121" t="n"/>
      <x:c r="AE36" s="123" t="n"/>
      <x:c r="AF36" s="124" t="n"/>
      <x:c r="AG36" s="123" t="n"/>
      <x:c r="AH36" s="123" t="n"/>
      <x:c r="AI36" s="123" t="n"/>
      <x:c r="AJ36" s="123" t="n"/>
      <x:c r="AK36" s="121" t="n"/>
      <x:c r="AL36" s="123" t="n"/>
      <x:c r="AM36" s="121" t="n"/>
      <x:c r="AN36" s="124" t="n"/>
      <x:c r="AO36" s="121" t="n"/>
      <x:c r="AP36" s="121" t="n"/>
      <x:c r="AQ36" s="28" t="n"/>
      <x:c r="AR36" s="28" t="n"/>
      <x:c r="AS36" s="28" t="n"/>
    </x:row>
    <x:row r="37" s="27" customFormat="1">
      <x:c r="A37" s="125" t="n"/>
      <x:c r="B37" s="39" t="n"/>
      <x:c r="C37" s="86" t="n">
        <x:f>E37*D$5</x:f>
        <x:v>19.14</x:v>
      </x:c>
      <x:c r="D37" s="103" t="inlineStr">
        <x:is>
          <x:t xml:space="preserve">Herman M. Sides</x:t>
        </x:is>
      </x:c>
      <x:c r="E37" s="86" t="n">
        <x:f>SUM(G37:HY37)</x:f>
        <x:v>0.5</x:v>
      </x:c>
      <x:c r="F37" s="35" t="inlineStr">
        <x:is>
          <x:t xml:space="preserve"/>
        </x:is>
      </x:c>
      <x:c r="G37" s="121" t="n"/>
      <x:c r="H37" s="122" t="n"/>
      <x:c r="I37" s="121" t="n"/>
      <x:c r="J37" s="122" t="n"/>
      <x:c r="K37" s="122" t="n"/>
      <x:c r="L37" s="123" t="n"/>
      <x:c r="M37" s="123" t="n"/>
      <x:c r="N37" s="123" t="n"/>
      <x:c r="O37" s="123" t="n"/>
      <x:c r="P37" s="123" t="n"/>
      <x:c r="Q37" s="123" t="n"/>
      <x:c r="R37" s="123" t="n"/>
      <x:c r="S37" s="123" t="n"/>
      <x:c r="T37" s="123" t="n"/>
      <x:c r="U37" s="123" t="n"/>
      <x:c r="V37" s="123" t="n"/>
      <x:c r="W37" s="123" t="n">
        <x:v>0.5</x:v>
      </x:c>
      <x:c r="X37" s="123" t="n"/>
      <x:c r="Y37" s="121" t="n"/>
      <x:c r="Z37" s="123" t="n"/>
      <x:c r="AA37" s="123" t="n"/>
      <x:c r="AB37" s="123" t="n"/>
      <x:c r="AC37" s="123" t="n"/>
      <x:c r="AD37" s="121" t="n"/>
      <x:c r="AE37" s="123" t="n"/>
      <x:c r="AF37" s="124" t="n"/>
      <x:c r="AG37" s="124" t="n"/>
      <x:c r="AH37" s="124" t="n"/>
      <x:c r="AI37" s="123" t="n"/>
      <x:c r="AJ37" s="123" t="n"/>
      <x:c r="AK37" s="123" t="n"/>
      <x:c r="AL37" s="121" t="n"/>
      <x:c r="AM37" s="123" t="n"/>
      <x:c r="AN37" s="123" t="n"/>
      <x:c r="AO37" s="123" t="n"/>
      <x:c r="AP37" s="123" t="n"/>
      <x:c r="AQ37" s="100" t="n"/>
      <x:c r="AR37" s="100" t="n"/>
      <x:c r="AS37" s="100" t="n"/>
      <x:c r="AT37" s="100" t="n"/>
      <x:c r="AU37" s="100" t="n"/>
      <x:c r="AV37" s="100" t="n"/>
      <x:c r="AW37" s="100" t="n"/>
      <x:c r="AX37" s="100" t="n"/>
      <x:c r="AY37" s="100" t="n"/>
      <x:c r="AZ37" s="100" t="n"/>
      <x:c r="BA37" s="100" t="n"/>
      <x:c r="BB37" s="100" t="n"/>
      <x:c r="BC37" s="100" t="n"/>
      <x:c r="BD37" s="100" t="n"/>
      <x:c r="BE37" s="100" t="n"/>
      <x:c r="BF37" s="100" t="n"/>
      <x:c r="BG37" s="100" t="n"/>
      <x:c r="BH37" s="100" t="n"/>
      <x:c r="BI37" s="100" t="n"/>
      <x:c r="BJ37" s="100" t="n"/>
      <x:c r="BK37" s="100" t="n"/>
      <x:c r="BL37" s="100" t="n"/>
      <x:c r="BM37" s="100" t="n"/>
      <x:c r="BN37" s="100" t="n"/>
      <x:c r="BO37" s="100" t="n"/>
      <x:c r="BP37" s="100" t="n"/>
      <x:c r="BQ37" s="100" t="n"/>
      <x:c r="BR37" s="100" t="n"/>
      <x:c r="BS37" s="100" t="n"/>
      <x:c r="BT37" s="100" t="n"/>
      <x:c r="BU37" s="100" t="n"/>
      <x:c r="BV37" s="100" t="n"/>
      <x:c r="BW37" s="100" t="n"/>
      <x:c r="BX37" s="100" t="n"/>
      <x:c r="BY37" s="100" t="n"/>
      <x:c r="BZ37" s="100" t="n"/>
      <x:c r="CA37" s="100" t="n"/>
      <x:c r="CB37" s="100" t="n"/>
      <x:c r="CC37" s="100" t="n"/>
      <x:c r="CD37" s="100" t="n"/>
      <x:c r="CE37" s="100" t="n"/>
      <x:c r="CF37" s="100" t="n"/>
      <x:c r="CG37" s="100" t="n"/>
      <x:c r="CH37" s="100" t="n"/>
      <x:c r="CI37" s="100" t="n"/>
      <x:c r="CJ37" s="100" t="n"/>
      <x:c r="CK37" s="100" t="n"/>
      <x:c r="CL37" s="100" t="n"/>
      <x:c r="CM37" s="100" t="n"/>
      <x:c r="CN37" s="100" t="n"/>
      <x:c r="CO37" s="100" t="n"/>
      <x:c r="CP37" s="100" t="n"/>
      <x:c r="CQ37" s="100" t="n"/>
      <x:c r="CR37" s="100" t="n"/>
      <x:c r="CS37" s="100" t="n"/>
      <x:c r="CT37" s="100" t="n"/>
      <x:c r="CU37" s="100" t="n"/>
      <x:c r="CV37" s="100" t="n"/>
      <x:c r="CW37" s="100" t="n"/>
      <x:c r="CX37" s="100" t="n"/>
      <x:c r="CY37" s="100" t="n"/>
      <x:c r="CZ37" s="100" t="n"/>
      <x:c r="DA37" s="100" t="n"/>
      <x:c r="DB37" s="100" t="n"/>
      <x:c r="DC37" s="100" t="n"/>
      <x:c r="DD37" s="100" t="n"/>
      <x:c r="DE37" s="100" t="n"/>
      <x:c r="DF37" s="100" t="n"/>
      <x:c r="DG37" s="100" t="n"/>
      <x:c r="DH37" s="100" t="n"/>
      <x:c r="DI37" s="100" t="n"/>
      <x:c r="DJ37" s="100" t="n"/>
      <x:c r="DK37" s="100" t="n"/>
      <x:c r="DL37" s="100" t="n"/>
      <x:c r="DM37" s="100" t="n"/>
      <x:c r="DN37" s="100" t="n"/>
      <x:c r="DO37" s="100" t="n"/>
      <x:c r="DP37" s="100" t="n"/>
      <x:c r="DQ37" s="100" t="n"/>
      <x:c r="DR37" s="100" t="n"/>
      <x:c r="DS37" s="100" t="n"/>
      <x:c r="DT37" s="100" t="n"/>
      <x:c r="DU37" s="100" t="n"/>
      <x:c r="DV37" s="100" t="n"/>
      <x:c r="DW37" s="100" t="n"/>
      <x:c r="DX37" s="100" t="n"/>
      <x:c r="DY37" s="100" t="n"/>
      <x:c r="DZ37" s="100" t="n"/>
      <x:c r="EA37" s="100" t="n"/>
      <x:c r="EB37" s="100" t="n"/>
      <x:c r="EC37" s="100" t="n"/>
      <x:c r="ED37" s="100" t="n"/>
      <x:c r="EE37" s="100" t="n"/>
      <x:c r="EF37" s="100" t="n"/>
      <x:c r="EG37" s="100" t="n"/>
      <x:c r="EH37" s="100" t="n"/>
      <x:c r="EI37" s="100" t="n"/>
      <x:c r="EJ37" s="100" t="n"/>
      <x:c r="EK37" s="100" t="n"/>
      <x:c r="EL37" s="100" t="n"/>
      <x:c r="EM37" s="100" t="n"/>
      <x:c r="EN37" s="100" t="n"/>
      <x:c r="EO37" s="100" t="n"/>
      <x:c r="EP37" s="100" t="n"/>
      <x:c r="EQ37" s="100" t="n"/>
      <x:c r="ER37" s="100" t="n"/>
      <x:c r="ES37" s="100" t="n"/>
      <x:c r="ET37" s="100" t="n"/>
      <x:c r="EU37" s="100" t="n"/>
      <x:c r="EV37" s="100" t="n"/>
      <x:c r="EW37" s="100" t="n"/>
      <x:c r="EX37" s="100" t="n"/>
      <x:c r="EY37" s="100" t="n"/>
      <x:c r="EZ37" s="100" t="n"/>
      <x:c r="FA37" s="100" t="n"/>
      <x:c r="FB37" s="100" t="n"/>
      <x:c r="FC37" s="100" t="n"/>
      <x:c r="FD37" s="100" t="n"/>
      <x:c r="FE37" s="100" t="n"/>
      <x:c r="FF37" s="100" t="n"/>
      <x:c r="FG37" s="100" t="n"/>
      <x:c r="FH37" s="100" t="n"/>
      <x:c r="FI37" s="100" t="n"/>
      <x:c r="FJ37" s="100" t="n"/>
      <x:c r="FK37" s="100" t="n"/>
      <x:c r="FL37" s="100" t="n"/>
      <x:c r="FM37" s="100" t="n"/>
      <x:c r="FN37" s="100" t="n"/>
      <x:c r="FO37" s="100" t="n"/>
      <x:c r="FP37" s="100" t="n"/>
      <x:c r="FQ37" s="100" t="n"/>
      <x:c r="FR37" s="100" t="n"/>
      <x:c r="FS37" s="100" t="n"/>
      <x:c r="FT37" s="100" t="n"/>
      <x:c r="FU37" s="100" t="n"/>
      <x:c r="FV37" s="100" t="n"/>
      <x:c r="FW37" s="100" t="n"/>
      <x:c r="FX37" s="100" t="n"/>
      <x:c r="FY37" s="100" t="n"/>
      <x:c r="FZ37" s="100" t="n"/>
      <x:c r="GA37" s="100" t="n"/>
      <x:c r="GB37" s="100" t="n"/>
      <x:c r="GC37" s="100" t="n"/>
      <x:c r="GD37" s="100" t="n"/>
      <x:c r="GE37" s="100" t="n"/>
    </x:row>
    <x:row r="38" s="27" customFormat="1">
      <x:c r="A38" s="125" t="n"/>
      <x:c r="B38" s="39" t="n"/>
      <x:c r="C38" s="36" t="n">
        <x:f>E38*D$5</x:f>
        <x:v>19.14</x:v>
      </x:c>
      <x:c r="D38" s="4" t="inlineStr">
        <x:is>
          <x:t xml:space="preserve">Laury C. Sides</x:t>
        </x:is>
      </x:c>
      <x:c r="E38" s="36" t="n">
        <x:f>SUM(G38:HT38)</x:f>
        <x:v>0.5</x:v>
      </x:c>
      <x:c r="F38" s="35" t="inlineStr">
        <x:is>
          <x:t xml:space="preserve"/>
        </x:is>
      </x:c>
      <x:c r="G38" s="121" t="n"/>
      <x:c r="H38" s="121" t="n"/>
      <x:c r="I38" s="121" t="n"/>
      <x:c r="J38" s="121" t="n"/>
      <x:c r="K38" s="121" t="n"/>
      <x:c r="L38" s="121" t="n"/>
      <x:c r="M38" s="121" t="n"/>
      <x:c r="N38" s="121" t="n"/>
      <x:c r="O38" s="121" t="n"/>
      <x:c r="P38" s="121" t="n"/>
      <x:c r="Q38" s="123" t="n"/>
      <x:c r="R38" s="123" t="n"/>
      <x:c r="S38" s="121" t="n"/>
      <x:c r="T38" s="121" t="n"/>
      <x:c r="U38" s="121" t="n"/>
      <x:c r="V38" s="121" t="n"/>
      <x:c r="W38" s="121" t="n">
        <x:v>0.5</x:v>
      </x:c>
      <x:c r="X38" s="121" t="n"/>
      <x:c r="Y38" s="121" t="n"/>
      <x:c r="Z38" s="121" t="n"/>
      <x:c r="AA38" s="121" t="n"/>
      <x:c r="AB38" s="121" t="n"/>
      <x:c r="AC38" s="121" t="n"/>
      <x:c r="AD38" s="121" t="n"/>
      <x:c r="AE38" s="123" t="n"/>
      <x:c r="AF38" s="124" t="n"/>
      <x:c r="AG38" s="124" t="n"/>
      <x:c r="AH38" s="123" t="n"/>
      <x:c r="AI38" s="123" t="n"/>
      <x:c r="AJ38" s="124" t="n"/>
      <x:c r="AK38" s="121" t="n"/>
      <x:c r="AL38" s="121" t="n"/>
      <x:c r="AM38" s="121" t="n"/>
      <x:c r="AN38" s="124" t="n"/>
      <x:c r="AO38" s="121" t="n"/>
      <x:c r="AP38" s="121" t="n"/>
      <x:c r="AQ38" s="28" t="n"/>
      <x:c r="AR38" s="28" t="n"/>
      <x:c r="AS38" s="28" t="n"/>
    </x:row>
    <x:row r="39" s="27" customFormat="1" ht="24" customHeight="1">
      <x:c r="A39" s="125" t="n"/>
      <x:c r="B39" s="39" t="n"/>
      <x:c r="C39" s="36" t="n">
        <x:f>E39*D$5</x:f>
        <x:v>-43.86249999999999</x:v>
      </x:c>
      <x:c r="D39" s="410" t="inlineStr">
        <x:is>
          <x:t xml:space="preserve">Beckham County Court, RE: In the Matter of the Estate of Margaret Gray, Deceased</x:t>
        </x:is>
      </x:c>
      <x:c r="E39" s="411" t="n">
        <x:f>SUM(G39:HH39)</x:f>
        <x:v>-1.145833333333333</x:v>
      </x:c>
      <x:c r="F39" s="35" t="inlineStr">
        <x:is>
          <x:t xml:space="preserve"/>
        </x:is>
      </x:c>
      <x:c r="G39" s="121" t="n"/>
      <x:c r="H39" s="122" t="n"/>
      <x:c r="I39" s="122" t="n"/>
      <x:c r="J39" s="122" t="n"/>
      <x:c r="K39" s="122" t="n"/>
      <x:c r="L39" s="123" t="n"/>
      <x:c r="M39" s="123" t="n"/>
      <x:c r="N39" s="123" t="n"/>
      <x:c r="O39" s="123" t="n"/>
      <x:c r="P39" s="123" t="n"/>
      <x:c r="Q39" s="123" t="n"/>
      <x:c r="R39" s="123" t="n"/>
      <x:c r="S39" s="123" t="n"/>
      <x:c r="T39" s="123" t="n"/>
      <x:c r="U39" s="123" t="n"/>
      <x:c r="V39" s="123" t="n"/>
      <x:c r="W39" s="123" t="n"/>
      <x:c r="X39" s="123" t="n">
        <x:v>-1</x:v>
      </x:c>
      <x:c r="Y39" s="123" t="n"/>
      <x:c r="Z39" s="123" t="n"/>
      <x:c r="AA39" s="123" t="n">
        <x:v>-0.145833333333333</x:v>
      </x:c>
      <x:c r="AB39" s="123" t="n"/>
      <x:c r="AC39" s="123" t="n"/>
      <x:c r="AD39" s="123" t="n"/>
      <x:c r="AE39" s="123" t="n"/>
      <x:c r="AF39" s="124" t="n"/>
      <x:c r="AG39" s="124" t="n"/>
      <x:c r="AH39" s="124" t="n"/>
      <x:c r="AI39" s="123" t="n"/>
      <x:c r="AJ39" s="123" t="n"/>
      <x:c r="AK39" s="123" t="n"/>
      <x:c r="AL39" s="123" t="n"/>
      <x:c r="AM39" s="123" t="n"/>
      <x:c r="AN39" s="123" t="n"/>
      <x:c r="AO39" s="123" t="n"/>
      <x:c r="AP39" s="123" t="n"/>
      <x:c r="AQ39" s="100" t="n"/>
      <x:c r="AR39" s="100" t="n"/>
      <x:c r="AS39" s="100" t="n"/>
      <x:c r="AT39" s="100" t="n"/>
      <x:c r="AU39" s="100" t="n"/>
      <x:c r="AV39" s="100" t="n"/>
      <x:c r="AW39" s="100" t="n"/>
      <x:c r="AX39" s="100" t="n"/>
      <x:c r="AY39" s="100" t="n"/>
      <x:c r="AZ39" s="100" t="n"/>
      <x:c r="BA39" s="100" t="n"/>
      <x:c r="BB39" s="100" t="n"/>
      <x:c r="BC39" s="100" t="n"/>
      <x:c r="BD39" s="100" t="n"/>
      <x:c r="BE39" s="100" t="n"/>
      <x:c r="BF39" s="100" t="n"/>
      <x:c r="BG39" s="100" t="n"/>
      <x:c r="BH39" s="100" t="n"/>
      <x:c r="BI39" s="100" t="n"/>
      <x:c r="BJ39" s="100" t="n"/>
      <x:c r="BK39" s="100" t="n"/>
      <x:c r="BL39" s="100" t="n"/>
      <x:c r="BM39" s="100" t="n"/>
      <x:c r="BN39" s="100" t="n"/>
      <x:c r="BO39" s="100" t="n"/>
      <x:c r="BP39" s="100" t="n"/>
      <x:c r="BQ39" s="100" t="n"/>
      <x:c r="BR39" s="100" t="n"/>
      <x:c r="BS39" s="100" t="n"/>
      <x:c r="BT39" s="100" t="n"/>
      <x:c r="BU39" s="100" t="n"/>
      <x:c r="BV39" s="100" t="n"/>
      <x:c r="BW39" s="100" t="n"/>
      <x:c r="BX39" s="100" t="n"/>
      <x:c r="BY39" s="100" t="n"/>
      <x:c r="BZ39" s="100" t="n"/>
      <x:c r="CA39" s="100" t="n"/>
      <x:c r="CB39" s="100" t="n"/>
      <x:c r="CC39" s="100" t="n"/>
      <x:c r="CD39" s="100" t="n"/>
      <x:c r="CE39" s="100" t="n"/>
      <x:c r="CF39" s="100" t="n"/>
      <x:c r="CG39" s="100" t="n"/>
      <x:c r="CH39" s="100" t="n"/>
      <x:c r="CI39" s="100" t="n"/>
      <x:c r="CJ39" s="100" t="n"/>
      <x:c r="CK39" s="100" t="n"/>
      <x:c r="CL39" s="100" t="n"/>
      <x:c r="CM39" s="100" t="n"/>
      <x:c r="CN39" s="100" t="n"/>
      <x:c r="CO39" s="100" t="n"/>
      <x:c r="CP39" s="100" t="n"/>
      <x:c r="CQ39" s="100" t="n"/>
      <x:c r="CR39" s="100" t="n"/>
      <x:c r="CS39" s="100" t="n"/>
      <x:c r="CT39" s="100" t="n"/>
      <x:c r="CU39" s="100" t="n"/>
      <x:c r="CV39" s="100" t="n"/>
      <x:c r="CW39" s="100" t="n"/>
      <x:c r="CX39" s="100" t="n"/>
      <x:c r="CY39" s="100" t="n"/>
      <x:c r="CZ39" s="100" t="n"/>
      <x:c r="DA39" s="100" t="n"/>
      <x:c r="DB39" s="100" t="n"/>
      <x:c r="DC39" s="100" t="n"/>
      <x:c r="DD39" s="100" t="n"/>
      <x:c r="DE39" s="100" t="n"/>
      <x:c r="DF39" s="100" t="n"/>
      <x:c r="DG39" s="100" t="n"/>
      <x:c r="DH39" s="100" t="n"/>
      <x:c r="DI39" s="100" t="n"/>
      <x:c r="DJ39" s="100" t="n"/>
      <x:c r="DK39" s="100" t="n"/>
      <x:c r="DL39" s="100" t="n"/>
      <x:c r="DM39" s="100" t="n"/>
      <x:c r="DN39" s="100" t="n"/>
      <x:c r="DO39" s="100" t="n"/>
      <x:c r="DP39" s="100" t="n"/>
      <x:c r="DQ39" s="100" t="n"/>
      <x:c r="DR39" s="100" t="n"/>
      <x:c r="DS39" s="100" t="n"/>
      <x:c r="DT39" s="100" t="n"/>
      <x:c r="DU39" s="100" t="n"/>
      <x:c r="DV39" s="100" t="n"/>
      <x:c r="DW39" s="100" t="n"/>
      <x:c r="DX39" s="100" t="n"/>
      <x:c r="DY39" s="100" t="n"/>
      <x:c r="DZ39" s="100" t="n"/>
      <x:c r="EA39" s="100" t="n"/>
      <x:c r="EB39" s="100" t="n"/>
      <x:c r="EC39" s="100" t="n"/>
      <x:c r="ED39" s="100" t="n"/>
      <x:c r="EE39" s="100" t="n"/>
      <x:c r="EF39" s="100" t="n"/>
      <x:c r="EG39" s="100" t="n"/>
      <x:c r="EH39" s="100" t="n"/>
      <x:c r="EI39" s="100" t="n"/>
      <x:c r="EJ39" s="100" t="n"/>
      <x:c r="EK39" s="100" t="n"/>
      <x:c r="EL39" s="100" t="n"/>
      <x:c r="EM39" s="100" t="n"/>
      <x:c r="EN39" s="100" t="n"/>
      <x:c r="EO39" s="100" t="n"/>
      <x:c r="EP39" s="100" t="n"/>
      <x:c r="EQ39" s="100" t="n"/>
      <x:c r="ER39" s="100" t="n"/>
      <x:c r="ES39" s="100" t="n"/>
      <x:c r="ET39" s="100" t="n"/>
      <x:c r="EU39" s="100" t="n"/>
      <x:c r="EV39" s="100" t="n"/>
      <x:c r="EW39" s="100" t="n"/>
      <x:c r="EX39" s="100" t="n"/>
      <x:c r="EY39" s="100" t="n"/>
      <x:c r="EZ39" s="100" t="n"/>
      <x:c r="FA39" s="100" t="n"/>
      <x:c r="FB39" s="100" t="n"/>
      <x:c r="FC39" s="100" t="n"/>
      <x:c r="FD39" s="100" t="n"/>
      <x:c r="FE39" s="100" t="n"/>
      <x:c r="FF39" s="100" t="n"/>
      <x:c r="FG39" s="100" t="n"/>
      <x:c r="FH39" s="100" t="n"/>
      <x:c r="FI39" s="100" t="n"/>
      <x:c r="FJ39" s="100" t="n"/>
      <x:c r="FK39" s="100" t="n"/>
      <x:c r="FL39" s="100" t="n"/>
      <x:c r="FM39" s="100" t="n"/>
      <x:c r="FN39" s="100" t="n"/>
    </x:row>
    <x:row r="40" s="27" customFormat="1">
      <x:c r="A40" s="125" t="n"/>
      <x:c r="B40" s="39" t="n"/>
      <x:c r="C40" s="86" t="n">
        <x:f>E40*D$5</x:f>
        <x:v>14.620833333333314</x:v>
      </x:c>
      <x:c r="D40" s="103" t="inlineStr">
        <x:is>
          <x:t xml:space="preserve">Murrell A. Gray</x:t>
        </x:is>
      </x:c>
      <x:c r="E40" s="86" t="n">
        <x:f>SUM(G40:HH40)</x:f>
        <x:v>0.3819444444444439</x:v>
      </x:c>
      <x:c r="F40" s="35" t="inlineStr">
        <x:is>
          <x:t xml:space="preserve"/>
        </x:is>
      </x:c>
      <x:c r="G40" s="121" t="n"/>
      <x:c r="H40" s="122" t="n"/>
      <x:c r="I40" s="122" t="n"/>
      <x:c r="J40" s="122" t="n"/>
      <x:c r="K40" s="122" t="n"/>
      <x:c r="L40" s="123" t="n"/>
      <x:c r="M40" s="123" t="n"/>
      <x:c r="N40" s="123" t="n"/>
      <x:c r="O40" s="123" t="n"/>
      <x:c r="P40" s="123" t="n"/>
      <x:c r="Q40" s="123" t="n"/>
      <x:c r="R40" s="123" t="n"/>
      <x:c r="S40" s="123" t="n"/>
      <x:c r="T40" s="123" t="n"/>
      <x:c r="U40" s="123" t="n"/>
      <x:c r="V40" s="123" t="n"/>
      <x:c r="W40" s="123" t="n"/>
      <x:c r="X40" s="123" t="n">
        <x:v>0.333333333333333</x:v>
      </x:c>
      <x:c r="Y40" s="123" t="n"/>
      <x:c r="Z40" s="123" t="n"/>
      <x:c r="AA40" s="123" t="n">
        <x:v>0.04861111111111095</x:v>
      </x:c>
      <x:c r="AB40" s="123" t="n"/>
      <x:c r="AC40" s="123" t="n"/>
      <x:c r="AD40" s="123" t="n"/>
      <x:c r="AE40" s="123" t="n"/>
      <x:c r="AF40" s="123" t="n"/>
      <x:c r="AG40" s="124" t="n"/>
      <x:c r="AH40" s="123" t="n"/>
      <x:c r="AI40" s="123" t="n"/>
      <x:c r="AJ40" s="124" t="n"/>
      <x:c r="AK40" s="123" t="n"/>
      <x:c r="AL40" s="123" t="n"/>
      <x:c r="AM40" s="123" t="n"/>
      <x:c r="AN40" s="123" t="n"/>
      <x:c r="AO40" s="123" t="n"/>
      <x:c r="AP40" s="123" t="n"/>
      <x:c r="AQ40" s="100" t="n"/>
      <x:c r="AR40" s="100" t="n"/>
      <x:c r="AS40" s="100" t="n"/>
      <x:c r="AT40" s="100" t="n"/>
      <x:c r="AU40" s="100" t="n"/>
      <x:c r="AV40" s="100" t="n"/>
      <x:c r="AW40" s="100" t="n"/>
      <x:c r="AX40" s="100" t="n"/>
      <x:c r="AY40" s="100" t="n"/>
      <x:c r="AZ40" s="100" t="n"/>
      <x:c r="BA40" s="100" t="n"/>
      <x:c r="BB40" s="100" t="n"/>
      <x:c r="BC40" s="100" t="n"/>
      <x:c r="BD40" s="100" t="n"/>
      <x:c r="BE40" s="100" t="n"/>
      <x:c r="BF40" s="100" t="n"/>
      <x:c r="BG40" s="100" t="n"/>
      <x:c r="BH40" s="100" t="n"/>
      <x:c r="BI40" s="100" t="n"/>
      <x:c r="BJ40" s="100" t="n"/>
      <x:c r="BK40" s="100" t="n"/>
      <x:c r="BL40" s="100" t="n"/>
      <x:c r="BM40" s="100" t="n"/>
      <x:c r="BN40" s="100" t="n"/>
      <x:c r="BO40" s="100" t="n"/>
      <x:c r="BP40" s="100" t="n"/>
      <x:c r="BQ40" s="100" t="n"/>
      <x:c r="BR40" s="100" t="n"/>
      <x:c r="BS40" s="100" t="n"/>
      <x:c r="BT40" s="100" t="n"/>
      <x:c r="BU40" s="100" t="n"/>
      <x:c r="BV40" s="100" t="n"/>
      <x:c r="BW40" s="100" t="n"/>
      <x:c r="BX40" s="100" t="n"/>
      <x:c r="BY40" s="100" t="n"/>
      <x:c r="BZ40" s="100" t="n"/>
      <x:c r="CA40" s="100" t="n"/>
      <x:c r="CB40" s="100" t="n"/>
      <x:c r="CC40" s="100" t="n"/>
      <x:c r="CD40" s="100" t="n"/>
      <x:c r="CE40" s="100" t="n"/>
      <x:c r="CF40" s="100" t="n"/>
      <x:c r="CG40" s="100" t="n"/>
      <x:c r="CH40" s="100" t="n"/>
      <x:c r="CI40" s="100" t="n"/>
      <x:c r="CJ40" s="100" t="n"/>
      <x:c r="CK40" s="100" t="n"/>
      <x:c r="CL40" s="100" t="n"/>
      <x:c r="CM40" s="100" t="n"/>
      <x:c r="CN40" s="100" t="n"/>
      <x:c r="CO40" s="100" t="n"/>
      <x:c r="CP40" s="100" t="n"/>
      <x:c r="CQ40" s="100" t="n"/>
      <x:c r="CR40" s="100" t="n"/>
      <x:c r="CS40" s="100" t="n"/>
      <x:c r="CT40" s="100" t="n"/>
      <x:c r="CU40" s="100" t="n"/>
      <x:c r="CV40" s="100" t="n"/>
      <x:c r="CW40" s="100" t="n"/>
      <x:c r="CX40" s="100" t="n"/>
      <x:c r="CY40" s="100" t="n"/>
      <x:c r="CZ40" s="100" t="n"/>
      <x:c r="DA40" s="100" t="n"/>
      <x:c r="DB40" s="100" t="n"/>
      <x:c r="DC40" s="100" t="n"/>
      <x:c r="DD40" s="100" t="n"/>
      <x:c r="DE40" s="100" t="n"/>
      <x:c r="DF40" s="100" t="n"/>
      <x:c r="DG40" s="100" t="n"/>
      <x:c r="DH40" s="100" t="n"/>
      <x:c r="DI40" s="100" t="n"/>
      <x:c r="DJ40" s="100" t="n"/>
      <x:c r="DK40" s="100" t="n"/>
      <x:c r="DL40" s="100" t="n"/>
      <x:c r="DM40" s="100" t="n"/>
      <x:c r="DN40" s="100" t="n"/>
      <x:c r="DO40" s="100" t="n"/>
      <x:c r="DP40" s="100" t="n"/>
      <x:c r="DQ40" s="100" t="n"/>
      <x:c r="DR40" s="100" t="n"/>
      <x:c r="DS40" s="100" t="n"/>
      <x:c r="DT40" s="100" t="n"/>
      <x:c r="DU40" s="100" t="n"/>
      <x:c r="DV40" s="100" t="n"/>
      <x:c r="DW40" s="100" t="n"/>
      <x:c r="DX40" s="100" t="n"/>
      <x:c r="DY40" s="100" t="n"/>
      <x:c r="DZ40" s="100" t="n"/>
      <x:c r="EA40" s="100" t="n"/>
      <x:c r="EB40" s="100" t="n"/>
      <x:c r="EC40" s="100" t="n"/>
      <x:c r="ED40" s="100" t="n"/>
      <x:c r="EE40" s="100" t="n"/>
      <x:c r="EF40" s="100" t="n"/>
      <x:c r="EG40" s="100" t="n"/>
      <x:c r="EH40" s="100" t="n"/>
      <x:c r="EI40" s="100" t="n"/>
      <x:c r="EJ40" s="100" t="n"/>
      <x:c r="EK40" s="100" t="n"/>
      <x:c r="EL40" s="100" t="n"/>
      <x:c r="EM40" s="100" t="n"/>
      <x:c r="EN40" s="100" t="n"/>
      <x:c r="EO40" s="100" t="n"/>
      <x:c r="EP40" s="100" t="n"/>
      <x:c r="EQ40" s="100" t="n"/>
      <x:c r="ER40" s="100" t="n"/>
      <x:c r="ES40" s="100" t="n"/>
      <x:c r="ET40" s="100" t="n"/>
      <x:c r="EU40" s="100" t="n"/>
      <x:c r="EV40" s="100" t="n"/>
      <x:c r="EW40" s="100" t="n"/>
      <x:c r="EX40" s="100" t="n"/>
      <x:c r="EY40" s="100" t="n"/>
      <x:c r="EZ40" s="100" t="n"/>
      <x:c r="FA40" s="100" t="n"/>
      <x:c r="FB40" s="100" t="n"/>
      <x:c r="FC40" s="100" t="n"/>
      <x:c r="FD40" s="100" t="n"/>
      <x:c r="FE40" s="100" t="n"/>
      <x:c r="FF40" s="100" t="n"/>
      <x:c r="FG40" s="100" t="n"/>
      <x:c r="FH40" s="100" t="n"/>
      <x:c r="FI40" s="100" t="n"/>
      <x:c r="FJ40" s="100" t="n"/>
      <x:c r="FK40" s="100" t="n"/>
      <x:c r="FL40" s="100" t="n"/>
      <x:c r="FM40" s="100" t="n"/>
      <x:c r="FN40" s="100" t="n"/>
    </x:row>
    <x:row r="41" s="27" customFormat="1">
      <x:c r="A41" s="125" t="n"/>
      <x:c r="B41" s="39" t="n"/>
      <x:c r="C41" s="36" t="n">
        <x:f>E41*D$5</x:f>
        <x:v>27.3808333333333</x:v>
      </x:c>
      <x:c r="D41" s="4" t="inlineStr">
        <x:is>
          <x:t xml:space="preserve">Fred A. Standiford Jr.</x:t>
        </x:is>
      </x:c>
      <x:c r="E41" s="36" t="n">
        <x:f>SUM(G41:HH41)</x:f>
        <x:v>0.7152777777777769</x:v>
      </x:c>
      <x:c r="F41" s="35" t="inlineStr">
        <x:is>
          <x:t xml:space="preserve"/>
        </x:is>
      </x:c>
      <x:c r="G41" s="121" t="n"/>
      <x:c r="H41" s="122" t="n"/>
      <x:c r="I41" s="122" t="n"/>
      <x:c r="J41" s="122" t="n"/>
      <x:c r="K41" s="122" t="n"/>
      <x:c r="L41" s="123" t="n"/>
      <x:c r="M41" s="123" t="n"/>
      <x:c r="N41" s="123" t="n"/>
      <x:c r="O41" s="123" t="n"/>
      <x:c r="P41" s="123" t="n"/>
      <x:c r="Q41" s="123" t="n"/>
      <x:c r="R41" s="123" t="n"/>
      <x:c r="S41" s="123" t="n"/>
      <x:c r="T41" s="123" t="n"/>
      <x:c r="U41" s="123" t="n"/>
      <x:c r="V41" s="123" t="n"/>
      <x:c r="W41" s="123" t="n"/>
      <x:c r="X41" s="123" t="n">
        <x:v>0.333333333333333</x:v>
      </x:c>
      <x:c r="Y41" s="123" t="n"/>
      <x:c r="Z41" s="123" t="n"/>
      <x:c r="AA41" s="123" t="n">
        <x:v>0.04861111111111095</x:v>
      </x:c>
      <x:c r="AB41" s="123" t="n">
        <x:v>0.333333333333333</x:v>
      </x:c>
      <x:c r="AC41" s="123" t="n"/>
      <x:c r="AD41" s="123" t="n"/>
      <x:c r="AE41" s="123" t="n"/>
      <x:c r="AF41" s="123" t="n"/>
      <x:c r="AG41" s="123" t="n"/>
      <x:c r="AH41" s="124" t="n"/>
      <x:c r="AI41" s="124" t="n"/>
      <x:c r="AJ41" s="123" t="n"/>
      <x:c r="AK41" s="123" t="n"/>
      <x:c r="AL41" s="123" t="n"/>
      <x:c r="AM41" s="123" t="n"/>
      <x:c r="AN41" s="123" t="n"/>
      <x:c r="AO41" s="123" t="n"/>
      <x:c r="AP41" s="123" t="n"/>
      <x:c r="AQ41" s="100" t="n"/>
      <x:c r="AR41" s="100" t="n"/>
      <x:c r="AS41" s="100" t="n"/>
      <x:c r="AT41" s="100" t="n"/>
      <x:c r="AU41" s="100" t="n"/>
      <x:c r="AV41" s="100" t="n"/>
      <x:c r="AW41" s="100" t="n"/>
      <x:c r="AX41" s="100" t="n"/>
      <x:c r="AY41" s="100" t="n"/>
      <x:c r="AZ41" s="100" t="n"/>
      <x:c r="BA41" s="100" t="n"/>
      <x:c r="BB41" s="100" t="n"/>
      <x:c r="BC41" s="100" t="n"/>
      <x:c r="BD41" s="100" t="n"/>
      <x:c r="BE41" s="100" t="n"/>
      <x:c r="BF41" s="100" t="n"/>
      <x:c r="BG41" s="100" t="n"/>
      <x:c r="BH41" s="100" t="n"/>
      <x:c r="BI41" s="100" t="n"/>
      <x:c r="BJ41" s="100" t="n"/>
      <x:c r="BK41" s="100" t="n"/>
      <x:c r="BL41" s="100" t="n"/>
      <x:c r="BM41" s="100" t="n"/>
      <x:c r="BN41" s="100" t="n"/>
      <x:c r="BO41" s="100" t="n"/>
      <x:c r="BP41" s="100" t="n"/>
      <x:c r="BQ41" s="100" t="n"/>
      <x:c r="BR41" s="100" t="n"/>
      <x:c r="BS41" s="100" t="n"/>
      <x:c r="BT41" s="100" t="n"/>
      <x:c r="BU41" s="100" t="n"/>
      <x:c r="BV41" s="100" t="n"/>
      <x:c r="BW41" s="100" t="n"/>
      <x:c r="BX41" s="100" t="n"/>
      <x:c r="BY41" s="100" t="n"/>
      <x:c r="BZ41" s="100" t="n"/>
      <x:c r="CA41" s="100" t="n"/>
      <x:c r="CB41" s="100" t="n"/>
      <x:c r="CC41" s="100" t="n"/>
      <x:c r="CD41" s="100" t="n"/>
      <x:c r="CE41" s="100" t="n"/>
      <x:c r="CF41" s="100" t="n"/>
      <x:c r="CG41" s="100" t="n"/>
      <x:c r="CH41" s="100" t="n"/>
      <x:c r="CI41" s="100" t="n"/>
      <x:c r="CJ41" s="100" t="n"/>
      <x:c r="CK41" s="100" t="n"/>
      <x:c r="CL41" s="100" t="n"/>
      <x:c r="CM41" s="100" t="n"/>
      <x:c r="CN41" s="100" t="n"/>
      <x:c r="CO41" s="100" t="n"/>
      <x:c r="CP41" s="100" t="n"/>
      <x:c r="CQ41" s="100" t="n"/>
      <x:c r="CR41" s="100" t="n"/>
      <x:c r="CS41" s="100" t="n"/>
      <x:c r="CT41" s="100" t="n"/>
      <x:c r="CU41" s="100" t="n"/>
      <x:c r="CV41" s="100" t="n"/>
      <x:c r="CW41" s="100" t="n"/>
      <x:c r="CX41" s="100" t="n"/>
      <x:c r="CY41" s="100" t="n"/>
      <x:c r="CZ41" s="100" t="n"/>
      <x:c r="DA41" s="100" t="n"/>
      <x:c r="DB41" s="100" t="n"/>
      <x:c r="DC41" s="100" t="n"/>
      <x:c r="DD41" s="100" t="n"/>
      <x:c r="DE41" s="100" t="n"/>
      <x:c r="DF41" s="100" t="n"/>
      <x:c r="DG41" s="100" t="n"/>
      <x:c r="DH41" s="100" t="n"/>
      <x:c r="DI41" s="100" t="n"/>
      <x:c r="DJ41" s="100" t="n"/>
      <x:c r="DK41" s="100" t="n"/>
      <x:c r="DL41" s="100" t="n"/>
      <x:c r="DM41" s="100" t="n"/>
      <x:c r="DN41" s="100" t="n"/>
      <x:c r="DO41" s="100" t="n"/>
      <x:c r="DP41" s="100" t="n"/>
      <x:c r="DQ41" s="100" t="n"/>
      <x:c r="DR41" s="100" t="n"/>
      <x:c r="DS41" s="100" t="n"/>
      <x:c r="DT41" s="100" t="n"/>
      <x:c r="DU41" s="100" t="n"/>
      <x:c r="DV41" s="100" t="n"/>
      <x:c r="DW41" s="100" t="n"/>
      <x:c r="DX41" s="100" t="n"/>
      <x:c r="DY41" s="100" t="n"/>
      <x:c r="DZ41" s="100" t="n"/>
      <x:c r="EA41" s="100" t="n"/>
      <x:c r="EB41" s="100" t="n"/>
      <x:c r="EC41" s="100" t="n"/>
      <x:c r="ED41" s="100" t="n"/>
      <x:c r="EE41" s="100" t="n"/>
      <x:c r="EF41" s="100" t="n"/>
      <x:c r="EG41" s="100" t="n"/>
      <x:c r="EH41" s="100" t="n"/>
      <x:c r="EI41" s="100" t="n"/>
      <x:c r="EJ41" s="100" t="n"/>
      <x:c r="EK41" s="100" t="n"/>
      <x:c r="EL41" s="100" t="n"/>
      <x:c r="EM41" s="100" t="n"/>
      <x:c r="EN41" s="100" t="n"/>
      <x:c r="EO41" s="100" t="n"/>
      <x:c r="EP41" s="100" t="n"/>
      <x:c r="EQ41" s="100" t="n"/>
      <x:c r="ER41" s="100" t="n"/>
      <x:c r="ES41" s="100" t="n"/>
      <x:c r="ET41" s="100" t="n"/>
      <x:c r="EU41" s="100" t="n"/>
      <x:c r="EV41" s="100" t="n"/>
      <x:c r="EW41" s="100" t="n"/>
      <x:c r="EX41" s="100" t="n"/>
      <x:c r="EY41" s="100" t="n"/>
      <x:c r="EZ41" s="100" t="n"/>
      <x:c r="FA41" s="100" t="n"/>
      <x:c r="FB41" s="100" t="n"/>
      <x:c r="FC41" s="100" t="n"/>
      <x:c r="FD41" s="100" t="n"/>
      <x:c r="FE41" s="100" t="n"/>
      <x:c r="FF41" s="100" t="n"/>
      <x:c r="FG41" s="100" t="n"/>
      <x:c r="FH41" s="100" t="n"/>
      <x:c r="FI41" s="100" t="n"/>
      <x:c r="FJ41" s="100" t="n"/>
      <x:c r="FK41" s="100" t="n"/>
      <x:c r="FL41" s="100" t="n"/>
      <x:c r="FM41" s="100" t="n"/>
      <x:c r="FN41" s="100" t="n"/>
    </x:row>
    <x:row r="42" s="27" customFormat="1">
      <x:c r="A42" s="125" t="n"/>
      <x:c r="B42" s="39" t="n"/>
      <x:c r="C42" s="86" t="n">
        <x:f>E42*D$5</x:f>
        <x:v>8.2408333333333</x:v>
      </x:c>
      <x:c r="D42" s="523" t="inlineStr">
        <x:is>
          <x:t xml:space="preserve">Alfred W. Standiford</x:t>
        </x:is>
      </x:c>
      <x:c r="E42" s="86" t="n">
        <x:f>SUM(G42:HH42)</x:f>
        <x:v>0.21527777777777693</x:v>
      </x:c>
      <x:c r="F42" s="35" t="inlineStr">
        <x:is>
          <x:t xml:space="preserve"/>
        </x:is>
      </x:c>
      <x:c r="G42" s="121" t="n"/>
      <x:c r="H42" s="122" t="n"/>
      <x:c r="I42" s="122" t="n"/>
      <x:c r="J42" s="122" t="n"/>
      <x:c r="K42" s="122" t="n"/>
      <x:c r="L42" s="123" t="n"/>
      <x:c r="M42" s="123" t="n"/>
      <x:c r="N42" s="123" t="n"/>
      <x:c r="O42" s="123" t="n"/>
      <x:c r="P42" s="123" t="n"/>
      <x:c r="Q42" s="123" t="n"/>
      <x:c r="R42" s="123" t="n"/>
      <x:c r="S42" s="124" t="n"/>
      <x:c r="T42" s="124" t="n"/>
      <x:c r="U42" s="123" t="n"/>
      <x:c r="V42" s="123" t="n"/>
      <x:c r="W42" s="123" t="n"/>
      <x:c r="X42" s="123" t="n">
        <x:v>0.333333333333333</x:v>
      </x:c>
      <x:c r="Y42" s="123" t="n"/>
      <x:c r="Z42" s="123" t="n"/>
      <x:c r="AA42" s="123" t="n">
        <x:v>0.04861111111111095</x:v>
      </x:c>
      <x:c r="AB42" s="123" t="n">
        <x:v>-0.333333333333333</x:v>
      </x:c>
      <x:c r="AC42" s="123" t="n"/>
      <x:c r="AD42" s="123" t="n"/>
      <x:c r="AE42" s="123" t="n"/>
      <x:c r="AF42" s="123" t="n"/>
      <x:c r="AG42" s="123" t="n">
        <x:v>0.166666666666666</x:v>
      </x:c>
      <x:c r="AH42" s="123" t="n"/>
      <x:c r="AI42" s="123" t="n"/>
      <x:c r="AJ42" s="124" t="n"/>
      <x:c r="AK42" s="123" t="n"/>
      <x:c r="AL42" s="123" t="n"/>
      <x:c r="AM42" s="123" t="n"/>
      <x:c r="AN42" s="123" t="n"/>
      <x:c r="AO42" s="123" t="n"/>
      <x:c r="AP42" s="123" t="n"/>
      <x:c r="AQ42" s="100" t="n"/>
      <x:c r="AR42" s="100" t="n"/>
      <x:c r="AS42" s="100" t="n"/>
      <x:c r="AT42" s="100" t="n"/>
      <x:c r="AU42" s="100" t="n"/>
      <x:c r="AV42" s="100" t="n"/>
      <x:c r="AW42" s="100" t="n"/>
      <x:c r="AX42" s="100" t="n"/>
      <x:c r="AY42" s="100" t="n"/>
      <x:c r="AZ42" s="100" t="n"/>
      <x:c r="BA42" s="100" t="n"/>
      <x:c r="BB42" s="100" t="n"/>
      <x:c r="BC42" s="100" t="n"/>
      <x:c r="BD42" s="100" t="n"/>
      <x:c r="BE42" s="100" t="n"/>
      <x:c r="BF42" s="100" t="n"/>
      <x:c r="BG42" s="100" t="n"/>
      <x:c r="BH42" s="100" t="n"/>
      <x:c r="BI42" s="100" t="n"/>
      <x:c r="BJ42" s="100" t="n"/>
      <x:c r="BK42" s="100" t="n"/>
      <x:c r="BL42" s="100" t="n"/>
      <x:c r="BM42" s="100" t="n"/>
      <x:c r="BN42" s="100" t="n"/>
      <x:c r="BO42" s="100" t="n"/>
      <x:c r="BP42" s="100" t="n"/>
      <x:c r="BQ42" s="100" t="n"/>
      <x:c r="BR42" s="100" t="n"/>
      <x:c r="BS42" s="100" t="n"/>
      <x:c r="BT42" s="100" t="n"/>
      <x:c r="BU42" s="100" t="n"/>
      <x:c r="BV42" s="100" t="n"/>
      <x:c r="BW42" s="100" t="n"/>
      <x:c r="BX42" s="100" t="n"/>
      <x:c r="BY42" s="100" t="n"/>
      <x:c r="BZ42" s="100" t="n"/>
      <x:c r="CA42" s="100" t="n"/>
      <x:c r="CB42" s="100" t="n"/>
      <x:c r="CC42" s="100" t="n"/>
      <x:c r="CD42" s="100" t="n"/>
      <x:c r="CE42" s="100" t="n"/>
      <x:c r="CF42" s="100" t="n"/>
      <x:c r="CG42" s="100" t="n"/>
      <x:c r="CH42" s="100" t="n"/>
      <x:c r="CI42" s="100" t="n"/>
      <x:c r="CJ42" s="100" t="n"/>
      <x:c r="CK42" s="100" t="n"/>
      <x:c r="CL42" s="100" t="n"/>
      <x:c r="CM42" s="100" t="n"/>
      <x:c r="CN42" s="100" t="n"/>
      <x:c r="CO42" s="100" t="n"/>
      <x:c r="CP42" s="100" t="n"/>
      <x:c r="CQ42" s="100" t="n"/>
      <x:c r="CR42" s="100" t="n"/>
      <x:c r="CS42" s="100" t="n"/>
      <x:c r="CT42" s="100" t="n"/>
      <x:c r="CU42" s="100" t="n"/>
      <x:c r="CV42" s="100" t="n"/>
      <x:c r="CW42" s="100" t="n"/>
      <x:c r="CX42" s="100" t="n"/>
      <x:c r="CY42" s="100" t="n"/>
      <x:c r="CZ42" s="100" t="n"/>
      <x:c r="DA42" s="100" t="n"/>
      <x:c r="DB42" s="100" t="n"/>
      <x:c r="DC42" s="100" t="n"/>
      <x:c r="DD42" s="100" t="n"/>
      <x:c r="DE42" s="100" t="n"/>
      <x:c r="DF42" s="100" t="n"/>
      <x:c r="DG42" s="100" t="n"/>
      <x:c r="DH42" s="100" t="n"/>
      <x:c r="DI42" s="100" t="n"/>
      <x:c r="DJ42" s="100" t="n"/>
      <x:c r="DK42" s="100" t="n"/>
      <x:c r="DL42" s="100" t="n"/>
      <x:c r="DM42" s="100" t="n"/>
      <x:c r="DN42" s="100" t="n"/>
      <x:c r="DO42" s="100" t="n"/>
      <x:c r="DP42" s="100" t="n"/>
      <x:c r="DQ42" s="100" t="n"/>
      <x:c r="DR42" s="100" t="n"/>
      <x:c r="DS42" s="100" t="n"/>
      <x:c r="DT42" s="100" t="n"/>
      <x:c r="DU42" s="100" t="n"/>
      <x:c r="DV42" s="100" t="n"/>
      <x:c r="DW42" s="100" t="n"/>
      <x:c r="DX42" s="100" t="n"/>
      <x:c r="DY42" s="100" t="n"/>
      <x:c r="DZ42" s="100" t="n"/>
      <x:c r="EA42" s="100" t="n"/>
      <x:c r="EB42" s="100" t="n"/>
      <x:c r="EC42" s="100" t="n"/>
      <x:c r="ED42" s="100" t="n"/>
      <x:c r="EE42" s="100" t="n"/>
      <x:c r="EF42" s="100" t="n"/>
      <x:c r="EG42" s="100" t="n"/>
      <x:c r="EH42" s="100" t="n"/>
      <x:c r="EI42" s="100" t="n"/>
      <x:c r="EJ42" s="100" t="n"/>
      <x:c r="EK42" s="100" t="n"/>
      <x:c r="EL42" s="100" t="n"/>
      <x:c r="EM42" s="100" t="n"/>
      <x:c r="EN42" s="100" t="n"/>
      <x:c r="EO42" s="100" t="n"/>
      <x:c r="EP42" s="100" t="n"/>
      <x:c r="EQ42" s="100" t="n"/>
      <x:c r="ER42" s="100" t="n"/>
      <x:c r="ES42" s="100" t="n"/>
      <x:c r="ET42" s="100" t="n"/>
      <x:c r="EU42" s="100" t="n"/>
      <x:c r="EV42" s="100" t="n"/>
      <x:c r="EW42" s="100" t="n"/>
      <x:c r="EX42" s="100" t="n"/>
      <x:c r="EY42" s="100" t="n"/>
      <x:c r="EZ42" s="100" t="n"/>
      <x:c r="FA42" s="100" t="n"/>
      <x:c r="FB42" s="100" t="n"/>
      <x:c r="FC42" s="100" t="n"/>
      <x:c r="FD42" s="100" t="n"/>
      <x:c r="FE42" s="100" t="n"/>
      <x:c r="FF42" s="100" t="n"/>
      <x:c r="FG42" s="100" t="n"/>
      <x:c r="FH42" s="100" t="n"/>
      <x:c r="FI42" s="100" t="n"/>
      <x:c r="FJ42" s="100" t="n"/>
      <x:c r="FK42" s="100" t="n"/>
      <x:c r="FL42" s="100" t="n"/>
      <x:c r="FM42" s="100" t="n"/>
      <x:c r="FN42" s="100" t="n"/>
    </x:row>
    <x:row r="43" s="27" customFormat="1">
      <x:c r="A43" s="125" t="n"/>
      <x:c r="B43" s="39" t="n"/>
      <x:c r="C43" s="86" t="n">
        <x:f>E43*D$5</x:f>
        <x:v>-0.31013179999999974</x:v>
      </x:c>
      <x:c r="D43" s="422" t="inlineStr">
        <x:is>
          <x:t xml:space="preserve">Alfred William Standiford</x:t>
        </x:is>
      </x:c>
      <x:c r="E43" s="413" t="n">
        <x:f>SUM(G43:HH43)</x:f>
        <x:v>-0.00810166666666666</x:v>
      </x:c>
      <x:c r="F43" s="35" t="inlineStr">
        <x:is>
          <x:t xml:space="preserve"/>
        </x:is>
      </x:c>
      <x:c r="G43" s="121" t="n"/>
      <x:c r="H43" s="122" t="n"/>
      <x:c r="I43" s="122" t="n"/>
      <x:c r="J43" s="122" t="n"/>
      <x:c r="K43" s="122" t="n"/>
      <x:c r="L43" s="123" t="n"/>
      <x:c r="M43" s="123" t="n"/>
      <x:c r="N43" s="123" t="n"/>
      <x:c r="O43" s="124" t="n"/>
      <x:c r="P43" s="123" t="n"/>
      <x:c r="Q43" s="123" t="n"/>
      <x:c r="R43" s="123" t="n"/>
      <x:c r="S43" s="123" t="n"/>
      <x:c r="T43" s="123" t="n"/>
      <x:c r="U43" s="123" t="n"/>
      <x:c r="V43" s="123" t="n"/>
      <x:c r="W43" s="123" t="n"/>
      <x:c r="X43" s="123" t="n"/>
      <x:c r="Y43" s="123" t="n">
        <x:v>-0.00810166666666666</x:v>
      </x:c>
      <x:c r="Z43" s="123" t="n"/>
      <x:c r="AA43" s="123" t="n"/>
      <x:c r="AB43" s="123" t="n"/>
      <x:c r="AC43" s="123" t="n"/>
      <x:c r="AD43" s="123" t="n"/>
      <x:c r="AE43" s="123" t="n"/>
      <x:c r="AF43" s="123" t="n"/>
      <x:c r="AG43" s="123" t="n"/>
      <x:c r="AH43" s="123" t="n"/>
      <x:c r="AI43" s="123" t="n"/>
      <x:c r="AJ43" s="124" t="n"/>
      <x:c r="AK43" s="123" t="n"/>
      <x:c r="AL43" s="123" t="n"/>
      <x:c r="AM43" s="123" t="n"/>
      <x:c r="AN43" s="123" t="n"/>
      <x:c r="AO43" s="123" t="n"/>
      <x:c r="AP43" s="123" t="n"/>
      <x:c r="AQ43" s="100" t="n"/>
      <x:c r="AR43" s="100" t="n"/>
      <x:c r="AS43" s="100" t="n"/>
      <x:c r="AT43" s="100" t="n"/>
      <x:c r="AU43" s="100" t="n"/>
      <x:c r="AV43" s="100" t="n"/>
      <x:c r="AW43" s="100" t="n"/>
      <x:c r="AX43" s="100" t="n"/>
      <x:c r="AY43" s="100" t="n"/>
      <x:c r="AZ43" s="100" t="n"/>
      <x:c r="BA43" s="100" t="n"/>
      <x:c r="BB43" s="100" t="n"/>
      <x:c r="BC43" s="100" t="n"/>
      <x:c r="BD43" s="100" t="n"/>
      <x:c r="BE43" s="100" t="n"/>
      <x:c r="BF43" s="100" t="n"/>
      <x:c r="BG43" s="100" t="n"/>
      <x:c r="BH43" s="100" t="n"/>
      <x:c r="BI43" s="100" t="n"/>
      <x:c r="BJ43" s="100" t="n"/>
      <x:c r="BK43" s="100" t="n"/>
      <x:c r="BL43" s="100" t="n"/>
      <x:c r="BM43" s="100" t="n"/>
      <x:c r="BN43" s="100" t="n"/>
      <x:c r="BO43" s="100" t="n"/>
      <x:c r="BP43" s="100" t="n"/>
      <x:c r="BQ43" s="100" t="n"/>
      <x:c r="BR43" s="100" t="n"/>
      <x:c r="BS43" s="100" t="n"/>
      <x:c r="BT43" s="100" t="n"/>
      <x:c r="BU43" s="100" t="n"/>
      <x:c r="BV43" s="100" t="n"/>
      <x:c r="BW43" s="100" t="n"/>
      <x:c r="BX43" s="100" t="n"/>
      <x:c r="BY43" s="100" t="n"/>
      <x:c r="BZ43" s="100" t="n"/>
      <x:c r="CA43" s="100" t="n"/>
      <x:c r="CB43" s="100" t="n"/>
      <x:c r="CC43" s="100" t="n"/>
      <x:c r="CD43" s="100" t="n"/>
      <x:c r="CE43" s="100" t="n"/>
      <x:c r="CF43" s="100" t="n"/>
      <x:c r="CG43" s="100" t="n"/>
      <x:c r="CH43" s="100" t="n"/>
      <x:c r="CI43" s="100" t="n"/>
      <x:c r="CJ43" s="100" t="n"/>
      <x:c r="CK43" s="100" t="n"/>
      <x:c r="CL43" s="100" t="n"/>
      <x:c r="CM43" s="100" t="n"/>
      <x:c r="CN43" s="100" t="n"/>
      <x:c r="CO43" s="100" t="n"/>
      <x:c r="CP43" s="100" t="n"/>
      <x:c r="CQ43" s="100" t="n"/>
      <x:c r="CR43" s="100" t="n"/>
      <x:c r="CS43" s="100" t="n"/>
      <x:c r="CT43" s="100" t="n"/>
      <x:c r="CU43" s="100" t="n"/>
      <x:c r="CV43" s="100" t="n"/>
      <x:c r="CW43" s="100" t="n"/>
      <x:c r="CX43" s="100" t="n"/>
      <x:c r="CY43" s="100" t="n"/>
      <x:c r="CZ43" s="100" t="n"/>
      <x:c r="DA43" s="100" t="n"/>
      <x:c r="DB43" s="100" t="n"/>
      <x:c r="DC43" s="100" t="n"/>
      <x:c r="DD43" s="100" t="n"/>
      <x:c r="DE43" s="100" t="n"/>
      <x:c r="DF43" s="100" t="n"/>
      <x:c r="DG43" s="100" t="n"/>
      <x:c r="DH43" s="100" t="n"/>
      <x:c r="DI43" s="100" t="n"/>
      <x:c r="DJ43" s="100" t="n"/>
      <x:c r="DK43" s="100" t="n"/>
      <x:c r="DL43" s="100" t="n"/>
      <x:c r="DM43" s="100" t="n"/>
      <x:c r="DN43" s="100" t="n"/>
      <x:c r="DO43" s="100" t="n"/>
      <x:c r="DP43" s="100" t="n"/>
      <x:c r="DQ43" s="100" t="n"/>
      <x:c r="DR43" s="100" t="n"/>
      <x:c r="DS43" s="100" t="n"/>
      <x:c r="DT43" s="100" t="n"/>
      <x:c r="DU43" s="100" t="n"/>
      <x:c r="DV43" s="100" t="n"/>
      <x:c r="DW43" s="100" t="n"/>
      <x:c r="DX43" s="100" t="n"/>
      <x:c r="DY43" s="100" t="n"/>
      <x:c r="DZ43" s="100" t="n"/>
      <x:c r="EA43" s="100" t="n"/>
      <x:c r="EB43" s="100" t="n"/>
      <x:c r="EC43" s="100" t="n"/>
      <x:c r="ED43" s="100" t="n"/>
      <x:c r="EE43" s="100" t="n"/>
      <x:c r="EF43" s="100" t="n"/>
      <x:c r="EG43" s="100" t="n"/>
      <x:c r="EH43" s="100" t="n"/>
      <x:c r="EI43" s="100" t="n"/>
      <x:c r="EJ43" s="100" t="n"/>
      <x:c r="EK43" s="100" t="n"/>
      <x:c r="EL43" s="100" t="n"/>
      <x:c r="EM43" s="100" t="n"/>
      <x:c r="EN43" s="100" t="n"/>
      <x:c r="EO43" s="100" t="n"/>
      <x:c r="EP43" s="100" t="n"/>
      <x:c r="EQ43" s="100" t="n"/>
      <x:c r="ER43" s="100" t="n"/>
      <x:c r="ES43" s="100" t="n"/>
      <x:c r="ET43" s="100" t="n"/>
      <x:c r="EU43" s="100" t="n"/>
      <x:c r="EV43" s="100" t="n"/>
      <x:c r="EW43" s="100" t="n"/>
      <x:c r="EX43" s="100" t="n"/>
      <x:c r="EY43" s="100" t="n"/>
      <x:c r="EZ43" s="100" t="n"/>
      <x:c r="FA43" s="100" t="n"/>
      <x:c r="FB43" s="100" t="n"/>
      <x:c r="FC43" s="100" t="n"/>
      <x:c r="FD43" s="100" t="n"/>
      <x:c r="FE43" s="100" t="n"/>
      <x:c r="FF43" s="100" t="n"/>
      <x:c r="FG43" s="100" t="n"/>
      <x:c r="FH43" s="100" t="n"/>
      <x:c r="FI43" s="100" t="n"/>
      <x:c r="FJ43" s="100" t="n"/>
      <x:c r="FK43" s="100" t="n"/>
      <x:c r="FL43" s="100" t="n"/>
      <x:c r="FM43" s="100" t="n"/>
      <x:c r="FN43" s="100" t="n"/>
    </x:row>
    <x:row r="44" s="27" customFormat="1" ht="12" customHeight="1">
      <x:c r="A44" s="125" t="n"/>
      <x:c r="B44" s="39" t="n"/>
      <x:c r="C44" s="86" t="n">
        <x:f>E44*D$5</x:f>
        <x:v>0.31013179999999974</x:v>
      </x:c>
      <x:c r="D44" s="4" t="inlineStr">
        <x:is>
          <x:t xml:space="preserve">Shaun S. Walters</x:t>
        </x:is>
      </x:c>
      <x:c r="E44" s="86" t="n">
        <x:f>SUM(G44:HT44)</x:f>
        <x:v>0.00810166666666666</x:v>
      </x:c>
      <x:c r="F44" s="35" t="inlineStr">
        <x:is>
          <x:t xml:space="preserve"/>
        </x:is>
      </x:c>
      <x:c r="G44" s="121" t="n"/>
      <x:c r="H44" s="121" t="n"/>
      <x:c r="I44" s="121" t="n"/>
      <x:c r="J44" s="121" t="n"/>
      <x:c r="K44" s="121" t="n"/>
      <x:c r="L44" s="121" t="n"/>
      <x:c r="M44" s="121" t="n"/>
      <x:c r="N44" s="121" t="n"/>
      <x:c r="O44" s="121" t="n"/>
      <x:c r="P44" s="121" t="n"/>
      <x:c r="Q44" s="123" t="n"/>
      <x:c r="R44" s="123" t="n"/>
      <x:c r="S44" s="121" t="n"/>
      <x:c r="T44" s="121" t="n"/>
      <x:c r="U44" s="121" t="n"/>
      <x:c r="V44" s="121" t="n"/>
      <x:c r="W44" s="121" t="n"/>
      <x:c r="X44" s="121" t="n"/>
      <x:c r="Y44" s="121" t="n">
        <x:v>0.00810166666666666</x:v>
      </x:c>
      <x:c r="Z44" s="121" t="n"/>
      <x:c r="AA44" s="121" t="n"/>
      <x:c r="AB44" s="121" t="n"/>
      <x:c r="AC44" s="121" t="n"/>
      <x:c r="AD44" s="123" t="n"/>
      <x:c r="AE44" s="123" t="n"/>
      <x:c r="AF44" s="123" t="n"/>
      <x:c r="AG44" s="123" t="n"/>
      <x:c r="AH44" s="124" t="n"/>
      <x:c r="AI44" s="124" t="n"/>
      <x:c r="AJ44" s="123" t="n"/>
      <x:c r="AK44" s="121" t="n"/>
      <x:c r="AL44" s="123" t="n"/>
      <x:c r="AM44" s="121" t="n"/>
      <x:c r="AN44" s="123" t="n"/>
      <x:c r="AO44" s="121" t="n"/>
      <x:c r="AP44" s="121" t="n"/>
      <x:c r="AQ44" s="28" t="n"/>
      <x:c r="AR44" s="28" t="n"/>
      <x:c r="AS44" s="28" t="n"/>
    </x:row>
    <x:row r="45" s="27" customFormat="1" ht="24" customHeight="1">
      <x:c r="A45" s="125" t="n"/>
      <x:c r="B45" s="39" t="n"/>
      <x:c r="C45" s="86" t="n">
        <x:f>E45*D$5</x:f>
        <x:v>-38.28</x:v>
      </x:c>
      <x:c r="D45" s="422" t="inlineStr">
        <x:is>
          <x:t xml:space="preserve">Beckham County Court, RE: In the Matter of the Estate of Murrell A. Gray, Deceased</x:t>
        </x:is>
      </x:c>
      <x:c r="E45" s="413" t="n">
        <x:f>SUM(G45:HP45)</x:f>
        <x:v>-1</x:v>
      </x:c>
      <x:c r="F45" s="35" t="inlineStr">
        <x:is>
          <x:t xml:space="preserve"/>
        </x:is>
      </x:c>
      <x:c r="G45" s="121" t="n"/>
      <x:c r="H45" s="123" t="n"/>
      <x:c r="I45" s="123" t="n"/>
      <x:c r="J45" s="123" t="n"/>
      <x:c r="K45" s="123" t="n"/>
      <x:c r="L45" s="123" t="n"/>
      <x:c r="M45" s="124" t="n"/>
      <x:c r="N45" s="124" t="n"/>
      <x:c r="O45" s="123" t="n"/>
      <x:c r="P45" s="123" t="n"/>
      <x:c r="Q45" s="123" t="n"/>
      <x:c r="R45" s="123" t="n"/>
      <x:c r="S45" s="123" t="n"/>
      <x:c r="T45" s="123" t="n"/>
      <x:c r="U45" s="123" t="n"/>
      <x:c r="V45" s="123" t="n"/>
      <x:c r="W45" s="123" t="n"/>
      <x:c r="X45" s="123" t="n"/>
      <x:c r="Y45" s="123" t="n"/>
      <x:c r="Z45" s="123" t="n">
        <x:v>-1</x:v>
      </x:c>
      <x:c r="AA45" s="123" t="n"/>
      <x:c r="AB45" s="121" t="n"/>
      <x:c r="AC45" s="123" t="n"/>
      <x:c r="AD45" s="123" t="n"/>
      <x:c r="AE45" s="123" t="n"/>
      <x:c r="AF45" s="123" t="n"/>
      <x:c r="AG45" s="123" t="n"/>
      <x:c r="AH45" s="123" t="n"/>
      <x:c r="AI45" s="123" t="n"/>
      <x:c r="AJ45" s="124" t="n"/>
      <x:c r="AK45" s="123" t="n"/>
      <x:c r="AL45" s="121" t="n"/>
      <x:c r="AM45" s="123" t="n"/>
      <x:c r="AN45" s="123" t="n"/>
      <x:c r="AO45" s="123" t="n"/>
      <x:c r="AP45" s="123" t="n"/>
      <x:c r="AQ45" s="100" t="n"/>
      <x:c r="AR45" s="100" t="n"/>
      <x:c r="AS45" s="100" t="n"/>
      <x:c r="AT45" s="100" t="n"/>
      <x:c r="AU45" s="100" t="n"/>
      <x:c r="AV45" s="100" t="n"/>
      <x:c r="AW45" s="100" t="n"/>
      <x:c r="AX45" s="100" t="n"/>
      <x:c r="AY45" s="100" t="n"/>
      <x:c r="AZ45" s="100" t="n"/>
      <x:c r="BA45" s="100" t="n"/>
      <x:c r="BB45" s="100" t="n"/>
      <x:c r="BC45" s="100" t="n"/>
      <x:c r="BD45" s="100" t="n"/>
      <x:c r="BE45" s="100" t="n"/>
      <x:c r="BF45" s="100" t="n"/>
      <x:c r="BG45" s="100" t="n"/>
      <x:c r="BH45" s="100" t="n"/>
      <x:c r="BI45" s="100" t="n"/>
      <x:c r="BJ45" s="100" t="n"/>
      <x:c r="BK45" s="100" t="n"/>
      <x:c r="BL45" s="100" t="n"/>
      <x:c r="BM45" s="100" t="n"/>
      <x:c r="BN45" s="100" t="n"/>
      <x:c r="BO45" s="100" t="n"/>
      <x:c r="BP45" s="100" t="n"/>
      <x:c r="BQ45" s="100" t="n"/>
      <x:c r="BR45" s="100" t="n"/>
      <x:c r="BS45" s="100" t="n"/>
      <x:c r="BT45" s="100" t="n"/>
      <x:c r="BU45" s="100" t="n"/>
      <x:c r="BV45" s="100" t="n"/>
      <x:c r="BW45" s="100" t="n"/>
      <x:c r="BX45" s="100" t="n"/>
      <x:c r="BY45" s="100" t="n"/>
      <x:c r="BZ45" s="100" t="n"/>
      <x:c r="CA45" s="100" t="n"/>
      <x:c r="CB45" s="100" t="n"/>
      <x:c r="CC45" s="100" t="n"/>
      <x:c r="CD45" s="100" t="n"/>
      <x:c r="CE45" s="100" t="n"/>
      <x:c r="CF45" s="100" t="n"/>
      <x:c r="CG45" s="100" t="n"/>
      <x:c r="CH45" s="100" t="n"/>
      <x:c r="CI45" s="100" t="n"/>
      <x:c r="CJ45" s="100" t="n"/>
      <x:c r="CK45" s="100" t="n"/>
      <x:c r="CL45" s="100" t="n"/>
      <x:c r="CM45" s="100" t="n"/>
      <x:c r="CN45" s="100" t="n"/>
      <x:c r="CO45" s="100" t="n"/>
      <x:c r="CP45" s="100" t="n"/>
      <x:c r="CQ45" s="100" t="n"/>
      <x:c r="CR45" s="100" t="n"/>
      <x:c r="CS45" s="100" t="n"/>
      <x:c r="CT45" s="100" t="n"/>
      <x:c r="CU45" s="100" t="n"/>
      <x:c r="CV45" s="100" t="n"/>
      <x:c r="CW45" s="100" t="n"/>
      <x:c r="CX45" s="100" t="n"/>
      <x:c r="CY45" s="100" t="n"/>
      <x:c r="CZ45" s="100" t="n"/>
      <x:c r="DA45" s="100" t="n"/>
      <x:c r="DB45" s="100" t="n"/>
      <x:c r="DC45" s="100" t="n"/>
      <x:c r="DD45" s="100" t="n"/>
      <x:c r="DE45" s="100" t="n"/>
      <x:c r="DF45" s="100" t="n"/>
      <x:c r="DG45" s="100" t="n"/>
      <x:c r="DH45" s="100" t="n"/>
      <x:c r="DI45" s="100" t="n"/>
      <x:c r="DJ45" s="100" t="n"/>
      <x:c r="DK45" s="100" t="n"/>
      <x:c r="DL45" s="100" t="n"/>
      <x:c r="DM45" s="100" t="n"/>
      <x:c r="DN45" s="100" t="n"/>
      <x:c r="DO45" s="100" t="n"/>
      <x:c r="DP45" s="100" t="n"/>
      <x:c r="DQ45" s="100" t="n"/>
      <x:c r="DR45" s="100" t="n"/>
      <x:c r="DS45" s="100" t="n"/>
      <x:c r="DT45" s="100" t="n"/>
      <x:c r="DU45" s="100" t="n"/>
      <x:c r="DV45" s="100" t="n"/>
      <x:c r="DW45" s="100" t="n"/>
      <x:c r="DX45" s="100" t="n"/>
      <x:c r="DY45" s="100" t="n"/>
      <x:c r="DZ45" s="100" t="n"/>
      <x:c r="EA45" s="100" t="n"/>
      <x:c r="EB45" s="100" t="n"/>
      <x:c r="EC45" s="100" t="n"/>
      <x:c r="ED45" s="100" t="n"/>
      <x:c r="EE45" s="100" t="n"/>
      <x:c r="EF45" s="100" t="n"/>
      <x:c r="EG45" s="100" t="n"/>
      <x:c r="EH45" s="100" t="n"/>
      <x:c r="EI45" s="100" t="n"/>
      <x:c r="EJ45" s="100" t="n"/>
      <x:c r="EK45" s="100" t="n"/>
      <x:c r="EL45" s="100" t="n"/>
      <x:c r="EM45" s="100" t="n"/>
      <x:c r="EN45" s="100" t="n"/>
      <x:c r="EO45" s="100" t="n"/>
      <x:c r="EP45" s="100" t="n"/>
      <x:c r="EQ45" s="100" t="n"/>
      <x:c r="ER45" s="100" t="n"/>
      <x:c r="ES45" s="100" t="n"/>
      <x:c r="ET45" s="100" t="n"/>
      <x:c r="EU45" s="100" t="n"/>
      <x:c r="EV45" s="100" t="n"/>
      <x:c r="EW45" s="100" t="n"/>
      <x:c r="EX45" s="100" t="n"/>
      <x:c r="EY45" s="100" t="n"/>
      <x:c r="EZ45" s="100" t="n"/>
      <x:c r="FA45" s="100" t="n"/>
      <x:c r="FB45" s="100" t="n"/>
      <x:c r="FC45" s="100" t="n"/>
      <x:c r="FD45" s="100" t="n"/>
      <x:c r="FE45" s="100" t="n"/>
      <x:c r="FF45" s="100" t="n"/>
      <x:c r="FG45" s="100" t="n"/>
      <x:c r="FH45" s="100" t="n"/>
      <x:c r="FI45" s="100" t="n"/>
      <x:c r="FJ45" s="100" t="n"/>
      <x:c r="FK45" s="100" t="n"/>
      <x:c r="FL45" s="100" t="n"/>
      <x:c r="FM45" s="100" t="n"/>
      <x:c r="FN45" s="100" t="n"/>
      <x:c r="FO45" s="100" t="n"/>
      <x:c r="FP45" s="100" t="n"/>
      <x:c r="FQ45" s="100" t="n"/>
      <x:c r="FR45" s="100" t="n"/>
      <x:c r="FS45" s="100" t="n"/>
      <x:c r="FT45" s="100" t="n"/>
      <x:c r="FU45" s="100" t="n"/>
      <x:c r="FV45" s="100" t="n"/>
    </x:row>
    <x:row r="46" s="27" customFormat="1">
      <x:c r="A46" s="125" t="n"/>
      <x:c r="B46" s="39" t="n"/>
      <x:c r="C46" s="86" t="n">
        <x:f>E46*D$5</x:f>
        <x:v>19.14</x:v>
      </x:c>
      <x:c r="D46" s="4" t="inlineStr">
        <x:is>
          <x:t xml:space="preserve">Allen Gray</x:t>
        </x:is>
      </x:c>
      <x:c r="E46" s="86" t="n">
        <x:f>SUM(G46:HT46)</x:f>
        <x:v>0.5</x:v>
      </x:c>
      <x:c r="F46" s="35" t="inlineStr">
        <x:is>
          <x:t xml:space="preserve"/>
        </x:is>
      </x:c>
      <x:c r="G46" s="121" t="n"/>
      <x:c r="H46" s="121" t="n"/>
      <x:c r="I46" s="121" t="n"/>
      <x:c r="J46" s="121" t="n"/>
      <x:c r="K46" s="121" t="n"/>
      <x:c r="L46" s="121" t="n"/>
      <x:c r="M46" s="121" t="n"/>
      <x:c r="N46" s="121" t="n"/>
      <x:c r="O46" s="121" t="n"/>
      <x:c r="P46" s="121" t="n"/>
      <x:c r="Q46" s="123" t="n"/>
      <x:c r="R46" s="123" t="n"/>
      <x:c r="S46" s="121" t="n"/>
      <x:c r="T46" s="121" t="n"/>
      <x:c r="U46" s="121" t="n"/>
      <x:c r="V46" s="121" t="n"/>
      <x:c r="W46" s="121" t="n"/>
      <x:c r="X46" s="121" t="n"/>
      <x:c r="Y46" s="121" t="n"/>
      <x:c r="Z46" s="121" t="n">
        <x:v>0.5</x:v>
      </x:c>
      <x:c r="AA46" s="121" t="n"/>
      <x:c r="AB46" s="121" t="n"/>
      <x:c r="AC46" s="121" t="n"/>
      <x:c r="AD46" s="123" t="n"/>
      <x:c r="AE46" s="123" t="n"/>
      <x:c r="AF46" s="123" t="n"/>
      <x:c r="AG46" s="123" t="n"/>
      <x:c r="AH46" s="123" t="n"/>
      <x:c r="AI46" s="123" t="n"/>
      <x:c r="AJ46" s="124" t="n"/>
      <x:c r="AK46" s="121" t="n"/>
      <x:c r="AL46" s="123" t="n"/>
      <x:c r="AM46" s="129" t="n"/>
      <x:c r="AN46" s="123" t="n"/>
      <x:c r="AO46" s="121" t="n"/>
      <x:c r="AP46" s="121" t="n"/>
      <x:c r="AQ46" s="28" t="n"/>
      <x:c r="AR46" s="28" t="n"/>
      <x:c r="AS46" s="28" t="n"/>
    </x:row>
    <x:row r="47" s="27" customFormat="1">
      <x:c r="A47" s="125" t="n"/>
      <x:c r="B47" s="39" t="n"/>
      <x:c r="C47" s="86" t="n">
        <x:f>E47*D$5</x:f>
        <x:v>19.14</x:v>
      </x:c>
      <x:c r="D47" s="523" t="inlineStr">
        <x:is>
          <x:t xml:space="preserve">The Public</x:t>
        </x:is>
      </x:c>
      <x:c r="E47" s="86" t="n">
        <x:f>SUM(G47:HT47)</x:f>
        <x:v>0.5</x:v>
      </x:c>
      <x:c r="F47" s="35" t="inlineStr">
        <x:is>
          <x:t xml:space="preserve"/>
        </x:is>
      </x:c>
      <x:c r="G47" s="121" t="n"/>
      <x:c r="H47" s="121" t="n"/>
      <x:c r="I47" s="121" t="n"/>
      <x:c r="J47" s="121" t="n"/>
      <x:c r="K47" s="121" t="n"/>
      <x:c r="L47" s="121" t="n"/>
      <x:c r="M47" s="121" t="n"/>
      <x:c r="N47" s="121" t="n"/>
      <x:c r="O47" s="121" t="n"/>
      <x:c r="P47" s="121" t="n"/>
      <x:c r="Q47" s="123" t="n"/>
      <x:c r="R47" s="123" t="n"/>
      <x:c r="S47" s="121" t="n"/>
      <x:c r="T47" s="121" t="n"/>
      <x:c r="U47" s="121" t="n"/>
      <x:c r="V47" s="121" t="n"/>
      <x:c r="W47" s="121" t="n"/>
      <x:c r="X47" s="121" t="n"/>
      <x:c r="Y47" s="121" t="n"/>
      <x:c r="Z47" s="121" t="n">
        <x:v>0.5</x:v>
      </x:c>
      <x:c r="AA47" s="121" t="n"/>
      <x:c r="AB47" s="121" t="n"/>
      <x:c r="AC47" s="121" t="n"/>
      <x:c r="AD47" s="123" t="n"/>
      <x:c r="AE47" s="123" t="n"/>
      <x:c r="AF47" s="123" t="n"/>
      <x:c r="AG47" s="123" t="n"/>
      <x:c r="AH47" s="123" t="n"/>
      <x:c r="AI47" s="123" t="n"/>
      <x:c r="AJ47" s="123" t="n"/>
      <x:c r="AK47" s="121" t="n"/>
      <x:c r="AL47" s="123" t="n"/>
      <x:c r="AM47" s="129" t="n"/>
      <x:c r="AN47" s="124" t="n"/>
      <x:c r="AO47" s="121" t="n"/>
      <x:c r="AP47" s="121" t="n"/>
      <x:c r="AQ47" s="28" t="n"/>
      <x:c r="AR47" s="28" t="n"/>
      <x:c r="AS47" s="28" t="n"/>
    </x:row>
    <x:row r="48" s="27" customFormat="1">
      <x:c r="A48" s="125" t="n"/>
      <x:c r="B48" s="39" t="n"/>
      <x:c r="C48" s="36" t="n">
        <x:f>E48*D$5</x:f>
        <x:v>-38.28</x:v>
      </x:c>
      <x:c r="D48" s="421" t="inlineStr">
        <x:is>
          <x:t xml:space="preserve">Charles O. Burckhalter</x:t>
        </x:is>
      </x:c>
      <x:c r="E48" s="411" t="n">
        <x:f>SUM(G48:HT48)</x:f>
        <x:v>-1</x:v>
      </x:c>
      <x:c r="F48" s="35" t="inlineStr">
        <x:is>
          <x:t xml:space="preserve"/>
        </x:is>
      </x:c>
      <x:c r="G48" s="121" t="n"/>
      <x:c r="H48" s="121" t="n"/>
      <x:c r="I48" s="121" t="n"/>
      <x:c r="J48" s="121" t="n"/>
      <x:c r="K48" s="121" t="n"/>
      <x:c r="L48" s="121" t="n"/>
      <x:c r="M48" s="121" t="n"/>
      <x:c r="N48" s="121" t="n"/>
      <x:c r="O48" s="121" t="n"/>
      <x:c r="P48" s="121" t="n"/>
      <x:c r="Q48" s="123" t="n"/>
      <x:c r="R48" s="123" t="n"/>
      <x:c r="S48" s="121" t="n"/>
      <x:c r="T48" s="121" t="n"/>
      <x:c r="U48" s="121" t="n"/>
      <x:c r="V48" s="121" t="n"/>
      <x:c r="W48" s="121" t="n"/>
      <x:c r="X48" s="121" t="n"/>
      <x:c r="Y48" s="121" t="n"/>
      <x:c r="Z48" s="121" t="n"/>
      <x:c r="AA48" s="121" t="n"/>
      <x:c r="AB48" s="121" t="n"/>
      <x:c r="AC48" s="121" t="n">
        <x:v>-1</x:v>
      </x:c>
      <x:c r="AD48" s="123" t="n"/>
      <x:c r="AE48" s="123" t="n"/>
      <x:c r="AF48" s="123" t="n"/>
      <x:c r="AG48" s="123" t="n"/>
      <x:c r="AH48" s="123" t="n"/>
      <x:c r="AI48" s="123" t="n"/>
      <x:c r="AJ48" s="123" t="n"/>
      <x:c r="AK48" s="121" t="n"/>
      <x:c r="AL48" s="123" t="n"/>
      <x:c r="AM48" s="129" t="n"/>
      <x:c r="AN48" s="124" t="n"/>
      <x:c r="AO48" s="121" t="n"/>
      <x:c r="AP48" s="121" t="n"/>
      <x:c r="AQ48" s="28" t="n"/>
      <x:c r="AR48" s="28" t="n"/>
      <x:c r="AS48" s="28" t="n"/>
    </x:row>
    <x:row r="49" s="27" customFormat="1" ht="24" customHeight="1">
      <x:c r="A49" s="125" t="n"/>
      <x:c r="B49" s="39" t="n"/>
      <x:c r="C49" s="86" t="n">
        <x:f>E49*D$5</x:f>
        <x:v>38.28</x:v>
      </x:c>
      <x:c r="D49" s="523" t="inlineStr">
        <x:is>
          <x:t xml:space="preserve">Charles O. Burckhalter, Trustee of the Burckhalter Family Trust dated July 9, 1990</x:t>
        </x:is>
      </x:c>
      <x:c r="E49" s="36" t="n">
        <x:f>SUM(G49:HT49)</x:f>
        <x:v>1</x:v>
      </x:c>
      <x:c r="F49" s="35" t="inlineStr">
        <x:is>
          <x:t xml:space="preserve"/>
        </x:is>
      </x:c>
      <x:c r="G49" s="121" t="n"/>
      <x:c r="H49" s="121" t="n"/>
      <x:c r="I49" s="121" t="n"/>
      <x:c r="J49" s="121" t="n"/>
      <x:c r="K49" s="121" t="n"/>
      <x:c r="L49" s="121" t="n"/>
      <x:c r="M49" s="121" t="n"/>
      <x:c r="N49" s="121" t="n"/>
      <x:c r="O49" s="121" t="n"/>
      <x:c r="P49" s="121" t="n"/>
      <x:c r="Q49" s="123" t="n"/>
      <x:c r="R49" s="123" t="n"/>
      <x:c r="S49" s="121" t="n"/>
      <x:c r="T49" s="121" t="n"/>
      <x:c r="U49" s="121" t="n"/>
      <x:c r="V49" s="121" t="n"/>
      <x:c r="W49" s="121" t="n"/>
      <x:c r="X49" s="121" t="n"/>
      <x:c r="Y49" s="121" t="n"/>
      <x:c r="Z49" s="121" t="n"/>
      <x:c r="AA49" s="121" t="n"/>
      <x:c r="AB49" s="121" t="n"/>
      <x:c r="AC49" s="121" t="n">
        <x:v>1</x:v>
      </x:c>
      <x:c r="AD49" s="123" t="n"/>
      <x:c r="AE49" s="123" t="n"/>
      <x:c r="AF49" s="123" t="n"/>
      <x:c r="AG49" s="123" t="n"/>
      <x:c r="AH49" s="123" t="n"/>
      <x:c r="AI49" s="123" t="n"/>
      <x:c r="AJ49" s="123" t="n"/>
      <x:c r="AK49" s="121" t="n"/>
      <x:c r="AL49" s="123" t="n"/>
      <x:c r="AM49" s="121" t="n"/>
      <x:c r="AN49" s="124" t="n"/>
      <x:c r="AO49" s="121" t="n"/>
      <x:c r="AP49" s="121" t="n"/>
      <x:c r="AQ49" s="28" t="n"/>
      <x:c r="AR49" s="28" t="n"/>
      <x:c r="AS49" s="28" t="n"/>
    </x:row>
    <x:row r="50" s="27" customFormat="1">
      <x:c r="A50" s="38" t="n"/>
      <x:c r="B50" s="37" t="n"/>
      <x:c r="C50" s="36" t="n">
        <x:f>E50*D$5</x:f>
        <x:v>-5.582499999999988</x:v>
      </x:c>
      <x:c r="D50" s="421" t="inlineStr">
        <x:is>
          <x:t xml:space="preserve">Mary Margaret Devenas, f/k/a Mary Margaret Wilson</x:t>
        </x:is>
      </x:c>
      <x:c r="E50" s="411" t="n">
        <x:f>SUM(G50:HT50)</x:f>
        <x:v>-0.145833333333333</x:v>
      </x:c>
      <x:c r="F50" s="35" t="inlineStr">
        <x:is>
          <x:t xml:space="preserve"/>
        </x:is>
      </x:c>
      <x:c r="G50" s="122" t="n"/>
      <x:c r="H50" s="121" t="n"/>
      <x:c r="I50" s="121" t="n"/>
      <x:c r="J50" s="121" t="n"/>
      <x:c r="K50" s="121" t="n"/>
      <x:c r="L50" s="121" t="n"/>
      <x:c r="M50" s="121" t="n"/>
      <x:c r="N50" s="121" t="n"/>
      <x:c r="O50" s="121" t="n"/>
      <x:c r="P50" s="121" t="n"/>
      <x:c r="Q50" s="123" t="n"/>
      <x:c r="R50" s="123" t="n"/>
      <x:c r="S50" s="121" t="n"/>
      <x:c r="T50" s="121" t="n"/>
      <x:c r="U50" s="121" t="n"/>
      <x:c r="V50" s="121" t="n"/>
      <x:c r="W50" s="121" t="n"/>
      <x:c r="X50" s="121" t="n"/>
      <x:c r="Y50" s="121" t="n"/>
      <x:c r="Z50" s="121" t="n"/>
      <x:c r="AA50" s="121" t="n"/>
      <x:c r="AB50" s="122" t="n"/>
      <x:c r="AC50" s="121" t="n"/>
      <x:c r="AD50" s="123" t="n">
        <x:v>-0.145833333333333</x:v>
      </x:c>
      <x:c r="AE50" s="123" t="n"/>
      <x:c r="AF50" s="123" t="n"/>
      <x:c r="AG50" s="123" t="n"/>
      <x:c r="AH50" s="123" t="n"/>
      <x:c r="AI50" s="123" t="n"/>
      <x:c r="AJ50" s="123" t="n"/>
      <x:c r="AK50" s="121" t="n"/>
      <x:c r="AL50" s="123" t="n"/>
      <x:c r="AM50" s="121" t="n"/>
      <x:c r="AN50" s="123" t="n"/>
      <x:c r="AO50" s="121" t="n"/>
      <x:c r="AP50" s="121" t="n"/>
      <x:c r="AQ50" s="28" t="n"/>
      <x:c r="AR50" s="28" t="n"/>
      <x:c r="AS50" s="28" t="n"/>
    </x:row>
    <x:row r="51" s="27" customFormat="1">
      <x:c r="A51" s="38" t="n"/>
      <x:c r="B51" s="37" t="n"/>
      <x:c r="C51" s="36" t="n">
        <x:f>E51*D$5</x:f>
        <x:v>5.582499999999988</x:v>
      </x:c>
      <x:c r="D51" s="4" t="inlineStr">
        <x:is>
          <x:t xml:space="preserve">Joseph Devenas and Mary Margaret Devenas, HW, JTWROS</x:t>
        </x:is>
      </x:c>
      <x:c r="E51" s="36" t="n">
        <x:f>SUM(G51:HT51)</x:f>
        <x:v>0.145833333333333</x:v>
      </x:c>
      <x:c r="F51" s="35" t="inlineStr">
        <x:is>
          <x:t xml:space="preserve"/>
        </x:is>
      </x:c>
      <x:c r="G51" s="122" t="n"/>
      <x:c r="H51" s="121" t="n"/>
      <x:c r="I51" s="121" t="n"/>
      <x:c r="J51" s="121" t="n"/>
      <x:c r="K51" s="121" t="n"/>
      <x:c r="L51" s="121" t="n"/>
      <x:c r="M51" s="121" t="n"/>
      <x:c r="N51" s="121" t="n"/>
      <x:c r="O51" s="121" t="n"/>
      <x:c r="P51" s="121" t="n"/>
      <x:c r="Q51" s="123" t="n"/>
      <x:c r="R51" s="123" t="n"/>
      <x:c r="S51" s="121" t="n"/>
      <x:c r="T51" s="121" t="n"/>
      <x:c r="U51" s="121" t="n"/>
      <x:c r="V51" s="121" t="n"/>
      <x:c r="W51" s="121" t="n"/>
      <x:c r="X51" s="121" t="n"/>
      <x:c r="Y51" s="121" t="n"/>
      <x:c r="Z51" s="121" t="n"/>
      <x:c r="AA51" s="121" t="n"/>
      <x:c r="AB51" s="121" t="n"/>
      <x:c r="AC51" s="121" t="n"/>
      <x:c r="AD51" s="123" t="n">
        <x:v>0.145833333333333</x:v>
      </x:c>
      <x:c r="AE51" s="123" t="n"/>
      <x:c r="AF51" s="123" t="n"/>
      <x:c r="AG51" s="123" t="n"/>
      <x:c r="AH51" s="123" t="n"/>
      <x:c r="AI51" s="123" t="n"/>
      <x:c r="AJ51" s="123" t="n"/>
      <x:c r="AK51" s="121" t="n"/>
      <x:c r="AL51" s="123" t="n"/>
      <x:c r="AM51" s="121" t="n"/>
      <x:c r="AN51" s="123" t="n"/>
      <x:c r="AO51" s="121" t="n"/>
      <x:c r="AP51" s="121" t="n"/>
      <x:c r="AQ51" s="28" t="n"/>
      <x:c r="AR51" s="28" t="n"/>
      <x:c r="AS51" s="28" t="n"/>
    </x:row>
    <x:row r="52" s="27" customFormat="1">
      <x:c r="A52" s="38" t="n"/>
      <x:c r="B52" s="37" t="n"/>
      <x:c r="C52" s="86" t="n">
        <x:f>E52*D$5</x:f>
        <x:v>9.57</x:v>
      </x:c>
      <x:c r="D52" s="4" t="inlineStr">
        <x:is>
          <x:t xml:space="preserve">Marvin Mitchell Williams</x:t>
        </x:is>
      </x:c>
      <x:c r="E52" s="86" t="n">
        <x:f>SUM(G52:HT52)</x:f>
        <x:v>0.25</x:v>
      </x:c>
      <x:c r="F52" s="35" t="inlineStr">
        <x:is>
          <x:t xml:space="preserve"/>
        </x:is>
      </x:c>
      <x:c r="G52" s="122" t="n"/>
      <x:c r="H52" s="121" t="n"/>
      <x:c r="I52" s="121" t="n"/>
      <x:c r="J52" s="121" t="n"/>
      <x:c r="K52" s="121" t="n"/>
      <x:c r="L52" s="121" t="n"/>
      <x:c r="M52" s="121" t="n"/>
      <x:c r="N52" s="121" t="n"/>
      <x:c r="O52" s="121" t="n"/>
      <x:c r="P52" s="121" t="n"/>
      <x:c r="Q52" s="123" t="n"/>
      <x:c r="R52" s="123" t="n"/>
      <x:c r="S52" s="121" t="n"/>
      <x:c r="T52" s="121" t="n"/>
      <x:c r="U52" s="121" t="n"/>
      <x:c r="V52" s="121" t="n"/>
      <x:c r="W52" s="121" t="n"/>
      <x:c r="X52" s="121" t="n"/>
      <x:c r="Y52" s="121" t="n"/>
      <x:c r="Z52" s="121" t="n"/>
      <x:c r="AA52" s="121" t="n"/>
      <x:c r="AB52" s="121" t="n"/>
      <x:c r="AC52" s="121" t="n"/>
      <x:c r="AD52" s="123" t="n"/>
      <x:c r="AE52" s="123" t="n"/>
      <x:c r="AF52" s="123" t="n"/>
      <x:c r="AG52" s="123" t="n"/>
      <x:c r="AH52" s="123" t="n"/>
      <x:c r="AI52" s="123" t="n"/>
      <x:c r="AJ52" s="123" t="n"/>
      <x:c r="AK52" s="121" t="n"/>
      <x:c r="AL52" s="123" t="n"/>
      <x:c r="AM52" s="121" t="n"/>
      <x:c r="AN52" s="123" t="n"/>
      <x:c r="AO52" s="121" t="n"/>
      <x:c r="AP52" s="121" t="n"/>
      <x:c r="AQ52" s="28" t="n"/>
      <x:c r="AR52" s="28" t="n"/>
      <x:c r="AS52" s="28" t="n"/>
      <x:c r="BX52" s="27" t="n">
        <x:v>0.25</x:v>
      </x:c>
    </x:row>
    <x:row r="53" s="27" customFormat="1">
      <x:c r="A53" s="38" t="n"/>
      <x:c r="B53" s="37" t="n"/>
      <x:c r="C53" s="86" t="n">
        <x:f>E53*D$5</x:f>
        <x:v>0</x:v>
      </x:c>
      <x:c r="D53" s="4" t="inlineStr">
        <x:is>
          <x:t xml:space="preserve">Nancy Mitchell Williams</x:t>
        </x:is>
      </x:c>
      <x:c r="E53" s="86" t="n">
        <x:f>SUM(G53:HT53)</x:f>
        <x:v>0</x:v>
      </x:c>
      <x:c r="F53" s="35" t="inlineStr">
        <x:is>
          <x:t xml:space="preserve"/>
        </x:is>
      </x:c>
      <x:c r="G53" s="122" t="n"/>
      <x:c r="H53" s="121" t="n"/>
      <x:c r="I53" s="121" t="n"/>
      <x:c r="J53" s="121" t="n"/>
      <x:c r="K53" s="121" t="n"/>
      <x:c r="L53" s="121" t="n"/>
      <x:c r="M53" s="121" t="n"/>
      <x:c r="N53" s="121" t="n"/>
      <x:c r="O53" s="121" t="n"/>
      <x:c r="P53" s="121" t="n"/>
      <x:c r="Q53" s="123" t="n"/>
      <x:c r="R53" s="123" t="n"/>
      <x:c r="S53" s="121" t="n"/>
      <x:c r="T53" s="121" t="n"/>
      <x:c r="U53" s="121" t="n"/>
      <x:c r="V53" s="121" t="n"/>
      <x:c r="W53" s="121" t="n"/>
      <x:c r="X53" s="121" t="n"/>
      <x:c r="Y53" s="121" t="n"/>
      <x:c r="Z53" s="121" t="n"/>
      <x:c r="AA53" s="121" t="n"/>
      <x:c r="AB53" s="121" t="n"/>
      <x:c r="AC53" s="121" t="n"/>
      <x:c r="AD53" s="123" t="n"/>
      <x:c r="AE53" s="123" t="n"/>
      <x:c r="AF53" s="123" t="n"/>
      <x:c r="AG53" s="123" t="n"/>
      <x:c r="AH53" s="123" t="n"/>
      <x:c r="AI53" s="123" t="n"/>
      <x:c r="AJ53" s="123" t="n"/>
      <x:c r="AK53" s="121" t="n"/>
      <x:c r="AL53" s="123" t="n"/>
      <x:c r="AM53" s="121" t="n"/>
      <x:c r="AN53" s="123" t="n"/>
      <x:c r="AO53" s="121" t="n"/>
      <x:c r="AP53" s="121" t="n"/>
      <x:c r="AQ53" s="28" t="n"/>
      <x:c r="AR53" s="28" t="n"/>
      <x:c r="AS53" s="28" t="n"/>
    </x:row>
    <x:row r="54" s="27" customFormat="1" ht="12.949999809265137" customHeight="1">
      <x:c r="A54" s="38" t="n"/>
      <x:c r="B54" s="37" t="n"/>
      <x:c r="C54" s="36" t="n">
        <x:f>E54*D$5</x:f>
        <x:v>0</x:v>
      </x:c>
      <x:c r="D54" s="4" t="inlineStr">
        <x:is>
          <x:t xml:space="preserve">Confirm — Missing conveyed interest 1992-003373</x:t>
        </x:is>
      </x:c>
      <x:c r="E54" s="36" t="n">
        <x:f>SUM(G54:HT54)</x:f>
        <x:v>0</x:v>
      </x:c>
      <x:c r="F54" s="35" t="inlineStr">
        <x:is>
          <x:t xml:space="preserve"/>
        </x:is>
      </x:c>
      <x:c r="G54" s="122" t="n"/>
      <x:c r="H54" s="121" t="n"/>
      <x:c r="I54" s="121" t="n"/>
      <x:c r="J54" s="121" t="n"/>
      <x:c r="K54" s="121" t="n"/>
      <x:c r="L54" s="121" t="n"/>
      <x:c r="M54" s="121" t="n"/>
      <x:c r="N54" s="121" t="n"/>
      <x:c r="O54" s="121" t="n"/>
      <x:c r="P54" s="121" t="n"/>
      <x:c r="Q54" s="123" t="n"/>
      <x:c r="R54" s="123" t="n"/>
      <x:c r="S54" s="121" t="n"/>
      <x:c r="T54" s="121" t="n"/>
      <x:c r="U54" s="121" t="n"/>
      <x:c r="V54" s="121" t="n"/>
      <x:c r="W54" s="121" t="n"/>
      <x:c r="X54" s="121" t="n"/>
      <x:c r="Y54" s="121" t="n"/>
      <x:c r="Z54" s="121" t="n"/>
      <x:c r="AA54" s="121" t="n"/>
      <x:c r="AB54" s="121" t="n"/>
      <x:c r="AC54" s="121" t="n"/>
      <x:c r="AD54" s="123" t="n"/>
      <x:c r="AE54" s="123" t="n"/>
      <x:c r="AF54" s="123" t="n"/>
      <x:c r="AG54" s="123" t="n"/>
      <x:c r="AH54" s="123" t="n"/>
      <x:c r="AI54" s="123" t="n"/>
      <x:c r="AJ54" s="123" t="n"/>
      <x:c r="AK54" s="121" t="n"/>
      <x:c r="AL54" s="123" t="n"/>
      <x:c r="AM54" s="121" t="n"/>
      <x:c r="AN54" s="123" t="n"/>
      <x:c r="AO54" s="121" t="n"/>
      <x:c r="AP54" s="121" t="n"/>
      <x:c r="AQ54" s="28" t="n"/>
      <x:c r="AR54" s="28" t="n"/>
      <x:c r="AS54" s="28" t="n"/>
    </x:row>
    <x:row r="55" s="27" customFormat="1" ht="14.100000381469727" customHeight="1">
      <x:c r="A55" s="38" t="n"/>
      <x:c r="B55" s="37" t="n"/>
      <x:c r="C55" s="36" t="n">
        <x:f>E55*D$5</x:f>
        <x:v>0</x:v>
      </x:c>
      <x:c r="D55" s="4" t="inlineStr">
        <x:is>
          <x:t xml:space="preserve">Roger Mills County Court RE: In the Matter of the Estate of John Klopfenstein, Deceased</x:t>
        </x:is>
      </x:c>
      <x:c r="E55" s="36" t="n">
        <x:f>SUM(G55:HT55)</x:f>
        <x:v>0</x:v>
      </x:c>
      <x:c r="F55" s="35" t="inlineStr">
        <x:is>
          <x:t xml:space="preserve"/>
        </x:is>
      </x:c>
      <x:c r="G55" s="122" t="n"/>
      <x:c r="H55" s="121" t="n"/>
      <x:c r="I55" s="121" t="n"/>
      <x:c r="J55" s="121" t="n"/>
      <x:c r="K55" s="121" t="n"/>
      <x:c r="L55" s="121" t="n"/>
      <x:c r="M55" s="121" t="n"/>
      <x:c r="N55" s="121" t="n"/>
      <x:c r="O55" s="121" t="n"/>
      <x:c r="P55" s="121" t="n"/>
      <x:c r="Q55" s="123" t="n"/>
      <x:c r="R55" s="123" t="n"/>
      <x:c r="S55" s="121" t="n"/>
      <x:c r="T55" s="121" t="n"/>
      <x:c r="U55" s="121" t="n"/>
      <x:c r="V55" s="121" t="n"/>
      <x:c r="W55" s="121" t="n"/>
      <x:c r="X55" s="121" t="n"/>
      <x:c r="Y55" s="121" t="n"/>
      <x:c r="Z55" s="121" t="n"/>
      <x:c r="AA55" s="121" t="n"/>
      <x:c r="AB55" s="121" t="n"/>
      <x:c r="AC55" s="121" t="n"/>
      <x:c r="AD55" s="123" t="n"/>
      <x:c r="AE55" s="123" t="n"/>
      <x:c r="AF55" s="123" t="n"/>
      <x:c r="AG55" s="123" t="n"/>
      <x:c r="AH55" s="123" t="n"/>
      <x:c r="AI55" s="123" t="n"/>
      <x:c r="AJ55" s="123" t="n"/>
      <x:c r="AK55" s="121" t="n"/>
      <x:c r="AL55" s="123" t="n"/>
      <x:c r="AM55" s="121" t="n"/>
      <x:c r="AN55" s="124" t="n"/>
      <x:c r="AO55" s="121" t="n"/>
      <x:c r="AP55" s="121" t="n"/>
      <x:c r="AQ55" s="28" t="n"/>
      <x:c r="AR55" s="28" t="n"/>
      <x:c r="AS55" s="28" t="n"/>
    </x:row>
    <x:row r="56" s="27" customFormat="1" ht="17.450000762939453" customHeight="1">
      <x:c r="A56" s="38" t="n"/>
      <x:c r="B56" s="37" t="n"/>
      <x:c r="C56" s="36" t="n">
        <x:f>E56*D$5</x:f>
        <x:v>0</x:v>
      </x:c>
      <x:c r="D56" s="87" t="inlineStr">
        <x:is>
          <x:t xml:space="preserve">Margaret Kirk</x:t>
        </x:is>
      </x:c>
      <x:c r="E56" s="36" t="n">
        <x:f>SUM(G56:HT56)</x:f>
        <x:v>0</x:v>
      </x:c>
      <x:c r="F56" s="35" t="inlineStr">
        <x:is>
          <x:t xml:space="preserve"/>
        </x:is>
      </x:c>
      <x:c r="H56" s="28" t="n"/>
      <x:c r="I56" s="28" t="n"/>
      <x:c r="J56" s="28" t="n"/>
      <x:c r="K56" s="28" t="n"/>
      <x:c r="L56" s="28" t="n"/>
      <x:c r="M56" s="28" t="n"/>
      <x:c r="N56" s="28" t="n"/>
      <x:c r="O56" s="28" t="n"/>
      <x:c r="P56" s="28" t="n"/>
      <x:c r="Q56" s="100" t="n"/>
      <x:c r="R56" s="100" t="n"/>
      <x:c r="S56" s="28" t="n"/>
      <x:c r="T56" s="28" t="n"/>
      <x:c r="U56" s="28" t="n"/>
      <x:c r="V56" s="28" t="n"/>
      <x:c r="W56" s="28" t="n"/>
      <x:c r="X56" s="28" t="n"/>
      <x:c r="Y56" s="28" t="n"/>
      <x:c r="Z56" s="28" t="n"/>
      <x:c r="AA56" s="28" t="n"/>
      <x:c r="AB56" s="28" t="n"/>
      <x:c r="AC56" s="28" t="n"/>
      <x:c r="AD56" s="100" t="n"/>
      <x:c r="AE56" s="100" t="n"/>
      <x:c r="AF56" s="100" t="n"/>
      <x:c r="AG56" s="100" t="n"/>
      <x:c r="AH56" s="100" t="n"/>
      <x:c r="AI56" s="100" t="n"/>
      <x:c r="AJ56" s="100" t="n"/>
      <x:c r="AK56" s="28" t="n"/>
      <x:c r="AL56" s="100" t="n"/>
      <x:c r="AM56" s="28" t="n"/>
      <x:c r="AN56" s="123" t="n"/>
      <x:c r="AO56" s="28" t="n"/>
      <x:c r="AP56" s="28" t="n"/>
      <x:c r="AQ56" s="28" t="n"/>
      <x:c r="AR56" s="28" t="n"/>
      <x:c r="AS56" s="28" t="n"/>
    </x:row>
    <x:row r="57" s="27" customFormat="1" ht="17.450000762939453" customHeight="1">
      <x:c r="A57" s="38" t="n"/>
      <x:c r="B57" s="37" t="n"/>
      <x:c r="C57" s="36" t="n">
        <x:f>E57*D$5</x:f>
        <x:v>0</x:v>
      </x:c>
      <x:c r="D57" s="89" t="inlineStr">
        <x:is>
          <x:t xml:space="preserve">Linda Mize</x:t>
        </x:is>
      </x:c>
      <x:c r="E57" s="36" t="n">
        <x:f>SUM(G57:HT57)</x:f>
        <x:v>0</x:v>
      </x:c>
      <x:c r="F57" s="35" t="inlineStr">
        <x:is>
          <x:t xml:space="preserve"/>
        </x:is>
      </x:c>
      <x:c r="H57" s="28" t="n"/>
      <x:c r="I57" s="28" t="n"/>
      <x:c r="J57" s="28" t="n"/>
      <x:c r="K57" s="28" t="n"/>
      <x:c r="L57" s="28" t="n"/>
      <x:c r="M57" s="28" t="n"/>
      <x:c r="N57" s="28" t="n"/>
      <x:c r="O57" s="28" t="n"/>
      <x:c r="P57" s="28" t="n"/>
      <x:c r="Q57" s="100" t="n"/>
      <x:c r="R57" s="100" t="n"/>
      <x:c r="S57" s="28" t="n"/>
      <x:c r="T57" s="28" t="n"/>
      <x:c r="U57" s="28" t="n"/>
      <x:c r="V57" s="28" t="n"/>
      <x:c r="W57" s="28" t="n"/>
      <x:c r="X57" s="28" t="n"/>
      <x:c r="Y57" s="28" t="n"/>
      <x:c r="Z57" s="28" t="n"/>
      <x:c r="AA57" s="28" t="n"/>
      <x:c r="AB57" s="28" t="n"/>
      <x:c r="AC57" s="28" t="n"/>
      <x:c r="AD57" s="100" t="n"/>
      <x:c r="AE57" s="100" t="n"/>
      <x:c r="AF57" s="100" t="n"/>
      <x:c r="AG57" s="100" t="n"/>
      <x:c r="AH57" s="100" t="n"/>
      <x:c r="AI57" s="100" t="n"/>
      <x:c r="AJ57" s="100" t="n"/>
      <x:c r="AK57" s="28" t="n"/>
      <x:c r="AL57" s="100" t="n"/>
      <x:c r="AM57" s="28" t="n"/>
      <x:c r="AN57" s="123" t="n"/>
      <x:c r="AO57" s="28" t="n"/>
      <x:c r="AP57" s="28" t="n"/>
      <x:c r="AQ57" s="28" t="n"/>
      <x:c r="AR57" s="28" t="n"/>
      <x:c r="AS57" s="28" t="n"/>
    </x:row>
    <x:row r="58" s="27" customFormat="1" ht="17.450000762939453" customHeight="1">
      <x:c r="A58" s="38" t="n"/>
      <x:c r="B58" s="37" t="n"/>
      <x:c r="C58" s="36" t="n">
        <x:f>E58*D$5</x:f>
        <x:v>0</x:v>
      </x:c>
      <x:c r="D58" s="87" t="inlineStr">
        <x:is>
          <x:t xml:space="preserve">Eleanore Wheeler</x:t>
        </x:is>
      </x:c>
      <x:c r="E58" s="36" t="n">
        <x:f>SUM(G58:HT58)</x:f>
        <x:v>0</x:v>
      </x:c>
      <x:c r="F58" s="35" t="inlineStr">
        <x:is>
          <x:t xml:space="preserve"/>
        </x:is>
      </x:c>
      <x:c r="H58" s="28" t="n"/>
      <x:c r="I58" s="28" t="n"/>
      <x:c r="J58" s="28" t="n"/>
      <x:c r="K58" s="28" t="n"/>
      <x:c r="L58" s="28" t="n"/>
      <x:c r="M58" s="28" t="n"/>
      <x:c r="N58" s="28" t="n"/>
      <x:c r="O58" s="28" t="n"/>
      <x:c r="P58" s="28" t="n"/>
      <x:c r="Q58" s="100" t="n"/>
      <x:c r="R58" s="100" t="n"/>
      <x:c r="S58" s="28" t="n"/>
      <x:c r="T58" s="28" t="n"/>
      <x:c r="U58" s="28" t="n"/>
      <x:c r="V58" s="28" t="n"/>
      <x:c r="W58" s="28" t="n"/>
      <x:c r="X58" s="28" t="n"/>
      <x:c r="Y58" s="28" t="n"/>
      <x:c r="Z58" s="28" t="n"/>
      <x:c r="AA58" s="28" t="n"/>
      <x:c r="AB58" s="28" t="n"/>
      <x:c r="AC58" s="28" t="n"/>
      <x:c r="AD58" s="100" t="n"/>
      <x:c r="AE58" s="100" t="n"/>
      <x:c r="AF58" s="100" t="n"/>
      <x:c r="AG58" s="100" t="n"/>
      <x:c r="AH58" s="100" t="n"/>
      <x:c r="AI58" s="100" t="n"/>
      <x:c r="AJ58" s="100" t="n"/>
      <x:c r="AK58" s="28" t="n"/>
      <x:c r="AL58" s="100" t="n"/>
      <x:c r="AM58" s="28" t="n"/>
      <x:c r="AN58" s="123" t="n"/>
      <x:c r="AO58" s="28" t="n"/>
      <x:c r="AP58" s="28" t="n"/>
      <x:c r="AQ58" s="28" t="n"/>
      <x:c r="AR58" s="28" t="n"/>
      <x:c r="AS58" s="28" t="n"/>
    </x:row>
    <x:row r="59" s="27" customFormat="1" ht="17.450000762939453" customHeight="1">
      <x:c r="A59" s="38" t="n"/>
      <x:c r="B59" s="37" t="n"/>
      <x:c r="C59" s="36" t="n">
        <x:f>E59*D$5</x:f>
        <x:v>0</x:v>
      </x:c>
      <x:c r="D59" s="87" t="inlineStr">
        <x:is>
          <x:t xml:space="preserve">Roger Klopfenstein</x:t>
        </x:is>
      </x:c>
      <x:c r="E59" s="36" t="n">
        <x:f>SUM(G59:HT59)</x:f>
        <x:v>0</x:v>
      </x:c>
      <x:c r="F59" s="35" t="inlineStr">
        <x:is>
          <x:t xml:space="preserve"/>
        </x:is>
      </x:c>
      <x:c r="H59" s="28" t="n"/>
      <x:c r="I59" s="28" t="n"/>
      <x:c r="J59" s="28" t="n"/>
      <x:c r="K59" s="28" t="n"/>
      <x:c r="L59" s="28" t="n"/>
      <x:c r="M59" s="28" t="n"/>
      <x:c r="N59" s="28" t="n"/>
      <x:c r="O59" s="28" t="n"/>
      <x:c r="P59" s="28" t="n"/>
      <x:c r="Q59" s="100" t="n"/>
      <x:c r="R59" s="100" t="n"/>
      <x:c r="S59" s="28" t="n"/>
      <x:c r="T59" s="28" t="n"/>
      <x:c r="U59" s="28" t="n"/>
      <x:c r="V59" s="28" t="n"/>
      <x:c r="W59" s="28" t="n"/>
      <x:c r="X59" s="28" t="n"/>
      <x:c r="Y59" s="28" t="n"/>
      <x:c r="Z59" s="28" t="n"/>
      <x:c r="AA59" s="28" t="n"/>
      <x:c r="AB59" s="28" t="n"/>
      <x:c r="AC59" s="28" t="n"/>
      <x:c r="AD59" s="100" t="n"/>
      <x:c r="AE59" s="100" t="n"/>
      <x:c r="AF59" s="100" t="n"/>
      <x:c r="AG59" s="100" t="n"/>
      <x:c r="AH59" s="100" t="n"/>
      <x:c r="AI59" s="100" t="n"/>
      <x:c r="AJ59" s="100" t="n"/>
      <x:c r="AK59" s="28" t="n"/>
      <x:c r="AL59" s="100" t="n"/>
      <x:c r="AM59" s="28" t="n"/>
      <x:c r="AN59" s="123" t="n"/>
      <x:c r="AO59" s="28" t="n"/>
      <x:c r="AP59" s="28" t="n"/>
      <x:c r="AQ59" s="28" t="n"/>
      <x:c r="AR59" s="28" t="n"/>
      <x:c r="AS59" s="28" t="n"/>
    </x:row>
    <x:row r="60" s="27" customFormat="1" ht="16.5" customHeight="1">
      <x:c r="A60" s="38" t="n"/>
      <x:c r="B60" s="37" t="n"/>
      <x:c r="C60" s="36" t="n">
        <x:f>E60*D$5</x:f>
        <x:v>0</x:v>
      </x:c>
      <x:c r="D60" s="87" t="inlineStr">
        <x:is>
          <x:t xml:space="preserve">Confirm — Missing conveyed interest 1993-000918</x:t>
        </x:is>
      </x:c>
      <x:c r="E60" s="36" t="n">
        <x:f>SUM(G60:HT60)</x:f>
        <x:v>0</x:v>
      </x:c>
      <x:c r="F60" s="35" t="inlineStr">
        <x:is>
          <x:t xml:space="preserve"/>
        </x:is>
      </x:c>
      <x:c r="H60" s="28" t="n"/>
      <x:c r="I60" s="28" t="n"/>
      <x:c r="J60" s="28" t="n"/>
      <x:c r="K60" s="28" t="n"/>
      <x:c r="L60" s="28" t="n"/>
      <x:c r="M60" s="28" t="n"/>
      <x:c r="N60" s="28" t="n"/>
      <x:c r="O60" s="28" t="n"/>
      <x:c r="P60" s="28" t="n"/>
      <x:c r="Q60" s="100" t="n"/>
      <x:c r="R60" s="100" t="n"/>
      <x:c r="S60" s="28" t="n"/>
      <x:c r="T60" s="28" t="n"/>
      <x:c r="U60" s="28" t="n"/>
      <x:c r="V60" s="28" t="n"/>
      <x:c r="W60" s="28" t="n"/>
      <x:c r="X60" s="28" t="n"/>
      <x:c r="Y60" s="28" t="n"/>
      <x:c r="Z60" s="28" t="n"/>
      <x:c r="AA60" s="28" t="n"/>
      <x:c r="AB60" s="28" t="n"/>
      <x:c r="AC60" s="28" t="n"/>
      <x:c r="AD60" s="100" t="n"/>
      <x:c r="AE60" s="100" t="n"/>
      <x:c r="AF60" s="100" t="n"/>
      <x:c r="AG60" s="100" t="n"/>
      <x:c r="AH60" s="100" t="n"/>
      <x:c r="AI60" s="100" t="n"/>
      <x:c r="AJ60" s="100" t="n"/>
      <x:c r="AK60" s="28" t="n"/>
      <x:c r="AL60" s="100" t="n"/>
      <x:c r="AM60" s="28" t="n"/>
      <x:c r="AN60" s="123" t="n"/>
      <x:c r="AO60" s="28" t="n"/>
      <x:c r="AP60" s="28" t="n"/>
      <x:c r="AQ60" s="28" t="n"/>
      <x:c r="AR60" s="28" t="n"/>
      <x:c r="AS60" s="28" t="n"/>
    </x:row>
    <x:row r="61" s="27" customFormat="1" ht="24" customHeight="1">
      <x:c r="A61" s="38" t="n"/>
      <x:c r="B61" s="37" t="n"/>
      <x:c r="C61" s="36" t="n">
        <x:f>E61*D$5</x:f>
        <x:v>-38.28</x:v>
      </x:c>
      <x:c r="D61" s="421" t="inlineStr">
        <x:is>
          <x:t xml:space="preserve">Beckham County Court, RE: In the Matter of the Estate of Gladys R. Priest, Deceased</x:t>
        </x:is>
      </x:c>
      <x:c r="E61" s="411" t="n">
        <x:f>SUM(G61:HT61)</x:f>
        <x:v>-1</x:v>
      </x:c>
      <x:c r="F61" s="35" t="inlineStr">
        <x:is>
          <x:t xml:space="preserve"/>
        </x:is>
      </x:c>
      <x:c r="H61" s="28" t="n"/>
      <x:c r="I61" s="28" t="n"/>
      <x:c r="J61" s="28" t="n"/>
      <x:c r="K61" s="28" t="n"/>
      <x:c r="L61" s="28" t="n"/>
      <x:c r="M61" s="28" t="n"/>
      <x:c r="N61" s="28" t="n"/>
      <x:c r="O61" s="28" t="n"/>
      <x:c r="P61" s="28" t="n"/>
      <x:c r="Q61" s="100" t="n"/>
      <x:c r="R61" s="100" t="n"/>
      <x:c r="S61" s="28" t="n"/>
      <x:c r="T61" s="28" t="n"/>
      <x:c r="U61" s="28" t="n"/>
      <x:c r="V61" s="28" t="n"/>
      <x:c r="W61" s="28" t="n"/>
      <x:c r="X61" s="28" t="n"/>
      <x:c r="Y61" s="28" t="n"/>
      <x:c r="Z61" s="28" t="n"/>
      <x:c r="AA61" s="28" t="n"/>
      <x:c r="AB61" s="28" t="n"/>
      <x:c r="AC61" s="28" t="n"/>
      <x:c r="AD61" s="100" t="n"/>
      <x:c r="AE61" s="100" t="n"/>
      <x:c r="AF61" s="100" t="n"/>
      <x:c r="AG61" s="100" t="n">
        <x:v>-1</x:v>
      </x:c>
      <x:c r="AH61" s="100" t="n"/>
      <x:c r="AI61" s="100" t="n"/>
      <x:c r="AJ61" s="100" t="n"/>
      <x:c r="AK61" s="28" t="n"/>
      <x:c r="AL61" s="100" t="n"/>
      <x:c r="AM61" s="28" t="n"/>
      <x:c r="AN61" s="123" t="n"/>
      <x:c r="AO61" s="28" t="n"/>
      <x:c r="AP61" s="28" t="n"/>
      <x:c r="AQ61" s="28" t="n"/>
      <x:c r="AR61" s="28" t="n"/>
      <x:c r="AS61" s="28" t="n"/>
    </x:row>
    <x:row r="62" s="27" customFormat="1">
      <x:c r="A62" s="38" t="n"/>
      <x:c r="B62" s="37" t="n"/>
      <x:c r="C62" s="86" t="n">
        <x:f>E62*D$5</x:f>
        <x:v>6.379999999999974</x:v>
      </x:c>
      <x:c r="D62" s="523" t="inlineStr">
        <x:is>
          <x:t xml:space="preserve">Kimberly D. Standiford</x:t>
        </x:is>
      </x:c>
      <x:c r="E62" s="86" t="n">
        <x:f>SUM(G62:HT62)</x:f>
        <x:v>0.166666666666666</x:v>
      </x:c>
      <x:c r="F62" s="35" t="inlineStr">
        <x:is>
          <x:t xml:space="preserve"/>
        </x:is>
      </x:c>
      <x:c r="H62" s="28" t="n"/>
      <x:c r="I62" s="28" t="n"/>
      <x:c r="J62" s="28" t="n"/>
      <x:c r="K62" s="28" t="n"/>
      <x:c r="L62" s="28" t="n"/>
      <x:c r="M62" s="28" t="n"/>
      <x:c r="N62" s="28" t="n"/>
      <x:c r="O62" s="28" t="n"/>
      <x:c r="P62" s="28" t="n"/>
      <x:c r="Q62" s="100" t="n"/>
      <x:c r="R62" s="100" t="n"/>
      <x:c r="S62" s="28" t="n"/>
      <x:c r="T62" s="28" t="n"/>
      <x:c r="U62" s="28" t="n"/>
      <x:c r="V62" s="28" t="n"/>
      <x:c r="W62" s="28" t="n"/>
      <x:c r="X62" s="28" t="n"/>
      <x:c r="Y62" s="28" t="n"/>
      <x:c r="Z62" s="28" t="n"/>
      <x:c r="AA62" s="28" t="n"/>
      <x:c r="AB62" s="28" t="n"/>
      <x:c r="AC62" s="28" t="n"/>
      <x:c r="AD62" s="100" t="n"/>
      <x:c r="AE62" s="100" t="n"/>
      <x:c r="AF62" s="100" t="n"/>
      <x:c r="AG62" s="100" t="n">
        <x:v>0.166666666666666</x:v>
      </x:c>
      <x:c r="AH62" s="100" t="n"/>
      <x:c r="AI62" s="100" t="n"/>
      <x:c r="AJ62" s="100" t="n"/>
      <x:c r="AK62" s="28" t="n"/>
      <x:c r="AL62" s="100" t="n"/>
      <x:c r="AM62" s="28" t="n"/>
      <x:c r="AN62" s="123" t="n"/>
      <x:c r="AO62" s="28" t="n"/>
      <x:c r="AP62" s="28" t="n"/>
      <x:c r="AQ62" s="28" t="n"/>
      <x:c r="AR62" s="28" t="n"/>
      <x:c r="AS62" s="28" t="n"/>
    </x:row>
    <x:row r="63" s="27" customFormat="1">
      <x:c r="A63" s="38" t="n"/>
      <x:c r="B63" s="37" t="n"/>
      <x:c r="C63" s="86" t="n">
        <x:f>E63*D$5</x:f>
        <x:v>6.379999999999974</x:v>
      </x:c>
      <x:c r="D63" s="523" t="inlineStr">
        <x:is>
          <x:t xml:space="preserve">Joe Devenas Jr.</x:t>
        </x:is>
      </x:c>
      <x:c r="E63" s="86" t="n">
        <x:f>SUM(G63:HT63)</x:f>
        <x:v>0.166666666666666</x:v>
      </x:c>
      <x:c r="F63" s="35" t="inlineStr">
        <x:is>
          <x:t xml:space="preserve"/>
        </x:is>
      </x:c>
      <x:c r="H63" s="28" t="n"/>
      <x:c r="I63" s="28" t="n"/>
      <x:c r="J63" s="28" t="n"/>
      <x:c r="K63" s="28" t="n"/>
      <x:c r="L63" s="28" t="n"/>
      <x:c r="M63" s="28" t="n"/>
      <x:c r="N63" s="28" t="n"/>
      <x:c r="O63" s="28" t="n"/>
      <x:c r="P63" s="28" t="n"/>
      <x:c r="Q63" s="100" t="n"/>
      <x:c r="R63" s="100" t="n"/>
      <x:c r="S63" s="28" t="n"/>
      <x:c r="T63" s="28" t="n"/>
      <x:c r="U63" s="28" t="n"/>
      <x:c r="V63" s="28" t="n"/>
      <x:c r="W63" s="28" t="n"/>
      <x:c r="X63" s="28" t="n"/>
      <x:c r="Y63" s="28" t="n"/>
      <x:c r="Z63" s="28" t="n"/>
      <x:c r="AA63" s="28" t="n"/>
      <x:c r="AB63" s="28" t="n"/>
      <x:c r="AC63" s="28" t="n"/>
      <x:c r="AD63" s="100" t="n"/>
      <x:c r="AE63" s="100" t="n"/>
      <x:c r="AF63" s="100" t="n"/>
      <x:c r="AG63" s="100" t="n">
        <x:v>0.166666666666666</x:v>
      </x:c>
      <x:c r="AH63" s="100" t="n"/>
      <x:c r="AI63" s="100" t="n"/>
      <x:c r="AJ63" s="100" t="n"/>
      <x:c r="AK63" s="28" t="n"/>
      <x:c r="AL63" s="100" t="n"/>
      <x:c r="AM63" s="28" t="n"/>
      <x:c r="AN63" s="123" t="n"/>
      <x:c r="AO63" s="28" t="n"/>
      <x:c r="AP63" s="28" t="n"/>
      <x:c r="AQ63" s="28" t="n"/>
      <x:c r="AR63" s="28" t="n"/>
      <x:c r="AS63" s="28" t="n"/>
    </x:row>
    <x:row r="64" s="27" customFormat="1">
      <x:c r="A64" s="38" t="n"/>
      <x:c r="B64" s="37" t="n"/>
      <x:c r="C64" s="36" t="n">
        <x:f>E64*D$5</x:f>
        <x:v>6.379999999999974</x:v>
      </x:c>
      <x:c r="D64" s="4" t="inlineStr">
        <x:is>
          <x:t xml:space="preserve">Paul Devenas</x:t>
        </x:is>
      </x:c>
      <x:c r="E64" s="36" t="n">
        <x:f>SUM(G64:HT64)</x:f>
        <x:v>0.166666666666666</x:v>
      </x:c>
      <x:c r="F64" s="35" t="inlineStr">
        <x:is>
          <x:t xml:space="preserve"/>
        </x:is>
      </x:c>
      <x:c r="H64" s="28" t="n"/>
      <x:c r="I64" s="28" t="n"/>
      <x:c r="K64" s="28" t="n"/>
      <x:c r="L64" s="28" t="n"/>
      <x:c r="M64" s="28" t="n"/>
      <x:c r="N64" s="28" t="n"/>
      <x:c r="O64" s="28" t="n"/>
      <x:c r="P64" s="28" t="n"/>
      <x:c r="Q64" s="100" t="n"/>
      <x:c r="R64" s="100" t="n"/>
      <x:c r="S64" s="28" t="n"/>
      <x:c r="T64" s="28" t="n"/>
      <x:c r="U64" s="28" t="n"/>
      <x:c r="V64" s="28" t="n"/>
      <x:c r="W64" s="28" t="n"/>
      <x:c r="X64" s="28" t="n"/>
      <x:c r="Y64" s="28" t="n"/>
      <x:c r="Z64" s="28" t="n"/>
      <x:c r="AA64" s="28" t="n"/>
      <x:c r="AB64" s="28" t="n"/>
      <x:c r="AC64" s="28" t="n"/>
      <x:c r="AD64" s="100" t="n"/>
      <x:c r="AE64" s="100" t="n"/>
      <x:c r="AF64" s="100" t="n"/>
      <x:c r="AG64" s="100" t="n">
        <x:v>0.166666666666666</x:v>
      </x:c>
      <x:c r="AH64" s="100" t="n"/>
      <x:c r="AI64" s="100" t="n"/>
      <x:c r="AJ64" s="100" t="n"/>
      <x:c r="AK64" s="28" t="n"/>
      <x:c r="AL64" s="100" t="n"/>
      <x:c r="AM64" s="28" t="n"/>
      <x:c r="AN64" s="123" t="n"/>
      <x:c r="AO64" s="28" t="n"/>
      <x:c r="AP64" s="28" t="n"/>
      <x:c r="AQ64" s="28" t="n"/>
      <x:c r="AR64" s="28" t="n"/>
      <x:c r="AS64" s="28" t="n"/>
    </x:row>
    <x:row r="65" s="27" customFormat="1">
      <x:c r="A65" s="38" t="n"/>
      <x:c r="B65" s="37" t="n"/>
      <x:c r="C65" s="86" t="n">
        <x:f>E65*D$5</x:f>
        <x:v>6.379999999999974</x:v>
      </x:c>
      <x:c r="D65" s="523" t="inlineStr">
        <x:is>
          <x:t xml:space="preserve">Betty L. Stewart</x:t>
        </x:is>
      </x:c>
      <x:c r="E65" s="86" t="n">
        <x:f>SUM(G65:HT65)</x:f>
        <x:v>0.166666666666666</x:v>
      </x:c>
      <x:c r="F65" s="35" t="inlineStr">
        <x:is>
          <x:t xml:space="preserve"/>
        </x:is>
      </x:c>
      <x:c r="H65" s="28" t="n"/>
      <x:c r="I65" s="28" t="n"/>
      <x:c r="L65" s="28" t="n"/>
      <x:c r="M65" s="28" t="n"/>
      <x:c r="N65" s="28" t="n"/>
      <x:c r="O65" s="28" t="n"/>
      <x:c r="P65" s="28" t="n"/>
      <x:c r="Q65" s="100" t="n"/>
      <x:c r="R65" s="100" t="n"/>
      <x:c r="S65" s="28" t="n"/>
      <x:c r="T65" s="28" t="n"/>
      <x:c r="U65" s="28" t="n"/>
      <x:c r="V65" s="28" t="n"/>
      <x:c r="W65" s="28" t="n"/>
      <x:c r="X65" s="28" t="n"/>
      <x:c r="Y65" s="28" t="n"/>
      <x:c r="Z65" s="28" t="n"/>
      <x:c r="AA65" s="28" t="n"/>
      <x:c r="AB65" s="28" t="n"/>
      <x:c r="AC65" s="28" t="n"/>
      <x:c r="AD65" s="100" t="n"/>
      <x:c r="AE65" s="100" t="n"/>
      <x:c r="AF65" s="100" t="n"/>
      <x:c r="AG65" s="100" t="n">
        <x:v>0.166666666666666</x:v>
      </x:c>
      <x:c r="AH65" s="100" t="n"/>
      <x:c r="AI65" s="100" t="n"/>
      <x:c r="AJ65" s="100" t="n"/>
      <x:c r="AK65" s="28" t="n"/>
      <x:c r="AL65" s="100" t="n"/>
      <x:c r="AM65" s="28" t="n"/>
      <x:c r="AN65" s="123" t="n"/>
      <x:c r="AO65" s="28" t="n"/>
      <x:c r="AP65" s="28" t="n"/>
      <x:c r="AQ65" s="28" t="n"/>
      <x:c r="AR65" s="28" t="n"/>
      <x:c r="AS65" s="28" t="n"/>
    </x:row>
    <x:row r="66" s="27" customFormat="1">
      <x:c r="A66" s="38" t="n"/>
      <x:c r="B66" s="37" t="n"/>
      <x:c r="C66" s="86" t="n">
        <x:f>E66*D$5</x:f>
        <x:v>6.380000000000012</x:v>
      </x:c>
      <x:c r="D66" s="523" t="inlineStr">
        <x:is>
          <x:t xml:space="preserve">Confirm — Grantee allocation gap 1994-004940</x:t>
        </x:is>
      </x:c>
      <x:c r="E66" s="86" t="n">
        <x:f>SUM(G66:HT66)</x:f>
        <x:v>0.166666666666667</x:v>
      </x:c>
      <x:c r="F66" s="35" t="inlineStr">
        <x:is>
          <x:t xml:space="preserve"/>
        </x:is>
      </x:c>
      <x:c r="H66" s="28" t="n"/>
      <x:c r="I66" s="28" t="n"/>
      <x:c r="L66" s="28" t="n"/>
      <x:c r="M66" s="28" t="n"/>
      <x:c r="N66" s="28" t="n"/>
      <x:c r="O66" s="28" t="n"/>
      <x:c r="P66" s="28" t="n"/>
      <x:c r="Q66" s="100" t="n"/>
      <x:c r="R66" s="100" t="n"/>
      <x:c r="S66" s="28" t="n"/>
      <x:c r="T66" s="28" t="n"/>
      <x:c r="U66" s="28" t="n"/>
      <x:c r="V66" s="28" t="n"/>
      <x:c r="W66" s="28" t="n"/>
      <x:c r="X66" s="28" t="n"/>
      <x:c r="Y66" s="28" t="n"/>
      <x:c r="Z66" s="28" t="n"/>
      <x:c r="AA66" s="28" t="n"/>
      <x:c r="AB66" s="28" t="n"/>
      <x:c r="AC66" s="28" t="n"/>
      <x:c r="AD66" s="100" t="n"/>
      <x:c r="AE66" s="100" t="n"/>
      <x:c r="AF66" s="100" t="n"/>
      <x:c r="AG66" s="101" t="n">
        <x:v>0.166666666666667</x:v>
      </x:c>
      <x:c r="AH66" s="101" t="n"/>
      <x:c r="AI66" s="100" t="n"/>
      <x:c r="AJ66" s="100" t="n"/>
      <x:c r="AK66" s="28" t="n"/>
      <x:c r="AL66" s="100" t="n"/>
      <x:c r="AM66" s="28" t="n"/>
      <x:c r="AN66" s="123" t="n"/>
      <x:c r="AO66" s="28" t="n"/>
      <x:c r="AP66" s="28" t="n"/>
      <x:c r="AQ66" s="28" t="n"/>
      <x:c r="AR66" s="28" t="n"/>
      <x:c r="AS66" s="28" t="n"/>
    </x:row>
    <x:row r="67" s="27" customFormat="1">
      <x:c r="A67" s="38" t="n"/>
      <x:c r="B67" s="37" t="n"/>
      <x:c r="C67" s="36" t="n">
        <x:f>E67*D$5</x:f>
        <x:v>-38.28</x:v>
      </x:c>
      <x:c r="D67" s="421" t="inlineStr">
        <x:is>
          <x:t xml:space="preserve">Joseph Devenas</x:t>
        </x:is>
      </x:c>
      <x:c r="E67" s="411" t="n">
        <x:f>SUM(G67:HT67)</x:f>
        <x:v>-1</x:v>
      </x:c>
      <x:c r="F67" s="35" t="inlineStr">
        <x:is>
          <x:t xml:space="preserve"/>
        </x:is>
      </x:c>
      <x:c r="H67" s="28" t="n"/>
      <x:c r="I67" s="28" t="n"/>
      <x:c r="J67" s="28" t="n"/>
      <x:c r="K67" s="28" t="n"/>
      <x:c r="L67" s="28" t="n"/>
      <x:c r="M67" s="28" t="n"/>
      <x:c r="N67" s="28" t="n"/>
      <x:c r="O67" s="28" t="n"/>
      <x:c r="P67" s="28" t="n"/>
      <x:c r="Q67" s="100" t="n"/>
      <x:c r="R67" s="100" t="n"/>
      <x:c r="S67" s="28" t="n"/>
      <x:c r="T67" s="28" t="n"/>
      <x:c r="U67" s="28" t="n"/>
      <x:c r="V67" s="28" t="n"/>
      <x:c r="W67" s="28" t="n"/>
      <x:c r="X67" s="28" t="n"/>
      <x:c r="Y67" s="28" t="n"/>
      <x:c r="Z67" s="28" t="n"/>
      <x:c r="AA67" s="28" t="n"/>
      <x:c r="AB67" s="28" t="n"/>
      <x:c r="AC67" s="28" t="n"/>
      <x:c r="AD67" s="100" t="n"/>
      <x:c r="AE67" s="100" t="n"/>
      <x:c r="AF67" s="100" t="n"/>
      <x:c r="AG67" s="101" t="n"/>
      <x:c r="AH67" s="100" t="n">
        <x:v>-1</x:v>
      </x:c>
      <x:c r="AI67" s="100" t="n"/>
      <x:c r="AJ67" s="101" t="n"/>
      <x:c r="AK67" s="28" t="n"/>
      <x:c r="AL67" s="100" t="n"/>
      <x:c r="AM67" s="28" t="n"/>
      <x:c r="AN67" s="123" t="n"/>
      <x:c r="AO67" s="28" t="n"/>
      <x:c r="AP67" s="28" t="n"/>
      <x:c r="AQ67" s="28" t="n"/>
      <x:c r="AR67" s="28" t="n"/>
      <x:c r="AS67" s="28" t="n"/>
    </x:row>
    <x:row r="68" s="27" customFormat="1" ht="24" customHeight="1">
      <x:c r="A68" s="38" t="n"/>
      <x:c r="B68" s="37" t="n"/>
      <x:c r="C68" s="36" t="n">
        <x:f>E68*D$5</x:f>
        <x:v>38.28</x:v>
      </x:c>
      <x:c r="D68" s="4" t="inlineStr">
        <x:is>
          <x:t xml:space="preserve">Joseph Devenas, As Trustee of The Joseph Devenas Trust Declaration Dated September 7, 1994</x:t>
        </x:is>
      </x:c>
      <x:c r="E68" s="36" t="n">
        <x:f>SUM(G68:HT68)</x:f>
        <x:v>1</x:v>
      </x:c>
      <x:c r="F68" s="35" t="inlineStr">
        <x:is>
          <x:t xml:space="preserve"/>
        </x:is>
      </x:c>
      <x:c r="H68" s="28" t="n"/>
      <x:c r="I68" s="28" t="n"/>
      <x:c r="J68" s="28" t="n"/>
      <x:c r="K68" s="28" t="n"/>
      <x:c r="L68" s="28" t="n"/>
      <x:c r="M68" s="28" t="n"/>
      <x:c r="N68" s="28" t="n"/>
      <x:c r="O68" s="28" t="n"/>
      <x:c r="P68" s="28" t="n"/>
      <x:c r="Q68" s="100" t="n"/>
      <x:c r="R68" s="100" t="n"/>
      <x:c r="S68" s="28" t="n"/>
      <x:c r="T68" s="28" t="n"/>
      <x:c r="U68" s="28" t="n"/>
      <x:c r="V68" s="28" t="n"/>
      <x:c r="W68" s="28" t="n"/>
      <x:c r="X68" s="28" t="n"/>
      <x:c r="Y68" s="28" t="n"/>
      <x:c r="Z68" s="28" t="n"/>
      <x:c r="AA68" s="28" t="n"/>
      <x:c r="AB68" s="28" t="n"/>
      <x:c r="AC68" s="28" t="n"/>
      <x:c r="AD68" s="100" t="n"/>
      <x:c r="AE68" s="100" t="n"/>
      <x:c r="AF68" s="100" t="n"/>
      <x:c r="AG68" s="100" t="n"/>
      <x:c r="AH68" s="101" t="n">
        <x:v>1</x:v>
      </x:c>
      <x:c r="AI68" s="101" t="n"/>
      <x:c r="AJ68" s="100" t="n"/>
      <x:c r="AK68" s="28" t="n"/>
      <x:c r="AL68" s="100" t="n"/>
      <x:c r="AM68" s="28" t="n"/>
      <x:c r="AN68" s="124" t="n"/>
      <x:c r="AO68" s="28" t="n"/>
      <x:c r="AP68" s="28" t="n"/>
      <x:c r="AQ68" s="28" t="n"/>
      <x:c r="AR68" s="28" t="n"/>
      <x:c r="AS68" s="28" t="n"/>
    </x:row>
    <x:row r="69" s="27" customFormat="1">
      <x:c r="A69" s="38" t="n"/>
      <x:c r="B69" s="37" t="n"/>
      <x:c r="C69" s="36" t="n">
        <x:f>E69*D$5</x:f>
        <x:v>-38.28</x:v>
      </x:c>
      <x:c r="D69" s="421" t="inlineStr">
        <x:is>
          <x:t xml:space="preserve">Charles R. Atha, a/k/a Charles Atha and Letty Atha, HW</x:t>
        </x:is>
      </x:c>
      <x:c r="E69" s="411" t="n">
        <x:f>SUM(G69:HT69)</x:f>
        <x:v>-1</x:v>
      </x:c>
      <x:c r="F69" s="35" t="inlineStr">
        <x:is>
          <x:t xml:space="preserve"/>
        </x:is>
      </x:c>
      <x:c r="H69" s="28" t="n"/>
      <x:c r="I69" s="28" t="n"/>
      <x:c r="J69" s="28" t="n"/>
      <x:c r="K69" s="28" t="n"/>
      <x:c r="L69" s="28" t="n"/>
      <x:c r="M69" s="28" t="n"/>
      <x:c r="N69" s="28" t="n"/>
      <x:c r="O69" s="28" t="n"/>
      <x:c r="P69" s="28" t="n"/>
      <x:c r="Q69" s="100" t="n"/>
      <x:c r="R69" s="100" t="n"/>
      <x:c r="S69" s="28" t="n"/>
      <x:c r="T69" s="28" t="n"/>
      <x:c r="U69" s="28" t="n"/>
      <x:c r="V69" s="28" t="n"/>
      <x:c r="W69" s="28" t="n"/>
      <x:c r="X69" s="28" t="n"/>
      <x:c r="Y69" s="28" t="n"/>
      <x:c r="Z69" s="28" t="n"/>
      <x:c r="AA69" s="28" t="n"/>
      <x:c r="AB69" s="28" t="n"/>
      <x:c r="AC69" s="28" t="n"/>
      <x:c r="AD69" s="100" t="n"/>
      <x:c r="AE69" s="100" t="n"/>
      <x:c r="AF69" s="100" t="n"/>
      <x:c r="AG69" s="100" t="n"/>
      <x:c r="AH69" s="100" t="n"/>
      <x:c r="AI69" s="100" t="n">
        <x:v>-1</x:v>
      </x:c>
      <x:c r="AJ69" s="101" t="n"/>
      <x:c r="AK69" s="28" t="n"/>
      <x:c r="AL69" s="100" t="n"/>
      <x:c r="AM69" s="28" t="n"/>
      <x:c r="AN69" s="123" t="n"/>
      <x:c r="AO69" s="28" t="n"/>
      <x:c r="AP69" s="28" t="n"/>
      <x:c r="AQ69" s="28" t="n"/>
      <x:c r="AR69" s="28" t="n"/>
      <x:c r="AS69" s="28" t="n"/>
    </x:row>
    <x:row r="70" s="27" customFormat="1" ht="24" customHeight="1">
      <x:c r="A70" s="38" t="n"/>
      <x:c r="B70" s="37" t="n"/>
      <x:c r="C70" s="36" t="n">
        <x:f>E70*D$5</x:f>
        <x:v>38.28</x:v>
      </x:c>
      <x:c r="D70" s="89" t="inlineStr">
        <x:is>
          <x:t xml:space="preserve">Charles R. Atha, a/k/a Charles Atha and Letty Atha, HW, JTWROS</x:t>
        </x:is>
      </x:c>
      <x:c r="E70" s="36" t="n">
        <x:f>SUM(G70:HT70)</x:f>
        <x:v>1</x:v>
      </x:c>
      <x:c r="F70" s="35" t="inlineStr">
        <x:is>
          <x:t xml:space="preserve"/>
        </x:is>
      </x:c>
      <x:c r="H70" s="28" t="n"/>
      <x:c r="I70" s="28" t="n"/>
      <x:c r="J70" s="28" t="n"/>
      <x:c r="K70" s="28" t="n"/>
      <x:c r="L70" s="28" t="n"/>
      <x:c r="M70" s="28" t="n"/>
      <x:c r="N70" s="28" t="n"/>
      <x:c r="O70" s="28" t="n"/>
      <x:c r="P70" s="28" t="n"/>
      <x:c r="Q70" s="100" t="n"/>
      <x:c r="R70" s="100" t="n"/>
      <x:c r="S70" s="28" t="n"/>
      <x:c r="T70" s="28" t="n"/>
      <x:c r="U70" s="28" t="n"/>
      <x:c r="V70" s="28" t="n"/>
      <x:c r="W70" s="28" t="n"/>
      <x:c r="X70" s="28" t="n"/>
      <x:c r="Y70" s="28" t="n"/>
      <x:c r="Z70" s="28" t="n"/>
      <x:c r="AA70" s="28" t="n"/>
      <x:c r="AB70" s="28" t="n"/>
      <x:c r="AC70" s="28" t="n"/>
      <x:c r="AD70" s="100" t="n"/>
      <x:c r="AE70" s="100" t="n"/>
      <x:c r="AF70" s="100" t="n"/>
      <x:c r="AG70" s="100" t="n"/>
      <x:c r="AH70" s="100" t="n"/>
      <x:c r="AI70" s="100" t="n">
        <x:v>1</x:v>
      </x:c>
      <x:c r="AJ70" s="101" t="n"/>
      <x:c r="AK70" s="28" t="n"/>
      <x:c r="AL70" s="100" t="n"/>
      <x:c r="AM70" s="28" t="n"/>
      <x:c r="AN70" s="123" t="n"/>
      <x:c r="AO70" s="28" t="n"/>
      <x:c r="AP70" s="28" t="n"/>
      <x:c r="AQ70" s="28" t="n"/>
      <x:c r="AR70" s="28" t="n"/>
      <x:c r="AS70" s="28" t="n"/>
    </x:row>
    <x:row r="71" s="27" customFormat="1">
      <x:c r="A71" s="38" t="n"/>
      <x:c r="B71" s="37" t="n"/>
      <x:c r="C71" s="36" t="n">
        <x:f>E71*D$5</x:f>
        <x:v>-19.14</x:v>
      </x:c>
      <x:c r="D71" s="418" t="inlineStr">
        <x:is>
          <x:t xml:space="preserve">Eula Cross</x:t>
        </x:is>
      </x:c>
      <x:c r="E71" s="411" t="n">
        <x:f>SUM(G71:HT71)</x:f>
        <x:v>-0.5</x:v>
      </x:c>
      <x:c r="F71" s="35" t="inlineStr">
        <x:is>
          <x:t xml:space="preserve"/>
        </x:is>
      </x:c>
      <x:c r="H71" s="28" t="n"/>
      <x:c r="I71" s="28" t="n"/>
      <x:c r="J71" s="28" t="n"/>
      <x:c r="K71" s="28" t="n"/>
      <x:c r="L71" s="28" t="n"/>
      <x:c r="M71" s="28" t="n"/>
      <x:c r="N71" s="28" t="n"/>
      <x:c r="O71" s="28" t="n"/>
      <x:c r="P71" s="28" t="n"/>
      <x:c r="Q71" s="100" t="n"/>
      <x:c r="R71" s="100" t="n"/>
      <x:c r="S71" s="28" t="n"/>
      <x:c r="T71" s="28" t="n"/>
      <x:c r="U71" s="28" t="n"/>
      <x:c r="V71" s="28" t="n"/>
      <x:c r="W71" s="28" t="n"/>
      <x:c r="X71" s="28" t="n"/>
      <x:c r="Y71" s="28" t="n"/>
      <x:c r="Z71" s="28" t="n"/>
      <x:c r="AA71" s="28" t="n"/>
      <x:c r="AB71" s="28" t="n"/>
      <x:c r="AC71" s="28" t="n"/>
      <x:c r="AD71" s="100" t="n"/>
      <x:c r="AE71" s="100" t="n"/>
      <x:c r="AF71" s="100" t="n"/>
      <x:c r="AG71" s="100" t="n"/>
      <x:c r="AH71" s="100" t="n"/>
      <x:c r="AI71" s="100" t="n"/>
      <x:c r="AJ71" s="101" t="n">
        <x:v>-0.5</x:v>
      </x:c>
      <x:c r="AK71" s="28" t="n"/>
      <x:c r="AL71" s="100" t="n"/>
      <x:c r="AM71" s="28" t="n"/>
      <x:c r="AN71" s="123" t="n"/>
      <x:c r="AO71" s="28" t="n"/>
      <x:c r="AP71" s="28" t="n"/>
      <x:c r="AQ71" s="28" t="n"/>
      <x:c r="AR71" s="28" t="n"/>
      <x:c r="AS71" s="28" t="n"/>
    </x:row>
    <x:row r="72" s="27" customFormat="1">
      <x:c r="A72" s="38" t="n"/>
      <x:c r="B72" s="37" t="n"/>
      <x:c r="C72" s="36" t="n">
        <x:f>E72*D$5</x:f>
        <x:v>-19.14</x:v>
      </x:c>
      <x:c r="D72" s="418" t="inlineStr">
        <x:is>
          <x:t xml:space="preserve">a single person</x:t>
        </x:is>
      </x:c>
      <x:c r="E72" s="411" t="n">
        <x:f>SUM(G72:HT72)</x:f>
        <x:v>-0.5</x:v>
      </x:c>
      <x:c r="F72" s="35" t="inlineStr">
        <x:is>
          <x:t xml:space="preserve"/>
        </x:is>
      </x:c>
      <x:c r="H72" s="28" t="n"/>
      <x:c r="I72" s="28" t="n"/>
      <x:c r="J72" s="28" t="n"/>
      <x:c r="K72" s="28" t="n"/>
      <x:c r="L72" s="28" t="n"/>
      <x:c r="M72" s="28" t="n"/>
      <x:c r="N72" s="28" t="n"/>
      <x:c r="O72" s="28" t="n"/>
      <x:c r="P72" s="28" t="n"/>
      <x:c r="Q72" s="100" t="n"/>
      <x:c r="R72" s="100" t="n"/>
      <x:c r="S72" s="28" t="n"/>
      <x:c r="T72" s="28" t="n"/>
      <x:c r="U72" s="28" t="n"/>
      <x:c r="V72" s="28" t="n"/>
      <x:c r="W72" s="28" t="n"/>
      <x:c r="X72" s="28" t="n"/>
      <x:c r="Y72" s="28" t="n"/>
      <x:c r="Z72" s="28" t="n"/>
      <x:c r="AA72" s="28" t="n"/>
      <x:c r="AB72" s="28" t="n"/>
      <x:c r="AC72" s="28" t="n"/>
      <x:c r="AD72" s="100" t="n"/>
      <x:c r="AE72" s="100" t="n"/>
      <x:c r="AF72" s="100" t="n"/>
      <x:c r="AG72" s="100" t="n"/>
      <x:c r="AH72" s="100" t="n"/>
      <x:c r="AI72" s="100" t="n"/>
      <x:c r="AJ72" s="101" t="n">
        <x:v>-0.5</x:v>
      </x:c>
      <x:c r="AK72" s="28" t="n"/>
      <x:c r="AL72" s="100" t="n"/>
      <x:c r="AM72" s="28" t="n"/>
      <x:c r="AN72" s="123" t="n"/>
      <x:c r="AO72" s="28" t="n"/>
      <x:c r="AP72" s="28" t="n"/>
      <x:c r="AQ72" s="28" t="n"/>
      <x:c r="AR72" s="28" t="n"/>
      <x:c r="AS72" s="28" t="n"/>
    </x:row>
    <x:row r="73" s="27" customFormat="1">
      <x:c r="A73" s="38" t="n"/>
      <x:c r="B73" s="37" t="n"/>
      <x:c r="C73" s="86" t="n">
        <x:f>E73*D$5</x:f>
        <x:v>38.28</x:v>
      </x:c>
      <x:c r="D73" s="66" t="inlineStr">
        <x:is>
          <x:t xml:space="preserve">Leonard Herzperg and Mary Alice Herzperg, HW, Jtwors</x:t>
        </x:is>
      </x:c>
      <x:c r="E73" s="86" t="n">
        <x:f>SUM(G73:HT73)</x:f>
        <x:v>1</x:v>
      </x:c>
      <x:c r="F73" s="35" t="inlineStr">
        <x:is>
          <x:t xml:space="preserve"/>
        </x:is>
      </x:c>
      <x:c r="H73" s="28" t="n"/>
      <x:c r="I73" s="28" t="n"/>
      <x:c r="J73" s="28" t="n"/>
      <x:c r="K73" s="28" t="n"/>
      <x:c r="L73" s="28" t="n"/>
      <x:c r="M73" s="28" t="n"/>
      <x:c r="N73" s="28" t="n"/>
      <x:c r="O73" s="28" t="n"/>
      <x:c r="P73" s="28" t="n"/>
      <x:c r="Q73" s="100" t="n"/>
      <x:c r="R73" s="100" t="n"/>
      <x:c r="S73" s="28" t="n"/>
      <x:c r="T73" s="28" t="n"/>
      <x:c r="U73" s="28" t="n"/>
      <x:c r="V73" s="28" t="n"/>
      <x:c r="W73" s="28" t="n"/>
      <x:c r="X73" s="28" t="n"/>
      <x:c r="Y73" s="28" t="n"/>
      <x:c r="Z73" s="28" t="n"/>
      <x:c r="AA73" s="28" t="n"/>
      <x:c r="AB73" s="28" t="n"/>
      <x:c r="AC73" s="28" t="n"/>
      <x:c r="AD73" s="100" t="n"/>
      <x:c r="AE73" s="100" t="n"/>
      <x:c r="AF73" s="100" t="n"/>
      <x:c r="AG73" s="100" t="n"/>
      <x:c r="AH73" s="100" t="n"/>
      <x:c r="AI73" s="100" t="n"/>
      <x:c r="AJ73" s="100" t="n">
        <x:v>1</x:v>
      </x:c>
      <x:c r="AK73" s="28" t="n"/>
      <x:c r="AL73" s="100" t="n"/>
      <x:c r="AM73" s="28" t="n"/>
      <x:c r="AN73" s="123" t="n"/>
      <x:c r="AO73" s="28" t="n"/>
      <x:c r="AP73" s="28" t="n"/>
      <x:c r="AQ73" s="28" t="n"/>
      <x:c r="AR73" s="28" t="n"/>
      <x:c r="AS73" s="28" t="n"/>
    </x:row>
    <x:row r="74" s="27" customFormat="1" ht="24" customHeight="1">
      <x:c r="A74" s="38" t="n"/>
      <x:c r="B74" s="37" t="n"/>
      <x:c r="C74" s="86" t="n">
        <x:f>E74*D$5</x:f>
        <x:v>-38.28</x:v>
      </x:c>
      <x:c r="D74" s="418" t="inlineStr">
        <x:is>
          <x:t xml:space="preserve">Roger Mills County Court RE: In the Matter of the Estate of Letty Jane Atha, Deceased</x:t>
        </x:is>
      </x:c>
      <x:c r="E74" s="413" t="n">
        <x:f>SUM(G74:HT74)</x:f>
        <x:v>-1</x:v>
      </x:c>
      <x:c r="F74" s="35" t="inlineStr">
        <x:is>
          <x:t xml:space="preserve"/>
        </x:is>
      </x:c>
      <x:c r="H74" s="28" t="n"/>
      <x:c r="I74" s="28" t="n"/>
      <x:c r="J74" s="28" t="n"/>
      <x:c r="K74" s="28" t="n"/>
      <x:c r="L74" s="28" t="n"/>
      <x:c r="M74" s="28" t="n"/>
      <x:c r="N74" s="28" t="n"/>
      <x:c r="O74" s="28" t="n"/>
      <x:c r="P74" s="28" t="n"/>
      <x:c r="Q74" s="100" t="n"/>
      <x:c r="R74" s="100" t="n"/>
      <x:c r="S74" s="28" t="n"/>
      <x:c r="T74" s="28" t="n"/>
      <x:c r="U74" s="28" t="n"/>
      <x:c r="V74" s="28" t="n"/>
      <x:c r="W74" s="28" t="n"/>
      <x:c r="X74" s="28" t="n"/>
      <x:c r="Y74" s="28" t="n"/>
      <x:c r="Z74" s="28" t="n"/>
      <x:c r="AA74" s="28" t="n"/>
      <x:c r="AB74" s="28" t="n"/>
      <x:c r="AC74" s="28" t="n"/>
      <x:c r="AD74" s="100" t="n"/>
      <x:c r="AE74" s="100" t="n"/>
      <x:c r="AF74" s="100" t="n"/>
      <x:c r="AG74" s="100" t="n"/>
      <x:c r="AH74" s="100" t="n"/>
      <x:c r="AI74" s="100" t="n"/>
      <x:c r="AJ74" s="100" t="n"/>
      <x:c r="AK74" s="28" t="n">
        <x:v>-1</x:v>
      </x:c>
      <x:c r="AL74" s="100" t="n"/>
      <x:c r="AM74" s="28" t="n"/>
      <x:c r="AN74" s="123" t="n"/>
      <x:c r="AO74" s="28" t="n"/>
      <x:c r="AP74" s="28" t="n"/>
      <x:c r="AQ74" s="28" t="n"/>
      <x:c r="AR74" s="28" t="n"/>
      <x:c r="AS74" s="28" t="n"/>
    </x:row>
    <x:row r="75" s="27" customFormat="1">
      <x:c r="A75" s="38" t="n"/>
      <x:c r="B75" s="37" t="n"/>
      <x:c r="C75" s="36" t="n">
        <x:f>E75*D$5</x:f>
        <x:v>38.28</x:v>
      </x:c>
      <x:c r="D75" s="66" t="inlineStr">
        <x:is>
          <x:t xml:space="preserve">Charles Allen Atha</x:t>
        </x:is>
      </x:c>
      <x:c r="E75" s="36" t="n">
        <x:f>SUM(G75:HT75)</x:f>
        <x:v>1</x:v>
      </x:c>
      <x:c r="F75" s="35" t="inlineStr">
        <x:is>
          <x:t xml:space="preserve"/>
        </x:is>
      </x:c>
      <x:c r="H75" s="28" t="n"/>
      <x:c r="I75" s="28" t="n"/>
      <x:c r="J75" s="28" t="n"/>
      <x:c r="K75" s="28" t="n"/>
      <x:c r="L75" s="28" t="n"/>
      <x:c r="M75" s="28" t="n"/>
      <x:c r="N75" s="28" t="n"/>
      <x:c r="O75" s="28" t="n"/>
      <x:c r="P75" s="28" t="n"/>
      <x:c r="Q75" s="100" t="n"/>
      <x:c r="R75" s="100" t="n"/>
      <x:c r="S75" s="28" t="n"/>
      <x:c r="T75" s="28" t="n"/>
      <x:c r="U75" s="28" t="n"/>
      <x:c r="V75" s="28" t="n"/>
      <x:c r="W75" s="28" t="n"/>
      <x:c r="X75" s="28" t="n"/>
      <x:c r="Y75" s="28" t="n"/>
      <x:c r="Z75" s="28" t="n"/>
      <x:c r="AA75" s="28" t="n"/>
      <x:c r="AB75" s="28" t="n"/>
      <x:c r="AC75" s="28" t="n"/>
      <x:c r="AD75" s="100" t="n"/>
      <x:c r="AE75" s="100" t="n"/>
      <x:c r="AF75" s="100" t="n"/>
      <x:c r="AG75" s="100" t="n"/>
      <x:c r="AH75" s="100" t="n"/>
      <x:c r="AI75" s="100" t="n"/>
      <x:c r="AJ75" s="100" t="n"/>
      <x:c r="AK75" s="28" t="n">
        <x:v>1</x:v>
      </x:c>
      <x:c r="AL75" s="100" t="n"/>
      <x:c r="AM75" s="28" t="n"/>
      <x:c r="AN75" s="100" t="n"/>
      <x:c r="AO75" s="28" t="n"/>
      <x:c r="AP75" s="28" t="n"/>
      <x:c r="AQ75" s="28" t="n"/>
      <x:c r="AR75" s="28" t="n"/>
      <x:c r="AS75" s="28" t="n"/>
    </x:row>
    <x:row r="76" s="27" customFormat="1">
      <x:c r="A76" s="38" t="n"/>
      <x:c r="B76" s="37" t="n"/>
      <x:c r="C76" s="36" t="n">
        <x:f>E76*D$5</x:f>
        <x:v>-38.28</x:v>
      </x:c>
      <x:c r="D76" s="418" t="inlineStr">
        <x:is>
          <x:t xml:space="preserve">Panhandle Cooperative Royalty Co.</x:t>
        </x:is>
      </x:c>
      <x:c r="E76" s="411" t="n">
        <x:f>SUM(G76:HT76)</x:f>
        <x:v>-1</x:v>
      </x:c>
      <x:c r="F76" s="35" t="inlineStr">
        <x:is>
          <x:t xml:space="preserve"/>
        </x:is>
      </x:c>
      <x:c r="H76" s="28" t="n"/>
      <x:c r="I76" s="28" t="n"/>
      <x:c r="J76" s="28" t="n"/>
      <x:c r="K76" s="28" t="n"/>
      <x:c r="L76" s="28" t="n"/>
      <x:c r="M76" s="28" t="n"/>
      <x:c r="N76" s="28" t="n"/>
      <x:c r="O76" s="28" t="n"/>
      <x:c r="P76" s="28" t="n"/>
      <x:c r="Q76" s="100" t="n"/>
      <x:c r="R76" s="100" t="n"/>
      <x:c r="S76" s="28" t="n"/>
      <x:c r="T76" s="28" t="n"/>
      <x:c r="U76" s="28" t="n"/>
      <x:c r="V76" s="28" t="n"/>
      <x:c r="W76" s="28" t="n"/>
      <x:c r="X76" s="28" t="n"/>
      <x:c r="Y76" s="28" t="n"/>
      <x:c r="Z76" s="28" t="n"/>
      <x:c r="AA76" s="28" t="n"/>
      <x:c r="AB76" s="28" t="n"/>
      <x:c r="AC76" s="28" t="n"/>
      <x:c r="AD76" s="100" t="n"/>
      <x:c r="AE76" s="100" t="n"/>
      <x:c r="AF76" s="100" t="n"/>
      <x:c r="AG76" s="100" t="n"/>
      <x:c r="AH76" s="100" t="n"/>
      <x:c r="AI76" s="100" t="n"/>
      <x:c r="AJ76" s="100" t="n"/>
      <x:c r="AK76" s="28" t="n"/>
      <x:c r="AL76" s="100" t="n">
        <x:v>-1</x:v>
      </x:c>
      <x:c r="AM76" s="28" t="n"/>
      <x:c r="AN76" s="100" t="n"/>
      <x:c r="AO76" s="28" t="n"/>
      <x:c r="AP76" s="28" t="n"/>
      <x:c r="AQ76" s="28" t="n"/>
      <x:c r="AR76" s="28" t="n"/>
      <x:c r="AS76" s="28" t="n"/>
    </x:row>
    <x:row r="77" s="27" customFormat="1">
      <x:c r="A77" s="38" t="n"/>
      <x:c r="B77" s="37" t="n"/>
      <x:c r="C77" s="36" t="n">
        <x:f>E77*D$5</x:f>
        <x:v>38.28</x:v>
      </x:c>
      <x:c r="D77" s="88" t="inlineStr">
        <x:is>
          <x:t xml:space="preserve">Panhandle Royalty Company</x:t>
        </x:is>
      </x:c>
      <x:c r="E77" s="36" t="n">
        <x:f>SUM(G77:HT77)</x:f>
        <x:v>1</x:v>
      </x:c>
      <x:c r="F77" s="35" t="inlineStr">
        <x:is>
          <x:t xml:space="preserve"/>
        </x:is>
      </x:c>
      <x:c r="H77" s="28" t="n"/>
      <x:c r="I77" s="28" t="n"/>
      <x:c r="J77" s="28" t="n"/>
      <x:c r="K77" s="28" t="n"/>
      <x:c r="L77" s="28" t="n"/>
      <x:c r="M77" s="28" t="n"/>
      <x:c r="N77" s="28" t="n"/>
      <x:c r="O77" s="28" t="n"/>
      <x:c r="P77" s="28" t="n"/>
      <x:c r="Q77" s="100" t="n"/>
      <x:c r="R77" s="100" t="n"/>
      <x:c r="S77" s="28" t="n"/>
      <x:c r="T77" s="28" t="n"/>
      <x:c r="U77" s="28" t="n"/>
      <x:c r="V77" s="28" t="n"/>
      <x:c r="W77" s="28" t="n"/>
      <x:c r="X77" s="28" t="n"/>
      <x:c r="Y77" s="28" t="n"/>
      <x:c r="Z77" s="28" t="n"/>
      <x:c r="AA77" s="28" t="n"/>
      <x:c r="AB77" s="28" t="n"/>
      <x:c r="AC77" s="28" t="n"/>
      <x:c r="AD77" s="100" t="n"/>
      <x:c r="AE77" s="100" t="n"/>
      <x:c r="AF77" s="100" t="n"/>
      <x:c r="AG77" s="100" t="n"/>
      <x:c r="AH77" s="100" t="n"/>
      <x:c r="AI77" s="100" t="n"/>
      <x:c r="AJ77" s="100" t="n"/>
      <x:c r="AK77" s="28" t="n"/>
      <x:c r="AL77" s="100" t="n">
        <x:v>1</x:v>
      </x:c>
      <x:c r="AM77" s="28" t="n"/>
      <x:c r="AN77" s="100" t="n"/>
      <x:c r="AO77" s="28" t="n"/>
      <x:c r="AP77" s="28" t="n"/>
      <x:c r="AQ77" s="28" t="n"/>
      <x:c r="AR77" s="28" t="n"/>
      <x:c r="AS77" s="28" t="n"/>
    </x:row>
    <x:row r="78" s="27" customFormat="1">
      <x:c r="A78" s="38" t="n"/>
      <x:c r="B78" s="37" t="n"/>
      <x:c r="C78" s="36" t="n">
        <x:f>E78*D$5</x:f>
        <x:v>-76.56</x:v>
      </x:c>
      <x:c r="D78" s="418" t="inlineStr">
        <x:is>
          <x:t xml:space="preserve">Leonard Herzberg and Mary Alice Herzberg, HW</x:t>
        </x:is>
      </x:c>
      <x:c r="E78" s="411" t="n">
        <x:f>SUM(G78:HT78)</x:f>
        <x:v>-2</x:v>
      </x:c>
      <x:c r="F78" s="35" t="inlineStr">
        <x:is>
          <x:t xml:space="preserve"/>
        </x:is>
      </x:c>
      <x:c r="H78" s="28" t="n"/>
      <x:c r="I78" s="28" t="n"/>
      <x:c r="J78" s="28" t="n"/>
      <x:c r="K78" s="28" t="n"/>
      <x:c r="L78" s="28" t="n"/>
      <x:c r="M78" s="28" t="n"/>
      <x:c r="N78" s="28" t="n"/>
      <x:c r="O78" s="28" t="n"/>
      <x:c r="P78" s="28" t="n"/>
      <x:c r="Q78" s="100" t="n"/>
      <x:c r="R78" s="100" t="n"/>
      <x:c r="S78" s="28" t="n"/>
      <x:c r="T78" s="28" t="n"/>
      <x:c r="U78" s="28" t="n"/>
      <x:c r="V78" s="28" t="n"/>
      <x:c r="W78" s="28" t="n"/>
      <x:c r="X78" s="28" t="n"/>
      <x:c r="Y78" s="28" t="n"/>
      <x:c r="Z78" s="28" t="n"/>
      <x:c r="AA78" s="28" t="n"/>
      <x:c r="AB78" s="28" t="n"/>
      <x:c r="AC78" s="28" t="n"/>
      <x:c r="AD78" s="100" t="n"/>
      <x:c r="AE78" s="100" t="n"/>
      <x:c r="AF78" s="100" t="n"/>
      <x:c r="AG78" s="100" t="n"/>
      <x:c r="AH78" s="100" t="n"/>
      <x:c r="AI78" s="100" t="n"/>
      <x:c r="AJ78" s="100" t="n"/>
      <x:c r="AK78" s="28" t="n"/>
      <x:c r="AL78" s="100" t="n"/>
      <x:c r="AM78" s="28" t="n">
        <x:v>-1</x:v>
      </x:c>
      <x:c r="AN78" s="100" t="n">
        <x:v>-1</x:v>
      </x:c>
      <x:c r="AO78" s="28" t="n"/>
      <x:c r="AP78" s="28" t="n"/>
      <x:c r="AQ78" s="28" t="n"/>
      <x:c r="AR78" s="28" t="n"/>
      <x:c r="AS78" s="28" t="n"/>
    </x:row>
    <x:row r="79" s="27" customFormat="1">
      <x:c r="A79" s="38" t="n"/>
      <x:c r="B79" s="37" t="n"/>
      <x:c r="C79" s="86" t="n">
        <x:f>E79*D$5</x:f>
        <x:v>38.28</x:v>
      </x:c>
      <x:c r="D79" s="523" t="inlineStr">
        <x:is>
          <x:t xml:space="preserve">Mary Alice Herzberg</x:t>
        </x:is>
      </x:c>
      <x:c r="E79" s="86" t="n">
        <x:f>SUM(G79:HT79)</x:f>
        <x:v>1</x:v>
      </x:c>
      <x:c r="F79" s="35" t="inlineStr">
        <x:is>
          <x:t xml:space="preserve"/>
        </x:is>
      </x:c>
      <x:c r="H79" s="28" t="n"/>
      <x:c r="I79" s="28" t="n"/>
      <x:c r="J79" s="28" t="n"/>
      <x:c r="K79" s="28" t="n"/>
      <x:c r="L79" s="28" t="n"/>
      <x:c r="M79" s="28" t="n"/>
      <x:c r="N79" s="28" t="n"/>
      <x:c r="O79" s="28" t="n"/>
      <x:c r="P79" s="28" t="n"/>
      <x:c r="Q79" s="100" t="n"/>
      <x:c r="R79" s="100" t="n"/>
      <x:c r="S79" s="28" t="n"/>
      <x:c r="T79" s="28" t="n"/>
      <x:c r="U79" s="28" t="n"/>
      <x:c r="V79" s="28" t="n"/>
      <x:c r="W79" s="28" t="n"/>
      <x:c r="X79" s="28" t="n"/>
      <x:c r="Y79" s="28" t="n"/>
      <x:c r="Z79" s="28" t="n"/>
      <x:c r="AA79" s="28" t="n"/>
      <x:c r="AB79" s="28" t="n"/>
      <x:c r="AC79" s="28" t="n"/>
      <x:c r="AD79" s="100" t="n"/>
      <x:c r="AE79" s="100" t="n"/>
      <x:c r="AF79" s="100" t="n"/>
      <x:c r="AG79" s="100" t="n"/>
      <x:c r="AH79" s="100" t="n"/>
      <x:c r="AI79" s="100" t="n"/>
      <x:c r="AJ79" s="100" t="n"/>
      <x:c r="AK79" s="28" t="n"/>
      <x:c r="AL79" s="100" t="n"/>
      <x:c r="AM79" s="28" t="n">
        <x:v>1</x:v>
      </x:c>
      <x:c r="AN79" s="100" t="n"/>
      <x:c r="AO79" s="28" t="n"/>
      <x:c r="AP79" s="28" t="n"/>
      <x:c r="AQ79" s="28" t="n"/>
      <x:c r="AR79" s="28" t="n"/>
      <x:c r="AS79" s="28" t="n"/>
    </x:row>
    <x:row r="80" s="27" customFormat="1">
      <x:c r="A80" s="38" t="n"/>
      <x:c r="B80" s="37" t="n"/>
      <x:c r="C80" s="36" t="n">
        <x:f>E80*D$5</x:f>
        <x:v>38.28</x:v>
      </x:c>
      <x:c r="D80" s="66" t="inlineStr">
        <x:is>
          <x:t xml:space="preserve">Wendell Coots and Carolyn Coots, HW, JTWROS</x:t>
        </x:is>
      </x:c>
      <x:c r="E80" s="36" t="n">
        <x:f>SUM(G80:HT80)</x:f>
        <x:v>1</x:v>
      </x:c>
      <x:c r="F80" s="35" t="inlineStr">
        <x:is>
          <x:t xml:space="preserve"/>
        </x:is>
      </x:c>
      <x:c r="H80" s="28" t="n"/>
      <x:c r="I80" s="28" t="n"/>
      <x:c r="J80" s="28" t="n"/>
      <x:c r="K80" s="28" t="n"/>
      <x:c r="L80" s="28" t="n"/>
      <x:c r="M80" s="28" t="n"/>
      <x:c r="N80" s="28" t="n"/>
      <x:c r="O80" s="28" t="n"/>
      <x:c r="P80" s="28" t="n"/>
      <x:c r="Q80" s="100" t="n"/>
      <x:c r="R80" s="100" t="n"/>
      <x:c r="S80" s="28" t="n"/>
      <x:c r="T80" s="28" t="n"/>
      <x:c r="U80" s="28" t="n"/>
      <x:c r="V80" s="28" t="n"/>
      <x:c r="W80" s="28" t="n"/>
      <x:c r="X80" s="28" t="n"/>
      <x:c r="Y80" s="28" t="n"/>
      <x:c r="Z80" s="28" t="n"/>
      <x:c r="AA80" s="28" t="n"/>
      <x:c r="AB80" s="28" t="n"/>
      <x:c r="AC80" s="28" t="n"/>
      <x:c r="AD80" s="100" t="n"/>
      <x:c r="AE80" s="100" t="n"/>
      <x:c r="AF80" s="100" t="n"/>
      <x:c r="AG80" s="100" t="n"/>
      <x:c r="AH80" s="100" t="n"/>
      <x:c r="AI80" s="100" t="n"/>
      <x:c r="AJ80" s="100" t="n"/>
      <x:c r="AK80" s="28" t="n"/>
      <x:c r="AL80" s="100" t="n"/>
      <x:c r="AM80" s="28" t="n"/>
      <x:c r="AN80" s="100" t="n">
        <x:v>1</x:v>
      </x:c>
      <x:c r="AO80" s="28" t="n"/>
      <x:c r="AP80" s="28" t="n"/>
      <x:c r="AQ80" s="28" t="n"/>
      <x:c r="AR80" s="28" t="n"/>
      <x:c r="AS80" s="28" t="n"/>
    </x:row>
    <x:row r="81" s="27" customFormat="1" ht="24" customHeight="1">
      <x:c r="A81" s="38" t="n"/>
      <x:c r="B81" s="37" t="n"/>
      <x:c r="C81" s="86" t="n">
        <x:f>E81*D$5</x:f>
        <x:v>-38.28</x:v>
      </x:c>
      <x:c r="D81" s="422" t="inlineStr">
        <x:is>
          <x:t xml:space="preserve">Oleta Florene Flanagan, formerly Stewart, a/k/a Oleta Florene Wylie</x:t>
        </x:is>
      </x:c>
      <x:c r="E81" s="413" t="n">
        <x:f>SUM(G81:HT81)</x:f>
        <x:v>-1</x:v>
      </x:c>
      <x:c r="F81" s="35" t="inlineStr">
        <x:is>
          <x:t xml:space="preserve"/>
        </x:is>
      </x:c>
      <x:c r="H81" s="28" t="n"/>
      <x:c r="I81" s="28" t="n"/>
      <x:c r="J81" s="28" t="n"/>
      <x:c r="K81" s="28" t="n"/>
      <x:c r="L81" s="28" t="n"/>
      <x:c r="M81" s="28" t="n"/>
      <x:c r="N81" s="28" t="n"/>
      <x:c r="O81" s="28" t="n"/>
      <x:c r="P81" s="28" t="n"/>
      <x:c r="Q81" s="100" t="n"/>
      <x:c r="R81" s="100" t="n"/>
      <x:c r="S81" s="28" t="n"/>
      <x:c r="T81" s="28" t="n"/>
      <x:c r="U81" s="28" t="n"/>
      <x:c r="V81" s="28" t="n"/>
      <x:c r="W81" s="28" t="n"/>
      <x:c r="X81" s="28" t="n"/>
      <x:c r="Y81" s="28" t="n"/>
      <x:c r="Z81" s="28" t="n"/>
      <x:c r="AA81" s="28" t="n"/>
      <x:c r="AB81" s="28" t="n"/>
      <x:c r="AC81" s="28" t="n"/>
      <x:c r="AD81" s="100" t="n"/>
      <x:c r="AE81" s="100" t="n"/>
      <x:c r="AF81" s="100" t="n"/>
      <x:c r="AG81" s="100" t="n"/>
      <x:c r="AH81" s="100" t="n"/>
      <x:c r="AI81" s="100" t="n"/>
      <x:c r="AJ81" s="100" t="n"/>
      <x:c r="AK81" s="28" t="n"/>
      <x:c r="AL81" s="100" t="n"/>
      <x:c r="AM81" s="28" t="n"/>
      <x:c r="AN81" s="100" t="n"/>
      <x:c r="AO81" s="28" t="n">
        <x:v>-1</x:v>
      </x:c>
      <x:c r="AP81" s="28" t="n"/>
      <x:c r="AQ81" s="28" t="n"/>
      <x:c r="AR81" s="28" t="n"/>
      <x:c r="AS81" s="28" t="n"/>
    </x:row>
    <x:row r="82" s="27" customFormat="1">
      <x:c r="A82" s="38" t="n"/>
      <x:c r="B82" s="37" t="n"/>
      <x:c r="C82" s="36" t="n">
        <x:f>E82*D$5</x:f>
        <x:v>76.56</x:v>
      </x:c>
      <x:c r="D82" s="66" t="inlineStr">
        <x:is>
          <x:t xml:space="preserve">Arrowhead Resources, Inc.</x:t>
        </x:is>
      </x:c>
      <x:c r="E82" s="36" t="n">
        <x:f>SUM(G82:HT82)</x:f>
        <x:v>2</x:v>
      </x:c>
      <x:c r="F82" s="35" t="inlineStr">
        <x:is>
          <x:t xml:space="preserve"/>
        </x:is>
      </x:c>
      <x:c r="H82" s="28" t="n"/>
      <x:c r="I82" s="28" t="n"/>
      <x:c r="J82" s="28" t="n"/>
      <x:c r="K82" s="28" t="n"/>
      <x:c r="L82" s="28" t="n"/>
      <x:c r="M82" s="28" t="n"/>
      <x:c r="N82" s="28" t="n"/>
      <x:c r="O82" s="28" t="n"/>
      <x:c r="P82" s="28" t="n"/>
      <x:c r="Q82" s="100" t="n"/>
      <x:c r="R82" s="100" t="n"/>
      <x:c r="S82" s="28" t="n"/>
      <x:c r="T82" s="28" t="n"/>
      <x:c r="U82" s="28" t="n"/>
      <x:c r="V82" s="28" t="n"/>
      <x:c r="W82" s="28" t="n"/>
      <x:c r="X82" s="28" t="n"/>
      <x:c r="Y82" s="28" t="n"/>
      <x:c r="Z82" s="28" t="n"/>
      <x:c r="AA82" s="28" t="n"/>
      <x:c r="AB82" s="28" t="n"/>
      <x:c r="AC82" s="28" t="n"/>
      <x:c r="AD82" s="100" t="n"/>
      <x:c r="AE82" s="100" t="n"/>
      <x:c r="AF82" s="100" t="n"/>
      <x:c r="AG82" s="100" t="n"/>
      <x:c r="AH82" s="100" t="n"/>
      <x:c r="AI82" s="100" t="n"/>
      <x:c r="AJ82" s="100" t="n"/>
      <x:c r="AK82" s="28" t="n"/>
      <x:c r="AL82" s="100" t="n"/>
      <x:c r="AM82" s="28" t="n"/>
      <x:c r="AN82" s="100" t="n"/>
      <x:c r="AO82" s="28" t="n">
        <x:v>1</x:v>
      </x:c>
      <x:c r="AP82" s="28" t="n"/>
      <x:c r="AQ82" s="28" t="n"/>
      <x:c r="AR82" s="28" t="n"/>
      <x:c r="AS82" s="28" t="n"/>
      <x:c r="AU82" s="27" t="n">
        <x:v>1</x:v>
      </x:c>
    </x:row>
    <x:row r="83" s="27" customFormat="1">
      <x:c r="A83" s="38" t="n"/>
      <x:c r="B83" s="37" t="n"/>
      <x:c r="C83" s="86" t="n">
        <x:f>E83*D$5</x:f>
        <x:v>-38.28</x:v>
      </x:c>
      <x:c r="D83" s="422" t="inlineStr">
        <x:is>
          <x:t xml:space="preserve">Wendell Coots and Carolyn Coots, HW</x:t>
        </x:is>
      </x:c>
      <x:c r="E83" s="413" t="n">
        <x:f>SUM(G83:HT83)</x:f>
        <x:v>-1</x:v>
      </x:c>
      <x:c r="F83" s="35" t="inlineStr">
        <x:is>
          <x:t xml:space="preserve"/>
        </x:is>
      </x:c>
      <x:c r="H83" s="28" t="n"/>
      <x:c r="I83" s="28" t="n"/>
      <x:c r="J83" s="28" t="n"/>
      <x:c r="K83" s="28" t="n"/>
      <x:c r="L83" s="28" t="n"/>
      <x:c r="M83" s="28" t="n"/>
      <x:c r="N83" s="28" t="n"/>
      <x:c r="O83" s="28" t="n"/>
      <x:c r="P83" s="28" t="n"/>
      <x:c r="Q83" s="100" t="n"/>
      <x:c r="R83" s="100" t="n"/>
      <x:c r="S83" s="28" t="n"/>
      <x:c r="T83" s="28" t="n"/>
      <x:c r="U83" s="28" t="n"/>
      <x:c r="V83" s="28" t="n"/>
      <x:c r="W83" s="28" t="n"/>
      <x:c r="X83" s="28" t="n"/>
      <x:c r="Y83" s="28" t="n"/>
      <x:c r="Z83" s="28" t="n"/>
      <x:c r="AA83" s="28" t="n"/>
      <x:c r="AB83" s="28" t="n"/>
      <x:c r="AC83" s="28" t="n"/>
      <x:c r="AD83" s="100" t="n"/>
      <x:c r="AE83" s="100" t="n"/>
      <x:c r="AF83" s="100" t="n"/>
      <x:c r="AG83" s="100" t="n"/>
      <x:c r="AH83" s="100" t="n"/>
      <x:c r="AI83" s="100" t="n"/>
      <x:c r="AJ83" s="100" t="n"/>
      <x:c r="AK83" s="28" t="n"/>
      <x:c r="AL83" s="100" t="n"/>
      <x:c r="AM83" s="28" t="n"/>
      <x:c r="AN83" s="100" t="n"/>
      <x:c r="AO83" s="28" t="n"/>
      <x:c r="AP83" s="28" t="n">
        <x:v>-1</x:v>
      </x:c>
      <x:c r="AQ83" s="28" t="n"/>
      <x:c r="AR83" s="28" t="n"/>
      <x:c r="AS83" s="28" t="n"/>
    </x:row>
    <x:row r="84" s="27" customFormat="1" ht="25.5" customHeight="1">
      <x:c r="A84" s="38" t="n"/>
      <x:c r="B84" s="37" t="inlineStr">
        <x:is>
          <x:t xml:space="preserve">HBP (base)</x:t>
        </x:is>
      </x:c>
      <x:c r="C84" s="36" t="n">
        <x:f>E84*D$5</x:f>
        <x:v>38.28</x:v>
      </x:c>
      <x:c r="D84" s="66" t="inlineStr">
        <x:is>
          <x:t xml:space="preserve">William Bryant and Kathy Bryant, HW, JTWROS</x:t>
        </x:is>
      </x:c>
      <x:c r="E84" s="36" t="n">
        <x:f>SUM(G84:HT84)</x:f>
        <x:v>1</x:v>
      </x:c>
      <x:c r="F84" s="35" t="inlineStr">
        <x:is>
          <x:t xml:space="preserve"/>
        </x:is>
      </x:c>
      <x:c r="H84" s="28" t="n"/>
      <x:c r="I84" s="28" t="n"/>
      <x:c r="J84" s="28" t="n"/>
      <x:c r="K84" s="28" t="n"/>
      <x:c r="L84" s="28" t="n"/>
      <x:c r="M84" s="28" t="n"/>
      <x:c r="N84" s="28" t="n"/>
      <x:c r="O84" s="28" t="n"/>
      <x:c r="P84" s="28" t="n"/>
      <x:c r="Q84" s="100" t="n"/>
      <x:c r="R84" s="100" t="n"/>
      <x:c r="S84" s="28" t="n"/>
      <x:c r="T84" s="28" t="n"/>
      <x:c r="U84" s="28" t="n"/>
      <x:c r="V84" s="28" t="n"/>
      <x:c r="W84" s="28" t="n"/>
      <x:c r="X84" s="28" t="n"/>
      <x:c r="Y84" s="28" t="n"/>
      <x:c r="Z84" s="28" t="n"/>
      <x:c r="AA84" s="28" t="n"/>
      <x:c r="AB84" s="28" t="n"/>
      <x:c r="AC84" s="28" t="n"/>
      <x:c r="AD84" s="100" t="n"/>
      <x:c r="AE84" s="100" t="n"/>
      <x:c r="AF84" s="100" t="n"/>
      <x:c r="AG84" s="100" t="n"/>
      <x:c r="AH84" s="100" t="n"/>
      <x:c r="AI84" s="100" t="n"/>
      <x:c r="AJ84" s="100" t="n"/>
      <x:c r="AK84" s="28" t="n"/>
      <x:c r="AL84" s="100" t="n"/>
      <x:c r="AM84" s="28" t="n"/>
      <x:c r="AN84" s="100" t="n"/>
      <x:c r="AO84" s="28" t="n"/>
      <x:c r="AP84" s="28" t="n">
        <x:v>1</x:v>
      </x:c>
      <x:c r="AQ84" s="28" t="n"/>
      <x:c r="AR84" s="28" t="n"/>
      <x:c r="AS84" s="28" t="n"/>
    </x:row>
    <x:row r="85" s="27" customFormat="1" ht="24" customHeight="1">
      <x:c r="A85" s="38" t="n"/>
      <x:c r="B85" s="37" t="n"/>
      <x:c r="C85" s="36" t="n">
        <x:f>E85*D$5</x:f>
        <x:v>-38.28</x:v>
      </x:c>
      <x:c r="D85" s="418" t="inlineStr">
        <x:is>
          <x:t xml:space="preserve">John E. Mahoney, Trustee of The Mahoney Children's Trust dated the 1st day of February, 1990</x:t>
        </x:is>
      </x:c>
      <x:c r="E85" s="411" t="n">
        <x:f>SUM(G85:HT85)</x:f>
        <x:v>-1</x:v>
      </x:c>
      <x:c r="F85" s="35" t="inlineStr">
        <x:is>
          <x:t xml:space="preserve"/>
        </x:is>
      </x:c>
      <x:c r="H85" s="28" t="n"/>
      <x:c r="I85" s="28" t="n"/>
      <x:c r="J85" s="28" t="n"/>
      <x:c r="K85" s="28" t="n"/>
      <x:c r="L85" s="28" t="n"/>
      <x:c r="M85" s="28" t="n"/>
      <x:c r="N85" s="28" t="n"/>
      <x:c r="O85" s="28" t="n"/>
      <x:c r="P85" s="28" t="n"/>
      <x:c r="Q85" s="100" t="n"/>
      <x:c r="R85" s="100" t="n"/>
      <x:c r="S85" s="28" t="n"/>
      <x:c r="T85" s="28" t="n"/>
      <x:c r="U85" s="28" t="n"/>
      <x:c r="V85" s="28" t="n"/>
      <x:c r="W85" s="28" t="n"/>
      <x:c r="X85" s="28" t="n"/>
      <x:c r="Y85" s="28" t="n"/>
      <x:c r="Z85" s="28" t="n"/>
      <x:c r="AA85" s="28" t="n"/>
      <x:c r="AB85" s="28" t="n"/>
      <x:c r="AC85" s="28" t="n"/>
      <x:c r="AD85" s="100" t="n"/>
      <x:c r="AE85" s="100" t="n"/>
      <x:c r="AF85" s="100" t="n"/>
      <x:c r="AG85" s="100" t="n"/>
      <x:c r="AH85" s="100" t="n"/>
      <x:c r="AI85" s="100" t="n"/>
      <x:c r="AJ85" s="100" t="n"/>
      <x:c r="AK85" s="28" t="n"/>
      <x:c r="AL85" s="100" t="n"/>
      <x:c r="AM85" s="28" t="n"/>
      <x:c r="AN85" s="100" t="n"/>
      <x:c r="AO85" s="28" t="n"/>
      <x:c r="AP85" s="28" t="n"/>
      <x:c r="AQ85" s="28" t="n">
        <x:v>-1</x:v>
      </x:c>
      <x:c r="AR85" s="28" t="n"/>
      <x:c r="AS85" s="28" t="n"/>
    </x:row>
    <x:row r="86" s="27" customFormat="1" ht="25.5" customHeight="1">
      <x:c r="A86" s="38" t="n"/>
      <x:c r="B86" s="37" t="inlineStr">
        <x:is>
          <x:t xml:space="preserve">HBP (base)</x:t>
        </x:is>
      </x:c>
      <x:c r="C86" s="36" t="n">
        <x:f>E86*D$5</x:f>
        <x:v>38.28</x:v>
      </x:c>
      <x:c r="D86" s="66" t="inlineStr">
        <x:is>
          <x:t xml:space="preserve">William Bryant and Kathy Bryant, HW</x:t>
        </x:is>
      </x:c>
      <x:c r="E86" s="36" t="n">
        <x:f>SUM(G86:HT86)</x:f>
        <x:v>1</x:v>
      </x:c>
      <x:c r="F86" s="35" t="inlineStr">
        <x:is>
          <x:t xml:space="preserve"/>
        </x:is>
      </x:c>
      <x:c r="H86" s="28" t="n"/>
      <x:c r="I86" s="28" t="n"/>
      <x:c r="J86" s="28" t="n"/>
      <x:c r="K86" s="28" t="n"/>
      <x:c r="L86" s="28" t="n"/>
      <x:c r="M86" s="28" t="n"/>
      <x:c r="N86" s="28" t="n"/>
      <x:c r="O86" s="28" t="n"/>
      <x:c r="P86" s="28" t="n"/>
      <x:c r="Q86" s="100" t="n"/>
      <x:c r="R86" s="100" t="n"/>
      <x:c r="S86" s="28" t="n"/>
      <x:c r="T86" s="28" t="n"/>
      <x:c r="U86" s="28" t="n"/>
      <x:c r="V86" s="28" t="n"/>
      <x:c r="W86" s="28" t="n"/>
      <x:c r="X86" s="28" t="n"/>
      <x:c r="Y86" s="28" t="n"/>
      <x:c r="Z86" s="28" t="n"/>
      <x:c r="AA86" s="28" t="n"/>
      <x:c r="AB86" s="28" t="n"/>
      <x:c r="AC86" s="28" t="n"/>
      <x:c r="AD86" s="100" t="n"/>
      <x:c r="AE86" s="100" t="n"/>
      <x:c r="AF86" s="100" t="n"/>
      <x:c r="AG86" s="100" t="n"/>
      <x:c r="AH86" s="100" t="n"/>
      <x:c r="AI86" s="100" t="n"/>
      <x:c r="AJ86" s="100" t="n"/>
      <x:c r="AK86" s="28" t="n"/>
      <x:c r="AL86" s="100" t="n"/>
      <x:c r="AM86" s="28" t="n"/>
      <x:c r="AN86" s="100" t="n"/>
      <x:c r="AO86" s="28" t="n"/>
      <x:c r="AP86" s="28" t="n"/>
      <x:c r="AQ86" s="28" t="n">
        <x:v>1</x:v>
      </x:c>
      <x:c r="AR86" s="28" t="n"/>
      <x:c r="AS86" s="28" t="n"/>
    </x:row>
    <x:row r="87" s="27" customFormat="1">
      <x:c r="A87" s="38" t="n"/>
      <x:c r="B87" s="37" t="n"/>
      <x:c r="C87" s="36" t="n">
        <x:f>E87*D$5</x:f>
        <x:v>0</x:v>
      </x:c>
      <x:c r="D87" s="336" t="inlineStr">
        <x:is>
          <x:t xml:space="preserve">Sandra Lorraine York</x:t>
        </x:is>
      </x:c>
      <x:c r="E87" s="36" t="n">
        <x:f>SUM(G87:HT87)</x:f>
        <x:v>0</x:v>
      </x:c>
      <x:c r="F87" s="35" t="inlineStr">
        <x:is>
          <x:t xml:space="preserve"/>
        </x:is>
      </x:c>
      <x:c r="Q87" s="100" t="n"/>
      <x:c r="R87" s="100" t="n"/>
      <x:c r="AD87" s="100" t="n"/>
      <x:c r="AE87" s="100" t="n"/>
      <x:c r="AF87" s="100" t="n"/>
      <x:c r="AG87" s="100" t="n"/>
      <x:c r="AH87" s="100" t="n"/>
      <x:c r="AI87" s="100" t="n"/>
      <x:c r="AJ87" s="100" t="n"/>
      <x:c r="AL87" s="100" t="n"/>
      <x:c r="AN87" s="100" t="n"/>
    </x:row>
    <x:row r="88" s="27" customFormat="1">
      <x:c r="A88" s="38" t="n"/>
      <x:c r="B88" s="37" t="n"/>
      <x:c r="C88" s="86" t="n">
        <x:f>E88*D$5</x:f>
        <x:v>0</x:v>
      </x:c>
      <x:c r="D88" s="523" t="inlineStr">
        <x:is>
          <x:t xml:space="preserve">Koala Production Company</x:t>
        </x:is>
      </x:c>
      <x:c r="E88" s="86" t="n">
        <x:f>SUM(G88:HT88)</x:f>
        <x:v>0</x:v>
      </x:c>
      <x:c r="F88" s="35" t="inlineStr">
        <x:is>
          <x:t xml:space="preserve"/>
        </x:is>
      </x:c>
      <x:c r="Q88" s="100" t="n"/>
      <x:c r="R88" s="100" t="n"/>
      <x:c r="AD88" s="100" t="n"/>
      <x:c r="AE88" s="100" t="n"/>
      <x:c r="AF88" s="100" t="n"/>
      <x:c r="AG88" s="100" t="n"/>
      <x:c r="AH88" s="100" t="n"/>
      <x:c r="AI88" s="100" t="n"/>
      <x:c r="AJ88" s="100" t="n"/>
      <x:c r="AL88" s="100" t="n"/>
      <x:c r="AN88" s="100" t="n"/>
    </x:row>
    <x:row r="89" s="27" customFormat="1">
      <x:c r="A89" s="38" t="n"/>
      <x:c r="B89" s="37" t="n"/>
      <x:c r="C89" s="36" t="n">
        <x:f>E89*D$5</x:f>
        <x:v>0</x:v>
      </x:c>
      <x:c r="D89" s="66" t="inlineStr">
        <x:is>
          <x:t xml:space="preserve">Confirm — Missing conveyed interest 2004-005738</x:t>
        </x:is>
      </x:c>
      <x:c r="E89" s="36" t="n">
        <x:f>SUM(G89:HT89)</x:f>
        <x:v>0</x:v>
      </x:c>
      <x:c r="F89" s="35" t="inlineStr">
        <x:is>
          <x:t xml:space="preserve"/>
        </x:is>
      </x:c>
      <x:c r="Q89" s="100" t="n"/>
      <x:c r="R89" s="100" t="n"/>
      <x:c r="AD89" s="100" t="n"/>
      <x:c r="AE89" s="100" t="n"/>
      <x:c r="AF89" s="100" t="n"/>
      <x:c r="AG89" s="100" t="n"/>
      <x:c r="AH89" s="100" t="n"/>
      <x:c r="AI89" s="100" t="n"/>
      <x:c r="AJ89" s="100" t="n"/>
      <x:c r="AL89" s="100" t="n"/>
      <x:c r="AN89" s="100" t="n"/>
    </x:row>
    <x:row r="90" s="27" customFormat="1">
      <x:c r="A90" s="38" t="n"/>
      <x:c r="B90" s="37" t="n"/>
      <x:c r="C90" s="36" t="n">
        <x:f>E90*D$5</x:f>
        <x:v>0</x:v>
      </x:c>
      <x:c r="D90" s="66" t="inlineStr">
        <x:is>
          <x:t xml:space="preserve">Confirm — Missing conveyed interest 2004-005739</x:t>
        </x:is>
      </x:c>
      <x:c r="E90" s="86" t="n">
        <x:f>SUM(G90:HT90)</x:f>
        <x:v>0</x:v>
      </x:c>
      <x:c r="F90" s="35" t="inlineStr">
        <x:is>
          <x:t xml:space="preserve"/>
        </x:is>
      </x:c>
      <x:c r="Q90" s="100" t="n"/>
      <x:c r="R90" s="100" t="n"/>
      <x:c r="AD90" s="100" t="n"/>
      <x:c r="AE90" s="100" t="n"/>
      <x:c r="AF90" s="100" t="n"/>
      <x:c r="AG90" s="100" t="n"/>
      <x:c r="AH90" s="100" t="n"/>
      <x:c r="AI90" s="100" t="n"/>
      <x:c r="AJ90" s="100" t="n"/>
      <x:c r="AL90" s="100" t="n"/>
      <x:c r="AN90" s="100" t="n"/>
    </x:row>
    <x:row r="91" s="27" customFormat="1">
      <x:c r="A91" s="38" t="n"/>
      <x:c r="B91" s="37" t="n"/>
      <x:c r="C91" s="86" t="n">
        <x:f>E91*D$5</x:f>
        <x:v>0</x:v>
      </x:c>
      <x:c r="D91" s="66" t="inlineStr">
        <x:is>
          <x:t xml:space="preserve">Fleshman Agency, Inc.</x:t>
        </x:is>
      </x:c>
      <x:c r="E91" s="86" t="n">
        <x:f>SUM(G91:HT91)</x:f>
        <x:v>0</x:v>
      </x:c>
      <x:c r="F91" s="35" t="inlineStr">
        <x:is>
          <x:t xml:space="preserve"/>
        </x:is>
      </x:c>
      <x:c r="Q91" s="100" t="n"/>
      <x:c r="R91" s="100" t="n"/>
      <x:c r="AD91" s="100" t="n"/>
      <x:c r="AE91" s="100" t="n"/>
      <x:c r="AF91" s="100" t="n"/>
      <x:c r="AG91" s="100" t="n"/>
      <x:c r="AH91" s="100" t="n"/>
      <x:c r="AI91" s="100" t="n"/>
      <x:c r="AJ91" s="100" t="n"/>
      <x:c r="AL91" s="100" t="n"/>
      <x:c r="AN91" s="100" t="n"/>
    </x:row>
    <x:row r="92" s="27" customFormat="1">
      <x:c r="A92" s="38" t="n"/>
      <x:c r="B92" s="37" t="n"/>
      <x:c r="C92" s="36" t="n">
        <x:f>E92*D$5</x:f>
        <x:v>0</x:v>
      </x:c>
      <x:c r="D92" s="66" t="inlineStr">
        <x:is>
          <x:t xml:space="preserve">Confirm — Missing conveyed interest 2008-006536</x:t>
        </x:is>
      </x:c>
      <x:c r="E92" s="86" t="n">
        <x:f>SUM(G92:HT92)</x:f>
        <x:v>0</x:v>
      </x:c>
      <x:c r="F92" s="35" t="inlineStr">
        <x:is>
          <x:t xml:space="preserve"/>
        </x:is>
      </x:c>
      <x:c r="Q92" s="100" t="n"/>
      <x:c r="R92" s="100" t="n"/>
      <x:c r="AD92" s="100" t="n"/>
      <x:c r="AE92" s="100" t="n"/>
      <x:c r="AF92" s="100" t="n"/>
      <x:c r="AG92" s="100" t="n"/>
      <x:c r="AH92" s="100" t="n"/>
      <x:c r="AI92" s="100" t="n"/>
      <x:c r="AJ92" s="100" t="n"/>
      <x:c r="AL92" s="100" t="n"/>
      <x:c r="AN92" s="100" t="n"/>
    </x:row>
    <x:row r="93" s="27" customFormat="1" ht="24" customHeight="1">
      <x:c r="A93" s="38" t="n"/>
      <x:c r="B93" s="37" t="n"/>
      <x:c r="C93" s="86" t="n">
        <x:f>E93*D$5</x:f>
        <x:v>-38.28</x:v>
      </x:c>
      <x:c r="D93" s="418" t="inlineStr">
        <x:is>
          <x:t xml:space="preserve">Sandra York, aka Sandra Lorraine York, aka Sandra Lorrain York, Individually and as heir of Virgil Hambrook</x:t>
        </x:is>
      </x:c>
      <x:c r="E93" s="413" t="n">
        <x:f>SUM(G93:HT93)</x:f>
        <x:v>-1</x:v>
      </x:c>
      <x:c r="F93" s="35" t="inlineStr">
        <x:is>
          <x:t xml:space="preserve"/>
        </x:is>
      </x:c>
      <x:c r="Q93" s="100" t="n"/>
      <x:c r="R93" s="100" t="n"/>
      <x:c r="AD93" s="100" t="n"/>
      <x:c r="AE93" s="100" t="n"/>
      <x:c r="AF93" s="100" t="n"/>
      <x:c r="AG93" s="100" t="n"/>
      <x:c r="AH93" s="100" t="n"/>
      <x:c r="AI93" s="100" t="n"/>
      <x:c r="AJ93" s="100" t="n"/>
      <x:c r="AL93" s="100" t="n"/>
      <x:c r="AN93" s="100" t="n"/>
      <x:c r="AU93" s="27" t="n">
        <x:v>-1</x:v>
      </x:c>
    </x:row>
    <x:row r="94" s="27" customFormat="1" ht="24" customHeight="1">
      <x:c r="A94" s="38" t="n"/>
      <x:c r="B94" s="37" t="n"/>
      <x:c r="C94" s="36" t="n">
        <x:f>E94*D$5</x:f>
        <x:v>-38.28</x:v>
      </x:c>
      <x:c r="D94" s="418" t="inlineStr">
        <x:is>
          <x:t xml:space="preserve">The Estate of Barbara Fasken, by Robert Dickson and Norbert J. Dickman, Co-Personal Representatives</x:t>
        </x:is>
      </x:c>
      <x:c r="E94" s="413" t="n">
        <x:f>SUM(G94:HT94)</x:f>
        <x:v>-1</x:v>
      </x:c>
      <x:c r="F94" s="35" t="inlineStr">
        <x:is>
          <x:t xml:space="preserve"/>
        </x:is>
      </x:c>
      <x:c r="Q94" s="100" t="n"/>
      <x:c r="R94" s="100" t="n"/>
      <x:c r="AD94" s="100" t="n"/>
      <x:c r="AE94" s="100" t="n"/>
      <x:c r="AF94" s="100" t="n"/>
      <x:c r="AG94" s="100" t="n"/>
      <x:c r="AH94" s="100" t="n"/>
      <x:c r="AI94" s="100" t="n"/>
      <x:c r="AJ94" s="100" t="n"/>
      <x:c r="AL94" s="100" t="n"/>
      <x:c r="AN94" s="100" t="n"/>
      <x:c r="AV94" s="27" t="n">
        <x:v>-1</x:v>
      </x:c>
    </x:row>
    <x:row r="95" s="27" customFormat="1">
      <x:c r="A95" s="38" t="n"/>
      <x:c r="B95" s="37" t="n"/>
      <x:c r="C95" s="86" t="n">
        <x:f>E95*D$5</x:f>
        <x:v>38.28</x:v>
      </x:c>
      <x:c r="D95" s="66" t="inlineStr">
        <x:is>
          <x:t xml:space="preserve">Fasken Land and Minerals, Ltd.</x:t>
        </x:is>
      </x:c>
      <x:c r="E95" s="86" t="n">
        <x:f>SUM(G95:HT95)</x:f>
        <x:v>1</x:v>
      </x:c>
      <x:c r="F95" s="35" t="inlineStr">
        <x:is>
          <x:t xml:space="preserve"/>
        </x:is>
      </x:c>
      <x:c r="Q95" s="100" t="n"/>
      <x:c r="R95" s="100" t="n"/>
      <x:c r="AD95" s="100" t="n"/>
      <x:c r="AE95" s="100" t="n"/>
      <x:c r="AF95" s="100" t="n"/>
      <x:c r="AG95" s="100" t="n"/>
      <x:c r="AH95" s="100" t="n"/>
      <x:c r="AI95" s="100" t="n"/>
      <x:c r="AJ95" s="100" t="n"/>
      <x:c r="AL95" s="100" t="n"/>
      <x:c r="AN95" s="100" t="n"/>
      <x:c r="AV95" s="27" t="n">
        <x:v>1</x:v>
      </x:c>
    </x:row>
    <x:row r="96" s="27" customFormat="1" ht="24" customHeight="1">
      <x:c r="A96" s="38" t="n"/>
      <x:c r="B96" s="37" t="n"/>
      <x:c r="C96" s="36" t="n">
        <x:f>E96*D$5</x:f>
        <x:v>-38.28</x:v>
      </x:c>
      <x:c r="D96" s="418" t="inlineStr">
        <x:is>
          <x:t xml:space="preserve">Roger Mills County Court RE: In the Matter of the Estate of Virgil Mark Hambrook, Deceased</x:t>
        </x:is>
      </x:c>
      <x:c r="E96" s="411" t="n">
        <x:f>SUM(G96:HT96)</x:f>
        <x:v>-1</x:v>
      </x:c>
      <x:c r="F96" s="35" t="inlineStr">
        <x:is>
          <x:t xml:space="preserve"/>
        </x:is>
      </x:c>
      <x:c r="Q96" s="100" t="n"/>
      <x:c r="R96" s="100" t="n"/>
      <x:c r="AD96" s="100" t="n"/>
      <x:c r="AE96" s="100" t="n"/>
      <x:c r="AF96" s="100" t="n"/>
      <x:c r="AG96" s="100" t="n"/>
      <x:c r="AH96" s="100" t="n"/>
      <x:c r="AI96" s="100" t="n"/>
      <x:c r="AJ96" s="100" t="n"/>
      <x:c r="AL96" s="100" t="n"/>
      <x:c r="AN96" s="100" t="n"/>
      <x:c r="AW96" s="27" t="n">
        <x:v>-1</x:v>
      </x:c>
    </x:row>
    <x:row r="97" s="27" customFormat="1" ht="24" customHeight="1">
      <x:c r="A97" s="38" t="n"/>
      <x:c r="B97" s="37" t="n"/>
      <x:c r="C97" s="36" t="n">
        <x:f>E97*D$5</x:f>
        <x:v>38.28</x:v>
      </x:c>
      <x:c r="D97" s="66" t="inlineStr">
        <x:is>
          <x:t xml:space="preserve">Sandra York, a/k/a Sandra Lorraine York, a/k/a Sandra Lorrain York</x:t>
        </x:is>
      </x:c>
      <x:c r="E97" s="36" t="n">
        <x:f>SUM(G97:HT97)</x:f>
        <x:v>1</x:v>
      </x:c>
      <x:c r="F97" s="35" t="inlineStr">
        <x:is>
          <x:t xml:space="preserve"/>
        </x:is>
      </x:c>
      <x:c r="Q97" s="100" t="n"/>
      <x:c r="R97" s="100" t="n"/>
      <x:c r="AD97" s="100" t="n"/>
      <x:c r="AE97" s="100" t="n"/>
      <x:c r="AF97" s="100" t="n"/>
      <x:c r="AG97" s="100" t="n"/>
      <x:c r="AH97" s="100" t="n"/>
      <x:c r="AI97" s="100" t="n"/>
      <x:c r="AJ97" s="100" t="n"/>
      <x:c r="AL97" s="100" t="n"/>
      <x:c r="AN97" s="100" t="n"/>
      <x:c r="AW97" s="27" t="n">
        <x:v>1</x:v>
      </x:c>
    </x:row>
    <x:row r="98" s="27" customFormat="1">
      <x:c r="A98" s="38" t="n"/>
      <x:c r="B98" s="37" t="n"/>
      <x:c r="C98" s="36" t="n">
        <x:f>E98*D$5</x:f>
        <x:v>0</x:v>
      </x:c>
      <x:c r="D98" s="66" t="inlineStr">
        <x:is>
          <x:t xml:space="preserve">MAP2004-OK</x:t>
        </x:is>
      </x:c>
      <x:c r="E98" s="36" t="n">
        <x:f>SUM(G98:HT98)</x:f>
        <x:v>0</x:v>
      </x:c>
      <x:c r="F98" s="35" t="inlineStr">
        <x:is>
          <x:t xml:space="preserve"/>
        </x:is>
      </x:c>
      <x:c r="Q98" s="100" t="n"/>
      <x:c r="R98" s="100" t="n"/>
      <x:c r="AD98" s="100" t="n"/>
      <x:c r="AE98" s="100" t="n"/>
      <x:c r="AF98" s="100" t="n"/>
      <x:c r="AG98" s="100" t="n"/>
      <x:c r="AH98" s="100" t="n"/>
      <x:c r="AI98" s="100" t="n"/>
      <x:c r="AJ98" s="100" t="n"/>
      <x:c r="AL98" s="100" t="n"/>
      <x:c r="AN98" s="100" t="n"/>
    </x:row>
    <x:row r="99" s="27" customFormat="1">
      <x:c r="A99" s="38" t="n"/>
      <x:c r="B99" s="37" t="n"/>
      <x:c r="C99" s="36" t="n">
        <x:f>E99*D$5</x:f>
        <x:v>0</x:v>
      </x:c>
      <x:c r="D99" s="523" t="inlineStr">
        <x:is>
          <x:t xml:space="preserve">Confirm — Missing conveyed interest 2005-004793</x:t>
        </x:is>
      </x:c>
      <x:c r="E99" s="36" t="n">
        <x:f>SUM(G99:HT99)</x:f>
        <x:v>0</x:v>
      </x:c>
      <x:c r="F99" s="35" t="inlineStr">
        <x:is>
          <x:t xml:space="preserve"/>
        </x:is>
      </x:c>
      <x:c r="Q99" s="100" t="n"/>
      <x:c r="R99" s="100" t="n"/>
      <x:c r="AD99" s="100" t="n"/>
      <x:c r="AE99" s="100" t="n"/>
      <x:c r="AF99" s="100" t="n"/>
      <x:c r="AG99" s="100" t="n"/>
      <x:c r="AH99" s="100" t="n"/>
      <x:c r="AI99" s="100" t="n"/>
      <x:c r="AJ99" s="100" t="n"/>
      <x:c r="AL99" s="100" t="n"/>
      <x:c r="AN99" s="100" t="n"/>
    </x:row>
    <x:row r="100" s="27" customFormat="1">
      <x:c r="A100" s="38" t="n"/>
      <x:c r="B100" s="37" t="n"/>
      <x:c r="C100" s="36" t="n">
        <x:f>E100*D$5</x:f>
        <x:v>0</x:v>
      </x:c>
      <x:c r="D100" s="523" t="inlineStr">
        <x:is>
          <x:t xml:space="preserve">Confirm — Missing conveyed interest 2005-005251</x:t>
        </x:is>
      </x:c>
      <x:c r="E100" s="36" t="n">
        <x:f>SUM(G100:HT100)</x:f>
        <x:v>0</x:v>
      </x:c>
      <x:c r="F100" s="35" t="inlineStr">
        <x:is>
          <x:t xml:space="preserve"/>
        </x:is>
      </x:c>
      <x:c r="Q100" s="100" t="n"/>
      <x:c r="R100" s="100" t="n"/>
      <x:c r="AD100" s="100" t="n"/>
      <x:c r="AE100" s="100" t="n"/>
      <x:c r="AF100" s="100" t="n"/>
      <x:c r="AG100" s="100" t="n"/>
      <x:c r="AH100" s="100" t="n"/>
      <x:c r="AI100" s="100" t="n"/>
      <x:c r="AJ100" s="100" t="n"/>
      <x:c r="AL100" s="100" t="n"/>
      <x:c r="AN100" s="100" t="n"/>
    </x:row>
    <x:row r="101" s="27" customFormat="1">
      <x:c r="A101" s="38" t="n"/>
      <x:c r="B101" s="37" t="n"/>
      <x:c r="C101" s="36" t="n">
        <x:f>E101*D$5</x:f>
        <x:v>-38.28</x:v>
      </x:c>
      <x:c r="D101" s="420" t="inlineStr">
        <x:is>
          <x:t xml:space="preserve">Koala Pordution Company</x:t>
        </x:is>
      </x:c>
      <x:c r="E101" s="411" t="n">
        <x:f>SUM(G101:HT101)</x:f>
        <x:v>-1</x:v>
      </x:c>
      <x:c r="F101" s="35" t="inlineStr">
        <x:is>
          <x:t xml:space="preserve"/>
        </x:is>
      </x:c>
      <x:c r="Q101" s="100" t="n"/>
      <x:c r="R101" s="100" t="n"/>
      <x:c r="AD101" s="100" t="n"/>
      <x:c r="AE101" s="100" t="n"/>
      <x:c r="AF101" s="100" t="n"/>
      <x:c r="AG101" s="100" t="n"/>
      <x:c r="AH101" s="100" t="n"/>
      <x:c r="AI101" s="100" t="n"/>
      <x:c r="AJ101" s="100" t="n"/>
      <x:c r="AL101" s="100" t="n"/>
      <x:c r="AN101" s="100" t="n"/>
      <x:c r="AZ101" s="27" t="n">
        <x:v>-1</x:v>
      </x:c>
    </x:row>
    <x:row r="102" s="27" customFormat="1">
      <x:c r="A102" s="38" t="n"/>
      <x:c r="B102" s="37" t="n"/>
      <x:c r="C102" s="36" t="n">
        <x:f>E102*D$5</x:f>
        <x:v>38.28</x:v>
      </x:c>
      <x:c r="D102" s="20" t="inlineStr">
        <x:is>
          <x:t xml:space="preserve">Chisholm Royalty Partners</x:t>
        </x:is>
      </x:c>
      <x:c r="E102" s="36" t="n">
        <x:f>SUM(G102:HT102)</x:f>
        <x:v>1</x:v>
      </x:c>
      <x:c r="F102" s="35" t="inlineStr">
        <x:is>
          <x:t xml:space="preserve"/>
        </x:is>
      </x:c>
      <x:c r="Q102" s="100" t="n"/>
      <x:c r="R102" s="100" t="n"/>
      <x:c r="AD102" s="100" t="n"/>
      <x:c r="AE102" s="100" t="n"/>
      <x:c r="AF102" s="100" t="n"/>
      <x:c r="AG102" s="100" t="n"/>
      <x:c r="AH102" s="100" t="n"/>
      <x:c r="AI102" s="100" t="n"/>
      <x:c r="AJ102" s="100" t="n"/>
      <x:c r="AL102" s="100" t="n"/>
      <x:c r="AN102" s="100" t="n"/>
      <x:c r="AZ102" s="27" t="n">
        <x:v>1</x:v>
      </x:c>
    </x:row>
    <x:row r="103" s="27" customFormat="1">
      <x:c r="A103" s="38" t="n"/>
      <x:c r="B103" s="37" t="n"/>
      <x:c r="C103" s="36" t="n">
        <x:f>E103*D$5</x:f>
        <x:v>0</x:v>
      </x:c>
      <x:c r="D103" s="20" t="inlineStr">
        <x:is>
          <x:t xml:space="preserve">Confirm — Missing conveyed interest 2006-000153</x:t>
        </x:is>
      </x:c>
      <x:c r="E103" s="36" t="n">
        <x:f>SUM(G103:HT103)</x:f>
        <x:v>0</x:v>
      </x:c>
      <x:c r="F103" s="35" t="inlineStr">
        <x:is>
          <x:t xml:space="preserve"/>
        </x:is>
      </x:c>
      <x:c r="Q103" s="100" t="n"/>
      <x:c r="R103" s="100" t="n"/>
      <x:c r="AD103" s="100" t="n"/>
      <x:c r="AE103" s="100" t="n"/>
      <x:c r="AF103" s="100" t="n"/>
      <x:c r="AG103" s="100" t="n"/>
      <x:c r="AH103" s="100" t="n"/>
      <x:c r="AI103" s="100" t="n"/>
      <x:c r="AJ103" s="100" t="n"/>
      <x:c r="AL103" s="100" t="n"/>
      <x:c r="AN103" s="100" t="n"/>
    </x:row>
    <x:row r="104" s="27" customFormat="1">
      <x:c r="A104" s="38" t="n"/>
      <x:c r="B104" s="37" t="n"/>
      <x:c r="C104" s="36" t="n">
        <x:f>E104*D$5</x:f>
        <x:v>0</x:v>
      </x:c>
      <x:c r="D104" s="20" t="inlineStr">
        <x:is>
          <x:t xml:space="preserve">Confirm — Missing conveyed interest 2006-000870</x:t>
        </x:is>
      </x:c>
      <x:c r="E104" s="36" t="n">
        <x:f>SUM(G104:HT104)</x:f>
        <x:v>0</x:v>
      </x:c>
      <x:c r="F104" s="35" t="inlineStr">
        <x:is>
          <x:t xml:space="preserve"/>
        </x:is>
      </x:c>
      <x:c r="Q104" s="100" t="n"/>
      <x:c r="R104" s="100" t="n"/>
      <x:c r="AD104" s="100" t="n"/>
      <x:c r="AE104" s="100" t="n"/>
      <x:c r="AF104" s="100" t="n"/>
      <x:c r="AG104" s="100" t="n"/>
      <x:c r="AH104" s="100" t="n"/>
      <x:c r="AI104" s="100" t="n"/>
      <x:c r="AJ104" s="100" t="n"/>
      <x:c r="AL104" s="100" t="n"/>
      <x:c r="AN104" s="100" t="n"/>
    </x:row>
    <x:row r="105" s="27" customFormat="1">
      <x:c r="A105" s="38" t="n"/>
      <x:c r="B105" s="37" t="n"/>
      <x:c r="C105" s="36" t="n">
        <x:f>E105*D$5</x:f>
        <x:v>-38.28</x:v>
      </x:c>
      <x:c r="D105" s="420" t="inlineStr">
        <x:is>
          <x:t xml:space="preserve">Floyd W. Atha and Nancy D. Atha, HW</x:t>
        </x:is>
      </x:c>
      <x:c r="E105" s="411" t="n">
        <x:f>SUM(G105:HT105)</x:f>
        <x:v>-1</x:v>
      </x:c>
      <x:c r="F105" s="35" t="inlineStr">
        <x:is>
          <x:t xml:space="preserve"/>
        </x:is>
      </x:c>
      <x:c r="Q105" s="100" t="n"/>
      <x:c r="R105" s="100" t="n"/>
      <x:c r="AD105" s="100" t="n"/>
      <x:c r="AE105" s="100" t="n"/>
      <x:c r="AF105" s="100" t="n"/>
      <x:c r="AG105" s="100" t="n"/>
      <x:c r="AH105" s="100" t="n"/>
      <x:c r="AI105" s="100" t="n"/>
      <x:c r="AJ105" s="100" t="n"/>
      <x:c r="AL105" s="100" t="n"/>
      <x:c r="AN105" s="100" t="n"/>
      <x:c r="BC105" s="27" t="n">
        <x:v>-1</x:v>
      </x:c>
    </x:row>
    <x:row r="106" s="27" customFormat="1" ht="25.5" customHeight="1">
      <x:c r="A106" s="38" t="n"/>
      <x:c r="B106" s="37" t="n"/>
      <x:c r="C106" s="36" t="n">
        <x:f>E106*D$5</x:f>
        <x:v>38.28</x:v>
      </x:c>
      <x:c r="D106" s="20" t="inlineStr">
        <x:is>
          <x:t xml:space="preserve">loyd Atha and Nancy Atha, Co-Trustees of the Floyd Atha and Nancy Atha Revocable Trust Dated March 21st, 2007</x:t>
        </x:is>
      </x:c>
      <x:c r="E106" s="36" t="n">
        <x:f>SUM(G106:HT106)</x:f>
        <x:v>1</x:v>
      </x:c>
      <x:c r="F106" s="35" t="inlineStr">
        <x:is>
          <x:t xml:space="preserve"/>
        </x:is>
      </x:c>
      <x:c r="Q106" s="100" t="n"/>
      <x:c r="R106" s="100" t="n"/>
      <x:c r="AD106" s="100" t="n"/>
      <x:c r="AE106" s="100" t="n"/>
      <x:c r="AF106" s="100" t="n"/>
      <x:c r="AG106" s="100" t="n"/>
      <x:c r="AH106" s="100" t="n"/>
      <x:c r="AI106" s="100" t="n"/>
      <x:c r="AJ106" s="100" t="n"/>
      <x:c r="AL106" s="100" t="n"/>
      <x:c r="AN106" s="100" t="n"/>
      <x:c r="BC106" s="27" t="n">
        <x:v>1</x:v>
      </x:c>
    </x:row>
    <x:row r="107" s="27" customFormat="1">
      <x:c r="A107" s="38" t="n"/>
      <x:c r="B107" s="37" t="n"/>
      <x:c r="C107" s="36" t="n">
        <x:f>E107*D$5</x:f>
        <x:v>-38.28</x:v>
      </x:c>
      <x:c r="D107" s="420" t="inlineStr">
        <x:is>
          <x:t xml:space="preserve">Wayne A. Walters and Shawn S. Walters, HW</x:t>
        </x:is>
      </x:c>
      <x:c r="E107" s="411" t="n">
        <x:f>SUM(G107:HT107)</x:f>
        <x:v>-1</x:v>
      </x:c>
      <x:c r="F107" s="35" t="inlineStr">
        <x:is>
          <x:t xml:space="preserve"/>
        </x:is>
      </x:c>
      <x:c r="Q107" s="100" t="n"/>
      <x:c r="R107" s="100" t="n"/>
      <x:c r="AD107" s="100" t="n"/>
      <x:c r="AE107" s="100" t="n"/>
      <x:c r="AF107" s="100" t="n"/>
      <x:c r="AG107" s="100" t="n"/>
      <x:c r="AH107" s="100" t="n"/>
      <x:c r="AI107" s="100" t="n"/>
      <x:c r="AJ107" s="100" t="n"/>
      <x:c r="AL107" s="100" t="n"/>
      <x:c r="AN107" s="100" t="n"/>
      <x:c r="BD107" s="27" t="n">
        <x:v>-1</x:v>
      </x:c>
    </x:row>
    <x:row r="108" s="27" customFormat="1" ht="51" customHeight="1">
      <x:c r="A108" s="38" t="n"/>
      <x:c r="B108" s="37" t="n"/>
      <x:c r="C108" s="36" t="n">
        <x:f>E108*D$5</x:f>
        <x:v>38.28</x:v>
      </x:c>
      <x:c r="D108" s="20" t="inlineStr">
        <x:is>
          <x:t xml:space="preserve">Wayne A. Walters and Shawn S. Walters, Co-Trustees of the Wayne A. Walters and Shawn S. Walters 2008 Oil and Gas Revocable Living Trust, dated the 16th day of July, 2008</x:t>
        </x:is>
      </x:c>
      <x:c r="E108" s="36" t="n">
        <x:f>SUM(G108:HT108)</x:f>
        <x:v>1</x:v>
      </x:c>
      <x:c r="F108" s="35" t="inlineStr">
        <x:is>
          <x:t xml:space="preserve"/>
        </x:is>
      </x:c>
      <x:c r="Q108" s="100" t="n"/>
      <x:c r="R108" s="100" t="n"/>
      <x:c r="AD108" s="100" t="n"/>
      <x:c r="AE108" s="100" t="n"/>
      <x:c r="AF108" s="100" t="n"/>
      <x:c r="AG108" s="100" t="n"/>
      <x:c r="AH108" s="100" t="n"/>
      <x:c r="AI108" s="100" t="n"/>
      <x:c r="AJ108" s="100" t="n"/>
      <x:c r="AL108" s="100" t="n"/>
      <x:c r="AN108" s="100" t="n"/>
      <x:c r="BD108" s="27" t="n">
        <x:v>1</x:v>
      </x:c>
    </x:row>
    <x:row r="109" s="27" customFormat="1">
      <x:c r="A109" s="38" t="n"/>
      <x:c r="B109" s="37" t="n"/>
      <x:c r="C109" s="36" t="n">
        <x:f>E109*D$5</x:f>
        <x:v>-336.54474480000005</x:v>
      </x:c>
      <x:c r="D109" s="420" t="inlineStr">
        <x:is>
          <x:t xml:space="preserve">Fleshman Agency</x:t>
        </x:is>
      </x:c>
      <x:c r="E109" s="411" t="n">
        <x:f>SUM(G109:HT109)</x:f>
        <x:v>-8.79166</x:v>
      </x:c>
      <x:c r="F109" s="35" t="inlineStr">
        <x:is>
          <x:t xml:space="preserve"/>
        </x:is>
      </x:c>
      <x:c r="Q109" s="100" t="n"/>
      <x:c r="R109" s="100" t="n"/>
      <x:c r="AD109" s="100" t="n"/>
      <x:c r="AE109" s="100" t="n"/>
      <x:c r="AF109" s="100" t="n"/>
      <x:c r="AG109" s="100" t="n"/>
      <x:c r="AH109" s="100" t="n"/>
      <x:c r="AI109" s="100" t="n"/>
      <x:c r="AJ109" s="100" t="n"/>
      <x:c r="AL109" s="100" t="n"/>
      <x:c r="AN109" s="100" t="n"/>
      <x:c r="BE109" s="27" t="n">
        <x:v>-8.79166</x:v>
      </x:c>
    </x:row>
    <x:row r="110" s="27" customFormat="1">
      <x:c r="A110" s="38" t="n"/>
      <x:c r="B110" s="37" t="n"/>
      <x:c r="C110" s="36" t="n">
        <x:f>E110*D$5</x:f>
        <x:v>336.54474480000005</x:v>
      </x:c>
      <x:c r="D110" s="20" t="inlineStr">
        <x:is>
          <x:t xml:space="preserve">Mekusukey Oil Company, LLC</x:t>
        </x:is>
      </x:c>
      <x:c r="E110" s="36" t="n">
        <x:f>SUM(G110:HT110)</x:f>
        <x:v>8.79166</x:v>
      </x:c>
      <x:c r="F110" s="35" t="inlineStr">
        <x:is>
          <x:t xml:space="preserve"/>
        </x:is>
      </x:c>
      <x:c r="Q110" s="100" t="n"/>
      <x:c r="R110" s="100" t="n"/>
      <x:c r="AD110" s="100" t="n"/>
      <x:c r="AE110" s="100" t="n"/>
      <x:c r="AF110" s="100" t="n"/>
      <x:c r="AG110" s="100" t="n"/>
      <x:c r="AH110" s="100" t="n"/>
      <x:c r="AI110" s="100" t="n"/>
      <x:c r="AJ110" s="100" t="n"/>
      <x:c r="AL110" s="100" t="n"/>
      <x:c r="AN110" s="100" t="n"/>
      <x:c r="BE110" s="27" t="n">
        <x:v>8.79166</x:v>
      </x:c>
    </x:row>
    <x:row r="111" s="27" customFormat="1" ht="25.5" customHeight="1">
      <x:c r="A111" s="38" t="n"/>
      <x:c r="B111" s="37" t="n"/>
      <x:c r="C111" s="36" t="n">
        <x:f>E111*D$5</x:f>
        <x:v>-38.28</x:v>
      </x:c>
      <x:c r="D111" s="420" t="inlineStr">
        <x:is>
          <x:t xml:space="preserve">Beckham County Court, RE: In the Matter of the Estate of Fred A. Standiford, Jr., Deceased</x:t>
        </x:is>
      </x:c>
      <x:c r="E111" s="411" t="n">
        <x:f>SUM(G111:HT111)</x:f>
        <x:v>-1</x:v>
      </x:c>
      <x:c r="F111" s="35" t="inlineStr">
        <x:is>
          <x:t xml:space="preserve"/>
        </x:is>
      </x:c>
      <x:c r="Q111" s="100" t="n"/>
      <x:c r="R111" s="100" t="n"/>
      <x:c r="AD111" s="100" t="n"/>
      <x:c r="AE111" s="100" t="n"/>
      <x:c r="AF111" s="100" t="n"/>
      <x:c r="AG111" s="100" t="n"/>
      <x:c r="AH111" s="100" t="n"/>
      <x:c r="AI111" s="100" t="n"/>
      <x:c r="AJ111" s="100" t="n"/>
      <x:c r="AL111" s="100" t="n"/>
      <x:c r="AN111" s="100" t="n"/>
      <x:c r="BF111" s="27" t="n">
        <x:v>-1</x:v>
      </x:c>
    </x:row>
    <x:row r="112" s="27" customFormat="1" ht="25.5" customHeight="1">
      <x:c r="A112" s="38" t="n"/>
      <x:c r="B112" s="37" t="n"/>
      <x:c r="C112" s="36" t="n">
        <x:f>E112*D$5</x:f>
        <x:v>38.28</x:v>
      </x:c>
      <x:c r="D112" s="20" t="inlineStr">
        <x:is>
          <x:t xml:space="preserve">Rosa C. Standiford and Kimberly D. Standiford, Co-Trustees of the Fred A. Standiford, Jr. Trust</x:t>
        </x:is>
      </x:c>
      <x:c r="E112" s="36" t="n">
        <x:f>SUM(G112:HT112)</x:f>
        <x:v>1</x:v>
      </x:c>
      <x:c r="F112" s="35" t="inlineStr">
        <x:is>
          <x:t xml:space="preserve"/>
        </x:is>
      </x:c>
      <x:c r="Q112" s="100" t="n"/>
      <x:c r="R112" s="100" t="n"/>
      <x:c r="AD112" s="100" t="n"/>
      <x:c r="AE112" s="100" t="n"/>
      <x:c r="AF112" s="100" t="n"/>
      <x:c r="AG112" s="100" t="n"/>
      <x:c r="AH112" s="100" t="n"/>
      <x:c r="AI112" s="100" t="n"/>
      <x:c r="AJ112" s="100" t="n"/>
      <x:c r="AL112" s="100" t="n"/>
      <x:c r="AN112" s="100" t="n"/>
      <x:c r="BF112" s="27" t="n">
        <x:v>1</x:v>
      </x:c>
    </x:row>
    <x:row r="113" s="27" customFormat="1" ht="38.25" customHeight="1">
      <x:c r="A113" s="38" t="n"/>
      <x:c r="B113" s="37" t="n"/>
      <x:c r="C113" s="36" t="n">
        <x:f>E113*D$5</x:f>
        <x:v>-38.28</x:v>
      </x:c>
      <x:c r="D113" s="420" t="inlineStr">
        <x:is>
          <x:t xml:space="preserve">Kiowa County Court, RE: In the Matter of the Probate of The Last Will and Testament of Nancy Mitchell WILLIAMS, Deceased</x:t>
        </x:is>
      </x:c>
      <x:c r="E113" s="411" t="n">
        <x:f>SUM(G113:HT113)</x:f>
        <x:v>-1</x:v>
      </x:c>
      <x:c r="F113" s="35" t="inlineStr">
        <x:is>
          <x:t xml:space="preserve"/>
        </x:is>
      </x:c>
      <x:c r="Q113" s="100" t="n"/>
      <x:c r="R113" s="100" t="n"/>
      <x:c r="AD113" s="100" t="n"/>
      <x:c r="AE113" s="100" t="n"/>
      <x:c r="AF113" s="100" t="n"/>
      <x:c r="AG113" s="100" t="n"/>
      <x:c r="AH113" s="100" t="n"/>
      <x:c r="AI113" s="100" t="n"/>
      <x:c r="AJ113" s="100" t="n"/>
      <x:c r="AL113" s="100" t="n"/>
      <x:c r="AN113" s="100" t="n"/>
      <x:c r="BG113" s="27" t="n">
        <x:v>-1</x:v>
      </x:c>
    </x:row>
    <x:row r="114" s="27" customFormat="1">
      <x:c r="A114" s="38" t="n"/>
      <x:c r="B114" s="37" t="n"/>
      <x:c r="C114" s="36" t="n">
        <x:f>E114*D$5</x:f>
        <x:v>38.28</x:v>
      </x:c>
      <x:c r="D114" s="20" t="inlineStr">
        <x:is>
          <x:t xml:space="preserve">Gene G. Williams</x:t>
        </x:is>
      </x:c>
      <x:c r="E114" s="36" t="n">
        <x:f>SUM(G114:HT114)</x:f>
        <x:v>1</x:v>
      </x:c>
      <x:c r="F114" s="35" t="inlineStr">
        <x:is>
          <x:t xml:space="preserve"/>
        </x:is>
      </x:c>
      <x:c r="Q114" s="100" t="n"/>
      <x:c r="R114" s="100" t="n"/>
      <x:c r="AD114" s="100" t="n"/>
      <x:c r="AE114" s="100" t="n"/>
      <x:c r="AF114" s="100" t="n"/>
      <x:c r="AG114" s="100" t="n"/>
      <x:c r="AH114" s="100" t="n"/>
      <x:c r="AI114" s="100" t="n"/>
      <x:c r="AJ114" s="100" t="n"/>
      <x:c r="AL114" s="100" t="n"/>
      <x:c r="AN114" s="100" t="n"/>
      <x:c r="BG114" s="27" t="n">
        <x:v>1</x:v>
      </x:c>
    </x:row>
    <x:row r="115" s="27" customFormat="1">
      <x:c r="A115" s="38" t="n"/>
      <x:c r="B115" s="37" t="n"/>
      <x:c r="C115" s="36" t="n">
        <x:f>E115*D$5</x:f>
        <x:v>0</x:v>
      </x:c>
      <x:c r="D115" s="20" t="inlineStr">
        <x:is>
          <x:t xml:space="preserve">Confirm — Missing conveyed interest 2013-001724</x:t>
        </x:is>
      </x:c>
      <x:c r="E115" s="36" t="n">
        <x:f>SUM(G115:HT115)</x:f>
        <x:v>0</x:v>
      </x:c>
      <x:c r="F115" s="35" t="inlineStr">
        <x:is>
          <x:t xml:space="preserve"/>
        </x:is>
      </x:c>
      <x:c r="Q115" s="100" t="n"/>
      <x:c r="R115" s="100" t="n"/>
      <x:c r="AD115" s="100" t="n"/>
      <x:c r="AE115" s="100" t="n"/>
      <x:c r="AF115" s="100" t="n"/>
      <x:c r="AG115" s="100" t="n"/>
      <x:c r="AH115" s="100" t="n"/>
      <x:c r="AI115" s="100" t="n"/>
      <x:c r="AJ115" s="100" t="n"/>
      <x:c r="AL115" s="100" t="n"/>
      <x:c r="AN115" s="100" t="n"/>
    </x:row>
    <x:row r="116" s="27" customFormat="1">
      <x:c r="A116" s="38" t="n"/>
      <x:c r="B116" s="37" t="n"/>
      <x:c r="C116" s="36" t="n">
        <x:f>E116*D$5</x:f>
        <x:v>0</x:v>
      </x:c>
      <x:c r="D116" s="20" t="inlineStr">
        <x:is>
          <x:t xml:space="preserve">Joseph A. Bain and Doris M. Bain, husband and wife</x:t>
        </x:is>
      </x:c>
      <x:c r="E116" s="36" t="n">
        <x:f>SUM(G116:HT116)</x:f>
        <x:v>0</x:v>
      </x:c>
      <x:c r="F116" s="35" t="inlineStr">
        <x:is>
          <x:t xml:space="preserve"/>
        </x:is>
      </x:c>
      <x:c r="Q116" s="100" t="n"/>
      <x:c r="R116" s="100" t="n"/>
      <x:c r="AD116" s="100" t="n"/>
      <x:c r="AE116" s="100" t="n"/>
      <x:c r="AF116" s="100" t="n"/>
      <x:c r="AG116" s="100" t="n"/>
      <x:c r="AH116" s="100" t="n"/>
      <x:c r="AI116" s="100" t="n"/>
      <x:c r="AJ116" s="100" t="n"/>
      <x:c r="AL116" s="100" t="n"/>
      <x:c r="AN116" s="100" t="n"/>
    </x:row>
    <x:row r="117" s="27" customFormat="1">
      <x:c r="A117" s="38" t="n"/>
      <x:c r="B117" s="37" t="n"/>
      <x:c r="C117" s="36" t="n">
        <x:f>E117*D$5</x:f>
        <x:v>0</x:v>
      </x:c>
      <x:c r="D117" s="20" t="inlineStr">
        <x:is>
          <x:t xml:space="preserve">Anna T. Gibson Wichita</x:t>
        </x:is>
      </x:c>
      <x:c r="E117" s="36" t="n">
        <x:f>SUM(G117:HT117)</x:f>
        <x:v>0</x:v>
      </x:c>
      <x:c r="F117" s="35" t="inlineStr">
        <x:is>
          <x:t xml:space="preserve"/>
        </x:is>
      </x:c>
      <x:c r="Q117" s="100" t="n"/>
      <x:c r="R117" s="100" t="n"/>
      <x:c r="AD117" s="100" t="n"/>
      <x:c r="AE117" s="100" t="n"/>
      <x:c r="AF117" s="100" t="n"/>
      <x:c r="AG117" s="100" t="n"/>
      <x:c r="AH117" s="100" t="n"/>
      <x:c r="AI117" s="100" t="n"/>
      <x:c r="AJ117" s="100" t="n"/>
      <x:c r="AL117" s="100" t="n"/>
      <x:c r="AN117" s="100" t="n"/>
    </x:row>
    <x:row r="118" s="27" customFormat="1">
      <x:c r="A118" s="38" t="n"/>
      <x:c r="B118" s="37" t="n"/>
      <x:c r="C118" s="36" t="n">
        <x:f>E118*D$5</x:f>
        <x:v>0</x:v>
      </x:c>
      <x:c r="D118" s="20" t="inlineStr">
        <x:is>
          <x:t xml:space="preserve">Ks</x:t>
        </x:is>
      </x:c>
      <x:c r="E118" s="36" t="n">
        <x:f>SUM(G118:HT118)</x:f>
        <x:v>0</x:v>
      </x:c>
      <x:c r="F118" s="35" t="inlineStr">
        <x:is>
          <x:t xml:space="preserve"/>
        </x:is>
      </x:c>
      <x:c r="Q118" s="100" t="n"/>
      <x:c r="R118" s="100" t="n"/>
      <x:c r="AD118" s="100" t="n"/>
      <x:c r="AE118" s="100" t="n"/>
      <x:c r="AF118" s="100" t="n"/>
      <x:c r="AG118" s="100" t="n"/>
      <x:c r="AH118" s="100" t="n"/>
      <x:c r="AI118" s="100" t="n"/>
      <x:c r="AJ118" s="100" t="n"/>
      <x:c r="AL118" s="100" t="n"/>
      <x:c r="AN118" s="100" t="n"/>
    </x:row>
    <x:row r="119" s="27" customFormat="1">
      <x:c r="A119" s="38" t="n"/>
      <x:c r="B119" s="37" t="n"/>
      <x:c r="C119" s="36" t="n">
        <x:f>E119*D$5</x:f>
        <x:v>0</x:v>
      </x:c>
      <x:c r="D119" s="20" t="inlineStr">
        <x:is>
          <x:t xml:space="preserve">Confirm — Missing conveyed interest 2013-006585</x:t>
        </x:is>
      </x:c>
      <x:c r="E119" s="36" t="n">
        <x:f>SUM(G119:HT119)</x:f>
        <x:v>0</x:v>
      </x:c>
      <x:c r="F119" s="35" t="inlineStr">
        <x:is>
          <x:t xml:space="preserve"/>
        </x:is>
      </x:c>
      <x:c r="Q119" s="100" t="n"/>
      <x:c r="R119" s="100" t="n"/>
      <x:c r="AD119" s="100" t="n"/>
      <x:c r="AE119" s="100" t="n"/>
      <x:c r="AF119" s="100" t="n"/>
      <x:c r="AG119" s="100" t="n"/>
      <x:c r="AH119" s="100" t="n"/>
      <x:c r="AI119" s="100" t="n"/>
      <x:c r="AJ119" s="100" t="n"/>
      <x:c r="AL119" s="100" t="n"/>
      <x:c r="AN119" s="100" t="n"/>
    </x:row>
    <x:row r="120" s="27" customFormat="1">
      <x:c r="A120" s="38" t="n"/>
      <x:c r="B120" s="37" t="n"/>
      <x:c r="C120" s="36" t="n">
        <x:f>E120*D$5</x:f>
        <x:v>-19.14</x:v>
      </x:c>
      <x:c r="D120" s="420" t="inlineStr">
        <x:is>
          <x:t xml:space="preserve">Martha Ann Devenas</x:t>
        </x:is>
      </x:c>
      <x:c r="E120" s="411" t="n">
        <x:f>SUM(G120:HT120)</x:f>
        <x:v>-0.5</x:v>
      </x:c>
      <x:c r="F120" s="35" t="inlineStr">
        <x:is>
          <x:t xml:space="preserve"/>
        </x:is>
      </x:c>
      <x:c r="Q120" s="100" t="n"/>
      <x:c r="R120" s="100" t="n"/>
      <x:c r="AD120" s="100" t="n"/>
      <x:c r="AE120" s="100" t="n"/>
      <x:c r="AF120" s="100" t="n"/>
      <x:c r="AG120" s="100" t="n"/>
      <x:c r="AH120" s="100" t="n"/>
      <x:c r="AI120" s="100" t="n"/>
      <x:c r="AJ120" s="100" t="n"/>
      <x:c r="AL120" s="100" t="n"/>
      <x:c r="AN120" s="100" t="n"/>
      <x:c r="BJ120" s="27" t="n">
        <x:v>-0.5</x:v>
      </x:c>
    </x:row>
    <x:row r="121" s="27" customFormat="1">
      <x:c r="A121" s="38" t="n"/>
      <x:c r="B121" s="37" t="n"/>
      <x:c r="C121" s="36" t="n">
        <x:f>E121*D$5</x:f>
        <x:v>19.14</x:v>
      </x:c>
      <x:c r="D121" s="20" t="inlineStr">
        <x:is>
          <x:t xml:space="preserve">Joseph A. Devenas Jr.</x:t>
        </x:is>
      </x:c>
      <x:c r="E121" s="36" t="n">
        <x:f>SUM(G121:HT121)</x:f>
        <x:v>0.5</x:v>
      </x:c>
      <x:c r="F121" s="35" t="inlineStr">
        <x:is>
          <x:t xml:space="preserve"/>
        </x:is>
      </x:c>
      <x:c r="Q121" s="100" t="n"/>
      <x:c r="R121" s="100" t="n"/>
      <x:c r="AD121" s="100" t="n"/>
      <x:c r="AE121" s="100" t="n"/>
      <x:c r="AF121" s="100" t="n"/>
      <x:c r="AG121" s="100" t="n"/>
      <x:c r="AH121" s="100" t="n"/>
      <x:c r="AI121" s="100" t="n"/>
      <x:c r="AJ121" s="100" t="n"/>
      <x:c r="AL121" s="100" t="n"/>
      <x:c r="AN121" s="100" t="n"/>
      <x:c r="BJ121" s="27" t="n">
        <x:v>0.5</x:v>
      </x:c>
    </x:row>
    <x:row r="122" s="27" customFormat="1">
      <x:c r="A122" s="38" t="n"/>
      <x:c r="B122" s="37" t="n"/>
      <x:c r="C122" s="36" t="n">
        <x:f>E122*D$5</x:f>
        <x:v>-38.28</x:v>
      </x:c>
      <x:c r="D122" s="420" t="inlineStr">
        <x:is>
          <x:t xml:space="preserve">Eddie Tom Lakey and Marinita Lakey, HW</x:t>
        </x:is>
      </x:c>
      <x:c r="E122" s="411" t="n">
        <x:f>SUM(G122:HT122)</x:f>
        <x:v>-1</x:v>
      </x:c>
      <x:c r="F122" s="35" t="inlineStr">
        <x:is>
          <x:t xml:space="preserve"/>
        </x:is>
      </x:c>
      <x:c r="Q122" s="100" t="n"/>
      <x:c r="R122" s="100" t="n"/>
      <x:c r="AD122" s="100" t="n"/>
      <x:c r="AE122" s="100" t="n"/>
      <x:c r="AF122" s="100" t="n"/>
      <x:c r="AG122" s="100" t="n"/>
      <x:c r="AH122" s="100" t="n"/>
      <x:c r="AI122" s="100" t="n"/>
      <x:c r="AJ122" s="100" t="n"/>
      <x:c r="AL122" s="100" t="n"/>
      <x:c r="AN122" s="100" t="n"/>
      <x:c r="BK122" s="27" t="n">
        <x:v>-1</x:v>
      </x:c>
    </x:row>
    <x:row r="123" s="27" customFormat="1" ht="25.5" customHeight="1">
      <x:c r="A123" s="38" t="n"/>
      <x:c r="B123" s="37" t="n"/>
      <x:c r="C123" s="36" t="n">
        <x:f>E123*D$5</x:f>
        <x:v>38.28</x:v>
      </x:c>
      <x:c r="D123" s="20" t="inlineStr">
        <x:is>
          <x:t xml:space="preserve">The Eddie Tom Lakey and Marinita Ann Lakey Revocable Trust dated June 1, 2014</x:t>
        </x:is>
      </x:c>
      <x:c r="E123" s="36" t="n">
        <x:f>SUM(G123:HT123)</x:f>
        <x:v>1</x:v>
      </x:c>
      <x:c r="F123" s="35" t="inlineStr">
        <x:is>
          <x:t xml:space="preserve"/>
        </x:is>
      </x:c>
      <x:c r="Q123" s="100" t="n"/>
      <x:c r="R123" s="100" t="n"/>
      <x:c r="AD123" s="100" t="n"/>
      <x:c r="AE123" s="100" t="n"/>
      <x:c r="AF123" s="100" t="n"/>
      <x:c r="AG123" s="100" t="n"/>
      <x:c r="AH123" s="100" t="n"/>
      <x:c r="AI123" s="100" t="n"/>
      <x:c r="AJ123" s="100" t="n"/>
      <x:c r="AL123" s="100" t="n"/>
      <x:c r="AN123" s="100" t="n"/>
      <x:c r="BK123" s="27" t="n">
        <x:v>1</x:v>
      </x:c>
    </x:row>
    <x:row r="124" s="27" customFormat="1" ht="25.5" customHeight="1">
      <x:c r="A124" s="38" t="n"/>
      <x:c r="B124" s="37" t="n"/>
      <x:c r="C124" s="36" t="n">
        <x:f>E124*D$5</x:f>
        <x:v>-38.28</x:v>
      </x:c>
      <x:c r="D124" s="420" t="inlineStr">
        <x:is>
          <x:t xml:space="preserve">Roger Mills County Court RE: In the Matter of the Estate of Audy C. Campbella/k/a A.C. CAMPBELL, Deceased</x:t>
        </x:is>
      </x:c>
      <x:c r="E124" s="411" t="n">
        <x:f>SUM(G124:HT124)</x:f>
        <x:v>-1</x:v>
      </x:c>
      <x:c r="F124" s="35" t="inlineStr">
        <x:is>
          <x:t xml:space="preserve"/>
        </x:is>
      </x:c>
      <x:c r="Q124" s="100" t="n"/>
      <x:c r="R124" s="100" t="n"/>
      <x:c r="AD124" s="100" t="n"/>
      <x:c r="AE124" s="100" t="n"/>
      <x:c r="AF124" s="100" t="n"/>
      <x:c r="AG124" s="100" t="n"/>
      <x:c r="AH124" s="100" t="n"/>
      <x:c r="AI124" s="100" t="n"/>
      <x:c r="AJ124" s="100" t="n"/>
      <x:c r="AL124" s="100" t="n"/>
      <x:c r="AN124" s="100" t="n"/>
      <x:c r="BL124" s="27" t="n">
        <x:v>-1</x:v>
      </x:c>
    </x:row>
    <x:row r="125" s="27" customFormat="1">
      <x:c r="A125" s="38" t="n"/>
      <x:c r="B125" s="37" t="n"/>
      <x:c r="C125" s="36" t="n">
        <x:f>E125*D$5</x:f>
        <x:v>38.28</x:v>
      </x:c>
      <x:c r="D125" s="20" t="inlineStr">
        <x:is>
          <x:t xml:space="preserve">Janis F. Campbell</x:t>
        </x:is>
      </x:c>
      <x:c r="E125" s="36" t="n">
        <x:f>SUM(G125:HT125)</x:f>
        <x:v>1</x:v>
      </x:c>
      <x:c r="F125" s="35" t="inlineStr">
        <x:is>
          <x:t xml:space="preserve"/>
        </x:is>
      </x:c>
      <x:c r="Q125" s="100" t="n"/>
      <x:c r="R125" s="100" t="n"/>
      <x:c r="AD125" s="100" t="n"/>
      <x:c r="AE125" s="100" t="n"/>
      <x:c r="AF125" s="100" t="n"/>
      <x:c r="AG125" s="100" t="n"/>
      <x:c r="AH125" s="100" t="n"/>
      <x:c r="AI125" s="100" t="n"/>
      <x:c r="AJ125" s="100" t="n"/>
      <x:c r="AL125" s="100" t="n"/>
      <x:c r="AN125" s="100" t="n"/>
      <x:c r="BL125" s="27" t="n">
        <x:v>1</x:v>
      </x:c>
    </x:row>
    <x:row r="126" s="27" customFormat="1">
      <x:c r="A126" s="38" t="n"/>
      <x:c r="B126" s="37" t="n"/>
      <x:c r="C126" s="36" t="n">
        <x:f>E126*D$5</x:f>
        <x:v>-38.28</x:v>
      </x:c>
      <x:c r="D126" s="420" t="inlineStr">
        <x:is>
          <x:t xml:space="preserve">Janis Fern Campbell</x:t>
        </x:is>
      </x:c>
      <x:c r="E126" s="411" t="n">
        <x:f>SUM(G126:HT126)</x:f>
        <x:v>-1</x:v>
      </x:c>
      <x:c r="F126" s="35" t="inlineStr">
        <x:is>
          <x:t xml:space="preserve"/>
        </x:is>
      </x:c>
      <x:c r="Q126" s="100" t="n"/>
      <x:c r="R126" s="100" t="n"/>
      <x:c r="AD126" s="100" t="n"/>
      <x:c r="AE126" s="100" t="n"/>
      <x:c r="AF126" s="100" t="n"/>
      <x:c r="AG126" s="100" t="n"/>
      <x:c r="AH126" s="100" t="n"/>
      <x:c r="AI126" s="100" t="n"/>
      <x:c r="AJ126" s="100" t="n"/>
      <x:c r="AL126" s="100" t="n"/>
      <x:c r="AN126" s="100" t="n"/>
      <x:c r="BM126" s="27" t="n">
        <x:v>-1</x:v>
      </x:c>
    </x:row>
    <x:row r="127" s="27" customFormat="1">
      <x:c r="A127" s="38" t="n"/>
      <x:c r="B127" s="37" t="n"/>
      <x:c r="C127" s="36" t="n">
        <x:f>E127*D$5</x:f>
        <x:v>38.28</x:v>
      </x:c>
      <x:c r="D127" s="20" t="inlineStr">
        <x:is>
          <x:t xml:space="preserve">The Audy and Janis Campbell Family Trust</x:t>
        </x:is>
      </x:c>
      <x:c r="E127" s="36" t="n">
        <x:f>SUM(G127:HT127)</x:f>
        <x:v>1</x:v>
      </x:c>
      <x:c r="F127" s="35" t="inlineStr">
        <x:is>
          <x:t xml:space="preserve"/>
        </x:is>
      </x:c>
      <x:c r="Q127" s="100" t="n"/>
      <x:c r="R127" s="100" t="n"/>
      <x:c r="AD127" s="100" t="n"/>
      <x:c r="AE127" s="100" t="n"/>
      <x:c r="AF127" s="100" t="n"/>
      <x:c r="AG127" s="100" t="n"/>
      <x:c r="AH127" s="100" t="n"/>
      <x:c r="AI127" s="100" t="n"/>
      <x:c r="AJ127" s="100" t="n"/>
      <x:c r="AL127" s="100" t="n"/>
      <x:c r="AN127" s="100" t="n"/>
      <x:c r="BM127" s="27" t="n">
        <x:v>1</x:v>
      </x:c>
    </x:row>
    <x:row r="128" s="27" customFormat="1">
      <x:c r="A128" s="38" t="n"/>
      <x:c r="B128" s="37" t="n"/>
      <x:c r="C128" s="36" t="n">
        <x:f>E128*D$5</x:f>
        <x:v>-38.28</x:v>
      </x:c>
      <x:c r="D128" s="420" t="inlineStr">
        <x:is>
          <x:t xml:space="preserve">Eleanore Wheeler aka Eleanor Wheeler, single</x:t>
        </x:is>
      </x:c>
      <x:c r="E128" s="411" t="n">
        <x:f>SUM(G128:HT128)</x:f>
        <x:v>-1</x:v>
      </x:c>
      <x:c r="F128" s="35" t="inlineStr">
        <x:is>
          <x:t xml:space="preserve"/>
        </x:is>
      </x:c>
      <x:c r="Q128" s="100" t="n"/>
      <x:c r="R128" s="100" t="n"/>
      <x:c r="AD128" s="100" t="n"/>
      <x:c r="AE128" s="100" t="n"/>
      <x:c r="AF128" s="100" t="n"/>
      <x:c r="AG128" s="100" t="n"/>
      <x:c r="AH128" s="100" t="n"/>
      <x:c r="AI128" s="100" t="n"/>
      <x:c r="AJ128" s="100" t="n"/>
      <x:c r="AL128" s="100" t="n"/>
      <x:c r="AN128" s="100" t="n"/>
      <x:c r="BN128" s="27" t="n">
        <x:v>-1</x:v>
      </x:c>
    </x:row>
    <x:row r="129" s="27" customFormat="1" ht="25.5" customHeight="1">
      <x:c r="A129" s="38" t="n"/>
      <x:c r="B129" s="37" t="n"/>
      <x:c r="C129" s="36" t="n">
        <x:f>E129*D$5</x:f>
        <x:v>38.28</x:v>
      </x:c>
      <x:c r="D129" s="20" t="inlineStr">
        <x:is>
          <x:t xml:space="preserve">Eleanore Wheeler and Shirley Wheeler, mother and daughter, JTWROS</x:t>
        </x:is>
      </x:c>
      <x:c r="E129" s="36" t="n">
        <x:f>SUM(G129:HT129)</x:f>
        <x:v>1</x:v>
      </x:c>
      <x:c r="F129" s="35" t="inlineStr">
        <x:is>
          <x:t xml:space="preserve"/>
        </x:is>
      </x:c>
      <x:c r="Q129" s="100" t="n"/>
      <x:c r="R129" s="100" t="n"/>
      <x:c r="AD129" s="100" t="n"/>
      <x:c r="AE129" s="100" t="n"/>
      <x:c r="AF129" s="100" t="n"/>
      <x:c r="AG129" s="100" t="n"/>
      <x:c r="AH129" s="100" t="n"/>
      <x:c r="AI129" s="100" t="n"/>
      <x:c r="AJ129" s="100" t="n"/>
      <x:c r="AL129" s="100" t="n"/>
      <x:c r="AN129" s="100" t="n"/>
      <x:c r="BN129" s="27" t="n">
        <x:v>1</x:v>
      </x:c>
    </x:row>
    <x:row r="130" s="27" customFormat="1" ht="51" customHeight="1">
      <x:c r="A130" s="38" t="n"/>
      <x:c r="B130" s="37" t="n"/>
      <x:c r="C130" s="36" t="n">
        <x:f>E130*D$5</x:f>
        <x:v>0</x:v>
      </x:c>
      <x:c r="D130" s="335" t="inlineStr">
        <x:is>
          <x:t xml:space="preserve">Jesse Joe Newell, also known as Jesse J. Newell and Jesse Newell, and Rachael Elizabeth Newell, also known as Rachael E. Newell and Rachael Newell, husband and wife</x:t>
        </x:is>
      </x:c>
      <x:c r="E130" s="36" t="n">
        <x:f>SUM(G130:HT130)</x:f>
        <x:v>0</x:v>
      </x:c>
      <x:c r="F130" s="35" t="inlineStr">
        <x:is>
          <x:t xml:space="preserve"/>
        </x:is>
      </x:c>
      <x:c r="Q130" s="100" t="n"/>
      <x:c r="R130" s="100" t="n"/>
      <x:c r="AD130" s="100" t="n"/>
      <x:c r="AE130" s="100" t="n"/>
      <x:c r="AF130" s="100" t="n"/>
      <x:c r="AG130" s="100" t="n"/>
      <x:c r="AH130" s="100" t="n"/>
      <x:c r="AI130" s="100" t="n"/>
      <x:c r="AJ130" s="100" t="n"/>
      <x:c r="AL130" s="100" t="n"/>
      <x:c r="AN130" s="100" t="n"/>
    </x:row>
    <x:row r="131" s="27" customFormat="1" ht="38.25" customHeight="1">
      <x:c r="A131" s="38" t="n"/>
      <x:c r="B131" s="37" t="n"/>
      <x:c r="C131" s="36" t="n">
        <x:f>E131*D$5</x:f>
        <x:v>0</x:v>
      </x:c>
      <x:c r="D131" s="20" t="inlineStr">
        <x:is>
          <x:t xml:space="preserve">Joe Newell and Rachael Elizabeth Newell, Trustees of the Newell Farms Trust dated September 12, 2024, and any amendments thereto</x:t>
        </x:is>
      </x:c>
      <x:c r="E131" s="36" t="n">
        <x:f>SUM(G131:HT131)</x:f>
        <x:v>0</x:v>
      </x:c>
      <x:c r="F131" s="35" t="inlineStr">
        <x:is>
          <x:t xml:space="preserve"/>
        </x:is>
      </x:c>
      <x:c r="Q131" s="100" t="n"/>
      <x:c r="R131" s="100" t="n"/>
      <x:c r="AD131" s="100" t="n"/>
      <x:c r="AE131" s="100" t="n"/>
      <x:c r="AF131" s="100" t="n"/>
      <x:c r="AG131" s="100" t="n"/>
      <x:c r="AH131" s="100" t="n"/>
      <x:c r="AI131" s="100" t="n"/>
      <x:c r="AJ131" s="100" t="n"/>
      <x:c r="AL131" s="100" t="n"/>
      <x:c r="AN131" s="100" t="n"/>
    </x:row>
    <x:row r="132" s="27" customFormat="1">
      <x:c r="A132" s="38" t="n"/>
      <x:c r="B132" s="37" t="n"/>
      <x:c r="C132" s="36" t="n">
        <x:f>E132*D$5</x:f>
        <x:v>0</x:v>
      </x:c>
      <x:c r="D132" s="20" t="inlineStr">
        <x:is>
          <x:t xml:space="preserve">Confirm — Missing conveyed interest 2025-003963</x:t>
        </x:is>
      </x:c>
      <x:c r="E132" s="36" t="n">
        <x:f>SUM(G132:HT132)</x:f>
        <x:v>0</x:v>
      </x:c>
      <x:c r="F132" s="35" t="inlineStr">
        <x:is>
          <x:t xml:space="preserve"/>
        </x:is>
      </x:c>
      <x:c r="Q132" s="100" t="n"/>
      <x:c r="R132" s="100" t="n"/>
      <x:c r="AD132" s="100" t="n"/>
      <x:c r="AE132" s="100" t="n"/>
      <x:c r="AF132" s="100" t="n"/>
      <x:c r="AG132" s="100" t="n"/>
      <x:c r="AH132" s="100" t="n"/>
      <x:c r="AI132" s="100" t="n"/>
      <x:c r="AJ132" s="100" t="n"/>
      <x:c r="AL132" s="100" t="n"/>
      <x:c r="AN132" s="100" t="n"/>
    </x:row>
    <x:row r="133" s="27" customFormat="1">
      <x:c r="A133" s="38" t="n"/>
      <x:c r="B133" s="37" t="n"/>
      <x:c r="C133" s="36" t="n">
        <x:f>E133*D$5</x:f>
        <x:v>-38.28</x:v>
      </x:c>
      <x:c r="D133" s="420" t="inlineStr">
        <x:is>
          <x:t xml:space="preserve">Clint Roy Kirk</x:t>
        </x:is>
      </x:c>
      <x:c r="E133" s="411" t="n">
        <x:f>SUM(G133:HT133)</x:f>
        <x:v>-1</x:v>
      </x:c>
      <x:c r="F133" s="35" t="inlineStr">
        <x:is>
          <x:t xml:space="preserve"/>
        </x:is>
      </x:c>
      <x:c r="Q133" s="100" t="n"/>
      <x:c r="R133" s="100" t="n"/>
      <x:c r="AD133" s="100" t="n"/>
      <x:c r="AE133" s="100" t="n"/>
      <x:c r="AF133" s="100" t="n"/>
      <x:c r="AG133" s="100" t="n"/>
      <x:c r="AH133" s="100" t="n"/>
      <x:c r="AI133" s="100" t="n"/>
      <x:c r="AJ133" s="100" t="n"/>
      <x:c r="AL133" s="100" t="n"/>
      <x:c r="AN133" s="100" t="n"/>
      <x:c r="BP133" s="27" t="n">
        <x:v>-1</x:v>
      </x:c>
    </x:row>
    <x:row r="134" s="27" customFormat="1">
      <x:c r="A134" s="38" t="n"/>
      <x:c r="B134" s="37" t="n"/>
      <x:c r="C134" s="36" t="n">
        <x:f>E134*D$5</x:f>
        <x:v>0</x:v>
      </x:c>
      <x:c r="D134" s="20" t="inlineStr">
        <x:is>
          <x:t xml:space="preserve">J and A Minerals, LLC</x:t>
        </x:is>
      </x:c>
      <x:c r="E134" s="36" t="n">
        <x:f>SUM(G134:HT134)</x:f>
        <x:v>0</x:v>
      </x:c>
      <x:c r="F134" s="35" t="inlineStr">
        <x:is>
          <x:t xml:space="preserve"/>
        </x:is>
      </x:c>
      <x:c r="Q134" s="100" t="n"/>
      <x:c r="R134" s="100" t="n"/>
      <x:c r="AD134" s="100" t="n"/>
      <x:c r="AE134" s="100" t="n"/>
      <x:c r="AF134" s="100" t="n"/>
      <x:c r="AG134" s="100" t="n"/>
      <x:c r="AH134" s="100" t="n"/>
      <x:c r="AI134" s="100" t="n"/>
      <x:c r="AJ134" s="100" t="n"/>
      <x:c r="AL134" s="100" t="n"/>
      <x:c r="AN134" s="100" t="n"/>
      <x:c r="BP134" s="27" t="n">
        <x:v>1</x:v>
      </x:c>
      <x:c r="BQ134" s="27" t="n">
        <x:v>-1</x:v>
      </x:c>
    </x:row>
    <x:row r="135" s="27" customFormat="1">
      <x:c r="A135" s="38" t="n"/>
      <x:c r="B135" s="37" t="n"/>
      <x:c r="C135" s="36" t="n">
        <x:f>E135*D$5</x:f>
        <x:v>38.28</x:v>
      </x:c>
      <x:c r="D135" s="20" t="inlineStr">
        <x:is>
          <x:t xml:space="preserve">Pine Tree Energy Partners, LLC</x:t>
        </x:is>
      </x:c>
      <x:c r="E135" s="36" t="n">
        <x:f>SUM(G135:HT135)</x:f>
        <x:v>1</x:v>
      </x:c>
      <x:c r="F135" s="35" t="inlineStr">
        <x:is>
          <x:t xml:space="preserve"/>
        </x:is>
      </x:c>
      <x:c r="Q135" s="100" t="n"/>
      <x:c r="R135" s="100" t="n"/>
      <x:c r="AD135" s="100" t="n"/>
      <x:c r="AE135" s="100" t="n"/>
      <x:c r="AF135" s="100" t="n"/>
      <x:c r="AG135" s="100" t="n"/>
      <x:c r="AH135" s="100" t="n"/>
      <x:c r="AI135" s="100" t="n"/>
      <x:c r="AJ135" s="100" t="n"/>
      <x:c r="AL135" s="100" t="n"/>
      <x:c r="AN135" s="100" t="n"/>
      <x:c r="BQ135" s="27" t="n">
        <x:v>1</x:v>
      </x:c>
    </x:row>
    <x:row r="136" s="27" customFormat="1">
      <x:c r="A136" s="38" t="n"/>
      <x:c r="B136" s="37" t="n"/>
      <x:c r="C136" s="36" t="n">
        <x:f>E136*D$5</x:f>
        <x:v>-4.785</x:v>
      </x:c>
      <x:c r="D136" s="420" t="inlineStr">
        <x:is>
          <x:t xml:space="preserve">Flag-Redfern Oil Company</x:t>
        </x:is>
      </x:c>
      <x:c r="E136" s="411" t="n">
        <x:f>SUM(G136:HT136)</x:f>
        <x:v>-0.125</x:v>
      </x:c>
      <x:c r="F136" s="35" t="inlineStr">
        <x:is>
          <x:t xml:space="preserve"/>
        </x:is>
      </x:c>
      <x:c r="Q136" s="100" t="n"/>
      <x:c r="R136" s="100" t="n"/>
      <x:c r="AD136" s="100" t="n"/>
      <x:c r="AE136" s="100" t="n"/>
      <x:c r="AF136" s="100" t="n"/>
      <x:c r="AG136" s="100" t="n"/>
      <x:c r="AH136" s="100" t="n"/>
      <x:c r="AI136" s="100" t="n"/>
      <x:c r="AJ136" s="100" t="n"/>
      <x:c r="AL136" s="100" t="n"/>
      <x:c r="AN136" s="100" t="n"/>
      <x:c r="BR136" s="27" t="n">
        <x:v>-0.125</x:v>
      </x:c>
    </x:row>
    <x:row r="137" s="27" customFormat="1" ht="25.5" customHeight="1">
      <x:c r="A137" s="38" t="n"/>
      <x:c r="B137" s="37" t="n"/>
      <x:c r="C137" s="36" t="n">
        <x:f>E137*D$5</x:f>
        <x:v>4.785</x:v>
      </x:c>
      <x:c r="D137" s="20" t="inlineStr">
        <x:is>
          <x:t xml:space="preserve">First City National Bank of Midland, Trustee of the ETA-Flag Royalty Trust</x:t>
        </x:is>
      </x:c>
      <x:c r="E137" s="36" t="n">
        <x:f>SUM(G137:HT137)</x:f>
        <x:v>0.125</x:v>
      </x:c>
      <x:c r="F137" s="35" t="inlineStr">
        <x:is>
          <x:t xml:space="preserve"/>
        </x:is>
      </x:c>
      <x:c r="Q137" s="100" t="n"/>
      <x:c r="R137" s="100" t="n"/>
      <x:c r="AD137" s="100" t="n"/>
      <x:c r="AE137" s="100" t="n"/>
      <x:c r="AF137" s="100" t="n"/>
      <x:c r="AG137" s="100" t="n"/>
      <x:c r="AH137" s="100" t="n"/>
      <x:c r="AI137" s="100" t="n"/>
      <x:c r="AJ137" s="100" t="n"/>
      <x:c r="AL137" s="100" t="n"/>
      <x:c r="AN137" s="100" t="n"/>
      <x:c r="BR137" s="27" t="n">
        <x:v>0.125</x:v>
      </x:c>
    </x:row>
    <x:row r="138" s="27" customFormat="1">
      <x:c r="A138" s="38" t="n"/>
      <x:c r="B138" s="37" t="n"/>
      <x:c r="C138" s="36" t="n">
        <x:f>E138*D$5</x:f>
        <x:v>-38.28</x:v>
      </x:c>
      <x:c r="D138" s="420" t="inlineStr">
        <x:is>
          <x:t xml:space="preserve">Herbert E. McGuire and Claude J. McGuire, HW</x:t>
        </x:is>
      </x:c>
      <x:c r="E138" s="411" t="n">
        <x:f>SUM(G138:HT138)</x:f>
        <x:v>-1</x:v>
      </x:c>
      <x:c r="F138" s="35" t="inlineStr">
        <x:is>
          <x:t xml:space="preserve"/>
        </x:is>
      </x:c>
      <x:c r="Q138" s="100" t="n"/>
      <x:c r="R138" s="100" t="n"/>
      <x:c r="AD138" s="100" t="n"/>
      <x:c r="AE138" s="100" t="n"/>
      <x:c r="AF138" s="100" t="n"/>
      <x:c r="AG138" s="100" t="n"/>
      <x:c r="AH138" s="100" t="n"/>
      <x:c r="AI138" s="100" t="n"/>
      <x:c r="AJ138" s="100" t="n"/>
      <x:c r="AL138" s="100" t="n"/>
      <x:c r="AN138" s="100" t="n"/>
      <x:c r="BS138" s="27" t="n">
        <x:v>-1</x:v>
      </x:c>
    </x:row>
    <x:row r="139" s="27" customFormat="1">
      <x:c r="A139" s="38" t="n"/>
      <x:c r="B139" s="37" t="n"/>
      <x:c r="C139" s="36" t="n">
        <x:f>E139*D$5</x:f>
        <x:v>38.28</x:v>
      </x:c>
      <x:c r="D139" s="20" t="inlineStr">
        <x:is>
          <x:t xml:space="preserve">E. T. Gamble</x:t>
        </x:is>
      </x:c>
      <x:c r="E139" s="36" t="n">
        <x:f>SUM(G139:HT139)</x:f>
        <x:v>1</x:v>
      </x:c>
      <x:c r="F139" s="35" t="inlineStr">
        <x:is>
          <x:t xml:space="preserve"/>
        </x:is>
      </x:c>
      <x:c r="Q139" s="100" t="n"/>
      <x:c r="R139" s="100" t="n"/>
      <x:c r="AD139" s="100" t="n"/>
      <x:c r="AE139" s="100" t="n"/>
      <x:c r="AF139" s="100" t="n"/>
      <x:c r="AG139" s="100" t="n"/>
      <x:c r="AH139" s="100" t="n"/>
      <x:c r="AI139" s="100" t="n"/>
      <x:c r="AJ139" s="100" t="n"/>
      <x:c r="AL139" s="100" t="n"/>
      <x:c r="AN139" s="100" t="n"/>
      <x:c r="BS139" s="27" t="n">
        <x:v>1</x:v>
      </x:c>
    </x:row>
    <x:row r="140" s="27" customFormat="1">
      <x:c r="A140" s="38" t="n"/>
      <x:c r="B140" s="37" t="n"/>
      <x:c r="C140" s="36" t="n">
        <x:f>E140*D$5</x:f>
        <x:v>-19.14</x:v>
      </x:c>
      <x:c r="D140" s="420" t="inlineStr">
        <x:is>
          <x:t xml:space="preserve">Mark Hambrook, (Widower)</x:t>
        </x:is>
      </x:c>
      <x:c r="E140" s="411" t="n">
        <x:f>SUM(G140:HT140)</x:f>
        <x:v>-0.5</x:v>
      </x:c>
      <x:c r="F140" s="35" t="inlineStr">
        <x:is>
          <x:t xml:space="preserve"/>
        </x:is>
      </x:c>
      <x:c r="Q140" s="100" t="n"/>
      <x:c r="R140" s="100" t="n"/>
      <x:c r="AD140" s="100" t="n"/>
      <x:c r="AE140" s="100" t="n"/>
      <x:c r="AF140" s="100" t="n"/>
      <x:c r="AG140" s="100" t="n"/>
      <x:c r="AH140" s="100" t="n"/>
      <x:c r="AI140" s="100" t="n"/>
      <x:c r="AJ140" s="100" t="n"/>
      <x:c r="AL140" s="100" t="n"/>
      <x:c r="AN140" s="100" t="n"/>
      <x:c r="BT140" s="27" t="n">
        <x:v>-0.5</x:v>
      </x:c>
    </x:row>
    <x:row r="141" s="27" customFormat="1">
      <x:c r="A141" s="38" t="n"/>
      <x:c r="B141" s="37" t="n"/>
      <x:c r="C141" s="36" t="n">
        <x:f>E141*D$5</x:f>
        <x:v>19.14</x:v>
      </x:c>
      <x:c r="D141" s="20" t="inlineStr">
        <x:is>
          <x:t xml:space="preserve">Panhandle Co-operative Royalty Company</x:t>
        </x:is>
      </x:c>
      <x:c r="E141" s="36" t="n">
        <x:f>SUM(G141:HT141)</x:f>
        <x:v>0.5</x:v>
      </x:c>
      <x:c r="F141" s="35" t="inlineStr">
        <x:is>
          <x:t xml:space="preserve"/>
        </x:is>
      </x:c>
      <x:c r="Q141" s="100" t="n"/>
      <x:c r="R141" s="100" t="n"/>
      <x:c r="AD141" s="100" t="n"/>
      <x:c r="AE141" s="100" t="n"/>
      <x:c r="AF141" s="100" t="n"/>
      <x:c r="AG141" s="100" t="n"/>
      <x:c r="AH141" s="100" t="n"/>
      <x:c r="AI141" s="100" t="n"/>
      <x:c r="AJ141" s="100" t="n"/>
      <x:c r="AL141" s="100" t="n"/>
      <x:c r="AN141" s="100" t="n"/>
      <x:c r="BT141" s="27" t="n">
        <x:v>0.5</x:v>
      </x:c>
    </x:row>
    <x:row r="142" s="27" customFormat="1">
      <x:c r="A142" s="38" t="n"/>
      <x:c r="B142" s="37" t="n"/>
      <x:c r="C142" s="36" t="n">
        <x:f>E142*D$5</x:f>
        <x:v>-38.28</x:v>
      </x:c>
      <x:c r="D142" s="420" t="inlineStr">
        <x:is>
          <x:t xml:space="preserve">Lee Aulbert and Mollie Aulbert, HW</x:t>
        </x:is>
      </x:c>
      <x:c r="E142" s="411" t="n">
        <x:f>SUM(G142:HT142)</x:f>
        <x:v>-1</x:v>
      </x:c>
      <x:c r="F142" s="35" t="inlineStr">
        <x:is>
          <x:t xml:space="preserve"/>
        </x:is>
      </x:c>
      <x:c r="Q142" s="100" t="n"/>
      <x:c r="R142" s="100" t="n"/>
      <x:c r="AD142" s="100" t="n"/>
      <x:c r="AE142" s="100" t="n"/>
      <x:c r="AF142" s="100" t="n"/>
      <x:c r="AG142" s="100" t="n"/>
      <x:c r="AH142" s="100" t="n"/>
      <x:c r="AI142" s="100" t="n"/>
      <x:c r="AJ142" s="100" t="n"/>
      <x:c r="AL142" s="100" t="n"/>
      <x:c r="AN142" s="100" t="n"/>
      <x:c r="BU142" s="27" t="n">
        <x:v>-1</x:v>
      </x:c>
    </x:row>
    <x:row r="143" s="27" customFormat="1">
      <x:c r="A143" s="38" t="n"/>
      <x:c r="B143" s="37" t="n"/>
      <x:c r="C143" s="36" t="n">
        <x:f>E143*D$5</x:f>
        <x:v>38.28</x:v>
      </x:c>
      <x:c r="D143" s="20" t="inlineStr">
        <x:is>
          <x:t xml:space="preserve">Marvin G. Mitchell and Carrie Lou Mitchell, HW, JTWROS</x:t>
        </x:is>
      </x:c>
      <x:c r="E143" s="36" t="n">
        <x:f>SUM(G143:HT143)</x:f>
        <x:v>1</x:v>
      </x:c>
      <x:c r="F143" s="35" t="inlineStr">
        <x:is>
          <x:t xml:space="preserve"/>
        </x:is>
      </x:c>
      <x:c r="Q143" s="100" t="n"/>
      <x:c r="R143" s="100" t="n"/>
      <x:c r="AD143" s="100" t="n"/>
      <x:c r="AE143" s="100" t="n"/>
      <x:c r="AF143" s="100" t="n"/>
      <x:c r="AG143" s="100" t="n"/>
      <x:c r="AH143" s="100" t="n"/>
      <x:c r="AI143" s="100" t="n"/>
      <x:c r="AJ143" s="100" t="n"/>
      <x:c r="AL143" s="100" t="n"/>
      <x:c r="AN143" s="100" t="n"/>
      <x:c r="BU143" s="27" t="n">
        <x:v>1</x:v>
      </x:c>
    </x:row>
    <x:row r="144" s="27" customFormat="1" ht="25.5" customHeight="1">
      <x:c r="A144" s="38" t="n"/>
      <x:c r="B144" s="37" t="n"/>
      <x:c r="C144" s="36" t="n">
        <x:f>E144*D$5</x:f>
        <x:v>-38.28</x:v>
      </x:c>
      <x:c r="D144" s="420" t="inlineStr">
        <x:is>
          <x:t xml:space="preserve">Beckham County Court, RE: In the Matter of the Estate of Swinburn J. Stewart, Deceased</x:t>
        </x:is>
      </x:c>
      <x:c r="E144" s="411" t="n">
        <x:f>SUM(G144:HT144)</x:f>
        <x:v>-1</x:v>
      </x:c>
      <x:c r="F144" s="35" t="inlineStr">
        <x:is>
          <x:t xml:space="preserve"/>
        </x:is>
      </x:c>
      <x:c r="Q144" s="100" t="n"/>
      <x:c r="R144" s="100" t="n"/>
      <x:c r="AD144" s="100" t="n"/>
      <x:c r="AE144" s="100" t="n"/>
      <x:c r="AF144" s="100" t="n"/>
      <x:c r="AG144" s="100" t="n"/>
      <x:c r="AH144" s="100" t="n"/>
      <x:c r="AI144" s="100" t="n"/>
      <x:c r="AJ144" s="100" t="n"/>
      <x:c r="AL144" s="100" t="n"/>
      <x:c r="AN144" s="100" t="n"/>
      <x:c r="BV144" s="27" t="n">
        <x:v>-1</x:v>
      </x:c>
    </x:row>
    <x:row r="145" s="27" customFormat="1">
      <x:c r="A145" s="38" t="n"/>
      <x:c r="B145" s="37" t="n"/>
      <x:c r="C145" s="36" t="n">
        <x:f>E145*D$5</x:f>
        <x:v>9.57</x:v>
      </x:c>
      <x:c r="D145" s="20" t="inlineStr">
        <x:is>
          <x:t xml:space="preserve">Gladys Priest</x:t>
        </x:is>
      </x:c>
      <x:c r="E145" s="36" t="n">
        <x:f>SUM(G145:HT145)</x:f>
        <x:v>0.25</x:v>
      </x:c>
      <x:c r="F145" s="35" t="inlineStr">
        <x:is>
          <x:t xml:space="preserve"/>
        </x:is>
      </x:c>
      <x:c r="Q145" s="100" t="n"/>
      <x:c r="R145" s="100" t="n"/>
      <x:c r="AD145" s="100" t="n"/>
      <x:c r="AE145" s="100" t="n"/>
      <x:c r="AF145" s="100" t="n"/>
      <x:c r="AG145" s="100" t="n"/>
      <x:c r="AH145" s="100" t="n"/>
      <x:c r="AI145" s="100" t="n"/>
      <x:c r="AJ145" s="100" t="n"/>
      <x:c r="AL145" s="100" t="n"/>
      <x:c r="AN145" s="100" t="n"/>
      <x:c r="BV145" s="27" t="n">
        <x:v>0.25</x:v>
      </x:c>
    </x:row>
    <x:row r="146" s="27" customFormat="1">
      <x:c r="A146" s="38" t="n"/>
      <x:c r="B146" s="37" t="n"/>
      <x:c r="C146" s="36" t="n">
        <x:f>E146*D$5</x:f>
        <x:v>9.57</x:v>
      </x:c>
      <x:c r="D146" s="20" t="inlineStr">
        <x:is>
          <x:t xml:space="preserve">Swinburn J. Stewart Jr.</x:t>
        </x:is>
      </x:c>
      <x:c r="E146" s="36" t="n">
        <x:f>SUM(G146:HT146)</x:f>
        <x:v>0.25</x:v>
      </x:c>
      <x:c r="F146" s="35" t="inlineStr">
        <x:is>
          <x:t xml:space="preserve"/>
        </x:is>
      </x:c>
      <x:c r="Q146" s="100" t="n"/>
      <x:c r="R146" s="100" t="n"/>
      <x:c r="AD146" s="100" t="n"/>
      <x:c r="AE146" s="100" t="n"/>
      <x:c r="AF146" s="100" t="n"/>
      <x:c r="AG146" s="100" t="n"/>
      <x:c r="AH146" s="100" t="n"/>
      <x:c r="AI146" s="100" t="n"/>
      <x:c r="AJ146" s="100" t="n"/>
      <x:c r="AL146" s="100" t="n"/>
      <x:c r="AN146" s="100" t="n"/>
      <x:c r="BV146" s="27" t="n">
        <x:v>0.25</x:v>
      </x:c>
    </x:row>
    <x:row r="147" s="27" customFormat="1">
      <x:c r="A147" s="38" t="n"/>
      <x:c r="B147" s="37" t="n"/>
      <x:c r="C147" s="36" t="n">
        <x:f>E147*D$5</x:f>
        <x:v>9.57</x:v>
      </x:c>
      <x:c r="D147" s="20" t="inlineStr">
        <x:is>
          <x:t xml:space="preserve">Margaret Standiford</x:t>
        </x:is>
      </x:c>
      <x:c r="E147" s="36" t="n">
        <x:f>SUM(G147:HT147)</x:f>
        <x:v>0.25</x:v>
      </x:c>
      <x:c r="F147" s="35" t="inlineStr">
        <x:is>
          <x:t xml:space="preserve"/>
        </x:is>
      </x:c>
      <x:c r="Q147" s="100" t="n"/>
      <x:c r="R147" s="100" t="n"/>
      <x:c r="AD147" s="100" t="n"/>
      <x:c r="AE147" s="100" t="n"/>
      <x:c r="AF147" s="100" t="n"/>
      <x:c r="AG147" s="100" t="n"/>
      <x:c r="AH147" s="100" t="n"/>
      <x:c r="AI147" s="100" t="n"/>
      <x:c r="AJ147" s="100" t="n"/>
      <x:c r="AL147" s="100" t="n"/>
      <x:c r="AN147" s="100" t="n"/>
      <x:c r="BV147" s="27" t="n">
        <x:v>0.25</x:v>
      </x:c>
    </x:row>
    <x:row r="148" s="27" customFormat="1">
      <x:c r="A148" s="38" t="n"/>
      <x:c r="B148" s="37" t="n"/>
      <x:c r="C148" s="36" t="n">
        <x:f>E148*D$5</x:f>
        <x:v>9.57</x:v>
      </x:c>
      <x:c r="D148" s="20" t="inlineStr">
        <x:is>
          <x:t xml:space="preserve">Mary Margaret Wilson</x:t>
        </x:is>
      </x:c>
      <x:c r="E148" s="36" t="n">
        <x:f>SUM(G148:HT148)</x:f>
        <x:v>0.25</x:v>
      </x:c>
      <x:c r="F148" s="35" t="inlineStr">
        <x:is>
          <x:t xml:space="preserve"/>
        </x:is>
      </x:c>
      <x:c r="Q148" s="100" t="n"/>
      <x:c r="R148" s="100" t="n"/>
      <x:c r="AD148" s="100" t="n"/>
      <x:c r="AE148" s="100" t="n"/>
      <x:c r="AF148" s="100" t="n"/>
      <x:c r="AG148" s="100" t="n"/>
      <x:c r="AH148" s="100" t="n"/>
      <x:c r="AI148" s="100" t="n"/>
      <x:c r="AJ148" s="100" t="n"/>
      <x:c r="AL148" s="100" t="n"/>
      <x:c r="AN148" s="100" t="n"/>
      <x:c r="BV148" s="27" t="n">
        <x:v>0.25</x:v>
      </x:c>
    </x:row>
    <x:row r="149" s="27" customFormat="1" ht="25.5" customHeight="1">
      <x:c r="A149" s="38" t="n"/>
      <x:c r="B149" s="37" t="n"/>
      <x:c r="C149" s="36" t="n">
        <x:f>E149*D$5</x:f>
        <x:v>-38.28</x:v>
      </x:c>
      <x:c r="D149" s="420" t="inlineStr">
        <x:is>
          <x:t xml:space="preserve">Devon Energy Production Company, L.P., an Oklahoma limited partnership</x:t>
        </x:is>
      </x:c>
      <x:c r="E149" s="411" t="n">
        <x:f>SUM(G149:HT149)</x:f>
        <x:v>-1</x:v>
      </x:c>
      <x:c r="F149" s="35" t="inlineStr">
        <x:is>
          <x:t xml:space="preserve"/>
        </x:is>
      </x:c>
      <x:c r="Q149" s="100" t="n"/>
      <x:c r="R149" s="100" t="n"/>
      <x:c r="AD149" s="100" t="n"/>
      <x:c r="AE149" s="100" t="n"/>
      <x:c r="AF149" s="100" t="n"/>
      <x:c r="AG149" s="100" t="n"/>
      <x:c r="AH149" s="100" t="n"/>
      <x:c r="AI149" s="100" t="n"/>
      <x:c r="AJ149" s="100" t="n"/>
      <x:c r="AL149" s="100" t="n"/>
      <x:c r="AN149" s="100" t="n"/>
      <x:c r="BW149" s="27" t="n">
        <x:v>-1</x:v>
      </x:c>
    </x:row>
    <x:row r="150" s="27" customFormat="1" ht="25.5" customHeight="1">
      <x:c r="A150" s="38" t="n"/>
      <x:c r="B150" s="37" t="n"/>
      <x:c r="C150" s="36" t="n">
        <x:f>E150*D$5</x:f>
        <x:v>38.28</x:v>
      </x:c>
      <x:c r="D150" s="20" t="inlineStr">
        <x:is>
          <x:t xml:space="preserve">Tecolote Holdings, LLC, a Delaware limited liability company</x:t>
        </x:is>
      </x:c>
      <x:c r="E150" s="36" t="n">
        <x:f>SUM(G150:HT150)</x:f>
        <x:v>1</x:v>
      </x:c>
      <x:c r="F150" s="35" t="inlineStr">
        <x:is>
          <x:t xml:space="preserve"/>
        </x:is>
      </x:c>
      <x:c r="Q150" s="100" t="n"/>
      <x:c r="R150" s="100" t="n"/>
      <x:c r="AD150" s="100" t="n"/>
      <x:c r="AE150" s="100" t="n"/>
      <x:c r="AF150" s="100" t="n"/>
      <x:c r="AG150" s="100" t="n"/>
      <x:c r="AH150" s="100" t="n"/>
      <x:c r="AI150" s="100" t="n"/>
      <x:c r="AJ150" s="100" t="n"/>
      <x:c r="AL150" s="100" t="n"/>
      <x:c r="AN150" s="100" t="n"/>
      <x:c r="BW150" s="27" t="n">
        <x:v>1</x:v>
      </x:c>
    </x:row>
    <x:row r="151" s="27" customFormat="1" ht="25.5" customHeight="1">
      <x:c r="A151" s="38" t="n"/>
      <x:c r="B151" s="37" t="n"/>
      <x:c r="C151" s="36" t="n">
        <x:f>E151*D$5</x:f>
        <x:v>-38.28</x:v>
      </x:c>
      <x:c r="D151" s="420" t="inlineStr">
        <x:is>
          <x:t xml:space="preserve">Kiowa County Court, RE: In the Matter of the Estate of Carrie Lou Mitchell, Deceased</x:t>
        </x:is>
      </x:c>
      <x:c r="E151" s="411" t="n">
        <x:f>SUM(G151:HT151)</x:f>
        <x:v>-1</x:v>
      </x:c>
      <x:c r="F151" s="35" t="inlineStr">
        <x:is>
          <x:t xml:space="preserve"/>
        </x:is>
      </x:c>
      <x:c r="Q151" s="100" t="n"/>
      <x:c r="R151" s="100" t="n"/>
      <x:c r="AD151" s="100" t="n"/>
      <x:c r="AE151" s="100" t="n"/>
      <x:c r="AF151" s="100" t="n"/>
      <x:c r="AG151" s="100" t="n"/>
      <x:c r="AH151" s="100" t="n"/>
      <x:c r="AI151" s="100" t="n"/>
      <x:c r="AJ151" s="100" t="n"/>
      <x:c r="AL151" s="100" t="n"/>
      <x:c r="AN151" s="100" t="n"/>
      <x:c r="BX151" s="27" t="n">
        <x:v>-1</x:v>
      </x:c>
    </x:row>
    <x:row r="152" s="27" customFormat="1">
      <x:c r="A152" s="38" t="n"/>
      <x:c r="B152" s="37" t="n"/>
      <x:c r="C152" s="36" t="n">
        <x:f>E152*D$5</x:f>
        <x:v>9.57</x:v>
      </x:c>
      <x:c r="D152" s="20" t="inlineStr">
        <x:is>
          <x:t xml:space="preserve">Gena Williams</x:t>
        </x:is>
      </x:c>
      <x:c r="E152" s="36" t="n">
        <x:f>SUM(G152:HT152)</x:f>
        <x:v>0.25</x:v>
      </x:c>
      <x:c r="F152" s="35" t="inlineStr">
        <x:is>
          <x:t xml:space="preserve"/>
        </x:is>
      </x:c>
      <x:c r="Q152" s="100" t="n"/>
      <x:c r="R152" s="100" t="n"/>
      <x:c r="AD152" s="100" t="n"/>
      <x:c r="AE152" s="100" t="n"/>
      <x:c r="AF152" s="100" t="n"/>
      <x:c r="AG152" s="100" t="n"/>
      <x:c r="AH152" s="100" t="n"/>
      <x:c r="AI152" s="100" t="n"/>
      <x:c r="AJ152" s="100" t="n"/>
      <x:c r="AL152" s="100" t="n"/>
      <x:c r="AN152" s="100" t="n"/>
      <x:c r="BX152" s="27" t="n">
        <x:v>0.25</x:v>
      </x:c>
    </x:row>
    <x:row r="153" s="27" customFormat="1">
      <x:c r="A153" s="38" t="n"/>
      <x:c r="B153" s="37" t="n"/>
      <x:c r="C153" s="36" t="n">
        <x:f>E153*D$5</x:f>
        <x:v>9.57</x:v>
      </x:c>
      <x:c r="D153" s="20" t="inlineStr">
        <x:is>
          <x:t xml:space="preserve">Carrie Leeann Williams</x:t>
        </x:is>
      </x:c>
      <x:c r="E153" s="36" t="n">
        <x:f>SUM(G153:HT153)</x:f>
        <x:v>0.25</x:v>
      </x:c>
      <x:c r="F153" s="35" t="inlineStr">
        <x:is>
          <x:t xml:space="preserve"/>
        </x:is>
      </x:c>
      <x:c r="Q153" s="100" t="n"/>
      <x:c r="R153" s="100" t="n"/>
      <x:c r="AD153" s="100" t="n"/>
      <x:c r="AE153" s="100" t="n"/>
      <x:c r="AF153" s="100" t="n"/>
      <x:c r="AG153" s="100" t="n"/>
      <x:c r="AH153" s="100" t="n"/>
      <x:c r="AI153" s="100" t="n"/>
      <x:c r="AJ153" s="100" t="n"/>
      <x:c r="AL153" s="100" t="n"/>
      <x:c r="AN153" s="100" t="n"/>
      <x:c r="BX153" s="27" t="n">
        <x:v>0.25</x:v>
      </x:c>
    </x:row>
    <x:row r="154" s="27" customFormat="1">
      <x:c r="A154" s="38" t="n"/>
      <x:c r="B154" s="37" t="n"/>
      <x:c r="C154" s="36" t="n">
        <x:f>E154*D$5</x:f>
        <x:v>9.57</x:v>
      </x:c>
      <x:c r="D154" s="20" t="inlineStr">
        <x:is>
          <x:t xml:space="preserve">Nancy Susan Mitchell</x:t>
        </x:is>
      </x:c>
      <x:c r="E154" s="36" t="n">
        <x:f>SUM(G154:HT154)</x:f>
        <x:v>0.25</x:v>
      </x:c>
      <x:c r="F154" s="35" t="inlineStr">
        <x:is>
          <x:t xml:space="preserve"/>
        </x:is>
      </x:c>
      <x:c r="Q154" s="100" t="n"/>
      <x:c r="R154" s="100" t="n"/>
      <x:c r="AD154" s="100" t="n"/>
      <x:c r="AE154" s="100" t="n"/>
      <x:c r="AF154" s="100" t="n"/>
      <x:c r="AG154" s="100" t="n"/>
      <x:c r="AH154" s="100" t="n"/>
      <x:c r="AI154" s="100" t="n"/>
      <x:c r="AJ154" s="100" t="n"/>
      <x:c r="AL154" s="100" t="n"/>
      <x:c r="AN154" s="100" t="n"/>
      <x:c r="BX154" s="27" t="n">
        <x:v>0.25</x:v>
      </x:c>
    </x:row>
    <x:row r="155" s="27" customFormat="1">
      <x:c r="A155" s="38" t="n"/>
      <x:c r="B155" s="37" t="n"/>
      <x:c r="C155" s="36" t="n">
        <x:f>E155*D$5</x:f>
        <x:v>-114.84</x:v>
      </x:c>
      <x:c r="D155" s="420" t="inlineStr">
        <x:is>
          <x:t xml:space="preserve">United States of America</x:t>
        </x:is>
      </x:c>
      <x:c r="E155" s="411" t="n">
        <x:f>SUM(G155:HT155)</x:f>
        <x:v>-3</x:v>
      </x:c>
      <x:c r="F155" s="35" t="inlineStr">
        <x:is>
          <x:t xml:space="preserve"/>
        </x:is>
      </x:c>
      <x:c r="I155" s="27" t="n">
        <x:v>-1</x:v>
      </x:c>
      <x:c r="Q155" s="100" t="n"/>
      <x:c r="R155" s="100" t="n"/>
      <x:c r="AD155" s="100" t="n"/>
      <x:c r="AE155" s="100" t="n"/>
      <x:c r="AF155" s="100" t="n"/>
      <x:c r="AG155" s="100" t="n"/>
      <x:c r="AH155" s="100" t="n"/>
      <x:c r="AI155" s="100" t="n"/>
      <x:c r="AJ155" s="100" t="n"/>
      <x:c r="AL155" s="100" t="n"/>
      <x:c r="AN155" s="100" t="n"/>
      <x:c r="BY155" s="27" t="n">
        <x:v>-1</x:v>
      </x:c>
      <x:c r="BZ155" s="27" t="n">
        <x:v>-1</x:v>
      </x:c>
    </x:row>
    <x:row r="156" s="27" customFormat="1">
      <x:c r="A156" s="38" t="n"/>
      <x:c r="B156" s="37" t="n"/>
      <x:c r="C156" s="36" t="n">
        <x:f>E156*D$5</x:f>
        <x:v>38.28</x:v>
      </x:c>
      <x:c r="D156" s="20" t="inlineStr">
        <x:is>
          <x:t xml:space="preserve">Herbert E. McGuire</x:t>
        </x:is>
      </x:c>
      <x:c r="E156" s="36" t="n">
        <x:f>SUM(G156:HT156)</x:f>
        <x:v>1</x:v>
      </x:c>
      <x:c r="F156" s="35" t="inlineStr">
        <x:is>
          <x:t xml:space="preserve"/>
        </x:is>
      </x:c>
      <x:c r="Q156" s="100" t="n"/>
      <x:c r="R156" s="100" t="n"/>
      <x:c r="AD156" s="100" t="n"/>
      <x:c r="AE156" s="100" t="n"/>
      <x:c r="AF156" s="100" t="n"/>
      <x:c r="AG156" s="100" t="n"/>
      <x:c r="AH156" s="100" t="n"/>
      <x:c r="AI156" s="100" t="n"/>
      <x:c r="AJ156" s="100" t="n"/>
      <x:c r="AL156" s="100" t="n"/>
      <x:c r="AN156" s="100" t="n"/>
      <x:c r="BZ156" s="27" t="n">
        <x:v>1</x:v>
      </x:c>
    </x:row>
    <x:row r="157" s="27" customFormat="1">
      <x:c r="A157" s="38" t="n"/>
      <x:c r="B157" s="37" t="n"/>
      <x:c r="C157" s="36" t="n">
        <x:f>E157*D$5</x:f>
        <x:v>0</x:v>
      </x:c>
      <x:c r="D157" s="20" t="n"/>
      <x:c r="E157" s="36" t="n">
        <x:f>SUM(G157:HT157)</x:f>
        <x:v>0</x:v>
      </x:c>
      <x:c r="F157" s="35" t="inlineStr">
        <x:is>
          <x:t xml:space="preserve"/>
        </x:is>
      </x:c>
      <x:c r="Q157" s="100" t="n"/>
      <x:c r="R157" s="100" t="n"/>
      <x:c r="AD157" s="100" t="n"/>
      <x:c r="AE157" s="100" t="n"/>
      <x:c r="AF157" s="100" t="n"/>
      <x:c r="AG157" s="100" t="n"/>
      <x:c r="AH157" s="100" t="n"/>
      <x:c r="AI157" s="100" t="n"/>
      <x:c r="AJ157" s="100" t="n"/>
      <x:c r="AL157" s="100" t="n"/>
      <x:c r="AN157" s="100" t="n"/>
    </x:row>
    <x:row r="158" s="27" customFormat="1">
      <x:c r="A158" s="38" t="n"/>
      <x:c r="B158" s="37" t="n"/>
      <x:c r="C158" s="36" t="n">
        <x:f>E158*D$5</x:f>
        <x:v>0</x:v>
      </x:c>
      <x:c r="D158" s="20" t="n"/>
      <x:c r="E158" s="36" t="n">
        <x:f>SUM(G158:HT158)</x:f>
        <x:v>0</x:v>
      </x:c>
      <x:c r="F158" s="35" t="inlineStr">
        <x:is>
          <x:t xml:space="preserve"/>
        </x:is>
      </x:c>
      <x:c r="Q158" s="100" t="n"/>
      <x:c r="R158" s="100" t="n"/>
      <x:c r="AD158" s="100" t="n"/>
      <x:c r="AE158" s="100" t="n"/>
      <x:c r="AF158" s="100" t="n"/>
      <x:c r="AG158" s="100" t="n"/>
      <x:c r="AH158" s="100" t="n"/>
      <x:c r="AI158" s="100" t="n"/>
      <x:c r="AJ158" s="100" t="n"/>
      <x:c r="AL158" s="100" t="n"/>
      <x:c r="AN158" s="100" t="n"/>
    </x:row>
    <x:row r="159" s="27" customFormat="1">
      <x:c r="A159" s="38" t="n"/>
      <x:c r="B159" s="37" t="n"/>
      <x:c r="C159" s="36" t="n">
        <x:f>E159*D$5</x:f>
        <x:v>0</x:v>
      </x:c>
      <x:c r="D159" s="20" t="n"/>
      <x:c r="E159" s="36" t="n">
        <x:f>SUM(G159:HT159)</x:f>
        <x:v>0</x:v>
      </x:c>
      <x:c r="F159" s="35" t="inlineStr">
        <x:is>
          <x:t xml:space="preserve"/>
        </x:is>
      </x:c>
      <x:c r="Q159" s="100" t="n"/>
      <x:c r="R159" s="100" t="n"/>
      <x:c r="AD159" s="100" t="n"/>
      <x:c r="AE159" s="100" t="n"/>
      <x:c r="AF159" s="100" t="n"/>
      <x:c r="AG159" s="100" t="n"/>
      <x:c r="AH159" s="100" t="n"/>
      <x:c r="AI159" s="100" t="n"/>
      <x:c r="AJ159" s="100" t="n"/>
      <x:c r="AL159" s="100" t="n"/>
      <x:c r="AN159" s="100" t="n"/>
    </x:row>
    <x:row r="160" s="27" customFormat="1">
      <x:c r="A160" s="38" t="n"/>
      <x:c r="B160" s="37" t="n"/>
      <x:c r="C160" s="36" t="n">
        <x:f>E160*D$5</x:f>
        <x:v>0</x:v>
      </x:c>
      <x:c r="D160" s="20" t="n"/>
      <x:c r="E160" s="36" t="n">
        <x:f>SUM(G160:HT160)</x:f>
        <x:v>0</x:v>
      </x:c>
      <x:c r="F160" s="35" t="inlineStr">
        <x:is>
          <x:t xml:space="preserve"/>
        </x:is>
      </x:c>
      <x:c r="Q160" s="100" t="n"/>
      <x:c r="R160" s="100" t="n"/>
      <x:c r="AD160" s="100" t="n"/>
      <x:c r="AE160" s="100" t="n"/>
      <x:c r="AF160" s="100" t="n"/>
      <x:c r="AG160" s="100" t="n"/>
      <x:c r="AH160" s="100" t="n"/>
      <x:c r="AI160" s="100" t="n"/>
      <x:c r="AJ160" s="100" t="n"/>
      <x:c r="AL160" s="100" t="n"/>
      <x:c r="AN160" s="100" t="n"/>
    </x:row>
    <x:row r="161" s="27" customFormat="1">
      <x:c r="A161" s="38" t="n"/>
      <x:c r="B161" s="37" t="n"/>
      <x:c r="C161" s="36" t="n">
        <x:f>E161*D$5</x:f>
        <x:v>0</x:v>
      </x:c>
      <x:c r="D161" s="20" t="n"/>
      <x:c r="E161" s="36" t="n">
        <x:f>SUM(G161:HS161)</x:f>
        <x:v>0</x:v>
      </x:c>
      <x:c r="F161" s="35" t="inlineStr">
        <x:is>
          <x:t xml:space="preserve"/>
        </x:is>
      </x:c>
      <x:c r="Q161" s="100" t="n"/>
      <x:c r="R161" s="100" t="n"/>
      <x:c r="AD161" s="100" t="n"/>
      <x:c r="AE161" s="100" t="n"/>
      <x:c r="AF161" s="100" t="n"/>
      <x:c r="AG161" s="100" t="n"/>
      <x:c r="AH161" s="100" t="n"/>
      <x:c r="AI161" s="100" t="n"/>
      <x:c r="AJ161" s="100" t="n"/>
      <x:c r="AL161" s="100" t="n"/>
      <x:c r="AN161" s="100" t="n"/>
    </x:row>
    <x:row r="162" s="27" customFormat="1">
      <x:c r="A162" s="38" t="n"/>
      <x:c r="B162" s="37" t="n"/>
      <x:c r="C162" s="36" t="n">
        <x:f>E162*D$5</x:f>
        <x:v>0</x:v>
      </x:c>
      <x:c r="D162" s="20" t="n"/>
      <x:c r="E162" s="36" t="n">
        <x:f>SUM(G162:HS162)</x:f>
        <x:v>0</x:v>
      </x:c>
      <x:c r="F162" s="35" t="inlineStr">
        <x:is>
          <x:t xml:space="preserve"/>
        </x:is>
      </x:c>
      <x:c r="Q162" s="100" t="n"/>
      <x:c r="R162" s="100" t="n"/>
      <x:c r="AD162" s="100" t="n"/>
      <x:c r="AE162" s="100" t="n"/>
      <x:c r="AF162" s="100" t="n"/>
      <x:c r="AG162" s="100" t="n"/>
      <x:c r="AH162" s="100" t="n"/>
      <x:c r="AI162" s="100" t="n"/>
      <x:c r="AJ162" s="100" t="n"/>
      <x:c r="AL162" s="100" t="n"/>
      <x:c r="AN162" s="100" t="n"/>
    </x:row>
    <x:row r="163" s="27" customFormat="1">
      <x:c r="A163" s="38" t="n"/>
      <x:c r="B163" s="37" t="n"/>
      <x:c r="C163" s="36" t="n">
        <x:f>E163*D$5</x:f>
        <x:v>0</x:v>
      </x:c>
      <x:c r="D163" s="20" t="n"/>
      <x:c r="E163" s="36" t="n">
        <x:f>SUM(G163:HS163)</x:f>
        <x:v>0</x:v>
      </x:c>
      <x:c r="F163" s="35" t="inlineStr">
        <x:is>
          <x:t xml:space="preserve"/>
        </x:is>
      </x:c>
      <x:c r="Q163" s="100" t="n"/>
      <x:c r="R163" s="100" t="n"/>
      <x:c r="AD163" s="100" t="n"/>
      <x:c r="AE163" s="100" t="n"/>
      <x:c r="AF163" s="100" t="n"/>
      <x:c r="AG163" s="100" t="n"/>
      <x:c r="AH163" s="100" t="n"/>
      <x:c r="AI163" s="100" t="n"/>
      <x:c r="AJ163" s="100" t="n"/>
      <x:c r="AL163" s="100" t="n"/>
      <x:c r="AN163" s="100" t="n"/>
    </x:row>
    <x:row r="164" s="27" customFormat="1">
      <x:c r="A164" s="38" t="n"/>
      <x:c r="B164" s="37" t="n"/>
      <x:c r="C164" s="36" t="n">
        <x:f>E164*D$5</x:f>
        <x:v>0</x:v>
      </x:c>
      <x:c r="D164" s="20" t="n"/>
      <x:c r="E164" s="36" t="n">
        <x:f>SUM(G164:HS164)</x:f>
        <x:v>0</x:v>
      </x:c>
      <x:c r="F164" s="35" t="inlineStr">
        <x:is>
          <x:t xml:space="preserve"/>
        </x:is>
      </x:c>
      <x:c r="Q164" s="100" t="n"/>
      <x:c r="R164" s="100" t="n"/>
      <x:c r="AD164" s="100" t="n"/>
      <x:c r="AE164" s="100" t="n"/>
      <x:c r="AF164" s="100" t="n"/>
      <x:c r="AG164" s="100" t="n"/>
      <x:c r="AH164" s="100" t="n"/>
      <x:c r="AI164" s="100" t="n"/>
      <x:c r="AJ164" s="100" t="n"/>
      <x:c r="AL164" s="100" t="n"/>
      <x:c r="AN164" s="100" t="n"/>
    </x:row>
    <x:row r="165" s="27" customFormat="1">
      <x:c r="A165" s="38" t="n"/>
      <x:c r="B165" s="37" t="n"/>
      <x:c r="C165" s="36" t="n">
        <x:f>E165*D$5</x:f>
        <x:v>0</x:v>
      </x:c>
      <x:c r="D165" s="20" t="n"/>
      <x:c r="E165" s="36" t="n">
        <x:f>SUM(G165:HS165)</x:f>
        <x:v>0</x:v>
      </x:c>
      <x:c r="F165" s="35" t="inlineStr">
        <x:is>
          <x:t xml:space="preserve"/>
        </x:is>
      </x:c>
      <x:c r="Q165" s="100" t="n"/>
      <x:c r="R165" s="100" t="n"/>
      <x:c r="AD165" s="100" t="n"/>
      <x:c r="AE165" s="100" t="n"/>
      <x:c r="AF165" s="100" t="n"/>
      <x:c r="AG165" s="100" t="n"/>
      <x:c r="AH165" s="100" t="n"/>
      <x:c r="AI165" s="100" t="n"/>
      <x:c r="AJ165" s="100" t="n"/>
      <x:c r="AL165" s="100" t="n"/>
      <x:c r="AN165" s="100" t="n"/>
    </x:row>
    <x:row r="166" s="27" customFormat="1">
      <x:c r="A166" s="38" t="n"/>
      <x:c r="B166" s="37" t="n"/>
      <x:c r="C166" s="36" t="n">
        <x:f>E166*D$5</x:f>
        <x:v>0</x:v>
      </x:c>
      <x:c r="D166" s="20" t="n"/>
      <x:c r="E166" s="36" t="n">
        <x:f>SUM(G166:HS166)</x:f>
        <x:v>0</x:v>
      </x:c>
      <x:c r="F166" s="35" t="inlineStr">
        <x:is>
          <x:t xml:space="preserve"/>
        </x:is>
      </x:c>
      <x:c r="Q166" s="100" t="n"/>
      <x:c r="R166" s="100" t="n"/>
      <x:c r="AD166" s="100" t="n"/>
      <x:c r="AE166" s="100" t="n"/>
      <x:c r="AF166" s="100" t="n"/>
      <x:c r="AG166" s="100" t="n"/>
      <x:c r="AH166" s="100" t="n"/>
      <x:c r="AI166" s="100" t="n"/>
      <x:c r="AJ166" s="100" t="n"/>
      <x:c r="AL166" s="100" t="n"/>
      <x:c r="AN166" s="100" t="n"/>
    </x:row>
    <x:row r="167" s="27" customFormat="1">
      <x:c r="A167" s="38" t="n"/>
      <x:c r="B167" s="37" t="n"/>
      <x:c r="C167" s="36" t="n">
        <x:f>E167*D$5</x:f>
        <x:v>0</x:v>
      </x:c>
      <x:c r="D167" s="20" t="n"/>
      <x:c r="E167" s="36" t="n">
        <x:f>SUM(G167:HS167)</x:f>
        <x:v>0</x:v>
      </x:c>
      <x:c r="F167" s="35" t="inlineStr">
        <x:is>
          <x:t xml:space="preserve"/>
        </x:is>
      </x:c>
      <x:c r="Q167" s="100" t="n"/>
      <x:c r="R167" s="100" t="n"/>
      <x:c r="AD167" s="100" t="n"/>
      <x:c r="AE167" s="100" t="n"/>
      <x:c r="AF167" s="100" t="n"/>
      <x:c r="AG167" s="100" t="n"/>
      <x:c r="AH167" s="100" t="n"/>
      <x:c r="AI167" s="100" t="n"/>
      <x:c r="AJ167" s="100" t="n"/>
      <x:c r="AL167" s="100" t="n"/>
      <x:c r="AN167" s="100" t="n"/>
    </x:row>
    <x:row r="168" s="27" customFormat="1">
      <x:c r="A168" s="38" t="n"/>
      <x:c r="B168" s="37" t="n"/>
      <x:c r="C168" s="36" t="n">
        <x:f>E168*D$5</x:f>
        <x:v>0</x:v>
      </x:c>
      <x:c r="D168" s="20" t="n"/>
      <x:c r="E168" s="36" t="n">
        <x:f>SUM(G168:HS168)</x:f>
        <x:v>0</x:v>
      </x:c>
      <x:c r="F168" s="35" t="inlineStr">
        <x:is>
          <x:t xml:space="preserve"/>
        </x:is>
      </x:c>
      <x:c r="Q168" s="100" t="n"/>
      <x:c r="R168" s="100" t="n"/>
      <x:c r="AD168" s="100" t="n"/>
      <x:c r="AE168" s="100" t="n"/>
      <x:c r="AF168" s="100" t="n"/>
      <x:c r="AG168" s="100" t="n"/>
      <x:c r="AH168" s="100" t="n"/>
      <x:c r="AI168" s="100" t="n"/>
      <x:c r="AJ168" s="100" t="n"/>
      <x:c r="AL168" s="100" t="n"/>
      <x:c r="AN168" s="100" t="n"/>
    </x:row>
    <x:row r="169" s="27" customFormat="1">
      <x:c r="A169" s="38" t="n"/>
      <x:c r="B169" s="37" t="n"/>
      <x:c r="C169" s="36" t="n">
        <x:f>E169*D$5</x:f>
        <x:v>0</x:v>
      </x:c>
      <x:c r="D169" s="20" t="n"/>
      <x:c r="E169" s="36" t="n">
        <x:f>SUM(G169:HS169)</x:f>
        <x:v>0</x:v>
      </x:c>
      <x:c r="F169" s="35" t="inlineStr">
        <x:is>
          <x:t xml:space="preserve"/>
        </x:is>
      </x:c>
      <x:c r="Q169" s="100" t="n"/>
      <x:c r="R169" s="100" t="n"/>
      <x:c r="AD169" s="100" t="n"/>
      <x:c r="AE169" s="100" t="n"/>
      <x:c r="AF169" s="100" t="n"/>
      <x:c r="AG169" s="100" t="n"/>
      <x:c r="AH169" s="100" t="n"/>
      <x:c r="AI169" s="100" t="n"/>
      <x:c r="AJ169" s="100" t="n"/>
      <x:c r="AL169" s="100" t="n"/>
      <x:c r="AN169" s="100" t="n"/>
    </x:row>
    <x:row r="170" s="27" customFormat="1">
      <x:c r="A170" s="38" t="n"/>
      <x:c r="B170" s="37" t="n"/>
      <x:c r="C170" s="36" t="n">
        <x:f>E170*D$5</x:f>
        <x:v>0</x:v>
      </x:c>
      <x:c r="D170" s="20" t="n"/>
      <x:c r="E170" s="36" t="n">
        <x:f>SUM(G170:HS170)</x:f>
        <x:v>0</x:v>
      </x:c>
      <x:c r="F170" s="35" t="inlineStr">
        <x:is>
          <x:t xml:space="preserve"/>
        </x:is>
      </x:c>
      <x:c r="Q170" s="100" t="n"/>
      <x:c r="R170" s="100" t="n"/>
      <x:c r="AD170" s="100" t="n"/>
      <x:c r="AE170" s="100" t="n"/>
      <x:c r="AF170" s="100" t="n"/>
      <x:c r="AG170" s="100" t="n"/>
      <x:c r="AH170" s="100" t="n"/>
      <x:c r="AI170" s="100" t="n"/>
      <x:c r="AJ170" s="100" t="n"/>
      <x:c r="AL170" s="100" t="n"/>
      <x:c r="AN170" s="100" t="n"/>
    </x:row>
    <x:row r="171" s="27" customFormat="1">
      <x:c r="A171" s="38" t="n"/>
      <x:c r="B171" s="37" t="n"/>
      <x:c r="C171" s="36" t="n">
        <x:f>E171*D$5</x:f>
        <x:v>0</x:v>
      </x:c>
      <x:c r="D171" s="20" t="n"/>
      <x:c r="E171" s="36" t="n">
        <x:f>SUM(G171:HS171)</x:f>
        <x:v>0</x:v>
      </x:c>
      <x:c r="F171" s="35" t="inlineStr">
        <x:is>
          <x:t xml:space="preserve"/>
        </x:is>
      </x:c>
      <x:c r="Q171" s="100" t="n"/>
      <x:c r="R171" s="100" t="n"/>
      <x:c r="AD171" s="100" t="n"/>
      <x:c r="AE171" s="100" t="n"/>
      <x:c r="AF171" s="100" t="n"/>
      <x:c r="AG171" s="100" t="n"/>
      <x:c r="AH171" s="100" t="n"/>
      <x:c r="AI171" s="100" t="n"/>
      <x:c r="AJ171" s="100" t="n"/>
      <x:c r="AL171" s="100" t="n"/>
      <x:c r="AN171" s="100" t="n"/>
    </x:row>
    <x:row r="172" s="27" customFormat="1">
      <x:c r="A172" s="38" t="n"/>
      <x:c r="B172" s="37" t="n"/>
      <x:c r="C172" s="36" t="n">
        <x:f>E172*D$5</x:f>
        <x:v>0</x:v>
      </x:c>
      <x:c r="D172" s="20" t="n"/>
      <x:c r="E172" s="36" t="n">
        <x:f>SUM(G172:HS172)</x:f>
        <x:v>0</x:v>
      </x:c>
      <x:c r="F172" s="35" t="inlineStr">
        <x:is>
          <x:t xml:space="preserve"/>
        </x:is>
      </x:c>
      <x:c r="Q172" s="100" t="n"/>
      <x:c r="R172" s="100" t="n"/>
      <x:c r="AD172" s="100" t="n"/>
      <x:c r="AE172" s="100" t="n"/>
      <x:c r="AF172" s="100" t="n"/>
      <x:c r="AG172" s="100" t="n"/>
      <x:c r="AH172" s="100" t="n"/>
      <x:c r="AI172" s="100" t="n"/>
      <x:c r="AJ172" s="100" t="n"/>
      <x:c r="AL172" s="100" t="n"/>
      <x:c r="AN172" s="100" t="n"/>
    </x:row>
    <x:row r="173" s="27" customFormat="1">
      <x:c r="A173" s="38" t="n"/>
      <x:c r="B173" s="37" t="n"/>
      <x:c r="C173" s="36" t="n">
        <x:f>E173*D$5</x:f>
        <x:v>0</x:v>
      </x:c>
      <x:c r="D173" s="20" t="n"/>
      <x:c r="E173" s="36" t="n">
        <x:f>SUM(G173:HS173)</x:f>
        <x:v>0</x:v>
      </x:c>
      <x:c r="F173" s="35" t="inlineStr">
        <x:is>
          <x:t xml:space="preserve"/>
        </x:is>
      </x:c>
      <x:c r="Q173" s="100" t="n"/>
      <x:c r="R173" s="100" t="n"/>
      <x:c r="AD173" s="100" t="n"/>
      <x:c r="AE173" s="100" t="n"/>
      <x:c r="AF173" s="100" t="n"/>
      <x:c r="AG173" s="100" t="n"/>
      <x:c r="AH173" s="100" t="n"/>
      <x:c r="AI173" s="100" t="n"/>
      <x:c r="AJ173" s="100" t="n"/>
      <x:c r="AL173" s="100" t="n"/>
      <x:c r="AN173" s="100" t="n"/>
    </x:row>
    <x:row r="174" s="27" customFormat="1">
      <x:c r="A174" s="38" t="n"/>
      <x:c r="B174" s="37" t="n"/>
      <x:c r="C174" s="36" t="n">
        <x:f>E174*D$5</x:f>
        <x:v>0</x:v>
      </x:c>
      <x:c r="D174" s="20" t="n"/>
      <x:c r="E174" s="36" t="n">
        <x:f>SUM(G174:HS174)</x:f>
        <x:v>0</x:v>
      </x:c>
      <x:c r="F174" s="35" t="inlineStr">
        <x:is>
          <x:t xml:space="preserve"/>
        </x:is>
      </x:c>
      <x:c r="Q174" s="100" t="n"/>
      <x:c r="R174" s="100" t="n"/>
      <x:c r="AD174" s="100" t="n"/>
      <x:c r="AE174" s="100" t="n"/>
      <x:c r="AF174" s="100" t="n"/>
      <x:c r="AG174" s="100" t="n"/>
      <x:c r="AH174" s="100" t="n"/>
      <x:c r="AI174" s="100" t="n"/>
      <x:c r="AJ174" s="100" t="n"/>
      <x:c r="AL174" s="100" t="n"/>
      <x:c r="AN174" s="100" t="n"/>
    </x:row>
    <x:row r="175" s="27" customFormat="1">
      <x:c r="A175" s="38" t="n"/>
      <x:c r="B175" s="37" t="n"/>
      <x:c r="C175" s="36" t="n">
        <x:f>E175*D$5</x:f>
        <x:v>0</x:v>
      </x:c>
      <x:c r="D175" s="20" t="n"/>
      <x:c r="E175" s="36" t="n">
        <x:f>SUM(G175:HS175)</x:f>
        <x:v>0</x:v>
      </x:c>
      <x:c r="F175" s="35" t="inlineStr">
        <x:is>
          <x:t xml:space="preserve"/>
        </x:is>
      </x:c>
      <x:c r="Q175" s="100" t="n"/>
      <x:c r="R175" s="100" t="n"/>
      <x:c r="AD175" s="100" t="n"/>
      <x:c r="AE175" s="100" t="n"/>
      <x:c r="AF175" s="100" t="n"/>
      <x:c r="AG175" s="100" t="n"/>
      <x:c r="AH175" s="100" t="n"/>
      <x:c r="AI175" s="100" t="n"/>
      <x:c r="AJ175" s="100" t="n"/>
      <x:c r="AL175" s="100" t="n"/>
      <x:c r="AN175" s="100" t="n"/>
    </x:row>
    <x:row r="176" s="27" customFormat="1">
      <x:c r="A176" s="38" t="n"/>
      <x:c r="B176" s="37" t="n"/>
      <x:c r="C176" s="36" t="n">
        <x:f>E176*D$5</x:f>
        <x:v>0</x:v>
      </x:c>
      <x:c r="D176" s="20" t="n"/>
      <x:c r="E176" s="36" t="n">
        <x:f>SUM(G176:HS176)</x:f>
        <x:v>0</x:v>
      </x:c>
      <x:c r="F176" s="35" t="inlineStr">
        <x:is>
          <x:t xml:space="preserve"/>
        </x:is>
      </x:c>
      <x:c r="Q176" s="100" t="n"/>
      <x:c r="R176" s="100" t="n"/>
      <x:c r="AD176" s="100" t="n"/>
      <x:c r="AE176" s="100" t="n"/>
      <x:c r="AF176" s="100" t="n"/>
      <x:c r="AG176" s="100" t="n"/>
      <x:c r="AH176" s="100" t="n"/>
      <x:c r="AI176" s="100" t="n"/>
      <x:c r="AJ176" s="100" t="n"/>
      <x:c r="AL176" s="100" t="n"/>
      <x:c r="AN176" s="100" t="n"/>
    </x:row>
    <x:row r="177" s="27" customFormat="1">
      <x:c r="A177" s="38" t="n"/>
      <x:c r="B177" s="37" t="n"/>
      <x:c r="C177" s="36" t="n">
        <x:f>E177*D$5</x:f>
        <x:v>0</x:v>
      </x:c>
      <x:c r="D177" s="20" t="n"/>
      <x:c r="E177" s="36" t="n">
        <x:f>SUM(G177:HS177)</x:f>
        <x:v>0</x:v>
      </x:c>
      <x:c r="F177" s="35" t="inlineStr">
        <x:is>
          <x:t xml:space="preserve"/>
        </x:is>
      </x:c>
      <x:c r="Q177" s="100" t="n"/>
      <x:c r="R177" s="100" t="n"/>
      <x:c r="AD177" s="100" t="n"/>
      <x:c r="AE177" s="100" t="n"/>
      <x:c r="AF177" s="100" t="n"/>
      <x:c r="AG177" s="100" t="n"/>
      <x:c r="AH177" s="100" t="n"/>
      <x:c r="AI177" s="100" t="n"/>
      <x:c r="AJ177" s="100" t="n"/>
      <x:c r="AL177" s="100" t="n"/>
      <x:c r="AN177" s="100" t="n"/>
    </x:row>
    <x:row r="178" s="27" customFormat="1">
      <x:c r="A178" s="38" t="n"/>
      <x:c r="B178" s="37" t="n"/>
      <x:c r="C178" s="36" t="n">
        <x:f>E178*D$5</x:f>
        <x:v>0</x:v>
      </x:c>
      <x:c r="D178" s="20" t="n"/>
      <x:c r="E178" s="36" t="n">
        <x:f>SUM(G178:HS178)</x:f>
        <x:v>0</x:v>
      </x:c>
      <x:c r="F178" s="35" t="inlineStr">
        <x:is>
          <x:t xml:space="preserve"/>
        </x:is>
      </x:c>
      <x:c r="Q178" s="100" t="n"/>
      <x:c r="R178" s="100" t="n"/>
      <x:c r="AD178" s="100" t="n"/>
      <x:c r="AE178" s="100" t="n"/>
      <x:c r="AF178" s="100" t="n"/>
      <x:c r="AG178" s="100" t="n"/>
      <x:c r="AH178" s="100" t="n"/>
      <x:c r="AI178" s="100" t="n"/>
      <x:c r="AJ178" s="100" t="n"/>
      <x:c r="AL178" s="100" t="n"/>
      <x:c r="AN178" s="100" t="n"/>
    </x:row>
    <x:row r="179" s="27" customFormat="1">
      <x:c r="A179" s="38" t="n"/>
      <x:c r="B179" s="37" t="n"/>
      <x:c r="C179" s="36" t="n">
        <x:f>E179*D$5</x:f>
        <x:v>0</x:v>
      </x:c>
      <x:c r="D179" s="20" t="n"/>
      <x:c r="E179" s="36" t="n">
        <x:f>SUM(G179:HS179)</x:f>
        <x:v>0</x:v>
      </x:c>
      <x:c r="F179" s="35" t="inlineStr">
        <x:is>
          <x:t xml:space="preserve"/>
        </x:is>
      </x:c>
      <x:c r="Q179" s="100" t="n"/>
      <x:c r="R179" s="100" t="n"/>
      <x:c r="AD179" s="100" t="n"/>
      <x:c r="AE179" s="100" t="n"/>
      <x:c r="AF179" s="100" t="n"/>
      <x:c r="AG179" s="100" t="n"/>
      <x:c r="AH179" s="100" t="n"/>
      <x:c r="AI179" s="100" t="n"/>
      <x:c r="AJ179" s="100" t="n"/>
      <x:c r="AL179" s="100" t="n"/>
      <x:c r="AN179" s="100" t="n"/>
    </x:row>
    <x:row r="180" s="27" customFormat="1">
      <x:c r="A180" s="38" t="n"/>
      <x:c r="B180" s="37" t="n"/>
      <x:c r="C180" s="36" t="n">
        <x:f>E180*D$5</x:f>
        <x:v>0</x:v>
      </x:c>
      <x:c r="D180" s="20" t="n"/>
      <x:c r="E180" s="36" t="n">
        <x:f>SUM(G180:HS180)</x:f>
        <x:v>0</x:v>
      </x:c>
      <x:c r="F180" s="35" t="inlineStr">
        <x:is>
          <x:t xml:space="preserve"/>
        </x:is>
      </x:c>
      <x:c r="Q180" s="100" t="n"/>
      <x:c r="R180" s="100" t="n"/>
      <x:c r="AD180" s="100" t="n"/>
      <x:c r="AE180" s="100" t="n"/>
      <x:c r="AF180" s="100" t="n"/>
      <x:c r="AG180" s="100" t="n"/>
      <x:c r="AH180" s="100" t="n"/>
      <x:c r="AI180" s="100" t="n"/>
      <x:c r="AJ180" s="100" t="n"/>
      <x:c r="AL180" s="100" t="n"/>
      <x:c r="AN180" s="100" t="n"/>
    </x:row>
    <x:row r="181" s="27" customFormat="1">
      <x:c r="A181" s="38" t="n"/>
      <x:c r="B181" s="37" t="n"/>
      <x:c r="C181" s="36" t="n">
        <x:f>E181*D$5</x:f>
        <x:v>0</x:v>
      </x:c>
      <x:c r="D181" s="20" t="n"/>
      <x:c r="E181" s="36" t="n">
        <x:f>SUM(G181:HS181)</x:f>
        <x:v>0</x:v>
      </x:c>
      <x:c r="F181" s="35" t="inlineStr">
        <x:is>
          <x:t xml:space="preserve"/>
        </x:is>
      </x:c>
      <x:c r="Q181" s="100" t="n"/>
      <x:c r="R181" s="100" t="n"/>
      <x:c r="AD181" s="100" t="n"/>
      <x:c r="AE181" s="100" t="n"/>
      <x:c r="AF181" s="100" t="n"/>
      <x:c r="AG181" s="100" t="n"/>
      <x:c r="AH181" s="100" t="n"/>
      <x:c r="AI181" s="100" t="n"/>
      <x:c r="AJ181" s="100" t="n"/>
      <x:c r="AL181" s="100" t="n"/>
      <x:c r="AN181" s="100" t="n"/>
    </x:row>
    <x:row r="182" s="27" customFormat="1">
      <x:c r="A182" s="38" t="n"/>
      <x:c r="B182" s="37" t="n"/>
      <x:c r="C182" s="36" t="n">
        <x:f>E182*D$5</x:f>
        <x:v>0</x:v>
      </x:c>
      <x:c r="D182" s="20" t="n"/>
      <x:c r="E182" s="36" t="n">
        <x:f>SUM(G182:HS182)</x:f>
        <x:v>0</x:v>
      </x:c>
      <x:c r="F182" s="35" t="inlineStr">
        <x:is>
          <x:t xml:space="preserve"/>
        </x:is>
      </x:c>
      <x:c r="Q182" s="100" t="n"/>
      <x:c r="R182" s="100" t="n"/>
      <x:c r="AD182" s="100" t="n"/>
      <x:c r="AE182" s="100" t="n"/>
      <x:c r="AF182" s="100" t="n"/>
      <x:c r="AG182" s="100" t="n"/>
      <x:c r="AH182" s="100" t="n"/>
      <x:c r="AI182" s="100" t="n"/>
      <x:c r="AJ182" s="100" t="n"/>
      <x:c r="AL182" s="100" t="n"/>
      <x:c r="AN182" s="100" t="n"/>
    </x:row>
    <x:row r="183" s="27" customFormat="1">
      <x:c r="A183" s="38" t="n"/>
      <x:c r="B183" s="37" t="n"/>
      <x:c r="C183" s="36" t="n">
        <x:f>E183*D$5</x:f>
        <x:v>0</x:v>
      </x:c>
      <x:c r="D183" s="20" t="n"/>
      <x:c r="E183" s="36" t="n">
        <x:f>SUM(G183:HS183)</x:f>
        <x:v>0</x:v>
      </x:c>
      <x:c r="F183" s="35" t="inlineStr">
        <x:is>
          <x:t xml:space="preserve"/>
        </x:is>
      </x:c>
      <x:c r="Q183" s="100" t="n"/>
      <x:c r="R183" s="100" t="n"/>
      <x:c r="AD183" s="100" t="n"/>
      <x:c r="AE183" s="100" t="n"/>
      <x:c r="AF183" s="100" t="n"/>
      <x:c r="AG183" s="100" t="n"/>
      <x:c r="AH183" s="100" t="n"/>
      <x:c r="AI183" s="100" t="n"/>
      <x:c r="AJ183" s="100" t="n"/>
      <x:c r="AL183" s="100" t="n"/>
      <x:c r="AN183" s="100" t="n"/>
    </x:row>
    <x:row r="184" s="27" customFormat="1">
      <x:c r="A184" s="38" t="n"/>
      <x:c r="B184" s="37" t="n"/>
      <x:c r="C184" s="36" t="n">
        <x:f>E184*D$5</x:f>
        <x:v>0</x:v>
      </x:c>
      <x:c r="D184" s="20" t="n"/>
      <x:c r="E184" s="36" t="n">
        <x:f>SUM(G184:HS184)</x:f>
        <x:v>0</x:v>
      </x:c>
      <x:c r="F184" s="35" t="inlineStr">
        <x:is>
          <x:t xml:space="preserve"/>
        </x:is>
      </x:c>
      <x:c r="Q184" s="100" t="n"/>
      <x:c r="R184" s="100" t="n"/>
      <x:c r="AD184" s="100" t="n"/>
      <x:c r="AE184" s="100" t="n"/>
      <x:c r="AF184" s="100" t="n"/>
      <x:c r="AG184" s="100" t="n"/>
      <x:c r="AH184" s="100" t="n"/>
      <x:c r="AI184" s="100" t="n"/>
      <x:c r="AJ184" s="100" t="n"/>
      <x:c r="AL184" s="100" t="n"/>
      <x:c r="AN184" s="100" t="n"/>
    </x:row>
    <x:row r="185" s="27" customFormat="1">
      <x:c r="A185" s="38" t="n"/>
      <x:c r="B185" s="37" t="n"/>
      <x:c r="C185" s="36" t="n">
        <x:f>E185*D$5</x:f>
        <x:v>0</x:v>
      </x:c>
      <x:c r="D185" s="20" t="n"/>
      <x:c r="E185" s="36" t="n">
        <x:f>SUM(G185:HS185)</x:f>
        <x:v>0</x:v>
      </x:c>
      <x:c r="F185" s="35" t="inlineStr">
        <x:is>
          <x:t xml:space="preserve"/>
        </x:is>
      </x:c>
      <x:c r="Q185" s="100" t="n"/>
      <x:c r="R185" s="100" t="n"/>
      <x:c r="AD185" s="100" t="n"/>
      <x:c r="AE185" s="100" t="n"/>
      <x:c r="AF185" s="100" t="n"/>
      <x:c r="AG185" s="100" t="n"/>
      <x:c r="AH185" s="100" t="n"/>
      <x:c r="AI185" s="100" t="n"/>
      <x:c r="AJ185" s="100" t="n"/>
      <x:c r="AL185" s="100" t="n"/>
      <x:c r="AN185" s="100" t="n"/>
    </x:row>
    <x:row r="186" s="27" customFormat="1">
      <x:c r="A186" s="38" t="n"/>
      <x:c r="B186" s="37" t="n"/>
      <x:c r="C186" s="36" t="n">
        <x:f>E186*D$5</x:f>
        <x:v>0</x:v>
      </x:c>
      <x:c r="D186" s="20" t="n"/>
      <x:c r="E186" s="36" t="n">
        <x:f>SUM(G186:HS186)</x:f>
        <x:v>0</x:v>
      </x:c>
      <x:c r="F186" s="35" t="inlineStr">
        <x:is>
          <x:t xml:space="preserve"/>
        </x:is>
      </x:c>
      <x:c r="Q186" s="100" t="n"/>
      <x:c r="R186" s="100" t="n"/>
      <x:c r="AD186" s="100" t="n"/>
      <x:c r="AE186" s="100" t="n"/>
      <x:c r="AF186" s="100" t="n"/>
      <x:c r="AG186" s="100" t="n"/>
      <x:c r="AH186" s="100" t="n"/>
      <x:c r="AI186" s="100" t="n"/>
      <x:c r="AJ186" s="100" t="n"/>
      <x:c r="AL186" s="100" t="n"/>
      <x:c r="AN186" s="100" t="n"/>
    </x:row>
    <x:row r="187" s="27" customFormat="1">
      <x:c r="A187" s="38" t="n"/>
      <x:c r="B187" s="37" t="n"/>
      <x:c r="C187" s="36" t="n">
        <x:f>E187*D$5</x:f>
        <x:v>0</x:v>
      </x:c>
      <x:c r="D187" s="20" t="n"/>
      <x:c r="E187" s="36" t="n">
        <x:f>SUM(G187:HS187)</x:f>
        <x:v>0</x:v>
      </x:c>
      <x:c r="F187" s="35" t="inlineStr">
        <x:is>
          <x:t xml:space="preserve"/>
        </x:is>
      </x:c>
      <x:c r="Q187" s="100" t="n"/>
      <x:c r="R187" s="100" t="n"/>
      <x:c r="AD187" s="100" t="n"/>
      <x:c r="AE187" s="100" t="n"/>
      <x:c r="AF187" s="100" t="n"/>
      <x:c r="AG187" s="100" t="n"/>
      <x:c r="AH187" s="100" t="n"/>
      <x:c r="AI187" s="100" t="n"/>
      <x:c r="AJ187" s="100" t="n"/>
      <x:c r="AL187" s="100" t="n"/>
      <x:c r="AN187" s="100" t="n"/>
    </x:row>
    <x:row r="188" s="27" customFormat="1">
      <x:c r="A188" s="38" t="n"/>
      <x:c r="B188" s="37" t="n"/>
      <x:c r="C188" s="36" t="n">
        <x:f>E188*D$5</x:f>
        <x:v>0</x:v>
      </x:c>
      <x:c r="D188" s="20" t="n"/>
      <x:c r="E188" s="36" t="n">
        <x:f>SUM(G188:HS188)</x:f>
        <x:v>0</x:v>
      </x:c>
      <x:c r="F188" s="35" t="inlineStr">
        <x:is>
          <x:t xml:space="preserve"/>
        </x:is>
      </x:c>
      <x:c r="Q188" s="100" t="n"/>
      <x:c r="R188" s="100" t="n"/>
      <x:c r="AD188" s="100" t="n"/>
      <x:c r="AE188" s="100" t="n"/>
      <x:c r="AF188" s="100" t="n"/>
      <x:c r="AG188" s="100" t="n"/>
      <x:c r="AH188" s="100" t="n"/>
      <x:c r="AI188" s="100" t="n"/>
      <x:c r="AJ188" s="100" t="n"/>
      <x:c r="AL188" s="100" t="n"/>
      <x:c r="AN188" s="100" t="n"/>
    </x:row>
    <x:row r="189" s="27" customFormat="1">
      <x:c r="A189" s="38" t="n"/>
      <x:c r="B189" s="37" t="n"/>
      <x:c r="C189" s="36" t="n">
        <x:f>E189*D$5</x:f>
        <x:v>0</x:v>
      </x:c>
      <x:c r="D189" s="20" t="n"/>
      <x:c r="E189" s="36" t="n">
        <x:f>SUM(G189:HS189)</x:f>
        <x:v>0</x:v>
      </x:c>
      <x:c r="F189" s="35" t="inlineStr">
        <x:is>
          <x:t xml:space="preserve"/>
        </x:is>
      </x:c>
      <x:c r="Q189" s="100" t="n"/>
      <x:c r="R189" s="100" t="n"/>
      <x:c r="AD189" s="100" t="n"/>
      <x:c r="AE189" s="100" t="n"/>
      <x:c r="AF189" s="100" t="n"/>
      <x:c r="AG189" s="100" t="n"/>
      <x:c r="AH189" s="100" t="n"/>
      <x:c r="AI189" s="100" t="n"/>
      <x:c r="AJ189" s="100" t="n"/>
      <x:c r="AL189" s="100" t="n"/>
      <x:c r="AN189" s="100" t="n"/>
    </x:row>
    <x:row r="190" s="27" customFormat="1">
      <x:c r="A190" s="38" t="n"/>
      <x:c r="B190" s="37" t="n"/>
      <x:c r="C190" s="36" t="n">
        <x:f>E190*D$5</x:f>
        <x:v>0</x:v>
      </x:c>
      <x:c r="D190" s="20" t="n"/>
      <x:c r="E190" s="36" t="n">
        <x:f>SUM(G190:HS190)</x:f>
        <x:v>0</x:v>
      </x:c>
      <x:c r="F190" s="35" t="inlineStr">
        <x:is>
          <x:t xml:space="preserve"/>
        </x:is>
      </x:c>
      <x:c r="Q190" s="100" t="n"/>
      <x:c r="R190" s="100" t="n"/>
      <x:c r="AD190" s="100" t="n"/>
      <x:c r="AE190" s="100" t="n"/>
      <x:c r="AF190" s="100" t="n"/>
      <x:c r="AG190" s="100" t="n"/>
      <x:c r="AH190" s="100" t="n"/>
      <x:c r="AI190" s="100" t="n"/>
      <x:c r="AJ190" s="100" t="n"/>
      <x:c r="AL190" s="100" t="n"/>
      <x:c r="AN190" s="100" t="n"/>
    </x:row>
    <x:row r="191" s="27" customFormat="1">
      <x:c r="A191" s="38" t="n"/>
      <x:c r="B191" s="37" t="n"/>
      <x:c r="C191" s="36" t="n">
        <x:f>E191*D$5</x:f>
        <x:v>0</x:v>
      </x:c>
      <x:c r="D191" s="20" t="n"/>
      <x:c r="E191" s="36" t="n">
        <x:f>SUM(G191:HS191)</x:f>
        <x:v>0</x:v>
      </x:c>
      <x:c r="F191" s="35" t="inlineStr">
        <x:is>
          <x:t xml:space="preserve"/>
        </x:is>
      </x:c>
      <x:c r="Q191" s="100" t="n"/>
      <x:c r="R191" s="100" t="n"/>
      <x:c r="AD191" s="100" t="n"/>
      <x:c r="AE191" s="100" t="n"/>
      <x:c r="AF191" s="100" t="n"/>
      <x:c r="AG191" s="100" t="n"/>
      <x:c r="AH191" s="100" t="n"/>
      <x:c r="AI191" s="100" t="n"/>
      <x:c r="AJ191" s="100" t="n"/>
      <x:c r="AL191" s="100" t="n"/>
      <x:c r="AN191" s="100" t="n"/>
    </x:row>
    <x:row r="192" s="27" customFormat="1">
      <x:c r="A192" s="38" t="n"/>
      <x:c r="B192" s="37" t="n"/>
      <x:c r="C192" s="36" t="n">
        <x:f>E192*D$5</x:f>
        <x:v>0</x:v>
      </x:c>
      <x:c r="D192" s="20" t="n"/>
      <x:c r="E192" s="36" t="n">
        <x:f>SUM(G192:HS192)</x:f>
        <x:v>0</x:v>
      </x:c>
      <x:c r="F192" s="35" t="inlineStr">
        <x:is>
          <x:t xml:space="preserve"/>
        </x:is>
      </x:c>
      <x:c r="Q192" s="100" t="n"/>
      <x:c r="R192" s="100" t="n"/>
      <x:c r="AD192" s="100" t="n"/>
      <x:c r="AE192" s="100" t="n"/>
      <x:c r="AF192" s="100" t="n"/>
      <x:c r="AG192" s="100" t="n"/>
      <x:c r="AH192" s="100" t="n"/>
      <x:c r="AI192" s="100" t="n"/>
      <x:c r="AJ192" s="100" t="n"/>
      <x:c r="AL192" s="100" t="n"/>
      <x:c r="AN192" s="100" t="n"/>
    </x:row>
    <x:row r="193" s="27" customFormat="1">
      <x:c r="A193" s="38" t="n"/>
      <x:c r="B193" s="37" t="n"/>
      <x:c r="C193" s="36" t="n">
        <x:f>E193*D$5</x:f>
        <x:v>0</x:v>
      </x:c>
      <x:c r="D193" s="20" t="n"/>
      <x:c r="E193" s="36" t="n">
        <x:f>SUM(G193:HS193)</x:f>
        <x:v>0</x:v>
      </x:c>
      <x:c r="F193" s="35" t="inlineStr">
        <x:is>
          <x:t xml:space="preserve"/>
        </x:is>
      </x:c>
      <x:c r="Q193" s="100" t="n"/>
      <x:c r="R193" s="100" t="n"/>
      <x:c r="AD193" s="100" t="n"/>
      <x:c r="AE193" s="100" t="n"/>
      <x:c r="AF193" s="100" t="n"/>
      <x:c r="AG193" s="100" t="n"/>
      <x:c r="AH193" s="100" t="n"/>
      <x:c r="AI193" s="100" t="n"/>
      <x:c r="AJ193" s="100" t="n"/>
      <x:c r="AL193" s="100" t="n"/>
      <x:c r="AN193" s="100" t="n"/>
    </x:row>
    <x:row r="194" s="27" customFormat="1">
      <x:c r="A194" s="38" t="n"/>
      <x:c r="B194" s="37" t="n"/>
      <x:c r="C194" s="36" t="n">
        <x:f>E194*D$5</x:f>
        <x:v>0</x:v>
      </x:c>
      <x:c r="D194" s="20" t="n"/>
      <x:c r="E194" s="36" t="n">
        <x:f>SUM(G194:HS194)</x:f>
        <x:v>0</x:v>
      </x:c>
      <x:c r="F194" s="35" t="inlineStr">
        <x:is>
          <x:t xml:space="preserve"/>
        </x:is>
      </x:c>
      <x:c r="Q194" s="100" t="n"/>
      <x:c r="R194" s="100" t="n"/>
      <x:c r="AD194" s="100" t="n"/>
      <x:c r="AE194" s="100" t="n"/>
      <x:c r="AF194" s="100" t="n"/>
      <x:c r="AG194" s="100" t="n"/>
      <x:c r="AH194" s="100" t="n"/>
      <x:c r="AI194" s="100" t="n"/>
      <x:c r="AJ194" s="100" t="n"/>
      <x:c r="AL194" s="100" t="n"/>
      <x:c r="AN194" s="100" t="n"/>
    </x:row>
    <x:row r="195" s="27" customFormat="1">
      <x:c r="A195" s="38" t="n"/>
      <x:c r="B195" s="37" t="n"/>
      <x:c r="C195" s="36" t="n">
        <x:f>E195*D$5</x:f>
        <x:v>0</x:v>
      </x:c>
      <x:c r="D195" s="20" t="n"/>
      <x:c r="E195" s="36" t="n">
        <x:f>SUM(G195:HS195)</x:f>
        <x:v>0</x:v>
      </x:c>
      <x:c r="F195" s="35" t="inlineStr">
        <x:is>
          <x:t xml:space="preserve"/>
        </x:is>
      </x:c>
      <x:c r="Q195" s="100" t="n"/>
      <x:c r="R195" s="100" t="n"/>
      <x:c r="AD195" s="100" t="n"/>
      <x:c r="AE195" s="100" t="n"/>
      <x:c r="AF195" s="100" t="n"/>
      <x:c r="AG195" s="100" t="n"/>
      <x:c r="AH195" s="100" t="n"/>
      <x:c r="AI195" s="100" t="n"/>
      <x:c r="AJ195" s="100" t="n"/>
      <x:c r="AL195" s="100" t="n"/>
      <x:c r="AN195" s="100" t="n"/>
    </x:row>
    <x:row r="196" s="27" customFormat="1">
      <x:c r="A196" s="38" t="n"/>
      <x:c r="B196" s="37" t="n"/>
      <x:c r="C196" s="36" t="n">
        <x:f>E196*D$5</x:f>
        <x:v>0</x:v>
      </x:c>
      <x:c r="D196" s="20" t="n"/>
      <x:c r="E196" s="36" t="n">
        <x:f>SUM(G196:HT196)</x:f>
        <x:v>0</x:v>
      </x:c>
      <x:c r="R196" s="100" t="n"/>
      <x:c r="S196" s="100" t="n"/>
      <x:c r="AE196" s="100" t="n"/>
      <x:c r="AF196" s="100" t="n"/>
      <x:c r="AG196" s="100" t="n"/>
      <x:c r="AH196" s="100" t="n"/>
      <x:c r="AI196" s="100" t="n"/>
      <x:c r="AJ196" s="100" t="n"/>
      <x:c r="AK196" s="100" t="n"/>
      <x:c r="AM196" s="100" t="n"/>
      <x:c r="AO196" s="100" t="n"/>
    </x:row>
    <x:row r="197" s="27" customFormat="1">
      <x:c r="A197" s="38" t="n"/>
      <x:c r="B197" s="37" t="n"/>
      <x:c r="C197" s="36" t="n">
        <x:f>E197*D$5</x:f>
        <x:v>0</x:v>
      </x:c>
      <x:c r="D197" s="20" t="n"/>
      <x:c r="E197" s="36" t="n">
        <x:f>SUM(G197:HT197)</x:f>
        <x:v>0</x:v>
      </x:c>
      <x:c r="R197" s="100" t="n"/>
      <x:c r="S197" s="100" t="n"/>
      <x:c r="AE197" s="100" t="n"/>
      <x:c r="AF197" s="100" t="n"/>
      <x:c r="AG197" s="100" t="n"/>
      <x:c r="AH197" s="100" t="n"/>
      <x:c r="AI197" s="100" t="n"/>
      <x:c r="AJ197" s="100" t="n"/>
      <x:c r="AK197" s="100" t="n"/>
      <x:c r="AM197" s="100" t="n"/>
      <x:c r="AO197" s="100" t="n"/>
    </x:row>
    <x:row r="198" s="27" customFormat="1">
      <x:c r="A198" s="38" t="n"/>
      <x:c r="B198" s="37" t="n"/>
      <x:c r="C198" s="36" t="n">
        <x:f>E198*D$5</x:f>
        <x:v>0</x:v>
      </x:c>
      <x:c r="D198" s="20" t="n"/>
      <x:c r="E198" s="36" t="n">
        <x:f>SUM(G198:HT198)</x:f>
        <x:v>0</x:v>
      </x:c>
      <x:c r="R198" s="100" t="n"/>
      <x:c r="S198" s="100" t="n"/>
      <x:c r="AE198" s="100" t="n"/>
      <x:c r="AF198" s="100" t="n"/>
      <x:c r="AG198" s="100" t="n"/>
      <x:c r="AH198" s="100" t="n"/>
      <x:c r="AI198" s="100" t="n"/>
      <x:c r="AJ198" s="100" t="n"/>
      <x:c r="AK198" s="100" t="n"/>
      <x:c r="AM198" s="100" t="n"/>
      <x:c r="AO198" s="100" t="n"/>
    </x:row>
    <x:row r="199" s="27" customFormat="1">
      <x:c r="A199" s="38" t="n"/>
      <x:c r="B199" s="37" t="n"/>
      <x:c r="C199" s="36" t="n">
        <x:f>E199*D$5</x:f>
        <x:v>0</x:v>
      </x:c>
      <x:c r="D199" s="20" t="n"/>
      <x:c r="E199" s="36" t="n">
        <x:f>SUM(G199:HT199)</x:f>
        <x:v>0</x:v>
      </x:c>
      <x:c r="R199" s="100" t="n"/>
      <x:c r="S199" s="100" t="n"/>
      <x:c r="AE199" s="100" t="n"/>
      <x:c r="AF199" s="100" t="n"/>
      <x:c r="AG199" s="100" t="n"/>
      <x:c r="AH199" s="100" t="n"/>
      <x:c r="AI199" s="100" t="n"/>
      <x:c r="AJ199" s="100" t="n"/>
      <x:c r="AK199" s="100" t="n"/>
      <x:c r="AM199" s="100" t="n"/>
      <x:c r="AO199" s="100" t="n"/>
    </x:row>
    <x:row r="200" s="27" customFormat="1">
      <x:c r="A200" s="38" t="n"/>
      <x:c r="B200" s="37" t="n"/>
      <x:c r="C200" s="36" t="n">
        <x:f>E200*D$5</x:f>
        <x:v>0</x:v>
      </x:c>
      <x:c r="D200" s="20" t="n"/>
      <x:c r="E200" s="36" t="n">
        <x:f>SUM(G200:HT200)</x:f>
        <x:v>0</x:v>
      </x:c>
      <x:c r="R200" s="100" t="n"/>
      <x:c r="S200" s="100" t="n"/>
      <x:c r="AE200" s="100" t="n"/>
      <x:c r="AF200" s="100" t="n"/>
      <x:c r="AG200" s="100" t="n"/>
      <x:c r="AH200" s="100" t="n"/>
      <x:c r="AI200" s="100" t="n"/>
      <x:c r="AJ200" s="100" t="n"/>
      <x:c r="AK200" s="100" t="n"/>
      <x:c r="AM200" s="100" t="n"/>
      <x:c r="AO200" s="100" t="n"/>
    </x:row>
    <x:row r="201" s="27" customFormat="1">
      <x:c r="A201" s="38" t="n"/>
      <x:c r="B201" s="37" t="n"/>
      <x:c r="C201" s="36" t="n">
        <x:f>E201*D$5</x:f>
        <x:v>0</x:v>
      </x:c>
      <x:c r="D201" s="20" t="n"/>
      <x:c r="E201" s="36" t="n">
        <x:f>SUM(G201:HT201)</x:f>
        <x:v>0</x:v>
      </x:c>
      <x:c r="R201" s="100" t="n"/>
      <x:c r="S201" s="100" t="n"/>
      <x:c r="AE201" s="100" t="n"/>
      <x:c r="AF201" s="100" t="n"/>
      <x:c r="AG201" s="100" t="n"/>
      <x:c r="AH201" s="100" t="n"/>
      <x:c r="AI201" s="100" t="n"/>
      <x:c r="AJ201" s="100" t="n"/>
      <x:c r="AK201" s="100" t="n"/>
      <x:c r="AM201" s="100" t="n"/>
      <x:c r="AO201" s="100" t="n"/>
    </x:row>
    <x:row r="202" s="27" customFormat="1">
      <x:c r="A202" s="38" t="n"/>
      <x:c r="B202" s="37" t="n"/>
      <x:c r="C202" s="36" t="n">
        <x:f>E202*D$5</x:f>
        <x:v>0</x:v>
      </x:c>
      <x:c r="D202" s="20" t="n"/>
      <x:c r="E202" s="36" t="n">
        <x:f>SUM(G202:HT202)</x:f>
        <x:v>0</x:v>
      </x:c>
      <x:c r="R202" s="100" t="n"/>
      <x:c r="S202" s="100" t="n"/>
      <x:c r="AE202" s="100" t="n"/>
      <x:c r="AF202" s="100" t="n"/>
      <x:c r="AG202" s="100" t="n"/>
      <x:c r="AH202" s="100" t="n"/>
      <x:c r="AI202" s="100" t="n"/>
      <x:c r="AJ202" s="100" t="n"/>
      <x:c r="AK202" s="100" t="n"/>
      <x:c r="AM202" s="100" t="n"/>
      <x:c r="AO202" s="100" t="n"/>
    </x:row>
    <x:row r="203" s="27" customFormat="1">
      <x:c r="A203" s="38" t="n"/>
      <x:c r="B203" s="37" t="n"/>
      <x:c r="C203" s="36" t="n">
        <x:f>E203*D$5</x:f>
        <x:v>0</x:v>
      </x:c>
      <x:c r="D203" s="20" t="n"/>
      <x:c r="E203" s="36" t="n">
        <x:f>SUM(G203:HT203)</x:f>
        <x:v>0</x:v>
      </x:c>
      <x:c r="R203" s="100" t="n"/>
      <x:c r="S203" s="100" t="n"/>
      <x:c r="AE203" s="100" t="n"/>
      <x:c r="AF203" s="100" t="n"/>
      <x:c r="AG203" s="100" t="n"/>
      <x:c r="AH203" s="100" t="n"/>
      <x:c r="AI203" s="100" t="n"/>
      <x:c r="AJ203" s="100" t="n"/>
      <x:c r="AK203" s="100" t="n"/>
      <x:c r="AM203" s="102" t="n"/>
      <x:c r="AO203" s="100" t="n"/>
    </x:row>
    <x:row r="204" s="29" customFormat="1">
      <x:c r="A204" s="34" t="n"/>
      <x:c r="B204" s="33" t="n"/>
      <x:c r="C204" s="32" t="n"/>
      <x:c r="D204" s="31" t="n"/>
      <x:c r="E204" s="30" t="n"/>
      <x:c r="R204" s="100" t="n"/>
      <x:c r="S204" s="100" t="n"/>
      <x:c r="AE204" s="100" t="n"/>
      <x:c r="AF204" s="100" t="n"/>
      <x:c r="AG204" s="100" t="n"/>
      <x:c r="AH204" s="100" t="n"/>
      <x:c r="AI204" s="100" t="n"/>
      <x:c r="AJ204" s="100" t="n"/>
      <x:c r="AK204" s="100" t="n"/>
      <x:c r="AM204" s="95" t="n"/>
      <x:c r="AO204" s="100" t="n"/>
    </x:row>
    <x:row r="205" s="26" customFormat="1">
      <x:c r="A205" s="25" t="n"/>
      <x:c r="B205" s="24" t="n"/>
      <x:c r="C205" s="23" t="n"/>
      <x:c r="D205" s="22" t="n"/>
      <x:c r="E205" s="21" t="n"/>
      <x:c r="R205" s="100" t="n"/>
      <x:c r="S205" s="100" t="n"/>
      <x:c r="AE205" s="100" t="n"/>
      <x:c r="AF205" s="100" t="n"/>
      <x:c r="AG205" s="100" t="n"/>
      <x:c r="AH205" s="100" t="n"/>
      <x:c r="AI205" s="100" t="n"/>
      <x:c r="AJ205" s="100" t="n"/>
      <x:c r="AK205" s="100" t="n"/>
      <x:c r="AM205" s="95" t="n"/>
      <x:c r="AO205" s="100" t="n"/>
    </x:row>
    <x:row r="206">
      <x:c r="A206" s="25" t="n"/>
      <x:c r="B206" s="24" t="n"/>
      <x:c r="C206" s="23" t="n"/>
      <x:c r="D206" s="22" t="n"/>
      <x:c r="E206" s="21" t="n"/>
      <x:c r="R206" s="100" t="n"/>
      <x:c r="S206" s="100" t="n"/>
      <x:c r="AE206" s="100" t="n"/>
      <x:c r="AF206" s="100" t="n"/>
      <x:c r="AG206" s="100" t="n"/>
      <x:c r="AH206" s="102" t="n"/>
      <x:c r="AI206" s="102" t="n"/>
      <x:c r="AJ206" s="102" t="n"/>
      <x:c r="AK206" s="102" t="n"/>
      <x:c r="AO206" s="102" t="n"/>
    </x:row>
    <x:row r="207">
      <x:c r="R207" s="100" t="n"/>
      <x:c r="S207" s="100" t="n"/>
      <x:c r="AE207" s="102" t="n"/>
      <x:c r="AF207" s="100" t="n"/>
      <x:c r="AG207" s="100" t="n"/>
    </x:row>
    <x:row r="208">
      <x:c r="R208" s="102" t="n"/>
      <x:c r="S208" s="102" t="n"/>
      <x:c r="AF208" s="102" t="n"/>
      <x:c r="AG208" s="100" t="n"/>
    </x:row>
    <x:row r="209">
      <x:c r="AG209" s="100" t="n"/>
    </x:row>
    <x:row r="210">
      <x:c r="AG210" s="100" t="n"/>
    </x:row>
    <x:row r="211">
      <x:c r="AG211" s="100" t="n"/>
    </x:row>
    <x:row r="212">
      <x:c r="AG212" s="102" t="n"/>
    </x:row>
  </x:sheetData>
  <x:mergeCells>
    <x:mergeCell ref="CG7:CG8"/>
    <x:mergeCell ref="EX7:EX8"/>
    <x:mergeCell ref="EZ7:EZ8"/>
    <x:mergeCell ref="DH7:DH8"/>
    <x:mergeCell ref="BR7:BR8"/>
    <x:mergeCell ref="BA7:BA8"/>
    <x:mergeCell ref="BC7:BC8"/>
    <x:mergeCell ref="DT7:DT8"/>
    <x:mergeCell ref="M7:M8"/>
    <x:mergeCell ref="DV7:DV8"/>
    <x:mergeCell ref="FD7:FD8"/>
    <x:mergeCell ref="FV7:FV8"/>
    <x:mergeCell ref="BO7:BO8"/>
    <x:mergeCell ref="FX7:FX8"/>
    <x:mergeCell ref="CI7:CI8"/>
    <x:mergeCell ref="DS7:DS8"/>
    <x:mergeCell ref="E1:F1"/>
    <x:mergeCell ref="P7:P8"/>
    <x:mergeCell ref="AM7:AM8"/>
    <x:mergeCell ref="FF7:FF8"/>
    <x:mergeCell ref="CA7:CA8"/>
    <x:mergeCell ref="T7:T8"/>
    <x:mergeCell ref="V7:V8"/>
    <x:mergeCell ref="CM7:CM8"/>
    <x:mergeCell ref="AN7:AN8"/>
    <x:mergeCell ref="AP7:AP8"/>
    <x:mergeCell ref="AF7:AF8"/>
    <x:mergeCell ref="DG7:DG8"/>
    <x:mergeCell ref="EO7:EO8"/>
    <x:mergeCell ref="AH7:AH8"/>
    <x:mergeCell ref="EQ7:EQ8"/>
    <x:mergeCell ref="D2:D4"/>
    <x:mergeCell ref="FI7:FI8"/>
    <x:mergeCell ref="CJ7:CJ8"/>
    <x:mergeCell ref="BB7:BB8"/>
    <x:mergeCell ref="FA7:FA8"/>
    <x:mergeCell ref="BD7:BD8"/>
    <x:mergeCell ref="FC7:FC8"/>
    <x:mergeCell ref="EN7:EN8"/>
    <x:mergeCell ref="AT7:AT8"/>
    <x:mergeCell ref="DK7:DK8"/>
    <x:mergeCell ref="AV7:AV8"/>
    <x:mergeCell ref="CP7:CP8"/>
    <x:mergeCell ref="DM7:DM8"/>
    <x:mergeCell ref="C6:C7"/>
    <x:mergeCell ref="BF7:BF8"/>
    <x:mergeCell ref="FO7:FO8"/>
    <x:mergeCell ref="BH7:BH8"/>
    <x:mergeCell ref="E3:F3"/>
    <x:mergeCell ref="FQ7:FQ8"/>
    <x:mergeCell ref="DY7:DY8"/>
    <x:mergeCell ref="EA7:EA8"/>
    <x:mergeCell ref="DJ7:DJ8"/>
    <x:mergeCell ref="GA7:GA8"/>
    <x:mergeCell ref="BT7:BT8"/>
    <x:mergeCell ref="B3:C3"/>
    <x:mergeCell ref="A2:A6"/>
    <x:mergeCell ref="E5:F5"/>
    <x:mergeCell ref="G7:G8"/>
    <x:mergeCell ref="DP7:DP8"/>
    <x:mergeCell ref="I7:I8"/>
    <x:mergeCell ref="BI7:BI8"/>
    <x:mergeCell ref="S7:S8"/>
    <x:mergeCell ref="EB7:EB8"/>
    <x:mergeCell ref="U7:U8"/>
    <x:mergeCell ref="FL7:FL8"/>
    <x:mergeCell ref="W7:W8"/>
    <x:mergeCell ref="E4:F4"/>
    <x:mergeCell ref="BW7:BW8"/>
    <x:mergeCell ref="CT7:CT8"/>
    <x:mergeCell ref="B2:C2"/>
    <x:mergeCell ref="CF7:CF8"/>
    <x:mergeCell ref="EF7:EF8"/>
    <x:mergeCell ref="AI7:AI8"/>
    <x:mergeCell ref="Y7:Y8"/>
    <x:mergeCell ref="EH7:EH8"/>
    <x:mergeCell ref="CZ7:CZ8"/>
    <x:mergeCell ref="AA7:AA8"/>
    <x:mergeCell ref="CR7:CR8"/>
    <x:mergeCell ref="AS7:AS8"/>
    <x:mergeCell ref="CC7:CC8"/>
    <x:mergeCell ref="AU7:AU8"/>
    <x:mergeCell ref="ET7:ET8"/>
    <x:mergeCell ref="F6:F8"/>
    <x:mergeCell ref="EV7:EV8"/>
    <x:mergeCell ref="CW7:CW8"/>
    <x:mergeCell ref="FN7:FN8"/>
    <x:mergeCell ref="CO7:CO8"/>
    <x:mergeCell ref="FP7:FP8"/>
    <x:mergeCell ref="DI7:DI8"/>
    <x:mergeCell ref="AY7:AY8"/>
    <x:mergeCell ref="AD7:AD8"/>
    <x:mergeCell ref="CU7:CU8"/>
    <x:mergeCell ref="DR7:DR8"/>
    <x:mergeCell ref="FR7:FR8"/>
    <x:mergeCell ref="BK7:BK8"/>
    <x:mergeCell ref="FT7:FT8"/>
    <x:mergeCell ref="DO7:DO8"/>
    <x:mergeCell ref="BQ7:BQ8"/>
    <x:mergeCell ref="DA7:DA8"/>
    <x:mergeCell ref="L7:L8"/>
    <x:mergeCell ref="DU7:DU8"/>
    <x:mergeCell ref="N7:N8"/>
    <x:mergeCell ref="BN7:BN8"/>
    <x:mergeCell ref="BP7:BP8"/>
    <x:mergeCell ref="EG7:EG8"/>
    <x:mergeCell ref="BZ7:BZ8"/>
    <x:mergeCell ref="CB7:CB8"/>
    <x:mergeCell ref="R7:R8"/>
    <x:mergeCell ref="CE7:CE8"/>
    <x:mergeCell ref="AJ7:AJ8"/>
    <x:mergeCell ref="CK7:CK8"/>
    <x:mergeCell ref="AL7:AL8"/>
    <x:mergeCell ref="EK7:EK8"/>
    <x:mergeCell ref="DC7:DC8"/>
    <x:mergeCell ref="EM7:EM8"/>
    <x:mergeCell ref="CN7:CN8"/>
    <x:mergeCell ref="FE7:FE8"/>
    <x:mergeCell ref="AX7:AX8"/>
    <x:mergeCell ref="FG7:FG8"/>
    <x:mergeCell ref="EW7:EW8"/>
    <x:mergeCell ref="EY7:EY8"/>
    <x:mergeCell ref="DB7:DB8"/>
    <x:mergeCell ref="CL7:CL8"/>
    <x:mergeCell ref="AG7:AG8"/>
    <x:mergeCell ref="EP7:EP8"/>
    <x:mergeCell ref="FW7:FW8"/>
    <x:mergeCell ref="FB7:FB8"/>
    <x:mergeCell ref="FY7:FY8"/>
    <x:mergeCell ref="DL7:DL8"/>
    <x:mergeCell ref="DD7:DD8"/>
    <x:mergeCell ref="BV7:BV8"/>
    <x:mergeCell ref="BE7:BE8"/>
    <x:mergeCell ref="DF7:DF8"/>
    <x:mergeCell ref="BG7:BG8"/>
    <x:mergeCell ref="O7:O8"/>
    <x:mergeCell ref="DX7:DX8"/>
    <x:mergeCell ref="Q7:Q8"/>
    <x:mergeCell ref="FH7:FH8"/>
    <x:mergeCell ref="DZ7:DZ8"/>
    <x:mergeCell ref="FZ7:FZ8"/>
    <x:mergeCell ref="BS7:BS8"/>
    <x:mergeCell ref="EJ7:EJ8"/>
    <x:mergeCell ref="BU7:BU8"/>
    <x:mergeCell ref="DW7:DW8"/>
    <x:mergeCell ref="AR7:AR8"/>
    <x:mergeCell ref="B5:C5"/>
    <x:mergeCell ref="EI7:EI8"/>
    <x:mergeCell ref="ED7:ED8"/>
    <x:mergeCell ref="AO7:AO8"/>
    <x:mergeCell ref="D6:D7"/>
    <x:mergeCell ref="BY7:BY8"/>
    <x:mergeCell ref="AQ7:AQ8"/>
    <x:mergeCell ref="B6:B8"/>
    <x:mergeCell ref="B4:C4"/>
    <x:mergeCell ref="ER7:ER8"/>
    <x:mergeCell ref="CS7:CS8"/>
    <x:mergeCell ref="FJ7:FJ8"/>
    <x:mergeCell ref="DE7:DE8"/>
    <x:mergeCell ref="X7:X8"/>
    <x:mergeCell ref="Z7:Z8"/>
    <x:mergeCell ref="CQ7:CQ8"/>
    <x:mergeCell ref="ES7:ES8"/>
    <x:mergeCell ref="EU7:EU8"/>
    <x:mergeCell ref="BM7:BM8"/>
    <x:mergeCell ref="AZ7:AZ8"/>
    <x:mergeCell ref="H7:H8"/>
    <x:mergeCell ref="DQ7:DQ8"/>
    <x:mergeCell ref="J7:J8"/>
    <x:mergeCell ref="E6:E7"/>
    <x:mergeCell ref="BJ7:BJ8"/>
    <x:mergeCell ref="AB7:AB8"/>
    <x:mergeCell ref="FS7:FS8"/>
    <x:mergeCell ref="BL7:BL8"/>
    <x:mergeCell ref="FU7:FU8"/>
    <x:mergeCell ref="FK7:FK8"/>
    <x:mergeCell ref="EC7:EC8"/>
    <x:mergeCell ref="FM7:FM8"/>
    <x:mergeCell ref="EE7:EE8"/>
    <x:mergeCell ref="DN7:DN8"/>
    <x:mergeCell ref="CD7:CD8"/>
    <x:mergeCell ref="BX7:BX8"/>
    <x:mergeCell ref="E2:F2"/>
    <x:mergeCell ref="K7:K8"/>
    <x:mergeCell ref="CY7:CY8"/>
    <x:mergeCell ref="CX7:CX8"/>
    <x:mergeCell ref="CH7:CH8"/>
    <x:mergeCell ref="AK7:AK8"/>
    <x:mergeCell ref="AC7:AC8"/>
    <x:mergeCell ref="EL7:EL8"/>
    <x:mergeCell ref="AE7:AE8"/>
    <x:mergeCell ref="CV7:CV8"/>
    <x:mergeCell ref="AW7:AW8"/>
  </x:mergeCells>
  <x:pageMargins left="0.7" right="0.7" top="0.75" bottom="0.75" header="0.3" footer="0.3"/>
</x:worksheet>
</file>

<file path=xl/worksheets/sheet11.xml><?xml version="1.0" encoding="utf-8"?>
<x:worksheet xmlns:x="http://schemas.openxmlformats.org/spreadsheetml/2006/main">
  <x:sheetFormatPr baseColWidth="8" defaultColWidth="14.42578125" defaultRowHeight="12.75"/>
  <x:cols>
    <x:col min="1" max="1" width="8.140625" style="19" customWidth="1"/>
    <x:col min="2" max="2" width="10.5703125" style="18" customWidth="1"/>
    <x:col min="3" max="3" width="11.5703125" style="17" customWidth="1"/>
    <x:col min="4" max="4" width="51.42578125" style="16" customWidth="1"/>
    <x:col min="5" max="5" width="10.5703125" style="15" customWidth="1"/>
    <x:col min="6" max="6" width="6.85546875" style="13" customWidth="1"/>
    <x:col min="7" max="17" width="13" style="13" customWidth="1"/>
    <x:col min="18" max="19" width="13" style="95" customWidth="1"/>
    <x:col min="20" max="30" width="13" style="13" customWidth="1"/>
    <x:col min="31" max="37" width="13" style="95" customWidth="1"/>
    <x:col min="38" max="38" width="13" style="13" customWidth="1"/>
    <x:col min="39" max="39" width="13" style="95" customWidth="1"/>
    <x:col min="40" max="40" width="13" style="13" customWidth="1"/>
    <x:col min="41" max="41" width="13" style="95" customWidth="1"/>
    <x:col min="42" max="183" width="13" style="13" customWidth="1"/>
    <x:col min="184" max="184" width="13" style="14" customWidth="1"/>
    <x:col min="185" max="188" width="13" style="13" customWidth="1"/>
    <x:col min="189" max="16384" width="14.42578125" style="13" customWidth="1"/>
  </x:cols>
  <x:sheetData>
    <x:row r="1" s="569" customFormat="1" ht="13.5" customHeight="1">
      <x:c r="E1" s="477" t="inlineStr">
        <x:is>
          <x:t xml:space="preserve">Instrument</x:t>
        </x:is>
      </x:c>
      <x:c r="F1" s="592" t="n"/>
      <x:c r="G1" s="63" t="n"/>
      <x:c r="H1" s="116" t="inlineStr">
        <x:is>
          <x:t xml:space="preserve">PAT</x:t>
        </x:is>
      </x:c>
      <x:c r="I1" s="116" t="inlineStr">
        <x:is>
          <x:t xml:space="preserve">DEED</x:t>
        </x:is>
      </x:c>
      <x:c r="J1" s="116" t="inlineStr">
        <x:is>
          <x:t xml:space="preserve">DEED</x:t>
        </x:is>
      </x:c>
      <x:c r="K1" s="116" t="inlineStr">
        <x:is>
          <x:t xml:space="preserve">DEED</x:t>
        </x:is>
      </x:c>
      <x:c r="L1" s="116" t="inlineStr">
        <x:is>
          <x:t xml:space="preserve">WD</x:t>
        </x:is>
      </x:c>
      <x:c r="M1" s="116" t="inlineStr">
        <x:is>
          <x:t xml:space="preserve">QCD</x:t>
        </x:is>
      </x:c>
      <x:c r="N1" s="116" t="inlineStr">
        <x:is>
          <x:t xml:space="preserve">WD</x:t>
        </x:is>
      </x:c>
      <x:c r="O1" s="116" t="inlineStr">
        <x:is>
          <x:t xml:space="preserve">MD</x:t>
        </x:is>
      </x:c>
      <x:c r="P1" s="116" t="inlineStr">
        <x:is>
          <x:t xml:space="preserve">MD</x:t>
        </x:is>
      </x:c>
      <x:c r="Q1" s="116" t="inlineStr">
        <x:is>
          <x:t xml:space="preserve">MD</x:t>
        </x:is>
      </x:c>
      <x:c r="R1" s="116" t="inlineStr">
        <x:is>
          <x:t xml:space="preserve">MD</x:t>
        </x:is>
      </x:c>
      <x:c r="S1" s="116" t="inlineStr">
        <x:is>
          <x:t xml:space="preserve">DECREE</x:t>
        </x:is>
      </x:c>
      <x:c r="T1" s="116" t="inlineStr">
        <x:is>
          <x:t xml:space="preserve">WD</x:t>
        </x:is>
      </x:c>
      <x:c r="U1" s="116" t="inlineStr">
        <x:is>
          <x:t xml:space="preserve">JTWD</x:t>
        </x:is>
      </x:c>
      <x:c r="V1" s="116" t="inlineStr">
        <x:is>
          <x:t xml:space="preserve">DECREE</x:t>
        </x:is>
      </x:c>
      <x:c r="W1" s="116" t="inlineStr">
        <x:is>
          <x:t xml:space="preserve">MD</x:t>
        </x:is>
      </x:c>
      <x:c r="X1" s="116" t="inlineStr">
        <x:is>
          <x:t xml:space="preserve">QCD</x:t>
        </x:is>
      </x:c>
      <x:c r="Y1" s="116" t="inlineStr">
        <x:is>
          <x:t xml:space="preserve">MD</x:t>
        </x:is>
      </x:c>
      <x:c r="Z1" s="116" t="inlineStr">
        <x:is>
          <x:t xml:space="preserve">DECREE</x:t>
        </x:is>
      </x:c>
      <x:c r="AA1" s="116" t="inlineStr">
        <x:is>
          <x:t xml:space="preserve">QCD</x:t>
        </x:is>
      </x:c>
      <x:c r="AB1" s="116" t="inlineStr">
        <x:is>
          <x:t xml:space="preserve">AFF</x:t>
        </x:is>
      </x:c>
      <x:c r="AC1" s="116" t="inlineStr">
        <x:is>
          <x:t xml:space="preserve">DECREE</x:t>
        </x:is>
      </x:c>
      <x:c r="AD1" s="116" t="inlineStr">
        <x:is>
          <x:t xml:space="preserve">MD</x:t>
        </x:is>
      </x:c>
      <x:c r="AE1" s="116" t="inlineStr">
        <x:is>
          <x:t xml:space="preserve">MD</x:t>
        </x:is>
      </x:c>
      <x:c r="AF1" s="116" t="inlineStr">
        <x:is>
          <x:t xml:space="preserve">MD</x:t>
        </x:is>
      </x:c>
      <x:c r="AG1" s="116" t="inlineStr">
        <x:is>
          <x:t xml:space="preserve">MD</x:t>
        </x:is>
      </x:c>
      <x:c r="AH1" s="116" t="inlineStr">
        <x:is>
          <x:t xml:space="preserve">DECREE</x:t>
        </x:is>
      </x:c>
      <x:c r="AI1" s="116" t="inlineStr">
        <x:is>
          <x:t xml:space="preserve">MD</x:t>
        </x:is>
      </x:c>
      <x:c r="AJ1" s="116" t="inlineStr">
        <x:is>
          <x:t xml:space="preserve">MD</x:t>
        </x:is>
      </x:c>
      <x:c r="AK1" s="116" t="inlineStr">
        <x:is>
          <x:t xml:space="preserve">QCD</x:t>
        </x:is>
      </x:c>
      <x:c r="AL1" s="116" t="inlineStr">
        <x:is>
          <x:t xml:space="preserve">MD</x:t>
        </x:is>
      </x:c>
      <x:c r="AM1" s="116" t="inlineStr">
        <x:is>
          <x:t xml:space="preserve">DECREE</x:t>
        </x:is>
      </x:c>
      <x:c r="AN1" s="116" t="inlineStr">
        <x:is>
          <x:t xml:space="preserve">QCD</x:t>
        </x:is>
      </x:c>
      <x:c r="AO1" s="116" t="inlineStr">
        <x:is>
          <x:t xml:space="preserve">MD</x:t>
        </x:is>
      </x:c>
      <x:c r="AP1" s="95" t="inlineStr">
        <x:is>
          <x:t xml:space="preserve">MD</x:t>
        </x:is>
      </x:c>
      <x:c r="AQ1" s="95" t="inlineStr">
        <x:is>
          <x:t xml:space="preserve">DECREE</x:t>
        </x:is>
      </x:c>
      <x:c r="AR1" s="95" t="inlineStr">
        <x:is>
          <x:t xml:space="preserve">QCD</x:t>
        </x:is>
      </x:c>
      <x:c r="AS1" s="95" t="inlineStr">
        <x:is>
          <x:t xml:space="preserve">QCD</x:t>
        </x:is>
      </x:c>
      <x:c r="AT1" s="95" t="inlineStr">
        <x:is>
          <x:t xml:space="preserve">WD</x:t>
        </x:is>
      </x:c>
      <x:c r="AU1" s="95" t="inlineStr">
        <x:is>
          <x:t xml:space="preserve">MD</x:t>
        </x:is>
      </x:c>
      <x:c r="AV1" s="95" t="inlineStr">
        <x:is>
          <x:t xml:space="preserve">MD</x:t>
        </x:is>
      </x:c>
      <x:c r="AW1" s="95" t="n"/>
      <x:c r="AX1" s="95" t="n"/>
      <x:c r="AY1" s="95" t="n"/>
      <x:c r="AZ1" s="95" t="n"/>
      <x:c r="BA1" s="95" t="n"/>
      <x:c r="BB1" s="95" t="n"/>
      <x:c r="BC1" s="95" t="n"/>
      <x:c r="BD1" s="95" t="n"/>
      <x:c r="BE1" s="95" t="n"/>
      <x:c r="BF1" s="95" t="n"/>
      <x:c r="BG1" s="95" t="n"/>
      <x:c r="BH1" s="95" t="n"/>
      <x:c r="BI1" s="95" t="n"/>
      <x:c r="BJ1" s="95" t="n"/>
      <x:c r="BK1" s="95" t="n"/>
      <x:c r="BL1" s="95" t="n"/>
      <x:c r="BM1" s="95" t="n"/>
      <x:c r="BN1" s="95" t="n"/>
      <x:c r="BO1" s="95" t="n"/>
      <x:c r="BP1" s="95" t="n"/>
      <x:c r="BQ1" s="95" t="n"/>
      <x:c r="BR1" s="95" t="n"/>
      <x:c r="BS1" s="95" t="n"/>
      <x:c r="BT1" s="95" t="n"/>
      <x:c r="BU1" s="95" t="n"/>
      <x:c r="BV1" s="95" t="n"/>
      <x:c r="BW1" s="95" t="n"/>
      <x:c r="BX1" s="95" t="n"/>
      <x:c r="BY1" s="95" t="n"/>
      <x:c r="BZ1" s="95" t="n"/>
      <x:c r="CA1" s="95" t="n"/>
      <x:c r="CB1" s="95" t="n"/>
      <x:c r="CC1" s="95" t="n"/>
      <x:c r="CD1" s="95" t="n"/>
      <x:c r="CE1" s="95" t="n"/>
      <x:c r="CF1" s="95" t="n"/>
      <x:c r="CG1" s="95" t="n"/>
      <x:c r="CH1" s="95" t="n"/>
      <x:c r="CI1" s="95" t="n"/>
      <x:c r="CJ1" s="95" t="n"/>
      <x:c r="CK1" s="95" t="n"/>
      <x:c r="CL1" s="95" t="n"/>
      <x:c r="CM1" s="95" t="n"/>
      <x:c r="CN1" s="95" t="n"/>
      <x:c r="CO1" s="95" t="n"/>
      <x:c r="CP1" s="95" t="n"/>
      <x:c r="CQ1" s="95" t="n"/>
      <x:c r="CR1" s="95" t="n"/>
      <x:c r="CS1" s="95" t="n"/>
      <x:c r="CT1" s="95" t="n"/>
      <x:c r="CU1" s="95" t="n"/>
      <x:c r="CV1" s="95" t="n"/>
      <x:c r="CW1" s="95" t="n"/>
      <x:c r="CX1" s="95" t="n"/>
      <x:c r="CY1" s="95" t="n"/>
      <x:c r="CZ1" s="95" t="n"/>
      <x:c r="DA1" s="95" t="n"/>
      <x:c r="DB1" s="95" t="n"/>
      <x:c r="DC1" s="95" t="n"/>
      <x:c r="DD1" s="95" t="n"/>
      <x:c r="DE1" s="95" t="n"/>
      <x:c r="DF1" s="95" t="n"/>
      <x:c r="DG1" s="95" t="n"/>
      <x:c r="DH1" s="95" t="n"/>
      <x:c r="DI1" s="95" t="n"/>
      <x:c r="DJ1" s="95" t="n"/>
      <x:c r="DK1" s="95" t="n"/>
      <x:c r="DL1" s="95" t="n"/>
      <x:c r="DM1" s="95" t="n"/>
      <x:c r="DN1" s="95" t="n"/>
      <x:c r="DO1" s="95" t="n"/>
      <x:c r="DP1" s="95" t="n"/>
      <x:c r="DQ1" s="95" t="n"/>
      <x:c r="DR1" s="95" t="n"/>
      <x:c r="DS1" s="95" t="n"/>
      <x:c r="DT1" s="95" t="n"/>
      <x:c r="DU1" s="95" t="n"/>
      <x:c r="DV1" s="95" t="n"/>
      <x:c r="DW1" s="95" t="n"/>
      <x:c r="DX1" s="95" t="n"/>
      <x:c r="DY1" s="95" t="n"/>
      <x:c r="DZ1" s="95" t="n"/>
      <x:c r="EA1" s="95" t="n"/>
      <x:c r="EB1" s="95" t="n"/>
      <x:c r="EC1" s="95" t="n"/>
      <x:c r="ED1" s="95" t="n"/>
      <x:c r="EE1" s="95" t="n"/>
      <x:c r="EF1" s="95" t="n"/>
      <x:c r="EG1" s="95" t="n"/>
      <x:c r="EH1" s="95" t="n"/>
      <x:c r="EI1" s="95" t="n"/>
      <x:c r="EJ1" s="95" t="n"/>
      <x:c r="EK1" s="95" t="n"/>
      <x:c r="EL1" s="95" t="n"/>
      <x:c r="EM1" s="95" t="n"/>
      <x:c r="EN1" s="95" t="n"/>
      <x:c r="EO1" s="95" t="n"/>
      <x:c r="EP1" s="95" t="n"/>
      <x:c r="EQ1" s="95" t="n"/>
      <x:c r="ER1" s="95" t="n"/>
      <x:c r="ES1" s="95" t="n"/>
      <x:c r="ET1" s="95" t="n"/>
      <x:c r="EU1" s="95" t="n"/>
      <x:c r="EV1" s="95" t="n"/>
      <x:c r="EW1" s="95" t="n"/>
      <x:c r="EX1" s="95" t="n"/>
      <x:c r="EY1" s="95" t="n"/>
      <x:c r="EZ1" s="95" t="n"/>
      <x:c r="FA1" s="95" t="n"/>
      <x:c r="FB1" s="95" t="n"/>
      <x:c r="FC1" s="95" t="n"/>
      <x:c r="FD1" s="95" t="n"/>
      <x:c r="FE1" s="95" t="n"/>
      <x:c r="FF1" s="95" t="n"/>
      <x:c r="FG1" s="95" t="n"/>
      <x:c r="FH1" s="95" t="n"/>
      <x:c r="FI1" s="95" t="n"/>
      <x:c r="FJ1" s="95" t="n"/>
      <x:c r="FK1" s="95" t="n"/>
      <x:c r="FL1" s="95" t="n"/>
      <x:c r="FM1" s="95" t="n"/>
      <x:c r="FN1" s="95" t="n"/>
      <x:c r="FO1" s="95" t="n"/>
      <x:c r="FP1" s="95" t="n"/>
      <x:c r="FQ1" s="95" t="n"/>
      <x:c r="FR1" s="95" t="n"/>
      <x:c r="FS1" s="95" t="n"/>
      <x:c r="FT1" s="95" t="n"/>
      <x:c r="FU1" s="95" t="n"/>
      <x:c r="FV1" s="95" t="n"/>
      <x:c r="FW1" s="95" t="n"/>
      <x:c r="FX1" s="95" t="n"/>
    </x:row>
    <x:row r="2" s="62" customFormat="1" ht="12.75" customHeight="1">
      <x:c r="A2" s="614" t="inlineStr">
        <x:is>
          <x:t xml:space="preserve">6</x:t>
        </x:is>
      </x:c>
      <x:c r="B2" s="615" t="inlineStr">
        <x:is>
          <x:t xml:space="preserve">TRACT</x:t>
        </x:is>
      </x:c>
      <x:c r="C2" s="593" t="n"/>
      <x:c r="D2" s="616" t="inlineStr">
        <x:is>
          <x:t xml:space="preserve">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the Range line between Ranges 24 and 25, thence North on Range line 50 chains (or 200 rods) to the point of beginning, containing 91 acres, more or less, according to the Government Survey thereof, LIMITED TO the South 51 acres thereof. </x:t>
        </x:is>
      </x:c>
      <x:c r="E2" s="617" t="inlineStr">
        <x:is>
          <x:t xml:space="preserve">Image Number</x:t>
        </x:is>
      </x:c>
      <x:c r="F2" s="618" t="n"/>
      <x:c r="G2" s="63" t="n"/>
      <x:c r="H2" s="118" t="inlineStr">
        <x:is>
          <x:t xml:space="preserve">1931-001789</x:t>
        </x:is>
      </x:c>
      <x:c r="I2" s="118" t="inlineStr">
        <x:is>
          <x:t xml:space="preserve">1918-000943</x:t>
        </x:is>
      </x:c>
      <x:c r="J2" s="118" t="inlineStr">
        <x:is>
          <x:t xml:space="preserve">1925-000406</x:t>
        </x:is>
      </x:c>
      <x:c r="K2" s="118" t="inlineStr">
        <x:is>
          <x:t xml:space="preserve">1927-000706</x:t>
        </x:is>
      </x:c>
      <x:c r="L2" s="118" t="inlineStr">
        <x:is>
          <x:t xml:space="preserve">1949-000809</x:t>
        </x:is>
      </x:c>
      <x:c r="M2" s="118" t="inlineStr">
        <x:is>
          <x:t xml:space="preserve">1949-003394</x:t>
        </x:is>
      </x:c>
      <x:c r="N2" s="118" t="inlineStr">
        <x:is>
          <x:t xml:space="preserve">1953-000493</x:t>
        </x:is>
      </x:c>
      <x:c r="O2" s="118" t="inlineStr">
        <x:is>
          <x:t xml:space="preserve">1962-001141</x:t>
        </x:is>
      </x:c>
      <x:c r="P2" s="118" t="inlineStr">
        <x:is>
          <x:t xml:space="preserve">1962-001145</x:t>
        </x:is>
      </x:c>
      <x:c r="Q2" s="118" t="inlineStr">
        <x:is>
          <x:t xml:space="preserve">1962-001389</x:t>
        </x:is>
      </x:c>
      <x:c r="R2" s="118" t="inlineStr">
        <x:is>
          <x:t xml:space="preserve">1962-001390</x:t>
        </x:is>
      </x:c>
      <x:c r="S2" s="118" t="inlineStr">
        <x:is>
          <x:t xml:space="preserve">1967-002816</x:t>
        </x:is>
      </x:c>
      <x:c r="T2" s="118" t="inlineStr">
        <x:is>
          <x:t xml:space="preserve">1976-003251</x:t>
        </x:is>
      </x:c>
      <x:c r="U2" s="118" t="inlineStr">
        <x:is>
          <x:t xml:space="preserve">1977-007503</x:t>
        </x:is>
      </x:c>
      <x:c r="V2" s="118" t="inlineStr">
        <x:is>
          <x:t xml:space="preserve">1979-002206</x:t>
        </x:is>
      </x:c>
      <x:c r="W2" s="118" t="inlineStr">
        <x:is>
          <x:t xml:space="preserve">1982-007158</x:t>
        </x:is>
      </x:c>
      <x:c r="X2" s="118" t="inlineStr">
        <x:is>
          <x:t xml:space="preserve">1990-004213</x:t>
        </x:is>
      </x:c>
      <x:c r="Y2" s="118" t="inlineStr">
        <x:is>
          <x:t xml:space="preserve">1992-003373</x:t>
        </x:is>
      </x:c>
      <x:c r="Z2" s="118" t="inlineStr">
        <x:is>
          <x:t xml:space="preserve">1993-000918</x:t>
        </x:is>
      </x:c>
      <x:c r="AA2" s="118" t="inlineStr">
        <x:is>
          <x:t xml:space="preserve">1995-000748</x:t>
        </x:is>
      </x:c>
      <x:c r="AB2" s="118" t="inlineStr">
        <x:is>
          <x:t xml:space="preserve">1999-003117</x:t>
        </x:is>
      </x:c>
      <x:c r="AC2" s="118" t="inlineStr">
        <x:is>
          <x:t xml:space="preserve">1999-005936</x:t>
        </x:is>
      </x:c>
      <x:c r="AD2" s="118" t="inlineStr">
        <x:is>
          <x:t xml:space="preserve">2004-005738</x:t>
        </x:is>
      </x:c>
      <x:c r="AE2" s="118" t="inlineStr">
        <x:is>
          <x:t xml:space="preserve">2004-005739</x:t>
        </x:is>
      </x:c>
      <x:c r="AF2" s="118" t="inlineStr">
        <x:is>
          <x:t xml:space="preserve">2008-006536</x:t>
        </x:is>
      </x:c>
      <x:c r="AG2" s="118" t="inlineStr">
        <x:is>
          <x:t xml:space="preserve">2004-006577</x:t>
        </x:is>
      </x:c>
      <x:c r="AH2" s="118" t="inlineStr">
        <x:is>
          <x:t xml:space="preserve">2005-002196</x:t>
        </x:is>
      </x:c>
      <x:c r="AI2" s="118" t="inlineStr">
        <x:is>
          <x:t xml:space="preserve">2005-004793</x:t>
        </x:is>
      </x:c>
      <x:c r="AJ2" s="118" t="inlineStr">
        <x:is>
          <x:t xml:space="preserve">2005-004044</x:t>
        </x:is>
      </x:c>
      <x:c r="AK2" s="118" t="inlineStr">
        <x:is>
          <x:t xml:space="preserve">2006-000153</x:t>
        </x:is>
      </x:c>
      <x:c r="AL2" s="118" t="inlineStr">
        <x:is>
          <x:t xml:space="preserve">2011-007826</x:t>
        </x:is>
      </x:c>
      <x:c r="AM2" s="118" t="inlineStr">
        <x:is>
          <x:t xml:space="preserve">2013-000518</x:t>
        </x:is>
      </x:c>
      <x:c r="AN2" s="118" t="inlineStr">
        <x:is>
          <x:t xml:space="preserve">2013-001724</x:t>
        </x:is>
      </x:c>
      <x:c r="AO2" s="118" t="inlineStr">
        <x:is>
          <x:t xml:space="preserve">2013-006585</x:t>
        </x:is>
      </x:c>
      <x:c r="AP2" s="96" t="inlineStr">
        <x:is>
          <x:t xml:space="preserve">2017-000951</x:t>
        </x:is>
      </x:c>
      <x:c r="AQ2" s="96" t="inlineStr">
        <x:is>
          <x:t xml:space="preserve">2026-002877</x:t>
        </x:is>
      </x:c>
      <x:c r="AR2" s="96" t="inlineStr">
        <x:is>
          <x:t xml:space="preserve">2020-001374</x:t>
        </x:is>
      </x:c>
      <x:c r="AS2" s="96" t="inlineStr">
        <x:is>
          <x:t xml:space="preserve">2025-001343</x:t>
        </x:is>
      </x:c>
      <x:c r="AT2" s="96" t="inlineStr">
        <x:is>
          <x:t xml:space="preserve">2025-003963</x:t>
        </x:is>
      </x:c>
      <x:c r="AU2" s="96" t="inlineStr">
        <x:is>
          <x:t xml:space="preserve">2026-000691</x:t>
        </x:is>
      </x:c>
      <x:c r="AV2" s="96" t="inlineStr">
        <x:is>
          <x:t xml:space="preserve">2026-001374</x:t>
        </x:is>
      </x:c>
      <x:c r="AW2" s="96" t="n"/>
      <x:c r="AX2" s="96" t="n"/>
      <x:c r="AY2" s="96" t="n"/>
      <x:c r="AZ2" s="96" t="n"/>
      <x:c r="BA2" s="96" t="n"/>
      <x:c r="BB2" s="96" t="n"/>
      <x:c r="BC2" s="96" t="n"/>
      <x:c r="BD2" s="96" t="n"/>
      <x:c r="BE2" s="96" t="n"/>
      <x:c r="BF2" s="96" t="n"/>
      <x:c r="BG2" s="96" t="n"/>
      <x:c r="BH2" s="96" t="n"/>
      <x:c r="BI2" s="96" t="n"/>
      <x:c r="BJ2" s="96" t="n"/>
      <x:c r="BK2" s="96" t="n"/>
      <x:c r="BL2" s="96" t="n"/>
      <x:c r="BM2" s="96" t="n"/>
      <x:c r="BN2" s="96" t="n"/>
      <x:c r="BO2" s="96" t="n"/>
      <x:c r="BP2" s="96" t="n"/>
      <x:c r="BQ2" s="96" t="n"/>
      <x:c r="BR2" s="96" t="n"/>
      <x:c r="BS2" s="96" t="n"/>
      <x:c r="BT2" s="96" t="n"/>
      <x:c r="BU2" s="96" t="n"/>
      <x:c r="BV2" s="96" t="n"/>
      <x:c r="BW2" s="96" t="n"/>
      <x:c r="BX2" s="96" t="n"/>
      <x:c r="BY2" s="96" t="n"/>
      <x:c r="BZ2" s="96" t="n"/>
      <x:c r="CA2" s="96" t="n"/>
      <x:c r="CB2" s="96" t="n"/>
      <x:c r="CC2" s="96" t="n"/>
      <x:c r="CD2" s="96" t="n"/>
      <x:c r="CE2" s="96" t="n"/>
      <x:c r="CF2" s="96" t="n"/>
      <x:c r="CG2" s="96" t="n"/>
      <x:c r="CH2" s="96" t="n"/>
      <x:c r="CI2" s="96" t="n"/>
      <x:c r="CJ2" s="96" t="n"/>
      <x:c r="CK2" s="96" t="n"/>
      <x:c r="CL2" s="96" t="n"/>
      <x:c r="CM2" s="96" t="n"/>
      <x:c r="CN2" s="96" t="n"/>
      <x:c r="CO2" s="96" t="n"/>
      <x:c r="CP2" s="96" t="n"/>
      <x:c r="CQ2" s="96" t="n"/>
      <x:c r="CR2" s="96" t="n"/>
      <x:c r="CS2" s="96" t="n"/>
      <x:c r="CT2" s="96" t="n"/>
      <x:c r="CU2" s="96" t="n"/>
      <x:c r="CV2" s="96" t="n"/>
      <x:c r="CW2" s="96" t="n"/>
      <x:c r="CX2" s="96" t="n"/>
      <x:c r="CY2" s="96" t="n"/>
      <x:c r="CZ2" s="96" t="n"/>
      <x:c r="DA2" s="96" t="n"/>
      <x:c r="DB2" s="96" t="n"/>
      <x:c r="DC2" s="96" t="n"/>
      <x:c r="DD2" s="96" t="n"/>
      <x:c r="DE2" s="96" t="n"/>
      <x:c r="DF2" s="96" t="n"/>
      <x:c r="DG2" s="96" t="n"/>
      <x:c r="DH2" s="96" t="n"/>
      <x:c r="DI2" s="96" t="n"/>
      <x:c r="DJ2" s="96" t="n"/>
      <x:c r="DK2" s="96" t="n"/>
      <x:c r="DL2" s="96" t="n"/>
      <x:c r="DM2" s="96" t="n"/>
      <x:c r="DN2" s="96" t="n"/>
      <x:c r="DO2" s="96" t="n"/>
      <x:c r="DP2" s="96" t="n"/>
      <x:c r="DQ2" s="96" t="n"/>
      <x:c r="DR2" s="96" t="n"/>
      <x:c r="DS2" s="96" t="n"/>
      <x:c r="DT2" s="96" t="n"/>
      <x:c r="DU2" s="96" t="n"/>
      <x:c r="DV2" s="96" t="n"/>
      <x:c r="DW2" s="96" t="n"/>
      <x:c r="DX2" s="96" t="n"/>
      <x:c r="DY2" s="96" t="n"/>
      <x:c r="DZ2" s="96" t="n"/>
      <x:c r="EA2" s="96" t="n"/>
      <x:c r="EB2" s="96" t="n"/>
      <x:c r="EC2" s="96" t="n"/>
      <x:c r="ED2" s="96" t="n"/>
      <x:c r="EE2" s="96" t="n"/>
      <x:c r="EF2" s="96" t="n"/>
      <x:c r="EG2" s="96" t="n"/>
      <x:c r="EH2" s="96" t="n"/>
      <x:c r="EI2" s="96" t="n"/>
      <x:c r="EJ2" s="96" t="n"/>
      <x:c r="EK2" s="96" t="n"/>
      <x:c r="EL2" s="96" t="n"/>
      <x:c r="EM2" s="96" t="n"/>
      <x:c r="EN2" s="96" t="n"/>
      <x:c r="EO2" s="96" t="n"/>
      <x:c r="EP2" s="96" t="n"/>
      <x:c r="EQ2" s="96" t="n"/>
      <x:c r="ER2" s="96" t="n"/>
      <x:c r="ES2" s="96" t="n"/>
      <x:c r="ET2" s="96" t="n"/>
      <x:c r="EU2" s="96" t="n"/>
      <x:c r="EV2" s="96" t="n"/>
      <x:c r="EW2" s="96" t="n"/>
      <x:c r="EX2" s="96" t="n"/>
      <x:c r="EY2" s="96" t="n"/>
      <x:c r="EZ2" s="96" t="n"/>
      <x:c r="FA2" s="96" t="n"/>
      <x:c r="FB2" s="96" t="n"/>
      <x:c r="FC2" s="96" t="n"/>
      <x:c r="FD2" s="96" t="n"/>
      <x:c r="FE2" s="96" t="n"/>
      <x:c r="FF2" s="96" t="n"/>
      <x:c r="FG2" s="96" t="n"/>
      <x:c r="FH2" s="96" t="n"/>
      <x:c r="FI2" s="96" t="n"/>
      <x:c r="FJ2" s="96" t="n"/>
      <x:c r="FK2" s="96" t="n"/>
      <x:c r="FL2" s="96" t="n"/>
      <x:c r="FM2" s="96" t="n"/>
      <x:c r="FN2" s="96" t="n"/>
      <x:c r="FO2" s="96" t="n"/>
      <x:c r="FP2" s="96" t="n"/>
      <x:c r="FQ2" s="96" t="n"/>
      <x:c r="FR2" s="96" t="n"/>
      <x:c r="FS2" s="96" t="n"/>
      <x:c r="FT2" s="96" t="n"/>
      <x:c r="FU2" s="96" t="n"/>
      <x:c r="FV2" s="96" t="n"/>
      <x:c r="FW2" s="96" t="n"/>
      <x:c r="FX2" s="96" t="n"/>
      <x:c r="FY2" s="59" t="n"/>
      <x:c r="FZ2" s="59" t="n"/>
      <x:c r="GA2" s="59" t="n"/>
    </x:row>
    <x:row r="3" s="62" customFormat="1" ht="23.100000381469727" customHeight="1">
      <x:c r="A3" s="619" t="n"/>
      <x:c r="B3" s="620" t="inlineStr">
        <x:is>
          <x:t xml:space="preserve">DESCRIPTION</x:t>
        </x:is>
      </x:c>
      <x:c r="C3" s="593" t="n"/>
      <x:c r="D3" s="621" t="n"/>
      <x:c r="E3" s="622" t="inlineStr">
        <x:is>
          <x:t xml:space="preserve">Book / Page </x:t>
        </x:is>
      </x:c>
      <x:c r="F3" s="618" t="n"/>
      <x:c r="G3" s="63" t="n"/>
      <x:c r="H3" s="6" t="inlineStr">
        <x:is>
          <x:t xml:space="preserve">PAT7/374</x:t>
        </x:is>
      </x:c>
      <x:c r="I3" s="6" t="inlineStr">
        <x:is>
          <x:t xml:space="preserve">D27/477</x:t>
        </x:is>
      </x:c>
      <x:c r="J3" s="6" t="inlineStr">
        <x:is>
          <x:t xml:space="preserve">D34/104</x:t>
        </x:is>
      </x:c>
      <x:c r="K3" s="6" t="inlineStr">
        <x:is>
          <x:t xml:space="preserve">D38/162</x:t>
        </x:is>
      </x:c>
      <x:c r="L3" s="6" t="inlineStr">
        <x:is>
          <x:t xml:space="preserve">D59/246</x:t>
        </x:is>
      </x:c>
      <x:c r="M3" s="6" t="inlineStr">
        <x:is>
          <x:t xml:space="preserve">QCD5/92</x:t>
        </x:is>
      </x:c>
      <x:c r="N3" s="6" t="inlineStr">
        <x:is>
          <x:t xml:space="preserve">D67/154</x:t>
        </x:is>
      </x:c>
      <x:c r="O3" s="6" t="inlineStr">
        <x:is>
          <x:t xml:space="preserve">MIS47/164</x:t>
        </x:is>
      </x:c>
      <x:c r="P3" s="6" t="inlineStr">
        <x:is>
          <x:t xml:space="preserve">MIS47/169</x:t>
        </x:is>
      </x:c>
      <x:c r="Q3" s="6" t="inlineStr">
        <x:is>
          <x:t xml:space="preserve">MIS47/558</x:t>
        </x:is>
      </x:c>
      <x:c r="R3" s="6" t="inlineStr">
        <x:is>
          <x:t xml:space="preserve">MIS47/559</x:t>
        </x:is>
      </x:c>
      <x:c r="S3" s="6" t="inlineStr">
        <x:is>
          <x:t xml:space="preserve">MIS86/33</x:t>
        </x:is>
      </x:c>
      <x:c r="T3" s="6" t="inlineStr">
        <x:is>
          <x:t xml:space="preserve">197/116</x:t>
        </x:is>
      </x:c>
      <x:c r="U3" s="6" t="inlineStr">
        <x:is>
          <x:t xml:space="preserve">227/89</x:t>
        </x:is>
      </x:c>
      <x:c r="V3" s="6" t="inlineStr">
        <x:is>
          <x:t xml:space="preserve">264/428</x:t>
        </x:is>
      </x:c>
      <x:c r="W3" s="6" t="inlineStr">
        <x:is>
          <x:t xml:space="preserve">451/176</x:t>
        </x:is>
      </x:c>
      <x:c r="X3" s="6" t="inlineStr">
        <x:is>
          <x:t xml:space="preserve">1151/107</x:t>
        </x:is>
      </x:c>
      <x:c r="Y3" s="6" t="inlineStr">
        <x:is>
          <x:t xml:space="preserve">1294/169</x:t>
        </x:is>
      </x:c>
      <x:c r="Z3" s="6" t="inlineStr">
        <x:is>
          <x:t xml:space="preserve">1324/22</x:t>
        </x:is>
      </x:c>
      <x:c r="AA3" s="6" t="inlineStr">
        <x:is>
          <x:t xml:space="preserve">1471/574</x:t>
        </x:is>
      </x:c>
      <x:c r="AB3" s="118" t="inlineStr">
        <x:is>
          <x:t xml:space="preserve">1581/316</x:t>
        </x:is>
      </x:c>
      <x:c r="AC3" s="118" t="inlineStr">
        <x:is>
          <x:t xml:space="preserve">1600/1</x:t>
        </x:is>
      </x:c>
      <x:c r="AD3" s="6" t="inlineStr">
        <x:is>
          <x:t xml:space="preserve">1764/344</x:t>
        </x:is>
      </x:c>
      <x:c r="AE3" s="6" t="inlineStr">
        <x:is>
          <x:t xml:space="preserve">1764/345</x:t>
        </x:is>
      </x:c>
      <x:c r="AF3" s="6" t="inlineStr">
        <x:is>
          <x:t xml:space="preserve">1937/418</x:t>
        </x:is>
      </x:c>
      <x:c r="AG3" s="6" t="inlineStr">
        <x:is>
          <x:t xml:space="preserve">1768/339</x:t>
        </x:is>
      </x:c>
      <x:c r="AH3" s="6" t="inlineStr">
        <x:is>
          <x:t xml:space="preserve">1784/591</x:t>
        </x:is>
      </x:c>
      <x:c r="AI3" s="6" t="inlineStr">
        <x:is>
          <x:t xml:space="preserve">1797/463</x:t>
        </x:is>
      </x:c>
      <x:c r="AJ3" s="6" t="inlineStr">
        <x:is>
          <x:t xml:space="preserve">1794/173</x:t>
        </x:is>
      </x:c>
      <x:c r="AK3" s="6" t="inlineStr">
        <x:is>
          <x:t xml:space="preserve">1819/156</x:t>
        </x:is>
      </x:c>
      <x:c r="AL3" s="118" t="inlineStr">
        <x:is>
          <x:t xml:space="preserve">2104/537</x:t>
        </x:is>
      </x:c>
      <x:c r="AM3" s="5" t="inlineStr">
        <x:is>
          <x:t xml:space="preserve">2177/33</x:t>
        </x:is>
      </x:c>
      <x:c r="AN3" s="118" t="inlineStr">
        <x:is>
          <x:t xml:space="preserve">2184/570</x:t>
        </x:is>
      </x:c>
      <x:c r="AO3" s="118" t="inlineStr">
        <x:is>
          <x:t xml:space="preserve">2224/382</x:t>
        </x:is>
      </x:c>
      <x:c r="AP3" s="107" t="inlineStr">
        <x:is>
          <x:t xml:space="preserve">2365/338</x:t>
        </x:is>
      </x:c>
      <x:c r="AQ3" s="107" t="inlineStr">
        <x:is>
          <x:t xml:space="preserve">2700/395</x:t>
        </x:is>
      </x:c>
      <x:c r="AR3" s="108" t="inlineStr">
        <x:is>
          <x:t xml:space="preserve">2450/598</x:t>
        </x:is>
      </x:c>
      <x:c r="AS3" s="107" t="inlineStr">
        <x:is>
          <x:t xml:space="preserve">2617/228</x:t>
        </x:is>
      </x:c>
      <x:c r="AT3" s="107" t="inlineStr">
        <x:is>
          <x:t xml:space="preserve">2638/58</x:t>
        </x:is>
      </x:c>
      <x:c r="AU3" s="96" t="inlineStr">
        <x:is>
          <x:t xml:space="preserve">2682/183</x:t>
        </x:is>
      </x:c>
      <x:c r="AV3" s="96" t="inlineStr">
        <x:is>
          <x:t xml:space="preserve">2688/409</x:t>
        </x:is>
      </x:c>
      <x:c r="AW3" s="96" t="n"/>
      <x:c r="AX3" s="96" t="n"/>
      <x:c r="AY3" s="96" t="n"/>
      <x:c r="AZ3" s="96" t="n"/>
      <x:c r="BA3" s="96" t="n"/>
      <x:c r="BB3" s="96" t="n"/>
      <x:c r="BC3" s="96" t="n"/>
      <x:c r="BD3" s="96" t="n"/>
      <x:c r="BE3" s="96" t="n"/>
      <x:c r="BF3" s="96" t="n"/>
      <x:c r="BG3" s="96" t="n"/>
      <x:c r="BH3" s="96" t="n"/>
      <x:c r="BI3" s="96" t="n"/>
      <x:c r="BJ3" s="96" t="n"/>
      <x:c r="BK3" s="96" t="n"/>
      <x:c r="BL3" s="96" t="n"/>
      <x:c r="BM3" s="96" t="n"/>
      <x:c r="BN3" s="96" t="n"/>
      <x:c r="BO3" s="96" t="n"/>
      <x:c r="BP3" s="96" t="n"/>
      <x:c r="BQ3" s="96" t="n"/>
      <x:c r="BR3" s="96" t="n"/>
      <x:c r="BS3" s="96" t="n"/>
      <x:c r="BT3" s="96" t="n"/>
      <x:c r="BU3" s="96" t="n"/>
      <x:c r="BV3" s="96" t="n"/>
      <x:c r="BW3" s="96" t="n"/>
      <x:c r="BX3" s="96" t="n"/>
      <x:c r="BY3" s="96" t="n"/>
      <x:c r="BZ3" s="96" t="n"/>
      <x:c r="CA3" s="96" t="n"/>
      <x:c r="CB3" s="96" t="n"/>
      <x:c r="CC3" s="96" t="n"/>
      <x:c r="CD3" s="96" t="n"/>
      <x:c r="CE3" s="96" t="n"/>
      <x:c r="CF3" s="96" t="n"/>
      <x:c r="CG3" s="96" t="n"/>
      <x:c r="CH3" s="96" t="n"/>
      <x:c r="CI3" s="96" t="n"/>
      <x:c r="CJ3" s="96" t="n"/>
      <x:c r="CK3" s="96" t="n"/>
      <x:c r="CL3" s="96" t="n"/>
      <x:c r="CM3" s="96" t="n"/>
      <x:c r="CN3" s="96" t="n"/>
      <x:c r="CO3" s="96" t="n"/>
      <x:c r="CP3" s="96" t="n"/>
      <x:c r="CQ3" s="96" t="n"/>
      <x:c r="CR3" s="96" t="n"/>
      <x:c r="CS3" s="96" t="n"/>
      <x:c r="CT3" s="96" t="n"/>
      <x:c r="CU3" s="96" t="n"/>
      <x:c r="CV3" s="96" t="n"/>
      <x:c r="CW3" s="96" t="n"/>
      <x:c r="CX3" s="96" t="n"/>
      <x:c r="CY3" s="96" t="n"/>
      <x:c r="CZ3" s="96" t="n"/>
      <x:c r="DA3" s="96" t="n"/>
      <x:c r="DB3" s="96" t="n"/>
      <x:c r="DC3" s="96" t="n"/>
      <x:c r="DD3" s="96" t="n"/>
      <x:c r="DE3" s="96" t="n"/>
      <x:c r="DF3" s="96" t="n"/>
      <x:c r="DG3" s="96" t="n"/>
      <x:c r="DH3" s="96" t="n"/>
      <x:c r="DI3" s="96" t="n"/>
      <x:c r="DJ3" s="96" t="n"/>
      <x:c r="DK3" s="96" t="n"/>
      <x:c r="DL3" s="96" t="n"/>
      <x:c r="DM3" s="96" t="n"/>
      <x:c r="DN3" s="96" t="n"/>
      <x:c r="DO3" s="96" t="n"/>
      <x:c r="DP3" s="96" t="n"/>
      <x:c r="DQ3" s="96" t="n"/>
      <x:c r="DR3" s="96" t="n"/>
      <x:c r="DS3" s="96" t="n"/>
      <x:c r="DT3" s="96" t="n"/>
      <x:c r="DU3" s="96" t="n"/>
      <x:c r="DV3" s="96" t="n"/>
      <x:c r="DW3" s="96" t="n"/>
      <x:c r="DX3" s="96" t="n"/>
      <x:c r="DY3" s="96" t="n"/>
      <x:c r="DZ3" s="96" t="n"/>
      <x:c r="EA3" s="96" t="n"/>
      <x:c r="EB3" s="96" t="n"/>
      <x:c r="EC3" s="96" t="n"/>
      <x:c r="ED3" s="96" t="n"/>
      <x:c r="EE3" s="96" t="n"/>
      <x:c r="EF3" s="96" t="n"/>
      <x:c r="EG3" s="96" t="n"/>
      <x:c r="EH3" s="96" t="n"/>
      <x:c r="EI3" s="96" t="n"/>
      <x:c r="EJ3" s="96" t="n"/>
      <x:c r="EK3" s="96" t="n"/>
      <x:c r="EL3" s="96" t="n"/>
      <x:c r="EM3" s="96" t="n"/>
      <x:c r="EN3" s="96" t="n"/>
      <x:c r="EO3" s="96" t="n"/>
      <x:c r="EP3" s="96" t="n"/>
      <x:c r="EQ3" s="96" t="n"/>
      <x:c r="ER3" s="96" t="n"/>
      <x:c r="ES3" s="96" t="n"/>
      <x:c r="ET3" s="96" t="n"/>
      <x:c r="EU3" s="96" t="n"/>
      <x:c r="EV3" s="96" t="n"/>
      <x:c r="EW3" s="96" t="n"/>
      <x:c r="EX3" s="96" t="n"/>
      <x:c r="EY3" s="96" t="n"/>
      <x:c r="EZ3" s="96" t="n"/>
      <x:c r="FA3" s="96" t="n"/>
      <x:c r="FB3" s="96" t="n"/>
      <x:c r="FC3" s="96" t="n"/>
      <x:c r="FD3" s="96" t="n"/>
      <x:c r="FE3" s="96" t="n"/>
      <x:c r="FF3" s="96" t="n"/>
      <x:c r="FG3" s="96" t="n"/>
      <x:c r="FH3" s="96" t="n"/>
      <x:c r="FI3" s="96" t="n"/>
      <x:c r="FJ3" s="96" t="n"/>
      <x:c r="FK3" s="96" t="n"/>
      <x:c r="FL3" s="96" t="n"/>
      <x:c r="FM3" s="96" t="n"/>
      <x:c r="FN3" s="96" t="n"/>
      <x:c r="FO3" s="96" t="n"/>
      <x:c r="FP3" s="96" t="n"/>
      <x:c r="FQ3" s="96" t="n"/>
      <x:c r="FR3" s="96" t="n"/>
      <x:c r="FS3" s="96" t="n"/>
      <x:c r="FT3" s="96" t="n"/>
      <x:c r="FU3" s="96" t="n"/>
      <x:c r="FV3" s="96" t="n"/>
      <x:c r="FW3" s="96" t="n"/>
      <x:c r="FX3" s="96" t="n"/>
      <x:c r="FY3" s="59" t="n"/>
      <x:c r="FZ3" s="59" t="n"/>
      <x:c r="GA3" s="59" t="n"/>
    </x:row>
    <x:row r="4" s="62" customFormat="1" ht="12.75" customHeight="1">
      <x:c r="A4" s="619" t="n"/>
      <x:c r="B4" s="623" t="n"/>
      <x:c r="C4" s="593" t="n"/>
      <x:c r="D4" s="624" t="n"/>
      <x:c r="E4" s="491" t="inlineStr">
        <x:is>
          <x:t xml:space="preserve">Date </x:t>
        </x:is>
      </x:c>
      <x:c r="F4" s="618" t="n"/>
      <x:c r="G4" s="60" t="n"/>
      <x:c r="H4" s="5" t="n">
        <x:v>2917</x:v>
      </x:c>
      <x:c r="I4" s="5" t="n">
        <x:v>6568</x:v>
      </x:c>
      <x:c r="J4" s="5" t="n">
        <x:v>9137</x:v>
      </x:c>
      <x:c r="K4" s="5" t="n">
        <x:v>10069</x:v>
      </x:c>
      <x:c r="L4" s="5" t="n">
        <x:v>18015</x:v>
      </x:c>
      <x:c r="M4" s="5" t="n">
        <x:v>18056</x:v>
      </x:c>
      <x:c r="N4" s="5" t="n">
        <x:v>19396</x:v>
      </x:c>
      <x:c r="O4" s="5" t="n">
        <x:v>22906</x:v>
      </x:c>
      <x:c r="P4" s="5" t="n">
        <x:v>22906</x:v>
      </x:c>
      <x:c r="Q4" s="5" t="n">
        <x:v>22938</x:v>
      </x:c>
      <x:c r="R4" s="5" t="n">
        <x:v>22938</x:v>
      </x:c>
      <x:c r="S4" s="5" t="n">
        <x:v>24709</x:v>
      </x:c>
      <x:c r="T4" s="5" t="n">
        <x:v>28005</x:v>
      </x:c>
      <x:c r="U4" s="5" t="n">
        <x:v>28445</x:v>
      </x:c>
      <x:c r="V4" s="5" t="n">
        <x:v>28961</x:v>
      </x:c>
      <x:c r="W4" s="5" t="n">
        <x:v>30124</x:v>
      </x:c>
      <x:c r="X4" s="5" t="n">
        <x:v>33073</x:v>
      </x:c>
      <x:c r="Y4" s="5" t="n">
        <x:v>33857</x:v>
      </x:c>
      <x:c r="Z4" s="5" t="n">
        <x:v>34032</x:v>
      </x:c>
      <x:c r="AA4" s="5" t="n">
        <x:v>34950</x:v>
      </x:c>
      <x:c r="AB4" s="120" t="n">
        <x:v>36250</x:v>
      </x:c>
      <x:c r="AC4" s="120" t="n">
        <x:v>36511</x:v>
      </x:c>
      <x:c r="AD4" s="5" t="n">
        <x:v>38260</x:v>
      </x:c>
      <x:c r="AE4" s="5" t="n">
        <x:v>38267</x:v>
      </x:c>
      <x:c r="AF4" s="5" t="n">
        <x:v>38286</x:v>
      </x:c>
      <x:c r="AG4" s="5" t="n">
        <x:v>38292</x:v>
      </x:c>
      <x:c r="AH4" s="5" t="n">
        <x:v>38455</x:v>
      </x:c>
      <x:c r="AI4" s="5" t="n">
        <x:v>38473</x:v>
      </x:c>
      <x:c r="AJ4" s="5" t="n">
        <x:v>38516</x:v>
      </x:c>
      <x:c r="AK4" s="5" t="n">
        <x:v>38694</x:v>
      </x:c>
      <x:c r="AL4" s="120" t="n">
        <x:v>40855</x:v>
      </x:c>
      <x:c r="AM4" s="5" t="n">
        <x:v>41290</x:v>
      </x:c>
      <x:c r="AN4" s="120" t="n">
        <x:v>41368</x:v>
      </x:c>
      <x:c r="AO4" s="120" t="n">
        <x:v>41486</x:v>
      </x:c>
      <x:c r="AP4" s="108" t="n">
        <x:v>42855</x:v>
      </x:c>
      <x:c r="AQ4" s="108" t="n">
        <x:v>43500</x:v>
      </x:c>
      <x:c r="AR4" s="108" t="n">
        <x:v>44071</x:v>
      </x:c>
      <x:c r="AS4" s="108" t="n">
        <x:v>45726</x:v>
      </x:c>
      <x:c r="AT4" s="108" t="n">
        <x:v>45726</x:v>
      </x:c>
      <x:c r="AU4" s="97" t="n">
        <x:v>45971</x:v>
      </x:c>
      <x:c r="AV4" s="97" t="n">
        <x:v>46084</x:v>
      </x:c>
      <x:c r="AW4" s="97" t="n"/>
      <x:c r="AX4" s="97" t="n"/>
      <x:c r="AY4" s="97" t="n"/>
      <x:c r="AZ4" s="97" t="n"/>
      <x:c r="BA4" s="97" t="n"/>
      <x:c r="BB4" s="97" t="n"/>
      <x:c r="BC4" s="97" t="n"/>
      <x:c r="BD4" s="97" t="n"/>
      <x:c r="BE4" s="97" t="n"/>
      <x:c r="BF4" s="97" t="n"/>
      <x:c r="BG4" s="97" t="n"/>
      <x:c r="BH4" s="97" t="n"/>
      <x:c r="BI4" s="97" t="n"/>
      <x:c r="BJ4" s="97" t="n"/>
      <x:c r="BK4" s="97" t="n"/>
      <x:c r="BL4" s="97" t="n"/>
      <x:c r="BM4" s="97" t="n"/>
      <x:c r="BN4" s="97" t="n"/>
      <x:c r="BO4" s="97" t="n"/>
      <x:c r="BP4" s="97" t="n"/>
      <x:c r="BQ4" s="97" t="n"/>
      <x:c r="BR4" s="97" t="n"/>
      <x:c r="BS4" s="97" t="n"/>
      <x:c r="BT4" s="97" t="n"/>
      <x:c r="BU4" s="97" t="n"/>
      <x:c r="BV4" s="97" t="n"/>
      <x:c r="BW4" s="97" t="n"/>
      <x:c r="BX4" s="97" t="n"/>
      <x:c r="BY4" s="97" t="n"/>
      <x:c r="BZ4" s="97" t="n"/>
      <x:c r="CA4" s="97" t="n"/>
      <x:c r="CB4" s="97" t="n"/>
      <x:c r="CC4" s="97" t="n"/>
      <x:c r="CD4" s="97" t="n"/>
      <x:c r="CE4" s="97" t="n"/>
      <x:c r="CF4" s="97" t="n"/>
      <x:c r="CG4" s="97" t="n"/>
      <x:c r="CH4" s="97" t="n"/>
      <x:c r="CI4" s="97" t="n"/>
      <x:c r="CJ4" s="97" t="n"/>
      <x:c r="CK4" s="97" t="n"/>
      <x:c r="CL4" s="97" t="n"/>
      <x:c r="CM4" s="97" t="n"/>
      <x:c r="CN4" s="97" t="n"/>
      <x:c r="CO4" s="97" t="n"/>
      <x:c r="CP4" s="97" t="n"/>
      <x:c r="CQ4" s="97" t="n"/>
      <x:c r="CR4" s="97" t="n"/>
      <x:c r="CS4" s="97" t="n"/>
      <x:c r="CT4" s="97" t="n"/>
      <x:c r="CU4" s="97" t="n"/>
      <x:c r="CV4" s="97" t="n"/>
      <x:c r="CW4" s="97" t="n"/>
      <x:c r="CX4" s="97" t="n"/>
      <x:c r="CY4" s="97" t="n"/>
      <x:c r="CZ4" s="97" t="n"/>
      <x:c r="DA4" s="97" t="n"/>
      <x:c r="DB4" s="97" t="n"/>
      <x:c r="DC4" s="97" t="n"/>
      <x:c r="DD4" s="97" t="n"/>
      <x:c r="DE4" s="97" t="n"/>
      <x:c r="DF4" s="97" t="n"/>
      <x:c r="DG4" s="97" t="n"/>
      <x:c r="DH4" s="97" t="n"/>
      <x:c r="DI4" s="97" t="n"/>
      <x:c r="DJ4" s="97" t="n"/>
      <x:c r="DK4" s="97" t="n"/>
      <x:c r="DL4" s="97" t="n"/>
      <x:c r="DM4" s="97" t="n"/>
      <x:c r="DN4" s="97" t="n"/>
      <x:c r="DO4" s="97" t="n"/>
      <x:c r="DP4" s="97" t="n"/>
      <x:c r="DQ4" s="97" t="n"/>
      <x:c r="DR4" s="97" t="n"/>
      <x:c r="DS4" s="97" t="n"/>
      <x:c r="DT4" s="97" t="n"/>
      <x:c r="DU4" s="97" t="n"/>
      <x:c r="DV4" s="97" t="n"/>
      <x:c r="DW4" s="97" t="n"/>
      <x:c r="DX4" s="97" t="n"/>
      <x:c r="DY4" s="97" t="n"/>
      <x:c r="DZ4" s="97" t="n"/>
      <x:c r="EA4" s="97" t="n"/>
      <x:c r="EB4" s="97" t="n"/>
      <x:c r="EC4" s="97" t="n"/>
      <x:c r="ED4" s="97" t="n"/>
      <x:c r="EE4" s="97" t="n"/>
      <x:c r="EF4" s="97" t="n"/>
      <x:c r="EG4" s="97" t="n"/>
      <x:c r="EH4" s="97" t="n"/>
      <x:c r="EI4" s="97" t="n"/>
      <x:c r="EJ4" s="97" t="n"/>
      <x:c r="EK4" s="97" t="n"/>
      <x:c r="EL4" s="97" t="n"/>
      <x:c r="EM4" s="97" t="n"/>
      <x:c r="EN4" s="97" t="n"/>
      <x:c r="EO4" s="97" t="n"/>
      <x:c r="EP4" s="97" t="n"/>
      <x:c r="EQ4" s="97" t="n"/>
      <x:c r="ER4" s="97" t="n"/>
      <x:c r="ES4" s="97" t="n"/>
      <x:c r="ET4" s="97" t="n"/>
      <x:c r="EU4" s="97" t="n"/>
      <x:c r="EV4" s="97" t="n"/>
      <x:c r="EW4" s="97" t="n"/>
      <x:c r="EX4" s="97" t="n"/>
      <x:c r="EY4" s="97" t="n"/>
      <x:c r="EZ4" s="97" t="n"/>
      <x:c r="FA4" s="97" t="n"/>
      <x:c r="FB4" s="97" t="n"/>
      <x:c r="FC4" s="97" t="n"/>
      <x:c r="FD4" s="97" t="n"/>
      <x:c r="FE4" s="97" t="n"/>
      <x:c r="FF4" s="97" t="n"/>
      <x:c r="FG4" s="97" t="n"/>
      <x:c r="FH4" s="97" t="n"/>
      <x:c r="FI4" s="97" t="n"/>
      <x:c r="FJ4" s="97" t="n"/>
      <x:c r="FK4" s="97" t="n"/>
      <x:c r="FL4" s="97" t="n"/>
      <x:c r="FM4" s="97" t="n"/>
      <x:c r="FN4" s="97" t="n"/>
      <x:c r="FO4" s="97" t="n"/>
      <x:c r="FP4" s="97" t="n"/>
      <x:c r="FQ4" s="97" t="n"/>
      <x:c r="FR4" s="97" t="n"/>
      <x:c r="FS4" s="97" t="n"/>
      <x:c r="FT4" s="97" t="n"/>
      <x:c r="FU4" s="97" t="n"/>
      <x:c r="FV4" s="97" t="n"/>
      <x:c r="FW4" s="97" t="n"/>
      <x:c r="FX4" s="97" t="n"/>
      <x:c r="FY4" s="58" t="n"/>
      <x:c r="FZ4" s="58" t="n"/>
      <x:c r="GA4" s="58" t="n"/>
    </x:row>
    <x:row r="5" s="57" customFormat="1" ht="27.75" customHeight="1">
      <x:c r="A5" s="619" t="n"/>
      <x:c r="B5" s="625" t="inlineStr">
        <x:is>
          <x:t xml:space="preserve">TRACT ACRES</x:t>
        </x:is>
      </x:c>
      <x:c r="C5" s="626" t="n"/>
      <x:c r="D5" s="65" t="n">
        <x:v>51</x:v>
      </x:c>
      <x:c r="E5" s="627" t="inlineStr">
        <x:is>
          <x:t xml:space="preserve">Conveyance </x:t>
        </x:is>
      </x:c>
      <x:c r="F5" s="628" t="n"/>
      <x:c r="G5" s="60" t="n"/>
      <x:c r="H5" s="118" t="inlineStr">
        <x:is>
          <x:t xml:space="preserve">ARTI</x:t>
        </x:is>
      </x:c>
      <x:c r="I5" s="118" t="inlineStr">
        <x:is>
          <x:t xml:space="preserve">ARTI</x:t>
        </x:is>
      </x:c>
      <x:c r="J5" s="118" t="inlineStr">
        <x:is>
          <x:t xml:space="preserve">ARTI</x:t>
        </x:is>
      </x:c>
      <x:c r="K5" s="118" t="inlineStr">
        <x:is>
          <x:t xml:space="preserve">60 NMA</x:t>
        </x:is>
      </x:c>
      <x:c r="L5" s="118" t="inlineStr">
        <x:is>
          <x:t xml:space="preserve">ARTI</x:t>
        </x:is>
      </x:c>
      <x:c r="M5" s="118" t="inlineStr">
        <x:is>
          <x:t xml:space="preserve">ARTI</x:t>
        </x:is>
      </x:c>
      <x:c r="N5" s="118" t="inlineStr">
        <x:is>
          <x:t xml:space="preserve">ARTI</x:t>
        </x:is>
      </x:c>
      <x:c r="O5" s="118" t="inlineStr">
        <x:is>
          <x:t xml:space="preserve">286.110629 NMA</x:t>
        </x:is>
      </x:c>
      <x:c r="P5" s="118" t="inlineStr">
        <x:is>
          <x:t xml:space="preserve">209.814462 NMA</x:t>
        </x:is>
      </x:c>
      <x:c r="Q5" s="118" t="inlineStr">
        <x:is>
          <x:t xml:space="preserve">38.148084 NMA</x:t>
        </x:is>
      </x:c>
      <x:c r="R5" s="118" t="inlineStr">
        <x:is>
          <x:t xml:space="preserve">38.148084 NMA</x:t>
        </x:is>
      </x:c>
      <x:c r="S5" s="118" t="inlineStr">
        <x:is>
          <x:t xml:space="preserve">ARTI</x:t>
        </x:is>
      </x:c>
      <x:c r="T5" s="118" t="inlineStr">
        <x:is>
          <x:t xml:space="preserve">ARTI</x:t>
        </x:is>
      </x:c>
      <x:c r="U5" s="118" t="inlineStr">
        <x:is>
          <x:t xml:space="preserve">ARTI</x:t>
        </x:is>
      </x:c>
      <x:c r="V5" s="118" t="inlineStr">
        <x:is>
          <x:t xml:space="preserve">ARTI</x:t>
        </x:is>
      </x:c>
      <x:c r="W5" s="118" t="inlineStr">
        <x:is>
          <x:t xml:space="preserve">Interest not stated — confirm from image.</x:t>
        </x:is>
      </x:c>
      <x:c r="X5" s="118" t="inlineStr">
        <x:is>
          <x:t xml:space="preserve">ARTI</x:t>
        </x:is>
      </x:c>
      <x:c r="Y5" s="118" t="inlineStr">
        <x:is>
          <x:t xml:space="preserve">Interest not stated — confirm from image.</x:t>
        </x:is>
      </x:c>
      <x:c r="Z5" s="118" t="inlineStr">
        <x:is>
          <x:t xml:space="preserve">Interest not stated — confirm from image.</x:t>
        </x:is>
      </x:c>
      <x:c r="AA5" s="118" t="inlineStr">
        <x:is>
          <x:t xml:space="preserve">ARTI</x:t>
        </x:is>
      </x:c>
      <x:c r="AB5" s="118" t="inlineStr">
        <x:is>
          <x:t xml:space="preserve">ARTI</x:t>
        </x:is>
      </x:c>
      <x:c r="AC5" s="118" t="inlineStr">
        <x:is>
          <x:t xml:space="preserve">ARTI</x:t>
        </x:is>
      </x:c>
      <x:c r="AD5" s="118" t="inlineStr">
        <x:is>
          <x:t xml:space="preserve">Interest not stated — confirm from image.</x:t>
        </x:is>
      </x:c>
      <x:c r="AE5" s="118" t="inlineStr">
        <x:is>
          <x:t xml:space="preserve">Interest not stated — confirm from image.</x:t>
        </x:is>
      </x:c>
      <x:c r="AF5" s="118" t="inlineStr">
        <x:is>
          <x:t xml:space="preserve">Interest not stated — confirm from image.</x:t>
        </x:is>
      </x:c>
      <x:c r="AG5" s="118" t="inlineStr">
        <x:is>
          <x:t xml:space="preserve">ARTI</x:t>
        </x:is>
      </x:c>
      <x:c r="AH5" s="118" t="inlineStr">
        <x:is>
          <x:t xml:space="preserve">ARTI</x:t>
        </x:is>
      </x:c>
      <x:c r="AI5" s="118" t="inlineStr">
        <x:is>
          <x:t xml:space="preserve">Interest not stated — confirm from image.</x:t>
        </x:is>
      </x:c>
      <x:c r="AJ5" s="118" t="inlineStr">
        <x:is>
          <x:t xml:space="preserve">ARTI</x:t>
        </x:is>
      </x:c>
      <x:c r="AK5" s="118" t="inlineStr">
        <x:is>
          <x:t xml:space="preserve">Interest not stated — confirm from image.</x:t>
        </x:is>
      </x:c>
      <x:c r="AL5" s="118" t="inlineStr">
        <x:is>
          <x:t xml:space="preserve">1758.332 NMA</x:t>
        </x:is>
      </x:c>
      <x:c r="AM5" s="118" t="inlineStr">
        <x:is>
          <x:t xml:space="preserve">ARTI</x:t>
        </x:is>
      </x:c>
      <x:c r="AN5" s="118" t="inlineStr">
        <x:is>
          <x:t xml:space="preserve">Interest not stated — confirm from image.</x:t>
        </x:is>
      </x:c>
      <x:c r="AO5" s="118" t="inlineStr">
        <x:is>
          <x:t xml:space="preserve">Interest not stated — confirm from image.</x:t>
        </x:is>
      </x:c>
      <x:c r="AP5" s="96" t="inlineStr">
        <x:is>
          <x:t xml:space="preserve">ARTI</x:t>
        </x:is>
      </x:c>
      <x:c r="AQ5" s="96" t="inlineStr">
        <x:is>
          <x:t xml:space="preserve">ARTI</x:t>
        </x:is>
      </x:c>
      <x:c r="AR5" s="96" t="inlineStr">
        <x:is>
          <x:t xml:space="preserve">ARTI</x:t>
        </x:is>
      </x:c>
      <x:c r="AS5" s="96" t="inlineStr">
        <x:is>
          <x:t xml:space="preserve">ARTI</x:t>
        </x:is>
      </x:c>
      <x:c r="AT5" s="96" t="inlineStr">
        <x:is>
          <x:t xml:space="preserve">Interest not stated — confirm from image.</x:t>
        </x:is>
      </x:c>
      <x:c r="AU5" s="96" t="inlineStr">
        <x:is>
          <x:t xml:space="preserve">ARTI</x:t>
        </x:is>
      </x:c>
      <x:c r="AV5" s="96" t="inlineStr">
        <x:is>
          <x:t xml:space="preserve">ARTI</x:t>
        </x:is>
      </x:c>
      <x:c r="AW5" s="96" t="n"/>
      <x:c r="AX5" s="96" t="n"/>
      <x:c r="AY5" s="96" t="n"/>
      <x:c r="AZ5" s="96" t="n"/>
      <x:c r="BA5" s="96" t="n"/>
      <x:c r="BB5" s="96" t="n"/>
      <x:c r="BC5" s="96" t="n"/>
      <x:c r="BD5" s="96" t="n"/>
      <x:c r="BE5" s="96" t="n"/>
      <x:c r="BF5" s="96" t="n"/>
      <x:c r="BG5" s="96" t="n"/>
      <x:c r="BH5" s="96" t="n"/>
      <x:c r="BI5" s="96" t="n"/>
      <x:c r="BJ5" s="96" t="n"/>
      <x:c r="BK5" s="96" t="n"/>
      <x:c r="BL5" s="96" t="n"/>
      <x:c r="BM5" s="96" t="n"/>
      <x:c r="BN5" s="96" t="n"/>
      <x:c r="BO5" s="96" t="n"/>
      <x:c r="BP5" s="96" t="n"/>
      <x:c r="BQ5" s="96" t="n"/>
      <x:c r="BR5" s="96" t="n"/>
      <x:c r="BS5" s="96" t="n"/>
      <x:c r="BT5" s="96" t="n"/>
      <x:c r="BU5" s="96" t="n"/>
      <x:c r="BV5" s="96" t="n"/>
      <x:c r="BW5" s="96" t="n"/>
      <x:c r="BX5" s="96" t="n"/>
      <x:c r="BY5" s="96" t="n"/>
      <x:c r="BZ5" s="96" t="n"/>
      <x:c r="CA5" s="96" t="n"/>
      <x:c r="CB5" s="96" t="n"/>
      <x:c r="CC5" s="96" t="n"/>
      <x:c r="CD5" s="96" t="n"/>
      <x:c r="CE5" s="96" t="n"/>
      <x:c r="CF5" s="96" t="n"/>
      <x:c r="CG5" s="96" t="n"/>
      <x:c r="CH5" s="96" t="n"/>
      <x:c r="CI5" s="96" t="n"/>
      <x:c r="CJ5" s="96" t="n"/>
      <x:c r="CK5" s="96" t="n"/>
      <x:c r="CL5" s="96" t="n"/>
      <x:c r="CM5" s="96" t="n"/>
      <x:c r="CN5" s="96" t="n"/>
      <x:c r="CO5" s="96" t="n"/>
      <x:c r="CP5" s="96" t="n"/>
      <x:c r="CQ5" s="96" t="n"/>
      <x:c r="CR5" s="96" t="n"/>
      <x:c r="CS5" s="96" t="n"/>
      <x:c r="CT5" s="96" t="n"/>
      <x:c r="CU5" s="96" t="n"/>
      <x:c r="CV5" s="96" t="n"/>
      <x:c r="CW5" s="96" t="n"/>
      <x:c r="CX5" s="96" t="n"/>
      <x:c r="CY5" s="96" t="n"/>
      <x:c r="CZ5" s="96" t="n"/>
      <x:c r="DA5" s="96" t="n"/>
      <x:c r="DB5" s="96" t="n"/>
      <x:c r="DC5" s="96" t="n"/>
      <x:c r="DD5" s="96" t="n"/>
      <x:c r="DE5" s="96" t="n"/>
      <x:c r="DF5" s="96" t="n"/>
      <x:c r="DG5" s="96" t="n"/>
      <x:c r="DH5" s="96" t="n"/>
      <x:c r="DI5" s="96" t="n"/>
      <x:c r="DJ5" s="96" t="n"/>
      <x:c r="DK5" s="96" t="n"/>
      <x:c r="DL5" s="96" t="n"/>
      <x:c r="DM5" s="96" t="n"/>
      <x:c r="DN5" s="96" t="n"/>
      <x:c r="DO5" s="96" t="n"/>
      <x:c r="DP5" s="96" t="n"/>
      <x:c r="DQ5" s="96" t="n"/>
      <x:c r="DR5" s="96" t="n"/>
      <x:c r="DS5" s="96" t="n"/>
      <x:c r="DT5" s="96" t="n"/>
      <x:c r="DU5" s="96" t="n"/>
      <x:c r="DV5" s="96" t="n"/>
      <x:c r="DW5" s="96" t="n"/>
      <x:c r="DX5" s="96" t="n"/>
      <x:c r="DY5" s="96" t="n"/>
      <x:c r="DZ5" s="96" t="n"/>
      <x:c r="EA5" s="96" t="n"/>
      <x:c r="EB5" s="96" t="n"/>
      <x:c r="EC5" s="96" t="n"/>
      <x:c r="ED5" s="96" t="n"/>
      <x:c r="EE5" s="96" t="n"/>
      <x:c r="EF5" s="96" t="n"/>
      <x:c r="EG5" s="96" t="n"/>
      <x:c r="EH5" s="96" t="n"/>
      <x:c r="EI5" s="96" t="n"/>
      <x:c r="EJ5" s="96" t="n"/>
      <x:c r="EK5" s="96" t="n"/>
      <x:c r="EL5" s="96" t="n"/>
      <x:c r="EM5" s="96" t="n"/>
      <x:c r="EN5" s="96" t="n"/>
      <x:c r="EO5" s="96" t="n"/>
      <x:c r="EP5" s="96" t="n"/>
      <x:c r="EQ5" s="96" t="n"/>
      <x:c r="ER5" s="96" t="n"/>
      <x:c r="ES5" s="96" t="n"/>
      <x:c r="ET5" s="96" t="n"/>
      <x:c r="EU5" s="96" t="n"/>
      <x:c r="EV5" s="96" t="n"/>
      <x:c r="EW5" s="96" t="n"/>
      <x:c r="EX5" s="96" t="n"/>
      <x:c r="EY5" s="96" t="n"/>
      <x:c r="EZ5" s="96" t="n"/>
      <x:c r="FA5" s="96" t="n"/>
      <x:c r="FB5" s="96" t="n"/>
      <x:c r="FC5" s="96" t="n"/>
      <x:c r="FD5" s="96" t="n"/>
      <x:c r="FE5" s="96" t="n"/>
      <x:c r="FF5" s="96" t="n"/>
      <x:c r="FG5" s="96" t="n"/>
      <x:c r="FH5" s="96" t="n"/>
      <x:c r="FI5" s="96" t="n"/>
      <x:c r="FJ5" s="96" t="n"/>
      <x:c r="FK5" s="96" t="n"/>
      <x:c r="FL5" s="96" t="n"/>
      <x:c r="FM5" s="96" t="n"/>
      <x:c r="FN5" s="96" t="n"/>
      <x:c r="FO5" s="96" t="n"/>
      <x:c r="FP5" s="96" t="n"/>
      <x:c r="FQ5" s="96" t="n"/>
      <x:c r="FR5" s="96" t="n"/>
      <x:c r="FS5" s="96" t="n"/>
      <x:c r="FT5" s="96" t="n"/>
      <x:c r="FU5" s="96" t="n"/>
      <x:c r="FV5" s="96" t="n"/>
      <x:c r="FW5" s="96" t="n"/>
      <x:c r="FX5" s="96" t="n"/>
      <x:c r="FY5" s="59" t="n"/>
      <x:c r="FZ5" s="59" t="n"/>
      <x:c r="GA5" s="59" t="n"/>
    </x:row>
    <x:row r="6" s="55" customFormat="1" ht="14.25" customHeight="1">
      <x:c r="A6" s="629" t="n"/>
      <x:c r="B6" s="630" t="inlineStr">
        <x:is>
          <x:t xml:space="preserve">BASE OGL</x:t>
        </x:is>
      </x:c>
      <x:c r="C6" s="631" t="n">
        <x:v>51</x:v>
      </x:c>
      <x:c r="D6" s="632" t="inlineStr">
        <x:is>
          <x:t xml:space="preserve">Tract 6</x:t>
        </x:is>
      </x:c>
      <x:c r="E6" s="631" t="n">
        <x:f>SUBTOTAL(9,E9:E203)</x:f>
        <x:v>1</x:v>
      </x:c>
      <x:c r="F6" s="633" t="inlineStr">
        <x:is>
          <x:t xml:space="preserve">SURFACE</x:t>
        </x:is>
      </x:c>
      <x:c r="G6" s="64" t="n"/>
      <x:c r="H6" s="64" t="str">
        <x:f>IF(H7=0,"","RECHECK")</x:f>
      </x:c>
      <x:c r="I6" s="64" t="n"/>
      <x:c r="J6" s="64" t="n"/>
      <x:c r="K6" s="64" t="str">
        <x:f>IF(K7=0,"","RECHECK")</x:f>
      </x:c>
      <x:c r="L6" s="64" t="n"/>
      <x:c r="M6" s="64" t="str">
        <x:f>IF(M7=0,"","RECHECK")</x:f>
      </x:c>
      <x:c r="N6" s="64" t="str">
        <x:f>IF(N7=0,"","RECHECK")</x:f>
      </x:c>
      <x:c r="O6" s="64" t="str">
        <x:f>IF(O7=0,"","RECHECK")</x:f>
      </x:c>
      <x:c r="P6" s="64" t="str">
        <x:f>IF(P7=0,"","RECHECK")</x:f>
      </x:c>
      <x:c r="Q6" s="64" t="n"/>
      <x:c r="R6" s="98" t="str">
        <x:f>IF(R7=0,"","RECHECK")</x:f>
      </x:c>
      <x:c r="S6" s="98" t="n"/>
      <x:c r="T6" s="64" t="str">
        <x:f>IF(T7=0,"","RECHECK")</x:f>
      </x:c>
      <x:c r="U6" s="64" t="str">
        <x:f>IF(U7=0,"","RECHECK")</x:f>
      </x:c>
      <x:c r="V6" s="64" t="str">
        <x:f>IF(V7=0,"","RECHECK")</x:f>
      </x:c>
      <x:c r="W6" s="64" t="str">
        <x:f>IF(W7=0,"","RECHECK")</x:f>
      </x:c>
      <x:c r="X6" s="64" t="str">
        <x:f>IF(X7=0,"","RECHECK")</x:f>
      </x:c>
      <x:c r="Y6" s="64" t="str">
        <x:f>IF(Y7=0,"","RECHECK")</x:f>
      </x:c>
      <x:c r="Z6" s="64" t="str">
        <x:f>IF(Z7=0,"","RECHECK")</x:f>
      </x:c>
      <x:c r="AA6" s="64" t="str">
        <x:f>IF(AA7=0,"","RECHECK")</x:f>
      </x:c>
      <x:c r="AB6" s="64" t="str">
        <x:f>IF(AB7=0,"","RECHECK")</x:f>
      </x:c>
      <x:c r="AC6" s="64" t="str">
        <x:f>IF(AC7=0,"","RECHECK")</x:f>
      </x:c>
      <x:c r="AD6" s="64" t="str">
        <x:f>IF(AD7=0,"","RECHECK")</x:f>
      </x:c>
      <x:c r="AE6" s="98" t="str">
        <x:f>IF(AE7=0,"","RECHECK")</x:f>
      </x:c>
      <x:c r="AF6" s="98" t="str">
        <x:f>IF(AF7=0,"","RECHECK")</x:f>
      </x:c>
      <x:c r="AG6" s="98" t="n"/>
      <x:c r="AH6" s="98" t="n"/>
      <x:c r="AI6" s="98" t="str">
        <x:f>IF(AI7=0,"","RECHECK")</x:f>
      </x:c>
      <x:c r="AJ6" s="98" t="str">
        <x:f>IF(AJ7=0,"","RECHECK")</x:f>
      </x:c>
      <x:c r="AK6" s="98" t="str">
        <x:f>IF(AK7=0,"","RECHECK")</x:f>
      </x:c>
      <x:c r="AL6" s="64" t="str">
        <x:f>IF(AL7=0,"","RECHECK")</x:f>
      </x:c>
      <x:c r="AM6" s="98" t="str">
        <x:f>IF(AM7=0,"","RECHECK")</x:f>
      </x:c>
      <x:c r="AN6" s="64" t="str">
        <x:f>IF(AN7=0,"","RECHECK")</x:f>
      </x:c>
      <x:c r="AO6" s="98" t="str">
        <x:f>IF(AO7=0,"","RECHECK")</x:f>
      </x:c>
      <x:c r="AP6" s="64" t="str">
        <x:f>IF(AP7=0,"","RECHECK")</x:f>
      </x:c>
      <x:c r="AQ6" s="64" t="str">
        <x:f>IF(AQ7=0,"","RECHECK")</x:f>
      </x:c>
      <x:c r="AR6" s="64" t="str">
        <x:f>IF(AR7=0,"","RECHECK")</x:f>
      </x:c>
      <x:c r="AS6" s="64" t="str">
        <x:f>IF(AS7=0,"","RECHECK")</x:f>
      </x:c>
      <x:c r="AT6" s="64" t="str">
        <x:f>IF(AT7=0,"","RECHECK")</x:f>
      </x:c>
      <x:c r="AU6" s="64" t="str">
        <x:f>IF(AU7=0,"","RECHECK")</x:f>
      </x:c>
      <x:c r="AV6" s="64" t="str">
        <x:f>IF(AV7=0,"","RECHECK")</x:f>
      </x:c>
      <x:c r="AW6" s="64" t="str">
        <x:f>IF(AW7=0,"","RECHECK")</x:f>
      </x:c>
      <x:c r="AX6" s="64" t="str">
        <x:f>IF(AX7=0,"","RECHECK")</x:f>
      </x:c>
      <x:c r="AY6" s="64" t="str">
        <x:f>IF(AY7=0,"","RECHECK")</x:f>
      </x:c>
      <x:c r="AZ6" s="64" t="str">
        <x:f>IF(AZ7=0,"","RECHECK")</x:f>
      </x:c>
      <x:c r="BA6" s="64" t="str">
        <x:f>IF(BA7=0,"","RECHECK")</x:f>
      </x:c>
      <x:c r="BB6" s="64" t="str">
        <x:f>IF(BB7=0,"","RECHECK")</x:f>
      </x:c>
      <x:c r="BC6" s="64" t="str">
        <x:f>IF(BC7=0,"","RECHECK")</x:f>
      </x:c>
      <x:c r="BD6" s="64" t="str">
        <x:f>IF(BD7=0,"","RECHECK")</x:f>
      </x:c>
      <x:c r="BE6" s="64" t="str">
        <x:f>IF(BE7=0,"","RECHECK")</x:f>
      </x:c>
      <x:c r="BF6" s="64" t="str">
        <x:f>IF(BF7=0,"","RECHECK")</x:f>
      </x:c>
      <x:c r="BG6" s="64" t="str">
        <x:f>IF(BG7=0,"","RECHECK")</x:f>
      </x:c>
      <x:c r="BH6" s="64" t="str">
        <x:f>IF(BH7=0,"","RECHECK")</x:f>
      </x:c>
      <x:c r="BI6" s="64" t="str">
        <x:f>IF(BI7=0,"","RECHECK")</x:f>
      </x:c>
      <x:c r="BJ6" s="64" t="str">
        <x:f>IF(BJ7=0,"","RECHECK")</x:f>
      </x:c>
      <x:c r="BK6" s="64" t="str">
        <x:f>IF(BK7=0,"","RECHECK")</x:f>
      </x:c>
      <x:c r="BL6" s="64" t="str">
        <x:f>IF(BL7=0,"","RECHECK")</x:f>
      </x:c>
      <x:c r="BM6" s="64" t="str">
        <x:f>IF(BM7=0,"","RECHECK")</x:f>
      </x:c>
      <x:c r="BN6" s="64" t="str">
        <x:f>IF(BN7=0,"","RECHECK")</x:f>
      </x:c>
      <x:c r="BO6" s="64" t="str">
        <x:f>IF(BO7=0,"","RECHECK")</x:f>
      </x:c>
      <x:c r="BP6" s="64" t="str">
        <x:f>IF(BP7=0,"","RECHECK")</x:f>
      </x:c>
      <x:c r="BQ6" s="64" t="str">
        <x:f>IF(BQ7=0,"","RECHECK")</x:f>
      </x:c>
      <x:c r="BR6" s="64" t="str">
        <x:f>IF(BR7=0,"","RECHECK")</x:f>
      </x:c>
      <x:c r="BS6" s="64" t="str">
        <x:f>IF(BS7=0,"","RECHECK")</x:f>
      </x:c>
      <x:c r="BT6" s="64" t="str">
        <x:f>IF(BT7=0,"","RECHECK")</x:f>
      </x:c>
      <x:c r="BU6" s="64" t="str">
        <x:f>IF(BU7=0,"","RECHECK")</x:f>
      </x:c>
      <x:c r="BV6" s="64" t="str">
        <x:f>IF(BV7=0,"","RECHECK")</x:f>
      </x:c>
      <x:c r="BW6" s="64" t="str">
        <x:f>IF(BW7=0,"","RECHECK")</x:f>
      </x:c>
      <x:c r="BX6" s="64" t="str">
        <x:f>IF(BX7=0,"","RECHECK")</x:f>
      </x:c>
      <x:c r="BY6" s="64" t="str">
        <x:f>IF(BY7=0,"","RECHECK")</x:f>
      </x:c>
      <x:c r="BZ6" s="64" t="str">
        <x:f>IF(BZ7=0,"","RECHECK")</x:f>
      </x:c>
      <x:c r="CA6" s="64" t="str">
        <x:f>IF(CA7=0,"","RECHECK")</x:f>
      </x:c>
      <x:c r="CB6" s="64" t="str">
        <x:f>IF(CB7=0,"","RECHECK")</x:f>
      </x:c>
      <x:c r="CC6" s="64" t="str">
        <x:f>IF(CC7=0,"","RECHECK")</x:f>
      </x:c>
      <x:c r="CD6" s="64" t="str">
        <x:f>IF(CD7=0,"","RECHECK")</x:f>
      </x:c>
      <x:c r="CE6" s="64" t="str">
        <x:f>IF(CE7=0,"","RECHECK")</x:f>
      </x:c>
      <x:c r="CF6" s="64" t="str">
        <x:f>IF(CF7=0,"","RECHECK")</x:f>
      </x:c>
      <x:c r="CG6" s="64" t="str">
        <x:f>IF(CG7=0,"","RECHECK")</x:f>
      </x:c>
      <x:c r="CH6" s="64" t="str">
        <x:f>IF(CH7=0,"","RECHECK")</x:f>
      </x:c>
      <x:c r="CI6" s="64" t="str">
        <x:f>IF(CI7=0,"","RECHECK")</x:f>
      </x:c>
      <x:c r="CJ6" s="64" t="str">
        <x:f>IF(CJ7=0,"","RECHECK")</x:f>
      </x:c>
      <x:c r="CK6" s="64" t="str">
        <x:f>IF(CK7=0,"","RECHECK")</x:f>
      </x:c>
      <x:c r="CL6" s="64" t="str">
        <x:f>IF(CL7=0,"","RECHECK")</x:f>
      </x:c>
      <x:c r="CM6" s="64" t="str">
        <x:f>IF(CM7=0,"","RECHECK")</x:f>
      </x:c>
      <x:c r="CN6" s="64" t="str">
        <x:f>IF(CN7=0,"","RECHECK")</x:f>
      </x:c>
      <x:c r="CO6" s="64" t="str">
        <x:f>IF(CO7=0,"","RECHECK")</x:f>
      </x:c>
      <x:c r="CP6" s="64" t="str">
        <x:f>IF(CP7=0,"","RECHECK")</x:f>
      </x:c>
      <x:c r="CQ6" s="64" t="str">
        <x:f>IF(CQ7=0,"","RECHECK")</x:f>
      </x:c>
      <x:c r="CR6" s="64" t="str">
        <x:f>IF(CR7=0,"","RECHECK")</x:f>
      </x:c>
      <x:c r="CS6" s="64" t="str">
        <x:f>IF(CS7=0,"","RECHECK")</x:f>
      </x:c>
      <x:c r="CT6" s="64" t="str">
        <x:f>IF(CT7=0,"","RECHECK")</x:f>
      </x:c>
      <x:c r="CU6" s="64" t="str">
        <x:f>IF(CU7=0,"","RECHECK")</x:f>
      </x:c>
      <x:c r="CV6" s="64" t="str">
        <x:f>IF(CV7=0,"","RECHECK")</x:f>
      </x:c>
      <x:c r="CW6" s="64" t="str">
        <x:f>IF(CW7=0,"","RECHECK")</x:f>
      </x:c>
      <x:c r="CX6" s="64" t="str">
        <x:f>IF(CX7=0,"","RECHECK")</x:f>
      </x:c>
      <x:c r="CY6" s="64" t="str">
        <x:f>IF(CY7=0,"","RECHECK")</x:f>
      </x:c>
      <x:c r="CZ6" s="64" t="str">
        <x:f>IF(CZ7=0,"","RECHECK")</x:f>
      </x:c>
      <x:c r="DA6" s="64" t="str">
        <x:f>IF(DA7=0,"","RECHECK")</x:f>
      </x:c>
      <x:c r="DB6" s="64" t="str">
        <x:f>IF(DB7=0,"","RECHECK")</x:f>
      </x:c>
      <x:c r="DC6" s="64" t="str">
        <x:f>IF(DC7=0,"","RECHECK")</x:f>
      </x:c>
      <x:c r="DD6" s="64" t="str">
        <x:f>IF(DD7=0,"","RECHECK")</x:f>
      </x:c>
      <x:c r="DE6" s="64" t="str">
        <x:f>IF(DE7=0,"","RECHECK")</x:f>
      </x:c>
      <x:c r="DF6" s="64" t="str">
        <x:f>IF(DF7=0,"","RECHECK")</x:f>
      </x:c>
      <x:c r="DG6" s="64" t="str">
        <x:f>IF(DG7=0,"","RECHECK")</x:f>
      </x:c>
      <x:c r="DH6" s="64" t="str">
        <x:f>IF(DH7=0,"","RECHECK")</x:f>
      </x:c>
      <x:c r="DI6" s="64" t="str">
        <x:f>IF(DI7=0,"","RECHECK")</x:f>
      </x:c>
      <x:c r="DJ6" s="64" t="str">
        <x:f>IF(DJ7=0,"","RECHECK")</x:f>
      </x:c>
      <x:c r="DK6" s="64" t="str">
        <x:f>IF(DK7=0,"","RECHECK")</x:f>
      </x:c>
      <x:c r="DL6" s="64" t="str">
        <x:f>IF(DL7=0,"","RECHECK")</x:f>
      </x:c>
      <x:c r="DM6" s="64" t="str">
        <x:f>IF(DM7=0,"","RECHECK")</x:f>
      </x:c>
      <x:c r="DN6" s="64" t="str">
        <x:f>IF(DN7=0,"","RECHECK")</x:f>
      </x:c>
      <x:c r="DO6" s="64" t="str">
        <x:f>IF(DO7=0,"","RECHECK")</x:f>
      </x:c>
      <x:c r="DP6" s="64" t="str">
        <x:f>IF(DP7=0,"","RECHECK")</x:f>
      </x:c>
      <x:c r="DQ6" s="64" t="str">
        <x:f>IF(DQ7=0,"","RECHECK")</x:f>
      </x:c>
      <x:c r="DR6" s="64" t="str">
        <x:f>IF(DR7=0,"","RECHECK")</x:f>
      </x:c>
      <x:c r="DS6" s="64" t="str">
        <x:f>IF(DS7=0,"","RECHECK")</x:f>
      </x:c>
      <x:c r="DT6" s="64" t="str">
        <x:f>IF(DT7=0,"","RECHECK")</x:f>
      </x:c>
      <x:c r="DU6" s="64" t="str">
        <x:f>IF(DU7=0,"","RECHECK")</x:f>
      </x:c>
      <x:c r="DV6" s="64" t="str">
        <x:f>IF(DV7=0,"","RECHECK")</x:f>
      </x:c>
      <x:c r="DW6" s="64" t="str">
        <x:f>IF(DW7=0,"","RECHECK")</x:f>
      </x:c>
      <x:c r="DX6" s="64" t="str">
        <x:f>IF(DX7=0,"","RECHECK")</x:f>
      </x:c>
      <x:c r="DY6" s="64" t="str">
        <x:f>IF(DY7=0,"","RECHECK")</x:f>
      </x:c>
      <x:c r="DZ6" s="64" t="str">
        <x:f>IF(DZ7=0,"","RECHECK")</x:f>
      </x:c>
      <x:c r="EA6" s="64" t="str">
        <x:f>IF(EA7=0,"","RECHECK")</x:f>
      </x:c>
      <x:c r="EB6" s="64" t="str">
        <x:f>IF(EB7=0,"","RECHECK")</x:f>
      </x:c>
      <x:c r="EC6" s="64" t="str">
        <x:f>IF(EC7=0,"","RECHECK")</x:f>
      </x:c>
      <x:c r="ED6" s="64" t="str">
        <x:f>IF(ED7=0,"","RECHECK")</x:f>
      </x:c>
      <x:c r="EE6" s="64" t="str">
        <x:f>IF(EE7=0,"","RECHECK")</x:f>
      </x:c>
      <x:c r="EF6" s="64" t="str">
        <x:f>IF(EF7=0,"","RECHECK")</x:f>
      </x:c>
      <x:c r="EG6" s="64" t="str">
        <x:f>IF(EG7=0,"","RECHECK")</x:f>
      </x:c>
      <x:c r="EH6" s="64" t="str">
        <x:f>IF(EH7=0,"","RECHECK")</x:f>
      </x:c>
      <x:c r="EI6" s="64" t="str">
        <x:f>IF(EI7=0,"","RECHECK")</x:f>
      </x:c>
      <x:c r="EJ6" s="64" t="str">
        <x:f>IF(EJ7=0,"","RECHECK")</x:f>
      </x:c>
      <x:c r="EK6" s="64" t="str">
        <x:f>IF(EK7=0,"","RECHECK")</x:f>
      </x:c>
      <x:c r="EL6" s="64" t="str">
        <x:f>IF(EL7=0,"","RECHECK")</x:f>
      </x:c>
      <x:c r="EM6" s="64" t="str">
        <x:f>IF(EM7=0,"","RECHECK")</x:f>
      </x:c>
      <x:c r="EN6" s="64" t="str">
        <x:f>IF(EN7=0,"","RECHECK")</x:f>
      </x:c>
      <x:c r="EO6" s="64" t="str">
        <x:f>IF(EO7=0,"","RECHECK")</x:f>
      </x:c>
      <x:c r="EP6" s="64" t="str">
        <x:f>IF(EP7=0,"","RECHECK")</x:f>
      </x:c>
      <x:c r="EQ6" s="64" t="str">
        <x:f>IF(EQ7=0,"","RECHECK")</x:f>
      </x:c>
      <x:c r="ER6" s="64" t="str">
        <x:f>IF(ER7=0,"","RECHECK")</x:f>
      </x:c>
      <x:c r="ES6" s="64" t="str">
        <x:f>IF(ES7=0,"","RECHECK")</x:f>
      </x:c>
      <x:c r="ET6" s="64" t="str">
        <x:f>IF(ET7=0,"","RECHECK")</x:f>
      </x:c>
      <x:c r="EU6" s="64" t="str">
        <x:f>IF(EU7=0,"","RECHECK")</x:f>
      </x:c>
      <x:c r="EV6" s="64" t="str">
        <x:f>IF(EV7=0,"","RECHECK")</x:f>
      </x:c>
      <x:c r="EW6" s="64" t="str">
        <x:f>IF(EW7=0,"","RECHECK")</x:f>
      </x:c>
      <x:c r="EX6" s="64" t="str">
        <x:f>IF(EX7=0,"","RECHECK")</x:f>
      </x:c>
      <x:c r="EY6" s="64" t="str">
        <x:f>IF(EY7=0,"","RECHECK")</x:f>
      </x:c>
      <x:c r="EZ6" s="64" t="str">
        <x:f>IF(EZ7=0,"","RECHECK")</x:f>
      </x:c>
      <x:c r="FA6" s="64" t="str">
        <x:f>IF(FA7=0,"","RECHECK")</x:f>
      </x:c>
      <x:c r="FB6" s="64" t="str">
        <x:f>IF(FB7=0,"","RECHECK")</x:f>
      </x:c>
      <x:c r="FC6" s="64" t="str">
        <x:f>IF(FC7=0,"","RECHECK")</x:f>
      </x:c>
      <x:c r="FD6" s="64" t="str">
        <x:f>IF(FD7=0,"","RECHECK")</x:f>
      </x:c>
      <x:c r="FE6" s="64" t="str">
        <x:f>IF(FE7=0,"","RECHECK")</x:f>
      </x:c>
      <x:c r="FF6" s="64" t="str">
        <x:f>IF(FF7=0,"","RECHECK")</x:f>
      </x:c>
      <x:c r="FG6" s="64" t="str">
        <x:f>IF(FG7=0,"","RECHECK")</x:f>
      </x:c>
      <x:c r="FH6" s="64" t="str">
        <x:f>IF(FH7=0,"","RECHECK")</x:f>
      </x:c>
      <x:c r="FI6" s="64" t="str">
        <x:f>IF(FI7=0,"","RECHECK")</x:f>
      </x:c>
      <x:c r="FJ6" s="64" t="str">
        <x:f>IF(FJ7=0,"","RECHECK")</x:f>
      </x:c>
      <x:c r="FK6" s="64" t="str">
        <x:f>IF(FK7=0,"","RECHECK")</x:f>
      </x:c>
      <x:c r="FL6" s="64" t="str">
        <x:f>IF(FL7=0,"","RECHECK")</x:f>
      </x:c>
      <x:c r="FM6" s="64" t="str">
        <x:f>IF(FM7=0,"","RECHECK")</x:f>
      </x:c>
      <x:c r="FN6" s="64" t="str">
        <x:f>IF(FN7=0,"","RECHECK")</x:f>
      </x:c>
      <x:c r="FO6" s="64" t="str">
        <x:f>IF(FO7=0,"","RECHECK")</x:f>
      </x:c>
      <x:c r="FP6" s="64" t="str">
        <x:f>IF(FP7=0,"","RECHECK")</x:f>
      </x:c>
      <x:c r="FQ6" s="64" t="str">
        <x:f>IF(FQ7=0,"","RECHECK")</x:f>
      </x:c>
      <x:c r="FR6" s="64" t="str">
        <x:f>IF(FR7=0,"","RECHECK")</x:f>
      </x:c>
      <x:c r="FS6" s="64" t="str">
        <x:f>IF(FS7=0,"","RECHECK")</x:f>
      </x:c>
      <x:c r="FT6" s="64" t="str">
        <x:f>IF(FT7=0,"","RECHECK")</x:f>
      </x:c>
      <x:c r="FU6" s="64" t="str">
        <x:f>IF(FU7=0,"","RECHECK")</x:f>
      </x:c>
      <x:c r="FV6" s="64" t="str">
        <x:f>IF(FV7=0,"","RECHECK")</x:f>
      </x:c>
      <x:c r="FW6" s="64" t="str">
        <x:f>IF(FW7=0,"","RECHECK")</x:f>
      </x:c>
      <x:c r="FX6" s="64" t="str">
        <x:f>IF(FX7=0,"","RECHECK")</x:f>
      </x:c>
      <x:c r="FY6" s="64" t="str">
        <x:f>IF(FY7=0,"","RECHECK")</x:f>
      </x:c>
      <x:c r="FZ6" s="64" t="str">
        <x:f>IF(FZ7=0,"","RECHECK")</x:f>
      </x:c>
      <x:c r="GA6" s="64" t="str">
        <x:f>IF(GA7=0,"","RECHECK")</x:f>
      </x:c>
    </x:row>
    <x:row r="7" s="53" customFormat="1" ht="14.25" customHeight="1">
      <x:c r="A7" s="54" t="n"/>
      <x:c r="B7" s="593" t="n"/>
      <x:c r="C7" s="634" t="n"/>
      <x:c r="D7" s="634" t="n"/>
      <x:c r="E7" s="634" t="n"/>
      <x:c r="F7" s="635" t="n"/>
      <x:c r="G7" s="636" t="n">
        <x:f>SUBTOTAL(9,G10:G204)</x:f>
        <x:v>1</x:v>
      </x:c>
      <x:c r="H7" s="637" t="n">
        <x:f>SUBTOTAL(9,H10:H204)</x:f>
        <x:v>0</x:v>
      </x:c>
      <x:c r="I7" s="637" t="n">
        <x:f>SUBTOTAL(9,I10:I204)</x:f>
        <x:v>0</x:v>
      </x:c>
      <x:c r="J7" s="637" t="n">
        <x:f>SUBTOTAL(9,J10:J204)</x:f>
        <x:v>0</x:v>
      </x:c>
      <x:c r="K7" s="637" t="n">
        <x:f>SUBTOTAL(9,K10:K204)</x:f>
        <x:v>0</x:v>
      </x:c>
      <x:c r="L7" s="637" t="n">
        <x:f>SUBTOTAL(9,L10:L204)</x:f>
        <x:v>0</x:v>
      </x:c>
      <x:c r="M7" s="637" t="n">
        <x:f>SUBTOTAL(9,M10:M204)</x:f>
        <x:v>0</x:v>
      </x:c>
      <x:c r="N7" s="637" t="n">
        <x:f>SUBTOTAL(9,N10:N204)</x:f>
        <x:v>0</x:v>
      </x:c>
      <x:c r="O7" s="637" t="n">
        <x:f>SUBTOTAL(9,O10:O204)</x:f>
        <x:v>0</x:v>
      </x:c>
      <x:c r="P7" s="637" t="n">
        <x:f>SUBTOTAL(9,P10:P204)</x:f>
        <x:v>0</x:v>
      </x:c>
      <x:c r="Q7" s="637" t="n">
        <x:f>SUBTOTAL(9,Q10:Q204)</x:f>
        <x:v>0</x:v>
      </x:c>
      <x:c r="R7" s="638" t="n">
        <x:f>SUBTOTAL(9,R10:R204)</x:f>
        <x:v>0</x:v>
      </x:c>
      <x:c r="S7" s="638" t="n">
        <x:f>SUBTOTAL(9,S10:S204)</x:f>
        <x:v>0</x:v>
      </x:c>
      <x:c r="T7" s="637" t="n">
        <x:f>SUBTOTAL(9,T10:T204)</x:f>
        <x:v>0</x:v>
      </x:c>
      <x:c r="U7" s="637" t="n">
        <x:f>SUBTOTAL(9,U10:U204)</x:f>
        <x:v>0</x:v>
      </x:c>
      <x:c r="V7" s="637" t="n">
        <x:f>SUBTOTAL(9,V10:V204)</x:f>
        <x:v>0</x:v>
      </x:c>
      <x:c r="W7" s="637" t="n">
        <x:f>SUBTOTAL(9,W10:W204)</x:f>
        <x:v>0</x:v>
      </x:c>
      <x:c r="X7" s="637" t="n">
        <x:f>SUBTOTAL(9,X10:X204)</x:f>
        <x:v>0</x:v>
      </x:c>
      <x:c r="Y7" s="637" t="n">
        <x:f>SUBTOTAL(9,Y10:Y204)</x:f>
        <x:v>0</x:v>
      </x:c>
      <x:c r="Z7" s="637" t="n">
        <x:f>SUBTOTAL(9,Z10:Z204)</x:f>
        <x:v>0</x:v>
      </x:c>
      <x:c r="AA7" s="637" t="n">
        <x:f>SUBTOTAL(9,AA10:AA204)</x:f>
        <x:v>0</x:v>
      </x:c>
      <x:c r="AB7" s="637" t="n">
        <x:f>SUBTOTAL(9,AB10:AB204)</x:f>
        <x:v>0</x:v>
      </x:c>
      <x:c r="AC7" s="637" t="n">
        <x:f>SUBTOTAL(9,AC10:AC204)</x:f>
        <x:v>0</x:v>
      </x:c>
      <x:c r="AD7" s="637" t="n">
        <x:f>SUBTOTAL(9,AD10:AD204)</x:f>
        <x:v>0</x:v>
      </x:c>
      <x:c r="AE7" s="638" t="n">
        <x:f>SUBTOTAL(9,AE10:AE204)</x:f>
        <x:v>0</x:v>
      </x:c>
      <x:c r="AF7" s="638" t="n">
        <x:f>SUBTOTAL(9,AF10:AF204)</x:f>
        <x:v>0</x:v>
      </x:c>
      <x:c r="AG7" s="638" t="n">
        <x:f>SUBTOTAL(9,AG10:AG204)</x:f>
        <x:v>0</x:v>
      </x:c>
      <x:c r="AH7" s="638" t="n">
        <x:f>SUBTOTAL(9,AH10:AH204)</x:f>
        <x:v>0</x:v>
      </x:c>
      <x:c r="AI7" s="638" t="n">
        <x:f>SUBTOTAL(9,AI10:AI204)</x:f>
        <x:v>0</x:v>
      </x:c>
      <x:c r="AJ7" s="638" t="n">
        <x:f>SUBTOTAL(9,AJ10:AJ204)</x:f>
        <x:v>0</x:v>
      </x:c>
      <x:c r="AK7" s="638" t="n">
        <x:f>SUBTOTAL(9,AK10:AK204)</x:f>
        <x:v>0</x:v>
      </x:c>
      <x:c r="AL7" s="637" t="n">
        <x:f>SUBTOTAL(9,AL10:AL204)</x:f>
        <x:v>0</x:v>
      </x:c>
      <x:c r="AM7" s="638" t="n">
        <x:f>SUBTOTAL(9,AM10:AM204)</x:f>
        <x:v>0</x:v>
      </x:c>
      <x:c r="AN7" s="637" t="n">
        <x:f>SUBTOTAL(9,AN10:AN204)</x:f>
        <x:v>0</x:v>
      </x:c>
      <x:c r="AO7" s="638" t="n">
        <x:f>SUBTOTAL(9,AO10:AO204)</x:f>
        <x:v>0</x:v>
      </x:c>
      <x:c r="AP7" s="637" t="n">
        <x:f>SUBTOTAL(9,AP10:AP204)</x:f>
        <x:v>0</x:v>
      </x:c>
      <x:c r="AQ7" s="637" t="n">
        <x:f>SUBTOTAL(9,AQ10:AQ204)</x:f>
        <x:v>0</x:v>
      </x:c>
      <x:c r="AR7" s="637" t="n">
        <x:f>SUBTOTAL(9,AR10:AR204)</x:f>
        <x:v>0</x:v>
      </x:c>
      <x:c r="AS7" s="637" t="n">
        <x:f>SUBTOTAL(9,AS10:AS204)</x:f>
        <x:v>0</x:v>
      </x:c>
      <x:c r="AT7" s="637" t="n">
        <x:f>SUBTOTAL(9,AT10:AT204)</x:f>
        <x:v>0</x:v>
      </x:c>
      <x:c r="AU7" s="637" t="n">
        <x:f>SUBTOTAL(9,AU10:AU204)</x:f>
        <x:v>0</x:v>
      </x:c>
      <x:c r="AV7" s="637" t="n">
        <x:f>SUBTOTAL(9,AV10:AV204)</x:f>
        <x:v>0</x:v>
      </x:c>
      <x:c r="AW7" s="637" t="n">
        <x:f>SUBTOTAL(9,AW10:AW204)</x:f>
        <x:v>0</x:v>
      </x:c>
      <x:c r="AX7" s="637" t="n">
        <x:f>SUBTOTAL(9,AX10:AX204)</x:f>
        <x:v>0</x:v>
      </x:c>
      <x:c r="AY7" s="637" t="n">
        <x:f>SUBTOTAL(9,AY10:AY204)</x:f>
        <x:v>0</x:v>
      </x:c>
      <x:c r="AZ7" s="637" t="n">
        <x:f>SUBTOTAL(9,AZ10:AZ204)</x:f>
        <x:v>0</x:v>
      </x:c>
      <x:c r="BA7" s="637" t="n">
        <x:f>SUBTOTAL(9,BA10:BA204)</x:f>
        <x:v>0</x:v>
      </x:c>
      <x:c r="BB7" s="637" t="n">
        <x:f>SUBTOTAL(9,BB10:BB204)</x:f>
        <x:v>0</x:v>
      </x:c>
      <x:c r="BC7" s="637" t="n">
        <x:f>SUBTOTAL(9,BC10:BC204)</x:f>
        <x:v>0</x:v>
      </x:c>
      <x:c r="BD7" s="637" t="n">
        <x:f>SUBTOTAL(9,BD10:BD204)</x:f>
        <x:v>0</x:v>
      </x:c>
      <x:c r="BE7" s="637" t="n">
        <x:f>SUBTOTAL(9,BE10:BE204)</x:f>
        <x:v>0</x:v>
      </x:c>
      <x:c r="BF7" s="637" t="n">
        <x:f>SUBTOTAL(9,BF10:BF204)</x:f>
        <x:v>0</x:v>
      </x:c>
      <x:c r="BG7" s="637" t="n">
        <x:f>SUBTOTAL(9,BG10:BG204)</x:f>
        <x:v>0</x:v>
      </x:c>
      <x:c r="BH7" s="637" t="n">
        <x:f>SUBTOTAL(9,BH10:BH204)</x:f>
        <x:v>0</x:v>
      </x:c>
      <x:c r="BI7" s="637" t="n">
        <x:f>SUBTOTAL(9,BI10:BI204)</x:f>
        <x:v>0</x:v>
      </x:c>
      <x:c r="BJ7" s="637" t="n">
        <x:f>SUBTOTAL(9,BJ10:BJ204)</x:f>
        <x:v>0</x:v>
      </x:c>
      <x:c r="BK7" s="637" t="n">
        <x:f>SUBTOTAL(9,BK10:BK204)</x:f>
        <x:v>0</x:v>
      </x:c>
      <x:c r="BL7" s="637" t="n">
        <x:f>SUBTOTAL(9,BL10:BL204)</x:f>
        <x:v>0</x:v>
      </x:c>
      <x:c r="BM7" s="637" t="n">
        <x:f>SUBTOTAL(9,BM10:BM204)</x:f>
        <x:v>0</x:v>
      </x:c>
      <x:c r="BN7" s="637" t="n">
        <x:f>SUBTOTAL(9,BN10:BN204)</x:f>
        <x:v>0</x:v>
      </x:c>
      <x:c r="BO7" s="637" t="n">
        <x:f>SUBTOTAL(9,BO10:BO204)</x:f>
        <x:v>0</x:v>
      </x:c>
      <x:c r="BP7" s="637" t="n">
        <x:f>SUBTOTAL(9,BP10:BP204)</x:f>
        <x:v>0</x:v>
      </x:c>
      <x:c r="BQ7" s="637" t="n">
        <x:f>SUBTOTAL(9,BQ10:BQ204)</x:f>
        <x:v>0</x:v>
      </x:c>
      <x:c r="BR7" s="637" t="n">
        <x:f>SUBTOTAL(9,BR10:BR204)</x:f>
        <x:v>0</x:v>
      </x:c>
      <x:c r="BS7" s="637" t="n">
        <x:f>SUBTOTAL(9,BS10:BS204)</x:f>
        <x:v>0</x:v>
      </x:c>
      <x:c r="BT7" s="637" t="n">
        <x:f>SUBTOTAL(9,BT10:BT204)</x:f>
        <x:v>0</x:v>
      </x:c>
      <x:c r="BU7" s="637" t="n">
        <x:f>SUBTOTAL(9,BU10:BU204)</x:f>
        <x:v>0</x:v>
      </x:c>
      <x:c r="BV7" s="637" t="n">
        <x:f>SUBTOTAL(9,BV10:BV204)</x:f>
        <x:v>0</x:v>
      </x:c>
      <x:c r="BW7" s="637" t="n">
        <x:f>SUBTOTAL(9,BW10:BW204)</x:f>
        <x:v>0</x:v>
      </x:c>
      <x:c r="BX7" s="637" t="n">
        <x:f>SUBTOTAL(9,BX10:BX204)</x:f>
        <x:v>0</x:v>
      </x:c>
      <x:c r="BY7" s="637" t="n">
        <x:f>SUBTOTAL(9,BY10:BY204)</x:f>
        <x:v>0</x:v>
      </x:c>
      <x:c r="BZ7" s="637" t="n">
        <x:f>SUBTOTAL(9,BZ10:BZ204)</x:f>
        <x:v>0</x:v>
      </x:c>
      <x:c r="CA7" s="637" t="n">
        <x:f>SUBTOTAL(9,CA10:CA204)</x:f>
        <x:v>0</x:v>
      </x:c>
      <x:c r="CB7" s="637" t="n">
        <x:f>SUBTOTAL(9,CB10:CB204)</x:f>
        <x:v>0</x:v>
      </x:c>
      <x:c r="CC7" s="637" t="n">
        <x:f>SUBTOTAL(9,CC10:CC204)</x:f>
        <x:v>0</x:v>
      </x:c>
      <x:c r="CD7" s="637" t="n">
        <x:f>SUBTOTAL(9,CD10:CD204)</x:f>
        <x:v>0</x:v>
      </x:c>
      <x:c r="CE7" s="637" t="n">
        <x:f>SUBTOTAL(9,CE10:CE204)</x:f>
        <x:v>0</x:v>
      </x:c>
      <x:c r="CF7" s="637" t="n">
        <x:f>SUBTOTAL(9,CF10:CF204)</x:f>
        <x:v>0</x:v>
      </x:c>
      <x:c r="CG7" s="637" t="n">
        <x:f>SUBTOTAL(9,CG10:CG204)</x:f>
        <x:v>0</x:v>
      </x:c>
      <x:c r="CH7" s="637" t="n">
        <x:f>SUBTOTAL(9,CH10:CH204)</x:f>
        <x:v>0</x:v>
      </x:c>
      <x:c r="CI7" s="637" t="n">
        <x:f>SUBTOTAL(9,CI10:CI204)</x:f>
        <x:v>0</x:v>
      </x:c>
      <x:c r="CJ7" s="637" t="n">
        <x:f>SUBTOTAL(9,CJ10:CJ204)</x:f>
        <x:v>0</x:v>
      </x:c>
      <x:c r="CK7" s="637" t="n">
        <x:f>SUBTOTAL(9,CK10:CK204)</x:f>
        <x:v>0</x:v>
      </x:c>
      <x:c r="CL7" s="637" t="n">
        <x:f>SUBTOTAL(9,CL10:CL204)</x:f>
        <x:v>0</x:v>
      </x:c>
      <x:c r="CM7" s="637" t="n">
        <x:f>SUBTOTAL(9,CM10:CM204)</x:f>
        <x:v>0</x:v>
      </x:c>
      <x:c r="CN7" s="637" t="n">
        <x:f>SUBTOTAL(9,CN10:CN204)</x:f>
        <x:v>0</x:v>
      </x:c>
      <x:c r="CO7" s="637" t="n">
        <x:f>SUBTOTAL(9,CO10:CO204)</x:f>
        <x:v>0</x:v>
      </x:c>
      <x:c r="CP7" s="637" t="n">
        <x:f>SUBTOTAL(9,CP10:CP204)</x:f>
        <x:v>0</x:v>
      </x:c>
      <x:c r="CQ7" s="637" t="n">
        <x:f>SUBTOTAL(9,CQ10:CQ204)</x:f>
        <x:v>0</x:v>
      </x:c>
      <x:c r="CR7" s="637" t="n">
        <x:f>SUBTOTAL(9,CR10:CR204)</x:f>
        <x:v>0</x:v>
      </x:c>
      <x:c r="CS7" s="637" t="n">
        <x:f>SUBTOTAL(9,CS10:CS204)</x:f>
        <x:v>0</x:v>
      </x:c>
      <x:c r="CT7" s="637" t="n">
        <x:f>SUBTOTAL(9,CT10:CT204)</x:f>
        <x:v>0</x:v>
      </x:c>
      <x:c r="CU7" s="637" t="n">
        <x:f>SUBTOTAL(9,CU10:CU204)</x:f>
        <x:v>0</x:v>
      </x:c>
      <x:c r="CV7" s="637" t="n">
        <x:f>SUBTOTAL(9,CV10:CV204)</x:f>
        <x:v>0</x:v>
      </x:c>
      <x:c r="CW7" s="637" t="n">
        <x:f>SUBTOTAL(9,CW10:CW204)</x:f>
        <x:v>0</x:v>
      </x:c>
      <x:c r="CX7" s="637" t="n">
        <x:f>SUBTOTAL(9,CX10:CX204)</x:f>
        <x:v>0</x:v>
      </x:c>
      <x:c r="CY7" s="637" t="n">
        <x:f>SUBTOTAL(9,CY10:CY204)</x:f>
        <x:v>0</x:v>
      </x:c>
      <x:c r="CZ7" s="637" t="n">
        <x:f>SUBTOTAL(9,CZ10:CZ204)</x:f>
        <x:v>0</x:v>
      </x:c>
      <x:c r="DA7" s="637" t="n">
        <x:f>SUBTOTAL(9,DA10:DA204)</x:f>
        <x:v>0</x:v>
      </x:c>
      <x:c r="DB7" s="637" t="n">
        <x:f>SUBTOTAL(9,DB10:DB204)</x:f>
        <x:v>0</x:v>
      </x:c>
      <x:c r="DC7" s="637" t="n">
        <x:f>SUBTOTAL(9,DC10:DC204)</x:f>
        <x:v>0</x:v>
      </x:c>
      <x:c r="DD7" s="637" t="n">
        <x:f>SUBTOTAL(9,DD10:DD204)</x:f>
        <x:v>0</x:v>
      </x:c>
      <x:c r="DE7" s="637" t="n">
        <x:f>SUBTOTAL(9,DE10:DE204)</x:f>
        <x:v>0</x:v>
      </x:c>
      <x:c r="DF7" s="637" t="n">
        <x:f>SUBTOTAL(9,DF10:DF204)</x:f>
        <x:v>0</x:v>
      </x:c>
      <x:c r="DG7" s="637" t="n">
        <x:f>SUBTOTAL(9,DG10:DG204)</x:f>
        <x:v>0</x:v>
      </x:c>
      <x:c r="DH7" s="637" t="n">
        <x:f>SUBTOTAL(9,DH10:DH204)</x:f>
        <x:v>0</x:v>
      </x:c>
      <x:c r="DI7" s="637" t="n">
        <x:f>SUBTOTAL(9,DI10:DI204)</x:f>
        <x:v>0</x:v>
      </x:c>
      <x:c r="DJ7" s="637" t="n">
        <x:f>SUBTOTAL(9,DJ10:DJ204)</x:f>
        <x:v>0</x:v>
      </x:c>
      <x:c r="DK7" s="637" t="n">
        <x:f>SUBTOTAL(9,DK10:DK204)</x:f>
        <x:v>0</x:v>
      </x:c>
      <x:c r="DL7" s="637" t="n">
        <x:f>SUBTOTAL(9,DL10:DL204)</x:f>
        <x:v>0</x:v>
      </x:c>
      <x:c r="DM7" s="637" t="n">
        <x:f>SUBTOTAL(9,DM10:DM204)</x:f>
        <x:v>0</x:v>
      </x:c>
      <x:c r="DN7" s="637" t="n">
        <x:f>SUBTOTAL(9,DN10:DN204)</x:f>
        <x:v>0</x:v>
      </x:c>
      <x:c r="DO7" s="637" t="n">
        <x:f>SUBTOTAL(9,DO10:DO204)</x:f>
        <x:v>0</x:v>
      </x:c>
      <x:c r="DP7" s="637" t="n">
        <x:f>SUBTOTAL(9,DP10:DP204)</x:f>
        <x:v>0</x:v>
      </x:c>
      <x:c r="DQ7" s="637" t="n">
        <x:f>SUBTOTAL(9,DQ10:DQ204)</x:f>
        <x:v>0</x:v>
      </x:c>
      <x:c r="DR7" s="637" t="n">
        <x:f>SUBTOTAL(9,DR10:DR204)</x:f>
        <x:v>0</x:v>
      </x:c>
      <x:c r="DS7" s="637" t="n">
        <x:f>SUBTOTAL(9,DS10:DS204)</x:f>
        <x:v>0</x:v>
      </x:c>
      <x:c r="DT7" s="637" t="n">
        <x:f>SUBTOTAL(9,DT10:DT204)</x:f>
        <x:v>0</x:v>
      </x:c>
      <x:c r="DU7" s="637" t="n">
        <x:f>SUBTOTAL(9,DU10:DU204)</x:f>
        <x:v>0</x:v>
      </x:c>
      <x:c r="DV7" s="637" t="n">
        <x:f>SUBTOTAL(9,DV10:DV204)</x:f>
        <x:v>0</x:v>
      </x:c>
      <x:c r="DW7" s="637" t="n">
        <x:f>SUBTOTAL(9,DW10:DW204)</x:f>
        <x:v>0</x:v>
      </x:c>
      <x:c r="DX7" s="637" t="n">
        <x:f>SUBTOTAL(9,DX10:DX204)</x:f>
        <x:v>0</x:v>
      </x:c>
      <x:c r="DY7" s="637" t="n">
        <x:f>SUBTOTAL(9,DY10:DY204)</x:f>
        <x:v>0</x:v>
      </x:c>
      <x:c r="DZ7" s="637" t="n">
        <x:f>SUBTOTAL(9,DZ10:DZ204)</x:f>
        <x:v>0</x:v>
      </x:c>
      <x:c r="EA7" s="637" t="n">
        <x:f>SUBTOTAL(9,EA10:EA204)</x:f>
        <x:v>0</x:v>
      </x:c>
      <x:c r="EB7" s="637" t="n">
        <x:f>SUBTOTAL(9,EB10:EB204)</x:f>
        <x:v>0</x:v>
      </x:c>
      <x:c r="EC7" s="637" t="n">
        <x:f>SUBTOTAL(9,EC10:EC204)</x:f>
        <x:v>0</x:v>
      </x:c>
      <x:c r="ED7" s="637" t="n">
        <x:f>SUBTOTAL(9,ED10:ED204)</x:f>
        <x:v>0</x:v>
      </x:c>
      <x:c r="EE7" s="637" t="n">
        <x:f>SUBTOTAL(9,EE10:EE204)</x:f>
        <x:v>0</x:v>
      </x:c>
      <x:c r="EF7" s="637" t="n">
        <x:f>SUBTOTAL(9,EF10:EF204)</x:f>
        <x:v>0</x:v>
      </x:c>
      <x:c r="EG7" s="637" t="n">
        <x:f>SUBTOTAL(9,EG10:EG204)</x:f>
        <x:v>0</x:v>
      </x:c>
      <x:c r="EH7" s="637" t="n">
        <x:f>SUBTOTAL(9,EH10:EH204)</x:f>
        <x:v>0</x:v>
      </x:c>
      <x:c r="EI7" s="637" t="n">
        <x:f>SUBTOTAL(9,EI10:EI204)</x:f>
        <x:v>0</x:v>
      </x:c>
      <x:c r="EJ7" s="637" t="n">
        <x:f>SUBTOTAL(9,EJ10:EJ204)</x:f>
        <x:v>0</x:v>
      </x:c>
      <x:c r="EK7" s="637" t="n">
        <x:f>SUBTOTAL(9,EK10:EK204)</x:f>
        <x:v>0</x:v>
      </x:c>
      <x:c r="EL7" s="637" t="n">
        <x:f>SUBTOTAL(9,EL10:EL204)</x:f>
        <x:v>0</x:v>
      </x:c>
      <x:c r="EM7" s="637" t="n">
        <x:f>SUBTOTAL(9,EM10:EM204)</x:f>
        <x:v>0</x:v>
      </x:c>
      <x:c r="EN7" s="637" t="n">
        <x:f>SUBTOTAL(9,EN10:EN204)</x:f>
        <x:v>0</x:v>
      </x:c>
      <x:c r="EO7" s="637" t="n">
        <x:f>SUBTOTAL(9,EO10:EO204)</x:f>
        <x:v>0</x:v>
      </x:c>
      <x:c r="EP7" s="637" t="n">
        <x:f>SUBTOTAL(9,EP10:EP204)</x:f>
        <x:v>0</x:v>
      </x:c>
      <x:c r="EQ7" s="637" t="n">
        <x:f>SUBTOTAL(9,EQ10:EQ204)</x:f>
        <x:v>0</x:v>
      </x:c>
      <x:c r="ER7" s="637" t="n">
        <x:f>SUBTOTAL(9,ER10:ER204)</x:f>
        <x:v>0</x:v>
      </x:c>
      <x:c r="ES7" s="637" t="n">
        <x:f>SUBTOTAL(9,ES10:ES204)</x:f>
        <x:v>0</x:v>
      </x:c>
      <x:c r="ET7" s="637" t="n">
        <x:f>SUBTOTAL(9,ET10:ET204)</x:f>
        <x:v>0</x:v>
      </x:c>
      <x:c r="EU7" s="637" t="n">
        <x:f>SUBTOTAL(9,EU10:EU204)</x:f>
        <x:v>0</x:v>
      </x:c>
      <x:c r="EV7" s="637" t="n">
        <x:f>SUBTOTAL(9,EV10:EV204)</x:f>
        <x:v>0</x:v>
      </x:c>
      <x:c r="EW7" s="637" t="n">
        <x:f>SUBTOTAL(9,EW10:EW204)</x:f>
        <x:v>0</x:v>
      </x:c>
      <x:c r="EX7" s="637" t="n">
        <x:f>SUBTOTAL(9,EX10:EX204)</x:f>
        <x:v>0</x:v>
      </x:c>
      <x:c r="EY7" s="637" t="n">
        <x:f>SUBTOTAL(9,EY10:EY204)</x:f>
        <x:v>0</x:v>
      </x:c>
      <x:c r="EZ7" s="637" t="n">
        <x:f>SUBTOTAL(9,EZ10:EZ204)</x:f>
        <x:v>0</x:v>
      </x:c>
      <x:c r="FA7" s="637" t="n">
        <x:f>SUBTOTAL(9,FA10:FA204)</x:f>
        <x:v>0</x:v>
      </x:c>
      <x:c r="FB7" s="637" t="n">
        <x:f>SUBTOTAL(9,FB10:FB204)</x:f>
        <x:v>0</x:v>
      </x:c>
      <x:c r="FC7" s="637" t="n">
        <x:f>SUBTOTAL(9,FC10:FC204)</x:f>
        <x:v>0</x:v>
      </x:c>
      <x:c r="FD7" s="637" t="n">
        <x:f>SUBTOTAL(9,FD10:FD204)</x:f>
        <x:v>0</x:v>
      </x:c>
      <x:c r="FE7" s="637" t="n">
        <x:f>SUBTOTAL(9,FE10:FE204)</x:f>
        <x:v>0</x:v>
      </x:c>
      <x:c r="FF7" s="637" t="n">
        <x:f>SUBTOTAL(9,FF10:FF204)</x:f>
        <x:v>0</x:v>
      </x:c>
      <x:c r="FG7" s="637" t="n">
        <x:f>SUBTOTAL(9,FG10:FG204)</x:f>
        <x:v>0</x:v>
      </x:c>
      <x:c r="FH7" s="637" t="n">
        <x:f>SUBTOTAL(9,FH10:FH204)</x:f>
        <x:v>0</x:v>
      </x:c>
      <x:c r="FI7" s="637" t="n">
        <x:f>SUBTOTAL(9,FI10:FI204)</x:f>
        <x:v>0</x:v>
      </x:c>
      <x:c r="FJ7" s="637" t="n">
        <x:f>SUBTOTAL(9,FJ10:FJ204)</x:f>
        <x:v>0</x:v>
      </x:c>
      <x:c r="FK7" s="637" t="n">
        <x:f>SUBTOTAL(9,FK10:FK204)</x:f>
        <x:v>0</x:v>
      </x:c>
      <x:c r="FL7" s="637" t="n">
        <x:f>SUBTOTAL(9,FL10:FL204)</x:f>
        <x:v>0</x:v>
      </x:c>
      <x:c r="FM7" s="637" t="n">
        <x:f>SUBTOTAL(9,FM10:FM204)</x:f>
        <x:v>0</x:v>
      </x:c>
      <x:c r="FN7" s="637" t="n">
        <x:f>SUBTOTAL(9,FN10:FN204)</x:f>
        <x:v>0</x:v>
      </x:c>
      <x:c r="FO7" s="637" t="n">
        <x:f>SUBTOTAL(9,FO10:FO204)</x:f>
        <x:v>0</x:v>
      </x:c>
      <x:c r="FP7" s="637" t="n">
        <x:f>SUBTOTAL(9,FP10:FP204)</x:f>
        <x:v>0</x:v>
      </x:c>
      <x:c r="FQ7" s="637" t="n">
        <x:f>SUBTOTAL(9,FQ10:FQ204)</x:f>
        <x:v>0</x:v>
      </x:c>
      <x:c r="FR7" s="637" t="n">
        <x:f>SUBTOTAL(9,FR10:FR204)</x:f>
        <x:v>0</x:v>
      </x:c>
      <x:c r="FS7" s="637" t="n">
        <x:f>SUBTOTAL(9,FS10:FS204)</x:f>
        <x:v>0</x:v>
      </x:c>
      <x:c r="FT7" s="637" t="n">
        <x:f>SUBTOTAL(9,FT10:FT204)</x:f>
        <x:v>0</x:v>
      </x:c>
      <x:c r="FU7" s="637" t="n">
        <x:f>SUBTOTAL(9,FU10:FU204)</x:f>
        <x:v>0</x:v>
      </x:c>
      <x:c r="FV7" s="637" t="n">
        <x:f>SUBTOTAL(9,FV10:FV204)</x:f>
        <x:v>0</x:v>
      </x:c>
      <x:c r="FW7" s="637" t="n">
        <x:f>SUBTOTAL(9,FW10:FW204)</x:f>
        <x:v>0</x:v>
      </x:c>
      <x:c r="FX7" s="637" t="n">
        <x:f>SUBTOTAL(9,FX10:FX204)</x:f>
        <x:v>0</x:v>
      </x:c>
      <x:c r="FY7" s="637" t="n">
        <x:f>SUBTOTAL(9,FY10:FY204)</x:f>
        <x:v>0</x:v>
      </x:c>
      <x:c r="FZ7" s="637" t="n">
        <x:f>SUBTOTAL(9,FZ10:FZ204)</x:f>
        <x:v>0</x:v>
      </x:c>
      <x:c r="GA7" s="637" t="n">
        <x:f>SUBTOTAL(9,GA10:GA204)</x:f>
        <x:v>0</x:v>
      </x:c>
    </x:row>
    <x:row r="8" s="26" customFormat="1" ht="14.25" customHeight="1">
      <x:c r="A8" s="52" t="inlineStr">
        <x:is>
          <x:t xml:space="preserve">NOTES</x:t>
        </x:is>
      </x:c>
      <x:c r="B8" s="639" t="n"/>
      <x:c r="C8" s="51" t="inlineStr">
        <x:is>
          <x:t xml:space="preserve">NET ACRES</x:t>
        </x:is>
      </x:c>
      <x:c r="D8" s="50" t="inlineStr">
        <x:is>
          <x:t xml:space="preserve">OWNERS</x:t>
        </x:is>
      </x:c>
      <x:c r="E8" s="49" t="inlineStr">
        <x:is>
          <x:t xml:space="preserve">TOTAL </x:t>
        </x:is>
      </x:c>
      <x:c r="F8" s="640" t="n"/>
      <x:c r="G8" s="641" t="n"/>
      <x:c r="H8" s="642" t="n"/>
      <x:c r="I8" s="642" t="n"/>
      <x:c r="J8" s="642" t="n"/>
      <x:c r="K8" s="642" t="n"/>
      <x:c r="L8" s="642" t="n"/>
      <x:c r="M8" s="642" t="n"/>
      <x:c r="N8" s="642" t="n"/>
      <x:c r="O8" s="642" t="n"/>
      <x:c r="P8" s="642" t="n"/>
      <x:c r="Q8" s="642" t="n"/>
      <x:c r="R8" s="642" t="n"/>
      <x:c r="S8" s="642" t="n"/>
      <x:c r="T8" s="642" t="n"/>
      <x:c r="U8" s="642" t="n"/>
      <x:c r="V8" s="642" t="n"/>
      <x:c r="W8" s="642" t="n"/>
      <x:c r="X8" s="642" t="n"/>
      <x:c r="Y8" s="642" t="n"/>
      <x:c r="Z8" s="642" t="n"/>
      <x:c r="AA8" s="642" t="n"/>
      <x:c r="AB8" s="642" t="n"/>
      <x:c r="AC8" s="642" t="n"/>
      <x:c r="AD8" s="642" t="n"/>
      <x:c r="AE8" s="642" t="n"/>
      <x:c r="AF8" s="642" t="n"/>
      <x:c r="AG8" s="642" t="n"/>
      <x:c r="AH8" s="642" t="n"/>
      <x:c r="AI8" s="642" t="n"/>
      <x:c r="AJ8" s="642" t="n"/>
      <x:c r="AK8" s="642" t="n"/>
      <x:c r="AL8" s="642" t="n"/>
      <x:c r="AM8" s="642" t="n"/>
      <x:c r="AN8" s="642" t="n"/>
      <x:c r="AO8" s="642" t="n"/>
      <x:c r="AP8" s="642" t="n"/>
      <x:c r="AQ8" s="642" t="n"/>
      <x:c r="AR8" s="642" t="n"/>
      <x:c r="AS8" s="642" t="n"/>
      <x:c r="AT8" s="642" t="n"/>
      <x:c r="AU8" s="642" t="n"/>
      <x:c r="AV8" s="642" t="n"/>
      <x:c r="AW8" s="642" t="n"/>
      <x:c r="AX8" s="642" t="n"/>
      <x:c r="AY8" s="642" t="n"/>
      <x:c r="AZ8" s="642" t="n"/>
      <x:c r="BA8" s="642" t="n"/>
      <x:c r="BB8" s="642" t="n"/>
      <x:c r="BC8" s="642" t="n"/>
      <x:c r="BD8" s="642" t="n"/>
      <x:c r="BE8" s="642" t="n"/>
      <x:c r="BF8" s="642" t="n"/>
      <x:c r="BG8" s="642" t="n"/>
      <x:c r="BH8" s="642" t="n"/>
      <x:c r="BI8" s="642" t="n"/>
      <x:c r="BJ8" s="642" t="n"/>
      <x:c r="BK8" s="642" t="n"/>
      <x:c r="BL8" s="642" t="n"/>
      <x:c r="BM8" s="642" t="n"/>
      <x:c r="BN8" s="642" t="n"/>
      <x:c r="BO8" s="642" t="n"/>
      <x:c r="BP8" s="642" t="n"/>
      <x:c r="BQ8" s="642" t="n"/>
      <x:c r="BR8" s="642" t="n"/>
      <x:c r="BS8" s="642" t="n"/>
      <x:c r="BT8" s="642" t="n"/>
      <x:c r="BU8" s="642" t="n"/>
      <x:c r="BV8" s="642" t="n"/>
      <x:c r="BW8" s="642" t="n"/>
      <x:c r="BX8" s="642" t="n"/>
      <x:c r="BY8" s="642" t="n"/>
      <x:c r="BZ8" s="642" t="n"/>
      <x:c r="CA8" s="642" t="n"/>
      <x:c r="CB8" s="642" t="n"/>
      <x:c r="CC8" s="642" t="n"/>
      <x:c r="CD8" s="642" t="n"/>
      <x:c r="CE8" s="642" t="n"/>
      <x:c r="CF8" s="642" t="n"/>
      <x:c r="CG8" s="642" t="n"/>
      <x:c r="CH8" s="642" t="n"/>
      <x:c r="CI8" s="642" t="n"/>
      <x:c r="CJ8" s="642" t="n"/>
      <x:c r="CK8" s="642" t="n"/>
      <x:c r="CL8" s="642" t="n"/>
      <x:c r="CM8" s="642" t="n"/>
      <x:c r="CN8" s="642" t="n"/>
      <x:c r="CO8" s="642" t="n"/>
      <x:c r="CP8" s="642" t="n"/>
      <x:c r="CQ8" s="642" t="n"/>
      <x:c r="CR8" s="642" t="n"/>
      <x:c r="CS8" s="642" t="n"/>
      <x:c r="CT8" s="642" t="n"/>
      <x:c r="CU8" s="642" t="n"/>
      <x:c r="CV8" s="642" t="n"/>
      <x:c r="CW8" s="642" t="n"/>
      <x:c r="CX8" s="642" t="n"/>
      <x:c r="CY8" s="642" t="n"/>
      <x:c r="CZ8" s="642" t="n"/>
      <x:c r="DA8" s="642" t="n"/>
      <x:c r="DB8" s="642" t="n"/>
      <x:c r="DC8" s="642" t="n"/>
      <x:c r="DD8" s="642" t="n"/>
      <x:c r="DE8" s="642" t="n"/>
      <x:c r="DF8" s="642" t="n"/>
      <x:c r="DG8" s="642" t="n"/>
      <x:c r="DH8" s="642" t="n"/>
      <x:c r="DI8" s="642" t="n"/>
      <x:c r="DJ8" s="642" t="n"/>
      <x:c r="DK8" s="642" t="n"/>
      <x:c r="DL8" s="642" t="n"/>
      <x:c r="DM8" s="642" t="n"/>
      <x:c r="DN8" s="642" t="n"/>
      <x:c r="DO8" s="642" t="n"/>
      <x:c r="DP8" s="642" t="n"/>
      <x:c r="DQ8" s="642" t="n"/>
      <x:c r="DR8" s="642" t="n"/>
      <x:c r="DS8" s="642" t="n"/>
      <x:c r="DT8" s="642" t="n"/>
      <x:c r="DU8" s="642" t="n"/>
      <x:c r="DV8" s="642" t="n"/>
      <x:c r="DW8" s="642" t="n"/>
      <x:c r="DX8" s="642" t="n"/>
      <x:c r="DY8" s="642" t="n"/>
      <x:c r="DZ8" s="642" t="n"/>
      <x:c r="EA8" s="642" t="n"/>
      <x:c r="EB8" s="642" t="n"/>
      <x:c r="EC8" s="642" t="n"/>
      <x:c r="ED8" s="642" t="n"/>
      <x:c r="EE8" s="642" t="n"/>
      <x:c r="EF8" s="642" t="n"/>
      <x:c r="EG8" s="642" t="n"/>
      <x:c r="EH8" s="642" t="n"/>
      <x:c r="EI8" s="642" t="n"/>
      <x:c r="EJ8" s="642" t="n"/>
      <x:c r="EK8" s="642" t="n"/>
      <x:c r="EL8" s="642" t="n"/>
      <x:c r="EM8" s="642" t="n"/>
      <x:c r="EN8" s="642" t="n"/>
      <x:c r="EO8" s="642" t="n"/>
      <x:c r="EP8" s="642" t="n"/>
      <x:c r="EQ8" s="642" t="n"/>
      <x:c r="ER8" s="642" t="n"/>
      <x:c r="ES8" s="642" t="n"/>
      <x:c r="ET8" s="642" t="n"/>
      <x:c r="EU8" s="642" t="n"/>
      <x:c r="EV8" s="642" t="n"/>
      <x:c r="EW8" s="642" t="n"/>
      <x:c r="EX8" s="642" t="n"/>
      <x:c r="EY8" s="642" t="n"/>
      <x:c r="EZ8" s="642" t="n"/>
      <x:c r="FA8" s="642" t="n"/>
      <x:c r="FB8" s="642" t="n"/>
      <x:c r="FC8" s="642" t="n"/>
      <x:c r="FD8" s="642" t="n"/>
      <x:c r="FE8" s="642" t="n"/>
      <x:c r="FF8" s="642" t="n"/>
      <x:c r="FG8" s="642" t="n"/>
      <x:c r="FH8" s="642" t="n"/>
      <x:c r="FI8" s="642" t="n"/>
      <x:c r="FJ8" s="642" t="n"/>
      <x:c r="FK8" s="642" t="n"/>
      <x:c r="FL8" s="642" t="n"/>
      <x:c r="FM8" s="642" t="n"/>
      <x:c r="FN8" s="642" t="n"/>
      <x:c r="FO8" s="642" t="n"/>
      <x:c r="FP8" s="642" t="n"/>
      <x:c r="FQ8" s="642" t="n"/>
      <x:c r="FR8" s="642" t="n"/>
      <x:c r="FS8" s="642" t="n"/>
      <x:c r="FT8" s="642" t="n"/>
      <x:c r="FU8" s="642" t="n"/>
      <x:c r="FV8" s="642" t="n"/>
      <x:c r="FW8" s="642" t="n"/>
      <x:c r="FX8" s="642" t="n"/>
      <x:c r="FY8" s="642" t="n"/>
      <x:c r="FZ8" s="642" t="n"/>
      <x:c r="GA8" s="642" t="n"/>
    </x:row>
    <x:row r="9" s="40" customFormat="1" ht="12.75" customHeight="1">
      <x:c r="A9" s="48" t="n"/>
      <x:c r="B9" s="47" t="n"/>
      <x:c r="C9" s="45" t="n"/>
      <x:c r="D9" s="46" t="n"/>
      <x:c r="E9" s="45" t="n"/>
      <x:c r="F9" s="44" t="n"/>
      <x:c r="G9" s="43" t="n"/>
      <x:c r="H9" s="41" t="n"/>
      <x:c r="I9" s="42" t="n"/>
      <x:c r="J9" s="41" t="n"/>
      <x:c r="K9" s="41" t="n"/>
      <x:c r="L9" s="41" t="n"/>
      <x:c r="M9" s="41" t="n"/>
      <x:c r="N9" s="41" t="n"/>
      <x:c r="O9" s="41" t="n"/>
      <x:c r="P9" s="41" t="n"/>
      <x:c r="Q9" s="41" t="n"/>
      <x:c r="R9" s="99" t="n"/>
      <x:c r="S9" s="99" t="n"/>
      <x:c r="T9" s="41" t="n"/>
      <x:c r="U9" s="41" t="n"/>
      <x:c r="V9" s="41" t="n"/>
      <x:c r="W9" s="41" t="n"/>
      <x:c r="X9" s="41" t="n"/>
      <x:c r="Y9" s="41" t="n"/>
      <x:c r="Z9" s="41" t="n"/>
      <x:c r="AA9" s="41" t="n"/>
      <x:c r="AB9" s="41" t="n"/>
      <x:c r="AC9" s="41" t="n"/>
      <x:c r="AD9" s="41" t="n"/>
      <x:c r="AE9" s="99" t="n"/>
      <x:c r="AF9" s="99" t="n"/>
      <x:c r="AG9" s="99" t="n"/>
      <x:c r="AH9" s="99" t="n"/>
      <x:c r="AI9" s="99" t="n"/>
      <x:c r="AJ9" s="99" t="n"/>
      <x:c r="AK9" s="99" t="n"/>
      <x:c r="AL9" s="41" t="n"/>
      <x:c r="AM9" s="99" t="n"/>
      <x:c r="AN9" s="41" t="n"/>
      <x:c r="AO9" s="99" t="n"/>
      <x:c r="AP9" s="41" t="n"/>
      <x:c r="AQ9" s="41" t="n"/>
      <x:c r="AR9" s="41" t="n"/>
      <x:c r="AS9" s="41" t="n"/>
      <x:c r="AT9" s="41" t="n"/>
      <x:c r="AU9" s="41" t="n"/>
      <x:c r="AV9" s="41" t="n"/>
      <x:c r="AW9" s="41" t="n"/>
      <x:c r="AX9" s="41" t="n"/>
      <x:c r="AY9" s="41" t="n"/>
      <x:c r="AZ9" s="41" t="n"/>
      <x:c r="BA9" s="41" t="n"/>
      <x:c r="BB9" s="41" t="n"/>
      <x:c r="BC9" s="41" t="n"/>
      <x:c r="BD9" s="41" t="n"/>
      <x:c r="BE9" s="41" t="n"/>
      <x:c r="BF9" s="41" t="n"/>
      <x:c r="BG9" s="41" t="n"/>
      <x:c r="BH9" s="41" t="n"/>
      <x:c r="BI9" s="41" t="n"/>
      <x:c r="BJ9" s="41" t="n"/>
      <x:c r="BK9" s="41" t="n"/>
      <x:c r="BL9" s="41" t="n"/>
      <x:c r="BM9" s="41" t="n"/>
      <x:c r="BN9" s="41" t="n"/>
      <x:c r="BO9" s="41" t="n"/>
      <x:c r="BP9" s="41" t="n"/>
      <x:c r="BQ9" s="41" t="n"/>
      <x:c r="BR9" s="41" t="n"/>
      <x:c r="BS9" s="41" t="n"/>
      <x:c r="BT9" s="41" t="n"/>
      <x:c r="BU9" s="41" t="n"/>
      <x:c r="BV9" s="41" t="n"/>
      <x:c r="BW9" s="41" t="n"/>
      <x:c r="BX9" s="41" t="n"/>
      <x:c r="BY9" s="41" t="n"/>
      <x:c r="BZ9" s="41" t="n"/>
      <x:c r="CA9" s="41" t="n"/>
      <x:c r="CB9" s="41" t="n"/>
      <x:c r="CC9" s="41" t="n"/>
      <x:c r="CD9" s="41" t="n"/>
      <x:c r="CE9" s="41" t="n"/>
      <x:c r="CF9" s="41" t="n"/>
      <x:c r="CG9" s="41" t="n"/>
      <x:c r="CH9" s="41" t="n"/>
      <x:c r="CI9" s="41" t="n"/>
      <x:c r="CJ9" s="41" t="n"/>
      <x:c r="CK9" s="41" t="n"/>
      <x:c r="CL9" s="41" t="n"/>
      <x:c r="CM9" s="41" t="n"/>
      <x:c r="CN9" s="41" t="n"/>
      <x:c r="CO9" s="41" t="n"/>
      <x:c r="CP9" s="41" t="n"/>
      <x:c r="CQ9" s="41" t="n"/>
      <x:c r="CR9" s="41" t="n"/>
      <x:c r="CS9" s="41" t="n"/>
      <x:c r="CT9" s="41" t="n"/>
      <x:c r="CU9" s="41" t="n"/>
      <x:c r="CV9" s="41" t="n"/>
      <x:c r="CW9" s="41" t="n"/>
      <x:c r="CX9" s="41" t="n"/>
      <x:c r="CY9" s="41" t="n"/>
      <x:c r="CZ9" s="41" t="n"/>
      <x:c r="DA9" s="41" t="n"/>
      <x:c r="DB9" s="41" t="n"/>
      <x:c r="DC9" s="41" t="n"/>
      <x:c r="DD9" s="41" t="n"/>
      <x:c r="DE9" s="41" t="n"/>
      <x:c r="DF9" s="41" t="n"/>
      <x:c r="DG9" s="41" t="n"/>
      <x:c r="DH9" s="41" t="n"/>
      <x:c r="DI9" s="41" t="n"/>
      <x:c r="DJ9" s="41" t="n"/>
      <x:c r="DK9" s="41" t="n"/>
      <x:c r="DL9" s="41" t="n"/>
      <x:c r="DM9" s="41" t="n"/>
      <x:c r="DN9" s="41" t="n"/>
      <x:c r="DO9" s="41" t="n"/>
      <x:c r="DP9" s="41" t="n"/>
      <x:c r="DQ9" s="41" t="n"/>
      <x:c r="DR9" s="41" t="n"/>
      <x:c r="DS9" s="41" t="n"/>
      <x:c r="DT9" s="41" t="n"/>
      <x:c r="DU9" s="41" t="n"/>
      <x:c r="DV9" s="41" t="n"/>
      <x:c r="DW9" s="41" t="n"/>
      <x:c r="DX9" s="41" t="n"/>
      <x:c r="DY9" s="41" t="n"/>
      <x:c r="DZ9" s="41" t="n"/>
      <x:c r="EA9" s="41" t="n"/>
      <x:c r="EB9" s="41" t="n"/>
      <x:c r="EC9" s="41" t="n"/>
      <x:c r="ED9" s="41" t="n"/>
      <x:c r="EE9" s="41" t="n"/>
      <x:c r="EF9" s="41" t="n"/>
      <x:c r="EG9" s="41" t="n"/>
      <x:c r="EH9" s="41" t="n"/>
      <x:c r="EI9" s="41" t="n"/>
      <x:c r="EJ9" s="41" t="n"/>
      <x:c r="EK9" s="41" t="n"/>
      <x:c r="EL9" s="41" t="n"/>
      <x:c r="EM9" s="41" t="n"/>
      <x:c r="EN9" s="41" t="n"/>
      <x:c r="EO9" s="41" t="n"/>
      <x:c r="EP9" s="41" t="n"/>
      <x:c r="EQ9" s="41" t="n"/>
      <x:c r="ER9" s="41" t="n"/>
      <x:c r="ES9" s="41" t="n"/>
      <x:c r="ET9" s="41" t="n"/>
      <x:c r="EU9" s="41" t="n"/>
      <x:c r="EV9" s="41" t="n"/>
      <x:c r="EW9" s="41" t="n"/>
      <x:c r="EX9" s="41" t="n"/>
      <x:c r="EY9" s="41" t="n"/>
      <x:c r="EZ9" s="41" t="n"/>
      <x:c r="FA9" s="41" t="n"/>
      <x:c r="FB9" s="41" t="n"/>
      <x:c r="FC9" s="41" t="n"/>
      <x:c r="FD9" s="41" t="n"/>
      <x:c r="FE9" s="41" t="n"/>
      <x:c r="FF9" s="41" t="n"/>
      <x:c r="FG9" s="41" t="n"/>
      <x:c r="FH9" s="41" t="n"/>
      <x:c r="FI9" s="41" t="n"/>
      <x:c r="FJ9" s="41" t="n"/>
      <x:c r="FK9" s="41" t="n"/>
      <x:c r="FL9" s="41" t="n"/>
      <x:c r="FM9" s="41" t="n"/>
      <x:c r="FN9" s="41" t="n"/>
      <x:c r="FO9" s="41" t="n"/>
      <x:c r="FP9" s="41" t="n"/>
      <x:c r="FQ9" s="41" t="n"/>
      <x:c r="FR9" s="41" t="n"/>
      <x:c r="FS9" s="41" t="n"/>
      <x:c r="FT9" s="41" t="n"/>
      <x:c r="FU9" s="41" t="n"/>
      <x:c r="FV9" s="41" t="n"/>
      <x:c r="FW9" s="41" t="n"/>
      <x:c r="FX9" s="41" t="n"/>
      <x:c r="FY9" s="41" t="n"/>
      <x:c r="FZ9" s="41" t="n"/>
      <x:c r="GA9" s="41" t="n"/>
    </x:row>
    <x:row r="10" s="27" customFormat="1">
      <x:c r="A10" s="38" t="n"/>
      <x:c r="B10" s="37" t="n"/>
      <x:c r="C10" s="36" t="n">
        <x:f>E10*D$5</x:f>
        <x:v>0</x:v>
      </x:c>
      <x:c r="D10" s="330" t="inlineStr">
        <x:is>
          <x:t xml:space="preserve">Elmo W. Kirk and Freeda Kirk</x:t>
        </x:is>
      </x:c>
      <x:c r="E10" s="36" t="n">
        <x:f>SUM(G10:HT10)</x:f>
        <x:v>0</x:v>
      </x:c>
      <x:c r="F10" s="35" t="n"/>
      <x:c r="G10" s="121" t="n">
        <x:v>1</x:v>
      </x:c>
      <x:c r="H10" s="122" t="n"/>
      <x:c r="I10" s="121" t="n"/>
      <x:c r="J10" s="121" t="n"/>
      <x:c r="K10" s="122" t="n"/>
      <x:c r="L10" s="121" t="n"/>
      <x:c r="M10" s="121" t="n"/>
      <x:c r="N10" s="121" t="n"/>
      <x:c r="O10" s="121" t="n"/>
      <x:c r="P10" s="121" t="n"/>
      <x:c r="Q10" s="121" t="n"/>
      <x:c r="R10" s="123" t="n"/>
      <x:c r="S10" s="123" t="n"/>
      <x:c r="T10" s="121" t="n">
        <x:v>-1</x:v>
      </x:c>
      <x:c r="U10" s="121" t="n"/>
      <x:c r="V10" s="121" t="n"/>
      <x:c r="W10" s="121" t="n"/>
      <x:c r="X10" s="121" t="n"/>
      <x:c r="Y10" s="121" t="n"/>
      <x:c r="Z10" s="121" t="n"/>
      <x:c r="AA10" s="121" t="n"/>
      <x:c r="AB10" s="121" t="n"/>
      <x:c r="AC10" s="121" t="n"/>
      <x:c r="AD10" s="121" t="n"/>
      <x:c r="AE10" s="123" t="n"/>
      <x:c r="AF10" s="123" t="n"/>
      <x:c r="AG10" s="123" t="n"/>
      <x:c r="AH10" s="123" t="n"/>
      <x:c r="AI10" s="123" t="n"/>
      <x:c r="AJ10" s="123" t="n"/>
      <x:c r="AK10" s="123" t="n"/>
      <x:c r="AL10" s="121" t="n"/>
      <x:c r="AM10" s="123" t="n"/>
      <x:c r="AN10" s="121" t="n"/>
      <x:c r="AO10" s="123" t="n"/>
      <x:c r="AP10" s="121" t="n"/>
      <x:c r="AQ10" s="121" t="n"/>
      <x:c r="AR10" s="28" t="n"/>
      <x:c r="AS10" s="28" t="n"/>
      <x:c r="AT10" s="28" t="n"/>
      <x:c r="AU10" s="28" t="n"/>
      <x:c r="AV10" s="28" t="n"/>
      <x:c r="AW10" s="28" t="n"/>
      <x:c r="AX10" s="28" t="n"/>
      <x:c r="AY10" s="28" t="n"/>
      <x:c r="AZ10" s="28" t="n"/>
      <x:c r="BA10" s="28" t="n"/>
      <x:c r="BB10" s="28" t="n"/>
      <x:c r="BC10" s="28" t="n"/>
      <x:c r="BD10" s="28" t="n"/>
      <x:c r="BE10" s="28" t="n"/>
      <x:c r="BF10" s="28" t="n"/>
      <x:c r="BG10" s="28" t="n"/>
      <x:c r="BH10" s="28" t="n"/>
      <x:c r="BI10" s="28" t="n"/>
      <x:c r="BJ10" s="28" t="n"/>
      <x:c r="BK10" s="28" t="n"/>
      <x:c r="BL10" s="28" t="n"/>
      <x:c r="BM10" s="28" t="n"/>
      <x:c r="BN10" s="28" t="n"/>
      <x:c r="BO10" s="28" t="n"/>
      <x:c r="BP10" s="28" t="n"/>
      <x:c r="BQ10" s="28" t="n"/>
      <x:c r="BR10" s="28" t="n"/>
      <x:c r="BS10" s="28" t="n"/>
      <x:c r="BT10" s="28" t="n"/>
      <x:c r="BU10" s="28" t="n"/>
      <x:c r="BV10" s="28" t="n"/>
      <x:c r="BW10" s="28" t="n"/>
      <x:c r="BX10" s="28" t="n"/>
      <x:c r="BY10" s="28" t="n"/>
      <x:c r="BZ10" s="28" t="n"/>
      <x:c r="CA10" s="28" t="n"/>
      <x:c r="CB10" s="28" t="n"/>
      <x:c r="CC10" s="28" t="n"/>
      <x:c r="CD10" s="28" t="n"/>
      <x:c r="CE10" s="28" t="n"/>
      <x:c r="CF10" s="28" t="n"/>
      <x:c r="CG10" s="28" t="n"/>
      <x:c r="CH10" s="28" t="n"/>
      <x:c r="CI10" s="28" t="n"/>
      <x:c r="CJ10" s="28" t="n"/>
      <x:c r="CK10" s="28" t="n"/>
      <x:c r="CL10" s="28" t="n"/>
      <x:c r="CM10" s="28" t="n"/>
      <x:c r="CN10" s="28" t="n"/>
      <x:c r="CO10" s="28" t="n"/>
      <x:c r="CP10" s="28" t="n"/>
      <x:c r="CQ10" s="28" t="n"/>
      <x:c r="CR10" s="28" t="n"/>
      <x:c r="CS10" s="28" t="n"/>
      <x:c r="CT10" s="28" t="n"/>
      <x:c r="CU10" s="28" t="n"/>
      <x:c r="CV10" s="28" t="n"/>
      <x:c r="CW10" s="28" t="n"/>
      <x:c r="CX10" s="28" t="n"/>
      <x:c r="CY10" s="28" t="n"/>
      <x:c r="CZ10" s="28" t="n"/>
      <x:c r="DA10" s="28" t="n"/>
      <x:c r="DB10" s="28" t="n"/>
      <x:c r="DC10" s="28" t="n"/>
      <x:c r="DD10" s="28" t="n"/>
      <x:c r="DE10" s="28" t="n"/>
      <x:c r="DF10" s="28" t="n"/>
      <x:c r="DG10" s="28" t="n"/>
      <x:c r="DH10" s="28" t="n"/>
      <x:c r="DI10" s="28" t="n"/>
      <x:c r="DJ10" s="28" t="n"/>
      <x:c r="DK10" s="28" t="n"/>
      <x:c r="DL10" s="28" t="n"/>
      <x:c r="DM10" s="28" t="n"/>
      <x:c r="DN10" s="28" t="n"/>
      <x:c r="DO10" s="28" t="n"/>
      <x:c r="DP10" s="28" t="n"/>
      <x:c r="DQ10" s="28" t="n"/>
      <x:c r="DR10" s="28" t="n"/>
      <x:c r="DS10" s="28" t="n"/>
      <x:c r="DT10" s="28" t="n"/>
      <x:c r="DU10" s="28" t="n"/>
      <x:c r="DV10" s="28" t="n"/>
      <x:c r="DW10" s="28" t="n"/>
      <x:c r="DX10" s="28" t="n"/>
      <x:c r="DY10" s="28" t="n"/>
      <x:c r="DZ10" s="28" t="n"/>
      <x:c r="EA10" s="28" t="n"/>
      <x:c r="EB10" s="28" t="n"/>
      <x:c r="EC10" s="28" t="n"/>
      <x:c r="ED10" s="28" t="n"/>
      <x:c r="EE10" s="28" t="n"/>
      <x:c r="EF10" s="28" t="n"/>
      <x:c r="EG10" s="28" t="n"/>
      <x:c r="EH10" s="28" t="n"/>
      <x:c r="EI10" s="28" t="n"/>
      <x:c r="EJ10" s="28" t="n"/>
      <x:c r="EK10" s="28" t="n"/>
      <x:c r="EL10" s="28" t="n"/>
      <x:c r="EM10" s="28" t="n"/>
      <x:c r="EN10" s="28" t="n"/>
      <x:c r="EO10" s="28" t="n"/>
      <x:c r="EP10" s="28" t="n"/>
      <x:c r="EQ10" s="28" t="n"/>
      <x:c r="ER10" s="28" t="n"/>
      <x:c r="ES10" s="28" t="n"/>
      <x:c r="ET10" s="28" t="n"/>
      <x:c r="EU10" s="28" t="n"/>
      <x:c r="EV10" s="28" t="n"/>
      <x:c r="EW10" s="28" t="n"/>
      <x:c r="EX10" s="28" t="n"/>
      <x:c r="EY10" s="28" t="n"/>
      <x:c r="EZ10" s="28" t="n"/>
      <x:c r="FA10" s="28" t="n"/>
      <x:c r="FB10" s="28" t="n"/>
      <x:c r="FC10" s="28" t="n"/>
      <x:c r="FD10" s="28" t="n"/>
      <x:c r="FE10" s="28" t="n"/>
      <x:c r="FF10" s="28" t="n"/>
      <x:c r="FG10" s="28" t="n"/>
      <x:c r="FH10" s="28" t="n"/>
      <x:c r="FI10" s="28" t="n"/>
      <x:c r="FJ10" s="28" t="n"/>
      <x:c r="FK10" s="28" t="n"/>
      <x:c r="FL10" s="28" t="n"/>
      <x:c r="FM10" s="28" t="n"/>
      <x:c r="FN10" s="28" t="n"/>
      <x:c r="FO10" s="28" t="n"/>
      <x:c r="FP10" s="28" t="n"/>
      <x:c r="FQ10" s="28" t="n"/>
      <x:c r="FR10" s="28" t="n"/>
      <x:c r="FS10" s="28" t="n"/>
      <x:c r="FT10" s="28" t="n"/>
      <x:c r="FU10" s="28" t="n"/>
      <x:c r="FV10" s="28" t="n"/>
      <x:c r="FW10" s="28" t="n"/>
      <x:c r="FX10" s="28" t="n"/>
      <x:c r="FY10" s="28" t="n"/>
      <x:c r="FZ10" s="28" t="n"/>
      <x:c r="GA10" s="28" t="n"/>
    </x:row>
    <x:row r="11" s="27" customFormat="1">
      <x:c r="A11" s="20" t="n"/>
      <x:c r="B11" s="37" t="n"/>
      <x:c r="C11" s="86" t="n">
        <x:f>E11*D$5</x:f>
        <x:v>0</x:v>
      </x:c>
      <x:c r="D11" s="103" t="inlineStr">
        <x:is>
          <x:t xml:space="preserve">Margie Kirk</x:t>
        </x:is>
      </x:c>
      <x:c r="E11" s="86" t="n">
        <x:f>SUM(G11:HT11)</x:f>
        <x:v>0</x:v>
      </x:c>
      <x:c r="F11" s="35" t="n"/>
      <x:c r="G11" s="121" t="n"/>
      <x:c r="H11" s="121" t="n"/>
      <x:c r="I11" s="121" t="n"/>
      <x:c r="J11" s="121" t="n"/>
      <x:c r="K11" s="122" t="n"/>
      <x:c r="L11" s="121" t="n"/>
      <x:c r="M11" s="121" t="n"/>
      <x:c r="N11" s="121" t="n"/>
      <x:c r="O11" s="121" t="n"/>
      <x:c r="P11" s="121" t="n"/>
      <x:c r="Q11" s="121" t="n"/>
      <x:c r="R11" s="123" t="n"/>
      <x:c r="S11" s="123" t="n"/>
      <x:c r="T11" s="121" t="n">
        <x:v>1</x:v>
      </x:c>
      <x:c r="U11" s="121" t="n">
        <x:v>-1</x:v>
      </x:c>
      <x:c r="V11" s="121" t="n"/>
      <x:c r="W11" s="121" t="n"/>
      <x:c r="X11" s="121" t="n"/>
      <x:c r="Y11" s="121" t="n"/>
      <x:c r="Z11" s="121" t="n"/>
      <x:c r="AA11" s="121" t="n"/>
      <x:c r="AB11" s="121" t="n"/>
      <x:c r="AC11" s="121" t="n"/>
      <x:c r="AD11" s="121" t="n"/>
      <x:c r="AE11" s="124" t="n"/>
      <x:c r="AF11" s="123" t="n"/>
      <x:c r="AG11" s="123" t="n"/>
      <x:c r="AH11" s="123" t="n"/>
      <x:c r="AI11" s="123" t="n"/>
      <x:c r="AJ11" s="123" t="n"/>
      <x:c r="AK11" s="123" t="n"/>
      <x:c r="AL11" s="121" t="n"/>
      <x:c r="AM11" s="123" t="n"/>
      <x:c r="AN11" s="121" t="n"/>
      <x:c r="AO11" s="123" t="n"/>
      <x:c r="AP11" s="121" t="n"/>
      <x:c r="AQ11" s="121" t="n"/>
      <x:c r="AR11" s="28" t="n"/>
      <x:c r="AS11" s="28" t="n"/>
      <x:c r="AT11" s="28" t="n"/>
      <x:c r="AU11" s="28" t="n"/>
      <x:c r="AV11" s="28" t="n"/>
      <x:c r="AW11" s="28" t="n"/>
      <x:c r="AX11" s="28" t="n"/>
      <x:c r="AY11" s="28" t="n"/>
      <x:c r="AZ11" s="28" t="n"/>
      <x:c r="BA11" s="28" t="n"/>
      <x:c r="BB11" s="28" t="n"/>
      <x:c r="BC11" s="28" t="n"/>
      <x:c r="BD11" s="28" t="n"/>
      <x:c r="BE11" s="28" t="n"/>
      <x:c r="BF11" s="28" t="n"/>
      <x:c r="BG11" s="28" t="n"/>
      <x:c r="BH11" s="28" t="n"/>
      <x:c r="BI11" s="28" t="n"/>
      <x:c r="BJ11" s="28" t="n"/>
      <x:c r="BK11" s="28" t="n"/>
      <x:c r="BL11" s="28" t="n"/>
      <x:c r="BM11" s="28" t="n"/>
      <x:c r="BN11" s="28" t="n"/>
      <x:c r="BO11" s="28" t="n"/>
      <x:c r="BP11" s="28" t="n"/>
      <x:c r="BQ11" s="28" t="n"/>
      <x:c r="BR11" s="28" t="n"/>
      <x:c r="BS11" s="28" t="n"/>
      <x:c r="BT11" s="28" t="n"/>
      <x:c r="BU11" s="28" t="n"/>
      <x:c r="BV11" s="28" t="n"/>
      <x:c r="BW11" s="28" t="n"/>
      <x:c r="BX11" s="28" t="n"/>
      <x:c r="BY11" s="28" t="n"/>
      <x:c r="BZ11" s="28" t="n"/>
      <x:c r="CA11" s="28" t="n"/>
      <x:c r="CB11" s="28" t="n"/>
      <x:c r="CC11" s="28" t="n"/>
      <x:c r="CD11" s="28" t="n"/>
      <x:c r="CE11" s="28" t="n"/>
      <x:c r="CF11" s="28" t="n"/>
      <x:c r="CG11" s="28" t="n"/>
      <x:c r="CH11" s="28" t="n"/>
      <x:c r="CI11" s="28" t="n"/>
      <x:c r="CJ11" s="28" t="n"/>
      <x:c r="CK11" s="28" t="n"/>
      <x:c r="CL11" s="28" t="n"/>
      <x:c r="CM11" s="28" t="n"/>
      <x:c r="CN11" s="28" t="n"/>
      <x:c r="CO11" s="28" t="n"/>
      <x:c r="CP11" s="28" t="n"/>
      <x:c r="CQ11" s="28" t="n"/>
      <x:c r="CR11" s="28" t="n"/>
      <x:c r="CS11" s="28" t="n"/>
      <x:c r="CT11" s="28" t="n"/>
      <x:c r="CU11" s="28" t="n"/>
      <x:c r="CV11" s="28" t="n"/>
      <x:c r="CW11" s="28" t="n"/>
      <x:c r="CX11" s="28" t="n"/>
      <x:c r="CY11" s="28" t="n"/>
      <x:c r="CZ11" s="28" t="n"/>
      <x:c r="DA11" s="28" t="n"/>
      <x:c r="DB11" s="28" t="n"/>
      <x:c r="DC11" s="28" t="n"/>
      <x:c r="DD11" s="28" t="n"/>
      <x:c r="DE11" s="28" t="n"/>
      <x:c r="DF11" s="28" t="n"/>
      <x:c r="DG11" s="28" t="n"/>
      <x:c r="DH11" s="28" t="n"/>
      <x:c r="DI11" s="28" t="n"/>
      <x:c r="DJ11" s="28" t="n"/>
      <x:c r="DK11" s="28" t="n"/>
      <x:c r="DL11" s="28" t="n"/>
      <x:c r="DM11" s="28" t="n"/>
      <x:c r="DN11" s="28" t="n"/>
      <x:c r="DO11" s="28" t="n"/>
      <x:c r="DP11" s="28" t="n"/>
      <x:c r="DQ11" s="28" t="n"/>
      <x:c r="DR11" s="28" t="n"/>
      <x:c r="DS11" s="28" t="n"/>
      <x:c r="DT11" s="28" t="n"/>
      <x:c r="DU11" s="28" t="n"/>
      <x:c r="DV11" s="28" t="n"/>
      <x:c r="DW11" s="28" t="n"/>
      <x:c r="DX11" s="28" t="n"/>
      <x:c r="DY11" s="28" t="n"/>
      <x:c r="DZ11" s="28" t="n"/>
      <x:c r="EA11" s="28" t="n"/>
      <x:c r="EB11" s="28" t="n"/>
      <x:c r="EC11" s="28" t="n"/>
      <x:c r="ED11" s="28" t="n"/>
      <x:c r="EE11" s="28" t="n"/>
      <x:c r="EF11" s="28" t="n"/>
      <x:c r="EG11" s="28" t="n"/>
      <x:c r="EH11" s="28" t="n"/>
      <x:c r="EI11" s="28" t="n"/>
      <x:c r="EJ11" s="28" t="n"/>
      <x:c r="EK11" s="28" t="n"/>
      <x:c r="EL11" s="28" t="n"/>
      <x:c r="EM11" s="28" t="n"/>
      <x:c r="EN11" s="28" t="n"/>
      <x:c r="EO11" s="28" t="n"/>
      <x:c r="EP11" s="28" t="n"/>
      <x:c r="EQ11" s="28" t="n"/>
      <x:c r="ER11" s="28" t="n"/>
      <x:c r="ES11" s="28" t="n"/>
      <x:c r="ET11" s="28" t="n"/>
      <x:c r="EU11" s="28" t="n"/>
      <x:c r="EV11" s="28" t="n"/>
      <x:c r="EW11" s="28" t="n"/>
      <x:c r="EX11" s="28" t="n"/>
      <x:c r="EY11" s="28" t="n"/>
      <x:c r="EZ11" s="28" t="n"/>
      <x:c r="FA11" s="28" t="n"/>
      <x:c r="FB11" s="28" t="n"/>
      <x:c r="FC11" s="28" t="n"/>
      <x:c r="FD11" s="28" t="n"/>
      <x:c r="FE11" s="28" t="n"/>
      <x:c r="FF11" s="28" t="n"/>
      <x:c r="FG11" s="28" t="n"/>
      <x:c r="FH11" s="28" t="n"/>
      <x:c r="FI11" s="28" t="n"/>
      <x:c r="FJ11" s="28" t="n"/>
      <x:c r="FK11" s="28" t="n"/>
      <x:c r="FL11" s="28" t="n"/>
      <x:c r="FM11" s="28" t="n"/>
      <x:c r="FN11" s="28" t="n"/>
      <x:c r="FO11" s="28" t="n"/>
      <x:c r="FP11" s="28" t="n"/>
      <x:c r="FQ11" s="28" t="n"/>
      <x:c r="FR11" s="28" t="n"/>
      <x:c r="FS11" s="28" t="n"/>
      <x:c r="FT11" s="28" t="n"/>
      <x:c r="FU11" s="28" t="n"/>
      <x:c r="FV11" s="28" t="n"/>
      <x:c r="FW11" s="28" t="n"/>
      <x:c r="FX11" s="28" t="n"/>
      <x:c r="FY11" s="28" t="n"/>
      <x:c r="FZ11" s="28" t="n"/>
      <x:c r="GA11" s="28" t="n"/>
    </x:row>
    <x:row r="12" s="27" customFormat="1">
      <x:c r="A12" s="20" t="n"/>
      <x:c r="B12" s="37" t="n"/>
      <x:c r="C12" s="86" t="n">
        <x:f>E12*D$5</x:f>
        <x:v>0</x:v>
      </x:c>
      <x:c r="D12" s="103" t="inlineStr">
        <x:is>
          <x:t xml:space="preserve">Gordon E. Kirk and Ella Pearl Kirk, HW, JTWROS</x:t>
        </x:is>
      </x:c>
      <x:c r="E12" s="86" t="n">
        <x:f>SUM(G12:HT12)</x:f>
        <x:v>0</x:v>
      </x:c>
      <x:c r="F12" s="35" t="n"/>
      <x:c r="G12" s="121" t="n"/>
      <x:c r="H12" s="121" t="n"/>
      <x:c r="I12" s="121" t="n"/>
      <x:c r="J12" s="121" t="n"/>
      <x:c r="K12" s="121" t="n"/>
      <x:c r="L12" s="121" t="n"/>
      <x:c r="M12" s="121" t="n"/>
      <x:c r="N12" s="121" t="n"/>
      <x:c r="O12" s="121" t="n"/>
      <x:c r="P12" s="121" t="n"/>
      <x:c r="Q12" s="121" t="n"/>
      <x:c r="R12" s="123" t="n"/>
      <x:c r="S12" s="123" t="n"/>
      <x:c r="T12" s="121" t="n"/>
      <x:c r="U12" s="121" t="n">
        <x:v>1</x:v>
      </x:c>
      <x:c r="V12" s="121" t="n"/>
      <x:c r="W12" s="121" t="n"/>
      <x:c r="X12" s="121" t="n"/>
      <x:c r="Y12" s="121" t="n"/>
      <x:c r="Z12" s="121" t="n"/>
      <x:c r="AA12" s="121" t="n"/>
      <x:c r="AB12" s="121" t="n">
        <x:v>-1</x:v>
      </x:c>
      <x:c r="AC12" s="121" t="n"/>
      <x:c r="AD12" s="121" t="n"/>
      <x:c r="AE12" s="124" t="n"/>
      <x:c r="AF12" s="123" t="n"/>
      <x:c r="AG12" s="123" t="n"/>
      <x:c r="AH12" s="123" t="n"/>
      <x:c r="AI12" s="123" t="n"/>
      <x:c r="AJ12" s="123" t="n"/>
      <x:c r="AK12" s="123" t="n"/>
      <x:c r="AL12" s="121" t="n"/>
      <x:c r="AM12" s="124" t="n"/>
      <x:c r="AN12" s="121" t="n"/>
      <x:c r="AO12" s="123" t="n"/>
      <x:c r="AP12" s="121" t="n"/>
      <x:c r="AQ12" s="121" t="n"/>
      <x:c r="AR12" s="28" t="n"/>
      <x:c r="AS12" s="28" t="n"/>
      <x:c r="AT12" s="28" t="n"/>
      <x:c r="AU12" s="28" t="n"/>
      <x:c r="AV12" s="28" t="n"/>
      <x:c r="AW12" s="28" t="n"/>
      <x:c r="AX12" s="28" t="n"/>
      <x:c r="AY12" s="28" t="n"/>
      <x:c r="AZ12" s="28" t="n"/>
      <x:c r="BA12" s="28" t="n"/>
      <x:c r="BB12" s="28" t="n"/>
      <x:c r="BC12" s="28" t="n"/>
      <x:c r="BD12" s="28" t="n"/>
      <x:c r="BE12" s="28" t="n"/>
      <x:c r="BF12" s="28" t="n"/>
      <x:c r="BG12" s="28" t="n"/>
      <x:c r="BH12" s="28" t="n"/>
      <x:c r="BI12" s="28" t="n"/>
      <x:c r="BJ12" s="28" t="n"/>
      <x:c r="BK12" s="28" t="n"/>
      <x:c r="BL12" s="28" t="n"/>
      <x:c r="BM12" s="28" t="n"/>
      <x:c r="BN12" s="28" t="n"/>
      <x:c r="BO12" s="28" t="n"/>
      <x:c r="BP12" s="28" t="n"/>
      <x:c r="BQ12" s="28" t="n"/>
      <x:c r="BR12" s="28" t="n"/>
      <x:c r="BS12" s="28" t="n"/>
      <x:c r="BT12" s="28" t="n"/>
      <x:c r="BU12" s="28" t="n"/>
      <x:c r="BV12" s="28" t="n"/>
      <x:c r="BW12" s="28" t="n"/>
      <x:c r="BX12" s="28" t="n"/>
      <x:c r="BY12" s="28" t="n"/>
      <x:c r="BZ12" s="28" t="n"/>
      <x:c r="CA12" s="28" t="n"/>
      <x:c r="CB12" s="28" t="n"/>
      <x:c r="CC12" s="28" t="n"/>
      <x:c r="CD12" s="28" t="n"/>
      <x:c r="CE12" s="28" t="n"/>
      <x:c r="CF12" s="28" t="n"/>
      <x:c r="CG12" s="28" t="n"/>
      <x:c r="CH12" s="28" t="n"/>
      <x:c r="CI12" s="28" t="n"/>
      <x:c r="CJ12" s="28" t="n"/>
      <x:c r="CK12" s="28" t="n"/>
      <x:c r="CL12" s="28" t="n"/>
      <x:c r="CM12" s="28" t="n"/>
      <x:c r="CN12" s="28" t="n"/>
      <x:c r="CO12" s="28" t="n"/>
      <x:c r="CP12" s="28" t="n"/>
      <x:c r="CQ12" s="28" t="n"/>
      <x:c r="CR12" s="28" t="n"/>
      <x:c r="CS12" s="28" t="n"/>
      <x:c r="CT12" s="28" t="n"/>
      <x:c r="CU12" s="28" t="n"/>
      <x:c r="CV12" s="28" t="n"/>
      <x:c r="CW12" s="28" t="n"/>
      <x:c r="CX12" s="28" t="n"/>
      <x:c r="CY12" s="28" t="n"/>
      <x:c r="CZ12" s="28" t="n"/>
      <x:c r="DA12" s="28" t="n"/>
      <x:c r="DB12" s="28" t="n"/>
      <x:c r="DC12" s="28" t="n"/>
      <x:c r="DD12" s="28" t="n"/>
      <x:c r="DE12" s="28" t="n"/>
      <x:c r="DF12" s="28" t="n"/>
      <x:c r="DG12" s="28" t="n"/>
      <x:c r="DH12" s="28" t="n"/>
      <x:c r="DI12" s="28" t="n"/>
      <x:c r="DJ12" s="28" t="n"/>
      <x:c r="DK12" s="28" t="n"/>
      <x:c r="DL12" s="28" t="n"/>
      <x:c r="DM12" s="28" t="n"/>
      <x:c r="DN12" s="28" t="n"/>
      <x:c r="DO12" s="28" t="n"/>
      <x:c r="DP12" s="28" t="n"/>
      <x:c r="DQ12" s="28" t="n"/>
      <x:c r="DR12" s="28" t="n"/>
      <x:c r="DS12" s="28" t="n"/>
      <x:c r="DT12" s="28" t="n"/>
      <x:c r="DU12" s="28" t="n"/>
      <x:c r="DV12" s="28" t="n"/>
      <x:c r="DW12" s="28" t="n"/>
      <x:c r="DX12" s="28" t="n"/>
      <x:c r="DY12" s="28" t="n"/>
      <x:c r="DZ12" s="28" t="n"/>
      <x:c r="EA12" s="28" t="n"/>
      <x:c r="EB12" s="28" t="n"/>
      <x:c r="EC12" s="28" t="n"/>
      <x:c r="ED12" s="28" t="n"/>
      <x:c r="EE12" s="28" t="n"/>
      <x:c r="EF12" s="28" t="n"/>
      <x:c r="EG12" s="28" t="n"/>
      <x:c r="EH12" s="28" t="n"/>
      <x:c r="EI12" s="28" t="n"/>
      <x:c r="EJ12" s="28" t="n"/>
      <x:c r="EK12" s="28" t="n"/>
      <x:c r="EL12" s="28" t="n"/>
      <x:c r="EM12" s="28" t="n"/>
      <x:c r="EN12" s="28" t="n"/>
      <x:c r="EO12" s="28" t="n"/>
      <x:c r="EP12" s="28" t="n"/>
      <x:c r="EQ12" s="28" t="n"/>
      <x:c r="ER12" s="28" t="n"/>
      <x:c r="ES12" s="28" t="n"/>
      <x:c r="ET12" s="28" t="n"/>
      <x:c r="EU12" s="28" t="n"/>
      <x:c r="EV12" s="28" t="n"/>
      <x:c r="EW12" s="28" t="n"/>
      <x:c r="EX12" s="28" t="n"/>
      <x:c r="EY12" s="28" t="n"/>
      <x:c r="EZ12" s="28" t="n"/>
      <x:c r="FA12" s="28" t="n"/>
      <x:c r="FB12" s="28" t="n"/>
      <x:c r="FC12" s="28" t="n"/>
      <x:c r="FD12" s="28" t="n"/>
      <x:c r="FE12" s="28" t="n"/>
      <x:c r="FF12" s="28" t="n"/>
      <x:c r="FG12" s="28" t="n"/>
      <x:c r="FH12" s="28" t="n"/>
      <x:c r="FI12" s="28" t="n"/>
      <x:c r="FJ12" s="28" t="n"/>
      <x:c r="FK12" s="28" t="n"/>
      <x:c r="FL12" s="28" t="n"/>
      <x:c r="FM12" s="28" t="n"/>
      <x:c r="FN12" s="28" t="n"/>
      <x:c r="FO12" s="28" t="n"/>
      <x:c r="FP12" s="28" t="n"/>
      <x:c r="FQ12" s="28" t="n"/>
      <x:c r="FR12" s="28" t="n"/>
      <x:c r="FS12" s="28" t="n"/>
      <x:c r="FT12" s="28" t="n"/>
      <x:c r="FU12" s="28" t="n"/>
      <x:c r="FV12" s="28" t="n"/>
      <x:c r="FW12" s="28" t="n"/>
      <x:c r="FX12" s="28" t="n"/>
      <x:c r="FY12" s="28" t="n"/>
      <x:c r="FZ12" s="28" t="n"/>
      <x:c r="GA12" s="28" t="n"/>
    </x:row>
    <x:row r="13" s="27" customFormat="1">
      <x:c r="A13" s="20" t="n"/>
      <x:c r="B13" s="37" t="n"/>
      <x:c r="C13" s="86" t="n">
        <x:f>E13*D$5</x:f>
        <x:v>48.8</x:v>
      </x:c>
      <x:c r="D13" s="103" t="inlineStr">
        <x:is>
          <x:t xml:space="preserve">Ella Pearl Kirk</x:t>
        </x:is>
      </x:c>
      <x:c r="E13" s="86" t="n">
        <x:f>SUM(G13:HT13)</x:f>
        <x:v>0.9568627450980391</x:v>
      </x:c>
      <x:c r="F13" s="35" t="n"/>
      <x:c r="G13" s="121" t="n"/>
      <x:c r="H13" s="121" t="n"/>
      <x:c r="I13" s="121" t="n"/>
      <x:c r="J13" s="121" t="n"/>
      <x:c r="K13" s="121" t="n"/>
      <x:c r="L13" s="121" t="n"/>
      <x:c r="M13" s="121" t="n"/>
      <x:c r="N13" s="121" t="n"/>
      <x:c r="O13" s="121" t="n"/>
      <x:c r="P13" s="122" t="n"/>
      <x:c r="Q13" s="121" t="n"/>
      <x:c r="R13" s="123" t="n"/>
      <x:c r="S13" s="123" t="n"/>
      <x:c r="T13" s="121" t="n"/>
      <x:c r="U13" s="121" t="n"/>
      <x:c r="V13" s="121" t="n"/>
      <x:c r="W13" s="121" t="n"/>
      <x:c r="X13" s="121" t="n"/>
      <x:c r="Y13" s="121" t="n"/>
      <x:c r="Z13" s="121" t="n"/>
      <x:c r="AA13" s="121" t="n"/>
      <x:c r="AB13" s="121" t="n">
        <x:v>1</x:v>
      </x:c>
      <x:c r="AC13" s="121" t="n"/>
      <x:c r="AD13" s="121" t="n"/>
      <x:c r="AE13" s="123" t="n"/>
      <x:c r="AF13" s="123" t="n"/>
      <x:c r="AG13" s="124" t="n"/>
      <x:c r="AH13" s="123" t="n"/>
      <x:c r="AI13" s="123" t="n"/>
      <x:c r="AJ13" s="123" t="n"/>
      <x:c r="AK13" s="123" t="n"/>
      <x:c r="AL13" s="121" t="n"/>
      <x:c r="AM13" s="123" t="n"/>
      <x:c r="AN13" s="121" t="n"/>
      <x:c r="AO13" s="123" t="n"/>
      <x:c r="AP13" s="121" t="n">
        <x:v>-0.0431372549019608</x:v>
      </x:c>
      <x:c r="AQ13" s="121" t="n"/>
      <x:c r="AR13" s="28" t="n"/>
      <x:c r="AS13" s="28" t="n"/>
      <x:c r="AT13" s="28" t="n"/>
      <x:c r="AU13" s="28" t="n"/>
      <x:c r="AV13" s="28" t="n"/>
      <x:c r="AW13" s="28" t="n"/>
      <x:c r="AX13" s="28" t="n"/>
      <x:c r="AY13" s="28" t="n"/>
      <x:c r="AZ13" s="28" t="n"/>
      <x:c r="BA13" s="28" t="n"/>
      <x:c r="BB13" s="28" t="n"/>
      <x:c r="BC13" s="28" t="n"/>
      <x:c r="BD13" s="28" t="n"/>
      <x:c r="BE13" s="28" t="n"/>
      <x:c r="BF13" s="28" t="n"/>
      <x:c r="BG13" s="28" t="n"/>
      <x:c r="BH13" s="28" t="n"/>
      <x:c r="BI13" s="28" t="n"/>
      <x:c r="BJ13" s="28" t="n"/>
      <x:c r="BK13" s="28" t="n"/>
      <x:c r="BL13" s="28" t="n"/>
      <x:c r="BM13" s="28" t="n"/>
      <x:c r="BN13" s="28" t="n"/>
      <x:c r="BO13" s="28" t="n"/>
      <x:c r="BP13" s="28" t="n"/>
      <x:c r="BQ13" s="28" t="n"/>
      <x:c r="BR13" s="28" t="n"/>
      <x:c r="BS13" s="28" t="n"/>
      <x:c r="BT13" s="28" t="n"/>
      <x:c r="BU13" s="28" t="n"/>
      <x:c r="BV13" s="28" t="n"/>
      <x:c r="BW13" s="28" t="n"/>
      <x:c r="BX13" s="28" t="n"/>
      <x:c r="BY13" s="28" t="n"/>
      <x:c r="BZ13" s="28" t="n"/>
      <x:c r="CA13" s="28" t="n"/>
      <x:c r="CB13" s="28" t="n"/>
      <x:c r="CC13" s="28" t="n"/>
      <x:c r="CD13" s="28" t="n"/>
      <x:c r="CE13" s="28" t="n"/>
      <x:c r="CF13" s="28" t="n"/>
      <x:c r="CG13" s="28" t="n"/>
      <x:c r="CH13" s="28" t="n"/>
      <x:c r="CI13" s="28" t="n"/>
      <x:c r="CJ13" s="28" t="n"/>
      <x:c r="CK13" s="28" t="n"/>
      <x:c r="CL13" s="28" t="n"/>
      <x:c r="CM13" s="28" t="n"/>
      <x:c r="CN13" s="28" t="n"/>
      <x:c r="CO13" s="28" t="n"/>
      <x:c r="CP13" s="28" t="n"/>
      <x:c r="CQ13" s="28" t="n"/>
      <x:c r="CR13" s="28" t="n"/>
      <x:c r="CS13" s="28" t="n"/>
      <x:c r="CT13" s="28" t="n"/>
      <x:c r="CU13" s="28" t="n"/>
      <x:c r="CV13" s="28" t="n"/>
      <x:c r="CW13" s="28" t="n"/>
      <x:c r="CX13" s="28" t="n"/>
      <x:c r="CY13" s="28" t="n"/>
      <x:c r="CZ13" s="28" t="n"/>
      <x:c r="DA13" s="28" t="n"/>
      <x:c r="DB13" s="28" t="n"/>
      <x:c r="DC13" s="28" t="n"/>
      <x:c r="DD13" s="28" t="n"/>
      <x:c r="DE13" s="28" t="n"/>
      <x:c r="DF13" s="28" t="n"/>
      <x:c r="DG13" s="28" t="n"/>
      <x:c r="DH13" s="28" t="n"/>
      <x:c r="DI13" s="28" t="n"/>
      <x:c r="DJ13" s="28" t="n"/>
      <x:c r="DK13" s="28" t="n"/>
      <x:c r="DL13" s="28" t="n"/>
      <x:c r="DM13" s="28" t="n"/>
      <x:c r="DN13" s="28" t="n"/>
      <x:c r="DO13" s="28" t="n"/>
      <x:c r="DP13" s="28" t="n"/>
      <x:c r="DQ13" s="28" t="n"/>
      <x:c r="DR13" s="28" t="n"/>
      <x:c r="DS13" s="28" t="n"/>
      <x:c r="DT13" s="28" t="n"/>
      <x:c r="DU13" s="28" t="n"/>
      <x:c r="DV13" s="28" t="n"/>
      <x:c r="DW13" s="28" t="n"/>
      <x:c r="DX13" s="28" t="n"/>
      <x:c r="DY13" s="28" t="n"/>
      <x:c r="DZ13" s="28" t="n"/>
      <x:c r="EA13" s="28" t="n"/>
      <x:c r="EB13" s="28" t="n"/>
      <x:c r="EC13" s="28" t="n"/>
      <x:c r="ED13" s="28" t="n"/>
      <x:c r="EE13" s="28" t="n"/>
      <x:c r="EF13" s="28" t="n"/>
      <x:c r="EG13" s="28" t="n"/>
      <x:c r="EH13" s="28" t="n"/>
      <x:c r="EI13" s="28" t="n"/>
      <x:c r="EJ13" s="28" t="n"/>
      <x:c r="EK13" s="28" t="n"/>
      <x:c r="EL13" s="28" t="n"/>
      <x:c r="EM13" s="28" t="n"/>
      <x:c r="EN13" s="28" t="n"/>
      <x:c r="EO13" s="28" t="n"/>
      <x:c r="EP13" s="28" t="n"/>
      <x:c r="EQ13" s="28" t="n"/>
      <x:c r="ER13" s="28" t="n"/>
      <x:c r="ES13" s="28" t="n"/>
      <x:c r="ET13" s="28" t="n"/>
      <x:c r="EU13" s="28" t="n"/>
      <x:c r="EV13" s="28" t="n"/>
      <x:c r="EW13" s="28" t="n"/>
      <x:c r="EX13" s="28" t="n"/>
      <x:c r="EY13" s="28" t="n"/>
      <x:c r="EZ13" s="28" t="n"/>
      <x:c r="FA13" s="28" t="n"/>
      <x:c r="FB13" s="28" t="n"/>
      <x:c r="FC13" s="28" t="n"/>
      <x:c r="FD13" s="28" t="n"/>
      <x:c r="FE13" s="28" t="n"/>
      <x:c r="FF13" s="28" t="n"/>
      <x:c r="FG13" s="28" t="n"/>
      <x:c r="FH13" s="28" t="n"/>
      <x:c r="FI13" s="28" t="n"/>
      <x:c r="FJ13" s="28" t="n"/>
      <x:c r="FK13" s="28" t="n"/>
      <x:c r="FL13" s="28" t="n"/>
      <x:c r="FM13" s="28" t="n"/>
      <x:c r="FN13" s="28" t="n"/>
      <x:c r="FO13" s="28" t="n"/>
      <x:c r="FP13" s="28" t="n"/>
      <x:c r="FQ13" s="28" t="n"/>
      <x:c r="FR13" s="28" t="n"/>
      <x:c r="FS13" s="28" t="n"/>
      <x:c r="FT13" s="28" t="n"/>
      <x:c r="FU13" s="28" t="n"/>
      <x:c r="FV13" s="28" t="n"/>
      <x:c r="FW13" s="28" t="n"/>
      <x:c r="FX13" s="28" t="n"/>
      <x:c r="FY13" s="28" t="n"/>
      <x:c r="FZ13" s="28" t="n"/>
      <x:c r="GA13" s="28" t="n"/>
    </x:row>
    <x:row r="14" s="27" customFormat="1">
      <x:c r="B14" s="80" t="inlineStr">
        <x:is>
          <x:t xml:space="preserve">HBP (base)</x:t>
        </x:is>
      </x:c>
      <x:c r="C14" s="36" t="n">
        <x:f>E14*D$5</x:f>
        <x:v>2.2000000000000006</x:v>
      </x:c>
      <x:c r="D14" s="103" t="inlineStr">
        <x:is>
          <x:t xml:space="preserve">Calvin Wayne Kirk</x:t>
        </x:is>
      </x:c>
      <x:c r="E14" s="36" t="n">
        <x:f>SUM(G14:HT14)</x:f>
        <x:v>0.0431372549019608</x:v>
      </x:c>
      <x:c r="F14" s="35" t="n"/>
      <x:c r="G14" s="121" t="n"/>
      <x:c r="H14" s="121" t="n"/>
      <x:c r="I14" s="122" t="n"/>
      <x:c r="J14" s="121" t="n"/>
      <x:c r="K14" s="121" t="n"/>
      <x:c r="L14" s="121" t="n"/>
      <x:c r="M14" s="121" t="n"/>
      <x:c r="N14" s="121" t="n"/>
      <x:c r="O14" s="121" t="n"/>
      <x:c r="P14" s="121" t="n"/>
      <x:c r="Q14" s="121" t="n"/>
      <x:c r="R14" s="123" t="n"/>
      <x:c r="S14" s="123" t="n"/>
      <x:c r="T14" s="121" t="n"/>
      <x:c r="U14" s="121" t="n"/>
      <x:c r="V14" s="121" t="n"/>
      <x:c r="W14" s="121" t="n"/>
      <x:c r="X14" s="121" t="n"/>
      <x:c r="Y14" s="121" t="n"/>
      <x:c r="Z14" s="121" t="n"/>
      <x:c r="AA14" s="121" t="n"/>
      <x:c r="AB14" s="121" t="n"/>
      <x:c r="AC14" s="121" t="n"/>
      <x:c r="AD14" s="121" t="n"/>
      <x:c r="AE14" s="123" t="n"/>
      <x:c r="AF14" s="123" t="n"/>
      <x:c r="AG14" s="124" t="n"/>
      <x:c r="AH14" s="122" t="n"/>
      <x:c r="AI14" s="122" t="n"/>
      <x:c r="AJ14" s="122" t="n"/>
      <x:c r="AK14" s="122" t="n"/>
      <x:c r="AL14" s="121" t="n"/>
      <x:c r="AM14" s="123" t="n"/>
      <x:c r="AN14" s="121" t="n"/>
      <x:c r="AO14" s="123" t="n"/>
      <x:c r="AP14" s="121" t="n">
        <x:v>0.0431372549019608</x:v>
      </x:c>
      <x:c r="AQ14" s="121" t="n"/>
      <x:c r="AR14" s="28" t="n"/>
      <x:c r="AS14" s="28" t="n"/>
      <x:c r="AT14" s="28" t="n"/>
      <x:c r="AU14" s="28" t="n"/>
      <x:c r="AV14" s="28" t="n"/>
      <x:c r="AW14" s="28" t="n"/>
      <x:c r="AX14" s="28" t="n"/>
      <x:c r="AY14" s="28" t="n"/>
      <x:c r="AZ14" s="28" t="n"/>
      <x:c r="BA14" s="28" t="n"/>
      <x:c r="BB14" s="28" t="n"/>
      <x:c r="BC14" s="28" t="n"/>
      <x:c r="BD14" s="28" t="n"/>
      <x:c r="BE14" s="28" t="n"/>
      <x:c r="BF14" s="28" t="n"/>
      <x:c r="BG14" s="28" t="n"/>
      <x:c r="BH14" s="28" t="n"/>
      <x:c r="BI14" s="28" t="n"/>
      <x:c r="BJ14" s="28" t="n"/>
      <x:c r="BK14" s="28" t="n"/>
      <x:c r="BL14" s="28" t="n"/>
      <x:c r="BM14" s="28" t="n"/>
      <x:c r="BN14" s="28" t="n"/>
      <x:c r="BO14" s="28" t="n"/>
      <x:c r="BP14" s="28" t="n"/>
      <x:c r="BQ14" s="28" t="n"/>
      <x:c r="BR14" s="28" t="n"/>
      <x:c r="BS14" s="28" t="n"/>
      <x:c r="BT14" s="28" t="n"/>
      <x:c r="BU14" s="28" t="n"/>
      <x:c r="BV14" s="28" t="n"/>
      <x:c r="BW14" s="28" t="n"/>
      <x:c r="BX14" s="28" t="n"/>
      <x:c r="BY14" s="28" t="n"/>
      <x:c r="BZ14" s="28" t="n"/>
      <x:c r="CA14" s="28" t="n"/>
      <x:c r="CB14" s="28" t="n"/>
      <x:c r="CC14" s="28" t="n"/>
      <x:c r="CD14" s="28" t="n"/>
      <x:c r="CE14" s="28" t="n"/>
      <x:c r="CF14" s="28" t="n"/>
      <x:c r="CG14" s="28" t="n"/>
      <x:c r="CH14" s="28" t="n"/>
      <x:c r="CI14" s="28" t="n"/>
      <x:c r="CJ14" s="28" t="n"/>
      <x:c r="CK14" s="28" t="n"/>
      <x:c r="CL14" s="28" t="n"/>
      <x:c r="CM14" s="28" t="n"/>
      <x:c r="CN14" s="28" t="n"/>
      <x:c r="CO14" s="28" t="n"/>
      <x:c r="CP14" s="28" t="n"/>
      <x:c r="CQ14" s="28" t="n"/>
      <x:c r="CR14" s="28" t="n"/>
      <x:c r="CS14" s="28" t="n"/>
      <x:c r="CT14" s="28" t="n"/>
      <x:c r="CU14" s="28" t="n"/>
      <x:c r="CV14" s="28" t="n"/>
      <x:c r="CW14" s="28" t="n"/>
      <x:c r="CX14" s="28" t="n"/>
      <x:c r="CY14" s="28" t="n"/>
      <x:c r="CZ14" s="28" t="n"/>
      <x:c r="DA14" s="28" t="n"/>
      <x:c r="DB14" s="28" t="n"/>
      <x:c r="DC14" s="28" t="n"/>
      <x:c r="DD14" s="28" t="n"/>
      <x:c r="DE14" s="28" t="n"/>
      <x:c r="DF14" s="28" t="n"/>
      <x:c r="DG14" s="28" t="n"/>
      <x:c r="DH14" s="28" t="n"/>
      <x:c r="DI14" s="28" t="n"/>
      <x:c r="DJ14" s="28" t="n"/>
      <x:c r="DK14" s="28" t="n"/>
      <x:c r="DL14" s="28" t="n"/>
      <x:c r="DM14" s="28" t="n"/>
      <x:c r="DN14" s="28" t="n"/>
      <x:c r="DO14" s="28" t="n"/>
      <x:c r="DP14" s="28" t="n"/>
      <x:c r="DQ14" s="28" t="n"/>
      <x:c r="DR14" s="28" t="n"/>
      <x:c r="DS14" s="28" t="n"/>
      <x:c r="DT14" s="28" t="n"/>
      <x:c r="DU14" s="28" t="n"/>
      <x:c r="DV14" s="28" t="n"/>
      <x:c r="DW14" s="28" t="n"/>
      <x:c r="DX14" s="28" t="n"/>
      <x:c r="DY14" s="28" t="n"/>
      <x:c r="DZ14" s="28" t="n"/>
      <x:c r="EA14" s="28" t="n"/>
      <x:c r="EB14" s="28" t="n"/>
      <x:c r="EC14" s="28" t="n"/>
      <x:c r="ED14" s="28" t="n"/>
      <x:c r="EE14" s="28" t="n"/>
      <x:c r="EF14" s="28" t="n"/>
      <x:c r="EG14" s="28" t="n"/>
      <x:c r="EH14" s="28" t="n"/>
      <x:c r="EI14" s="28" t="n"/>
      <x:c r="EJ14" s="28" t="n"/>
      <x:c r="EK14" s="28" t="n"/>
      <x:c r="EL14" s="28" t="n"/>
      <x:c r="EM14" s="28" t="n"/>
      <x:c r="EN14" s="28" t="n"/>
      <x:c r="EO14" s="28" t="n"/>
      <x:c r="EP14" s="28" t="n"/>
      <x:c r="EQ14" s="28" t="n"/>
      <x:c r="ER14" s="28" t="n"/>
      <x:c r="ES14" s="28" t="n"/>
      <x:c r="ET14" s="28" t="n"/>
      <x:c r="EU14" s="28" t="n"/>
      <x:c r="EV14" s="28" t="n"/>
      <x:c r="EW14" s="28" t="n"/>
      <x:c r="EX14" s="28" t="n"/>
      <x:c r="EY14" s="28" t="n"/>
      <x:c r="EZ14" s="28" t="n"/>
      <x:c r="FA14" s="28" t="n"/>
      <x:c r="FB14" s="28" t="n"/>
      <x:c r="FC14" s="28" t="n"/>
      <x:c r="FD14" s="28" t="n"/>
      <x:c r="FE14" s="28" t="n"/>
      <x:c r="FF14" s="28" t="n"/>
      <x:c r="FG14" s="28" t="n"/>
      <x:c r="FH14" s="28" t="n"/>
      <x:c r="FI14" s="28" t="n"/>
      <x:c r="FJ14" s="28" t="n"/>
      <x:c r="FK14" s="28" t="n"/>
      <x:c r="FL14" s="28" t="n"/>
      <x:c r="FM14" s="28" t="n"/>
      <x:c r="FN14" s="28" t="n"/>
      <x:c r="FO14" s="28" t="n"/>
      <x:c r="FP14" s="28" t="n"/>
      <x:c r="FQ14" s="28" t="n"/>
      <x:c r="FR14" s="28" t="n"/>
      <x:c r="FS14" s="28" t="n"/>
      <x:c r="FT14" s="28" t="n"/>
      <x:c r="FU14" s="28" t="n"/>
      <x:c r="FV14" s="28" t="n"/>
      <x:c r="FW14" s="28" t="n"/>
      <x:c r="FX14" s="28" t="n"/>
      <x:c r="FY14" s="28" t="n"/>
      <x:c r="FZ14" s="28" t="n"/>
      <x:c r="GA14" s="28" t="n"/>
    </x:row>
    <x:row r="15" s="27" customFormat="1">
      <x:c r="A15" s="79" t="n"/>
      <x:c r="B15" s="79" t="n"/>
      <x:c r="C15" s="36" t="n">
        <x:f>E15*D$5</x:f>
        <x:v>0</x:v>
      </x:c>
      <x:c r="D15" s="103" t="inlineStr">
        <x:is>
          <x:t xml:space="preserve">Herbert E. McGuire</x:t>
        </x:is>
      </x:c>
      <x:c r="E15" s="36" t="n">
        <x:f>SUM(G15:HT15)</x:f>
        <x:v>0</x:v>
      </x:c>
      <x:c r="F15" s="35" t="n"/>
      <x:c r="G15" s="121" t="n"/>
      <x:c r="H15" s="121" t="n"/>
      <x:c r="I15" s="121" t="n"/>
      <x:c r="J15" s="121" t="n"/>
      <x:c r="K15" s="121" t="n"/>
      <x:c r="L15" s="121" t="n"/>
      <x:c r="M15" s="121" t="n"/>
      <x:c r="N15" s="121" t="n"/>
      <x:c r="O15" s="121" t="n"/>
      <x:c r="P15" s="121" t="n"/>
      <x:c r="Q15" s="121" t="n"/>
      <x:c r="R15" s="123" t="n"/>
      <x:c r="S15" s="123" t="n"/>
      <x:c r="T15" s="121" t="n"/>
      <x:c r="U15" s="121" t="n"/>
      <x:c r="V15" s="121" t="n"/>
      <x:c r="W15" s="121" t="n"/>
      <x:c r="X15" s="121" t="n"/>
      <x:c r="Y15" s="121" t="n"/>
      <x:c r="Z15" s="121" t="n"/>
      <x:c r="AA15" s="121" t="n"/>
      <x:c r="AB15" s="121" t="n"/>
      <x:c r="AC15" s="121" t="n"/>
      <x:c r="AD15" s="121" t="n"/>
      <x:c r="AE15" s="123" t="n"/>
      <x:c r="AF15" s="123" t="n"/>
      <x:c r="AG15" s="123" t="n"/>
      <x:c r="AH15" s="122" t="n"/>
      <x:c r="AI15" s="122" t="n"/>
      <x:c r="AJ15" s="122" t="n"/>
      <x:c r="AK15" s="122" t="n"/>
      <x:c r="AL15" s="121" t="n"/>
      <x:c r="AM15" s="123" t="n"/>
      <x:c r="AN15" s="121" t="n"/>
      <x:c r="AO15" s="123" t="n"/>
      <x:c r="AP15" s="121" t="n"/>
      <x:c r="AQ15" s="121" t="n"/>
      <x:c r="AR15" s="28" t="n"/>
      <x:c r="AS15" s="28" t="n"/>
      <x:c r="AT15" s="28" t="n"/>
      <x:c r="AU15" s="28" t="n"/>
      <x:c r="AV15" s="28" t="n"/>
      <x:c r="AW15" s="28" t="n"/>
      <x:c r="AX15" s="28" t="n"/>
      <x:c r="AY15" s="28" t="n"/>
      <x:c r="AZ15" s="28" t="n"/>
      <x:c r="BA15" s="28" t="n"/>
      <x:c r="BB15" s="28" t="n"/>
      <x:c r="BC15" s="28" t="n"/>
      <x:c r="BD15" s="28" t="n"/>
      <x:c r="BE15" s="28" t="n"/>
      <x:c r="BF15" s="28" t="n"/>
      <x:c r="BG15" s="28" t="n"/>
      <x:c r="BH15" s="28" t="n"/>
      <x:c r="BI15" s="28" t="n"/>
      <x:c r="BJ15" s="28" t="n"/>
      <x:c r="BK15" s="28" t="n"/>
      <x:c r="BL15" s="28" t="n"/>
      <x:c r="BM15" s="28" t="n"/>
      <x:c r="BN15" s="28" t="n"/>
      <x:c r="BO15" s="28" t="n"/>
      <x:c r="BP15" s="28" t="n"/>
      <x:c r="BQ15" s="28" t="n"/>
      <x:c r="BR15" s="28" t="n"/>
      <x:c r="BS15" s="28" t="n"/>
      <x:c r="BT15" s="28" t="n"/>
      <x:c r="BU15" s="28" t="n"/>
      <x:c r="BV15" s="28" t="n"/>
      <x:c r="BW15" s="28" t="n"/>
      <x:c r="BX15" s="28" t="n"/>
      <x:c r="BY15" s="28" t="n"/>
      <x:c r="BZ15" s="28" t="n"/>
      <x:c r="CA15" s="28" t="n"/>
      <x:c r="CB15" s="28" t="n"/>
      <x:c r="CC15" s="28" t="n"/>
      <x:c r="CD15" s="28" t="n"/>
      <x:c r="CE15" s="28" t="n"/>
      <x:c r="CF15" s="28" t="n"/>
      <x:c r="CG15" s="28" t="n"/>
      <x:c r="CH15" s="28" t="n"/>
      <x:c r="CI15" s="28" t="n"/>
      <x:c r="CJ15" s="28" t="n"/>
      <x:c r="CK15" s="28" t="n"/>
      <x:c r="CL15" s="28" t="n"/>
      <x:c r="CM15" s="28" t="n"/>
      <x:c r="CN15" s="28" t="n"/>
      <x:c r="CO15" s="28" t="n"/>
      <x:c r="CP15" s="28" t="n"/>
      <x:c r="CQ15" s="28" t="n"/>
      <x:c r="CR15" s="28" t="n"/>
      <x:c r="CS15" s="28" t="n"/>
      <x:c r="CT15" s="28" t="n"/>
      <x:c r="CU15" s="28" t="n"/>
      <x:c r="CV15" s="28" t="n"/>
      <x:c r="CW15" s="28" t="n"/>
      <x:c r="CX15" s="28" t="n"/>
      <x:c r="CY15" s="28" t="n"/>
      <x:c r="CZ15" s="28" t="n"/>
      <x:c r="DA15" s="28" t="n"/>
      <x:c r="DB15" s="28" t="n"/>
      <x:c r="DC15" s="28" t="n"/>
      <x:c r="DD15" s="28" t="n"/>
      <x:c r="DE15" s="28" t="n"/>
      <x:c r="DF15" s="28" t="n"/>
      <x:c r="DG15" s="28" t="n"/>
      <x:c r="DH15" s="28" t="n"/>
      <x:c r="DI15" s="28" t="n"/>
      <x:c r="DJ15" s="28" t="n"/>
      <x:c r="DK15" s="28" t="n"/>
      <x:c r="DL15" s="28" t="n"/>
      <x:c r="DM15" s="28" t="n"/>
      <x:c r="DN15" s="28" t="n"/>
      <x:c r="DO15" s="28" t="n"/>
      <x:c r="DP15" s="28" t="n"/>
      <x:c r="DQ15" s="28" t="n"/>
      <x:c r="DR15" s="28" t="n"/>
      <x:c r="DS15" s="28" t="n"/>
      <x:c r="DT15" s="28" t="n"/>
      <x:c r="DU15" s="28" t="n"/>
      <x:c r="DV15" s="28" t="n"/>
      <x:c r="DW15" s="28" t="n"/>
      <x:c r="DX15" s="28" t="n"/>
      <x:c r="DY15" s="28" t="n"/>
      <x:c r="DZ15" s="28" t="n"/>
      <x:c r="EA15" s="28" t="n"/>
      <x:c r="EB15" s="28" t="n"/>
      <x:c r="EC15" s="28" t="n"/>
      <x:c r="ED15" s="28" t="n"/>
      <x:c r="EE15" s="28" t="n"/>
      <x:c r="EF15" s="28" t="n"/>
      <x:c r="EG15" s="28" t="n"/>
      <x:c r="EH15" s="28" t="n"/>
      <x:c r="EI15" s="28" t="n"/>
      <x:c r="EJ15" s="28" t="n"/>
      <x:c r="EK15" s="28" t="n"/>
      <x:c r="EL15" s="28" t="n"/>
      <x:c r="EM15" s="28" t="n"/>
      <x:c r="EN15" s="28" t="n"/>
      <x:c r="EO15" s="28" t="n"/>
      <x:c r="EP15" s="28" t="n"/>
      <x:c r="EQ15" s="28" t="n"/>
      <x:c r="ER15" s="28" t="n"/>
      <x:c r="ES15" s="28" t="n"/>
      <x:c r="ET15" s="28" t="n"/>
      <x:c r="EU15" s="28" t="n"/>
      <x:c r="EV15" s="28" t="n"/>
      <x:c r="EW15" s="28" t="n"/>
      <x:c r="EX15" s="28" t="n"/>
      <x:c r="EY15" s="28" t="n"/>
      <x:c r="EZ15" s="28" t="n"/>
      <x:c r="FA15" s="28" t="n"/>
      <x:c r="FB15" s="28" t="n"/>
      <x:c r="FC15" s="28" t="n"/>
      <x:c r="FD15" s="28" t="n"/>
      <x:c r="FE15" s="28" t="n"/>
      <x:c r="FF15" s="28" t="n"/>
      <x:c r="FG15" s="28" t="n"/>
      <x:c r="FH15" s="28" t="n"/>
      <x:c r="FI15" s="28" t="n"/>
      <x:c r="FJ15" s="28" t="n"/>
      <x:c r="FK15" s="28" t="n"/>
      <x:c r="FL15" s="28" t="n"/>
      <x:c r="FM15" s="28" t="n"/>
      <x:c r="FN15" s="28" t="n"/>
      <x:c r="FO15" s="28" t="n"/>
      <x:c r="FP15" s="28" t="n"/>
      <x:c r="FQ15" s="28" t="n"/>
      <x:c r="FR15" s="28" t="n"/>
      <x:c r="FS15" s="28" t="n"/>
      <x:c r="FT15" s="28" t="n"/>
      <x:c r="FU15" s="28" t="n"/>
      <x:c r="FV15" s="28" t="n"/>
      <x:c r="FW15" s="28" t="n"/>
      <x:c r="FX15" s="28" t="n"/>
      <x:c r="FY15" s="28" t="n"/>
      <x:c r="FZ15" s="28" t="n"/>
      <x:c r="GA15" s="28" t="n"/>
    </x:row>
    <x:row r="16" s="27" customFormat="1">
      <x:c r="A16" s="38" t="n"/>
      <x:c r="B16" s="37" t="n"/>
      <x:c r="C16" s="36" t="n">
        <x:f>E16*D$5</x:f>
        <x:v>0</x:v>
      </x:c>
      <x:c r="D16" s="103" t="inlineStr">
        <x:is>
          <x:t xml:space="preserve">United States of America</x:t>
        </x:is>
      </x:c>
      <x:c r="E16" s="36" t="n">
        <x:f>SUM(G16:HT16)</x:f>
        <x:v>0</x:v>
      </x:c>
      <x:c r="F16" s="35" t="n"/>
      <x:c r="G16" s="121" t="n"/>
      <x:c r="H16" s="121" t="n"/>
      <x:c r="I16" s="122" t="n"/>
      <x:c r="J16" s="121" t="n"/>
      <x:c r="K16" s="121" t="n"/>
      <x:c r="L16" s="121" t="n"/>
      <x:c r="M16" s="121" t="n"/>
      <x:c r="N16" s="121" t="n"/>
      <x:c r="O16" s="121" t="n"/>
      <x:c r="P16" s="121" t="n"/>
      <x:c r="Q16" s="122" t="n"/>
      <x:c r="R16" s="123" t="n"/>
      <x:c r="S16" s="123" t="n"/>
      <x:c r="T16" s="121" t="n"/>
      <x:c r="U16" s="121" t="n"/>
      <x:c r="V16" s="121" t="n"/>
      <x:c r="W16" s="121" t="n"/>
      <x:c r="X16" s="121" t="n"/>
      <x:c r="Y16" s="121" t="n"/>
      <x:c r="Z16" s="121" t="n"/>
      <x:c r="AA16" s="121" t="n"/>
      <x:c r="AB16" s="122" t="n"/>
      <x:c r="AC16" s="121" t="n"/>
      <x:c r="AD16" s="121" t="n"/>
      <x:c r="AE16" s="123" t="n"/>
      <x:c r="AF16" s="123" t="n"/>
      <x:c r="AG16" s="123" t="n"/>
      <x:c r="AH16" s="122" t="n"/>
      <x:c r="AI16" s="122" t="n"/>
      <x:c r="AJ16" s="122" t="n"/>
      <x:c r="AK16" s="122" t="n"/>
      <x:c r="AL16" s="121" t="n"/>
      <x:c r="AM16" s="123" t="n"/>
      <x:c r="AN16" s="121" t="n"/>
      <x:c r="AO16" s="123" t="n"/>
      <x:c r="AP16" s="121" t="n"/>
      <x:c r="AQ16" s="121" t="n"/>
      <x:c r="AR16" s="28" t="n"/>
      <x:c r="AS16" s="28" t="n"/>
      <x:c r="AT16" s="28" t="n"/>
      <x:c r="AU16" s="28" t="n"/>
      <x:c r="AV16" s="28" t="n"/>
      <x:c r="AW16" s="28" t="n"/>
      <x:c r="AX16" s="28" t="n"/>
      <x:c r="AY16" s="28" t="n"/>
      <x:c r="AZ16" s="28" t="n"/>
      <x:c r="BA16" s="28" t="n"/>
      <x:c r="BB16" s="28" t="n"/>
      <x:c r="BC16" s="28" t="n"/>
      <x:c r="BD16" s="28" t="n"/>
      <x:c r="BE16" s="28" t="n"/>
      <x:c r="BF16" s="28" t="n"/>
      <x:c r="BG16" s="28" t="n"/>
      <x:c r="BH16" s="28" t="n"/>
      <x:c r="BI16" s="28" t="n"/>
      <x:c r="BJ16" s="28" t="n"/>
      <x:c r="BK16" s="28" t="n"/>
      <x:c r="BL16" s="28" t="n"/>
      <x:c r="BM16" s="28" t="n"/>
      <x:c r="BN16" s="28" t="n"/>
      <x:c r="BO16" s="28" t="n"/>
      <x:c r="BP16" s="28" t="n"/>
      <x:c r="BQ16" s="28" t="n"/>
      <x:c r="BR16" s="28" t="n"/>
      <x:c r="BS16" s="28" t="n"/>
      <x:c r="BT16" s="28" t="n"/>
      <x:c r="BU16" s="28" t="n"/>
      <x:c r="BV16" s="28" t="n"/>
      <x:c r="BW16" s="28" t="n"/>
      <x:c r="BX16" s="28" t="n"/>
      <x:c r="BY16" s="28" t="n"/>
      <x:c r="BZ16" s="28" t="n"/>
      <x:c r="CA16" s="28" t="n"/>
      <x:c r="CB16" s="28" t="n"/>
      <x:c r="CC16" s="28" t="n"/>
      <x:c r="CD16" s="28" t="n"/>
      <x:c r="CE16" s="28" t="n"/>
      <x:c r="CF16" s="28" t="n"/>
      <x:c r="CG16" s="28" t="n"/>
      <x:c r="CH16" s="28" t="n"/>
      <x:c r="CI16" s="28" t="n"/>
      <x:c r="CJ16" s="28" t="n"/>
      <x:c r="CK16" s="28" t="n"/>
      <x:c r="CL16" s="28" t="n"/>
      <x:c r="CM16" s="28" t="n"/>
      <x:c r="CN16" s="28" t="n"/>
      <x:c r="CO16" s="28" t="n"/>
      <x:c r="CP16" s="28" t="n"/>
      <x:c r="CQ16" s="28" t="n"/>
      <x:c r="CR16" s="28" t="n"/>
      <x:c r="CS16" s="28" t="n"/>
      <x:c r="CT16" s="28" t="n"/>
      <x:c r="CU16" s="28" t="n"/>
      <x:c r="CV16" s="28" t="n"/>
      <x:c r="CW16" s="28" t="n"/>
      <x:c r="CX16" s="28" t="n"/>
      <x:c r="CY16" s="28" t="n"/>
      <x:c r="CZ16" s="28" t="n"/>
      <x:c r="DA16" s="28" t="n"/>
      <x:c r="DB16" s="28" t="n"/>
      <x:c r="DC16" s="28" t="n"/>
      <x:c r="DD16" s="28" t="n"/>
      <x:c r="DE16" s="28" t="n"/>
      <x:c r="DF16" s="28" t="n"/>
      <x:c r="DG16" s="28" t="n"/>
      <x:c r="DH16" s="28" t="n"/>
      <x:c r="DI16" s="28" t="n"/>
      <x:c r="DJ16" s="28" t="n"/>
      <x:c r="DK16" s="28" t="n"/>
      <x:c r="DL16" s="28" t="n"/>
      <x:c r="DM16" s="28" t="n"/>
      <x:c r="DN16" s="28" t="n"/>
      <x:c r="DO16" s="28" t="n"/>
      <x:c r="DP16" s="28" t="n"/>
      <x:c r="DQ16" s="28" t="n"/>
      <x:c r="DR16" s="28" t="n"/>
      <x:c r="DS16" s="28" t="n"/>
      <x:c r="DT16" s="28" t="n"/>
      <x:c r="DU16" s="28" t="n"/>
      <x:c r="DV16" s="28" t="n"/>
      <x:c r="DW16" s="28" t="n"/>
      <x:c r="DX16" s="28" t="n"/>
      <x:c r="DY16" s="28" t="n"/>
      <x:c r="DZ16" s="28" t="n"/>
      <x:c r="EA16" s="28" t="n"/>
      <x:c r="EB16" s="28" t="n"/>
      <x:c r="EC16" s="28" t="n"/>
      <x:c r="ED16" s="28" t="n"/>
      <x:c r="EE16" s="28" t="n"/>
      <x:c r="EF16" s="28" t="n"/>
      <x:c r="EG16" s="28" t="n"/>
      <x:c r="EH16" s="28" t="n"/>
      <x:c r="EI16" s="28" t="n"/>
      <x:c r="EJ16" s="28" t="n"/>
      <x:c r="EK16" s="28" t="n"/>
      <x:c r="EL16" s="28" t="n"/>
      <x:c r="EM16" s="28" t="n"/>
      <x:c r="EN16" s="28" t="n"/>
      <x:c r="EO16" s="28" t="n"/>
      <x:c r="EP16" s="28" t="n"/>
      <x:c r="EQ16" s="28" t="n"/>
      <x:c r="ER16" s="28" t="n"/>
      <x:c r="ES16" s="28" t="n"/>
      <x:c r="ET16" s="28" t="n"/>
      <x:c r="EU16" s="28" t="n"/>
      <x:c r="EV16" s="28" t="n"/>
      <x:c r="EW16" s="28" t="n"/>
      <x:c r="EX16" s="28" t="n"/>
      <x:c r="EY16" s="28" t="n"/>
      <x:c r="EZ16" s="28" t="n"/>
      <x:c r="FA16" s="28" t="n"/>
      <x:c r="FB16" s="28" t="n"/>
      <x:c r="FC16" s="28" t="n"/>
      <x:c r="FD16" s="28" t="n"/>
      <x:c r="FE16" s="28" t="n"/>
      <x:c r="FF16" s="28" t="n"/>
      <x:c r="FG16" s="28" t="n"/>
      <x:c r="FH16" s="28" t="n"/>
      <x:c r="FI16" s="28" t="n"/>
      <x:c r="FJ16" s="28" t="n"/>
      <x:c r="FK16" s="28" t="n"/>
      <x:c r="FL16" s="28" t="n"/>
      <x:c r="FM16" s="28" t="n"/>
      <x:c r="FN16" s="28" t="n"/>
      <x:c r="FO16" s="28" t="n"/>
      <x:c r="FP16" s="28" t="n"/>
      <x:c r="FQ16" s="28" t="n"/>
      <x:c r="FR16" s="28" t="n"/>
      <x:c r="FS16" s="28" t="n"/>
      <x:c r="FT16" s="28" t="n"/>
      <x:c r="FU16" s="28" t="n"/>
      <x:c r="FV16" s="28" t="n"/>
      <x:c r="FW16" s="28" t="n"/>
      <x:c r="FX16" s="28" t="n"/>
      <x:c r="FY16" s="28" t="n"/>
      <x:c r="FZ16" s="28" t="n"/>
      <x:c r="GA16" s="28" t="n"/>
    </x:row>
    <x:row r="17" s="27" customFormat="1">
      <x:c r="A17" s="38" t="n"/>
      <x:c r="B17" s="37" t="n"/>
      <x:c r="C17" s="36" t="n">
        <x:f>E17*D$5</x:f>
        <x:v>0</x:v>
      </x:c>
      <x:c r="D17" s="103" t="inlineStr">
        <x:is>
          <x:t xml:space="preserve">E. T. Gamble</x:t>
        </x:is>
      </x:c>
      <x:c r="E17" s="36" t="n">
        <x:f>SUM(G17:HT17)</x:f>
        <x:v>0</x:v>
      </x:c>
      <x:c r="F17" s="35" t="n"/>
      <x:c r="G17" s="121" t="n"/>
      <x:c r="H17" s="121" t="n"/>
      <x:c r="I17" s="122" t="n"/>
      <x:c r="J17" s="121" t="n"/>
      <x:c r="K17" s="121" t="n"/>
      <x:c r="L17" s="121" t="n"/>
      <x:c r="M17" s="121" t="n"/>
      <x:c r="N17" s="121" t="n"/>
      <x:c r="O17" s="121" t="n"/>
      <x:c r="P17" s="121" t="n"/>
      <x:c r="Q17" s="121" t="n"/>
      <x:c r="R17" s="123" t="n"/>
      <x:c r="S17" s="123" t="n"/>
      <x:c r="T17" s="121" t="n"/>
      <x:c r="U17" s="121" t="n"/>
      <x:c r="V17" s="121" t="n"/>
      <x:c r="W17" s="121" t="n"/>
      <x:c r="X17" s="121" t="n"/>
      <x:c r="Y17" s="121" t="n"/>
      <x:c r="Z17" s="121" t="n"/>
      <x:c r="AA17" s="121" t="n"/>
      <x:c r="AB17" s="121" t="n"/>
      <x:c r="AC17" s="121" t="n"/>
      <x:c r="AD17" s="121" t="n"/>
      <x:c r="AE17" s="123" t="n"/>
      <x:c r="AF17" s="123" t="n"/>
      <x:c r="AG17" s="123" t="n"/>
      <x:c r="AH17" s="122" t="n"/>
      <x:c r="AI17" s="122" t="n"/>
      <x:c r="AJ17" s="122" t="n"/>
      <x:c r="AK17" s="122" t="n"/>
      <x:c r="AL17" s="121" t="n"/>
      <x:c r="AM17" s="123" t="n"/>
      <x:c r="AN17" s="121" t="n"/>
      <x:c r="AO17" s="123" t="n"/>
      <x:c r="AP17" s="121" t="n"/>
      <x:c r="AQ17" s="121" t="n"/>
      <x:c r="AR17" s="28" t="n"/>
      <x:c r="AS17" s="28" t="n"/>
      <x:c r="AT17" s="28" t="n"/>
      <x:c r="AU17" s="28" t="n"/>
      <x:c r="AV17" s="28" t="n"/>
      <x:c r="AW17" s="28" t="n"/>
      <x:c r="AX17" s="28" t="n"/>
      <x:c r="AY17" s="28" t="n"/>
      <x:c r="AZ17" s="28" t="n"/>
      <x:c r="BA17" s="28" t="n"/>
      <x:c r="BB17" s="28" t="n"/>
      <x:c r="BC17" s="28" t="n"/>
      <x:c r="BD17" s="28" t="n"/>
      <x:c r="BE17" s="28" t="n"/>
      <x:c r="BF17" s="28" t="n"/>
      <x:c r="BG17" s="28" t="n"/>
      <x:c r="BH17" s="28" t="n"/>
      <x:c r="BI17" s="28" t="n"/>
      <x:c r="BJ17" s="28" t="n"/>
      <x:c r="BK17" s="28" t="n"/>
      <x:c r="BL17" s="28" t="n"/>
      <x:c r="BM17" s="28" t="n"/>
      <x:c r="BN17" s="28" t="n"/>
      <x:c r="BO17" s="28" t="n"/>
      <x:c r="BP17" s="28" t="n"/>
      <x:c r="BQ17" s="28" t="n"/>
      <x:c r="BR17" s="28" t="n"/>
      <x:c r="BS17" s="28" t="n"/>
      <x:c r="BT17" s="28" t="n"/>
      <x:c r="BU17" s="28" t="n"/>
      <x:c r="BV17" s="28" t="n"/>
      <x:c r="BW17" s="28" t="n"/>
      <x:c r="BX17" s="28" t="n"/>
      <x:c r="BY17" s="28" t="n"/>
      <x:c r="BZ17" s="28" t="n"/>
      <x:c r="CA17" s="28" t="n"/>
      <x:c r="CB17" s="28" t="n"/>
      <x:c r="CC17" s="28" t="n"/>
      <x:c r="CD17" s="28" t="n"/>
      <x:c r="CE17" s="28" t="n"/>
      <x:c r="CF17" s="28" t="n"/>
      <x:c r="CG17" s="28" t="n"/>
      <x:c r="CH17" s="28" t="n"/>
      <x:c r="CI17" s="28" t="n"/>
      <x:c r="CJ17" s="28" t="n"/>
      <x:c r="CK17" s="28" t="n"/>
      <x:c r="CL17" s="28" t="n"/>
      <x:c r="CM17" s="28" t="n"/>
      <x:c r="CN17" s="28" t="n"/>
      <x:c r="CO17" s="28" t="n"/>
      <x:c r="CP17" s="28" t="n"/>
      <x:c r="CQ17" s="28" t="n"/>
      <x:c r="CR17" s="28" t="n"/>
      <x:c r="CS17" s="28" t="n"/>
      <x:c r="CT17" s="28" t="n"/>
      <x:c r="CU17" s="28" t="n"/>
      <x:c r="CV17" s="28" t="n"/>
      <x:c r="CW17" s="28" t="n"/>
      <x:c r="CX17" s="28" t="n"/>
      <x:c r="CY17" s="28" t="n"/>
      <x:c r="CZ17" s="28" t="n"/>
      <x:c r="DA17" s="28" t="n"/>
      <x:c r="DB17" s="28" t="n"/>
      <x:c r="DC17" s="28" t="n"/>
      <x:c r="DD17" s="28" t="n"/>
      <x:c r="DE17" s="28" t="n"/>
      <x:c r="DF17" s="28" t="n"/>
      <x:c r="DG17" s="28" t="n"/>
      <x:c r="DH17" s="28" t="n"/>
      <x:c r="DI17" s="28" t="n"/>
      <x:c r="DJ17" s="28" t="n"/>
      <x:c r="DK17" s="28" t="n"/>
      <x:c r="DL17" s="28" t="n"/>
      <x:c r="DM17" s="28" t="n"/>
      <x:c r="DN17" s="28" t="n"/>
      <x:c r="DO17" s="28" t="n"/>
      <x:c r="DP17" s="28" t="n"/>
      <x:c r="DQ17" s="28" t="n"/>
      <x:c r="DR17" s="28" t="n"/>
      <x:c r="DS17" s="28" t="n"/>
      <x:c r="DT17" s="28" t="n"/>
      <x:c r="DU17" s="28" t="n"/>
      <x:c r="DV17" s="28" t="n"/>
      <x:c r="DW17" s="28" t="n"/>
      <x:c r="DX17" s="28" t="n"/>
      <x:c r="DY17" s="28" t="n"/>
      <x:c r="DZ17" s="28" t="n"/>
      <x:c r="EA17" s="28" t="n"/>
      <x:c r="EB17" s="28" t="n"/>
      <x:c r="EC17" s="28" t="n"/>
      <x:c r="ED17" s="28" t="n"/>
      <x:c r="EE17" s="28" t="n"/>
      <x:c r="EF17" s="28" t="n"/>
      <x:c r="EG17" s="28" t="n"/>
      <x:c r="EH17" s="28" t="n"/>
      <x:c r="EI17" s="28" t="n"/>
      <x:c r="EJ17" s="28" t="n"/>
      <x:c r="EK17" s="28" t="n"/>
      <x:c r="EL17" s="28" t="n"/>
      <x:c r="EM17" s="28" t="n"/>
      <x:c r="EN17" s="28" t="n"/>
      <x:c r="EO17" s="28" t="n"/>
      <x:c r="EP17" s="28" t="n"/>
      <x:c r="EQ17" s="28" t="n"/>
      <x:c r="ER17" s="28" t="n"/>
      <x:c r="ES17" s="28" t="n"/>
      <x:c r="ET17" s="28" t="n"/>
      <x:c r="EU17" s="28" t="n"/>
      <x:c r="EV17" s="28" t="n"/>
      <x:c r="EW17" s="28" t="n"/>
      <x:c r="EX17" s="28" t="n"/>
      <x:c r="EY17" s="28" t="n"/>
      <x:c r="EZ17" s="28" t="n"/>
      <x:c r="FA17" s="28" t="n"/>
      <x:c r="FB17" s="28" t="n"/>
      <x:c r="FC17" s="28" t="n"/>
      <x:c r="FD17" s="28" t="n"/>
      <x:c r="FE17" s="28" t="n"/>
      <x:c r="FF17" s="28" t="n"/>
      <x:c r="FG17" s="28" t="n"/>
      <x:c r="FH17" s="28" t="n"/>
      <x:c r="FI17" s="28" t="n"/>
      <x:c r="FJ17" s="28" t="n"/>
      <x:c r="FK17" s="28" t="n"/>
      <x:c r="FL17" s="28" t="n"/>
      <x:c r="FM17" s="28" t="n"/>
      <x:c r="FN17" s="28" t="n"/>
      <x:c r="FO17" s="28" t="n"/>
      <x:c r="FP17" s="28" t="n"/>
      <x:c r="FQ17" s="28" t="n"/>
      <x:c r="FR17" s="28" t="n"/>
      <x:c r="FS17" s="28" t="n"/>
      <x:c r="FT17" s="28" t="n"/>
      <x:c r="FU17" s="28" t="n"/>
      <x:c r="FV17" s="28" t="n"/>
      <x:c r="FW17" s="28" t="n"/>
      <x:c r="FX17" s="28" t="n"/>
      <x:c r="FY17" s="28" t="n"/>
      <x:c r="FZ17" s="28" t="n"/>
      <x:c r="GA17" s="28" t="n"/>
    </x:row>
    <x:row r="18" s="27" customFormat="1">
      <x:c r="A18" s="38" t="n"/>
      <x:c r="B18" s="39" t="n"/>
      <x:c r="C18" s="36" t="n">
        <x:f>E18*D$5</x:f>
        <x:v>0</x:v>
      </x:c>
      <x:c r="D18" s="103" t="inlineStr">
        <x:is>
          <x:t xml:space="preserve">Leo Aulbert</x:t>
        </x:is>
      </x:c>
      <x:c r="E18" s="36" t="n">
        <x:f>SUM(G18:HT18)</x:f>
        <x:v>0</x:v>
      </x:c>
      <x:c r="F18" s="35" t="n"/>
      <x:c r="G18" s="121" t="n"/>
      <x:c r="H18" s="121" t="n"/>
      <x:c r="I18" s="121" t="n"/>
      <x:c r="J18" s="121" t="n"/>
      <x:c r="K18" s="121" t="n"/>
      <x:c r="L18" s="121" t="n"/>
      <x:c r="M18" s="121" t="n"/>
      <x:c r="N18" s="121" t="n"/>
      <x:c r="O18" s="121" t="n"/>
      <x:c r="P18" s="122" t="n"/>
      <x:c r="Q18" s="128" t="n"/>
      <x:c r="R18" s="124" t="n"/>
      <x:c r="S18" s="123" t="n"/>
      <x:c r="T18" s="129" t="n"/>
      <x:c r="U18" s="121" t="n"/>
      <x:c r="V18" s="121" t="n"/>
      <x:c r="W18" s="121" t="n"/>
      <x:c r="X18" s="121" t="n"/>
      <x:c r="Y18" s="121" t="n"/>
      <x:c r="Z18" s="121" t="n"/>
      <x:c r="AA18" s="121" t="n"/>
      <x:c r="AB18" s="121" t="n"/>
      <x:c r="AC18" s="121" t="n"/>
      <x:c r="AD18" s="121" t="n"/>
      <x:c r="AE18" s="123" t="n"/>
      <x:c r="AF18" s="123" t="n"/>
      <x:c r="AG18" s="123" t="n"/>
      <x:c r="AH18" s="122" t="n"/>
      <x:c r="AI18" s="122" t="n"/>
      <x:c r="AJ18" s="122" t="n"/>
      <x:c r="AK18" s="122" t="n"/>
      <x:c r="AL18" s="121" t="n"/>
      <x:c r="AM18" s="124" t="n"/>
      <x:c r="AN18" s="121" t="n"/>
      <x:c r="AO18" s="123" t="n"/>
      <x:c r="AP18" s="121" t="n"/>
      <x:c r="AQ18" s="121" t="n"/>
      <x:c r="AR18" s="28" t="n"/>
      <x:c r="AS18" s="28" t="n"/>
      <x:c r="AT18" s="28" t="n"/>
      <x:c r="AU18" s="28" t="n"/>
      <x:c r="AV18" s="28" t="n"/>
      <x:c r="AW18" s="28" t="n"/>
      <x:c r="AX18" s="28" t="n"/>
      <x:c r="AY18" s="28" t="n"/>
      <x:c r="AZ18" s="28" t="n"/>
      <x:c r="BA18" s="28" t="n"/>
      <x:c r="BB18" s="28" t="n"/>
      <x:c r="BC18" s="28" t="n"/>
      <x:c r="BD18" s="28" t="n"/>
      <x:c r="BE18" s="28" t="n"/>
      <x:c r="BF18" s="28" t="n"/>
      <x:c r="BG18" s="28" t="n"/>
      <x:c r="BH18" s="28" t="n"/>
      <x:c r="BI18" s="28" t="n"/>
      <x:c r="BJ18" s="28" t="n"/>
      <x:c r="BK18" s="28" t="n"/>
      <x:c r="BL18" s="28" t="n"/>
      <x:c r="BM18" s="28" t="n"/>
      <x:c r="BN18" s="28" t="n"/>
      <x:c r="BO18" s="28" t="n"/>
      <x:c r="BP18" s="28" t="n"/>
      <x:c r="BQ18" s="28" t="n"/>
      <x:c r="BR18" s="28" t="n"/>
      <x:c r="BS18" s="28" t="n"/>
      <x:c r="BT18" s="28" t="n"/>
      <x:c r="BU18" s="28" t="n"/>
      <x:c r="BV18" s="28" t="n"/>
      <x:c r="BW18" s="28" t="n"/>
      <x:c r="BX18" s="28" t="n"/>
      <x:c r="BY18" s="28" t="n"/>
      <x:c r="BZ18" s="28" t="n"/>
      <x:c r="CA18" s="28" t="n"/>
      <x:c r="CB18" s="28" t="n"/>
      <x:c r="CC18" s="28" t="n"/>
      <x:c r="CD18" s="28" t="n"/>
      <x:c r="CE18" s="28" t="n"/>
      <x:c r="CF18" s="28" t="n"/>
      <x:c r="CG18" s="28" t="n"/>
      <x:c r="CH18" s="28" t="n"/>
      <x:c r="CI18" s="28" t="n"/>
      <x:c r="CJ18" s="28" t="n"/>
      <x:c r="CK18" s="28" t="n"/>
      <x:c r="CL18" s="28" t="n"/>
      <x:c r="CM18" s="28" t="n"/>
      <x:c r="CN18" s="28" t="n"/>
      <x:c r="CO18" s="28" t="n"/>
      <x:c r="CP18" s="28" t="n"/>
      <x:c r="CQ18" s="28" t="n"/>
      <x:c r="CR18" s="28" t="n"/>
      <x:c r="CS18" s="28" t="n"/>
      <x:c r="CT18" s="28" t="n"/>
      <x:c r="CU18" s="28" t="n"/>
      <x:c r="CV18" s="28" t="n"/>
      <x:c r="CW18" s="28" t="n"/>
      <x:c r="CX18" s="28" t="n"/>
      <x:c r="CY18" s="28" t="n"/>
      <x:c r="CZ18" s="28" t="n"/>
      <x:c r="DA18" s="28" t="n"/>
      <x:c r="DB18" s="28" t="n"/>
      <x:c r="DC18" s="28" t="n"/>
      <x:c r="DD18" s="28" t="n"/>
      <x:c r="DE18" s="28" t="n"/>
      <x:c r="DF18" s="28" t="n"/>
      <x:c r="DG18" s="28" t="n"/>
      <x:c r="DH18" s="28" t="n"/>
      <x:c r="DI18" s="28" t="n"/>
      <x:c r="DJ18" s="28" t="n"/>
      <x:c r="DK18" s="28" t="n"/>
      <x:c r="DL18" s="28" t="n"/>
      <x:c r="DM18" s="28" t="n"/>
      <x:c r="DN18" s="28" t="n"/>
      <x:c r="DO18" s="28" t="n"/>
      <x:c r="DP18" s="28" t="n"/>
      <x:c r="DQ18" s="28" t="n"/>
      <x:c r="DR18" s="28" t="n"/>
      <x:c r="DS18" s="28" t="n"/>
      <x:c r="DT18" s="28" t="n"/>
      <x:c r="DU18" s="28" t="n"/>
      <x:c r="DV18" s="28" t="n"/>
      <x:c r="DW18" s="28" t="n"/>
      <x:c r="DX18" s="28" t="n"/>
      <x:c r="DY18" s="28" t="n"/>
      <x:c r="DZ18" s="28" t="n"/>
      <x:c r="EA18" s="28" t="n"/>
      <x:c r="EB18" s="28" t="n"/>
      <x:c r="EC18" s="28" t="n"/>
      <x:c r="ED18" s="28" t="n"/>
      <x:c r="EE18" s="28" t="n"/>
      <x:c r="EF18" s="28" t="n"/>
      <x:c r="EG18" s="28" t="n"/>
      <x:c r="EH18" s="28" t="n"/>
      <x:c r="EI18" s="28" t="n"/>
      <x:c r="EJ18" s="28" t="n"/>
      <x:c r="EK18" s="28" t="n"/>
      <x:c r="EL18" s="28" t="n"/>
      <x:c r="EM18" s="28" t="n"/>
      <x:c r="EN18" s="28" t="n"/>
      <x:c r="EO18" s="28" t="n"/>
      <x:c r="EP18" s="28" t="n"/>
      <x:c r="EQ18" s="28" t="n"/>
      <x:c r="ER18" s="28" t="n"/>
      <x:c r="ES18" s="28" t="n"/>
      <x:c r="ET18" s="28" t="n"/>
      <x:c r="EU18" s="28" t="n"/>
      <x:c r="EV18" s="28" t="n"/>
      <x:c r="EW18" s="28" t="n"/>
      <x:c r="EX18" s="28" t="n"/>
      <x:c r="EY18" s="28" t="n"/>
      <x:c r="EZ18" s="28" t="n"/>
      <x:c r="FA18" s="28" t="n"/>
      <x:c r="FB18" s="28" t="n"/>
      <x:c r="FC18" s="28" t="n"/>
      <x:c r="FD18" s="28" t="n"/>
      <x:c r="FE18" s="28" t="n"/>
      <x:c r="FF18" s="28" t="n"/>
      <x:c r="FG18" s="28" t="n"/>
      <x:c r="FH18" s="28" t="n"/>
      <x:c r="FI18" s="28" t="n"/>
      <x:c r="FJ18" s="28" t="n"/>
      <x:c r="FK18" s="28" t="n"/>
      <x:c r="FL18" s="28" t="n"/>
      <x:c r="FM18" s="28" t="n"/>
      <x:c r="FN18" s="28" t="n"/>
      <x:c r="FO18" s="28" t="n"/>
      <x:c r="FP18" s="28" t="n"/>
      <x:c r="FQ18" s="28" t="n"/>
      <x:c r="FR18" s="28" t="n"/>
      <x:c r="FS18" s="28" t="n"/>
      <x:c r="FT18" s="28" t="n"/>
      <x:c r="FU18" s="28" t="n"/>
      <x:c r="FV18" s="28" t="n"/>
      <x:c r="FW18" s="28" t="n"/>
      <x:c r="FX18" s="28" t="n"/>
      <x:c r="FY18" s="28" t="n"/>
      <x:c r="FZ18" s="28" t="n"/>
      <x:c r="GA18" s="28" t="n"/>
    </x:row>
    <x:row r="19" s="27" customFormat="1">
      <x:c r="A19" s="38" t="n"/>
      <x:c r="B19" s="39" t="n"/>
      <x:c r="C19" s="36" t="n">
        <x:f>E19*D$5</x:f>
        <x:v>0</x:v>
      </x:c>
      <x:c r="D19" s="104" t="inlineStr">
        <x:is>
          <x:t xml:space="preserve">Mark Hambrook, (Widower)</x:t>
        </x:is>
      </x:c>
      <x:c r="E19" s="36" t="n">
        <x:f>SUM(G19:HT19)</x:f>
        <x:v>0</x:v>
      </x:c>
      <x:c r="F19" s="35" t="n"/>
      <x:c r="G19" s="121" t="n"/>
      <x:c r="H19" s="121" t="n"/>
      <x:c r="I19" s="121" t="n"/>
      <x:c r="J19" s="121" t="n"/>
      <x:c r="K19" s="121" t="n"/>
      <x:c r="L19" s="121" t="n"/>
      <x:c r="M19" s="121" t="n"/>
      <x:c r="N19" s="121" t="n"/>
      <x:c r="O19" s="121" t="n"/>
      <x:c r="P19" s="122" t="n"/>
      <x:c r="Q19" s="128" t="n"/>
      <x:c r="R19" s="128" t="n"/>
      <x:c r="S19" s="123" t="n"/>
      <x:c r="T19" s="129" t="n"/>
      <x:c r="U19" s="121" t="n"/>
      <x:c r="V19" s="121" t="n"/>
      <x:c r="W19" s="121" t="n"/>
      <x:c r="X19" s="121" t="n"/>
      <x:c r="Y19" s="121" t="n"/>
      <x:c r="Z19" s="121" t="n"/>
      <x:c r="AA19" s="121" t="n"/>
      <x:c r="AB19" s="121" t="n"/>
      <x:c r="AC19" s="121" t="n"/>
      <x:c r="AD19" s="121" t="n"/>
      <x:c r="AE19" s="123" t="n"/>
      <x:c r="AF19" s="123" t="n"/>
      <x:c r="AG19" s="123" t="n"/>
      <x:c r="AH19" s="122" t="n"/>
      <x:c r="AI19" s="122" t="n"/>
      <x:c r="AJ19" s="122" t="n"/>
      <x:c r="AK19" s="122" t="n"/>
      <x:c r="AL19" s="121" t="n"/>
      <x:c r="AM19" s="123" t="n"/>
      <x:c r="AN19" s="121" t="n"/>
      <x:c r="AO19" s="123" t="n"/>
      <x:c r="AP19" s="121" t="n"/>
      <x:c r="AQ19" s="121" t="n"/>
      <x:c r="AR19" s="28" t="n"/>
      <x:c r="AS19" s="28" t="n"/>
      <x:c r="AT19" s="28" t="n"/>
      <x:c r="AU19" s="28" t="n"/>
      <x:c r="AV19" s="28" t="n"/>
      <x:c r="AW19" s="28" t="n"/>
      <x:c r="AX19" s="28" t="n"/>
      <x:c r="AY19" s="28" t="n"/>
      <x:c r="AZ19" s="28" t="n"/>
      <x:c r="BA19" s="28" t="n"/>
      <x:c r="BB19" s="28" t="n"/>
      <x:c r="BC19" s="28" t="n"/>
      <x:c r="BD19" s="28" t="n"/>
      <x:c r="BE19" s="28" t="n"/>
      <x:c r="BF19" s="28" t="n"/>
      <x:c r="BG19" s="28" t="n"/>
      <x:c r="BH19" s="28" t="n"/>
      <x:c r="BI19" s="28" t="n"/>
      <x:c r="BJ19" s="28" t="n"/>
      <x:c r="BK19" s="28" t="n"/>
      <x:c r="BL19" s="28" t="n"/>
      <x:c r="BM19" s="28" t="n"/>
      <x:c r="BN19" s="28" t="n"/>
      <x:c r="BO19" s="28" t="n"/>
      <x:c r="BP19" s="28" t="n"/>
      <x:c r="BQ19" s="28" t="n"/>
      <x:c r="BR19" s="28" t="n"/>
      <x:c r="BS19" s="28" t="n"/>
      <x:c r="BT19" s="28" t="n"/>
      <x:c r="BU19" s="28" t="n"/>
      <x:c r="BV19" s="28" t="n"/>
      <x:c r="BW19" s="28" t="n"/>
      <x:c r="BX19" s="28" t="n"/>
      <x:c r="BY19" s="28" t="n"/>
      <x:c r="BZ19" s="28" t="n"/>
      <x:c r="CA19" s="28" t="n"/>
      <x:c r="CB19" s="28" t="n"/>
      <x:c r="CC19" s="28" t="n"/>
      <x:c r="CD19" s="28" t="n"/>
      <x:c r="CE19" s="28" t="n"/>
      <x:c r="CF19" s="28" t="n"/>
      <x:c r="CG19" s="28" t="n"/>
      <x:c r="CH19" s="28" t="n"/>
      <x:c r="CI19" s="28" t="n"/>
      <x:c r="CJ19" s="28" t="n"/>
      <x:c r="CK19" s="28" t="n"/>
      <x:c r="CL19" s="28" t="n"/>
      <x:c r="CM19" s="28" t="n"/>
      <x:c r="CN19" s="28" t="n"/>
      <x:c r="CO19" s="28" t="n"/>
      <x:c r="CP19" s="28" t="n"/>
      <x:c r="CQ19" s="28" t="n"/>
      <x:c r="CR19" s="28" t="n"/>
      <x:c r="CS19" s="28" t="n"/>
      <x:c r="CT19" s="28" t="n"/>
      <x:c r="CU19" s="28" t="n"/>
      <x:c r="CV19" s="28" t="n"/>
      <x:c r="CW19" s="28" t="n"/>
      <x:c r="CX19" s="28" t="n"/>
      <x:c r="CY19" s="28" t="n"/>
      <x:c r="CZ19" s="28" t="n"/>
      <x:c r="DA19" s="28" t="n"/>
      <x:c r="DB19" s="28" t="n"/>
      <x:c r="DC19" s="28" t="n"/>
      <x:c r="DD19" s="28" t="n"/>
      <x:c r="DE19" s="28" t="n"/>
      <x:c r="DF19" s="28" t="n"/>
      <x:c r="DG19" s="28" t="n"/>
      <x:c r="DH19" s="28" t="n"/>
      <x:c r="DI19" s="28" t="n"/>
      <x:c r="DJ19" s="28" t="n"/>
      <x:c r="DK19" s="28" t="n"/>
      <x:c r="DL19" s="28" t="n"/>
      <x:c r="DM19" s="28" t="n"/>
      <x:c r="DN19" s="28" t="n"/>
      <x:c r="DO19" s="28" t="n"/>
      <x:c r="DP19" s="28" t="n"/>
      <x:c r="DQ19" s="28" t="n"/>
      <x:c r="DR19" s="28" t="n"/>
      <x:c r="DS19" s="28" t="n"/>
      <x:c r="DT19" s="28" t="n"/>
      <x:c r="DU19" s="28" t="n"/>
      <x:c r="DV19" s="28" t="n"/>
      <x:c r="DW19" s="28" t="n"/>
      <x:c r="DX19" s="28" t="n"/>
      <x:c r="DY19" s="28" t="n"/>
      <x:c r="DZ19" s="28" t="n"/>
      <x:c r="EA19" s="28" t="n"/>
      <x:c r="EB19" s="28" t="n"/>
      <x:c r="EC19" s="28" t="n"/>
      <x:c r="ED19" s="28" t="n"/>
      <x:c r="EE19" s="28" t="n"/>
      <x:c r="EF19" s="28" t="n"/>
      <x:c r="EG19" s="28" t="n"/>
      <x:c r="EH19" s="28" t="n"/>
      <x:c r="EI19" s="28" t="n"/>
      <x:c r="EJ19" s="28" t="n"/>
      <x:c r="EK19" s="28" t="n"/>
      <x:c r="EL19" s="28" t="n"/>
      <x:c r="EM19" s="28" t="n"/>
      <x:c r="EN19" s="28" t="n"/>
      <x:c r="EO19" s="28" t="n"/>
      <x:c r="EP19" s="28" t="n"/>
      <x:c r="EQ19" s="28" t="n"/>
      <x:c r="ER19" s="28" t="n"/>
      <x:c r="ES19" s="28" t="n"/>
      <x:c r="ET19" s="28" t="n"/>
      <x:c r="EU19" s="28" t="n"/>
      <x:c r="EV19" s="28" t="n"/>
      <x:c r="EW19" s="28" t="n"/>
      <x:c r="EX19" s="28" t="n"/>
      <x:c r="EY19" s="28" t="n"/>
      <x:c r="EZ19" s="28" t="n"/>
      <x:c r="FA19" s="28" t="n"/>
      <x:c r="FB19" s="28" t="n"/>
      <x:c r="FC19" s="28" t="n"/>
      <x:c r="FD19" s="28" t="n"/>
      <x:c r="FE19" s="28" t="n"/>
      <x:c r="FF19" s="28" t="n"/>
      <x:c r="FG19" s="28" t="n"/>
      <x:c r="FH19" s="28" t="n"/>
      <x:c r="FI19" s="28" t="n"/>
      <x:c r="FJ19" s="28" t="n"/>
      <x:c r="FK19" s="28" t="n"/>
      <x:c r="FL19" s="28" t="n"/>
      <x:c r="FM19" s="28" t="n"/>
      <x:c r="FN19" s="28" t="n"/>
      <x:c r="FO19" s="28" t="n"/>
      <x:c r="FP19" s="28" t="n"/>
      <x:c r="FQ19" s="28" t="n"/>
      <x:c r="FR19" s="28" t="n"/>
      <x:c r="FS19" s="28" t="n"/>
      <x:c r="FT19" s="28" t="n"/>
      <x:c r="FU19" s="28" t="n"/>
      <x:c r="FV19" s="28" t="n"/>
      <x:c r="FW19" s="28" t="n"/>
      <x:c r="FX19" s="28" t="n"/>
      <x:c r="FY19" s="28" t="n"/>
      <x:c r="FZ19" s="28" t="n"/>
      <x:c r="GA19" s="28" t="n"/>
    </x:row>
    <x:row r="20" s="27" customFormat="1">
      <x:c r="A20" s="38" t="n"/>
      <x:c r="B20" s="39" t="n"/>
      <x:c r="C20" s="86" t="n">
        <x:f>E20*D$5</x:f>
        <x:v>0</x:v>
      </x:c>
      <x:c r="D20" s="104" t="inlineStr">
        <x:is>
          <x:t xml:space="preserve">Panhandle Co-operative Royalty Company</x:t>
        </x:is>
      </x:c>
      <x:c r="E20" s="86" t="n">
        <x:f>SUM(G20:HT20)</x:f>
        <x:v>0</x:v>
      </x:c>
      <x:c r="F20" s="35" t="n"/>
      <x:c r="G20" s="121" t="n"/>
      <x:c r="H20" s="121" t="n"/>
      <x:c r="I20" s="122" t="n"/>
      <x:c r="J20" s="121" t="n"/>
      <x:c r="K20" s="121" t="n"/>
      <x:c r="L20" s="121" t="n"/>
      <x:c r="M20" s="121" t="n"/>
      <x:c r="N20" s="121" t="n"/>
      <x:c r="O20" s="121" t="n"/>
      <x:c r="P20" s="122" t="n"/>
      <x:c r="Q20" s="128" t="n"/>
      <x:c r="R20" s="128" t="n"/>
      <x:c r="S20" s="123" t="n"/>
      <x:c r="T20" s="129" t="n"/>
      <x:c r="U20" s="121" t="n"/>
      <x:c r="V20" s="121" t="n"/>
      <x:c r="W20" s="121" t="n"/>
      <x:c r="X20" s="121" t="n"/>
      <x:c r="Y20" s="121" t="n"/>
      <x:c r="Z20" s="121" t="n"/>
      <x:c r="AA20" s="121" t="n"/>
      <x:c r="AB20" s="121" t="n"/>
      <x:c r="AC20" s="121" t="n"/>
      <x:c r="AD20" s="121" t="n"/>
      <x:c r="AE20" s="123" t="n"/>
      <x:c r="AF20" s="123" t="n"/>
      <x:c r="AG20" s="123" t="n"/>
      <x:c r="AH20" s="123" t="n"/>
      <x:c r="AI20" s="123" t="n"/>
      <x:c r="AJ20" s="123" t="n"/>
      <x:c r="AK20" s="123" t="n"/>
      <x:c r="AL20" s="121" t="n"/>
      <x:c r="AM20" s="123" t="n"/>
      <x:c r="AN20" s="121" t="n"/>
      <x:c r="AO20" s="123" t="n"/>
      <x:c r="AP20" s="121" t="n"/>
      <x:c r="AQ20" s="121" t="n"/>
      <x:c r="AR20" s="28" t="n"/>
      <x:c r="AS20" s="28" t="n"/>
      <x:c r="AT20" s="28" t="n"/>
      <x:c r="AU20" s="28" t="n"/>
      <x:c r="AV20" s="28" t="n"/>
      <x:c r="AW20" s="28" t="n"/>
      <x:c r="AX20" s="28" t="n"/>
      <x:c r="AY20" s="28" t="n"/>
      <x:c r="AZ20" s="28" t="n"/>
      <x:c r="BA20" s="28" t="n"/>
      <x:c r="BB20" s="28" t="n"/>
      <x:c r="BC20" s="28" t="n"/>
      <x:c r="BD20" s="28" t="n"/>
      <x:c r="BE20" s="28" t="n"/>
      <x:c r="BF20" s="28" t="n"/>
      <x:c r="BG20" s="28" t="n"/>
      <x:c r="BH20" s="28" t="n"/>
      <x:c r="BI20" s="28" t="n"/>
      <x:c r="BJ20" s="28" t="n"/>
      <x:c r="BK20" s="28" t="n"/>
      <x:c r="BL20" s="28" t="n"/>
      <x:c r="BM20" s="28" t="n"/>
      <x:c r="BN20" s="28" t="n"/>
      <x:c r="BO20" s="28" t="n"/>
      <x:c r="BP20" s="28" t="n"/>
      <x:c r="BQ20" s="28" t="n"/>
      <x:c r="BR20" s="28" t="n"/>
      <x:c r="BS20" s="28" t="n"/>
      <x:c r="BT20" s="28" t="n"/>
      <x:c r="BU20" s="28" t="n"/>
      <x:c r="BV20" s="28" t="n"/>
      <x:c r="BW20" s="28" t="n"/>
      <x:c r="BX20" s="28" t="n"/>
      <x:c r="BY20" s="28" t="n"/>
      <x:c r="BZ20" s="28" t="n"/>
      <x:c r="CA20" s="28" t="n"/>
      <x:c r="CB20" s="28" t="n"/>
      <x:c r="CC20" s="28" t="n"/>
      <x:c r="CD20" s="28" t="n"/>
      <x:c r="CE20" s="28" t="n"/>
      <x:c r="CF20" s="28" t="n"/>
      <x:c r="CG20" s="28" t="n"/>
      <x:c r="CH20" s="28" t="n"/>
      <x:c r="CI20" s="28" t="n"/>
      <x:c r="CJ20" s="28" t="n"/>
      <x:c r="CK20" s="28" t="n"/>
      <x:c r="CL20" s="28" t="n"/>
      <x:c r="CM20" s="28" t="n"/>
      <x:c r="CN20" s="28" t="n"/>
      <x:c r="CO20" s="28" t="n"/>
      <x:c r="CP20" s="28" t="n"/>
      <x:c r="CQ20" s="28" t="n"/>
      <x:c r="CR20" s="28" t="n"/>
      <x:c r="CS20" s="28" t="n"/>
      <x:c r="CT20" s="28" t="n"/>
      <x:c r="CU20" s="28" t="n"/>
      <x:c r="CV20" s="28" t="n"/>
      <x:c r="CW20" s="28" t="n"/>
      <x:c r="CX20" s="28" t="n"/>
      <x:c r="CY20" s="28" t="n"/>
      <x:c r="CZ20" s="28" t="n"/>
      <x:c r="DA20" s="28" t="n"/>
      <x:c r="DB20" s="28" t="n"/>
      <x:c r="DC20" s="28" t="n"/>
      <x:c r="DD20" s="28" t="n"/>
      <x:c r="DE20" s="28" t="n"/>
      <x:c r="DF20" s="28" t="n"/>
      <x:c r="DG20" s="28" t="n"/>
      <x:c r="DH20" s="28" t="n"/>
      <x:c r="DI20" s="28" t="n"/>
      <x:c r="DJ20" s="28" t="n"/>
      <x:c r="DK20" s="28" t="n"/>
      <x:c r="DL20" s="28" t="n"/>
      <x:c r="DM20" s="28" t="n"/>
      <x:c r="DN20" s="28" t="n"/>
      <x:c r="DO20" s="28" t="n"/>
      <x:c r="DP20" s="28" t="n"/>
      <x:c r="DQ20" s="28" t="n"/>
      <x:c r="DR20" s="28" t="n"/>
      <x:c r="DS20" s="28" t="n"/>
      <x:c r="DT20" s="28" t="n"/>
      <x:c r="DU20" s="28" t="n"/>
      <x:c r="DV20" s="28" t="n"/>
      <x:c r="DW20" s="28" t="n"/>
      <x:c r="DX20" s="28" t="n"/>
      <x:c r="DY20" s="28" t="n"/>
      <x:c r="DZ20" s="28" t="n"/>
      <x:c r="EA20" s="28" t="n"/>
      <x:c r="EB20" s="28" t="n"/>
      <x:c r="EC20" s="28" t="n"/>
      <x:c r="ED20" s="28" t="n"/>
      <x:c r="EE20" s="28" t="n"/>
      <x:c r="EF20" s="28" t="n"/>
      <x:c r="EG20" s="28" t="n"/>
      <x:c r="EH20" s="28" t="n"/>
      <x:c r="EI20" s="28" t="n"/>
      <x:c r="EJ20" s="28" t="n"/>
      <x:c r="EK20" s="28" t="n"/>
      <x:c r="EL20" s="28" t="n"/>
      <x:c r="EM20" s="28" t="n"/>
      <x:c r="EN20" s="28" t="n"/>
      <x:c r="EO20" s="28" t="n"/>
      <x:c r="EP20" s="28" t="n"/>
      <x:c r="EQ20" s="28" t="n"/>
      <x:c r="ER20" s="28" t="n"/>
      <x:c r="ES20" s="28" t="n"/>
      <x:c r="ET20" s="28" t="n"/>
      <x:c r="EU20" s="28" t="n"/>
      <x:c r="EV20" s="28" t="n"/>
      <x:c r="EW20" s="28" t="n"/>
      <x:c r="EX20" s="28" t="n"/>
      <x:c r="EY20" s="28" t="n"/>
      <x:c r="EZ20" s="28" t="n"/>
      <x:c r="FA20" s="28" t="n"/>
      <x:c r="FB20" s="28" t="n"/>
      <x:c r="FC20" s="28" t="n"/>
      <x:c r="FD20" s="28" t="n"/>
      <x:c r="FE20" s="28" t="n"/>
      <x:c r="FF20" s="28" t="n"/>
      <x:c r="FG20" s="28" t="n"/>
      <x:c r="FH20" s="28" t="n"/>
      <x:c r="FI20" s="28" t="n"/>
      <x:c r="FJ20" s="28" t="n"/>
      <x:c r="FK20" s="28" t="n"/>
      <x:c r="FL20" s="28" t="n"/>
      <x:c r="FM20" s="28" t="n"/>
      <x:c r="FN20" s="28" t="n"/>
      <x:c r="FO20" s="28" t="n"/>
      <x:c r="FP20" s="28" t="n"/>
      <x:c r="FQ20" s="28" t="n"/>
      <x:c r="FR20" s="28" t="n"/>
      <x:c r="FS20" s="28" t="n"/>
      <x:c r="FT20" s="28" t="n"/>
      <x:c r="FU20" s="28" t="n"/>
      <x:c r="FV20" s="28" t="n"/>
      <x:c r="FW20" s="28" t="n"/>
      <x:c r="FX20" s="28" t="n"/>
      <x:c r="FY20" s="28" t="n"/>
      <x:c r="FZ20" s="28" t="n"/>
      <x:c r="GA20" s="28" t="n"/>
    </x:row>
    <x:row r="21" s="27" customFormat="1">
      <x:c r="A21" s="38" t="n"/>
      <x:c r="B21" s="37" t="n"/>
      <x:c r="C21" s="36" t="n">
        <x:f>E21*D$5</x:f>
        <x:v>0</x:v>
      </x:c>
      <x:c r="D21" s="103" t="inlineStr">
        <x:is>
          <x:t xml:space="preserve">Marvin G. Mitchell and Carrie Lou Mitchell, HW, JTWROS</x:t>
        </x:is>
      </x:c>
      <x:c r="E21" s="36" t="n">
        <x:f>SUM(G21:HT21)</x:f>
        <x:v>0</x:v>
      </x:c>
      <x:c r="F21" s="35" t="n"/>
      <x:c r="G21" s="121" t="n"/>
      <x:c r="H21" s="121" t="n"/>
      <x:c r="I21" s="121" t="n"/>
      <x:c r="J21" s="121" t="n"/>
      <x:c r="K21" s="121" t="n"/>
      <x:c r="L21" s="121" t="n"/>
      <x:c r="M21" s="121" t="n"/>
      <x:c r="N21" s="121" t="n"/>
      <x:c r="O21" s="121" t="n"/>
      <x:c r="P21" s="121" t="n"/>
      <x:c r="Q21" s="128" t="n"/>
      <x:c r="R21" s="128" t="n"/>
      <x:c r="S21" s="123" t="n"/>
      <x:c r="T21" s="129" t="n"/>
      <x:c r="U21" s="121" t="n"/>
      <x:c r="V21" s="121" t="n"/>
      <x:c r="W21" s="121" t="n"/>
      <x:c r="X21" s="121" t="n"/>
      <x:c r="Y21" s="121" t="n"/>
      <x:c r="Z21" s="121" t="n"/>
      <x:c r="AA21" s="121" t="n"/>
      <x:c r="AB21" s="121" t="n"/>
      <x:c r="AC21" s="121" t="n"/>
      <x:c r="AD21" s="121" t="n"/>
      <x:c r="AE21" s="123" t="n"/>
      <x:c r="AF21" s="123" t="n"/>
      <x:c r="AG21" s="123" t="n"/>
      <x:c r="AH21" s="123" t="n"/>
      <x:c r="AI21" s="123" t="n"/>
      <x:c r="AJ21" s="123" t="n"/>
      <x:c r="AK21" s="123" t="n"/>
      <x:c r="AL21" s="121" t="n"/>
      <x:c r="AM21" s="123" t="n"/>
      <x:c r="AN21" s="122" t="n"/>
      <x:c r="AO21" s="123" t="n"/>
      <x:c r="AP21" s="121" t="n"/>
      <x:c r="AQ21" s="121" t="n"/>
      <x:c r="AR21" s="28" t="n"/>
      <x:c r="AS21" s="28" t="n"/>
      <x:c r="AT21" s="28" t="n"/>
      <x:c r="AU21" s="28" t="n"/>
      <x:c r="AV21" s="28" t="n"/>
      <x:c r="AW21" s="28" t="n"/>
      <x:c r="AX21" s="28" t="n"/>
      <x:c r="AY21" s="28" t="n"/>
      <x:c r="AZ21" s="28" t="n"/>
      <x:c r="BA21" s="28" t="n"/>
      <x:c r="BB21" s="28" t="n"/>
      <x:c r="BC21" s="28" t="n"/>
      <x:c r="BD21" s="28" t="n"/>
      <x:c r="BE21" s="28" t="n"/>
      <x:c r="BF21" s="28" t="n"/>
      <x:c r="BG21" s="28" t="n"/>
      <x:c r="BH21" s="28" t="n"/>
      <x:c r="BI21" s="28" t="n"/>
      <x:c r="BJ21" s="28" t="n"/>
      <x:c r="BK21" s="28" t="n"/>
      <x:c r="BL21" s="28" t="n"/>
      <x:c r="BM21" s="28" t="n"/>
      <x:c r="BN21" s="28" t="n"/>
      <x:c r="BO21" s="28" t="n"/>
      <x:c r="BP21" s="28" t="n"/>
      <x:c r="BQ21" s="28" t="n"/>
      <x:c r="BR21" s="28" t="n"/>
      <x:c r="BS21" s="28" t="n"/>
      <x:c r="BT21" s="28" t="n"/>
      <x:c r="BU21" s="28" t="n"/>
      <x:c r="BV21" s="28" t="n"/>
      <x:c r="BW21" s="28" t="n"/>
      <x:c r="BX21" s="28" t="n"/>
      <x:c r="BY21" s="28" t="n"/>
      <x:c r="BZ21" s="28" t="n"/>
      <x:c r="CA21" s="28" t="n"/>
      <x:c r="CB21" s="28" t="n"/>
      <x:c r="CC21" s="28" t="n"/>
      <x:c r="CD21" s="28" t="n"/>
      <x:c r="CE21" s="28" t="n"/>
      <x:c r="CF21" s="28" t="n"/>
      <x:c r="CG21" s="28" t="n"/>
      <x:c r="CH21" s="28" t="n"/>
      <x:c r="CI21" s="28" t="n"/>
      <x:c r="CJ21" s="28" t="n"/>
      <x:c r="CK21" s="28" t="n"/>
      <x:c r="CL21" s="28" t="n"/>
      <x:c r="CM21" s="28" t="n"/>
      <x:c r="CN21" s="28" t="n"/>
      <x:c r="CO21" s="28" t="n"/>
      <x:c r="CP21" s="28" t="n"/>
      <x:c r="CQ21" s="28" t="n"/>
      <x:c r="CR21" s="28" t="n"/>
      <x:c r="CS21" s="28" t="n"/>
      <x:c r="CT21" s="28" t="n"/>
      <x:c r="CU21" s="28" t="n"/>
      <x:c r="CV21" s="28" t="n"/>
      <x:c r="CW21" s="28" t="n"/>
      <x:c r="CX21" s="28" t="n"/>
      <x:c r="CY21" s="28" t="n"/>
      <x:c r="CZ21" s="28" t="n"/>
      <x:c r="DA21" s="28" t="n"/>
      <x:c r="DB21" s="28" t="n"/>
      <x:c r="DC21" s="28" t="n"/>
      <x:c r="DD21" s="28" t="n"/>
      <x:c r="DE21" s="28" t="n"/>
      <x:c r="DF21" s="28" t="n"/>
      <x:c r="DG21" s="28" t="n"/>
      <x:c r="DH21" s="28" t="n"/>
      <x:c r="DI21" s="28" t="n"/>
      <x:c r="DJ21" s="28" t="n"/>
      <x:c r="DK21" s="28" t="n"/>
      <x:c r="DL21" s="28" t="n"/>
      <x:c r="DM21" s="28" t="n"/>
      <x:c r="DN21" s="28" t="n"/>
      <x:c r="DO21" s="28" t="n"/>
      <x:c r="DP21" s="28" t="n"/>
      <x:c r="DQ21" s="28" t="n"/>
      <x:c r="DR21" s="28" t="n"/>
      <x:c r="DS21" s="28" t="n"/>
      <x:c r="DT21" s="28" t="n"/>
      <x:c r="DU21" s="28" t="n"/>
      <x:c r="DV21" s="28" t="n"/>
      <x:c r="DW21" s="28" t="n"/>
      <x:c r="DX21" s="28" t="n"/>
      <x:c r="DY21" s="28" t="n"/>
      <x:c r="DZ21" s="28" t="n"/>
      <x:c r="EA21" s="28" t="n"/>
      <x:c r="EB21" s="28" t="n"/>
      <x:c r="EC21" s="28" t="n"/>
      <x:c r="ED21" s="28" t="n"/>
      <x:c r="EE21" s="28" t="n"/>
      <x:c r="EF21" s="28" t="n"/>
      <x:c r="EG21" s="28" t="n"/>
      <x:c r="EH21" s="28" t="n"/>
      <x:c r="EI21" s="28" t="n"/>
      <x:c r="EJ21" s="28" t="n"/>
      <x:c r="EK21" s="28" t="n"/>
      <x:c r="EL21" s="28" t="n"/>
      <x:c r="EM21" s="28" t="n"/>
      <x:c r="EN21" s="28" t="n"/>
      <x:c r="EO21" s="28" t="n"/>
      <x:c r="EP21" s="28" t="n"/>
      <x:c r="EQ21" s="28" t="n"/>
      <x:c r="ER21" s="28" t="n"/>
      <x:c r="ES21" s="28" t="n"/>
      <x:c r="ET21" s="28" t="n"/>
      <x:c r="EU21" s="28" t="n"/>
      <x:c r="EV21" s="28" t="n"/>
      <x:c r="EW21" s="28" t="n"/>
      <x:c r="EX21" s="28" t="n"/>
      <x:c r="EY21" s="28" t="n"/>
      <x:c r="EZ21" s="28" t="n"/>
      <x:c r="FA21" s="28" t="n"/>
      <x:c r="FB21" s="28" t="n"/>
      <x:c r="FC21" s="28" t="n"/>
      <x:c r="FD21" s="28" t="n"/>
      <x:c r="FE21" s="28" t="n"/>
      <x:c r="FF21" s="28" t="n"/>
      <x:c r="FG21" s="28" t="n"/>
      <x:c r="FH21" s="28" t="n"/>
      <x:c r="FI21" s="28" t="n"/>
      <x:c r="FJ21" s="28" t="n"/>
      <x:c r="FK21" s="28" t="n"/>
      <x:c r="FL21" s="28" t="n"/>
      <x:c r="FM21" s="28" t="n"/>
      <x:c r="FN21" s="28" t="n"/>
      <x:c r="FO21" s="28" t="n"/>
      <x:c r="FP21" s="28" t="n"/>
      <x:c r="FQ21" s="28" t="n"/>
      <x:c r="FR21" s="28" t="n"/>
      <x:c r="FS21" s="28" t="n"/>
      <x:c r="FT21" s="28" t="n"/>
      <x:c r="FU21" s="28" t="n"/>
      <x:c r="FV21" s="28" t="n"/>
      <x:c r="FW21" s="28" t="n"/>
      <x:c r="FX21" s="28" t="n"/>
      <x:c r="FY21" s="28" t="n"/>
      <x:c r="FZ21" s="28" t="n"/>
      <x:c r="GA21" s="28" t="n"/>
    </x:row>
    <x:row r="22" s="27" customFormat="1">
      <x:c r="A22" s="38" t="n"/>
      <x:c r="B22" s="37" t="n"/>
      <x:c r="C22" s="86" t="n">
        <x:f>E22*D$5</x:f>
        <x:v>0</x:v>
      </x:c>
      <x:c r="D22" s="103" t="inlineStr">
        <x:is>
          <x:t xml:space="preserve">A. H. Douglas</x:t>
        </x:is>
      </x:c>
      <x:c r="E22" s="86" t="n">
        <x:f>SUM(G22:HT22)</x:f>
        <x:v>0</x:v>
      </x:c>
      <x:c r="F22" s="35" t="n"/>
      <x:c r="G22" s="121" t="n"/>
      <x:c r="H22" s="121" t="n"/>
      <x:c r="I22" s="121" t="n"/>
      <x:c r="J22" s="121" t="n"/>
      <x:c r="K22" s="121" t="n"/>
      <x:c r="L22" s="121" t="n"/>
      <x:c r="M22" s="121" t="n"/>
      <x:c r="N22" s="121" t="n"/>
      <x:c r="O22" s="121" t="n"/>
      <x:c r="P22" s="121" t="n"/>
      <x:c r="Q22" s="128" t="n"/>
      <x:c r="R22" s="128" t="n"/>
      <x:c r="S22" s="123" t="n"/>
      <x:c r="T22" s="129" t="n"/>
      <x:c r="U22" s="121" t="n"/>
      <x:c r="V22" s="121" t="n"/>
      <x:c r="W22" s="121" t="n"/>
      <x:c r="X22" s="121" t="n"/>
      <x:c r="Y22" s="121" t="n"/>
      <x:c r="Z22" s="121" t="n"/>
      <x:c r="AA22" s="121" t="n"/>
      <x:c r="AB22" s="121" t="n"/>
      <x:c r="AC22" s="121" t="n"/>
      <x:c r="AD22" s="121" t="n"/>
      <x:c r="AE22" s="123" t="n"/>
      <x:c r="AF22" s="123" t="n"/>
      <x:c r="AG22" s="123" t="n"/>
      <x:c r="AH22" s="123" t="n"/>
      <x:c r="AI22" s="123" t="n"/>
      <x:c r="AJ22" s="123" t="n"/>
      <x:c r="AK22" s="123" t="n"/>
      <x:c r="AL22" s="121" t="n"/>
      <x:c r="AM22" s="123" t="n"/>
      <x:c r="AN22" s="122" t="n"/>
      <x:c r="AO22" s="123" t="n"/>
      <x:c r="AP22" s="121" t="n"/>
      <x:c r="AQ22" s="121" t="n"/>
      <x:c r="AR22" s="28" t="n"/>
      <x:c r="AS22" s="28" t="n"/>
      <x:c r="AT22" s="28" t="n"/>
      <x:c r="AU22" s="28" t="n"/>
      <x:c r="AV22" s="28" t="n"/>
      <x:c r="AW22" s="28" t="n"/>
      <x:c r="AX22" s="28" t="n"/>
      <x:c r="AY22" s="28" t="n"/>
      <x:c r="AZ22" s="28" t="n"/>
      <x:c r="BA22" s="28" t="n"/>
      <x:c r="BB22" s="28" t="n"/>
      <x:c r="BC22" s="28" t="n"/>
      <x:c r="BD22" s="28" t="n"/>
      <x:c r="BE22" s="28" t="n"/>
      <x:c r="BF22" s="28" t="n"/>
      <x:c r="BG22" s="28" t="n"/>
      <x:c r="BH22" s="28" t="n"/>
      <x:c r="BI22" s="28" t="n"/>
      <x:c r="BJ22" s="28" t="n"/>
      <x:c r="BK22" s="28" t="n"/>
      <x:c r="BL22" s="28" t="n"/>
      <x:c r="BM22" s="28" t="n"/>
      <x:c r="BN22" s="28" t="n"/>
      <x:c r="BO22" s="28" t="n"/>
      <x:c r="BP22" s="28" t="n"/>
      <x:c r="BQ22" s="28" t="n"/>
      <x:c r="BR22" s="28" t="n"/>
      <x:c r="BS22" s="28" t="n"/>
      <x:c r="BT22" s="28" t="n"/>
      <x:c r="BU22" s="28" t="n"/>
      <x:c r="BV22" s="28" t="n"/>
      <x:c r="BW22" s="28" t="n"/>
      <x:c r="BX22" s="28" t="n"/>
      <x:c r="BY22" s="28" t="n"/>
      <x:c r="BZ22" s="28" t="n"/>
      <x:c r="CA22" s="28" t="n"/>
      <x:c r="CB22" s="28" t="n"/>
      <x:c r="CC22" s="28" t="n"/>
      <x:c r="CD22" s="28" t="n"/>
      <x:c r="CE22" s="28" t="n"/>
      <x:c r="CF22" s="28" t="n"/>
      <x:c r="CG22" s="28" t="n"/>
      <x:c r="CH22" s="28" t="n"/>
      <x:c r="CI22" s="28" t="n"/>
      <x:c r="CJ22" s="28" t="n"/>
      <x:c r="CK22" s="28" t="n"/>
      <x:c r="CL22" s="28" t="n"/>
      <x:c r="CM22" s="28" t="n"/>
      <x:c r="CN22" s="28" t="n"/>
      <x:c r="CO22" s="28" t="n"/>
      <x:c r="CP22" s="28" t="n"/>
      <x:c r="CQ22" s="28" t="n"/>
      <x:c r="CR22" s="28" t="n"/>
      <x:c r="CS22" s="28" t="n"/>
      <x:c r="CT22" s="28" t="n"/>
      <x:c r="CU22" s="28" t="n"/>
      <x:c r="CV22" s="28" t="n"/>
      <x:c r="CW22" s="28" t="n"/>
      <x:c r="CX22" s="28" t="n"/>
      <x:c r="CY22" s="28" t="n"/>
      <x:c r="CZ22" s="28" t="n"/>
      <x:c r="DA22" s="28" t="n"/>
      <x:c r="DB22" s="28" t="n"/>
      <x:c r="DC22" s="28" t="n"/>
      <x:c r="DD22" s="28" t="n"/>
      <x:c r="DE22" s="28" t="n"/>
      <x:c r="DF22" s="28" t="n"/>
      <x:c r="DG22" s="28" t="n"/>
      <x:c r="DH22" s="28" t="n"/>
      <x:c r="DI22" s="28" t="n"/>
      <x:c r="DJ22" s="28" t="n"/>
      <x:c r="DK22" s="28" t="n"/>
      <x:c r="DL22" s="28" t="n"/>
      <x:c r="DM22" s="28" t="n"/>
      <x:c r="DN22" s="28" t="n"/>
      <x:c r="DO22" s="28" t="n"/>
      <x:c r="DP22" s="28" t="n"/>
      <x:c r="DQ22" s="28" t="n"/>
      <x:c r="DR22" s="28" t="n"/>
      <x:c r="DS22" s="28" t="n"/>
      <x:c r="DT22" s="28" t="n"/>
      <x:c r="DU22" s="28" t="n"/>
      <x:c r="DV22" s="28" t="n"/>
      <x:c r="DW22" s="28" t="n"/>
      <x:c r="DX22" s="28" t="n"/>
      <x:c r="DY22" s="28" t="n"/>
      <x:c r="DZ22" s="28" t="n"/>
      <x:c r="EA22" s="28" t="n"/>
      <x:c r="EB22" s="28" t="n"/>
      <x:c r="EC22" s="28" t="n"/>
      <x:c r="ED22" s="28" t="n"/>
      <x:c r="EE22" s="28" t="n"/>
      <x:c r="EF22" s="28" t="n"/>
      <x:c r="EG22" s="28" t="n"/>
      <x:c r="EH22" s="28" t="n"/>
      <x:c r="EI22" s="28" t="n"/>
      <x:c r="EJ22" s="28" t="n"/>
      <x:c r="EK22" s="28" t="n"/>
      <x:c r="EL22" s="28" t="n"/>
      <x:c r="EM22" s="28" t="n"/>
      <x:c r="EN22" s="28" t="n"/>
      <x:c r="EO22" s="28" t="n"/>
      <x:c r="EP22" s="28" t="n"/>
      <x:c r="EQ22" s="28" t="n"/>
      <x:c r="ER22" s="28" t="n"/>
      <x:c r="ES22" s="28" t="n"/>
      <x:c r="ET22" s="28" t="n"/>
      <x:c r="EU22" s="28" t="n"/>
      <x:c r="EV22" s="28" t="n"/>
      <x:c r="EW22" s="28" t="n"/>
      <x:c r="EX22" s="28" t="n"/>
      <x:c r="EY22" s="28" t="n"/>
      <x:c r="EZ22" s="28" t="n"/>
      <x:c r="FA22" s="28" t="n"/>
      <x:c r="FB22" s="28" t="n"/>
      <x:c r="FC22" s="28" t="n"/>
      <x:c r="FD22" s="28" t="n"/>
      <x:c r="FE22" s="28" t="n"/>
      <x:c r="FF22" s="28" t="n"/>
      <x:c r="FG22" s="28" t="n"/>
      <x:c r="FH22" s="28" t="n"/>
      <x:c r="FI22" s="28" t="n"/>
      <x:c r="FJ22" s="28" t="n"/>
      <x:c r="FK22" s="28" t="n"/>
      <x:c r="FL22" s="28" t="n"/>
      <x:c r="FM22" s="28" t="n"/>
      <x:c r="FN22" s="28" t="n"/>
      <x:c r="FO22" s="28" t="n"/>
      <x:c r="FP22" s="28" t="n"/>
      <x:c r="FQ22" s="28" t="n"/>
      <x:c r="FR22" s="28" t="n"/>
      <x:c r="FS22" s="28" t="n"/>
      <x:c r="FT22" s="28" t="n"/>
      <x:c r="FU22" s="28" t="n"/>
      <x:c r="FV22" s="28" t="n"/>
      <x:c r="FW22" s="28" t="n"/>
      <x:c r="FX22" s="28" t="n"/>
      <x:c r="FY22" s="28" t="n"/>
      <x:c r="FZ22" s="28" t="n"/>
      <x:c r="GA22" s="28" t="n"/>
    </x:row>
    <x:row r="23" s="27" customFormat="1">
      <x:c r="A23" s="125" t="n"/>
      <x:c r="B23" s="39" t="n"/>
      <x:c r="C23" s="86" t="n">
        <x:f>E23*D$5</x:f>
        <x:v>0</x:v>
      </x:c>
      <x:c r="D23" s="4" t="inlineStr">
        <x:is>
          <x:t xml:space="preserve">Elvin J. Ridling and Dorothy Jean Ridling, HW</x:t>
        </x:is>
      </x:c>
      <x:c r="E23" s="86" t="n">
        <x:f>SUM(G23:HT23)</x:f>
        <x:v>0</x:v>
      </x:c>
      <x:c r="F23" s="35" t="n"/>
      <x:c r="G23" s="121" t="n"/>
      <x:c r="H23" s="121" t="n"/>
      <x:c r="I23" s="121" t="n"/>
      <x:c r="J23" s="121" t="n"/>
      <x:c r="K23" s="121" t="n"/>
      <x:c r="L23" s="121" t="n"/>
      <x:c r="M23" s="121" t="n"/>
      <x:c r="N23" s="121" t="n"/>
      <x:c r="O23" s="121" t="n"/>
      <x:c r="P23" s="121" t="n"/>
      <x:c r="Q23" s="121" t="n"/>
      <x:c r="R23" s="124" t="n"/>
      <x:c r="S23" s="123" t="n"/>
      <x:c r="T23" s="121" t="n"/>
      <x:c r="U23" s="129" t="n"/>
      <x:c r="V23" s="121" t="n"/>
      <x:c r="W23" s="121" t="n"/>
      <x:c r="X23" s="121" t="n"/>
      <x:c r="Y23" s="121" t="n"/>
      <x:c r="Z23" s="121" t="n"/>
      <x:c r="AA23" s="121" t="n"/>
      <x:c r="AB23" s="121" t="n"/>
      <x:c r="AC23" s="121" t="n"/>
      <x:c r="AD23" s="121" t="n"/>
      <x:c r="AE23" s="123" t="n"/>
      <x:c r="AF23" s="123" t="n"/>
      <x:c r="AG23" s="123" t="n"/>
      <x:c r="AH23" s="123" t="n"/>
      <x:c r="AI23" s="123" t="n"/>
      <x:c r="AJ23" s="123" t="n"/>
      <x:c r="AK23" s="123" t="n"/>
      <x:c r="AL23" s="121" t="n"/>
      <x:c r="AM23" s="123" t="n"/>
      <x:c r="AN23" s="122" t="n"/>
      <x:c r="AO23" s="123" t="n"/>
      <x:c r="AP23" s="121" t="n"/>
      <x:c r="AQ23" s="121" t="n"/>
      <x:c r="AR23" s="28" t="n"/>
      <x:c r="AS23" s="28" t="n"/>
      <x:c r="AT23" s="28" t="n"/>
      <x:c r="AU23" s="28" t="n"/>
      <x:c r="AV23" s="28" t="n"/>
      <x:c r="AW23" s="28" t="n"/>
      <x:c r="AX23" s="28" t="n"/>
      <x:c r="AY23" s="28" t="n"/>
      <x:c r="AZ23" s="28" t="n"/>
      <x:c r="BA23" s="28" t="n"/>
      <x:c r="BB23" s="28" t="n"/>
      <x:c r="BC23" s="28" t="n"/>
      <x:c r="BD23" s="28" t="n"/>
      <x:c r="BE23" s="28" t="n"/>
      <x:c r="BF23" s="28" t="n"/>
      <x:c r="BG23" s="28" t="n"/>
      <x:c r="BH23" s="28" t="n"/>
      <x:c r="BI23" s="28" t="n"/>
      <x:c r="BJ23" s="28" t="n"/>
      <x:c r="BK23" s="28" t="n"/>
      <x:c r="BL23" s="28" t="n"/>
      <x:c r="BM23" s="28" t="n"/>
      <x:c r="BN23" s="28" t="n"/>
      <x:c r="BO23" s="28" t="n"/>
      <x:c r="BP23" s="28" t="n"/>
      <x:c r="BQ23" s="28" t="n"/>
      <x:c r="BR23" s="28" t="n"/>
      <x:c r="BS23" s="28" t="n"/>
      <x:c r="BT23" s="28" t="n"/>
      <x:c r="BU23" s="28" t="n"/>
      <x:c r="BV23" s="28" t="n"/>
      <x:c r="BW23" s="28" t="n"/>
      <x:c r="BX23" s="28" t="n"/>
      <x:c r="BY23" s="28" t="n"/>
      <x:c r="BZ23" s="28" t="n"/>
      <x:c r="CA23" s="28" t="n"/>
      <x:c r="CB23" s="28" t="n"/>
      <x:c r="CC23" s="28" t="n"/>
      <x:c r="CD23" s="28" t="n"/>
      <x:c r="CE23" s="28" t="n"/>
      <x:c r="CF23" s="28" t="n"/>
      <x:c r="CG23" s="28" t="n"/>
      <x:c r="CH23" s="28" t="n"/>
      <x:c r="CI23" s="28" t="n"/>
      <x:c r="CJ23" s="28" t="n"/>
      <x:c r="CK23" s="28" t="n"/>
      <x:c r="CL23" s="28" t="n"/>
      <x:c r="CM23" s="28" t="n"/>
      <x:c r="CN23" s="28" t="n"/>
      <x:c r="CO23" s="28" t="n"/>
      <x:c r="CP23" s="28" t="n"/>
      <x:c r="CQ23" s="28" t="n"/>
      <x:c r="CR23" s="28" t="n"/>
      <x:c r="CS23" s="28" t="n"/>
      <x:c r="CT23" s="28" t="n"/>
      <x:c r="CU23" s="28" t="n"/>
      <x:c r="CV23" s="28" t="n"/>
      <x:c r="CW23" s="28" t="n"/>
      <x:c r="CX23" s="28" t="n"/>
      <x:c r="CY23" s="28" t="n"/>
      <x:c r="CZ23" s="28" t="n"/>
      <x:c r="DA23" s="28" t="n"/>
      <x:c r="DB23" s="28" t="n"/>
      <x:c r="DC23" s="28" t="n"/>
      <x:c r="DD23" s="28" t="n"/>
      <x:c r="DE23" s="28" t="n"/>
      <x:c r="DF23" s="28" t="n"/>
      <x:c r="DG23" s="28" t="n"/>
      <x:c r="DH23" s="28" t="n"/>
      <x:c r="DI23" s="28" t="n"/>
      <x:c r="DJ23" s="28" t="n"/>
      <x:c r="DK23" s="28" t="n"/>
      <x:c r="DL23" s="28" t="n"/>
      <x:c r="DM23" s="28" t="n"/>
      <x:c r="DN23" s="28" t="n"/>
      <x:c r="DO23" s="28" t="n"/>
      <x:c r="DP23" s="28" t="n"/>
      <x:c r="DQ23" s="28" t="n"/>
      <x:c r="DR23" s="28" t="n"/>
      <x:c r="DS23" s="28" t="n"/>
      <x:c r="DT23" s="28" t="n"/>
      <x:c r="DU23" s="28" t="n"/>
      <x:c r="DV23" s="28" t="n"/>
      <x:c r="DW23" s="28" t="n"/>
      <x:c r="DX23" s="28" t="n"/>
      <x:c r="DY23" s="28" t="n"/>
      <x:c r="DZ23" s="28" t="n"/>
      <x:c r="EA23" s="28" t="n"/>
      <x:c r="EB23" s="28" t="n"/>
      <x:c r="EC23" s="28" t="n"/>
      <x:c r="ED23" s="28" t="n"/>
      <x:c r="EE23" s="28" t="n"/>
      <x:c r="EF23" s="28" t="n"/>
      <x:c r="EG23" s="28" t="n"/>
      <x:c r="EH23" s="28" t="n"/>
      <x:c r="EI23" s="28" t="n"/>
      <x:c r="EJ23" s="28" t="n"/>
      <x:c r="EK23" s="28" t="n"/>
      <x:c r="EL23" s="28" t="n"/>
      <x:c r="EM23" s="28" t="n"/>
      <x:c r="EN23" s="28" t="n"/>
      <x:c r="EO23" s="28" t="n"/>
      <x:c r="EP23" s="28" t="n"/>
      <x:c r="EQ23" s="28" t="n"/>
      <x:c r="ER23" s="28" t="n"/>
      <x:c r="ES23" s="28" t="n"/>
      <x:c r="ET23" s="28" t="n"/>
      <x:c r="EU23" s="28" t="n"/>
      <x:c r="EV23" s="28" t="n"/>
      <x:c r="EW23" s="28" t="n"/>
      <x:c r="EX23" s="28" t="n"/>
      <x:c r="EY23" s="28" t="n"/>
      <x:c r="EZ23" s="28" t="n"/>
      <x:c r="FA23" s="28" t="n"/>
      <x:c r="FB23" s="28" t="n"/>
      <x:c r="FC23" s="28" t="n"/>
      <x:c r="FD23" s="28" t="n"/>
      <x:c r="FE23" s="28" t="n"/>
      <x:c r="FF23" s="28" t="n"/>
      <x:c r="FG23" s="28" t="n"/>
      <x:c r="FH23" s="28" t="n"/>
      <x:c r="FI23" s="28" t="n"/>
      <x:c r="FJ23" s="28" t="n"/>
      <x:c r="FK23" s="28" t="n"/>
      <x:c r="FL23" s="28" t="n"/>
      <x:c r="FM23" s="28" t="n"/>
      <x:c r="FN23" s="28" t="n"/>
      <x:c r="FO23" s="28" t="n"/>
      <x:c r="FP23" s="28" t="n"/>
      <x:c r="FQ23" s="28" t="n"/>
      <x:c r="FR23" s="28" t="n"/>
      <x:c r="FS23" s="28" t="n"/>
      <x:c r="FT23" s="28" t="n"/>
      <x:c r="FU23" s="28" t="n"/>
      <x:c r="FV23" s="28" t="n"/>
      <x:c r="FW23" s="28" t="n"/>
      <x:c r="FX23" s="28" t="n"/>
      <x:c r="FY23" s="28" t="n"/>
      <x:c r="FZ23" s="28" t="n"/>
      <x:c r="GA23" s="28" t="n"/>
    </x:row>
    <x:row r="24" s="27" customFormat="1">
      <x:c r="A24" s="125" t="n"/>
      <x:c r="B24" s="39" t="n"/>
      <x:c r="C24" s="86" t="n">
        <x:f>E24*D$5</x:f>
        <x:v>0</x:v>
      </x:c>
      <x:c r="D24" s="103" t="inlineStr">
        <x:is>
          <x:t xml:space="preserve">W. L. Ayers and Hazel Ayers, HW</x:t>
        </x:is>
      </x:c>
      <x:c r="E24" s="86" t="n">
        <x:f>SUM(G24:HT24)</x:f>
        <x:v>0</x:v>
      </x:c>
      <x:c r="F24" s="35" t="n"/>
      <x:c r="G24" s="121" t="n"/>
      <x:c r="H24" s="121" t="n"/>
      <x:c r="I24" s="121" t="n"/>
      <x:c r="J24" s="121" t="n"/>
      <x:c r="K24" s="121" t="n"/>
      <x:c r="L24" s="121" t="n"/>
      <x:c r="M24" s="121" t="n"/>
      <x:c r="N24" s="121" t="n"/>
      <x:c r="O24" s="121" t="n"/>
      <x:c r="P24" s="121" t="n"/>
      <x:c r="Q24" s="121" t="n"/>
      <x:c r="R24" s="124" t="n"/>
      <x:c r="S24" s="123" t="n"/>
      <x:c r="T24" s="121" t="n"/>
      <x:c r="U24" s="129" t="n"/>
      <x:c r="V24" s="121" t="n"/>
      <x:c r="W24" s="121" t="n"/>
      <x:c r="X24" s="121" t="n"/>
      <x:c r="Y24" s="121" t="n"/>
      <x:c r="Z24" s="121" t="n"/>
      <x:c r="AA24" s="121" t="n"/>
      <x:c r="AB24" s="121" t="n"/>
      <x:c r="AC24" s="121" t="n"/>
      <x:c r="AD24" s="121" t="n"/>
      <x:c r="AE24" s="123" t="n"/>
      <x:c r="AF24" s="123" t="n"/>
      <x:c r="AG24" s="123" t="n"/>
      <x:c r="AH24" s="123" t="n"/>
      <x:c r="AI24" s="123" t="n"/>
      <x:c r="AJ24" s="123" t="n"/>
      <x:c r="AK24" s="123" t="n"/>
      <x:c r="AL24" s="121" t="n"/>
      <x:c r="AM24" s="123" t="n"/>
      <x:c r="AN24" s="122" t="n"/>
      <x:c r="AO24" s="123" t="n"/>
      <x:c r="AP24" s="121" t="n"/>
      <x:c r="AQ24" s="121" t="n"/>
      <x:c r="AR24" s="28" t="n"/>
      <x:c r="AS24" s="28" t="n"/>
      <x:c r="AT24" s="28" t="n"/>
      <x:c r="AU24" s="28" t="n"/>
      <x:c r="AV24" s="28" t="n"/>
      <x:c r="AW24" s="28" t="n"/>
      <x:c r="AX24" s="28" t="n"/>
      <x:c r="AY24" s="28" t="n"/>
      <x:c r="AZ24" s="28" t="n"/>
      <x:c r="BA24" s="28" t="n"/>
      <x:c r="BB24" s="28" t="n"/>
      <x:c r="BC24" s="28" t="n"/>
      <x:c r="BD24" s="28" t="n"/>
      <x:c r="BE24" s="28" t="n"/>
      <x:c r="BF24" s="28" t="n"/>
      <x:c r="BG24" s="28" t="n"/>
      <x:c r="BH24" s="28" t="n"/>
      <x:c r="BI24" s="28" t="n"/>
      <x:c r="BJ24" s="28" t="n"/>
      <x:c r="BK24" s="28" t="n"/>
      <x:c r="BL24" s="28" t="n"/>
      <x:c r="BM24" s="28" t="n"/>
      <x:c r="BN24" s="28" t="n"/>
      <x:c r="BO24" s="28" t="n"/>
      <x:c r="BP24" s="28" t="n"/>
      <x:c r="BQ24" s="28" t="n"/>
      <x:c r="BR24" s="28" t="n"/>
      <x:c r="BS24" s="28" t="n"/>
      <x:c r="BT24" s="28" t="n"/>
      <x:c r="BU24" s="28" t="n"/>
      <x:c r="BV24" s="28" t="n"/>
      <x:c r="BW24" s="28" t="n"/>
      <x:c r="BX24" s="28" t="n"/>
      <x:c r="BY24" s="28" t="n"/>
      <x:c r="BZ24" s="28" t="n"/>
      <x:c r="CA24" s="28" t="n"/>
      <x:c r="CB24" s="28" t="n"/>
      <x:c r="CC24" s="28" t="n"/>
      <x:c r="CD24" s="28" t="n"/>
      <x:c r="CE24" s="28" t="n"/>
      <x:c r="CF24" s="28" t="n"/>
      <x:c r="CG24" s="28" t="n"/>
      <x:c r="CH24" s="28" t="n"/>
      <x:c r="CI24" s="28" t="n"/>
      <x:c r="CJ24" s="28" t="n"/>
      <x:c r="CK24" s="28" t="n"/>
      <x:c r="CL24" s="28" t="n"/>
      <x:c r="CM24" s="28" t="n"/>
      <x:c r="CN24" s="28" t="n"/>
      <x:c r="CO24" s="28" t="n"/>
      <x:c r="CP24" s="28" t="n"/>
      <x:c r="CQ24" s="28" t="n"/>
      <x:c r="CR24" s="28" t="n"/>
      <x:c r="CS24" s="28" t="n"/>
      <x:c r="CT24" s="28" t="n"/>
      <x:c r="CU24" s="28" t="n"/>
      <x:c r="CV24" s="28" t="n"/>
      <x:c r="CW24" s="28" t="n"/>
      <x:c r="CX24" s="28" t="n"/>
      <x:c r="CY24" s="28" t="n"/>
      <x:c r="CZ24" s="28" t="n"/>
      <x:c r="DA24" s="28" t="n"/>
      <x:c r="DB24" s="28" t="n"/>
      <x:c r="DC24" s="28" t="n"/>
      <x:c r="DD24" s="28" t="n"/>
      <x:c r="DE24" s="28" t="n"/>
      <x:c r="DF24" s="28" t="n"/>
      <x:c r="DG24" s="28" t="n"/>
      <x:c r="DH24" s="28" t="n"/>
      <x:c r="DI24" s="28" t="n"/>
      <x:c r="DJ24" s="28" t="n"/>
      <x:c r="DK24" s="28" t="n"/>
      <x:c r="DL24" s="28" t="n"/>
      <x:c r="DM24" s="28" t="n"/>
      <x:c r="DN24" s="28" t="n"/>
      <x:c r="DO24" s="28" t="n"/>
      <x:c r="DP24" s="28" t="n"/>
      <x:c r="DQ24" s="28" t="n"/>
      <x:c r="DR24" s="28" t="n"/>
      <x:c r="DS24" s="28" t="n"/>
      <x:c r="DT24" s="28" t="n"/>
      <x:c r="DU24" s="28" t="n"/>
      <x:c r="DV24" s="28" t="n"/>
      <x:c r="DW24" s="28" t="n"/>
      <x:c r="DX24" s="28" t="n"/>
      <x:c r="DY24" s="28" t="n"/>
      <x:c r="DZ24" s="28" t="n"/>
      <x:c r="EA24" s="28" t="n"/>
      <x:c r="EB24" s="28" t="n"/>
      <x:c r="EC24" s="28" t="n"/>
      <x:c r="ED24" s="28" t="n"/>
      <x:c r="EE24" s="28" t="n"/>
      <x:c r="EF24" s="28" t="n"/>
      <x:c r="EG24" s="28" t="n"/>
      <x:c r="EH24" s="28" t="n"/>
      <x:c r="EI24" s="28" t="n"/>
      <x:c r="EJ24" s="28" t="n"/>
      <x:c r="EK24" s="28" t="n"/>
      <x:c r="EL24" s="28" t="n"/>
      <x:c r="EM24" s="28" t="n"/>
      <x:c r="EN24" s="28" t="n"/>
      <x:c r="EO24" s="28" t="n"/>
      <x:c r="EP24" s="28" t="n"/>
      <x:c r="EQ24" s="28" t="n"/>
      <x:c r="ER24" s="28" t="n"/>
      <x:c r="ES24" s="28" t="n"/>
      <x:c r="ET24" s="28" t="n"/>
      <x:c r="EU24" s="28" t="n"/>
      <x:c r="EV24" s="28" t="n"/>
      <x:c r="EW24" s="28" t="n"/>
      <x:c r="EX24" s="28" t="n"/>
      <x:c r="EY24" s="28" t="n"/>
      <x:c r="EZ24" s="28" t="n"/>
      <x:c r="FA24" s="28" t="n"/>
      <x:c r="FB24" s="28" t="n"/>
      <x:c r="FC24" s="28" t="n"/>
      <x:c r="FD24" s="28" t="n"/>
      <x:c r="FE24" s="28" t="n"/>
      <x:c r="FF24" s="28" t="n"/>
      <x:c r="FG24" s="28" t="n"/>
      <x:c r="FH24" s="28" t="n"/>
      <x:c r="FI24" s="28" t="n"/>
      <x:c r="FJ24" s="28" t="n"/>
      <x:c r="FK24" s="28" t="n"/>
      <x:c r="FL24" s="28" t="n"/>
      <x:c r="FM24" s="28" t="n"/>
      <x:c r="FN24" s="28" t="n"/>
      <x:c r="FO24" s="28" t="n"/>
      <x:c r="FP24" s="28" t="n"/>
      <x:c r="FQ24" s="28" t="n"/>
      <x:c r="FR24" s="28" t="n"/>
      <x:c r="FS24" s="28" t="n"/>
      <x:c r="FT24" s="28" t="n"/>
      <x:c r="FU24" s="28" t="n"/>
      <x:c r="FV24" s="28" t="n"/>
      <x:c r="FW24" s="28" t="n"/>
      <x:c r="FX24" s="28" t="n"/>
      <x:c r="FY24" s="28" t="n"/>
      <x:c r="FZ24" s="28" t="n"/>
      <x:c r="GA24" s="28" t="n"/>
    </x:row>
    <x:row r="25" s="27" customFormat="1">
      <x:c r="A25" s="125" t="n"/>
      <x:c r="B25" s="39" t="n"/>
      <x:c r="C25" s="86" t="n">
        <x:f>E25*D$5</x:f>
        <x:v>0</x:v>
      </x:c>
      <x:c r="D25" s="104" t="inlineStr">
        <x:is>
          <x:t xml:space="preserve">Robert O. Lister Jr.</x:t>
        </x:is>
      </x:c>
      <x:c r="E25" s="86" t="n">
        <x:f>SUM(G25:HT25)</x:f>
        <x:v>0</x:v>
      </x:c>
      <x:c r="F25" s="35" t="n"/>
      <x:c r="G25" s="121" t="n"/>
      <x:c r="H25" s="121" t="n"/>
      <x:c r="I25" s="121" t="n"/>
      <x:c r="J25" s="121" t="n"/>
      <x:c r="K25" s="121" t="n"/>
      <x:c r="L25" s="121" t="n"/>
      <x:c r="M25" s="121" t="n"/>
      <x:c r="N25" s="121" t="n"/>
      <x:c r="O25" s="121" t="n"/>
      <x:c r="P25" s="121" t="n"/>
      <x:c r="Q25" s="121" t="n"/>
      <x:c r="R25" s="124" t="n"/>
      <x:c r="S25" s="123" t="n"/>
      <x:c r="T25" s="121" t="n"/>
      <x:c r="U25" s="121" t="n"/>
      <x:c r="V25" s="129" t="n"/>
      <x:c r="W25" s="121" t="n"/>
      <x:c r="X25" s="121" t="n"/>
      <x:c r="Y25" s="121" t="n"/>
      <x:c r="Z25" s="121" t="n"/>
      <x:c r="AA25" s="121" t="n"/>
      <x:c r="AB25" s="121" t="n"/>
      <x:c r="AC25" s="121" t="n"/>
      <x:c r="AD25" s="121" t="n"/>
      <x:c r="AE25" s="123" t="n"/>
      <x:c r="AF25" s="123" t="n"/>
      <x:c r="AG25" s="123" t="n"/>
      <x:c r="AH25" s="123" t="n"/>
      <x:c r="AI25" s="123" t="n"/>
      <x:c r="AJ25" s="6" t="n"/>
      <x:c r="AK25" s="123" t="n"/>
      <x:c r="AL25" s="121" t="n"/>
      <x:c r="AM25" s="123" t="n"/>
      <x:c r="AN25" s="121" t="n"/>
      <x:c r="AO25" s="123" t="n"/>
      <x:c r="AP25" s="121" t="n"/>
      <x:c r="AQ25" s="121" t="n"/>
      <x:c r="AR25" s="28" t="n"/>
      <x:c r="AS25" s="28" t="n"/>
      <x:c r="AT25" s="28" t="n"/>
      <x:c r="AU25" s="28" t="n"/>
      <x:c r="AV25" s="28" t="n"/>
      <x:c r="AW25" s="28" t="n"/>
      <x:c r="AX25" s="28" t="n"/>
      <x:c r="AY25" s="28" t="n"/>
      <x:c r="AZ25" s="28" t="n"/>
      <x:c r="BA25" s="28" t="n"/>
      <x:c r="BB25" s="28" t="n"/>
      <x:c r="BC25" s="28" t="n"/>
      <x:c r="BD25" s="28" t="n"/>
      <x:c r="BE25" s="28" t="n"/>
      <x:c r="BF25" s="28" t="n"/>
      <x:c r="BG25" s="28" t="n"/>
      <x:c r="BH25" s="28" t="n"/>
      <x:c r="BI25" s="28" t="n"/>
      <x:c r="BJ25" s="28" t="n"/>
      <x:c r="BK25" s="28" t="n"/>
      <x:c r="BL25" s="28" t="n"/>
      <x:c r="BM25" s="28" t="n"/>
      <x:c r="BN25" s="28" t="n"/>
      <x:c r="BO25" s="28" t="n"/>
      <x:c r="BP25" s="28" t="n"/>
      <x:c r="BQ25" s="28" t="n"/>
      <x:c r="BR25" s="28" t="n"/>
      <x:c r="BS25" s="28" t="n"/>
      <x:c r="BT25" s="28" t="n"/>
      <x:c r="BU25" s="28" t="n"/>
      <x:c r="BV25" s="28" t="n"/>
      <x:c r="BW25" s="28" t="n"/>
      <x:c r="BX25" s="28" t="n"/>
      <x:c r="BY25" s="28" t="n"/>
      <x:c r="BZ25" s="28" t="n"/>
      <x:c r="CA25" s="28" t="n"/>
      <x:c r="CB25" s="28" t="n"/>
      <x:c r="CC25" s="28" t="n"/>
      <x:c r="CD25" s="28" t="n"/>
      <x:c r="CE25" s="28" t="n"/>
      <x:c r="CF25" s="28" t="n"/>
      <x:c r="CG25" s="28" t="n"/>
      <x:c r="CH25" s="28" t="n"/>
      <x:c r="CI25" s="28" t="n"/>
      <x:c r="CJ25" s="28" t="n"/>
      <x:c r="CK25" s="28" t="n"/>
      <x:c r="CL25" s="28" t="n"/>
      <x:c r="CM25" s="28" t="n"/>
      <x:c r="CN25" s="28" t="n"/>
      <x:c r="CO25" s="28" t="n"/>
      <x:c r="CP25" s="28" t="n"/>
      <x:c r="CQ25" s="28" t="n"/>
      <x:c r="CR25" s="28" t="n"/>
      <x:c r="CS25" s="28" t="n"/>
      <x:c r="CT25" s="28" t="n"/>
      <x:c r="CU25" s="28" t="n"/>
      <x:c r="CV25" s="28" t="n"/>
      <x:c r="CW25" s="28" t="n"/>
      <x:c r="CX25" s="28" t="n"/>
      <x:c r="CY25" s="28" t="n"/>
      <x:c r="CZ25" s="28" t="n"/>
      <x:c r="DA25" s="28" t="n"/>
      <x:c r="DB25" s="28" t="n"/>
      <x:c r="DC25" s="28" t="n"/>
      <x:c r="DD25" s="28" t="n"/>
      <x:c r="DE25" s="28" t="n"/>
      <x:c r="DF25" s="28" t="n"/>
      <x:c r="DG25" s="28" t="n"/>
      <x:c r="DH25" s="28" t="n"/>
      <x:c r="DI25" s="28" t="n"/>
      <x:c r="DJ25" s="28" t="n"/>
      <x:c r="DK25" s="28" t="n"/>
      <x:c r="DL25" s="28" t="n"/>
      <x:c r="DM25" s="28" t="n"/>
      <x:c r="DN25" s="28" t="n"/>
      <x:c r="DO25" s="28" t="n"/>
      <x:c r="DP25" s="28" t="n"/>
      <x:c r="DQ25" s="28" t="n"/>
      <x:c r="DR25" s="28" t="n"/>
      <x:c r="DS25" s="28" t="n"/>
      <x:c r="DT25" s="28" t="n"/>
      <x:c r="DU25" s="28" t="n"/>
      <x:c r="DV25" s="28" t="n"/>
      <x:c r="DW25" s="28" t="n"/>
      <x:c r="DX25" s="28" t="n"/>
      <x:c r="DY25" s="28" t="n"/>
      <x:c r="DZ25" s="28" t="n"/>
      <x:c r="EA25" s="28" t="n"/>
      <x:c r="EB25" s="28" t="n"/>
      <x:c r="EC25" s="28" t="n"/>
      <x:c r="ED25" s="28" t="n"/>
      <x:c r="EE25" s="28" t="n"/>
      <x:c r="EF25" s="28" t="n"/>
      <x:c r="EG25" s="28" t="n"/>
      <x:c r="EH25" s="28" t="n"/>
      <x:c r="EI25" s="28" t="n"/>
      <x:c r="EJ25" s="28" t="n"/>
      <x:c r="EK25" s="28" t="n"/>
      <x:c r="EL25" s="28" t="n"/>
      <x:c r="EM25" s="28" t="n"/>
      <x:c r="EN25" s="28" t="n"/>
      <x:c r="EO25" s="28" t="n"/>
      <x:c r="EP25" s="28" t="n"/>
      <x:c r="EQ25" s="28" t="n"/>
      <x:c r="ER25" s="28" t="n"/>
      <x:c r="ES25" s="28" t="n"/>
      <x:c r="ET25" s="28" t="n"/>
      <x:c r="EU25" s="28" t="n"/>
      <x:c r="EV25" s="28" t="n"/>
      <x:c r="EW25" s="28" t="n"/>
      <x:c r="EX25" s="28" t="n"/>
      <x:c r="EY25" s="28" t="n"/>
      <x:c r="EZ25" s="28" t="n"/>
      <x:c r="FA25" s="28" t="n"/>
      <x:c r="FB25" s="28" t="n"/>
      <x:c r="FC25" s="28" t="n"/>
      <x:c r="FD25" s="28" t="n"/>
      <x:c r="FE25" s="28" t="n"/>
      <x:c r="FF25" s="28" t="n"/>
      <x:c r="FG25" s="28" t="n"/>
      <x:c r="FH25" s="28" t="n"/>
      <x:c r="FI25" s="28" t="n"/>
      <x:c r="FJ25" s="28" t="n"/>
      <x:c r="FK25" s="28" t="n"/>
      <x:c r="FL25" s="28" t="n"/>
      <x:c r="FM25" s="28" t="n"/>
      <x:c r="FN25" s="28" t="n"/>
      <x:c r="FO25" s="28" t="n"/>
      <x:c r="FP25" s="28" t="n"/>
      <x:c r="FQ25" s="28" t="n"/>
      <x:c r="FR25" s="28" t="n"/>
      <x:c r="FS25" s="28" t="n"/>
      <x:c r="FT25" s="28" t="n"/>
      <x:c r="FU25" s="28" t="n"/>
      <x:c r="FV25" s="28" t="n"/>
      <x:c r="FW25" s="28" t="n"/>
      <x:c r="FX25" s="28" t="n"/>
      <x:c r="FY25" s="28" t="n"/>
      <x:c r="FZ25" s="28" t="n"/>
      <x:c r="GA25" s="28" t="n"/>
    </x:row>
    <x:row r="26" s="27" customFormat="1">
      <x:c r="A26" s="125" t="n"/>
      <x:c r="B26" s="39" t="n"/>
      <x:c r="C26" s="86" t="n">
        <x:f>E26*D$5</x:f>
        <x:v>0</x:v>
      </x:c>
      <x:c r="D26" s="104" t="inlineStr">
        <x:is>
          <x:t xml:space="preserve">Carrie Lou Mitchell</x:t>
        </x:is>
      </x:c>
      <x:c r="E26" s="86" t="n">
        <x:f>SUM(G26:HT26)</x:f>
        <x:v>0</x:v>
      </x:c>
      <x:c r="F26" s="35" t="n"/>
      <x:c r="G26" s="121" t="n"/>
      <x:c r="H26" s="121" t="n"/>
      <x:c r="I26" s="121" t="n"/>
      <x:c r="J26" s="121" t="n"/>
      <x:c r="K26" s="121" t="n"/>
      <x:c r="L26" s="121" t="n"/>
      <x:c r="M26" s="121" t="n"/>
      <x:c r="N26" s="121" t="n"/>
      <x:c r="O26" s="121" t="n"/>
      <x:c r="P26" s="121" t="n"/>
      <x:c r="Q26" s="121" t="n"/>
      <x:c r="R26" s="123" t="n"/>
      <x:c r="S26" s="123" t="n"/>
      <x:c r="T26" s="121" t="n"/>
      <x:c r="U26" s="121" t="n"/>
      <x:c r="V26" s="129" t="n"/>
      <x:c r="W26" s="121" t="n"/>
      <x:c r="X26" s="121" t="n"/>
      <x:c r="Y26" s="121" t="n"/>
      <x:c r="Z26" s="121" t="n"/>
      <x:c r="AA26" s="121" t="n"/>
      <x:c r="AB26" s="121" t="n"/>
      <x:c r="AC26" s="121" t="n"/>
      <x:c r="AD26" s="121" t="n"/>
      <x:c r="AE26" s="123" t="n"/>
      <x:c r="AF26" s="123" t="n"/>
      <x:c r="AG26" s="123" t="n"/>
      <x:c r="AH26" s="123" t="n"/>
      <x:c r="AI26" s="123" t="n"/>
      <x:c r="AJ26" s="5" t="n"/>
      <x:c r="AK26" s="123" t="n"/>
      <x:c r="AL26" s="121" t="n"/>
      <x:c r="AM26" s="123" t="n"/>
      <x:c r="AN26" s="122" t="n"/>
      <x:c r="AO26" s="123" t="n"/>
      <x:c r="AP26" s="121" t="n"/>
      <x:c r="AQ26" s="121" t="n"/>
      <x:c r="AR26" s="28" t="n"/>
      <x:c r="AS26" s="28" t="n"/>
      <x:c r="AT26" s="28" t="n"/>
      <x:c r="AU26" s="28" t="n"/>
      <x:c r="AV26" s="28" t="n"/>
      <x:c r="AW26" s="28" t="n"/>
      <x:c r="AX26" s="28" t="n"/>
      <x:c r="AY26" s="28" t="n"/>
      <x:c r="AZ26" s="28" t="n"/>
      <x:c r="BA26" s="28" t="n"/>
      <x:c r="BB26" s="28" t="n"/>
      <x:c r="BC26" s="28" t="n"/>
      <x:c r="BD26" s="28" t="n"/>
      <x:c r="BE26" s="28" t="n"/>
      <x:c r="BF26" s="28" t="n"/>
      <x:c r="BG26" s="28" t="n"/>
      <x:c r="BH26" s="28" t="n"/>
      <x:c r="BI26" s="28" t="n"/>
      <x:c r="BJ26" s="28" t="n"/>
      <x:c r="BK26" s="28" t="n"/>
      <x:c r="BL26" s="28" t="n"/>
      <x:c r="BM26" s="28" t="n"/>
      <x:c r="BN26" s="28" t="n"/>
      <x:c r="BO26" s="28" t="n"/>
      <x:c r="BP26" s="28" t="n"/>
      <x:c r="BQ26" s="28" t="n"/>
      <x:c r="BR26" s="28" t="n"/>
      <x:c r="BS26" s="28" t="n"/>
      <x:c r="BT26" s="28" t="n"/>
      <x:c r="BU26" s="28" t="n"/>
      <x:c r="BV26" s="28" t="n"/>
      <x:c r="BW26" s="28" t="n"/>
      <x:c r="BX26" s="28" t="n"/>
      <x:c r="BY26" s="28" t="n"/>
      <x:c r="BZ26" s="28" t="n"/>
      <x:c r="CA26" s="28" t="n"/>
      <x:c r="CB26" s="28" t="n"/>
      <x:c r="CC26" s="28" t="n"/>
      <x:c r="CD26" s="28" t="n"/>
      <x:c r="CE26" s="28" t="n"/>
      <x:c r="CF26" s="28" t="n"/>
      <x:c r="CG26" s="28" t="n"/>
      <x:c r="CH26" s="28" t="n"/>
      <x:c r="CI26" s="28" t="n"/>
      <x:c r="CJ26" s="28" t="n"/>
      <x:c r="CK26" s="28" t="n"/>
      <x:c r="CL26" s="28" t="n"/>
      <x:c r="CM26" s="28" t="n"/>
      <x:c r="CN26" s="28" t="n"/>
      <x:c r="CO26" s="28" t="n"/>
      <x:c r="CP26" s="28" t="n"/>
      <x:c r="CQ26" s="28" t="n"/>
      <x:c r="CR26" s="28" t="n"/>
      <x:c r="CS26" s="28" t="n"/>
      <x:c r="CT26" s="28" t="n"/>
      <x:c r="CU26" s="28" t="n"/>
      <x:c r="CV26" s="28" t="n"/>
      <x:c r="CW26" s="28" t="n"/>
      <x:c r="CX26" s="28" t="n"/>
      <x:c r="CY26" s="28" t="n"/>
      <x:c r="CZ26" s="28" t="n"/>
      <x:c r="DA26" s="28" t="n"/>
      <x:c r="DB26" s="28" t="n"/>
      <x:c r="DC26" s="28" t="n"/>
      <x:c r="DD26" s="28" t="n"/>
      <x:c r="DE26" s="28" t="n"/>
      <x:c r="DF26" s="28" t="n"/>
      <x:c r="DG26" s="28" t="n"/>
      <x:c r="DH26" s="28" t="n"/>
      <x:c r="DI26" s="28" t="n"/>
      <x:c r="DJ26" s="28" t="n"/>
      <x:c r="DK26" s="28" t="n"/>
      <x:c r="DL26" s="28" t="n"/>
      <x:c r="DM26" s="28" t="n"/>
      <x:c r="DN26" s="28" t="n"/>
      <x:c r="DO26" s="28" t="n"/>
      <x:c r="DP26" s="28" t="n"/>
      <x:c r="DQ26" s="28" t="n"/>
      <x:c r="DR26" s="28" t="n"/>
      <x:c r="DS26" s="28" t="n"/>
      <x:c r="DT26" s="28" t="n"/>
      <x:c r="DU26" s="28" t="n"/>
      <x:c r="DV26" s="28" t="n"/>
      <x:c r="DW26" s="28" t="n"/>
      <x:c r="DX26" s="28" t="n"/>
      <x:c r="DY26" s="28" t="n"/>
      <x:c r="DZ26" s="28" t="n"/>
      <x:c r="EA26" s="28" t="n"/>
      <x:c r="EB26" s="28" t="n"/>
      <x:c r="EC26" s="28" t="n"/>
      <x:c r="ED26" s="28" t="n"/>
      <x:c r="EE26" s="28" t="n"/>
      <x:c r="EF26" s="28" t="n"/>
      <x:c r="EG26" s="28" t="n"/>
      <x:c r="EH26" s="28" t="n"/>
      <x:c r="EI26" s="28" t="n"/>
      <x:c r="EJ26" s="28" t="n"/>
      <x:c r="EK26" s="28" t="n"/>
      <x:c r="EL26" s="28" t="n"/>
      <x:c r="EM26" s="28" t="n"/>
      <x:c r="EN26" s="28" t="n"/>
      <x:c r="EO26" s="28" t="n"/>
      <x:c r="EP26" s="28" t="n"/>
      <x:c r="EQ26" s="28" t="n"/>
      <x:c r="ER26" s="28" t="n"/>
      <x:c r="ES26" s="28" t="n"/>
      <x:c r="ET26" s="28" t="n"/>
      <x:c r="EU26" s="28" t="n"/>
      <x:c r="EV26" s="28" t="n"/>
      <x:c r="EW26" s="28" t="n"/>
      <x:c r="EX26" s="28" t="n"/>
      <x:c r="EY26" s="28" t="n"/>
      <x:c r="EZ26" s="28" t="n"/>
      <x:c r="FA26" s="28" t="n"/>
      <x:c r="FB26" s="28" t="n"/>
      <x:c r="FC26" s="28" t="n"/>
      <x:c r="FD26" s="28" t="n"/>
      <x:c r="FE26" s="28" t="n"/>
      <x:c r="FF26" s="28" t="n"/>
      <x:c r="FG26" s="28" t="n"/>
      <x:c r="FH26" s="28" t="n"/>
      <x:c r="FI26" s="28" t="n"/>
      <x:c r="FJ26" s="28" t="n"/>
      <x:c r="FK26" s="28" t="n"/>
      <x:c r="FL26" s="28" t="n"/>
      <x:c r="FM26" s="28" t="n"/>
      <x:c r="FN26" s="28" t="n"/>
      <x:c r="FO26" s="28" t="n"/>
      <x:c r="FP26" s="28" t="n"/>
      <x:c r="FQ26" s="28" t="n"/>
      <x:c r="FR26" s="28" t="n"/>
      <x:c r="FS26" s="28" t="n"/>
      <x:c r="FT26" s="28" t="n"/>
      <x:c r="FU26" s="28" t="n"/>
      <x:c r="FV26" s="28" t="n"/>
      <x:c r="FW26" s="28" t="n"/>
      <x:c r="FX26" s="28" t="n"/>
      <x:c r="FY26" s="28" t="n"/>
      <x:c r="FZ26" s="28" t="n"/>
      <x:c r="GA26" s="28" t="n"/>
    </x:row>
    <x:row r="27" s="27" customFormat="1">
      <x:c r="A27" s="125" t="n"/>
      <x:c r="B27" s="39" t="n"/>
      <x:c r="C27" s="36" t="n">
        <x:f>E27*D$5</x:f>
        <x:v>0</x:v>
      </x:c>
      <x:c r="D27" s="523" t="inlineStr">
        <x:is>
          <x:t xml:space="preserve">A. C. Campbell</x:t>
        </x:is>
      </x:c>
      <x:c r="E27" s="36" t="n">
        <x:f>SUM(G27:HT27)</x:f>
        <x:v>0</x:v>
      </x:c>
      <x:c r="F27" s="35" t="n"/>
      <x:c r="G27" s="121" t="n"/>
      <x:c r="H27" s="121" t="n"/>
      <x:c r="I27" s="121" t="n"/>
      <x:c r="J27" s="121" t="n"/>
      <x:c r="K27" s="121" t="n"/>
      <x:c r="L27" s="121" t="n"/>
      <x:c r="M27" s="121" t="n"/>
      <x:c r="N27" s="6" t="n"/>
      <x:c r="O27" s="121" t="n"/>
      <x:c r="P27" s="121" t="n"/>
      <x:c r="Q27" s="121" t="n"/>
      <x:c r="R27" s="123" t="n"/>
      <x:c r="S27" s="123" t="n"/>
      <x:c r="T27" s="121" t="n"/>
      <x:c r="U27" s="121" t="n"/>
      <x:c r="V27" s="121" t="n"/>
      <x:c r="W27" s="129" t="n"/>
      <x:c r="X27" s="121" t="n"/>
      <x:c r="Y27" s="121" t="n"/>
      <x:c r="Z27" s="121" t="n"/>
      <x:c r="AA27" s="121" t="n"/>
      <x:c r="AB27" s="121" t="n"/>
      <x:c r="AC27" s="121" t="n"/>
      <x:c r="AD27" s="121" t="n"/>
      <x:c r="AE27" s="123" t="n"/>
      <x:c r="AF27" s="123" t="n"/>
      <x:c r="AG27" s="123" t="n"/>
      <x:c r="AH27" s="123" t="n"/>
      <x:c r="AI27" s="123" t="n"/>
      <x:c r="AJ27" s="5" t="n"/>
      <x:c r="AK27" s="123" t="n"/>
      <x:c r="AL27" s="121" t="n"/>
      <x:c r="AM27" s="123" t="n"/>
      <x:c r="AN27" s="121" t="n"/>
      <x:c r="AO27" s="123" t="n"/>
      <x:c r="AP27" s="121" t="n"/>
      <x:c r="AQ27" s="121" t="n"/>
      <x:c r="AR27" s="28" t="n"/>
      <x:c r="AS27" s="28" t="n"/>
      <x:c r="AT27" s="28" t="n"/>
    </x:row>
    <x:row r="28" s="27" customFormat="1">
      <x:c r="A28" s="125" t="n"/>
      <x:c r="B28" s="39" t="n"/>
      <x:c r="C28" s="36" t="n">
        <x:f>E28*D$5</x:f>
        <x:v>0</x:v>
      </x:c>
      <x:c r="D28" s="4" t="inlineStr">
        <x:is>
          <x:t xml:space="preserve">J. W. Klopfenstein</x:t>
        </x:is>
      </x:c>
      <x:c r="E28" s="36" t="n">
        <x:f>SUM(G28:HT28)</x:f>
        <x:v>0</x:v>
      </x:c>
      <x:c r="F28" s="35" t="n"/>
      <x:c r="G28" s="121" t="n"/>
      <x:c r="H28" s="121" t="n"/>
      <x:c r="I28" s="121" t="n"/>
      <x:c r="J28" s="121" t="n"/>
      <x:c r="K28" s="121" t="n"/>
      <x:c r="L28" s="121" t="n"/>
      <x:c r="M28" s="121" t="n"/>
      <x:c r="N28" s="5" t="n"/>
      <x:c r="O28" s="121" t="n"/>
      <x:c r="P28" s="121" t="n"/>
      <x:c r="Q28" s="121" t="n"/>
      <x:c r="R28" s="123" t="n"/>
      <x:c r="S28" s="123" t="n"/>
      <x:c r="T28" s="121" t="n"/>
      <x:c r="U28" s="121" t="n"/>
      <x:c r="V28" s="121" t="n"/>
      <x:c r="W28" s="129" t="n"/>
      <x:c r="X28" s="121" t="n"/>
      <x:c r="Y28" s="121" t="n"/>
      <x:c r="Z28" s="121" t="n"/>
      <x:c r="AA28" s="121" t="n"/>
      <x:c r="AB28" s="121" t="n"/>
      <x:c r="AC28" s="121" t="n"/>
      <x:c r="AD28" s="121" t="n"/>
      <x:c r="AE28" s="123" t="n"/>
      <x:c r="AF28" s="123" t="n"/>
      <x:c r="AG28" s="123" t="n"/>
      <x:c r="AH28" s="123" t="n"/>
      <x:c r="AI28" s="123" t="n"/>
      <x:c r="AJ28" s="5" t="n"/>
      <x:c r="AK28" s="123" t="n"/>
      <x:c r="AL28" s="121" t="n"/>
      <x:c r="AM28" s="123" t="n"/>
      <x:c r="AN28" s="121" t="n"/>
      <x:c r="AO28" s="123" t="n"/>
      <x:c r="AP28" s="121" t="n"/>
      <x:c r="AQ28" s="121" t="n"/>
      <x:c r="AR28" s="28" t="n"/>
      <x:c r="AS28" s="28" t="n"/>
      <x:c r="AT28" s="28" t="n"/>
    </x:row>
    <x:row r="29" s="27" customFormat="1">
      <x:c r="A29" s="125" t="n"/>
      <x:c r="B29" s="39" t="n"/>
      <x:c r="C29" s="86" t="n">
        <x:f>E29*D$5</x:f>
        <x:v>0</x:v>
      </x:c>
      <x:c r="D29" s="4" t="inlineStr">
        <x:is>
          <x:t xml:space="preserve">Marvin Mitchell Williams</x:t>
        </x:is>
      </x:c>
      <x:c r="E29" s="86" t="n">
        <x:f>SUM(G29:HT29)</x:f>
        <x:v>0</x:v>
      </x:c>
      <x:c r="F29" s="35" t="n"/>
      <x:c r="G29" s="121" t="n"/>
      <x:c r="H29" s="121" t="n"/>
      <x:c r="I29" s="121" t="n"/>
      <x:c r="J29" s="121" t="n"/>
      <x:c r="K29" s="121" t="n"/>
      <x:c r="L29" s="121" t="n"/>
      <x:c r="M29" s="121" t="n"/>
      <x:c r="N29" s="5" t="n"/>
      <x:c r="O29" s="121" t="n"/>
      <x:c r="P29" s="121" t="n"/>
      <x:c r="Q29" s="121" t="n"/>
      <x:c r="R29" s="123" t="n"/>
      <x:c r="S29" s="123" t="n"/>
      <x:c r="T29" s="121" t="n"/>
      <x:c r="U29" s="121" t="n"/>
      <x:c r="V29" s="121" t="n"/>
      <x:c r="W29" s="129" t="n"/>
      <x:c r="X29" s="121" t="n"/>
      <x:c r="Y29" s="121" t="n"/>
      <x:c r="Z29" s="121" t="n"/>
      <x:c r="AA29" s="121" t="n"/>
      <x:c r="AB29" s="121" t="n"/>
      <x:c r="AC29" s="121" t="n"/>
      <x:c r="AD29" s="121" t="n"/>
      <x:c r="AE29" s="123" t="n"/>
      <x:c r="AF29" s="123" t="n"/>
      <x:c r="AG29" s="123" t="n"/>
      <x:c r="AH29" s="123" t="n"/>
      <x:c r="AI29" s="123" t="n"/>
      <x:c r="AJ29" s="5" t="n"/>
      <x:c r="AK29" s="123" t="n"/>
      <x:c r="AL29" s="121" t="n"/>
      <x:c r="AM29" s="123" t="n"/>
      <x:c r="AN29" s="121" t="n"/>
      <x:c r="AO29" s="123" t="n"/>
      <x:c r="AP29" s="121" t="n"/>
      <x:c r="AQ29" s="121" t="n"/>
      <x:c r="AR29" s="28" t="n"/>
      <x:c r="AS29" s="28" t="n"/>
      <x:c r="AT29" s="28" t="n"/>
    </x:row>
    <x:row r="30" s="27" customFormat="1" ht="24" customHeight="1">
      <x:c r="A30" s="125" t="n"/>
      <x:c r="B30" s="39" t="n"/>
      <x:c r="C30" s="36" t="n">
        <x:f>E30*D$5</x:f>
        <x:v>0</x:v>
      </x:c>
      <x:c r="D30" s="103" t="inlineStr">
        <x:is>
          <x:t xml:space="preserve">Kiowa County Court, RE: In the Matter of the Estate of Carrie Lou Mitchell, Deceased</x:t>
        </x:is>
      </x:c>
      <x:c r="E30" s="36" t="n">
        <x:f>SUM(G30:HT30)</x:f>
        <x:v>0</x:v>
      </x:c>
      <x:c r="F30" s="35" t="n"/>
      <x:c r="G30" s="121" t="n"/>
      <x:c r="H30" s="121" t="n"/>
      <x:c r="I30" s="121" t="n"/>
      <x:c r="J30" s="121" t="n"/>
      <x:c r="K30" s="121" t="n"/>
      <x:c r="L30" s="121" t="n"/>
      <x:c r="M30" s="121" t="n"/>
      <x:c r="N30" s="117" t="n"/>
      <x:c r="O30" s="121" t="n"/>
      <x:c r="P30" s="121" t="n"/>
      <x:c r="Q30" s="121" t="n"/>
      <x:c r="R30" s="123" t="n"/>
      <x:c r="S30" s="123" t="n"/>
      <x:c r="T30" s="121" t="n"/>
      <x:c r="U30" s="121" t="n"/>
      <x:c r="V30" s="121" t="n"/>
      <x:c r="W30" s="121" t="n"/>
      <x:c r="X30" s="129" t="n"/>
      <x:c r="Y30" s="129" t="n"/>
      <x:c r="Z30" s="129" t="n"/>
      <x:c r="AA30" s="129" t="n"/>
      <x:c r="AB30" s="129" t="n"/>
      <x:c r="AC30" s="121" t="n"/>
      <x:c r="AD30" s="121" t="n"/>
      <x:c r="AE30" s="123" t="n"/>
      <x:c r="AF30" s="123" t="n"/>
      <x:c r="AG30" s="123" t="n"/>
      <x:c r="AH30" s="123" t="n"/>
      <x:c r="AI30" s="123" t="n"/>
      <x:c r="AJ30" s="118" t="n"/>
      <x:c r="AK30" s="123" t="n"/>
      <x:c r="AL30" s="121" t="n"/>
      <x:c r="AM30" s="123" t="n"/>
      <x:c r="AN30" s="121" t="n"/>
      <x:c r="AO30" s="123" t="n"/>
      <x:c r="AP30" s="121" t="n"/>
      <x:c r="AQ30" s="121" t="n"/>
      <x:c r="AR30" s="28" t="n"/>
      <x:c r="AS30" s="28" t="n"/>
      <x:c r="AT30" s="28" t="n"/>
    </x:row>
    <x:row r="31" s="27" customFormat="1">
      <x:c r="A31" s="125" t="n"/>
      <x:c r="B31" s="39" t="n"/>
      <x:c r="C31" s="86" t="n">
        <x:f>E31*D$5</x:f>
        <x:v>0</x:v>
      </x:c>
      <x:c r="D31" s="103" t="inlineStr">
        <x:is>
          <x:t xml:space="preserve">Gena Williams</x:t>
        </x:is>
      </x:c>
      <x:c r="E31" s="86" t="n">
        <x:f>SUM(G31:HT31)</x:f>
        <x:v>0</x:v>
      </x:c>
      <x:c r="F31" s="35" t="n"/>
      <x:c r="G31" s="121" t="n"/>
      <x:c r="H31" s="121" t="n"/>
      <x:c r="I31" s="121" t="n"/>
      <x:c r="J31" s="121" t="n"/>
      <x:c r="K31" s="121" t="n"/>
      <x:c r="L31" s="121" t="n"/>
      <x:c r="M31" s="121" t="n"/>
      <x:c r="N31" s="117" t="n"/>
      <x:c r="O31" s="121" t="n"/>
      <x:c r="P31" s="121" t="n"/>
      <x:c r="Q31" s="121" t="n"/>
      <x:c r="R31" s="123" t="n"/>
      <x:c r="S31" s="123" t="n"/>
      <x:c r="T31" s="121" t="n"/>
      <x:c r="U31" s="121" t="n"/>
      <x:c r="V31" s="121" t="n"/>
      <x:c r="W31" s="121" t="n"/>
      <x:c r="X31" s="129" t="n"/>
      <x:c r="Y31" s="129" t="n"/>
      <x:c r="Z31" s="121" t="n"/>
      <x:c r="AA31" s="121" t="n"/>
      <x:c r="AB31" s="121" t="n"/>
      <x:c r="AC31" s="121" t="n"/>
      <x:c r="AD31" s="121" t="n"/>
      <x:c r="AE31" s="123" t="n"/>
      <x:c r="AF31" s="123" t="n"/>
      <x:c r="AG31" s="123" t="n"/>
      <x:c r="AH31" s="123" t="n"/>
      <x:c r="AI31" s="123" t="n"/>
      <x:c r="AJ31" s="118" t="n"/>
      <x:c r="AK31" s="123" t="n"/>
      <x:c r="AL31" s="121" t="n"/>
      <x:c r="AM31" s="123" t="n"/>
      <x:c r="AN31" s="121" t="n"/>
      <x:c r="AO31" s="123" t="n"/>
      <x:c r="AP31" s="121" t="n"/>
      <x:c r="AQ31" s="121" t="n"/>
      <x:c r="AR31" s="28" t="n"/>
      <x:c r="AS31" s="28" t="n"/>
      <x:c r="AT31" s="28" t="n"/>
    </x:row>
    <x:row r="32" s="27" customFormat="1">
      <x:c r="A32" s="125" t="n"/>
      <x:c r="B32" s="39" t="n"/>
      <x:c r="C32" s="86" t="n">
        <x:f>E32*D$5</x:f>
        <x:v>0</x:v>
      </x:c>
      <x:c r="D32" s="103" t="inlineStr">
        <x:is>
          <x:t xml:space="preserve">Carrie Leeann Williams</x:t>
        </x:is>
      </x:c>
      <x:c r="E32" s="86" t="n">
        <x:f>SUM(G32:HT32)</x:f>
        <x:v>0</x:v>
      </x:c>
      <x:c r="F32" s="35" t="n"/>
      <x:c r="G32" s="121" t="n"/>
      <x:c r="H32" s="121" t="n"/>
      <x:c r="I32" s="121" t="n"/>
      <x:c r="J32" s="121" t="n"/>
      <x:c r="K32" s="121" t="n"/>
      <x:c r="L32" s="121" t="n"/>
      <x:c r="M32" s="121" t="n"/>
      <x:c r="N32" s="117" t="n"/>
      <x:c r="O32" s="121" t="n"/>
      <x:c r="P32" s="121" t="n"/>
      <x:c r="Q32" s="121" t="n"/>
      <x:c r="R32" s="123" t="n"/>
      <x:c r="S32" s="123" t="n"/>
      <x:c r="T32" s="121" t="n"/>
      <x:c r="U32" s="121" t="n"/>
      <x:c r="V32" s="121" t="n"/>
      <x:c r="W32" s="121" t="n"/>
      <x:c r="X32" s="129" t="n"/>
      <x:c r="Y32" s="121" t="n"/>
      <x:c r="Z32" s="129" t="n"/>
      <x:c r="AA32" s="121" t="n"/>
      <x:c r="AB32" s="121" t="n"/>
      <x:c r="AC32" s="121" t="n"/>
      <x:c r="AD32" s="121" t="n"/>
      <x:c r="AE32" s="123" t="n"/>
      <x:c r="AF32" s="123" t="n"/>
      <x:c r="AG32" s="123" t="n"/>
      <x:c r="AH32" s="123" t="n"/>
      <x:c r="AI32" s="123" t="n"/>
      <x:c r="AJ32" s="118" t="n"/>
      <x:c r="AK32" s="123" t="n"/>
      <x:c r="AL32" s="121" t="n"/>
      <x:c r="AM32" s="123" t="n"/>
      <x:c r="AN32" s="121" t="n"/>
      <x:c r="AO32" s="123" t="n"/>
      <x:c r="AP32" s="121" t="n"/>
      <x:c r="AQ32" s="121" t="n"/>
      <x:c r="AR32" s="28" t="n"/>
      <x:c r="AS32" s="28" t="n"/>
      <x:c r="AT32" s="28" t="n"/>
    </x:row>
    <x:row r="33" s="27" customFormat="1">
      <x:c r="A33" s="125" t="n"/>
      <x:c r="B33" s="39" t="n"/>
      <x:c r="C33" s="36" t="n">
        <x:f>E33*D$5</x:f>
        <x:v>0</x:v>
      </x:c>
      <x:c r="D33" s="103" t="inlineStr">
        <x:is>
          <x:t xml:space="preserve">Nancy Susan Mitchell</x:t>
        </x:is>
      </x:c>
      <x:c r="E33" s="36" t="n">
        <x:f>SUM(G33:HT33)</x:f>
        <x:v>0</x:v>
      </x:c>
      <x:c r="F33" s="35" t="n"/>
      <x:c r="G33" s="121" t="n"/>
      <x:c r="H33" s="121" t="n"/>
      <x:c r="I33" s="121" t="n"/>
      <x:c r="J33" s="121" t="n"/>
      <x:c r="K33" s="121" t="n"/>
      <x:c r="L33" s="121" t="n"/>
      <x:c r="M33" s="121" t="n"/>
      <x:c r="N33" s="121" t="n"/>
      <x:c r="O33" s="121" t="n"/>
      <x:c r="P33" s="121" t="n"/>
      <x:c r="Q33" s="121" t="n"/>
      <x:c r="R33" s="123" t="n"/>
      <x:c r="S33" s="123" t="n"/>
      <x:c r="T33" s="121" t="n"/>
      <x:c r="U33" s="121" t="n"/>
      <x:c r="V33" s="121" t="n"/>
      <x:c r="W33" s="121" t="n"/>
      <x:c r="X33" s="129" t="n"/>
      <x:c r="Y33" s="121" t="n"/>
      <x:c r="Z33" s="121" t="n"/>
      <x:c r="AA33" s="129" t="n"/>
      <x:c r="AB33" s="121" t="n"/>
      <x:c r="AC33" s="121" t="n"/>
      <x:c r="AD33" s="121" t="n"/>
      <x:c r="AE33" s="123" t="n"/>
      <x:c r="AF33" s="123" t="n"/>
      <x:c r="AG33" s="123" t="n"/>
      <x:c r="AH33" s="123" t="n"/>
      <x:c r="AI33" s="123" t="n"/>
      <x:c r="AJ33" s="123" t="n"/>
      <x:c r="AK33" s="123" t="n"/>
      <x:c r="AL33" s="121" t="n"/>
      <x:c r="AM33" s="123" t="n"/>
      <x:c r="AN33" s="121" t="n"/>
      <x:c r="AO33" s="123" t="n"/>
      <x:c r="AP33" s="121" t="n"/>
      <x:c r="AQ33" s="121" t="n"/>
      <x:c r="AR33" s="28" t="n"/>
      <x:c r="AS33" s="28" t="n"/>
      <x:c r="AT33" s="28" t="n"/>
    </x:row>
    <x:row r="34" s="27" customFormat="1" ht="24" customHeight="1">
      <x:c r="A34" s="125" t="n"/>
      <x:c r="B34" s="39" t="n"/>
      <x:c r="C34" s="36" t="n">
        <x:f>E34*D$5</x:f>
        <x:v>0</x:v>
      </x:c>
      <x:c r="D34" s="103" t="inlineStr">
        <x:is>
          <x:t xml:space="preserve">Beckham County Court, RE: In the Matter of the Estate of Lillie Campbell, Deceased</x:t>
        </x:is>
      </x:c>
      <x:c r="E34" s="36" t="n">
        <x:f>SUM(G34:HT34)</x:f>
        <x:v>0</x:v>
      </x:c>
      <x:c r="F34" s="35" t="n"/>
      <x:c r="G34" s="121" t="n"/>
      <x:c r="H34" s="121" t="n"/>
      <x:c r="I34" s="121" t="n"/>
      <x:c r="J34" s="121" t="n"/>
      <x:c r="K34" s="121" t="n"/>
      <x:c r="L34" s="121" t="n"/>
      <x:c r="M34" s="121" t="n"/>
      <x:c r="N34" s="121" t="n"/>
      <x:c r="O34" s="121" t="n"/>
      <x:c r="P34" s="121" t="n"/>
      <x:c r="Q34" s="121" t="n"/>
      <x:c r="R34" s="123" t="n"/>
      <x:c r="S34" s="123" t="n"/>
      <x:c r="T34" s="121" t="n"/>
      <x:c r="U34" s="121" t="n"/>
      <x:c r="V34" s="121" t="n"/>
      <x:c r="W34" s="121" t="n"/>
      <x:c r="X34" s="129" t="n"/>
      <x:c r="Y34" s="121" t="n"/>
      <x:c r="Z34" s="121" t="n"/>
      <x:c r="AA34" s="121" t="n"/>
      <x:c r="AB34" s="129" t="n"/>
      <x:c r="AC34" s="121" t="n"/>
      <x:c r="AD34" s="121" t="n"/>
      <x:c r="AE34" s="121" t="n"/>
      <x:c r="AF34" s="123" t="n"/>
      <x:c r="AG34" s="123" t="n"/>
      <x:c r="AH34" s="123" t="n"/>
      <x:c r="AI34" s="123" t="n"/>
      <x:c r="AJ34" s="123" t="n"/>
      <x:c r="AK34" s="123" t="n"/>
      <x:c r="AL34" s="121" t="n"/>
      <x:c r="AM34" s="123" t="n"/>
      <x:c r="AN34" s="121" t="n"/>
      <x:c r="AO34" s="123" t="n"/>
      <x:c r="AP34" s="121" t="n"/>
      <x:c r="AQ34" s="121" t="n"/>
      <x:c r="AR34" s="28" t="n"/>
      <x:c r="AS34" s="28" t="n"/>
      <x:c r="AT34" s="28" t="n"/>
    </x:row>
    <x:row r="35" s="27" customFormat="1">
      <x:c r="A35" s="125" t="n"/>
      <x:c r="B35" s="39" t="n"/>
      <x:c r="C35" s="36" t="n">
        <x:f>E35*D$5</x:f>
        <x:v>0</x:v>
      </x:c>
      <x:c r="D35" s="103" t="inlineStr">
        <x:is>
          <x:t xml:space="preserve">Virgil Hambrook</x:t>
        </x:is>
      </x:c>
      <x:c r="E35" s="36" t="n">
        <x:f>SUM(G35:HT35)</x:f>
        <x:v>0</x:v>
      </x:c>
      <x:c r="F35" s="35" t="n"/>
      <x:c r="G35" s="121" t="n"/>
      <x:c r="H35" s="121" t="n"/>
      <x:c r="I35" s="121" t="n"/>
      <x:c r="J35" s="121" t="n"/>
      <x:c r="K35" s="121" t="n"/>
      <x:c r="L35" s="121" t="n"/>
      <x:c r="M35" s="121" t="n"/>
      <x:c r="N35" s="121" t="n"/>
      <x:c r="O35" s="121" t="n"/>
      <x:c r="P35" s="121" t="n"/>
      <x:c r="Q35" s="121" t="n"/>
      <x:c r="R35" s="123" t="n"/>
      <x:c r="S35" s="123" t="n"/>
      <x:c r="T35" s="121" t="n"/>
      <x:c r="U35" s="121" t="n"/>
      <x:c r="V35" s="121" t="n"/>
      <x:c r="W35" s="121" t="n"/>
      <x:c r="X35" s="129" t="n"/>
      <x:c r="Y35" s="121" t="n"/>
      <x:c r="Z35" s="121" t="n"/>
      <x:c r="AA35" s="121" t="n"/>
      <x:c r="AB35" s="121" t="n"/>
      <x:c r="AC35" s="121" t="n"/>
      <x:c r="AD35" s="121" t="n"/>
      <x:c r="AE35" s="121" t="n"/>
      <x:c r="AF35" s="123" t="n"/>
      <x:c r="AG35" s="123" t="n"/>
      <x:c r="AH35" s="123" t="n"/>
      <x:c r="AI35" s="123" t="n"/>
      <x:c r="AJ35" s="123" t="n"/>
      <x:c r="AK35" s="123" t="n"/>
      <x:c r="AL35" s="121" t="n"/>
      <x:c r="AM35" s="121" t="n"/>
      <x:c r="AN35" s="121" t="n"/>
      <x:c r="AO35" s="123" t="n"/>
      <x:c r="AP35" s="121" t="n"/>
      <x:c r="AQ35" s="121" t="n"/>
      <x:c r="AR35" s="28" t="n"/>
      <x:c r="AS35" s="28" t="n"/>
      <x:c r="AT35" s="28" t="n"/>
    </x:row>
    <x:row r="36" s="27" customFormat="1">
      <x:c r="A36" s="125" t="n"/>
      <x:c r="B36" s="39" t="n"/>
      <x:c r="C36" s="36" t="n">
        <x:f>E36*D$5</x:f>
        <x:v>0</x:v>
      </x:c>
      <x:c r="D36" s="103" t="inlineStr">
        <x:is>
          <x:t xml:space="preserve">Letty Atha</x:t>
        </x:is>
      </x:c>
      <x:c r="E36" s="36" t="n">
        <x:f>SUM(G36:HT36)</x:f>
        <x:v>0</x:v>
      </x:c>
      <x:c r="F36" s="35" t="n"/>
      <x:c r="G36" s="121" t="n"/>
      <x:c r="H36" s="121" t="n"/>
      <x:c r="I36" s="121" t="n"/>
      <x:c r="J36" s="121" t="n"/>
      <x:c r="K36" s="121" t="n"/>
      <x:c r="L36" s="121" t="n"/>
      <x:c r="M36" s="121" t="n"/>
      <x:c r="N36" s="121" t="n"/>
      <x:c r="O36" s="121" t="n"/>
      <x:c r="P36" s="121" t="n"/>
      <x:c r="Q36" s="121" t="n"/>
      <x:c r="R36" s="123" t="n"/>
      <x:c r="S36" s="123" t="n"/>
      <x:c r="T36" s="121" t="n"/>
      <x:c r="U36" s="121" t="n"/>
      <x:c r="V36" s="121" t="n"/>
      <x:c r="W36" s="121" t="n"/>
      <x:c r="X36" s="121" t="n"/>
      <x:c r="Y36" s="121" t="n"/>
      <x:c r="Z36" s="121" t="n"/>
      <x:c r="AA36" s="121" t="n"/>
      <x:c r="AB36" s="121" t="n"/>
      <x:c r="AC36" s="121" t="n"/>
      <x:c r="AD36" s="121" t="n"/>
      <x:c r="AE36" s="121" t="n"/>
      <x:c r="AF36" s="123" t="n"/>
      <x:c r="AG36" s="124" t="n"/>
      <x:c r="AH36" s="123" t="n"/>
      <x:c r="AI36" s="123" t="n"/>
      <x:c r="AJ36" s="123" t="n"/>
      <x:c r="AK36" s="123" t="n"/>
      <x:c r="AL36" s="121" t="n"/>
      <x:c r="AM36" s="123" t="n"/>
      <x:c r="AN36" s="121" t="n"/>
      <x:c r="AO36" s="124" t="n"/>
      <x:c r="AP36" s="121" t="n"/>
      <x:c r="AQ36" s="121" t="n"/>
      <x:c r="AR36" s="28" t="n"/>
      <x:c r="AS36" s="28" t="n"/>
      <x:c r="AT36" s="28" t="n"/>
    </x:row>
    <x:row r="37" s="27" customFormat="1">
      <x:c r="A37" s="125" t="n"/>
      <x:c r="B37" s="39" t="n"/>
      <x:c r="C37" s="86" t="n">
        <x:f>E37*D$5</x:f>
        <x:v>0</x:v>
      </x:c>
      <x:c r="D37" s="103" t="inlineStr">
        <x:is>
          <x:t xml:space="preserve">Charles O. Burckhalter</x:t>
        </x:is>
      </x:c>
      <x:c r="E37" s="86" t="n">
        <x:f>SUM(G37:HY37)</x:f>
        <x:v>0</x:v>
      </x:c>
      <x:c r="F37" s="35" t="n"/>
      <x:c r="G37" s="121" t="n"/>
      <x:c r="H37" s="121" t="n"/>
      <x:c r="I37" s="122" t="n"/>
      <x:c r="J37" s="121" t="n"/>
      <x:c r="K37" s="122" t="n"/>
      <x:c r="L37" s="122" t="n"/>
      <x:c r="M37" s="123" t="n"/>
      <x:c r="N37" s="123" t="n"/>
      <x:c r="O37" s="123" t="n"/>
      <x:c r="P37" s="123" t="n"/>
      <x:c r="Q37" s="123" t="n"/>
      <x:c r="R37" s="123" t="n"/>
      <x:c r="S37" s="123" t="n"/>
      <x:c r="T37" s="123" t="n"/>
      <x:c r="U37" s="123" t="n"/>
      <x:c r="V37" s="123" t="n"/>
      <x:c r="W37" s="123" t="n"/>
      <x:c r="X37" s="123" t="n"/>
      <x:c r="Y37" s="123" t="n"/>
      <x:c r="Z37" s="121" t="n"/>
      <x:c r="AA37" s="123" t="n"/>
      <x:c r="AB37" s="123" t="n"/>
      <x:c r="AC37" s="123" t="n"/>
      <x:c r="AD37" s="123" t="n"/>
      <x:c r="AE37" s="121" t="n"/>
      <x:c r="AF37" s="123" t="n"/>
      <x:c r="AG37" s="124" t="n"/>
      <x:c r="AH37" s="124" t="n"/>
      <x:c r="AI37" s="124" t="n"/>
      <x:c r="AJ37" s="123" t="n"/>
      <x:c r="AK37" s="123" t="n"/>
      <x:c r="AL37" s="123" t="n"/>
      <x:c r="AM37" s="121" t="n"/>
      <x:c r="AN37" s="123" t="n"/>
      <x:c r="AO37" s="123" t="n"/>
      <x:c r="AP37" s="123" t="n"/>
      <x:c r="AQ37" s="123" t="n"/>
      <x:c r="AR37" s="100" t="n"/>
      <x:c r="AS37" s="100" t="n"/>
      <x:c r="AT37" s="100" t="n"/>
      <x:c r="AU37" s="100" t="n"/>
      <x:c r="AV37" s="100" t="n"/>
      <x:c r="AW37" s="100" t="n"/>
      <x:c r="AX37" s="100" t="n"/>
      <x:c r="AY37" s="100" t="n"/>
      <x:c r="AZ37" s="100" t="n"/>
      <x:c r="BA37" s="100" t="n"/>
      <x:c r="BB37" s="100" t="n"/>
      <x:c r="BC37" s="100" t="n"/>
      <x:c r="BD37" s="100" t="n"/>
      <x:c r="BE37" s="100" t="n"/>
      <x:c r="BF37" s="100" t="n"/>
      <x:c r="BG37" s="100" t="n"/>
      <x:c r="BH37" s="100" t="n"/>
      <x:c r="BI37" s="100" t="n"/>
      <x:c r="BJ37" s="100" t="n"/>
      <x:c r="BK37" s="100" t="n"/>
      <x:c r="BL37" s="100" t="n"/>
      <x:c r="BM37" s="100" t="n"/>
      <x:c r="BN37" s="100" t="n"/>
      <x:c r="BO37" s="100" t="n"/>
      <x:c r="BP37" s="100" t="n"/>
      <x:c r="BQ37" s="100" t="n"/>
      <x:c r="BR37" s="100" t="n"/>
      <x:c r="BS37" s="100" t="n"/>
      <x:c r="BT37" s="100" t="n"/>
      <x:c r="BU37" s="100" t="n"/>
      <x:c r="BV37" s="100" t="n"/>
      <x:c r="BW37" s="100" t="n"/>
      <x:c r="BX37" s="100" t="n"/>
      <x:c r="BY37" s="100" t="n"/>
      <x:c r="BZ37" s="100" t="n"/>
      <x:c r="CA37" s="100" t="n"/>
      <x:c r="CB37" s="100" t="n"/>
      <x:c r="CC37" s="100" t="n"/>
      <x:c r="CD37" s="100" t="n"/>
      <x:c r="CE37" s="100" t="n"/>
      <x:c r="CF37" s="100" t="n"/>
      <x:c r="CG37" s="100" t="n"/>
      <x:c r="CH37" s="100" t="n"/>
      <x:c r="CI37" s="100" t="n"/>
      <x:c r="CJ37" s="100" t="n"/>
      <x:c r="CK37" s="100" t="n"/>
      <x:c r="CL37" s="100" t="n"/>
      <x:c r="CM37" s="100" t="n"/>
      <x:c r="CN37" s="100" t="n"/>
      <x:c r="CO37" s="100" t="n"/>
      <x:c r="CP37" s="100" t="n"/>
      <x:c r="CQ37" s="100" t="n"/>
      <x:c r="CR37" s="100" t="n"/>
      <x:c r="CS37" s="100" t="n"/>
      <x:c r="CT37" s="100" t="n"/>
      <x:c r="CU37" s="100" t="n"/>
      <x:c r="CV37" s="100" t="n"/>
      <x:c r="CW37" s="100" t="n"/>
      <x:c r="CX37" s="100" t="n"/>
      <x:c r="CY37" s="100" t="n"/>
      <x:c r="CZ37" s="100" t="n"/>
      <x:c r="DA37" s="100" t="n"/>
      <x:c r="DB37" s="100" t="n"/>
      <x:c r="DC37" s="100" t="n"/>
      <x:c r="DD37" s="100" t="n"/>
      <x:c r="DE37" s="100" t="n"/>
      <x:c r="DF37" s="100" t="n"/>
      <x:c r="DG37" s="100" t="n"/>
      <x:c r="DH37" s="100" t="n"/>
      <x:c r="DI37" s="100" t="n"/>
      <x:c r="DJ37" s="100" t="n"/>
      <x:c r="DK37" s="100" t="n"/>
      <x:c r="DL37" s="100" t="n"/>
      <x:c r="DM37" s="100" t="n"/>
      <x:c r="DN37" s="100" t="n"/>
      <x:c r="DO37" s="100" t="n"/>
      <x:c r="DP37" s="100" t="n"/>
      <x:c r="DQ37" s="100" t="n"/>
      <x:c r="DR37" s="100" t="n"/>
      <x:c r="DS37" s="100" t="n"/>
      <x:c r="DT37" s="100" t="n"/>
      <x:c r="DU37" s="100" t="n"/>
      <x:c r="DV37" s="100" t="n"/>
      <x:c r="DW37" s="100" t="n"/>
      <x:c r="DX37" s="100" t="n"/>
      <x:c r="DY37" s="100" t="n"/>
      <x:c r="DZ37" s="100" t="n"/>
      <x:c r="EA37" s="100" t="n"/>
      <x:c r="EB37" s="100" t="n"/>
      <x:c r="EC37" s="100" t="n"/>
      <x:c r="ED37" s="100" t="n"/>
      <x:c r="EE37" s="100" t="n"/>
      <x:c r="EF37" s="100" t="n"/>
      <x:c r="EG37" s="100" t="n"/>
      <x:c r="EH37" s="100" t="n"/>
      <x:c r="EI37" s="100" t="n"/>
      <x:c r="EJ37" s="100" t="n"/>
      <x:c r="EK37" s="100" t="n"/>
      <x:c r="EL37" s="100" t="n"/>
      <x:c r="EM37" s="100" t="n"/>
      <x:c r="EN37" s="100" t="n"/>
      <x:c r="EO37" s="100" t="n"/>
      <x:c r="EP37" s="100" t="n"/>
      <x:c r="EQ37" s="100" t="n"/>
      <x:c r="ER37" s="100" t="n"/>
      <x:c r="ES37" s="100" t="n"/>
      <x:c r="ET37" s="100" t="n"/>
      <x:c r="EU37" s="100" t="n"/>
      <x:c r="EV37" s="100" t="n"/>
      <x:c r="EW37" s="100" t="n"/>
      <x:c r="EX37" s="100" t="n"/>
      <x:c r="EY37" s="100" t="n"/>
      <x:c r="EZ37" s="100" t="n"/>
      <x:c r="FA37" s="100" t="n"/>
      <x:c r="FB37" s="100" t="n"/>
      <x:c r="FC37" s="100" t="n"/>
      <x:c r="FD37" s="100" t="n"/>
      <x:c r="FE37" s="100" t="n"/>
      <x:c r="FF37" s="100" t="n"/>
      <x:c r="FG37" s="100" t="n"/>
      <x:c r="FH37" s="100" t="n"/>
      <x:c r="FI37" s="100" t="n"/>
      <x:c r="FJ37" s="100" t="n"/>
      <x:c r="FK37" s="100" t="n"/>
      <x:c r="FL37" s="100" t="n"/>
      <x:c r="FM37" s="100" t="n"/>
      <x:c r="FN37" s="100" t="n"/>
      <x:c r="FO37" s="100" t="n"/>
      <x:c r="FP37" s="100" t="n"/>
      <x:c r="FQ37" s="100" t="n"/>
      <x:c r="FR37" s="100" t="n"/>
      <x:c r="FS37" s="100" t="n"/>
      <x:c r="FT37" s="100" t="n"/>
      <x:c r="FU37" s="100" t="n"/>
      <x:c r="FV37" s="100" t="n"/>
      <x:c r="FW37" s="100" t="n"/>
      <x:c r="FX37" s="100" t="n"/>
      <x:c r="FY37" s="100" t="n"/>
      <x:c r="FZ37" s="100" t="n"/>
      <x:c r="GA37" s="100" t="n"/>
      <x:c r="GB37" s="100" t="n"/>
      <x:c r="GC37" s="100" t="n"/>
      <x:c r="GD37" s="100" t="n"/>
      <x:c r="GE37" s="100" t="n"/>
      <x:c r="GF37" s="100" t="n"/>
    </x:row>
    <x:row r="38" s="27" customFormat="1" ht="24" customHeight="1">
      <x:c r="A38" s="125" t="n"/>
      <x:c r="B38" s="39" t="n"/>
      <x:c r="C38" s="36" t="n">
        <x:f>E38*D$5</x:f>
        <x:v>0</x:v>
      </x:c>
      <x:c r="D38" s="4" t="inlineStr">
        <x:is>
          <x:t xml:space="preserve">Charles O. Burckhalter, Trustee of the Burckhalter Family Trust dated July 9, 1990</x:t>
        </x:is>
      </x:c>
      <x:c r="E38" s="36" t="n">
        <x:f>SUM(G38:HT38)</x:f>
        <x:v>0</x:v>
      </x:c>
      <x:c r="F38" s="35" t="n"/>
      <x:c r="G38" s="121" t="n"/>
      <x:c r="H38" s="121" t="n"/>
      <x:c r="I38" s="121" t="n"/>
      <x:c r="J38" s="121" t="n"/>
      <x:c r="K38" s="121" t="n"/>
      <x:c r="L38" s="121" t="n"/>
      <x:c r="M38" s="121" t="n"/>
      <x:c r="N38" s="121" t="n"/>
      <x:c r="O38" s="121" t="n"/>
      <x:c r="P38" s="121" t="n"/>
      <x:c r="Q38" s="121" t="n"/>
      <x:c r="R38" s="123" t="n"/>
      <x:c r="S38" s="123" t="n"/>
      <x:c r="T38" s="121" t="n"/>
      <x:c r="U38" s="121" t="n"/>
      <x:c r="V38" s="121" t="n"/>
      <x:c r="W38" s="121" t="n"/>
      <x:c r="X38" s="121" t="n"/>
      <x:c r="Y38" s="121" t="n"/>
      <x:c r="Z38" s="121" t="n"/>
      <x:c r="AA38" s="121" t="n"/>
      <x:c r="AB38" s="121" t="n"/>
      <x:c r="AC38" s="121" t="n"/>
      <x:c r="AD38" s="121" t="n"/>
      <x:c r="AE38" s="121" t="n"/>
      <x:c r="AF38" s="123" t="n"/>
      <x:c r="AG38" s="124" t="n"/>
      <x:c r="AH38" s="124" t="n"/>
      <x:c r="AI38" s="123" t="n"/>
      <x:c r="AJ38" s="123" t="n"/>
      <x:c r="AK38" s="124" t="n"/>
      <x:c r="AL38" s="121" t="n"/>
      <x:c r="AM38" s="121" t="n"/>
      <x:c r="AN38" s="121" t="n"/>
      <x:c r="AO38" s="124" t="n"/>
      <x:c r="AP38" s="121" t="n"/>
      <x:c r="AQ38" s="121" t="n"/>
      <x:c r="AR38" s="28" t="n"/>
      <x:c r="AS38" s="28" t="n"/>
      <x:c r="AT38" s="28" t="n"/>
    </x:row>
    <x:row r="39" s="27" customFormat="1">
      <x:c r="A39" s="125" t="n"/>
      <x:c r="B39" s="39" t="n"/>
      <x:c r="C39" s="36" t="n">
        <x:f>E39*D$5</x:f>
        <x:v>0</x:v>
      </x:c>
      <x:c r="D39" s="103" t="inlineStr">
        <x:is>
          <x:t xml:space="preserve">Charles R. Atha, a/k/a Charles Atha and Letty Atha, HW</x:t>
        </x:is>
      </x:c>
      <x:c r="E39" s="36" t="n">
        <x:f>SUM(G39:HH39)</x:f>
        <x:v>0</x:v>
      </x:c>
      <x:c r="F39" s="35" t="n"/>
      <x:c r="G39" s="121" t="n"/>
      <x:c r="H39" s="122" t="n"/>
      <x:c r="I39" s="122" t="n"/>
      <x:c r="J39" s="122" t="n"/>
      <x:c r="K39" s="122" t="n"/>
      <x:c r="L39" s="122" t="n"/>
      <x:c r="M39" s="123" t="n"/>
      <x:c r="N39" s="123" t="n"/>
      <x:c r="O39" s="123" t="n"/>
      <x:c r="P39" s="123" t="n"/>
      <x:c r="Q39" s="123" t="n"/>
      <x:c r="R39" s="123" t="n"/>
      <x:c r="S39" s="123" t="n"/>
      <x:c r="T39" s="123" t="n"/>
      <x:c r="U39" s="123" t="n"/>
      <x:c r="V39" s="123" t="n"/>
      <x:c r="W39" s="123" t="n"/>
      <x:c r="X39" s="123" t="n"/>
      <x:c r="Y39" s="123" t="n"/>
      <x:c r="Z39" s="123" t="n"/>
      <x:c r="AA39" s="123" t="n"/>
      <x:c r="AB39" s="123" t="n"/>
      <x:c r="AC39" s="123" t="n"/>
      <x:c r="AD39" s="123" t="n"/>
      <x:c r="AE39" s="123" t="n"/>
      <x:c r="AF39" s="123" t="n"/>
      <x:c r="AG39" s="124" t="n"/>
      <x:c r="AH39" s="124" t="n"/>
      <x:c r="AI39" s="124" t="n"/>
      <x:c r="AJ39" s="123" t="n"/>
      <x:c r="AK39" s="123" t="n"/>
      <x:c r="AL39" s="123" t="n"/>
      <x:c r="AM39" s="123" t="n"/>
      <x:c r="AN39" s="123" t="n"/>
      <x:c r="AO39" s="123" t="n"/>
      <x:c r="AP39" s="123" t="n"/>
      <x:c r="AQ39" s="123" t="n"/>
      <x:c r="AR39" s="100" t="n"/>
      <x:c r="AS39" s="100" t="n"/>
      <x:c r="AT39" s="100" t="n"/>
      <x:c r="AU39" s="100" t="n"/>
      <x:c r="AV39" s="100" t="n"/>
      <x:c r="AW39" s="100" t="n"/>
      <x:c r="AX39" s="100" t="n"/>
      <x:c r="AY39" s="100" t="n"/>
      <x:c r="AZ39" s="100" t="n"/>
      <x:c r="BA39" s="100" t="n"/>
      <x:c r="BB39" s="100" t="n"/>
      <x:c r="BC39" s="100" t="n"/>
      <x:c r="BD39" s="100" t="n"/>
      <x:c r="BE39" s="100" t="n"/>
      <x:c r="BF39" s="100" t="n"/>
      <x:c r="BG39" s="100" t="n"/>
      <x:c r="BH39" s="100" t="n"/>
      <x:c r="BI39" s="100" t="n"/>
      <x:c r="BJ39" s="100" t="n"/>
      <x:c r="BK39" s="100" t="n"/>
      <x:c r="BL39" s="100" t="n"/>
      <x:c r="BM39" s="100" t="n"/>
      <x:c r="BN39" s="100" t="n"/>
      <x:c r="BO39" s="100" t="n"/>
      <x:c r="BP39" s="100" t="n"/>
      <x:c r="BQ39" s="100" t="n"/>
      <x:c r="BR39" s="100" t="n"/>
      <x:c r="BS39" s="100" t="n"/>
      <x:c r="BT39" s="100" t="n"/>
      <x:c r="BU39" s="100" t="n"/>
      <x:c r="BV39" s="100" t="n"/>
      <x:c r="BW39" s="100" t="n"/>
      <x:c r="BX39" s="100" t="n"/>
      <x:c r="BY39" s="100" t="n"/>
      <x:c r="BZ39" s="100" t="n"/>
      <x:c r="CA39" s="100" t="n"/>
      <x:c r="CB39" s="100" t="n"/>
      <x:c r="CC39" s="100" t="n"/>
      <x:c r="CD39" s="100" t="n"/>
      <x:c r="CE39" s="100" t="n"/>
      <x:c r="CF39" s="100" t="n"/>
      <x:c r="CG39" s="100" t="n"/>
      <x:c r="CH39" s="100" t="n"/>
      <x:c r="CI39" s="100" t="n"/>
      <x:c r="CJ39" s="100" t="n"/>
      <x:c r="CK39" s="100" t="n"/>
      <x:c r="CL39" s="100" t="n"/>
      <x:c r="CM39" s="100" t="n"/>
      <x:c r="CN39" s="100" t="n"/>
      <x:c r="CO39" s="100" t="n"/>
      <x:c r="CP39" s="100" t="n"/>
      <x:c r="CQ39" s="100" t="n"/>
      <x:c r="CR39" s="100" t="n"/>
      <x:c r="CS39" s="100" t="n"/>
      <x:c r="CT39" s="100" t="n"/>
      <x:c r="CU39" s="100" t="n"/>
      <x:c r="CV39" s="100" t="n"/>
      <x:c r="CW39" s="100" t="n"/>
      <x:c r="CX39" s="100" t="n"/>
      <x:c r="CY39" s="100" t="n"/>
      <x:c r="CZ39" s="100" t="n"/>
      <x:c r="DA39" s="100" t="n"/>
      <x:c r="DB39" s="100" t="n"/>
      <x:c r="DC39" s="100" t="n"/>
      <x:c r="DD39" s="100" t="n"/>
      <x:c r="DE39" s="100" t="n"/>
      <x:c r="DF39" s="100" t="n"/>
      <x:c r="DG39" s="100" t="n"/>
      <x:c r="DH39" s="100" t="n"/>
      <x:c r="DI39" s="100" t="n"/>
      <x:c r="DJ39" s="100" t="n"/>
      <x:c r="DK39" s="100" t="n"/>
      <x:c r="DL39" s="100" t="n"/>
      <x:c r="DM39" s="100" t="n"/>
      <x:c r="DN39" s="100" t="n"/>
      <x:c r="DO39" s="100" t="n"/>
      <x:c r="DP39" s="100" t="n"/>
      <x:c r="DQ39" s="100" t="n"/>
      <x:c r="DR39" s="100" t="n"/>
      <x:c r="DS39" s="100" t="n"/>
      <x:c r="DT39" s="100" t="n"/>
      <x:c r="DU39" s="100" t="n"/>
      <x:c r="DV39" s="100" t="n"/>
      <x:c r="DW39" s="100" t="n"/>
      <x:c r="DX39" s="100" t="n"/>
      <x:c r="DY39" s="100" t="n"/>
      <x:c r="DZ39" s="100" t="n"/>
      <x:c r="EA39" s="100" t="n"/>
      <x:c r="EB39" s="100" t="n"/>
      <x:c r="EC39" s="100" t="n"/>
      <x:c r="ED39" s="100" t="n"/>
      <x:c r="EE39" s="100" t="n"/>
      <x:c r="EF39" s="100" t="n"/>
      <x:c r="EG39" s="100" t="n"/>
      <x:c r="EH39" s="100" t="n"/>
      <x:c r="EI39" s="100" t="n"/>
      <x:c r="EJ39" s="100" t="n"/>
      <x:c r="EK39" s="100" t="n"/>
      <x:c r="EL39" s="100" t="n"/>
      <x:c r="EM39" s="100" t="n"/>
      <x:c r="EN39" s="100" t="n"/>
      <x:c r="EO39" s="100" t="n"/>
      <x:c r="EP39" s="100" t="n"/>
      <x:c r="EQ39" s="100" t="n"/>
      <x:c r="ER39" s="100" t="n"/>
      <x:c r="ES39" s="100" t="n"/>
      <x:c r="ET39" s="100" t="n"/>
      <x:c r="EU39" s="100" t="n"/>
      <x:c r="EV39" s="100" t="n"/>
      <x:c r="EW39" s="100" t="n"/>
      <x:c r="EX39" s="100" t="n"/>
      <x:c r="EY39" s="100" t="n"/>
      <x:c r="EZ39" s="100" t="n"/>
      <x:c r="FA39" s="100" t="n"/>
      <x:c r="FB39" s="100" t="n"/>
      <x:c r="FC39" s="100" t="n"/>
      <x:c r="FD39" s="100" t="n"/>
      <x:c r="FE39" s="100" t="n"/>
      <x:c r="FF39" s="100" t="n"/>
      <x:c r="FG39" s="100" t="n"/>
      <x:c r="FH39" s="100" t="n"/>
      <x:c r="FI39" s="100" t="n"/>
      <x:c r="FJ39" s="100" t="n"/>
      <x:c r="FK39" s="100" t="n"/>
      <x:c r="FL39" s="100" t="n"/>
      <x:c r="FM39" s="100" t="n"/>
      <x:c r="FN39" s="100" t="n"/>
      <x:c r="FO39" s="100" t="n"/>
    </x:row>
    <x:row r="40" s="27" customFormat="1" ht="24" customHeight="1">
      <x:c r="A40" s="125" t="n"/>
      <x:c r="B40" s="39" t="n"/>
      <x:c r="C40" s="86" t="n">
        <x:f>E40*D$5</x:f>
        <x:v>0</x:v>
      </x:c>
      <x:c r="D40" s="103" t="inlineStr">
        <x:is>
          <x:t xml:space="preserve">Charles R. Atha, a/k/a Charles Atha and Letty Atha, HW, JTWROS</x:t>
        </x:is>
      </x:c>
      <x:c r="E40" s="86" t="n">
        <x:f>SUM(G40:HH40)</x:f>
        <x:v>0</x:v>
      </x:c>
      <x:c r="F40" s="35" t="n"/>
      <x:c r="G40" s="121" t="n"/>
      <x:c r="H40" s="122" t="n"/>
      <x:c r="I40" s="122" t="n"/>
      <x:c r="J40" s="122" t="n"/>
      <x:c r="K40" s="122" t="n"/>
      <x:c r="L40" s="122" t="n"/>
      <x:c r="M40" s="123" t="n"/>
      <x:c r="N40" s="123" t="n"/>
      <x:c r="O40" s="123" t="n"/>
      <x:c r="P40" s="123" t="n"/>
      <x:c r="Q40" s="123" t="n"/>
      <x:c r="R40" s="123" t="n"/>
      <x:c r="S40" s="123" t="n"/>
      <x:c r="T40" s="123" t="n"/>
      <x:c r="U40" s="123" t="n"/>
      <x:c r="V40" s="123" t="n"/>
      <x:c r="W40" s="123" t="n"/>
      <x:c r="X40" s="123" t="n"/>
      <x:c r="Y40" s="123" t="n"/>
      <x:c r="Z40" s="123" t="n"/>
      <x:c r="AA40" s="123" t="n"/>
      <x:c r="AB40" s="123" t="n"/>
      <x:c r="AC40" s="123" t="n"/>
      <x:c r="AD40" s="123" t="n"/>
      <x:c r="AE40" s="123" t="n"/>
      <x:c r="AF40" s="123" t="n"/>
      <x:c r="AG40" s="123" t="n"/>
      <x:c r="AH40" s="124" t="n"/>
      <x:c r="AI40" s="123" t="n"/>
      <x:c r="AJ40" s="123" t="n"/>
      <x:c r="AK40" s="124" t="n"/>
      <x:c r="AL40" s="123" t="n"/>
      <x:c r="AM40" s="123" t="n"/>
      <x:c r="AN40" s="123" t="n"/>
      <x:c r="AO40" s="123" t="n"/>
      <x:c r="AP40" s="123" t="n"/>
      <x:c r="AQ40" s="123" t="n"/>
      <x:c r="AR40" s="100" t="n"/>
      <x:c r="AS40" s="100" t="n"/>
      <x:c r="AT40" s="100" t="n"/>
      <x:c r="AU40" s="100" t="n"/>
      <x:c r="AV40" s="100" t="n"/>
      <x:c r="AW40" s="100" t="n"/>
      <x:c r="AX40" s="100" t="n"/>
      <x:c r="AY40" s="100" t="n"/>
      <x:c r="AZ40" s="100" t="n"/>
      <x:c r="BA40" s="100" t="n"/>
      <x:c r="BB40" s="100" t="n"/>
      <x:c r="BC40" s="100" t="n"/>
      <x:c r="BD40" s="100" t="n"/>
      <x:c r="BE40" s="100" t="n"/>
      <x:c r="BF40" s="100" t="n"/>
      <x:c r="BG40" s="100" t="n"/>
      <x:c r="BH40" s="100" t="n"/>
      <x:c r="BI40" s="100" t="n"/>
      <x:c r="BJ40" s="100" t="n"/>
      <x:c r="BK40" s="100" t="n"/>
      <x:c r="BL40" s="100" t="n"/>
      <x:c r="BM40" s="100" t="n"/>
      <x:c r="BN40" s="100" t="n"/>
      <x:c r="BO40" s="100" t="n"/>
      <x:c r="BP40" s="100" t="n"/>
      <x:c r="BQ40" s="100" t="n"/>
      <x:c r="BR40" s="100" t="n"/>
      <x:c r="BS40" s="100" t="n"/>
      <x:c r="BT40" s="100" t="n"/>
      <x:c r="BU40" s="100" t="n"/>
      <x:c r="BV40" s="100" t="n"/>
      <x:c r="BW40" s="100" t="n"/>
      <x:c r="BX40" s="100" t="n"/>
      <x:c r="BY40" s="100" t="n"/>
      <x:c r="BZ40" s="100" t="n"/>
      <x:c r="CA40" s="100" t="n"/>
      <x:c r="CB40" s="100" t="n"/>
      <x:c r="CC40" s="100" t="n"/>
      <x:c r="CD40" s="100" t="n"/>
      <x:c r="CE40" s="100" t="n"/>
      <x:c r="CF40" s="100" t="n"/>
      <x:c r="CG40" s="100" t="n"/>
      <x:c r="CH40" s="100" t="n"/>
      <x:c r="CI40" s="100" t="n"/>
      <x:c r="CJ40" s="100" t="n"/>
      <x:c r="CK40" s="100" t="n"/>
      <x:c r="CL40" s="100" t="n"/>
      <x:c r="CM40" s="100" t="n"/>
      <x:c r="CN40" s="100" t="n"/>
      <x:c r="CO40" s="100" t="n"/>
      <x:c r="CP40" s="100" t="n"/>
      <x:c r="CQ40" s="100" t="n"/>
      <x:c r="CR40" s="100" t="n"/>
      <x:c r="CS40" s="100" t="n"/>
      <x:c r="CT40" s="100" t="n"/>
      <x:c r="CU40" s="100" t="n"/>
      <x:c r="CV40" s="100" t="n"/>
      <x:c r="CW40" s="100" t="n"/>
      <x:c r="CX40" s="100" t="n"/>
      <x:c r="CY40" s="100" t="n"/>
      <x:c r="CZ40" s="100" t="n"/>
      <x:c r="DA40" s="100" t="n"/>
      <x:c r="DB40" s="100" t="n"/>
      <x:c r="DC40" s="100" t="n"/>
      <x:c r="DD40" s="100" t="n"/>
      <x:c r="DE40" s="100" t="n"/>
      <x:c r="DF40" s="100" t="n"/>
      <x:c r="DG40" s="100" t="n"/>
      <x:c r="DH40" s="100" t="n"/>
      <x:c r="DI40" s="100" t="n"/>
      <x:c r="DJ40" s="100" t="n"/>
      <x:c r="DK40" s="100" t="n"/>
      <x:c r="DL40" s="100" t="n"/>
      <x:c r="DM40" s="100" t="n"/>
      <x:c r="DN40" s="100" t="n"/>
      <x:c r="DO40" s="100" t="n"/>
      <x:c r="DP40" s="100" t="n"/>
      <x:c r="DQ40" s="100" t="n"/>
      <x:c r="DR40" s="100" t="n"/>
      <x:c r="DS40" s="100" t="n"/>
      <x:c r="DT40" s="100" t="n"/>
      <x:c r="DU40" s="100" t="n"/>
      <x:c r="DV40" s="100" t="n"/>
      <x:c r="DW40" s="100" t="n"/>
      <x:c r="DX40" s="100" t="n"/>
      <x:c r="DY40" s="100" t="n"/>
      <x:c r="DZ40" s="100" t="n"/>
      <x:c r="EA40" s="100" t="n"/>
      <x:c r="EB40" s="100" t="n"/>
      <x:c r="EC40" s="100" t="n"/>
      <x:c r="ED40" s="100" t="n"/>
      <x:c r="EE40" s="100" t="n"/>
      <x:c r="EF40" s="100" t="n"/>
      <x:c r="EG40" s="100" t="n"/>
      <x:c r="EH40" s="100" t="n"/>
      <x:c r="EI40" s="100" t="n"/>
      <x:c r="EJ40" s="100" t="n"/>
      <x:c r="EK40" s="100" t="n"/>
      <x:c r="EL40" s="100" t="n"/>
      <x:c r="EM40" s="100" t="n"/>
      <x:c r="EN40" s="100" t="n"/>
      <x:c r="EO40" s="100" t="n"/>
      <x:c r="EP40" s="100" t="n"/>
      <x:c r="EQ40" s="100" t="n"/>
      <x:c r="ER40" s="100" t="n"/>
      <x:c r="ES40" s="100" t="n"/>
      <x:c r="ET40" s="100" t="n"/>
      <x:c r="EU40" s="100" t="n"/>
      <x:c r="EV40" s="100" t="n"/>
      <x:c r="EW40" s="100" t="n"/>
      <x:c r="EX40" s="100" t="n"/>
      <x:c r="EY40" s="100" t="n"/>
      <x:c r="EZ40" s="100" t="n"/>
      <x:c r="FA40" s="100" t="n"/>
      <x:c r="FB40" s="100" t="n"/>
      <x:c r="FC40" s="100" t="n"/>
      <x:c r="FD40" s="100" t="n"/>
      <x:c r="FE40" s="100" t="n"/>
      <x:c r="FF40" s="100" t="n"/>
      <x:c r="FG40" s="100" t="n"/>
      <x:c r="FH40" s="100" t="n"/>
      <x:c r="FI40" s="100" t="n"/>
      <x:c r="FJ40" s="100" t="n"/>
      <x:c r="FK40" s="100" t="n"/>
      <x:c r="FL40" s="100" t="n"/>
      <x:c r="FM40" s="100" t="n"/>
      <x:c r="FN40" s="100" t="n"/>
      <x:c r="FO40" s="100" t="n"/>
    </x:row>
    <x:row r="41" s="27" customFormat="1" ht="24" customHeight="1">
      <x:c r="A41" s="125" t="n"/>
      <x:c r="B41" s="39" t="n"/>
      <x:c r="C41" s="36" t="n">
        <x:f>E41*D$5</x:f>
        <x:v>0</x:v>
      </x:c>
      <x:c r="D41" s="4" t="inlineStr">
        <x:is>
          <x:t xml:space="preserve">Roger Mills County Court RE: In the Matter of the Estate of Letty Jane Atha, Deceased</x:t>
        </x:is>
      </x:c>
      <x:c r="E41" s="36" t="n">
        <x:f>SUM(G41:HH41)</x:f>
        <x:v>0</x:v>
      </x:c>
      <x:c r="F41" s="35" t="n"/>
      <x:c r="G41" s="121" t="n"/>
      <x:c r="H41" s="122" t="n"/>
      <x:c r="I41" s="122" t="n"/>
      <x:c r="J41" s="122" t="n"/>
      <x:c r="K41" s="122" t="n"/>
      <x:c r="L41" s="122" t="n"/>
      <x:c r="M41" s="123" t="n"/>
      <x:c r="N41" s="123" t="n"/>
      <x:c r="O41" s="123" t="n"/>
      <x:c r="P41" s="123" t="n"/>
      <x:c r="Q41" s="123" t="n"/>
      <x:c r="R41" s="123" t="n"/>
      <x:c r="S41" s="123" t="n"/>
      <x:c r="T41" s="123" t="n"/>
      <x:c r="U41" s="123" t="n"/>
      <x:c r="V41" s="123" t="n"/>
      <x:c r="W41" s="123" t="n"/>
      <x:c r="X41" s="123" t="n"/>
      <x:c r="Y41" s="123" t="n"/>
      <x:c r="Z41" s="123" t="n"/>
      <x:c r="AA41" s="123" t="n"/>
      <x:c r="AB41" s="123" t="n"/>
      <x:c r="AC41" s="123" t="n"/>
      <x:c r="AD41" s="123" t="n"/>
      <x:c r="AE41" s="123" t="n"/>
      <x:c r="AF41" s="123" t="n"/>
      <x:c r="AG41" s="123" t="n"/>
      <x:c r="AH41" s="123" t="n"/>
      <x:c r="AI41" s="124" t="n"/>
      <x:c r="AJ41" s="124" t="n"/>
      <x:c r="AK41" s="123" t="n"/>
      <x:c r="AL41" s="123" t="n"/>
      <x:c r="AM41" s="123" t="n"/>
      <x:c r="AN41" s="123" t="n"/>
      <x:c r="AO41" s="123" t="n"/>
      <x:c r="AP41" s="123" t="n"/>
      <x:c r="AQ41" s="123" t="n"/>
      <x:c r="AR41" s="100" t="n"/>
      <x:c r="AS41" s="100" t="n"/>
      <x:c r="AT41" s="100" t="n"/>
      <x:c r="AU41" s="100" t="n"/>
      <x:c r="AV41" s="100" t="n"/>
      <x:c r="AW41" s="100" t="n"/>
      <x:c r="AX41" s="100" t="n"/>
      <x:c r="AY41" s="100" t="n"/>
      <x:c r="AZ41" s="100" t="n"/>
      <x:c r="BA41" s="100" t="n"/>
      <x:c r="BB41" s="100" t="n"/>
      <x:c r="BC41" s="100" t="n"/>
      <x:c r="BD41" s="100" t="n"/>
      <x:c r="BE41" s="100" t="n"/>
      <x:c r="BF41" s="100" t="n"/>
      <x:c r="BG41" s="100" t="n"/>
      <x:c r="BH41" s="100" t="n"/>
      <x:c r="BI41" s="100" t="n"/>
      <x:c r="BJ41" s="100" t="n"/>
      <x:c r="BK41" s="100" t="n"/>
      <x:c r="BL41" s="100" t="n"/>
      <x:c r="BM41" s="100" t="n"/>
      <x:c r="BN41" s="100" t="n"/>
      <x:c r="BO41" s="100" t="n"/>
      <x:c r="BP41" s="100" t="n"/>
      <x:c r="BQ41" s="100" t="n"/>
      <x:c r="BR41" s="100" t="n"/>
      <x:c r="BS41" s="100" t="n"/>
      <x:c r="BT41" s="100" t="n"/>
      <x:c r="BU41" s="100" t="n"/>
      <x:c r="BV41" s="100" t="n"/>
      <x:c r="BW41" s="100" t="n"/>
      <x:c r="BX41" s="100" t="n"/>
      <x:c r="BY41" s="100" t="n"/>
      <x:c r="BZ41" s="100" t="n"/>
      <x:c r="CA41" s="100" t="n"/>
      <x:c r="CB41" s="100" t="n"/>
      <x:c r="CC41" s="100" t="n"/>
      <x:c r="CD41" s="100" t="n"/>
      <x:c r="CE41" s="100" t="n"/>
      <x:c r="CF41" s="100" t="n"/>
      <x:c r="CG41" s="100" t="n"/>
      <x:c r="CH41" s="100" t="n"/>
      <x:c r="CI41" s="100" t="n"/>
      <x:c r="CJ41" s="100" t="n"/>
      <x:c r="CK41" s="100" t="n"/>
      <x:c r="CL41" s="100" t="n"/>
      <x:c r="CM41" s="100" t="n"/>
      <x:c r="CN41" s="100" t="n"/>
      <x:c r="CO41" s="100" t="n"/>
      <x:c r="CP41" s="100" t="n"/>
      <x:c r="CQ41" s="100" t="n"/>
      <x:c r="CR41" s="100" t="n"/>
      <x:c r="CS41" s="100" t="n"/>
      <x:c r="CT41" s="100" t="n"/>
      <x:c r="CU41" s="100" t="n"/>
      <x:c r="CV41" s="100" t="n"/>
      <x:c r="CW41" s="100" t="n"/>
      <x:c r="CX41" s="100" t="n"/>
      <x:c r="CY41" s="100" t="n"/>
      <x:c r="CZ41" s="100" t="n"/>
      <x:c r="DA41" s="100" t="n"/>
      <x:c r="DB41" s="100" t="n"/>
      <x:c r="DC41" s="100" t="n"/>
      <x:c r="DD41" s="100" t="n"/>
      <x:c r="DE41" s="100" t="n"/>
      <x:c r="DF41" s="100" t="n"/>
      <x:c r="DG41" s="100" t="n"/>
      <x:c r="DH41" s="100" t="n"/>
      <x:c r="DI41" s="100" t="n"/>
      <x:c r="DJ41" s="100" t="n"/>
      <x:c r="DK41" s="100" t="n"/>
      <x:c r="DL41" s="100" t="n"/>
      <x:c r="DM41" s="100" t="n"/>
      <x:c r="DN41" s="100" t="n"/>
      <x:c r="DO41" s="100" t="n"/>
      <x:c r="DP41" s="100" t="n"/>
      <x:c r="DQ41" s="100" t="n"/>
      <x:c r="DR41" s="100" t="n"/>
      <x:c r="DS41" s="100" t="n"/>
      <x:c r="DT41" s="100" t="n"/>
      <x:c r="DU41" s="100" t="n"/>
      <x:c r="DV41" s="100" t="n"/>
      <x:c r="DW41" s="100" t="n"/>
      <x:c r="DX41" s="100" t="n"/>
      <x:c r="DY41" s="100" t="n"/>
      <x:c r="DZ41" s="100" t="n"/>
      <x:c r="EA41" s="100" t="n"/>
      <x:c r="EB41" s="100" t="n"/>
      <x:c r="EC41" s="100" t="n"/>
      <x:c r="ED41" s="100" t="n"/>
      <x:c r="EE41" s="100" t="n"/>
      <x:c r="EF41" s="100" t="n"/>
      <x:c r="EG41" s="100" t="n"/>
      <x:c r="EH41" s="100" t="n"/>
      <x:c r="EI41" s="100" t="n"/>
      <x:c r="EJ41" s="100" t="n"/>
      <x:c r="EK41" s="100" t="n"/>
      <x:c r="EL41" s="100" t="n"/>
      <x:c r="EM41" s="100" t="n"/>
      <x:c r="EN41" s="100" t="n"/>
      <x:c r="EO41" s="100" t="n"/>
      <x:c r="EP41" s="100" t="n"/>
      <x:c r="EQ41" s="100" t="n"/>
      <x:c r="ER41" s="100" t="n"/>
      <x:c r="ES41" s="100" t="n"/>
      <x:c r="ET41" s="100" t="n"/>
      <x:c r="EU41" s="100" t="n"/>
      <x:c r="EV41" s="100" t="n"/>
      <x:c r="EW41" s="100" t="n"/>
      <x:c r="EX41" s="100" t="n"/>
      <x:c r="EY41" s="100" t="n"/>
      <x:c r="EZ41" s="100" t="n"/>
      <x:c r="FA41" s="100" t="n"/>
      <x:c r="FB41" s="100" t="n"/>
      <x:c r="FC41" s="100" t="n"/>
      <x:c r="FD41" s="100" t="n"/>
      <x:c r="FE41" s="100" t="n"/>
      <x:c r="FF41" s="100" t="n"/>
      <x:c r="FG41" s="100" t="n"/>
      <x:c r="FH41" s="100" t="n"/>
      <x:c r="FI41" s="100" t="n"/>
      <x:c r="FJ41" s="100" t="n"/>
      <x:c r="FK41" s="100" t="n"/>
      <x:c r="FL41" s="100" t="n"/>
      <x:c r="FM41" s="100" t="n"/>
      <x:c r="FN41" s="100" t="n"/>
      <x:c r="FO41" s="100" t="n"/>
    </x:row>
    <x:row r="42" s="27" customFormat="1">
      <x:c r="A42" s="125" t="n"/>
      <x:c r="B42" s="39" t="n"/>
      <x:c r="C42" s="86" t="n">
        <x:f>E42*D$5</x:f>
        <x:v>0</x:v>
      </x:c>
      <x:c r="D42" s="523" t="inlineStr">
        <x:is>
          <x:t xml:space="preserve">Charles Allen Atha</x:t>
        </x:is>
      </x:c>
      <x:c r="E42" s="86" t="n">
        <x:f>SUM(G42:HH42)</x:f>
        <x:v>0</x:v>
      </x:c>
      <x:c r="F42" s="35" t="n"/>
      <x:c r="G42" s="121" t="n"/>
      <x:c r="H42" s="122" t="n"/>
      <x:c r="I42" s="122" t="n"/>
      <x:c r="J42" s="122" t="n"/>
      <x:c r="K42" s="122" t="n"/>
      <x:c r="L42" s="122" t="n"/>
      <x:c r="M42" s="123" t="n"/>
      <x:c r="N42" s="123" t="n"/>
      <x:c r="O42" s="123" t="n"/>
      <x:c r="P42" s="123" t="n"/>
      <x:c r="Q42" s="123" t="n"/>
      <x:c r="R42" s="123" t="n"/>
      <x:c r="S42" s="123" t="n"/>
      <x:c r="T42" s="124" t="n"/>
      <x:c r="U42" s="124" t="n"/>
      <x:c r="V42" s="123" t="n"/>
      <x:c r="W42" s="123" t="n"/>
      <x:c r="X42" s="123" t="n"/>
      <x:c r="Y42" s="123" t="n"/>
      <x:c r="Z42" s="123" t="n"/>
      <x:c r="AA42" s="123" t="n"/>
      <x:c r="AB42" s="123" t="n"/>
      <x:c r="AC42" s="123" t="n"/>
      <x:c r="AD42" s="123" t="n"/>
      <x:c r="AE42" s="123" t="n"/>
      <x:c r="AF42" s="123" t="n"/>
      <x:c r="AG42" s="123" t="n"/>
      <x:c r="AH42" s="123" t="n"/>
      <x:c r="AI42" s="123" t="n"/>
      <x:c r="AJ42" s="123" t="n"/>
      <x:c r="AK42" s="124" t="n"/>
      <x:c r="AL42" s="123" t="n"/>
      <x:c r="AM42" s="123" t="n"/>
      <x:c r="AN42" s="123" t="n"/>
      <x:c r="AO42" s="123" t="n"/>
      <x:c r="AP42" s="123" t="n"/>
      <x:c r="AQ42" s="123" t="n"/>
      <x:c r="AR42" s="100" t="n"/>
      <x:c r="AS42" s="100" t="n"/>
      <x:c r="AT42" s="100" t="n"/>
      <x:c r="AU42" s="100" t="n"/>
      <x:c r="AV42" s="100" t="n"/>
      <x:c r="AW42" s="100" t="n"/>
      <x:c r="AX42" s="100" t="n"/>
      <x:c r="AY42" s="100" t="n"/>
      <x:c r="AZ42" s="100" t="n"/>
      <x:c r="BA42" s="100" t="n"/>
      <x:c r="BB42" s="100" t="n"/>
      <x:c r="BC42" s="100" t="n"/>
      <x:c r="BD42" s="100" t="n"/>
      <x:c r="BE42" s="100" t="n"/>
      <x:c r="BF42" s="100" t="n"/>
      <x:c r="BG42" s="100" t="n"/>
      <x:c r="BH42" s="100" t="n"/>
      <x:c r="BI42" s="100" t="n"/>
      <x:c r="BJ42" s="100" t="n"/>
      <x:c r="BK42" s="100" t="n"/>
      <x:c r="BL42" s="100" t="n"/>
      <x:c r="BM42" s="100" t="n"/>
      <x:c r="BN42" s="100" t="n"/>
      <x:c r="BO42" s="100" t="n"/>
      <x:c r="BP42" s="100" t="n"/>
      <x:c r="BQ42" s="100" t="n"/>
      <x:c r="BR42" s="100" t="n"/>
      <x:c r="BS42" s="100" t="n"/>
      <x:c r="BT42" s="100" t="n"/>
      <x:c r="BU42" s="100" t="n"/>
      <x:c r="BV42" s="100" t="n"/>
      <x:c r="BW42" s="100" t="n"/>
      <x:c r="BX42" s="100" t="n"/>
      <x:c r="BY42" s="100" t="n"/>
      <x:c r="BZ42" s="100" t="n"/>
      <x:c r="CA42" s="100" t="n"/>
      <x:c r="CB42" s="100" t="n"/>
      <x:c r="CC42" s="100" t="n"/>
      <x:c r="CD42" s="100" t="n"/>
      <x:c r="CE42" s="100" t="n"/>
      <x:c r="CF42" s="100" t="n"/>
      <x:c r="CG42" s="100" t="n"/>
      <x:c r="CH42" s="100" t="n"/>
      <x:c r="CI42" s="100" t="n"/>
      <x:c r="CJ42" s="100" t="n"/>
      <x:c r="CK42" s="100" t="n"/>
      <x:c r="CL42" s="100" t="n"/>
      <x:c r="CM42" s="100" t="n"/>
      <x:c r="CN42" s="100" t="n"/>
      <x:c r="CO42" s="100" t="n"/>
      <x:c r="CP42" s="100" t="n"/>
      <x:c r="CQ42" s="100" t="n"/>
      <x:c r="CR42" s="100" t="n"/>
      <x:c r="CS42" s="100" t="n"/>
      <x:c r="CT42" s="100" t="n"/>
      <x:c r="CU42" s="100" t="n"/>
      <x:c r="CV42" s="100" t="n"/>
      <x:c r="CW42" s="100" t="n"/>
      <x:c r="CX42" s="100" t="n"/>
      <x:c r="CY42" s="100" t="n"/>
      <x:c r="CZ42" s="100" t="n"/>
      <x:c r="DA42" s="100" t="n"/>
      <x:c r="DB42" s="100" t="n"/>
      <x:c r="DC42" s="100" t="n"/>
      <x:c r="DD42" s="100" t="n"/>
      <x:c r="DE42" s="100" t="n"/>
      <x:c r="DF42" s="100" t="n"/>
      <x:c r="DG42" s="100" t="n"/>
      <x:c r="DH42" s="100" t="n"/>
      <x:c r="DI42" s="100" t="n"/>
      <x:c r="DJ42" s="100" t="n"/>
      <x:c r="DK42" s="100" t="n"/>
      <x:c r="DL42" s="100" t="n"/>
      <x:c r="DM42" s="100" t="n"/>
      <x:c r="DN42" s="100" t="n"/>
      <x:c r="DO42" s="100" t="n"/>
      <x:c r="DP42" s="100" t="n"/>
      <x:c r="DQ42" s="100" t="n"/>
      <x:c r="DR42" s="100" t="n"/>
      <x:c r="DS42" s="100" t="n"/>
      <x:c r="DT42" s="100" t="n"/>
      <x:c r="DU42" s="100" t="n"/>
      <x:c r="DV42" s="100" t="n"/>
      <x:c r="DW42" s="100" t="n"/>
      <x:c r="DX42" s="100" t="n"/>
      <x:c r="DY42" s="100" t="n"/>
      <x:c r="DZ42" s="100" t="n"/>
      <x:c r="EA42" s="100" t="n"/>
      <x:c r="EB42" s="100" t="n"/>
      <x:c r="EC42" s="100" t="n"/>
      <x:c r="ED42" s="100" t="n"/>
      <x:c r="EE42" s="100" t="n"/>
      <x:c r="EF42" s="100" t="n"/>
      <x:c r="EG42" s="100" t="n"/>
      <x:c r="EH42" s="100" t="n"/>
      <x:c r="EI42" s="100" t="n"/>
      <x:c r="EJ42" s="100" t="n"/>
      <x:c r="EK42" s="100" t="n"/>
      <x:c r="EL42" s="100" t="n"/>
      <x:c r="EM42" s="100" t="n"/>
      <x:c r="EN42" s="100" t="n"/>
      <x:c r="EO42" s="100" t="n"/>
      <x:c r="EP42" s="100" t="n"/>
      <x:c r="EQ42" s="100" t="n"/>
      <x:c r="ER42" s="100" t="n"/>
      <x:c r="ES42" s="100" t="n"/>
      <x:c r="ET42" s="100" t="n"/>
      <x:c r="EU42" s="100" t="n"/>
      <x:c r="EV42" s="100" t="n"/>
      <x:c r="EW42" s="100" t="n"/>
      <x:c r="EX42" s="100" t="n"/>
      <x:c r="EY42" s="100" t="n"/>
      <x:c r="EZ42" s="100" t="n"/>
      <x:c r="FA42" s="100" t="n"/>
      <x:c r="FB42" s="100" t="n"/>
      <x:c r="FC42" s="100" t="n"/>
      <x:c r="FD42" s="100" t="n"/>
      <x:c r="FE42" s="100" t="n"/>
      <x:c r="FF42" s="100" t="n"/>
      <x:c r="FG42" s="100" t="n"/>
      <x:c r="FH42" s="100" t="n"/>
      <x:c r="FI42" s="100" t="n"/>
      <x:c r="FJ42" s="100" t="n"/>
      <x:c r="FK42" s="100" t="n"/>
      <x:c r="FL42" s="100" t="n"/>
      <x:c r="FM42" s="100" t="n"/>
      <x:c r="FN42" s="100" t="n"/>
      <x:c r="FO42" s="100" t="n"/>
    </x:row>
    <x:row r="43" s="27" customFormat="1">
      <x:c r="A43" s="125" t="n"/>
      <x:c r="B43" s="39" t="n"/>
      <x:c r="C43" s="86" t="n">
        <x:f>E43*D$5</x:f>
        <x:v>0</x:v>
      </x:c>
      <x:c r="D43" s="523" t="inlineStr">
        <x:is>
          <x:t xml:space="preserve">Arrowhead Resources, Inc.</x:t>
        </x:is>
      </x:c>
      <x:c r="E43" s="86" t="n">
        <x:f>SUM(G43:HH43)</x:f>
        <x:v>0</x:v>
      </x:c>
      <x:c r="F43" s="35" t="n"/>
      <x:c r="G43" s="121" t="n"/>
      <x:c r="H43" s="122" t="n"/>
      <x:c r="I43" s="122" t="n"/>
      <x:c r="J43" s="122" t="n"/>
      <x:c r="K43" s="122" t="n"/>
      <x:c r="L43" s="122" t="n"/>
      <x:c r="M43" s="123" t="n"/>
      <x:c r="N43" s="123" t="n"/>
      <x:c r="O43" s="123" t="n"/>
      <x:c r="P43" s="124" t="n"/>
      <x:c r="Q43" s="123" t="n"/>
      <x:c r="R43" s="123" t="n"/>
      <x:c r="S43" s="123" t="n"/>
      <x:c r="T43" s="123" t="n"/>
      <x:c r="U43" s="123" t="n"/>
      <x:c r="V43" s="123" t="n"/>
      <x:c r="W43" s="123" t="n"/>
      <x:c r="X43" s="123" t="n"/>
      <x:c r="Y43" s="123" t="n"/>
      <x:c r="Z43" s="123" t="n"/>
      <x:c r="AA43" s="123" t="n"/>
      <x:c r="AB43" s="123" t="n"/>
      <x:c r="AC43" s="123" t="n"/>
      <x:c r="AD43" s="123" t="n"/>
      <x:c r="AE43" s="123" t="n"/>
      <x:c r="AF43" s="123" t="n"/>
      <x:c r="AG43" s="123" t="n"/>
      <x:c r="AH43" s="123" t="n"/>
      <x:c r="AI43" s="123" t="n"/>
      <x:c r="AJ43" s="123" t="n"/>
      <x:c r="AK43" s="124" t="n"/>
      <x:c r="AL43" s="123" t="n"/>
      <x:c r="AM43" s="123" t="n"/>
      <x:c r="AN43" s="123" t="n"/>
      <x:c r="AO43" s="123" t="n"/>
      <x:c r="AP43" s="123" t="n"/>
      <x:c r="AQ43" s="123" t="n"/>
      <x:c r="AR43" s="100" t="n"/>
      <x:c r="AS43" s="100" t="n"/>
      <x:c r="AT43" s="100" t="n"/>
      <x:c r="AU43" s="100" t="n"/>
      <x:c r="AV43" s="100" t="n"/>
      <x:c r="AW43" s="100" t="n"/>
      <x:c r="AX43" s="100" t="n"/>
      <x:c r="AY43" s="100" t="n"/>
      <x:c r="AZ43" s="100" t="n"/>
      <x:c r="BA43" s="100" t="n"/>
      <x:c r="BB43" s="100" t="n"/>
      <x:c r="BC43" s="100" t="n"/>
      <x:c r="BD43" s="100" t="n"/>
      <x:c r="BE43" s="100" t="n"/>
      <x:c r="BF43" s="100" t="n"/>
      <x:c r="BG43" s="100" t="n"/>
      <x:c r="BH43" s="100" t="n"/>
      <x:c r="BI43" s="100" t="n"/>
      <x:c r="BJ43" s="100" t="n"/>
      <x:c r="BK43" s="100" t="n"/>
      <x:c r="BL43" s="100" t="n"/>
      <x:c r="BM43" s="100" t="n"/>
      <x:c r="BN43" s="100" t="n"/>
      <x:c r="BO43" s="100" t="n"/>
      <x:c r="BP43" s="100" t="n"/>
      <x:c r="BQ43" s="100" t="n"/>
      <x:c r="BR43" s="100" t="n"/>
      <x:c r="BS43" s="100" t="n"/>
      <x:c r="BT43" s="100" t="n"/>
      <x:c r="BU43" s="100" t="n"/>
      <x:c r="BV43" s="100" t="n"/>
      <x:c r="BW43" s="100" t="n"/>
      <x:c r="BX43" s="100" t="n"/>
      <x:c r="BY43" s="100" t="n"/>
      <x:c r="BZ43" s="100" t="n"/>
      <x:c r="CA43" s="100" t="n"/>
      <x:c r="CB43" s="100" t="n"/>
      <x:c r="CC43" s="100" t="n"/>
      <x:c r="CD43" s="100" t="n"/>
      <x:c r="CE43" s="100" t="n"/>
      <x:c r="CF43" s="100" t="n"/>
      <x:c r="CG43" s="100" t="n"/>
      <x:c r="CH43" s="100" t="n"/>
      <x:c r="CI43" s="100" t="n"/>
      <x:c r="CJ43" s="100" t="n"/>
      <x:c r="CK43" s="100" t="n"/>
      <x:c r="CL43" s="100" t="n"/>
      <x:c r="CM43" s="100" t="n"/>
      <x:c r="CN43" s="100" t="n"/>
      <x:c r="CO43" s="100" t="n"/>
      <x:c r="CP43" s="100" t="n"/>
      <x:c r="CQ43" s="100" t="n"/>
      <x:c r="CR43" s="100" t="n"/>
      <x:c r="CS43" s="100" t="n"/>
      <x:c r="CT43" s="100" t="n"/>
      <x:c r="CU43" s="100" t="n"/>
      <x:c r="CV43" s="100" t="n"/>
      <x:c r="CW43" s="100" t="n"/>
      <x:c r="CX43" s="100" t="n"/>
      <x:c r="CY43" s="100" t="n"/>
      <x:c r="CZ43" s="100" t="n"/>
      <x:c r="DA43" s="100" t="n"/>
      <x:c r="DB43" s="100" t="n"/>
      <x:c r="DC43" s="100" t="n"/>
      <x:c r="DD43" s="100" t="n"/>
      <x:c r="DE43" s="100" t="n"/>
      <x:c r="DF43" s="100" t="n"/>
      <x:c r="DG43" s="100" t="n"/>
      <x:c r="DH43" s="100" t="n"/>
      <x:c r="DI43" s="100" t="n"/>
      <x:c r="DJ43" s="100" t="n"/>
      <x:c r="DK43" s="100" t="n"/>
      <x:c r="DL43" s="100" t="n"/>
      <x:c r="DM43" s="100" t="n"/>
      <x:c r="DN43" s="100" t="n"/>
      <x:c r="DO43" s="100" t="n"/>
      <x:c r="DP43" s="100" t="n"/>
      <x:c r="DQ43" s="100" t="n"/>
      <x:c r="DR43" s="100" t="n"/>
      <x:c r="DS43" s="100" t="n"/>
      <x:c r="DT43" s="100" t="n"/>
      <x:c r="DU43" s="100" t="n"/>
      <x:c r="DV43" s="100" t="n"/>
      <x:c r="DW43" s="100" t="n"/>
      <x:c r="DX43" s="100" t="n"/>
      <x:c r="DY43" s="100" t="n"/>
      <x:c r="DZ43" s="100" t="n"/>
      <x:c r="EA43" s="100" t="n"/>
      <x:c r="EB43" s="100" t="n"/>
      <x:c r="EC43" s="100" t="n"/>
      <x:c r="ED43" s="100" t="n"/>
      <x:c r="EE43" s="100" t="n"/>
      <x:c r="EF43" s="100" t="n"/>
      <x:c r="EG43" s="100" t="n"/>
      <x:c r="EH43" s="100" t="n"/>
      <x:c r="EI43" s="100" t="n"/>
      <x:c r="EJ43" s="100" t="n"/>
      <x:c r="EK43" s="100" t="n"/>
      <x:c r="EL43" s="100" t="n"/>
      <x:c r="EM43" s="100" t="n"/>
      <x:c r="EN43" s="100" t="n"/>
      <x:c r="EO43" s="100" t="n"/>
      <x:c r="EP43" s="100" t="n"/>
      <x:c r="EQ43" s="100" t="n"/>
      <x:c r="ER43" s="100" t="n"/>
      <x:c r="ES43" s="100" t="n"/>
      <x:c r="ET43" s="100" t="n"/>
      <x:c r="EU43" s="100" t="n"/>
      <x:c r="EV43" s="100" t="n"/>
      <x:c r="EW43" s="100" t="n"/>
      <x:c r="EX43" s="100" t="n"/>
      <x:c r="EY43" s="100" t="n"/>
      <x:c r="EZ43" s="100" t="n"/>
      <x:c r="FA43" s="100" t="n"/>
      <x:c r="FB43" s="100" t="n"/>
      <x:c r="FC43" s="100" t="n"/>
      <x:c r="FD43" s="100" t="n"/>
      <x:c r="FE43" s="100" t="n"/>
      <x:c r="FF43" s="100" t="n"/>
      <x:c r="FG43" s="100" t="n"/>
      <x:c r="FH43" s="100" t="n"/>
      <x:c r="FI43" s="100" t="n"/>
      <x:c r="FJ43" s="100" t="n"/>
      <x:c r="FK43" s="100" t="n"/>
      <x:c r="FL43" s="100" t="n"/>
      <x:c r="FM43" s="100" t="n"/>
      <x:c r="FN43" s="100" t="n"/>
      <x:c r="FO43" s="100" t="n"/>
    </x:row>
    <x:row r="44" s="27" customFormat="1" ht="12" customHeight="1">
      <x:c r="A44" s="125" t="n"/>
      <x:c r="B44" s="39" t="n"/>
      <x:c r="C44" s="86" t="n">
        <x:f>E44*D$5</x:f>
        <x:v>0</x:v>
      </x:c>
      <x:c r="D44" s="4" t="inlineStr">
        <x:is>
          <x:t xml:space="preserve">Sandra York, aka Sandra Lorraine York, aka Sandra Lorrain York, Individually and as heir of Virgil Hambrook</x:t>
        </x:is>
      </x:c>
      <x:c r="E44" s="86" t="n">
        <x:f>SUM(G44:HT44)</x:f>
        <x:v>0</x:v>
      </x:c>
      <x:c r="F44" s="35" t="n"/>
      <x:c r="G44" s="121" t="n"/>
      <x:c r="H44" s="121" t="n"/>
      <x:c r="I44" s="121" t="n"/>
      <x:c r="J44" s="121" t="n"/>
      <x:c r="K44" s="121" t="n"/>
      <x:c r="L44" s="121" t="n"/>
      <x:c r="M44" s="121" t="n"/>
      <x:c r="N44" s="121" t="n"/>
      <x:c r="O44" s="121" t="n"/>
      <x:c r="P44" s="121" t="n"/>
      <x:c r="Q44" s="121" t="n"/>
      <x:c r="R44" s="123" t="n"/>
      <x:c r="S44" s="123" t="n"/>
      <x:c r="T44" s="121" t="n"/>
      <x:c r="U44" s="121" t="n"/>
      <x:c r="V44" s="121" t="n"/>
      <x:c r="W44" s="121" t="n"/>
      <x:c r="X44" s="121" t="n"/>
      <x:c r="Y44" s="121" t="n"/>
      <x:c r="Z44" s="121" t="n"/>
      <x:c r="AA44" s="121" t="n"/>
      <x:c r="AB44" s="121" t="n"/>
      <x:c r="AC44" s="121" t="n"/>
      <x:c r="AD44" s="121" t="n"/>
      <x:c r="AE44" s="123" t="n"/>
      <x:c r="AF44" s="123" t="n"/>
      <x:c r="AG44" s="123" t="n"/>
      <x:c r="AH44" s="123" t="n"/>
      <x:c r="AI44" s="124" t="n"/>
      <x:c r="AJ44" s="124" t="n"/>
      <x:c r="AK44" s="123" t="n"/>
      <x:c r="AL44" s="121" t="n"/>
      <x:c r="AM44" s="123" t="n"/>
      <x:c r="AN44" s="121" t="n"/>
      <x:c r="AO44" s="123" t="n"/>
      <x:c r="AP44" s="121" t="n"/>
      <x:c r="AQ44" s="121" t="n"/>
      <x:c r="AR44" s="28" t="n"/>
      <x:c r="AS44" s="28" t="n"/>
      <x:c r="AT44" s="28" t="n"/>
    </x:row>
    <x:row r="45" s="27" customFormat="1" ht="24" customHeight="1">
      <x:c r="A45" s="125" t="n"/>
      <x:c r="B45" s="39" t="n"/>
      <x:c r="C45" s="86" t="n">
        <x:f>E45*D$5</x:f>
        <x:v>0</x:v>
      </x:c>
      <x:c r="D45" s="523" t="inlineStr">
        <x:is>
          <x:t xml:space="preserve">Roger Mills County Court RE: In the Matter of the Estate of Virgil Mark Hambrook, Deceased</x:t>
        </x:is>
      </x:c>
      <x:c r="E45" s="86" t="n">
        <x:f>SUM(G45:HP45)</x:f>
        <x:v>0</x:v>
      </x:c>
      <x:c r="F45" s="35" t="n"/>
      <x:c r="G45" s="121" t="n"/>
      <x:c r="H45" s="123" t="n"/>
      <x:c r="I45" s="123" t="n"/>
      <x:c r="J45" s="123" t="n"/>
      <x:c r="K45" s="123" t="n"/>
      <x:c r="L45" s="123" t="n"/>
      <x:c r="M45" s="123" t="n"/>
      <x:c r="N45" s="124" t="n"/>
      <x:c r="O45" s="124" t="n"/>
      <x:c r="P45" s="123" t="n"/>
      <x:c r="Q45" s="123" t="n"/>
      <x:c r="R45" s="123" t="n"/>
      <x:c r="S45" s="123" t="n"/>
      <x:c r="T45" s="123" t="n"/>
      <x:c r="U45" s="123" t="n"/>
      <x:c r="V45" s="123" t="n"/>
      <x:c r="W45" s="123" t="n"/>
      <x:c r="X45" s="123" t="n"/>
      <x:c r="Y45" s="123" t="n"/>
      <x:c r="Z45" s="123" t="n"/>
      <x:c r="AA45" s="123" t="n"/>
      <x:c r="AB45" s="123" t="n"/>
      <x:c r="AC45" s="121" t="n"/>
      <x:c r="AD45" s="123" t="n"/>
      <x:c r="AE45" s="123" t="n"/>
      <x:c r="AF45" s="123" t="n"/>
      <x:c r="AG45" s="123" t="n"/>
      <x:c r="AH45" s="123" t="n"/>
      <x:c r="AI45" s="123" t="n"/>
      <x:c r="AJ45" s="123" t="n"/>
      <x:c r="AK45" s="124" t="n"/>
      <x:c r="AL45" s="123" t="n"/>
      <x:c r="AM45" s="121" t="n"/>
      <x:c r="AN45" s="123" t="n"/>
      <x:c r="AO45" s="123" t="n"/>
      <x:c r="AP45" s="123" t="n"/>
      <x:c r="AQ45" s="123" t="n"/>
      <x:c r="AR45" s="100" t="n"/>
      <x:c r="AS45" s="100" t="n"/>
      <x:c r="AT45" s="100" t="n"/>
      <x:c r="AU45" s="100" t="n"/>
      <x:c r="AV45" s="100" t="n"/>
      <x:c r="AW45" s="100" t="n"/>
      <x:c r="AX45" s="100" t="n"/>
      <x:c r="AY45" s="100" t="n"/>
      <x:c r="AZ45" s="100" t="n"/>
      <x:c r="BA45" s="100" t="n"/>
      <x:c r="BB45" s="100" t="n"/>
      <x:c r="BC45" s="100" t="n"/>
      <x:c r="BD45" s="100" t="inlineStr">
        <x:is>
          <x:t xml:space="preserve"> </x:t>
        </x:is>
      </x:c>
      <x:c r="BE45" s="100" t="n"/>
      <x:c r="BF45" s="100" t="n"/>
      <x:c r="BG45" s="100" t="n"/>
      <x:c r="BH45" s="100" t="n"/>
      <x:c r="BI45" s="100" t="n"/>
      <x:c r="BJ45" s="100" t="n"/>
      <x:c r="BK45" s="100" t="n"/>
      <x:c r="BL45" s="100" t="n"/>
      <x:c r="BM45" s="100" t="n"/>
      <x:c r="BN45" s="100" t="n"/>
      <x:c r="BO45" s="100" t="n"/>
      <x:c r="BP45" s="100" t="n"/>
      <x:c r="BQ45" s="100" t="n"/>
      <x:c r="BR45" s="100" t="n"/>
      <x:c r="BS45" s="100" t="n"/>
      <x:c r="BT45" s="100" t="n"/>
      <x:c r="BU45" s="100" t="n"/>
      <x:c r="BV45" s="100" t="n"/>
      <x:c r="BW45" s="100" t="n"/>
      <x:c r="BX45" s="100" t="n"/>
      <x:c r="BY45" s="100" t="n"/>
      <x:c r="BZ45" s="100" t="n"/>
      <x:c r="CA45" s="100" t="n"/>
      <x:c r="CB45" s="100" t="n"/>
      <x:c r="CC45" s="100" t="n"/>
      <x:c r="CD45" s="100" t="n"/>
      <x:c r="CE45" s="100" t="n"/>
      <x:c r="CF45" s="100" t="n"/>
      <x:c r="CG45" s="100" t="n"/>
      <x:c r="CH45" s="100" t="n"/>
      <x:c r="CI45" s="100" t="n"/>
      <x:c r="CJ45" s="100" t="n"/>
      <x:c r="CK45" s="100" t="n"/>
      <x:c r="CL45" s="100" t="n"/>
      <x:c r="CM45" s="100" t="n"/>
      <x:c r="CN45" s="100" t="n"/>
      <x:c r="CO45" s="100" t="n"/>
      <x:c r="CP45" s="100" t="n"/>
      <x:c r="CQ45" s="100" t="n"/>
      <x:c r="CR45" s="100" t="n"/>
      <x:c r="CS45" s="100" t="n"/>
      <x:c r="CT45" s="100" t="n"/>
      <x:c r="CU45" s="100" t="n"/>
      <x:c r="CV45" s="100" t="n"/>
      <x:c r="CW45" s="100" t="n"/>
      <x:c r="CX45" s="100" t="n"/>
      <x:c r="CY45" s="100" t="n"/>
      <x:c r="CZ45" s="100" t="n"/>
      <x:c r="DA45" s="100" t="n"/>
      <x:c r="DB45" s="100" t="n"/>
      <x:c r="DC45" s="100" t="n"/>
      <x:c r="DD45" s="100" t="n"/>
      <x:c r="DE45" s="100" t="n"/>
      <x:c r="DF45" s="100" t="n"/>
      <x:c r="DG45" s="100" t="n"/>
      <x:c r="DH45" s="100" t="n"/>
      <x:c r="DI45" s="100" t="n"/>
      <x:c r="DJ45" s="100" t="n"/>
      <x:c r="DK45" s="100" t="n"/>
      <x:c r="DL45" s="100" t="n"/>
      <x:c r="DM45" s="100" t="n"/>
      <x:c r="DN45" s="100" t="n"/>
      <x:c r="DO45" s="100" t="n"/>
      <x:c r="DP45" s="100" t="n"/>
      <x:c r="DQ45" s="100" t="n"/>
      <x:c r="DR45" s="100" t="n"/>
      <x:c r="DS45" s="100" t="n"/>
      <x:c r="DT45" s="100" t="n"/>
      <x:c r="DU45" s="100" t="n"/>
      <x:c r="DV45" s="100" t="n"/>
      <x:c r="DW45" s="100" t="n"/>
      <x:c r="DX45" s="100" t="n"/>
      <x:c r="DY45" s="100" t="n"/>
      <x:c r="DZ45" s="100" t="n"/>
      <x:c r="EA45" s="100" t="n"/>
      <x:c r="EB45" s="100" t="n"/>
      <x:c r="EC45" s="100" t="n"/>
      <x:c r="ED45" s="100" t="n"/>
      <x:c r="EE45" s="100" t="n"/>
      <x:c r="EF45" s="100" t="n"/>
      <x:c r="EG45" s="100" t="n"/>
      <x:c r="EH45" s="100" t="n"/>
      <x:c r="EI45" s="100" t="n"/>
      <x:c r="EJ45" s="100" t="n"/>
      <x:c r="EK45" s="100" t="n"/>
      <x:c r="EL45" s="100" t="n"/>
      <x:c r="EM45" s="100" t="n"/>
      <x:c r="EN45" s="100" t="n"/>
      <x:c r="EO45" s="100" t="n"/>
      <x:c r="EP45" s="100" t="n"/>
      <x:c r="EQ45" s="100" t="n"/>
      <x:c r="ER45" s="100" t="n"/>
      <x:c r="ES45" s="100" t="n"/>
      <x:c r="ET45" s="100" t="n"/>
      <x:c r="EU45" s="100" t="n"/>
      <x:c r="EV45" s="100" t="n"/>
      <x:c r="EW45" s="100" t="n"/>
      <x:c r="EX45" s="100" t="n"/>
      <x:c r="EY45" s="100" t="n"/>
      <x:c r="EZ45" s="100" t="n"/>
      <x:c r="FA45" s="100" t="n"/>
      <x:c r="FB45" s="100" t="n"/>
      <x:c r="FC45" s="100" t="n"/>
      <x:c r="FD45" s="100" t="n"/>
      <x:c r="FE45" s="100" t="n"/>
      <x:c r="FF45" s="100" t="n"/>
      <x:c r="FG45" s="100" t="n"/>
      <x:c r="FH45" s="100" t="n"/>
      <x:c r="FI45" s="100" t="n"/>
      <x:c r="FJ45" s="100" t="n"/>
      <x:c r="FK45" s="100" t="n"/>
      <x:c r="FL45" s="100" t="n"/>
      <x:c r="FM45" s="100" t="n"/>
      <x:c r="FN45" s="100" t="n"/>
      <x:c r="FO45" s="100" t="n"/>
      <x:c r="FP45" s="100" t="n"/>
      <x:c r="FQ45" s="100" t="n"/>
      <x:c r="FR45" s="100" t="n"/>
      <x:c r="FS45" s="100" t="n"/>
      <x:c r="FT45" s="100" t="n"/>
      <x:c r="FU45" s="100" t="n"/>
      <x:c r="FV45" s="100" t="n"/>
      <x:c r="FW45" s="100" t="n"/>
    </x:row>
    <x:row r="46" s="27" customFormat="1" ht="24" customHeight="1">
      <x:c r="A46" s="125" t="n"/>
      <x:c r="B46" s="39" t="n"/>
      <x:c r="C46" s="86" t="n">
        <x:f>E46*D$5</x:f>
        <x:v>0</x:v>
      </x:c>
      <x:c r="D46" s="4" t="inlineStr">
        <x:is>
          <x:t xml:space="preserve">Sandra York, a/k/a Sandra Lorraine York, a/k/a Sandra Lorrain York</x:t>
        </x:is>
      </x:c>
      <x:c r="E46" s="86" t="n">
        <x:f>SUM(G46:HT46)</x:f>
        <x:v>0</x:v>
      </x:c>
      <x:c r="F46" s="35" t="n"/>
      <x:c r="G46" s="121" t="n"/>
      <x:c r="H46" s="121" t="n"/>
      <x:c r="I46" s="121" t="n"/>
      <x:c r="J46" s="121" t="n"/>
      <x:c r="K46" s="121" t="n"/>
      <x:c r="L46" s="121" t="n"/>
      <x:c r="M46" s="121" t="n"/>
      <x:c r="N46" s="121" t="n"/>
      <x:c r="O46" s="121" t="n"/>
      <x:c r="P46" s="121" t="n"/>
      <x:c r="Q46" s="121" t="n"/>
      <x:c r="R46" s="123" t="n"/>
      <x:c r="S46" s="123" t="n"/>
      <x:c r="T46" s="121" t="n"/>
      <x:c r="U46" s="121" t="n"/>
      <x:c r="V46" s="121" t="n"/>
      <x:c r="W46" s="121" t="n"/>
      <x:c r="X46" s="121" t="n"/>
      <x:c r="Y46" s="121" t="n"/>
      <x:c r="Z46" s="121" t="n"/>
      <x:c r="AA46" s="121" t="n"/>
      <x:c r="AB46" s="121" t="n"/>
      <x:c r="AC46" s="121" t="n"/>
      <x:c r="AD46" s="121" t="n"/>
      <x:c r="AE46" s="123" t="n"/>
      <x:c r="AF46" s="123" t="n"/>
      <x:c r="AG46" s="123" t="n"/>
      <x:c r="AH46" s="123" t="n"/>
      <x:c r="AI46" s="123" t="n"/>
      <x:c r="AJ46" s="123" t="n"/>
      <x:c r="AK46" s="124" t="n"/>
      <x:c r="AL46" s="121" t="n"/>
      <x:c r="AM46" s="123" t="n"/>
      <x:c r="AN46" s="129" t="n"/>
      <x:c r="AO46" s="123" t="n"/>
      <x:c r="AP46" s="121" t="n"/>
      <x:c r="AQ46" s="121" t="n"/>
      <x:c r="AR46" s="28" t="n"/>
      <x:c r="AS46" s="28" t="n"/>
      <x:c r="AT46" s="28" t="n"/>
    </x:row>
    <x:row r="47" s="27" customFormat="1">
      <x:c r="A47" s="125" t="n"/>
      <x:c r="B47" s="39" t="n"/>
      <x:c r="C47" s="86" t="n">
        <x:f>E47*D$5</x:f>
        <x:v>0</x:v>
      </x:c>
      <x:c r="D47" s="523" t="inlineStr">
        <x:is>
          <x:t xml:space="preserve">Koala Pordution Company</x:t>
        </x:is>
      </x:c>
      <x:c r="E47" s="86" t="n">
        <x:f>SUM(G47:HT47)</x:f>
        <x:v>0</x:v>
      </x:c>
      <x:c r="F47" s="35" t="n"/>
      <x:c r="G47" s="121" t="n"/>
      <x:c r="H47" s="121" t="n"/>
      <x:c r="I47" s="121" t="n"/>
      <x:c r="J47" s="121" t="n"/>
      <x:c r="K47" s="121" t="n"/>
      <x:c r="L47" s="121" t="n"/>
      <x:c r="M47" s="121" t="n"/>
      <x:c r="N47" s="121" t="n"/>
      <x:c r="O47" s="121" t="n"/>
      <x:c r="P47" s="121" t="n"/>
      <x:c r="Q47" s="121" t="n"/>
      <x:c r="R47" s="123" t="n"/>
      <x:c r="S47" s="123" t="n"/>
      <x:c r="T47" s="121" t="n"/>
      <x:c r="U47" s="121" t="n"/>
      <x:c r="V47" s="121" t="n"/>
      <x:c r="W47" s="121" t="n"/>
      <x:c r="X47" s="121" t="n"/>
      <x:c r="Y47" s="121" t="n"/>
      <x:c r="Z47" s="121" t="n"/>
      <x:c r="AA47" s="121" t="n"/>
      <x:c r="AB47" s="121" t="n"/>
      <x:c r="AC47" s="121" t="n"/>
      <x:c r="AD47" s="121" t="n"/>
      <x:c r="AE47" s="123" t="n"/>
      <x:c r="AF47" s="123" t="n"/>
      <x:c r="AG47" s="123" t="n"/>
      <x:c r="AH47" s="123" t="n"/>
      <x:c r="AI47" s="123" t="n"/>
      <x:c r="AJ47" s="123" t="n"/>
      <x:c r="AK47" s="123" t="n"/>
      <x:c r="AL47" s="121" t="n"/>
      <x:c r="AM47" s="123" t="n"/>
      <x:c r="AN47" s="129" t="n"/>
      <x:c r="AO47" s="124" t="n"/>
      <x:c r="AP47" s="121" t="n"/>
      <x:c r="AQ47" s="121" t="n"/>
      <x:c r="AR47" s="28" t="n"/>
      <x:c r="AS47" s="28" t="n"/>
      <x:c r="AT47" s="28" t="n"/>
    </x:row>
    <x:row r="48" s="27" customFormat="1">
      <x:c r="A48" s="125" t="n"/>
      <x:c r="B48" s="39" t="n"/>
      <x:c r="C48" s="36" t="n">
        <x:f>E48*D$5</x:f>
        <x:v>0</x:v>
      </x:c>
      <x:c r="D48" s="4" t="inlineStr">
        <x:is>
          <x:t xml:space="preserve">Chisholm Royalty Partners</x:t>
        </x:is>
      </x:c>
      <x:c r="E48" s="36" t="n">
        <x:f>SUM(G48:HT48)</x:f>
        <x:v>0</x:v>
      </x:c>
      <x:c r="F48" s="35" t="n"/>
      <x:c r="G48" s="121" t="n"/>
      <x:c r="H48" s="121" t="n"/>
      <x:c r="I48" s="121" t="n"/>
      <x:c r="J48" s="121" t="n"/>
      <x:c r="K48" s="121" t="n"/>
      <x:c r="L48" s="121" t="n"/>
      <x:c r="M48" s="121" t="n"/>
      <x:c r="N48" s="121" t="n"/>
      <x:c r="O48" s="121" t="n"/>
      <x:c r="P48" s="121" t="n"/>
      <x:c r="Q48" s="121" t="n"/>
      <x:c r="R48" s="123" t="n"/>
      <x:c r="S48" s="123" t="n"/>
      <x:c r="T48" s="121" t="n"/>
      <x:c r="U48" s="121" t="n"/>
      <x:c r="V48" s="121" t="n"/>
      <x:c r="W48" s="121" t="n"/>
      <x:c r="X48" s="121" t="n"/>
      <x:c r="Y48" s="121" t="n"/>
      <x:c r="Z48" s="121" t="n"/>
      <x:c r="AA48" s="121" t="n"/>
      <x:c r="AB48" s="121" t="n"/>
      <x:c r="AC48" s="121" t="n"/>
      <x:c r="AD48" s="121" t="n"/>
      <x:c r="AE48" s="123" t="n"/>
      <x:c r="AF48" s="123" t="n"/>
      <x:c r="AG48" s="123" t="n"/>
      <x:c r="AH48" s="123" t="n"/>
      <x:c r="AI48" s="123" t="n"/>
      <x:c r="AJ48" s="123" t="n"/>
      <x:c r="AK48" s="123" t="n"/>
      <x:c r="AL48" s="121" t="n"/>
      <x:c r="AM48" s="123" t="n"/>
      <x:c r="AN48" s="129" t="n"/>
      <x:c r="AO48" s="124" t="n"/>
      <x:c r="AP48" s="121" t="n"/>
      <x:c r="AQ48" s="121" t="n"/>
      <x:c r="AR48" s="28" t="n"/>
      <x:c r="AS48" s="28" t="n"/>
      <x:c r="AT48" s="28" t="n"/>
    </x:row>
    <x:row r="49" s="27" customFormat="1">
      <x:c r="A49" s="125" t="n"/>
      <x:c r="B49" s="39" t="n"/>
      <x:c r="C49" s="86" t="n">
        <x:f>E49*D$5</x:f>
        <x:v>0</x:v>
      </x:c>
      <x:c r="D49" s="523" t="inlineStr">
        <x:is>
          <x:t xml:space="preserve">Fleshman Agency</x:t>
        </x:is>
      </x:c>
      <x:c r="E49" s="36" t="n">
        <x:f>SUM(G49:HT49)</x:f>
        <x:v>0</x:v>
      </x:c>
      <x:c r="F49" s="35" t="n"/>
      <x:c r="G49" s="121" t="n"/>
      <x:c r="H49" s="121" t="n"/>
      <x:c r="I49" s="121" t="n"/>
      <x:c r="J49" s="121" t="n"/>
      <x:c r="K49" s="121" t="n"/>
      <x:c r="L49" s="121" t="n"/>
      <x:c r="M49" s="121" t="n"/>
      <x:c r="N49" s="121" t="n"/>
      <x:c r="O49" s="121" t="n"/>
      <x:c r="P49" s="121" t="n"/>
      <x:c r="Q49" s="121" t="n"/>
      <x:c r="R49" s="123" t="n"/>
      <x:c r="S49" s="123" t="n"/>
      <x:c r="T49" s="121" t="n"/>
      <x:c r="U49" s="121" t="n"/>
      <x:c r="V49" s="121" t="n"/>
      <x:c r="W49" s="121" t="n"/>
      <x:c r="X49" s="121" t="n"/>
      <x:c r="Y49" s="121" t="n"/>
      <x:c r="Z49" s="121" t="n"/>
      <x:c r="AA49" s="121" t="n"/>
      <x:c r="AB49" s="121" t="n"/>
      <x:c r="AC49" s="121" t="n"/>
      <x:c r="AD49" s="121" t="n"/>
      <x:c r="AE49" s="123" t="n"/>
      <x:c r="AF49" s="123" t="n"/>
      <x:c r="AG49" s="123" t="n"/>
      <x:c r="AH49" s="123" t="n"/>
      <x:c r="AI49" s="123" t="n"/>
      <x:c r="AJ49" s="123" t="n"/>
      <x:c r="AK49" s="123" t="n"/>
      <x:c r="AL49" s="121" t="n"/>
      <x:c r="AM49" s="123" t="n"/>
      <x:c r="AN49" s="121" t="n"/>
      <x:c r="AO49" s="124" t="n"/>
      <x:c r="AP49" s="121" t="n"/>
      <x:c r="AQ49" s="121" t="n"/>
      <x:c r="AR49" s="28" t="n"/>
      <x:c r="AS49" s="28" t="n"/>
      <x:c r="AT49" s="28" t="n"/>
    </x:row>
    <x:row r="50" s="27" customFormat="1">
      <x:c r="A50" s="38" t="n"/>
      <x:c r="B50" s="37" t="n"/>
      <x:c r="C50" s="36" t="n">
        <x:f>E50*D$5</x:f>
        <x:v>0</x:v>
      </x:c>
      <x:c r="D50" s="4" t="inlineStr">
        <x:is>
          <x:t xml:space="preserve">Mekusukey Oil Company, LLC</x:t>
        </x:is>
      </x:c>
      <x:c r="E50" s="36" t="n">
        <x:f>SUM(G50:HT50)</x:f>
        <x:v>0</x:v>
      </x:c>
      <x:c r="G50" s="122" t="n"/>
      <x:c r="H50" s="121" t="n"/>
      <x:c r="I50" s="121" t="n"/>
      <x:c r="J50" s="121" t="n"/>
      <x:c r="K50" s="121" t="n"/>
      <x:c r="L50" s="121" t="n"/>
      <x:c r="M50" s="121" t="n"/>
      <x:c r="N50" s="121" t="n"/>
      <x:c r="O50" s="121" t="n"/>
      <x:c r="P50" s="121" t="n"/>
      <x:c r="Q50" s="121" t="n"/>
      <x:c r="R50" s="123" t="n"/>
      <x:c r="S50" s="123" t="n"/>
      <x:c r="T50" s="121" t="n"/>
      <x:c r="U50" s="121" t="n"/>
      <x:c r="V50" s="121" t="n"/>
      <x:c r="W50" s="121" t="n"/>
      <x:c r="X50" s="121" t="n"/>
      <x:c r="Y50" s="121" t="n"/>
      <x:c r="Z50" s="121" t="n"/>
      <x:c r="AA50" s="121" t="n"/>
      <x:c r="AB50" s="121" t="n"/>
      <x:c r="AC50" s="122" t="n"/>
      <x:c r="AD50" s="121" t="n"/>
      <x:c r="AE50" s="123" t="n"/>
      <x:c r="AF50" s="123" t="n"/>
      <x:c r="AG50" s="123" t="n"/>
      <x:c r="AH50" s="123" t="n"/>
      <x:c r="AI50" s="123" t="n"/>
      <x:c r="AJ50" s="123" t="n"/>
      <x:c r="AK50" s="123" t="n"/>
      <x:c r="AL50" s="121" t="n"/>
      <x:c r="AM50" s="123" t="n"/>
      <x:c r="AN50" s="121" t="n"/>
      <x:c r="AO50" s="123" t="n"/>
      <x:c r="AP50" s="121" t="n"/>
      <x:c r="AQ50" s="121" t="n"/>
      <x:c r="AR50" s="28" t="n"/>
      <x:c r="AS50" s="28" t="n"/>
      <x:c r="AT50" s="28" t="n"/>
    </x:row>
    <x:row r="51" s="27" customFormat="1" ht="36" customHeight="1">
      <x:c r="A51" s="38" t="n"/>
      <x:c r="B51" s="37" t="n"/>
      <x:c r="C51" s="36" t="n">
        <x:f>E51*D$5</x:f>
        <x:v>0</x:v>
      </x:c>
      <x:c r="D51" s="4" t="inlineStr">
        <x:is>
          <x:t xml:space="preserve">Kiowa County Court, RE: In the Matter of the Probate of The Last Will and Testament of Nancy Mitchell WILLIAMS, Deceased</x:t>
        </x:is>
      </x:c>
      <x:c r="E51" s="36" t="n">
        <x:f>SUM(G51:HT51)</x:f>
        <x:v>0</x:v>
      </x:c>
      <x:c r="G51" s="122" t="n"/>
      <x:c r="H51" s="121" t="n"/>
      <x:c r="I51" s="121" t="n"/>
      <x:c r="J51" s="121" t="n"/>
      <x:c r="K51" s="121" t="n"/>
      <x:c r="L51" s="121" t="n"/>
      <x:c r="M51" s="121" t="n"/>
      <x:c r="N51" s="121" t="n"/>
      <x:c r="O51" s="121" t="n"/>
      <x:c r="P51" s="121" t="n"/>
      <x:c r="Q51" s="121" t="n"/>
      <x:c r="R51" s="123" t="n"/>
      <x:c r="S51" s="123" t="n"/>
      <x:c r="T51" s="121" t="n"/>
      <x:c r="U51" s="121" t="n"/>
      <x:c r="V51" s="121" t="n"/>
      <x:c r="W51" s="121" t="n"/>
      <x:c r="X51" s="121" t="n"/>
      <x:c r="Y51" s="121" t="n"/>
      <x:c r="Z51" s="121" t="n"/>
      <x:c r="AA51" s="121" t="n"/>
      <x:c r="AB51" s="121" t="n"/>
      <x:c r="AC51" s="121" t="n"/>
      <x:c r="AD51" s="121" t="n"/>
      <x:c r="AE51" s="123" t="n"/>
      <x:c r="AF51" s="123" t="n"/>
      <x:c r="AG51" s="123" t="n"/>
      <x:c r="AH51" s="123" t="n"/>
      <x:c r="AI51" s="123" t="n"/>
      <x:c r="AJ51" s="123" t="n"/>
      <x:c r="AK51" s="123" t="n"/>
      <x:c r="AL51" s="121" t="n"/>
      <x:c r="AM51" s="123" t="n"/>
      <x:c r="AN51" s="121" t="n"/>
      <x:c r="AO51" s="123" t="n"/>
      <x:c r="AP51" s="121" t="n"/>
      <x:c r="AQ51" s="121" t="n"/>
      <x:c r="AR51" s="28" t="n"/>
      <x:c r="AS51" s="28" t="n"/>
      <x:c r="AT51" s="28" t="n"/>
    </x:row>
    <x:row r="52" s="27" customFormat="1">
      <x:c r="A52" s="38" t="n"/>
      <x:c r="B52" s="37" t="n"/>
      <x:c r="C52" s="86" t="n">
        <x:f>E52*D$5</x:f>
        <x:v>0</x:v>
      </x:c>
      <x:c r="D52" s="4" t="inlineStr">
        <x:is>
          <x:t xml:space="preserve">Gene G. Williams</x:t>
        </x:is>
      </x:c>
      <x:c r="E52" s="86" t="n">
        <x:f>SUM(G52:HT52)</x:f>
        <x:v>0</x:v>
      </x:c>
      <x:c r="G52" s="122" t="n"/>
      <x:c r="H52" s="121" t="n"/>
      <x:c r="I52" s="121" t="n"/>
      <x:c r="J52" s="121" t="n"/>
      <x:c r="K52" s="121" t="n"/>
      <x:c r="L52" s="121" t="n"/>
      <x:c r="M52" s="121" t="n"/>
      <x:c r="N52" s="121" t="n"/>
      <x:c r="O52" s="121" t="n"/>
      <x:c r="P52" s="121" t="n"/>
      <x:c r="Q52" s="121" t="n"/>
      <x:c r="R52" s="123" t="n"/>
      <x:c r="S52" s="123" t="n"/>
      <x:c r="T52" s="121" t="n"/>
      <x:c r="U52" s="121" t="n"/>
      <x:c r="V52" s="121" t="n"/>
      <x:c r="W52" s="121" t="n"/>
      <x:c r="X52" s="121" t="n"/>
      <x:c r="Y52" s="121" t="n"/>
      <x:c r="Z52" s="121" t="n"/>
      <x:c r="AA52" s="121" t="n"/>
      <x:c r="AB52" s="121" t="n"/>
      <x:c r="AC52" s="121" t="n"/>
      <x:c r="AD52" s="121" t="n"/>
      <x:c r="AE52" s="123" t="n"/>
      <x:c r="AF52" s="123" t="n"/>
      <x:c r="AG52" s="123" t="n"/>
      <x:c r="AH52" s="123" t="n"/>
      <x:c r="AI52" s="123" t="n"/>
      <x:c r="AJ52" s="123" t="n"/>
      <x:c r="AK52" s="123" t="n"/>
      <x:c r="AL52" s="121" t="n"/>
      <x:c r="AM52" s="123" t="n"/>
      <x:c r="AN52" s="121" t="n"/>
      <x:c r="AO52" s="123" t="n"/>
      <x:c r="AP52" s="121" t="n"/>
      <x:c r="AQ52" s="121" t="n"/>
      <x:c r="AR52" s="28" t="n"/>
      <x:c r="AS52" s="28" t="n"/>
      <x:c r="AT52" s="28" t="n"/>
    </x:row>
    <x:row r="53" s="27" customFormat="1" ht="24" customHeight="1">
      <x:c r="A53" s="38" t="n"/>
      <x:c r="B53" s="37" t="n"/>
      <x:c r="C53" s="86" t="n">
        <x:f>E53*D$5</x:f>
        <x:v>0</x:v>
      </x:c>
      <x:c r="D53" s="4" t="inlineStr">
        <x:is>
          <x:t xml:space="preserve">Roger Mills County Court RE: In the Matter of the Estate of Audy C. Campbella/k/a A.C. CAMPBELL, Deceased</x:t>
        </x:is>
      </x:c>
      <x:c r="E53" s="86" t="n">
        <x:f>SUM(G53:HT53)</x:f>
        <x:v>0</x:v>
      </x:c>
      <x:c r="G53" s="122" t="n"/>
      <x:c r="H53" s="121" t="n"/>
      <x:c r="I53" s="121" t="n"/>
      <x:c r="J53" s="121" t="n"/>
      <x:c r="K53" s="121" t="n"/>
      <x:c r="L53" s="121" t="n"/>
      <x:c r="M53" s="121" t="n"/>
      <x:c r="N53" s="121" t="n"/>
      <x:c r="O53" s="121" t="n"/>
      <x:c r="P53" s="121" t="n"/>
      <x:c r="Q53" s="121" t="n"/>
      <x:c r="R53" s="123" t="n"/>
      <x:c r="S53" s="123" t="n"/>
      <x:c r="T53" s="121" t="n"/>
      <x:c r="U53" s="121" t="n"/>
      <x:c r="V53" s="121" t="n"/>
      <x:c r="W53" s="121" t="n"/>
      <x:c r="X53" s="121" t="n"/>
      <x:c r="Y53" s="121" t="n"/>
      <x:c r="Z53" s="121" t="n"/>
      <x:c r="AA53" s="121" t="n"/>
      <x:c r="AB53" s="121" t="n"/>
      <x:c r="AC53" s="121" t="n"/>
      <x:c r="AD53" s="121" t="n"/>
      <x:c r="AE53" s="123" t="n"/>
      <x:c r="AF53" s="123" t="n"/>
      <x:c r="AG53" s="123" t="n"/>
      <x:c r="AH53" s="123" t="n"/>
      <x:c r="AI53" s="123" t="n"/>
      <x:c r="AJ53" s="123" t="n"/>
      <x:c r="AK53" s="123" t="n"/>
      <x:c r="AL53" s="121" t="n"/>
      <x:c r="AM53" s="123" t="n"/>
      <x:c r="AN53" s="121" t="n"/>
      <x:c r="AO53" s="123" t="n"/>
      <x:c r="AP53" s="121" t="n"/>
      <x:c r="AQ53" s="121" t="n"/>
      <x:c r="AR53" s="28" t="n"/>
      <x:c r="AS53" s="28" t="n"/>
      <x:c r="AT53" s="28" t="n"/>
    </x:row>
    <x:row r="54" s="27" customFormat="1" ht="12.949999809265137" customHeight="1">
      <x:c r="A54" s="38" t="n"/>
      <x:c r="B54" s="37" t="n"/>
      <x:c r="C54" s="36" t="n">
        <x:f>E54*D$5</x:f>
        <x:v>0</x:v>
      </x:c>
      <x:c r="D54" s="4" t="inlineStr">
        <x:is>
          <x:t xml:space="preserve">Janis F. Campbell</x:t>
        </x:is>
      </x:c>
      <x:c r="E54" s="36" t="n">
        <x:f>SUM(G54:HT54)</x:f>
        <x:v>0</x:v>
      </x:c>
      <x:c r="G54" s="122" t="n"/>
      <x:c r="H54" s="121" t="n"/>
      <x:c r="I54" s="121" t="n"/>
      <x:c r="J54" s="121" t="n"/>
      <x:c r="K54" s="121" t="n"/>
      <x:c r="L54" s="121" t="n"/>
      <x:c r="M54" s="121" t="n"/>
      <x:c r="N54" s="121" t="n"/>
      <x:c r="O54" s="121" t="n"/>
      <x:c r="P54" s="121" t="n"/>
      <x:c r="Q54" s="121" t="n"/>
      <x:c r="R54" s="123" t="n"/>
      <x:c r="S54" s="123" t="n"/>
      <x:c r="T54" s="121" t="n"/>
      <x:c r="U54" s="121" t="n"/>
      <x:c r="V54" s="121" t="n"/>
      <x:c r="W54" s="121" t="n"/>
      <x:c r="X54" s="121" t="n"/>
      <x:c r="Y54" s="121" t="n"/>
      <x:c r="Z54" s="121" t="n"/>
      <x:c r="AA54" s="121" t="n"/>
      <x:c r="AB54" s="121" t="n"/>
      <x:c r="AC54" s="121" t="n"/>
      <x:c r="AD54" s="121" t="n"/>
      <x:c r="AE54" s="123" t="n"/>
      <x:c r="AF54" s="123" t="n"/>
      <x:c r="AG54" s="123" t="n"/>
      <x:c r="AH54" s="123" t="n"/>
      <x:c r="AI54" s="123" t="n"/>
      <x:c r="AJ54" s="123" t="n"/>
      <x:c r="AK54" s="123" t="n"/>
      <x:c r="AL54" s="121" t="n"/>
      <x:c r="AM54" s="123" t="n"/>
      <x:c r="AN54" s="121" t="n"/>
      <x:c r="AO54" s="123" t="n"/>
      <x:c r="AP54" s="121" t="n"/>
      <x:c r="AQ54" s="121" t="n"/>
      <x:c r="AR54" s="28" t="n"/>
      <x:c r="AS54" s="28" t="n"/>
      <x:c r="AT54" s="28" t="n"/>
    </x:row>
    <x:row r="55" s="27" customFormat="1" ht="14.100000381469727" customHeight="1">
      <x:c r="A55" s="38" t="n"/>
      <x:c r="B55" s="37" t="n"/>
      <x:c r="C55" s="36" t="n">
        <x:f>E55*D$5</x:f>
        <x:v>0</x:v>
      </x:c>
      <x:c r="D55" s="4" t="inlineStr">
        <x:is>
          <x:t xml:space="preserve">The Audy and Janis Campbell Family Trust</x:t>
        </x:is>
      </x:c>
      <x:c r="E55" s="36" t="n">
        <x:f>SUM(G55:HT55)</x:f>
        <x:v>0</x:v>
      </x:c>
      <x:c r="G55" s="122" t="n"/>
      <x:c r="H55" s="121" t="n"/>
      <x:c r="I55" s="121" t="n"/>
      <x:c r="J55" s="121" t="n"/>
      <x:c r="K55" s="121" t="n"/>
      <x:c r="L55" s="121" t="n"/>
      <x:c r="M55" s="121" t="n"/>
      <x:c r="N55" s="121" t="n"/>
      <x:c r="O55" s="121" t="n"/>
      <x:c r="P55" s="121" t="n"/>
      <x:c r="Q55" s="121" t="n"/>
      <x:c r="R55" s="123" t="n"/>
      <x:c r="S55" s="123" t="n"/>
      <x:c r="T55" s="121" t="n"/>
      <x:c r="U55" s="121" t="n"/>
      <x:c r="V55" s="121" t="n"/>
      <x:c r="W55" s="121" t="n"/>
      <x:c r="X55" s="121" t="n"/>
      <x:c r="Y55" s="121" t="n"/>
      <x:c r="Z55" s="121" t="n"/>
      <x:c r="AA55" s="121" t="n"/>
      <x:c r="AB55" s="121" t="n"/>
      <x:c r="AC55" s="121" t="n"/>
      <x:c r="AD55" s="121" t="n"/>
      <x:c r="AE55" s="123" t="n"/>
      <x:c r="AF55" s="123" t="n"/>
      <x:c r="AG55" s="123" t="n"/>
      <x:c r="AH55" s="123" t="n"/>
      <x:c r="AI55" s="123" t="n"/>
      <x:c r="AJ55" s="123" t="n"/>
      <x:c r="AK55" s="123" t="n"/>
      <x:c r="AL55" s="121" t="n"/>
      <x:c r="AM55" s="123" t="n"/>
      <x:c r="AN55" s="121" t="n"/>
      <x:c r="AO55" s="124" t="n"/>
      <x:c r="AP55" s="121" t="n"/>
      <x:c r="AQ55" s="121" t="n"/>
      <x:c r="AR55" s="28" t="n"/>
      <x:c r="AS55" s="28" t="n"/>
      <x:c r="AT55" s="28" t="n"/>
    </x:row>
    <x:row r="56" s="27" customFormat="1" ht="17.450000762939453" customHeight="1">
      <x:c r="A56" s="38" t="n"/>
      <x:c r="B56" s="37" t="n"/>
      <x:c r="C56" s="36" t="n">
        <x:f>E56*D$5</x:f>
        <x:v>0</x:v>
      </x:c>
      <x:c r="D56" s="87" t="inlineStr">
        <x:is>
          <x:t xml:space="preserve">Eleanore Wheeler aka Eleanor Wheeler, single</x:t>
        </x:is>
      </x:c>
      <x:c r="E56" s="36" t="n">
        <x:f>SUM(G56:HT56)</x:f>
        <x:v>0</x:v>
      </x:c>
      <x:c r="H56" s="28" t="n"/>
      <x:c r="I56" s="28" t="n"/>
      <x:c r="J56" s="28" t="n"/>
      <x:c r="K56" s="28" t="n"/>
      <x:c r="L56" s="28" t="n"/>
      <x:c r="M56" s="28" t="n"/>
      <x:c r="N56" s="28" t="n"/>
      <x:c r="O56" s="28" t="n"/>
      <x:c r="P56" s="28" t="n"/>
      <x:c r="Q56" s="28" t="n"/>
      <x:c r="R56" s="100" t="n"/>
      <x:c r="S56" s="100" t="n"/>
      <x:c r="T56" s="28" t="n"/>
      <x:c r="U56" s="28" t="n"/>
      <x:c r="V56" s="28" t="n"/>
      <x:c r="W56" s="28" t="n"/>
      <x:c r="X56" s="28" t="n"/>
      <x:c r="Y56" s="28" t="n"/>
      <x:c r="Z56" s="28" t="n"/>
      <x:c r="AA56" s="28" t="n"/>
      <x:c r="AB56" s="28" t="n"/>
      <x:c r="AC56" s="28" t="n"/>
      <x:c r="AD56" s="28" t="n"/>
      <x:c r="AE56" s="100" t="n"/>
      <x:c r="AF56" s="100" t="n"/>
      <x:c r="AG56" s="100" t="n"/>
      <x:c r="AH56" s="100" t="n"/>
      <x:c r="AI56" s="100" t="n"/>
      <x:c r="AJ56" s="100" t="n"/>
      <x:c r="AK56" s="100" t="n"/>
      <x:c r="AL56" s="28" t="n"/>
      <x:c r="AM56" s="100" t="n"/>
      <x:c r="AN56" s="28" t="n"/>
      <x:c r="AO56" s="123" t="n"/>
      <x:c r="AP56" s="28" t="n"/>
      <x:c r="AQ56" s="28" t="n"/>
      <x:c r="AR56" s="28" t="n"/>
      <x:c r="AS56" s="28" t="n"/>
      <x:c r="AT56" s="28" t="n"/>
    </x:row>
    <x:row r="57" s="27" customFormat="1" ht="17.450000762939453" customHeight="1">
      <x:c r="A57" s="38" t="n"/>
      <x:c r="B57" s="37" t="n"/>
      <x:c r="C57" s="36" t="n">
        <x:f>E57*D$5</x:f>
        <x:v>0</x:v>
      </x:c>
      <x:c r="D57" s="89" t="inlineStr">
        <x:is>
          <x:t xml:space="preserve">Eleanore Wheeler and Shirley Wheeler, mother and daughter, JTWROS</x:t>
        </x:is>
      </x:c>
      <x:c r="E57" s="36" t="n">
        <x:f>SUM(G57:HT57)</x:f>
        <x:v>0</x:v>
      </x:c>
      <x:c r="H57" s="28" t="n"/>
      <x:c r="I57" s="28" t="n"/>
      <x:c r="J57" s="28" t="n"/>
      <x:c r="K57" s="28" t="n"/>
      <x:c r="L57" s="28" t="n"/>
      <x:c r="M57" s="28" t="n"/>
      <x:c r="N57" s="28" t="n"/>
      <x:c r="O57" s="28" t="n"/>
      <x:c r="P57" s="28" t="n"/>
      <x:c r="Q57" s="28" t="n"/>
      <x:c r="R57" s="100" t="n"/>
      <x:c r="S57" s="100" t="n"/>
      <x:c r="T57" s="28" t="n"/>
      <x:c r="U57" s="28" t="n"/>
      <x:c r="V57" s="28" t="n"/>
      <x:c r="W57" s="28" t="n"/>
      <x:c r="X57" s="28" t="n"/>
      <x:c r="Y57" s="28" t="n"/>
      <x:c r="Z57" s="28" t="n"/>
      <x:c r="AA57" s="28" t="n"/>
      <x:c r="AB57" s="28" t="n"/>
      <x:c r="AC57" s="28" t="n"/>
      <x:c r="AD57" s="28" t="n"/>
      <x:c r="AE57" s="100" t="n"/>
      <x:c r="AF57" s="100" t="n"/>
      <x:c r="AG57" s="100" t="n"/>
      <x:c r="AH57" s="100" t="n"/>
      <x:c r="AI57" s="100" t="n"/>
      <x:c r="AJ57" s="100" t="n"/>
      <x:c r="AK57" s="100" t="n"/>
      <x:c r="AL57" s="28" t="n"/>
      <x:c r="AM57" s="100" t="n"/>
      <x:c r="AN57" s="28" t="n"/>
      <x:c r="AO57" s="123" t="n"/>
      <x:c r="AP57" s="28" t="n"/>
      <x:c r="AQ57" s="28" t="n"/>
      <x:c r="AR57" s="28" t="n"/>
      <x:c r="AS57" s="28" t="n"/>
      <x:c r="AT57" s="28" t="n"/>
    </x:row>
    <x:row r="58" s="27" customFormat="1" ht="17.450000762939453" customHeight="1">
      <x:c r="A58" s="38" t="n"/>
      <x:c r="B58" s="37" t="n"/>
      <x:c r="C58" s="36" t="n">
        <x:f>E58*D$5</x:f>
        <x:v>0</x:v>
      </x:c>
      <x:c r="D58" s="87" t="inlineStr">
        <x:is>
          <x:t xml:space="preserve">Clint Roy Kirk</x:t>
        </x:is>
      </x:c>
      <x:c r="E58" s="36" t="n">
        <x:f>SUM(G58:HT58)</x:f>
        <x:v>0</x:v>
      </x:c>
      <x:c r="H58" s="28" t="n"/>
      <x:c r="I58" s="28" t="n"/>
      <x:c r="J58" s="28" t="n"/>
      <x:c r="K58" s="28" t="n"/>
      <x:c r="L58" s="28" t="n"/>
      <x:c r="M58" s="28" t="n"/>
      <x:c r="N58" s="28" t="n"/>
      <x:c r="O58" s="28" t="n"/>
      <x:c r="P58" s="28" t="n"/>
      <x:c r="Q58" s="28" t="n"/>
      <x:c r="R58" s="100" t="n"/>
      <x:c r="S58" s="100" t="n"/>
      <x:c r="T58" s="28" t="n"/>
      <x:c r="U58" s="28" t="n"/>
      <x:c r="V58" s="28" t="n"/>
      <x:c r="W58" s="28" t="n"/>
      <x:c r="X58" s="28" t="n"/>
      <x:c r="Y58" s="28" t="n"/>
      <x:c r="Z58" s="28" t="n"/>
      <x:c r="AA58" s="28" t="n"/>
      <x:c r="AB58" s="28" t="n"/>
      <x:c r="AC58" s="28" t="n"/>
      <x:c r="AD58" s="28" t="n"/>
      <x:c r="AE58" s="100" t="n"/>
      <x:c r="AF58" s="100" t="n"/>
      <x:c r="AG58" s="100" t="n"/>
      <x:c r="AH58" s="100" t="n"/>
      <x:c r="AI58" s="100" t="n"/>
      <x:c r="AJ58" s="100" t="n"/>
      <x:c r="AK58" s="100" t="n"/>
      <x:c r="AL58" s="28" t="n"/>
      <x:c r="AM58" s="100" t="n"/>
      <x:c r="AN58" s="28" t="n"/>
      <x:c r="AO58" s="123" t="n"/>
      <x:c r="AP58" s="28" t="n"/>
      <x:c r="AQ58" s="28" t="n"/>
      <x:c r="AR58" s="28" t="n"/>
      <x:c r="AS58" s="28" t="n"/>
      <x:c r="AT58" s="28" t="n"/>
    </x:row>
    <x:row r="59" s="27" customFormat="1" ht="17.450000762939453" customHeight="1">
      <x:c r="A59" s="38" t="n"/>
      <x:c r="B59" s="37" t="n"/>
      <x:c r="C59" s="36" t="n">
        <x:f>E59*D$5</x:f>
        <x:v>0</x:v>
      </x:c>
      <x:c r="D59" s="87" t="inlineStr">
        <x:is>
          <x:t xml:space="preserve">J and A Minerals, LLC</x:t>
        </x:is>
      </x:c>
      <x:c r="E59" s="36" t="n">
        <x:f>SUM(G59:HT59)</x:f>
        <x:v>0</x:v>
      </x:c>
      <x:c r="H59" s="28" t="n"/>
      <x:c r="I59" s="28" t="n"/>
      <x:c r="J59" s="28" t="n"/>
      <x:c r="K59" s="28" t="n"/>
      <x:c r="L59" s="28" t="n"/>
      <x:c r="M59" s="28" t="n"/>
      <x:c r="N59" s="28" t="n"/>
      <x:c r="O59" s="28" t="n"/>
      <x:c r="P59" s="28" t="n"/>
      <x:c r="Q59" s="28" t="n"/>
      <x:c r="R59" s="100" t="n"/>
      <x:c r="S59" s="100" t="n"/>
      <x:c r="T59" s="28" t="n"/>
      <x:c r="U59" s="28" t="n"/>
      <x:c r="V59" s="28" t="n"/>
      <x:c r="W59" s="28" t="n"/>
      <x:c r="X59" s="28" t="n"/>
      <x:c r="Y59" s="28" t="n"/>
      <x:c r="Z59" s="28" t="n"/>
      <x:c r="AA59" s="28" t="n"/>
      <x:c r="AB59" s="28" t="n"/>
      <x:c r="AC59" s="28" t="n"/>
      <x:c r="AD59" s="28" t="n"/>
      <x:c r="AE59" s="100" t="n"/>
      <x:c r="AF59" s="100" t="n"/>
      <x:c r="AG59" s="100" t="n"/>
      <x:c r="AH59" s="100" t="n"/>
      <x:c r="AI59" s="100" t="n"/>
      <x:c r="AJ59" s="100" t="n"/>
      <x:c r="AK59" s="100" t="n"/>
      <x:c r="AL59" s="28" t="n"/>
      <x:c r="AM59" s="100" t="n"/>
      <x:c r="AN59" s="28" t="n"/>
      <x:c r="AO59" s="123" t="n"/>
      <x:c r="AP59" s="28" t="n"/>
      <x:c r="AQ59" s="28" t="n"/>
      <x:c r="AR59" s="28" t="n"/>
      <x:c r="AS59" s="28" t="n"/>
      <x:c r="AT59" s="28" t="n"/>
    </x:row>
    <x:row r="60" s="27" customFormat="1" ht="16.5" customHeight="1">
      <x:c r="A60" s="38" t="n"/>
      <x:c r="B60" s="37" t="n"/>
      <x:c r="C60" s="36" t="n">
        <x:f>E60*D$5</x:f>
        <x:v>0</x:v>
      </x:c>
      <x:c r="D60" s="87" t="inlineStr">
        <x:is>
          <x:t xml:space="preserve">Pine Tree Energy Partners, LLC</x:t>
        </x:is>
      </x:c>
      <x:c r="E60" s="36" t="n">
        <x:f>SUM(G60:HT60)</x:f>
        <x:v>0</x:v>
      </x:c>
      <x:c r="H60" s="28" t="n"/>
      <x:c r="I60" s="28" t="n"/>
      <x:c r="J60" s="28" t="n"/>
      <x:c r="K60" s="28" t="n"/>
      <x:c r="L60" s="28" t="n"/>
      <x:c r="M60" s="28" t="n"/>
      <x:c r="N60" s="28" t="n"/>
      <x:c r="O60" s="28" t="n"/>
      <x:c r="P60" s="28" t="n"/>
      <x:c r="Q60" s="28" t="n"/>
      <x:c r="R60" s="100" t="n"/>
      <x:c r="S60" s="100" t="n"/>
      <x:c r="T60" s="28" t="n"/>
      <x:c r="U60" s="28" t="n"/>
      <x:c r="V60" s="28" t="n"/>
      <x:c r="W60" s="28" t="n"/>
      <x:c r="X60" s="28" t="n"/>
      <x:c r="Y60" s="28" t="n"/>
      <x:c r="Z60" s="28" t="n"/>
      <x:c r="AA60" s="28" t="n"/>
      <x:c r="AB60" s="28" t="n"/>
      <x:c r="AC60" s="28" t="n"/>
      <x:c r="AD60" s="28" t="n"/>
      <x:c r="AE60" s="100" t="n"/>
      <x:c r="AF60" s="100" t="n"/>
      <x:c r="AG60" s="100" t="n"/>
      <x:c r="AH60" s="100" t="n"/>
      <x:c r="AI60" s="100" t="n"/>
      <x:c r="AJ60" s="100" t="n"/>
      <x:c r="AK60" s="100" t="n"/>
      <x:c r="AL60" s="28" t="n"/>
      <x:c r="AM60" s="100" t="n"/>
      <x:c r="AN60" s="28" t="n"/>
      <x:c r="AO60" s="123" t="n"/>
      <x:c r="AP60" s="28" t="n"/>
      <x:c r="AQ60" s="28" t="n"/>
      <x:c r="AR60" s="28" t="n"/>
      <x:c r="AS60" s="28" t="n"/>
      <x:c r="AT60" s="28" t="n"/>
    </x:row>
    <x:row r="61" s="27" customFormat="1">
      <x:c r="A61" s="38" t="n"/>
      <x:c r="B61" s="37" t="n"/>
      <x:c r="C61" s="36" t="n">
        <x:f>E61*D$5</x:f>
        <x:v>0</x:v>
      </x:c>
      <x:c r="D61" s="4" t="n"/>
      <x:c r="E61" s="36" t="n">
        <x:f>SUM(G61:HT61)</x:f>
        <x:v>0</x:v>
      </x:c>
      <x:c r="H61" s="28" t="n"/>
      <x:c r="I61" s="28" t="n"/>
      <x:c r="J61" s="28" t="n"/>
      <x:c r="K61" s="28" t="n"/>
      <x:c r="L61" s="28" t="n"/>
      <x:c r="M61" s="28" t="n"/>
      <x:c r="N61" s="28" t="n"/>
      <x:c r="O61" s="28" t="n"/>
      <x:c r="P61" s="28" t="n"/>
      <x:c r="Q61" s="28" t="n"/>
      <x:c r="R61" s="100" t="n"/>
      <x:c r="S61" s="100" t="n"/>
      <x:c r="T61" s="28" t="n"/>
      <x:c r="U61" s="28" t="n"/>
      <x:c r="V61" s="28" t="n"/>
      <x:c r="W61" s="28" t="n"/>
      <x:c r="X61" s="28" t="n"/>
      <x:c r="Y61" s="28" t="n"/>
      <x:c r="Z61" s="28" t="n"/>
      <x:c r="AA61" s="28" t="n"/>
      <x:c r="AB61" s="28" t="n"/>
      <x:c r="AC61" s="28" t="n"/>
      <x:c r="AD61" s="28" t="n"/>
      <x:c r="AE61" s="100" t="n"/>
      <x:c r="AF61" s="100" t="n"/>
      <x:c r="AG61" s="100" t="n"/>
      <x:c r="AH61" s="100" t="n"/>
      <x:c r="AI61" s="100" t="n"/>
      <x:c r="AJ61" s="100" t="n"/>
      <x:c r="AK61" s="100" t="n"/>
      <x:c r="AL61" s="28" t="n"/>
      <x:c r="AM61" s="100" t="n"/>
      <x:c r="AN61" s="28" t="n"/>
      <x:c r="AO61" s="123" t="n"/>
      <x:c r="AP61" s="28" t="n"/>
      <x:c r="AQ61" s="28" t="n"/>
      <x:c r="AR61" s="28" t="n"/>
      <x:c r="AS61" s="28" t="n"/>
      <x:c r="AT61" s="28" t="n"/>
    </x:row>
    <x:row r="62" s="27" customFormat="1" ht="48" customHeight="1">
      <x:c r="A62" s="38" t="n"/>
      <x:c r="B62" s="37" t="n"/>
      <x:c r="C62" s="86" t="n">
        <x:f>E62*D$5</x:f>
        <x:v>0</x:v>
      </x:c>
      <x:c r="D62" s="523" t="inlineStr">
        <x:is>
          <x:t xml:space="preserve">PARENT-CHAIN (TRACT 5) SEVERANCE COLUMNS — documentation only; no interest booked against this strip (allocation unresolved of record; see Title Tract 6 note and Runsheet)</x:t>
        </x:is>
      </x:c>
      <x:c r="E62" s="86" t="n">
        <x:f>SUM(G62:HT62)</x:f>
        <x:v>0</x:v>
      </x:c>
      <x:c r="H62" s="28" t="n"/>
      <x:c r="I62" s="28" t="n"/>
      <x:c r="J62" s="28" t="n"/>
      <x:c r="K62" s="28" t="n"/>
      <x:c r="L62" s="28" t="n"/>
      <x:c r="M62" s="28" t="n"/>
      <x:c r="N62" s="28" t="n"/>
      <x:c r="O62" s="28" t="n"/>
      <x:c r="P62" s="28" t="n"/>
      <x:c r="Q62" s="28" t="n"/>
      <x:c r="R62" s="100" t="n"/>
      <x:c r="S62" s="100" t="n"/>
      <x:c r="T62" s="28" t="n"/>
      <x:c r="U62" s="28" t="n"/>
      <x:c r="V62" s="28" t="n"/>
      <x:c r="W62" s="28" t="n"/>
      <x:c r="X62" s="28" t="n"/>
      <x:c r="Y62" s="28" t="n"/>
      <x:c r="Z62" s="28" t="n"/>
      <x:c r="AA62" s="28" t="n"/>
      <x:c r="AB62" s="28" t="n"/>
      <x:c r="AC62" s="28" t="n"/>
      <x:c r="AD62" s="28" t="n"/>
      <x:c r="AE62" s="100" t="n"/>
      <x:c r="AF62" s="100" t="n"/>
      <x:c r="AG62" s="100" t="n"/>
      <x:c r="AH62" s="100" t="n"/>
      <x:c r="AI62" s="100" t="n"/>
      <x:c r="AJ62" s="100" t="n"/>
      <x:c r="AK62" s="100" t="n"/>
      <x:c r="AL62" s="28" t="n"/>
      <x:c r="AM62" s="100" t="n"/>
      <x:c r="AN62" s="28" t="n"/>
      <x:c r="AO62" s="123" t="n"/>
      <x:c r="AP62" s="28" t="n"/>
      <x:c r="AQ62" s="28" t="n"/>
      <x:c r="AR62" s="28" t="n"/>
      <x:c r="AS62" s="28" t="n"/>
      <x:c r="AT62" s="28" t="n"/>
    </x:row>
    <x:row r="63" s="27" customFormat="1">
      <x:c r="A63" s="38" t="n"/>
      <x:c r="B63" s="37" t="n"/>
      <x:c r="C63" s="86" t="n">
        <x:f>E63*D$5</x:f>
        <x:v>0</x:v>
      </x:c>
      <x:c r="D63" s="523" t="n"/>
      <x:c r="E63" s="86" t="n">
        <x:f>SUM(G63:HT63)</x:f>
        <x:v>0</x:v>
      </x:c>
      <x:c r="H63" s="28" t="n"/>
      <x:c r="I63" s="28" t="n"/>
      <x:c r="J63" s="28" t="n"/>
      <x:c r="K63" s="28" t="n"/>
      <x:c r="L63" s="28" t="n"/>
      <x:c r="M63" s="28" t="n"/>
      <x:c r="N63" s="28" t="n"/>
      <x:c r="O63" s="28" t="n"/>
      <x:c r="P63" s="28" t="n"/>
      <x:c r="Q63" s="28" t="n"/>
      <x:c r="R63" s="100" t="n"/>
      <x:c r="S63" s="100" t="n"/>
      <x:c r="T63" s="28" t="n"/>
      <x:c r="U63" s="28" t="n"/>
      <x:c r="V63" s="28" t="n"/>
      <x:c r="W63" s="28" t="n"/>
      <x:c r="X63" s="28" t="n"/>
      <x:c r="Y63" s="28" t="n"/>
      <x:c r="Z63" s="28" t="n"/>
      <x:c r="AA63" s="28" t="n"/>
      <x:c r="AB63" s="28" t="n"/>
      <x:c r="AC63" s="28" t="n"/>
      <x:c r="AD63" s="28" t="n"/>
      <x:c r="AE63" s="100" t="n"/>
      <x:c r="AF63" s="100" t="n"/>
      <x:c r="AG63" s="100" t="n"/>
      <x:c r="AH63" s="100" t="n"/>
      <x:c r="AI63" s="100" t="n"/>
      <x:c r="AJ63" s="100" t="n"/>
      <x:c r="AK63" s="100" t="n"/>
      <x:c r="AL63" s="28" t="n"/>
      <x:c r="AM63" s="100" t="n"/>
      <x:c r="AN63" s="28" t="n"/>
      <x:c r="AO63" s="123" t="n"/>
      <x:c r="AP63" s="28" t="n"/>
      <x:c r="AQ63" s="28" t="n"/>
      <x:c r="AR63" s="28" t="n"/>
      <x:c r="AS63" s="28" t="n"/>
      <x:c r="AT63" s="28" t="n"/>
    </x:row>
    <x:row r="64" s="27" customFormat="1">
      <x:c r="A64" s="38" t="n"/>
      <x:c r="B64" s="37" t="n"/>
      <x:c r="C64" s="36" t="n">
        <x:f>E64*D$5</x:f>
        <x:v>0</x:v>
      </x:c>
      <x:c r="D64" s="4" t="n"/>
      <x:c r="E64" s="36" t="n">
        <x:f>SUM(G64:HT64)</x:f>
        <x:v>0</x:v>
      </x:c>
      <x:c r="I64" s="28" t="n"/>
      <x:c r="J64" s="28" t="n"/>
      <x:c r="L64" s="28" t="n"/>
      <x:c r="M64" s="28" t="n"/>
      <x:c r="N64" s="28" t="n"/>
      <x:c r="O64" s="28" t="n"/>
      <x:c r="P64" s="28" t="n"/>
      <x:c r="Q64" s="28" t="n"/>
      <x:c r="R64" s="100" t="n"/>
      <x:c r="S64" s="100" t="n"/>
      <x:c r="T64" s="28" t="n"/>
      <x:c r="U64" s="28" t="n"/>
      <x:c r="V64" s="28" t="n"/>
      <x:c r="W64" s="28" t="n"/>
      <x:c r="X64" s="28" t="n"/>
      <x:c r="Y64" s="28" t="n"/>
      <x:c r="Z64" s="28" t="n"/>
      <x:c r="AA64" s="28" t="n"/>
      <x:c r="AB64" s="28" t="n"/>
      <x:c r="AC64" s="28" t="n"/>
      <x:c r="AD64" s="28" t="n"/>
      <x:c r="AE64" s="100" t="n"/>
      <x:c r="AF64" s="100" t="n"/>
      <x:c r="AG64" s="100" t="n"/>
      <x:c r="AH64" s="100" t="n"/>
      <x:c r="AI64" s="100" t="n"/>
      <x:c r="AJ64" s="100" t="n"/>
      <x:c r="AK64" s="100" t="n"/>
      <x:c r="AL64" s="28" t="n"/>
      <x:c r="AM64" s="100" t="n"/>
      <x:c r="AN64" s="28" t="n"/>
      <x:c r="AO64" s="123" t="n"/>
      <x:c r="AP64" s="28" t="n"/>
      <x:c r="AQ64" s="28" t="n"/>
      <x:c r="AR64" s="28" t="n"/>
      <x:c r="AS64" s="28" t="n"/>
      <x:c r="AT64" s="28" t="n"/>
    </x:row>
    <x:row r="65" s="27" customFormat="1">
      <x:c r="A65" s="38" t="n"/>
      <x:c r="B65" s="37" t="n"/>
      <x:c r="C65" s="86" t="n">
        <x:f>E65*D$5</x:f>
        <x:v>0</x:v>
      </x:c>
      <x:c r="D65" s="523" t="n"/>
      <x:c r="E65" s="86" t="n">
        <x:f>SUM(G65:HT65)</x:f>
        <x:v>0</x:v>
      </x:c>
      <x:c r="I65" s="28" t="n"/>
      <x:c r="J65" s="28" t="n"/>
      <x:c r="M65" s="28" t="n"/>
      <x:c r="N65" s="28" t="n"/>
      <x:c r="O65" s="28" t="n"/>
      <x:c r="P65" s="28" t="n"/>
      <x:c r="Q65" s="28" t="n"/>
      <x:c r="R65" s="100" t="n"/>
      <x:c r="S65" s="100" t="n"/>
      <x:c r="T65" s="28" t="n"/>
      <x:c r="U65" s="28" t="n"/>
      <x:c r="V65" s="28" t="n"/>
      <x:c r="W65" s="28" t="n"/>
      <x:c r="X65" s="28" t="n"/>
      <x:c r="Y65" s="28" t="n"/>
      <x:c r="Z65" s="28" t="n"/>
      <x:c r="AA65" s="28" t="n"/>
      <x:c r="AB65" s="28" t="n"/>
      <x:c r="AC65" s="28" t="n"/>
      <x:c r="AD65" s="28" t="n"/>
      <x:c r="AE65" s="100" t="n"/>
      <x:c r="AF65" s="100" t="n"/>
      <x:c r="AG65" s="100" t="n"/>
      <x:c r="AH65" s="100" t="n"/>
      <x:c r="AI65" s="100" t="n"/>
      <x:c r="AJ65" s="100" t="n"/>
      <x:c r="AK65" s="100" t="n"/>
      <x:c r="AL65" s="28" t="n"/>
      <x:c r="AM65" s="100" t="n"/>
      <x:c r="AN65" s="28" t="n"/>
      <x:c r="AO65" s="123" t="n"/>
      <x:c r="AP65" s="28" t="n"/>
      <x:c r="AQ65" s="28" t="n"/>
      <x:c r="AR65" s="28" t="n"/>
      <x:c r="AS65" s="28" t="n"/>
      <x:c r="AT65" s="28" t="n"/>
    </x:row>
    <x:row r="66" s="27" customFormat="1">
      <x:c r="A66" s="38" t="n"/>
      <x:c r="B66" s="37" t="n"/>
      <x:c r="C66" s="86" t="n">
        <x:f>E66*D$5</x:f>
        <x:v>0</x:v>
      </x:c>
      <x:c r="D66" s="523" t="n"/>
      <x:c r="E66" s="86" t="n">
        <x:f>SUM(G66:HT66)</x:f>
        <x:v>0</x:v>
      </x:c>
      <x:c r="I66" s="28" t="n"/>
      <x:c r="J66" s="28" t="n"/>
      <x:c r="M66" s="28" t="n"/>
      <x:c r="N66" s="28" t="n"/>
      <x:c r="O66" s="28" t="n"/>
      <x:c r="P66" s="28" t="n"/>
      <x:c r="Q66" s="28" t="n"/>
      <x:c r="R66" s="100" t="n"/>
      <x:c r="S66" s="100" t="n"/>
      <x:c r="T66" s="28" t="n"/>
      <x:c r="U66" s="28" t="n"/>
      <x:c r="V66" s="28" t="n"/>
      <x:c r="W66" s="28" t="n"/>
      <x:c r="X66" s="28" t="n"/>
      <x:c r="Y66" s="28" t="n"/>
      <x:c r="Z66" s="28" t="n"/>
      <x:c r="AA66" s="28" t="n"/>
      <x:c r="AB66" s="28" t="n"/>
      <x:c r="AC66" s="28" t="n"/>
      <x:c r="AD66" s="28" t="n"/>
      <x:c r="AE66" s="100" t="n"/>
      <x:c r="AF66" s="100" t="n"/>
      <x:c r="AG66" s="100" t="n"/>
      <x:c r="AH66" s="101" t="n"/>
      <x:c r="AI66" s="101" t="n"/>
      <x:c r="AJ66" s="100" t="n"/>
      <x:c r="AK66" s="100" t="n"/>
      <x:c r="AL66" s="28" t="n"/>
      <x:c r="AM66" s="100" t="n"/>
      <x:c r="AN66" s="28" t="n"/>
      <x:c r="AO66" s="123" t="n"/>
      <x:c r="AP66" s="28" t="n"/>
      <x:c r="AQ66" s="28" t="n"/>
      <x:c r="AR66" s="28" t="n"/>
      <x:c r="AS66" s="28" t="n"/>
      <x:c r="AT66" s="28" t="n"/>
    </x:row>
    <x:row r="67" s="27" customFormat="1">
      <x:c r="A67" s="38" t="n"/>
      <x:c r="B67" s="37" t="n"/>
      <x:c r="C67" s="36" t="n">
        <x:f>E67*D$5</x:f>
        <x:v>0</x:v>
      </x:c>
      <x:c r="D67" s="4" t="n"/>
      <x:c r="E67" s="36" t="n">
        <x:f>SUM(G67:HT67)</x:f>
        <x:v>0</x:v>
      </x:c>
      <x:c r="H67" s="28" t="n"/>
      <x:c r="I67" s="28" t="n"/>
      <x:c r="J67" s="28" t="n"/>
      <x:c r="K67" s="28" t="n"/>
      <x:c r="L67" s="28" t="n"/>
      <x:c r="M67" s="28" t="n"/>
      <x:c r="N67" s="28" t="n"/>
      <x:c r="O67" s="28" t="n"/>
      <x:c r="P67" s="28" t="n"/>
      <x:c r="Q67" s="28" t="n"/>
      <x:c r="R67" s="100" t="n"/>
      <x:c r="S67" s="100" t="n"/>
      <x:c r="T67" s="28" t="n"/>
      <x:c r="U67" s="28" t="n"/>
      <x:c r="V67" s="28" t="n"/>
      <x:c r="W67" s="28" t="n"/>
      <x:c r="X67" s="28" t="n"/>
      <x:c r="Y67" s="28" t="n"/>
      <x:c r="Z67" s="28" t="n"/>
      <x:c r="AA67" s="28" t="n"/>
      <x:c r="AB67" s="28" t="n"/>
      <x:c r="AC67" s="28" t="n"/>
      <x:c r="AD67" s="28" t="n"/>
      <x:c r="AE67" s="100" t="n"/>
      <x:c r="AF67" s="100" t="n"/>
      <x:c r="AG67" s="100" t="n"/>
      <x:c r="AH67" s="101" t="n"/>
      <x:c r="AI67" s="100" t="n"/>
      <x:c r="AJ67" s="100" t="n"/>
      <x:c r="AK67" s="101" t="n"/>
      <x:c r="AL67" s="28" t="n"/>
      <x:c r="AM67" s="100" t="n"/>
      <x:c r="AN67" s="28" t="n"/>
      <x:c r="AO67" s="123" t="n"/>
      <x:c r="AP67" s="28" t="n"/>
      <x:c r="AQ67" s="28" t="n"/>
      <x:c r="AR67" s="28" t="n"/>
      <x:c r="AS67" s="28" t="n"/>
      <x:c r="AT67" s="28" t="n"/>
    </x:row>
    <x:row r="68" s="27" customFormat="1">
      <x:c r="A68" s="38" t="n"/>
      <x:c r="B68" s="37" t="n"/>
      <x:c r="C68" s="36" t="n">
        <x:f>E68*D$5</x:f>
        <x:v>0</x:v>
      </x:c>
      <x:c r="D68" s="4" t="n"/>
      <x:c r="E68" s="36" t="n">
        <x:f>SUM(G68:HT68)</x:f>
        <x:v>0</x:v>
      </x:c>
      <x:c r="H68" s="28" t="n"/>
      <x:c r="I68" s="28" t="n"/>
      <x:c r="J68" s="28" t="n"/>
      <x:c r="K68" s="28" t="n"/>
      <x:c r="L68" s="28" t="n"/>
      <x:c r="M68" s="28" t="n"/>
      <x:c r="N68" s="28" t="n"/>
      <x:c r="O68" s="28" t="n"/>
      <x:c r="P68" s="28" t="n"/>
      <x:c r="Q68" s="28" t="n"/>
      <x:c r="R68" s="100" t="n"/>
      <x:c r="S68" s="100" t="n"/>
      <x:c r="T68" s="28" t="n"/>
      <x:c r="U68" s="28" t="n"/>
      <x:c r="V68" s="28" t="n"/>
      <x:c r="W68" s="28" t="n"/>
      <x:c r="X68" s="28" t="n"/>
      <x:c r="Y68" s="28" t="n"/>
      <x:c r="Z68" s="28" t="n"/>
      <x:c r="AA68" s="28" t="n"/>
      <x:c r="AB68" s="28" t="n"/>
      <x:c r="AC68" s="28" t="n"/>
      <x:c r="AD68" s="28" t="n"/>
      <x:c r="AE68" s="100" t="n"/>
      <x:c r="AF68" s="100" t="n"/>
      <x:c r="AG68" s="100" t="n"/>
      <x:c r="AH68" s="100" t="n"/>
      <x:c r="AI68" s="101" t="n"/>
      <x:c r="AJ68" s="101" t="n"/>
      <x:c r="AK68" s="100" t="n"/>
      <x:c r="AL68" s="28" t="n"/>
      <x:c r="AM68" s="100" t="n"/>
      <x:c r="AN68" s="28" t="n"/>
      <x:c r="AO68" s="124" t="n"/>
      <x:c r="AP68" s="28" t="n"/>
      <x:c r="AQ68" s="28" t="n"/>
      <x:c r="AR68" s="28" t="n"/>
      <x:c r="AS68" s="28" t="n"/>
      <x:c r="AT68" s="28" t="n"/>
    </x:row>
    <x:row r="69" s="27" customFormat="1">
      <x:c r="A69" s="38" t="n"/>
      <x:c r="B69" s="37" t="n"/>
      <x:c r="C69" s="36" t="n">
        <x:f>E69*D$5</x:f>
        <x:v>0</x:v>
      </x:c>
      <x:c r="D69" s="4" t="n"/>
      <x:c r="E69" s="36" t="n">
        <x:f>SUM(G69:HT69)</x:f>
        <x:v>0</x:v>
      </x:c>
      <x:c r="H69" s="28" t="n"/>
      <x:c r="I69" s="28" t="n"/>
      <x:c r="J69" s="28" t="n"/>
      <x:c r="K69" s="28" t="n"/>
      <x:c r="L69" s="28" t="n"/>
      <x:c r="M69" s="28" t="n"/>
      <x:c r="N69" s="28" t="n"/>
      <x:c r="O69" s="28" t="n"/>
      <x:c r="P69" s="28" t="n"/>
      <x:c r="Q69" s="28" t="n"/>
      <x:c r="R69" s="100" t="n"/>
      <x:c r="S69" s="100" t="n"/>
      <x:c r="T69" s="28" t="n"/>
      <x:c r="U69" s="28" t="n"/>
      <x:c r="V69" s="28" t="n"/>
      <x:c r="W69" s="28" t="n"/>
      <x:c r="X69" s="28" t="n"/>
      <x:c r="Y69" s="28" t="n"/>
      <x:c r="Z69" s="28" t="n"/>
      <x:c r="AA69" s="28" t="n"/>
      <x:c r="AB69" s="28" t="n"/>
      <x:c r="AC69" s="28" t="n"/>
      <x:c r="AD69" s="28" t="n"/>
      <x:c r="AE69" s="100" t="n"/>
      <x:c r="AF69" s="100" t="n"/>
      <x:c r="AG69" s="100" t="n"/>
      <x:c r="AH69" s="100" t="n"/>
      <x:c r="AI69" s="100" t="n"/>
      <x:c r="AJ69" s="100" t="n"/>
      <x:c r="AK69" s="101" t="n"/>
      <x:c r="AL69" s="28" t="n"/>
      <x:c r="AM69" s="100" t="n"/>
      <x:c r="AN69" s="28" t="n"/>
      <x:c r="AO69" s="123" t="n"/>
      <x:c r="AP69" s="28" t="n"/>
      <x:c r="AQ69" s="28" t="n"/>
      <x:c r="AR69" s="28" t="n"/>
      <x:c r="AS69" s="28" t="n"/>
      <x:c r="AT69" s="28" t="n"/>
    </x:row>
    <x:row r="70" s="27" customFormat="1">
      <x:c r="A70" s="38" t="n"/>
      <x:c r="B70" s="37" t="n"/>
      <x:c r="C70" s="36" t="n">
        <x:f>E70*D$5</x:f>
        <x:v>0</x:v>
      </x:c>
      <x:c r="D70" s="89" t="n"/>
      <x:c r="E70" s="36" t="n">
        <x:f>SUM(G70:HT70)</x:f>
        <x:v>0</x:v>
      </x:c>
      <x:c r="H70" s="28" t="n"/>
      <x:c r="I70" s="28" t="n"/>
      <x:c r="J70" s="28" t="n"/>
      <x:c r="K70" s="28" t="n"/>
      <x:c r="L70" s="28" t="n"/>
      <x:c r="M70" s="28" t="n"/>
      <x:c r="N70" s="28" t="n"/>
      <x:c r="O70" s="28" t="n"/>
      <x:c r="P70" s="28" t="n"/>
      <x:c r="Q70" s="28" t="n"/>
      <x:c r="R70" s="100" t="n"/>
      <x:c r="S70" s="100" t="n"/>
      <x:c r="T70" s="28" t="n"/>
      <x:c r="U70" s="28" t="n"/>
      <x:c r="V70" s="28" t="n"/>
      <x:c r="W70" s="28" t="n"/>
      <x:c r="X70" s="28" t="n"/>
      <x:c r="Y70" s="28" t="n"/>
      <x:c r="Z70" s="28" t="n"/>
      <x:c r="AA70" s="28" t="n"/>
      <x:c r="AB70" s="28" t="n"/>
      <x:c r="AC70" s="28" t="n"/>
      <x:c r="AD70" s="28" t="n"/>
      <x:c r="AE70" s="100" t="n"/>
      <x:c r="AF70" s="100" t="n"/>
      <x:c r="AG70" s="100" t="n"/>
      <x:c r="AH70" s="100" t="n"/>
      <x:c r="AI70" s="100" t="n"/>
      <x:c r="AJ70" s="100" t="n"/>
      <x:c r="AK70" s="101" t="n"/>
      <x:c r="AL70" s="28" t="n"/>
      <x:c r="AM70" s="100" t="n"/>
      <x:c r="AN70" s="28" t="n"/>
      <x:c r="AO70" s="123" t="n"/>
      <x:c r="AP70" s="28" t="n"/>
      <x:c r="AQ70" s="28" t="n"/>
      <x:c r="AR70" s="28" t="n"/>
      <x:c r="AS70" s="28" t="n"/>
      <x:c r="AT70" s="28" t="n"/>
    </x:row>
    <x:row r="71" s="27" customFormat="1">
      <x:c r="A71" s="38" t="n"/>
      <x:c r="B71" s="37" t="n"/>
      <x:c r="C71" s="36" t="n">
        <x:f>E71*D$5</x:f>
        <x:v>0</x:v>
      </x:c>
      <x:c r="D71" s="66" t="n"/>
      <x:c r="E71" s="36" t="n">
        <x:f>SUM(G71:HT71)</x:f>
        <x:v>0</x:v>
      </x:c>
      <x:c r="H71" s="28" t="n"/>
      <x:c r="I71" s="28" t="n"/>
      <x:c r="J71" s="28" t="n"/>
      <x:c r="K71" s="28" t="n"/>
      <x:c r="L71" s="28" t="n"/>
      <x:c r="M71" s="28" t="n"/>
      <x:c r="N71" s="28" t="n"/>
      <x:c r="O71" s="28" t="n"/>
      <x:c r="P71" s="28" t="n"/>
      <x:c r="Q71" s="28" t="n"/>
      <x:c r="R71" s="100" t="n"/>
      <x:c r="S71" s="100" t="n"/>
      <x:c r="T71" s="28" t="n"/>
      <x:c r="U71" s="28" t="n"/>
      <x:c r="V71" s="28" t="n"/>
      <x:c r="W71" s="28" t="n"/>
      <x:c r="X71" s="28" t="n"/>
      <x:c r="Y71" s="28" t="n"/>
      <x:c r="Z71" s="28" t="n"/>
      <x:c r="AA71" s="28" t="n"/>
      <x:c r="AB71" s="28" t="n"/>
      <x:c r="AC71" s="28" t="n"/>
      <x:c r="AD71" s="28" t="n"/>
      <x:c r="AE71" s="100" t="n"/>
      <x:c r="AF71" s="100" t="n"/>
      <x:c r="AG71" s="100" t="n"/>
      <x:c r="AH71" s="100" t="n"/>
      <x:c r="AI71" s="100" t="n"/>
      <x:c r="AJ71" s="100" t="n"/>
      <x:c r="AK71" s="101" t="n"/>
      <x:c r="AL71" s="28" t="n"/>
      <x:c r="AM71" s="100" t="n"/>
      <x:c r="AN71" s="28" t="n"/>
      <x:c r="AO71" s="123" t="n"/>
      <x:c r="AP71" s="28" t="n"/>
      <x:c r="AQ71" s="28" t="n"/>
      <x:c r="AR71" s="28" t="n"/>
      <x:c r="AS71" s="28" t="n"/>
      <x:c r="AT71" s="28" t="n"/>
    </x:row>
    <x:row r="72" s="27" customFormat="1">
      <x:c r="A72" s="38" t="n"/>
      <x:c r="B72" s="37" t="n"/>
      <x:c r="C72" s="36" t="n">
        <x:f>E72*D$5</x:f>
        <x:v>0</x:v>
      </x:c>
      <x:c r="D72" s="66" t="n"/>
      <x:c r="E72" s="36" t="n">
        <x:f>SUM(G72:HT72)</x:f>
        <x:v>0</x:v>
      </x:c>
      <x:c r="H72" s="28" t="n"/>
      <x:c r="I72" s="28" t="n"/>
      <x:c r="J72" s="28" t="n"/>
      <x:c r="K72" s="28" t="n"/>
      <x:c r="L72" s="28" t="n"/>
      <x:c r="M72" s="28" t="n"/>
      <x:c r="N72" s="28" t="n"/>
      <x:c r="O72" s="28" t="n"/>
      <x:c r="P72" s="28" t="n"/>
      <x:c r="Q72" s="28" t="n"/>
      <x:c r="R72" s="100" t="n"/>
      <x:c r="S72" s="100" t="n"/>
      <x:c r="T72" s="28" t="n"/>
      <x:c r="U72" s="28" t="n"/>
      <x:c r="V72" s="28" t="n"/>
      <x:c r="W72" s="28" t="n"/>
      <x:c r="X72" s="28" t="n"/>
      <x:c r="Y72" s="28" t="n"/>
      <x:c r="Z72" s="28" t="n"/>
      <x:c r="AA72" s="28" t="n"/>
      <x:c r="AB72" s="28" t="n"/>
      <x:c r="AC72" s="28" t="n"/>
      <x:c r="AD72" s="28" t="n"/>
      <x:c r="AE72" s="100" t="n"/>
      <x:c r="AF72" s="100" t="n"/>
      <x:c r="AG72" s="100" t="n"/>
      <x:c r="AH72" s="100" t="n"/>
      <x:c r="AI72" s="100" t="n"/>
      <x:c r="AJ72" s="100" t="n"/>
      <x:c r="AK72" s="101" t="n"/>
      <x:c r="AL72" s="28" t="n"/>
      <x:c r="AM72" s="100" t="n"/>
      <x:c r="AN72" s="28" t="n"/>
      <x:c r="AO72" s="123" t="n"/>
      <x:c r="AP72" s="28" t="n"/>
      <x:c r="AQ72" s="28" t="n"/>
      <x:c r="AR72" s="28" t="n"/>
      <x:c r="AS72" s="28" t="n"/>
      <x:c r="AT72" s="28" t="n"/>
    </x:row>
    <x:row r="73" s="27" customFormat="1">
      <x:c r="A73" s="38" t="n"/>
      <x:c r="B73" s="37" t="n"/>
      <x:c r="C73" s="86" t="n">
        <x:f>E73*D$5</x:f>
        <x:v>0</x:v>
      </x:c>
      <x:c r="D73" s="66" t="n"/>
      <x:c r="E73" s="86" t="n">
        <x:f>SUM(G73:HT73)</x:f>
        <x:v>0</x:v>
      </x:c>
      <x:c r="H73" s="28" t="n"/>
      <x:c r="I73" s="28" t="n"/>
      <x:c r="J73" s="28" t="n"/>
      <x:c r="K73" s="28" t="n"/>
      <x:c r="L73" s="28" t="n"/>
      <x:c r="M73" s="28" t="n"/>
      <x:c r="N73" s="28" t="n"/>
      <x:c r="O73" s="28" t="n"/>
      <x:c r="P73" s="28" t="n"/>
      <x:c r="Q73" s="28" t="n"/>
      <x:c r="R73" s="100" t="n"/>
      <x:c r="S73" s="100" t="n"/>
      <x:c r="T73" s="28" t="n"/>
      <x:c r="U73" s="28" t="n"/>
      <x:c r="V73" s="28" t="n"/>
      <x:c r="W73" s="28" t="n"/>
      <x:c r="X73" s="28" t="n"/>
      <x:c r="Y73" s="28" t="n"/>
      <x:c r="Z73" s="28" t="n"/>
      <x:c r="AA73" s="28" t="n"/>
      <x:c r="AB73" s="28" t="n"/>
      <x:c r="AC73" s="28" t="n"/>
      <x:c r="AD73" s="28" t="n"/>
      <x:c r="AE73" s="100" t="n"/>
      <x:c r="AF73" s="100" t="n"/>
      <x:c r="AG73" s="100" t="n"/>
      <x:c r="AH73" s="100" t="n"/>
      <x:c r="AI73" s="100" t="n"/>
      <x:c r="AJ73" s="100" t="n"/>
      <x:c r="AK73" s="100" t="n"/>
      <x:c r="AL73" s="28" t="n"/>
      <x:c r="AM73" s="100" t="n"/>
      <x:c r="AN73" s="28" t="n"/>
      <x:c r="AO73" s="123" t="n"/>
      <x:c r="AP73" s="28" t="n"/>
      <x:c r="AQ73" s="28" t="n"/>
      <x:c r="AR73" s="28" t="n"/>
      <x:c r="AS73" s="28" t="n"/>
      <x:c r="AT73" s="28" t="n"/>
    </x:row>
    <x:row r="74" s="27" customFormat="1">
      <x:c r="A74" s="38" t="n"/>
      <x:c r="B74" s="37" t="n"/>
      <x:c r="C74" s="86" t="n">
        <x:f>E74*D$5</x:f>
        <x:v>0</x:v>
      </x:c>
      <x:c r="D74" s="66" t="n"/>
      <x:c r="E74" s="86" t="n">
        <x:f>SUM(G74:HT74)</x:f>
        <x:v>0</x:v>
      </x:c>
      <x:c r="H74" s="28" t="n"/>
      <x:c r="I74" s="28" t="n"/>
      <x:c r="J74" s="28" t="n"/>
      <x:c r="K74" s="28" t="n"/>
      <x:c r="L74" s="28" t="n"/>
      <x:c r="M74" s="28" t="n"/>
      <x:c r="N74" s="28" t="n"/>
      <x:c r="O74" s="28" t="n"/>
      <x:c r="P74" s="28" t="n"/>
      <x:c r="Q74" s="28" t="n"/>
      <x:c r="R74" s="100" t="n"/>
      <x:c r="S74" s="100" t="n"/>
      <x:c r="T74" s="28" t="n"/>
      <x:c r="U74" s="28" t="n"/>
      <x:c r="V74" s="28" t="n"/>
      <x:c r="W74" s="28" t="n"/>
      <x:c r="X74" s="28" t="n"/>
      <x:c r="Y74" s="28" t="n"/>
      <x:c r="Z74" s="28" t="n"/>
      <x:c r="AA74" s="28" t="n"/>
      <x:c r="AB74" s="28" t="n"/>
      <x:c r="AC74" s="28" t="n"/>
      <x:c r="AD74" s="28" t="n"/>
      <x:c r="AE74" s="100" t="n"/>
      <x:c r="AF74" s="100" t="n"/>
      <x:c r="AG74" s="100" t="n"/>
      <x:c r="AH74" s="100" t="n"/>
      <x:c r="AI74" s="100" t="n"/>
      <x:c r="AJ74" s="100" t="n"/>
      <x:c r="AK74" s="100" t="n"/>
      <x:c r="AL74" s="28" t="n"/>
      <x:c r="AM74" s="100" t="n"/>
      <x:c r="AN74" s="28" t="n"/>
      <x:c r="AO74" s="123" t="n"/>
      <x:c r="AP74" s="28" t="n"/>
      <x:c r="AQ74" s="28" t="n"/>
      <x:c r="AR74" s="28" t="n"/>
      <x:c r="AS74" s="28" t="n"/>
      <x:c r="AT74" s="28" t="n"/>
    </x:row>
    <x:row r="75" s="27" customFormat="1">
      <x:c r="A75" s="38" t="n"/>
      <x:c r="B75" s="37" t="n"/>
      <x:c r="C75" s="36" t="n">
        <x:f>E75*D$5</x:f>
        <x:v>0</x:v>
      </x:c>
      <x:c r="D75" s="66" t="n"/>
      <x:c r="E75" s="36" t="n">
        <x:f>SUM(G75:HT75)</x:f>
        <x:v>0</x:v>
      </x:c>
      <x:c r="H75" s="28" t="n"/>
      <x:c r="I75" s="28" t="n"/>
      <x:c r="J75" s="28" t="n"/>
      <x:c r="K75" s="28" t="n"/>
      <x:c r="L75" s="28" t="n"/>
      <x:c r="M75" s="28" t="n"/>
      <x:c r="N75" s="28" t="n"/>
      <x:c r="O75" s="28" t="n"/>
      <x:c r="P75" s="28" t="n"/>
      <x:c r="Q75" s="28" t="n"/>
      <x:c r="R75" s="100" t="n"/>
      <x:c r="S75" s="100" t="n"/>
      <x:c r="T75" s="28" t="n"/>
      <x:c r="U75" s="28" t="n"/>
      <x:c r="V75" s="28" t="n"/>
      <x:c r="W75" s="28" t="n"/>
      <x:c r="X75" s="28" t="n"/>
      <x:c r="Y75" s="28" t="n"/>
      <x:c r="Z75" s="28" t="n"/>
      <x:c r="AA75" s="28" t="n"/>
      <x:c r="AB75" s="28" t="n"/>
      <x:c r="AC75" s="28" t="n"/>
      <x:c r="AD75" s="28" t="n"/>
      <x:c r="AE75" s="100" t="n"/>
      <x:c r="AF75" s="100" t="n"/>
      <x:c r="AG75" s="100" t="n"/>
      <x:c r="AH75" s="100" t="n"/>
      <x:c r="AI75" s="100" t="n"/>
      <x:c r="AJ75" s="100" t="n"/>
      <x:c r="AK75" s="100" t="n"/>
      <x:c r="AL75" s="28" t="n"/>
      <x:c r="AM75" s="100" t="n"/>
      <x:c r="AN75" s="28" t="n"/>
      <x:c r="AO75" s="100" t="n"/>
      <x:c r="AP75" s="28" t="n"/>
      <x:c r="AQ75" s="28" t="n"/>
      <x:c r="AR75" s="28" t="n"/>
      <x:c r="AS75" s="28" t="n"/>
      <x:c r="AT75" s="28" t="n"/>
    </x:row>
    <x:row r="76" s="27" customFormat="1">
      <x:c r="A76" s="38" t="n"/>
      <x:c r="B76" s="37" t="n"/>
      <x:c r="C76" s="36" t="n">
        <x:f>E76*D$5</x:f>
        <x:v>0</x:v>
      </x:c>
      <x:c r="D76" s="66" t="n"/>
      <x:c r="E76" s="36" t="n">
        <x:f>SUM(G76:HT76)</x:f>
        <x:v>0</x:v>
      </x:c>
      <x:c r="H76" s="28" t="n"/>
      <x:c r="I76" s="28" t="n"/>
      <x:c r="J76" s="28" t="n"/>
      <x:c r="K76" s="28" t="n"/>
      <x:c r="L76" s="28" t="n"/>
      <x:c r="M76" s="28" t="n"/>
      <x:c r="N76" s="28" t="n"/>
      <x:c r="O76" s="28" t="n"/>
      <x:c r="P76" s="28" t="n"/>
      <x:c r="Q76" s="28" t="n"/>
      <x:c r="R76" s="100" t="n"/>
      <x:c r="S76" s="100" t="n"/>
      <x:c r="T76" s="28" t="n"/>
      <x:c r="U76" s="28" t="n"/>
      <x:c r="V76" s="28" t="n"/>
      <x:c r="W76" s="28" t="n"/>
      <x:c r="X76" s="28" t="n"/>
      <x:c r="Y76" s="28" t="n"/>
      <x:c r="Z76" s="28" t="n"/>
      <x:c r="AA76" s="28" t="n"/>
      <x:c r="AB76" s="28" t="n"/>
      <x:c r="AC76" s="28" t="n"/>
      <x:c r="AD76" s="28" t="n"/>
      <x:c r="AE76" s="100" t="n"/>
      <x:c r="AF76" s="100" t="n"/>
      <x:c r="AG76" s="100" t="n"/>
      <x:c r="AH76" s="100" t="n"/>
      <x:c r="AI76" s="100" t="n"/>
      <x:c r="AJ76" s="100" t="n"/>
      <x:c r="AK76" s="100" t="n"/>
      <x:c r="AL76" s="28" t="n"/>
      <x:c r="AM76" s="100" t="n"/>
      <x:c r="AN76" s="28" t="n"/>
      <x:c r="AO76" s="100" t="n"/>
      <x:c r="AP76" s="28" t="n"/>
      <x:c r="AQ76" s="28" t="n"/>
      <x:c r="AR76" s="28" t="n"/>
      <x:c r="AS76" s="28" t="n"/>
      <x:c r="AT76" s="28" t="n"/>
    </x:row>
    <x:row r="77" s="27" customFormat="1">
      <x:c r="A77" s="38" t="n"/>
      <x:c r="B77" s="37" t="n"/>
      <x:c r="C77" s="36" t="n">
        <x:f>E77*D$5</x:f>
        <x:v>0</x:v>
      </x:c>
      <x:c r="D77" s="88" t="n"/>
      <x:c r="E77" s="36" t="n">
        <x:f>SUM(G77:HT77)</x:f>
        <x:v>0</x:v>
      </x:c>
      <x:c r="H77" s="28" t="n"/>
      <x:c r="I77" s="28" t="n"/>
      <x:c r="J77" s="28" t="n"/>
      <x:c r="K77" s="28" t="n"/>
      <x:c r="L77" s="28" t="n"/>
      <x:c r="M77" s="28" t="n"/>
      <x:c r="N77" s="28" t="n"/>
      <x:c r="O77" s="28" t="n"/>
      <x:c r="P77" s="28" t="n"/>
      <x:c r="Q77" s="28" t="n"/>
      <x:c r="R77" s="100" t="n"/>
      <x:c r="S77" s="100" t="n"/>
      <x:c r="T77" s="28" t="n"/>
      <x:c r="U77" s="28" t="n"/>
      <x:c r="V77" s="28" t="n"/>
      <x:c r="W77" s="28" t="n"/>
      <x:c r="X77" s="28" t="n"/>
      <x:c r="Y77" s="28" t="n"/>
      <x:c r="Z77" s="28" t="n"/>
      <x:c r="AA77" s="28" t="n"/>
      <x:c r="AB77" s="28" t="n"/>
      <x:c r="AC77" s="28" t="n"/>
      <x:c r="AD77" s="28" t="n"/>
      <x:c r="AE77" s="100" t="n"/>
      <x:c r="AF77" s="100" t="n"/>
      <x:c r="AG77" s="100" t="n"/>
      <x:c r="AH77" s="100" t="n"/>
      <x:c r="AI77" s="100" t="n"/>
      <x:c r="AJ77" s="100" t="n"/>
      <x:c r="AK77" s="100" t="n"/>
      <x:c r="AL77" s="28" t="n"/>
      <x:c r="AM77" s="100" t="n"/>
      <x:c r="AN77" s="28" t="n"/>
      <x:c r="AO77" s="100" t="n"/>
      <x:c r="AP77" s="28" t="n"/>
      <x:c r="AQ77" s="28" t="n"/>
      <x:c r="AR77" s="28" t="n"/>
      <x:c r="AS77" s="28" t="n"/>
      <x:c r="AT77" s="28" t="n"/>
    </x:row>
    <x:row r="78" s="27" customFormat="1">
      <x:c r="A78" s="38" t="n"/>
      <x:c r="B78" s="37" t="n"/>
      <x:c r="C78" s="36" t="n">
        <x:f>E78*D$5</x:f>
        <x:v>0</x:v>
      </x:c>
      <x:c r="D78" s="66" t="n"/>
      <x:c r="E78" s="36" t="n">
        <x:f>SUM(G78:HT78)</x:f>
        <x:v>0</x:v>
      </x:c>
      <x:c r="H78" s="28" t="n"/>
      <x:c r="I78" s="28" t="n"/>
      <x:c r="J78" s="28" t="n"/>
      <x:c r="K78" s="28" t="n"/>
      <x:c r="L78" s="28" t="n"/>
      <x:c r="M78" s="28" t="n"/>
      <x:c r="N78" s="28" t="n"/>
      <x:c r="O78" s="28" t="n"/>
      <x:c r="P78" s="28" t="n"/>
      <x:c r="Q78" s="28" t="n"/>
      <x:c r="R78" s="100" t="n"/>
      <x:c r="S78" s="100" t="n"/>
      <x:c r="T78" s="28" t="n"/>
      <x:c r="U78" s="28" t="n"/>
      <x:c r="V78" s="28" t="n"/>
      <x:c r="W78" s="28" t="n"/>
      <x:c r="X78" s="28" t="n"/>
      <x:c r="Y78" s="28" t="n"/>
      <x:c r="Z78" s="28" t="n"/>
      <x:c r="AA78" s="28" t="n"/>
      <x:c r="AB78" s="28" t="n"/>
      <x:c r="AC78" s="28" t="n"/>
      <x:c r="AD78" s="28" t="n"/>
      <x:c r="AE78" s="100" t="n"/>
      <x:c r="AF78" s="100" t="n"/>
      <x:c r="AG78" s="100" t="n"/>
      <x:c r="AH78" s="100" t="n"/>
      <x:c r="AI78" s="100" t="n"/>
      <x:c r="AJ78" s="100" t="n"/>
      <x:c r="AK78" s="100" t="n"/>
      <x:c r="AL78" s="28" t="n"/>
      <x:c r="AM78" s="100" t="n"/>
      <x:c r="AN78" s="28" t="n"/>
      <x:c r="AO78" s="100" t="n"/>
      <x:c r="AP78" s="28" t="n"/>
      <x:c r="AQ78" s="28" t="n"/>
      <x:c r="AR78" s="28" t="n"/>
      <x:c r="AS78" s="28" t="n"/>
      <x:c r="AT78" s="28" t="n"/>
    </x:row>
    <x:row r="79" s="27" customFormat="1">
      <x:c r="A79" s="38" t="n"/>
      <x:c r="B79" s="37" t="n"/>
      <x:c r="C79" s="86" t="n">
        <x:f>E79*D$5</x:f>
        <x:v>0</x:v>
      </x:c>
      <x:c r="D79" s="523" t="n"/>
      <x:c r="E79" s="86" t="n">
        <x:f>SUM(G79:HT79)</x:f>
        <x:v>0</x:v>
      </x:c>
      <x:c r="H79" s="28" t="n"/>
      <x:c r="I79" s="28" t="n"/>
      <x:c r="J79" s="28" t="n"/>
      <x:c r="K79" s="28" t="n"/>
      <x:c r="L79" s="28" t="n"/>
      <x:c r="M79" s="28" t="n"/>
      <x:c r="N79" s="28" t="n"/>
      <x:c r="O79" s="28" t="n"/>
      <x:c r="P79" s="28" t="n"/>
      <x:c r="Q79" s="28" t="n"/>
      <x:c r="R79" s="100" t="n"/>
      <x:c r="S79" s="100" t="n"/>
      <x:c r="T79" s="28" t="n"/>
      <x:c r="U79" s="28" t="n"/>
      <x:c r="V79" s="28" t="n"/>
      <x:c r="W79" s="28" t="n"/>
      <x:c r="X79" s="28" t="n"/>
      <x:c r="Y79" s="28" t="n"/>
      <x:c r="Z79" s="28" t="n"/>
      <x:c r="AA79" s="28" t="n"/>
      <x:c r="AB79" s="28" t="n"/>
      <x:c r="AC79" s="28" t="n"/>
      <x:c r="AD79" s="28" t="n"/>
      <x:c r="AE79" s="100" t="n"/>
      <x:c r="AF79" s="100" t="n"/>
      <x:c r="AG79" s="100" t="n"/>
      <x:c r="AH79" s="100" t="n"/>
      <x:c r="AI79" s="100" t="n"/>
      <x:c r="AJ79" s="100" t="n"/>
      <x:c r="AK79" s="100" t="n"/>
      <x:c r="AL79" s="28" t="n"/>
      <x:c r="AM79" s="100" t="n"/>
      <x:c r="AN79" s="28" t="n"/>
      <x:c r="AO79" s="100" t="n"/>
      <x:c r="AP79" s="28" t="n"/>
      <x:c r="AQ79" s="28" t="n"/>
      <x:c r="AR79" s="28" t="n"/>
      <x:c r="AS79" s="28" t="n"/>
      <x:c r="AT79" s="28" t="n"/>
    </x:row>
    <x:row r="80" s="27" customFormat="1">
      <x:c r="A80" s="38" t="n"/>
      <x:c r="B80" s="37" t="n"/>
      <x:c r="C80" s="36" t="n">
        <x:f>E80*D$5</x:f>
        <x:v>0</x:v>
      </x:c>
      <x:c r="D80" s="66" t="n"/>
      <x:c r="E80" s="36" t="n">
        <x:f>SUM(G80:HT80)</x:f>
        <x:v>0</x:v>
      </x:c>
      <x:c r="H80" s="28" t="n"/>
      <x:c r="I80" s="28" t="n"/>
      <x:c r="J80" s="28" t="n"/>
      <x:c r="K80" s="28" t="n"/>
      <x:c r="L80" s="28" t="n"/>
      <x:c r="M80" s="28" t="n"/>
      <x:c r="N80" s="28" t="n"/>
      <x:c r="O80" s="28" t="n"/>
      <x:c r="P80" s="28" t="n"/>
      <x:c r="Q80" s="28" t="n"/>
      <x:c r="R80" s="100" t="n"/>
      <x:c r="S80" s="100" t="n"/>
      <x:c r="T80" s="28" t="n"/>
      <x:c r="U80" s="28" t="n"/>
      <x:c r="V80" s="28" t="n"/>
      <x:c r="W80" s="28" t="n"/>
      <x:c r="X80" s="28" t="n"/>
      <x:c r="Y80" s="28" t="n"/>
      <x:c r="Z80" s="28" t="n"/>
      <x:c r="AA80" s="28" t="n"/>
      <x:c r="AB80" s="28" t="n"/>
      <x:c r="AC80" s="28" t="n"/>
      <x:c r="AD80" s="28" t="n"/>
      <x:c r="AE80" s="100" t="n"/>
      <x:c r="AF80" s="100" t="n"/>
      <x:c r="AG80" s="100" t="n"/>
      <x:c r="AH80" s="100" t="n"/>
      <x:c r="AI80" s="100" t="n"/>
      <x:c r="AJ80" s="100" t="n"/>
      <x:c r="AK80" s="100" t="n"/>
      <x:c r="AL80" s="28" t="n"/>
      <x:c r="AM80" s="100" t="n"/>
      <x:c r="AN80" s="28" t="n"/>
      <x:c r="AO80" s="100" t="n"/>
      <x:c r="AP80" s="28" t="n"/>
      <x:c r="AQ80" s="28" t="n"/>
      <x:c r="AR80" s="28" t="n"/>
      <x:c r="AS80" s="28" t="n"/>
      <x:c r="AT80" s="28" t="n"/>
    </x:row>
    <x:row r="81" s="27" customFormat="1">
      <x:c r="A81" s="38" t="n"/>
      <x:c r="B81" s="37" t="n"/>
      <x:c r="C81" s="86" t="n">
        <x:f>E81*D$5</x:f>
        <x:v>0</x:v>
      </x:c>
      <x:c r="D81" s="523" t="n"/>
      <x:c r="E81" s="86" t="n">
        <x:f>SUM(G81:HT81)</x:f>
        <x:v>0</x:v>
      </x:c>
      <x:c r="H81" s="28" t="n"/>
      <x:c r="I81" s="28" t="n"/>
      <x:c r="J81" s="28" t="n"/>
      <x:c r="K81" s="28" t="n"/>
      <x:c r="L81" s="28" t="n"/>
      <x:c r="M81" s="28" t="n"/>
      <x:c r="N81" s="28" t="n"/>
      <x:c r="O81" s="28" t="n"/>
      <x:c r="P81" s="28" t="n"/>
      <x:c r="Q81" s="28" t="n"/>
      <x:c r="R81" s="100" t="n"/>
      <x:c r="S81" s="100" t="n"/>
      <x:c r="T81" s="28" t="n"/>
      <x:c r="U81" s="28" t="n"/>
      <x:c r="V81" s="28" t="n"/>
      <x:c r="W81" s="28" t="n"/>
      <x:c r="X81" s="28" t="n"/>
      <x:c r="Y81" s="28" t="n"/>
      <x:c r="Z81" s="28" t="n"/>
      <x:c r="AA81" s="28" t="n"/>
      <x:c r="AB81" s="28" t="n"/>
      <x:c r="AC81" s="28" t="n"/>
      <x:c r="AD81" s="28" t="n"/>
      <x:c r="AE81" s="100" t="n"/>
      <x:c r="AF81" s="100" t="n"/>
      <x:c r="AG81" s="100" t="n"/>
      <x:c r="AH81" s="100" t="n"/>
      <x:c r="AI81" s="100" t="n"/>
      <x:c r="AJ81" s="100" t="n"/>
      <x:c r="AK81" s="100" t="n"/>
      <x:c r="AL81" s="28" t="n"/>
      <x:c r="AM81" s="100" t="n"/>
      <x:c r="AN81" s="28" t="n"/>
      <x:c r="AO81" s="100" t="n"/>
      <x:c r="AP81" s="28" t="n"/>
      <x:c r="AQ81" s="28" t="n"/>
      <x:c r="AR81" s="28" t="n"/>
      <x:c r="AS81" s="28" t="n"/>
      <x:c r="AT81" s="28" t="n"/>
    </x:row>
    <x:row r="82" s="27" customFormat="1">
      <x:c r="A82" s="38" t="n"/>
      <x:c r="B82" s="37" t="n"/>
      <x:c r="C82" s="36" t="n">
        <x:f>E82*D$5</x:f>
        <x:v>0</x:v>
      </x:c>
      <x:c r="D82" s="66" t="n"/>
      <x:c r="E82" s="36" t="n">
        <x:f>SUM(G82:HT82)</x:f>
        <x:v>0</x:v>
      </x:c>
      <x:c r="H82" s="28" t="n"/>
      <x:c r="I82" s="28" t="n"/>
      <x:c r="J82" s="28" t="n"/>
      <x:c r="K82" s="28" t="n"/>
      <x:c r="L82" s="28" t="n"/>
      <x:c r="M82" s="28" t="n"/>
      <x:c r="N82" s="28" t="n"/>
      <x:c r="O82" s="28" t="n"/>
      <x:c r="P82" s="28" t="n"/>
      <x:c r="Q82" s="28" t="n"/>
      <x:c r="R82" s="100" t="n"/>
      <x:c r="S82" s="100" t="n"/>
      <x:c r="T82" s="28" t="n"/>
      <x:c r="U82" s="28" t="n"/>
      <x:c r="V82" s="28" t="n"/>
      <x:c r="W82" s="28" t="n"/>
      <x:c r="X82" s="28" t="n"/>
      <x:c r="Y82" s="28" t="n"/>
      <x:c r="Z82" s="28" t="n"/>
      <x:c r="AA82" s="28" t="n"/>
      <x:c r="AB82" s="28" t="n"/>
      <x:c r="AC82" s="28" t="n"/>
      <x:c r="AD82" s="28" t="n"/>
      <x:c r="AE82" s="100" t="n"/>
      <x:c r="AF82" s="100" t="n"/>
      <x:c r="AG82" s="100" t="n"/>
      <x:c r="AH82" s="100" t="n"/>
      <x:c r="AI82" s="100" t="n"/>
      <x:c r="AJ82" s="100" t="n"/>
      <x:c r="AK82" s="100" t="n"/>
      <x:c r="AL82" s="28" t="n"/>
      <x:c r="AM82" s="100" t="n"/>
      <x:c r="AN82" s="28" t="n"/>
      <x:c r="AO82" s="100" t="n"/>
      <x:c r="AP82" s="28" t="n"/>
      <x:c r="AQ82" s="28" t="n"/>
      <x:c r="AR82" s="28" t="n"/>
      <x:c r="AS82" s="28" t="n"/>
      <x:c r="AT82" s="28" t="n"/>
    </x:row>
    <x:row r="83" s="27" customFormat="1">
      <x:c r="A83" s="38" t="n"/>
      <x:c r="B83" s="37" t="n"/>
      <x:c r="C83" s="86" t="n">
        <x:f>E83*D$5</x:f>
        <x:v>0</x:v>
      </x:c>
      <x:c r="D83" s="523" t="n"/>
      <x:c r="E83" s="86" t="n">
        <x:f>SUM(G83:HT83)</x:f>
        <x:v>0</x:v>
      </x:c>
      <x:c r="H83" s="28" t="n"/>
      <x:c r="I83" s="28" t="n"/>
      <x:c r="J83" s="28" t="n"/>
      <x:c r="K83" s="28" t="n"/>
      <x:c r="L83" s="28" t="n"/>
      <x:c r="M83" s="28" t="n"/>
      <x:c r="N83" s="28" t="n"/>
      <x:c r="O83" s="28" t="n"/>
      <x:c r="P83" s="28" t="n"/>
      <x:c r="Q83" s="28" t="n"/>
      <x:c r="R83" s="100" t="n"/>
      <x:c r="S83" s="100" t="n"/>
      <x:c r="T83" s="28" t="n"/>
      <x:c r="U83" s="28" t="n"/>
      <x:c r="V83" s="28" t="n"/>
      <x:c r="W83" s="28" t="n"/>
      <x:c r="X83" s="28" t="n"/>
      <x:c r="Y83" s="28" t="n"/>
      <x:c r="Z83" s="28" t="n"/>
      <x:c r="AA83" s="28" t="n"/>
      <x:c r="AB83" s="28" t="n"/>
      <x:c r="AC83" s="28" t="n"/>
      <x:c r="AD83" s="28" t="n"/>
      <x:c r="AE83" s="100" t="n"/>
      <x:c r="AF83" s="100" t="n"/>
      <x:c r="AG83" s="100" t="n"/>
      <x:c r="AH83" s="100" t="n"/>
      <x:c r="AI83" s="100" t="n"/>
      <x:c r="AJ83" s="100" t="n"/>
      <x:c r="AK83" s="100" t="n"/>
      <x:c r="AL83" s="28" t="n"/>
      <x:c r="AM83" s="100" t="n"/>
      <x:c r="AN83" s="28" t="n"/>
      <x:c r="AO83" s="100" t="n"/>
      <x:c r="AP83" s="28" t="n"/>
      <x:c r="AQ83" s="28" t="n"/>
      <x:c r="AR83" s="28" t="n"/>
      <x:c r="AS83" s="28" t="n"/>
      <x:c r="AT83" s="28" t="n"/>
    </x:row>
    <x:row r="84" s="27" customFormat="1">
      <x:c r="A84" s="38" t="n"/>
      <x:c r="B84" s="37" t="n"/>
      <x:c r="C84" s="36" t="n">
        <x:f>E84*D$5</x:f>
        <x:v>0</x:v>
      </x:c>
      <x:c r="D84" s="66" t="n"/>
      <x:c r="E84" s="36" t="n">
        <x:f>SUM(G84:HT84)</x:f>
        <x:v>0</x:v>
      </x:c>
      <x:c r="H84" s="28" t="n"/>
      <x:c r="I84" s="28" t="n"/>
      <x:c r="J84" s="28" t="n"/>
      <x:c r="K84" s="28" t="n"/>
      <x:c r="L84" s="28" t="n"/>
      <x:c r="M84" s="28" t="n"/>
      <x:c r="N84" s="28" t="n"/>
      <x:c r="O84" s="28" t="n"/>
      <x:c r="P84" s="28" t="n"/>
      <x:c r="Q84" s="28" t="n"/>
      <x:c r="R84" s="100" t="n"/>
      <x:c r="S84" s="100" t="n"/>
      <x:c r="T84" s="28" t="n"/>
      <x:c r="U84" s="28" t="n"/>
      <x:c r="V84" s="28" t="n"/>
      <x:c r="W84" s="28" t="n"/>
      <x:c r="X84" s="28" t="n"/>
      <x:c r="Y84" s="28" t="n"/>
      <x:c r="Z84" s="28" t="n"/>
      <x:c r="AA84" s="28" t="n"/>
      <x:c r="AB84" s="28" t="n"/>
      <x:c r="AC84" s="28" t="n"/>
      <x:c r="AD84" s="28" t="n"/>
      <x:c r="AE84" s="100" t="n"/>
      <x:c r="AF84" s="100" t="n"/>
      <x:c r="AG84" s="100" t="n"/>
      <x:c r="AH84" s="100" t="n"/>
      <x:c r="AI84" s="100" t="n"/>
      <x:c r="AJ84" s="100" t="n"/>
      <x:c r="AK84" s="100" t="n"/>
      <x:c r="AL84" s="28" t="n"/>
      <x:c r="AM84" s="100" t="n"/>
      <x:c r="AN84" s="28" t="n"/>
      <x:c r="AO84" s="100" t="n"/>
      <x:c r="AP84" s="28" t="n"/>
      <x:c r="AQ84" s="28" t="n"/>
      <x:c r="AR84" s="28" t="n"/>
      <x:c r="AS84" s="28" t="n"/>
      <x:c r="AT84" s="28" t="n"/>
    </x:row>
    <x:row r="85" s="27" customFormat="1">
      <x:c r="A85" s="38" t="n"/>
      <x:c r="B85" s="37" t="n"/>
      <x:c r="C85" s="36" t="n">
        <x:f>E85*D$5</x:f>
        <x:v>0</x:v>
      </x:c>
      <x:c r="D85" s="66" t="n"/>
      <x:c r="E85" s="36" t="n">
        <x:f>SUM(G85:HT85)</x:f>
        <x:v>0</x:v>
      </x:c>
      <x:c r="H85" s="28" t="n"/>
      <x:c r="I85" s="28" t="n"/>
      <x:c r="J85" s="28" t="n"/>
      <x:c r="K85" s="28" t="n"/>
      <x:c r="L85" s="28" t="n"/>
      <x:c r="M85" s="28" t="n"/>
      <x:c r="N85" s="28" t="n"/>
      <x:c r="O85" s="28" t="n"/>
      <x:c r="P85" s="28" t="n"/>
      <x:c r="Q85" s="28" t="n"/>
      <x:c r="R85" s="100" t="n"/>
      <x:c r="S85" s="100" t="n"/>
      <x:c r="T85" s="28" t="n"/>
      <x:c r="U85" s="28" t="n"/>
      <x:c r="V85" s="28" t="n"/>
      <x:c r="W85" s="28" t="n"/>
      <x:c r="X85" s="28" t="n"/>
      <x:c r="Y85" s="28" t="n"/>
      <x:c r="Z85" s="28" t="n"/>
      <x:c r="AA85" s="28" t="n"/>
      <x:c r="AB85" s="28" t="n"/>
      <x:c r="AC85" s="28" t="n"/>
      <x:c r="AD85" s="28" t="n"/>
      <x:c r="AE85" s="100" t="n"/>
      <x:c r="AF85" s="100" t="n"/>
      <x:c r="AG85" s="100" t="n"/>
      <x:c r="AH85" s="100" t="n"/>
      <x:c r="AI85" s="100" t="n"/>
      <x:c r="AJ85" s="100" t="n"/>
      <x:c r="AK85" s="100" t="n"/>
      <x:c r="AL85" s="28" t="n"/>
      <x:c r="AM85" s="100" t="n"/>
      <x:c r="AN85" s="28" t="n"/>
      <x:c r="AO85" s="100" t="n"/>
      <x:c r="AP85" s="28" t="n"/>
      <x:c r="AQ85" s="28" t="n"/>
      <x:c r="AR85" s="28" t="n"/>
      <x:c r="AS85" s="28" t="n"/>
      <x:c r="AT85" s="28" t="n"/>
    </x:row>
    <x:row r="86" s="27" customFormat="1">
      <x:c r="A86" s="38" t="n"/>
      <x:c r="B86" s="37" t="n"/>
      <x:c r="C86" s="36" t="n">
        <x:f>E86*D$5</x:f>
        <x:v>0</x:v>
      </x:c>
      <x:c r="D86" s="66" t="n"/>
      <x:c r="E86" s="36" t="n">
        <x:f>SUM(G86:HT86)</x:f>
        <x:v>0</x:v>
      </x:c>
      <x:c r="H86" s="28" t="n"/>
      <x:c r="I86" s="28" t="n"/>
      <x:c r="J86" s="28" t="n"/>
      <x:c r="K86" s="28" t="n"/>
      <x:c r="L86" s="28" t="n"/>
      <x:c r="M86" s="28" t="n"/>
      <x:c r="N86" s="28" t="n"/>
      <x:c r="O86" s="28" t="n"/>
      <x:c r="P86" s="28" t="n"/>
      <x:c r="Q86" s="28" t="n"/>
      <x:c r="R86" s="100" t="n"/>
      <x:c r="S86" s="100" t="n"/>
      <x:c r="T86" s="28" t="n"/>
      <x:c r="U86" s="28" t="n"/>
      <x:c r="V86" s="28" t="n"/>
      <x:c r="W86" s="28" t="n"/>
      <x:c r="X86" s="28" t="n"/>
      <x:c r="Y86" s="28" t="n"/>
      <x:c r="Z86" s="28" t="n"/>
      <x:c r="AA86" s="28" t="n"/>
      <x:c r="AB86" s="28" t="n"/>
      <x:c r="AC86" s="28" t="n"/>
      <x:c r="AD86" s="28" t="n"/>
      <x:c r="AE86" s="100" t="n"/>
      <x:c r="AF86" s="100" t="n"/>
      <x:c r="AG86" s="100" t="n"/>
      <x:c r="AH86" s="100" t="n"/>
      <x:c r="AI86" s="100" t="n"/>
      <x:c r="AJ86" s="100" t="n"/>
      <x:c r="AK86" s="100" t="n"/>
      <x:c r="AL86" s="28" t="n"/>
      <x:c r="AM86" s="100" t="n"/>
      <x:c r="AN86" s="28" t="n"/>
      <x:c r="AO86" s="100" t="n"/>
      <x:c r="AP86" s="28" t="n"/>
      <x:c r="AQ86" s="28" t="n"/>
      <x:c r="AR86" s="28" t="n"/>
      <x:c r="AS86" s="28" t="n"/>
      <x:c r="AT86" s="28" t="n"/>
    </x:row>
    <x:row r="87" s="27" customFormat="1">
      <x:c r="A87" s="38" t="n"/>
      <x:c r="B87" s="37" t="n"/>
      <x:c r="C87" s="36" t="n">
        <x:f>E87*D$5</x:f>
        <x:v>0</x:v>
      </x:c>
      <x:c r="D87" s="66" t="n"/>
      <x:c r="E87" s="36" t="n">
        <x:f>SUM(G87:HT87)</x:f>
        <x:v>0</x:v>
      </x:c>
      <x:c r="R87" s="100" t="n"/>
      <x:c r="S87" s="100" t="n"/>
      <x:c r="AE87" s="100" t="n"/>
      <x:c r="AF87" s="100" t="n"/>
      <x:c r="AG87" s="100" t="n"/>
      <x:c r="AH87" s="100" t="n"/>
      <x:c r="AI87" s="100" t="n"/>
      <x:c r="AJ87" s="100" t="n"/>
      <x:c r="AK87" s="100" t="n"/>
      <x:c r="AM87" s="100" t="n"/>
      <x:c r="AO87" s="100" t="n"/>
    </x:row>
    <x:row r="88" s="27" customFormat="1">
      <x:c r="A88" s="38" t="n"/>
      <x:c r="B88" s="37" t="n"/>
      <x:c r="C88" s="86" t="n">
        <x:f>E88*D$5</x:f>
        <x:v>0</x:v>
      </x:c>
      <x:c r="D88" s="523" t="n"/>
      <x:c r="E88" s="86" t="n">
        <x:f>SUM(G88:HT88)</x:f>
        <x:v>0</x:v>
      </x:c>
      <x:c r="R88" s="100" t="n"/>
      <x:c r="S88" s="100" t="n"/>
      <x:c r="AE88" s="100" t="n"/>
      <x:c r="AF88" s="100" t="n"/>
      <x:c r="AG88" s="100" t="n"/>
      <x:c r="AH88" s="100" t="n"/>
      <x:c r="AI88" s="100" t="n"/>
      <x:c r="AJ88" s="100" t="n"/>
      <x:c r="AK88" s="100" t="n"/>
      <x:c r="AM88" s="100" t="n"/>
      <x:c r="AO88" s="100" t="n"/>
    </x:row>
    <x:row r="89" s="27" customFormat="1">
      <x:c r="A89" s="38" t="n"/>
      <x:c r="B89" s="37" t="n"/>
      <x:c r="C89" s="36" t="n">
        <x:f>E89*D$5</x:f>
        <x:v>0</x:v>
      </x:c>
      <x:c r="D89" s="66" t="n"/>
      <x:c r="E89" s="36" t="n">
        <x:f>SUM(G89:HT89)</x:f>
        <x:v>0</x:v>
      </x:c>
      <x:c r="R89" s="100" t="n"/>
      <x:c r="S89" s="100" t="n"/>
      <x:c r="AE89" s="100" t="n"/>
      <x:c r="AF89" s="100" t="n"/>
      <x:c r="AG89" s="100" t="n"/>
      <x:c r="AH89" s="100" t="n"/>
      <x:c r="AI89" s="100" t="n"/>
      <x:c r="AJ89" s="100" t="n"/>
      <x:c r="AK89" s="100" t="n"/>
      <x:c r="AM89" s="100" t="n"/>
      <x:c r="AO89" s="100" t="n"/>
    </x:row>
    <x:row r="90" s="27" customFormat="1">
      <x:c r="A90" s="38" t="n"/>
      <x:c r="B90" s="37" t="n"/>
      <x:c r="C90" s="36" t="n">
        <x:f>E90*D$5</x:f>
        <x:v>0</x:v>
      </x:c>
      <x:c r="D90" s="66" t="n"/>
      <x:c r="E90" s="86" t="n">
        <x:f>SUM(G90:HT90)</x:f>
        <x:v>0</x:v>
      </x:c>
      <x:c r="R90" s="100" t="n"/>
      <x:c r="S90" s="100" t="n"/>
      <x:c r="AE90" s="100" t="n"/>
      <x:c r="AF90" s="100" t="n"/>
      <x:c r="AG90" s="100" t="n"/>
      <x:c r="AH90" s="100" t="n"/>
      <x:c r="AI90" s="100" t="n"/>
      <x:c r="AJ90" s="100" t="n"/>
      <x:c r="AK90" s="100" t="n"/>
      <x:c r="AM90" s="100" t="n"/>
      <x:c r="AO90" s="100" t="n"/>
    </x:row>
    <x:row r="91" s="27" customFormat="1">
      <x:c r="A91" s="38" t="n"/>
      <x:c r="B91" s="37" t="n"/>
      <x:c r="C91" s="86" t="n">
        <x:f>E91*D$5</x:f>
        <x:v>0</x:v>
      </x:c>
      <x:c r="D91" s="66" t="n"/>
      <x:c r="E91" s="86" t="n">
        <x:f>SUM(G91:HT91)</x:f>
        <x:v>0</x:v>
      </x:c>
      <x:c r="R91" s="100" t="n"/>
      <x:c r="S91" s="100" t="n"/>
      <x:c r="AE91" s="100" t="n"/>
      <x:c r="AF91" s="100" t="n"/>
      <x:c r="AG91" s="100" t="n"/>
      <x:c r="AH91" s="100" t="n"/>
      <x:c r="AI91" s="100" t="n"/>
      <x:c r="AJ91" s="100" t="n"/>
      <x:c r="AK91" s="100" t="n"/>
      <x:c r="AM91" s="100" t="n"/>
      <x:c r="AO91" s="100" t="n"/>
    </x:row>
    <x:row r="92" s="27" customFormat="1">
      <x:c r="A92" s="38" t="n"/>
      <x:c r="B92" s="37" t="n"/>
      <x:c r="C92" s="36" t="n">
        <x:f>E92*D$5</x:f>
        <x:v>0</x:v>
      </x:c>
      <x:c r="D92" s="66" t="n"/>
      <x:c r="E92" s="86" t="n">
        <x:f>SUM(G92:HT92)</x:f>
        <x:v>0</x:v>
      </x:c>
      <x:c r="R92" s="100" t="n"/>
      <x:c r="S92" s="100" t="n"/>
      <x:c r="AE92" s="100" t="n"/>
      <x:c r="AF92" s="100" t="n"/>
      <x:c r="AG92" s="100" t="n"/>
      <x:c r="AH92" s="100" t="n"/>
      <x:c r="AI92" s="100" t="n"/>
      <x:c r="AJ92" s="100" t="n"/>
      <x:c r="AK92" s="100" t="n"/>
      <x:c r="AM92" s="100" t="n"/>
      <x:c r="AO92" s="100" t="n"/>
    </x:row>
    <x:row r="93" s="27" customFormat="1">
      <x:c r="A93" s="38" t="n"/>
      <x:c r="B93" s="37" t="n"/>
      <x:c r="C93" s="86" t="n">
        <x:f>E93*D$5</x:f>
        <x:v>0</x:v>
      </x:c>
      <x:c r="D93" s="66" t="n"/>
      <x:c r="E93" s="86" t="n">
        <x:f>SUM(G93:HT93)</x:f>
        <x:v>0</x:v>
      </x:c>
      <x:c r="R93" s="100" t="n"/>
      <x:c r="S93" s="100" t="n"/>
      <x:c r="AE93" s="100" t="n"/>
      <x:c r="AF93" s="100" t="n"/>
      <x:c r="AG93" s="100" t="n"/>
      <x:c r="AH93" s="100" t="n"/>
      <x:c r="AI93" s="100" t="n"/>
      <x:c r="AJ93" s="100" t="n"/>
      <x:c r="AK93" s="100" t="n"/>
      <x:c r="AM93" s="100" t="n"/>
      <x:c r="AO93" s="100" t="n"/>
    </x:row>
    <x:row r="94" s="27" customFormat="1">
      <x:c r="A94" s="38" t="n"/>
      <x:c r="B94" s="37" t="n"/>
      <x:c r="C94" s="36" t="n">
        <x:f>E94*D$5</x:f>
        <x:v>0</x:v>
      </x:c>
      <x:c r="D94" s="66" t="n"/>
      <x:c r="E94" s="86" t="n">
        <x:f>SUM(G94:HT94)</x:f>
        <x:v>0</x:v>
      </x:c>
      <x:c r="R94" s="100" t="n"/>
      <x:c r="S94" s="100" t="n"/>
      <x:c r="AE94" s="100" t="n"/>
      <x:c r="AF94" s="100" t="n"/>
      <x:c r="AG94" s="100" t="n"/>
      <x:c r="AH94" s="100" t="n"/>
      <x:c r="AI94" s="100" t="n"/>
      <x:c r="AJ94" s="100" t="n"/>
      <x:c r="AK94" s="100" t="n"/>
      <x:c r="AM94" s="100" t="n"/>
      <x:c r="AO94" s="100" t="n"/>
    </x:row>
    <x:row r="95" s="27" customFormat="1">
      <x:c r="A95" s="38" t="n"/>
      <x:c r="B95" s="37" t="n"/>
      <x:c r="C95" s="86" t="n">
        <x:f>E95*D$5</x:f>
        <x:v>0</x:v>
      </x:c>
      <x:c r="D95" s="66" t="n"/>
      <x:c r="E95" s="86" t="n">
        <x:f>SUM(G95:HT95)</x:f>
        <x:v>0</x:v>
      </x:c>
      <x:c r="R95" s="100" t="n"/>
      <x:c r="S95" s="100" t="n"/>
      <x:c r="AE95" s="100" t="n"/>
      <x:c r="AF95" s="100" t="n"/>
      <x:c r="AG95" s="100" t="n"/>
      <x:c r="AH95" s="100" t="n"/>
      <x:c r="AI95" s="100" t="n"/>
      <x:c r="AJ95" s="100" t="n"/>
      <x:c r="AK95" s="100" t="n"/>
      <x:c r="AM95" s="100" t="n"/>
      <x:c r="AO95" s="100" t="n"/>
    </x:row>
    <x:row r="96" s="27" customFormat="1">
      <x:c r="A96" s="38" t="n"/>
      <x:c r="B96" s="37" t="n"/>
      <x:c r="C96" s="36" t="n">
        <x:f>E96*D$5</x:f>
        <x:v>0</x:v>
      </x:c>
      <x:c r="D96" s="66" t="n"/>
      <x:c r="E96" s="36" t="n">
        <x:f>SUM(G96:HT96)</x:f>
        <x:v>0</x:v>
      </x:c>
      <x:c r="R96" s="100" t="n"/>
      <x:c r="S96" s="100" t="n"/>
      <x:c r="AE96" s="100" t="n"/>
      <x:c r="AF96" s="100" t="n"/>
      <x:c r="AG96" s="100" t="n"/>
      <x:c r="AH96" s="100" t="n"/>
      <x:c r="AI96" s="100" t="n"/>
      <x:c r="AJ96" s="100" t="n"/>
      <x:c r="AK96" s="100" t="n"/>
      <x:c r="AM96" s="100" t="n"/>
      <x:c r="AO96" s="100" t="n"/>
    </x:row>
    <x:row r="97" s="27" customFormat="1">
      <x:c r="A97" s="38" t="n"/>
      <x:c r="B97" s="37" t="n"/>
      <x:c r="C97" s="36" t="n">
        <x:f>E97*D$5</x:f>
        <x:v>0</x:v>
      </x:c>
      <x:c r="D97" s="66" t="n"/>
      <x:c r="E97" s="36" t="n">
        <x:f>SUM(G97:HT97)</x:f>
        <x:v>0</x:v>
      </x:c>
      <x:c r="R97" s="100" t="n"/>
      <x:c r="S97" s="100" t="n"/>
      <x:c r="AE97" s="100" t="n"/>
      <x:c r="AF97" s="100" t="n"/>
      <x:c r="AG97" s="100" t="n"/>
      <x:c r="AH97" s="100" t="n"/>
      <x:c r="AI97" s="100" t="n"/>
      <x:c r="AJ97" s="100" t="n"/>
      <x:c r="AK97" s="100" t="n"/>
      <x:c r="AM97" s="100" t="n"/>
      <x:c r="AO97" s="100" t="n"/>
    </x:row>
    <x:row r="98" s="27" customFormat="1">
      <x:c r="A98" s="38" t="n"/>
      <x:c r="B98" s="37" t="n"/>
      <x:c r="C98" s="36" t="n">
        <x:f>E98*D$5</x:f>
        <x:v>0</x:v>
      </x:c>
      <x:c r="D98" s="66" t="n"/>
      <x:c r="E98" s="36" t="n">
        <x:f>SUM(G98:HT98)</x:f>
        <x:v>0</x:v>
      </x:c>
      <x:c r="R98" s="100" t="n"/>
      <x:c r="S98" s="100" t="n"/>
      <x:c r="AE98" s="100" t="n"/>
      <x:c r="AF98" s="100" t="n"/>
      <x:c r="AG98" s="100" t="n"/>
      <x:c r="AH98" s="100" t="n"/>
      <x:c r="AI98" s="100" t="n"/>
      <x:c r="AJ98" s="100" t="n"/>
      <x:c r="AK98" s="100" t="n"/>
      <x:c r="AM98" s="100" t="n"/>
      <x:c r="AO98" s="100" t="n"/>
    </x:row>
    <x:row r="99" s="27" customFormat="1">
      <x:c r="A99" s="38" t="n"/>
      <x:c r="B99" s="37" t="n"/>
      <x:c r="C99" s="36" t="n">
        <x:f>E99*D$5</x:f>
        <x:v>0</x:v>
      </x:c>
      <x:c r="D99" s="523" t="n"/>
      <x:c r="E99" s="36" t="n">
        <x:f>SUM(G99:HT99)</x:f>
        <x:v>0</x:v>
      </x:c>
      <x:c r="R99" s="100" t="n"/>
      <x:c r="S99" s="100" t="n"/>
      <x:c r="AE99" s="100" t="n"/>
      <x:c r="AF99" s="100" t="n"/>
      <x:c r="AG99" s="100" t="n"/>
      <x:c r="AH99" s="100" t="n"/>
      <x:c r="AI99" s="100" t="n"/>
      <x:c r="AJ99" s="100" t="n"/>
      <x:c r="AK99" s="100" t="n"/>
      <x:c r="AM99" s="100" t="n"/>
      <x:c r="AO99" s="100" t="n"/>
    </x:row>
    <x:row r="100" s="27" customFormat="1">
      <x:c r="A100" s="38" t="n"/>
      <x:c r="B100" s="37" t="n"/>
      <x:c r="C100" s="36" t="n">
        <x:f>E100*D$5</x:f>
        <x:v>0</x:v>
      </x:c>
      <x:c r="D100" s="523" t="n"/>
      <x:c r="E100" s="36" t="n">
        <x:f>SUM(G100:HT100)</x:f>
        <x:v>0</x:v>
      </x:c>
      <x:c r="R100" s="100" t="n"/>
      <x:c r="S100" s="100" t="n"/>
      <x:c r="AE100" s="100" t="n"/>
      <x:c r="AF100" s="100" t="n"/>
      <x:c r="AG100" s="100" t="n"/>
      <x:c r="AH100" s="100" t="n"/>
      <x:c r="AI100" s="100" t="n"/>
      <x:c r="AJ100" s="100" t="n"/>
      <x:c r="AK100" s="100" t="n"/>
      <x:c r="AM100" s="100" t="n"/>
      <x:c r="AO100" s="100" t="n"/>
    </x:row>
    <x:row r="101" s="27" customFormat="1">
      <x:c r="A101" s="38" t="n"/>
      <x:c r="B101" s="37" t="n"/>
      <x:c r="C101" s="36" t="n">
        <x:f>E101*D$5</x:f>
        <x:v>0</x:v>
      </x:c>
      <x:c r="D101" s="20" t="n"/>
      <x:c r="E101" s="36" t="n">
        <x:f>SUM(G101:HT101)</x:f>
        <x:v>0</x:v>
      </x:c>
      <x:c r="R101" s="100" t="n"/>
      <x:c r="S101" s="100" t="n"/>
      <x:c r="AE101" s="100" t="n"/>
      <x:c r="AF101" s="100" t="n"/>
      <x:c r="AG101" s="100" t="n"/>
      <x:c r="AH101" s="100" t="n"/>
      <x:c r="AI101" s="100" t="n"/>
      <x:c r="AJ101" s="100" t="n"/>
      <x:c r="AK101" s="100" t="n"/>
      <x:c r="AM101" s="100" t="n"/>
      <x:c r="AO101" s="100" t="n"/>
    </x:row>
    <x:row r="102" s="27" customFormat="1">
      <x:c r="A102" s="38" t="n"/>
      <x:c r="B102" s="37" t="n"/>
      <x:c r="C102" s="36" t="n">
        <x:f>E102*D$5</x:f>
        <x:v>0</x:v>
      </x:c>
      <x:c r="D102" s="20" t="n"/>
      <x:c r="E102" s="36" t="n">
        <x:f>SUM(G102:HT102)</x:f>
        <x:v>0</x:v>
      </x:c>
      <x:c r="R102" s="100" t="n"/>
      <x:c r="S102" s="100" t="n"/>
      <x:c r="AE102" s="100" t="n"/>
      <x:c r="AF102" s="100" t="n"/>
      <x:c r="AG102" s="100" t="n"/>
      <x:c r="AH102" s="100" t="n"/>
      <x:c r="AI102" s="100" t="n"/>
      <x:c r="AJ102" s="100" t="n"/>
      <x:c r="AK102" s="100" t="n"/>
      <x:c r="AM102" s="100" t="n"/>
      <x:c r="AO102" s="100" t="n"/>
    </x:row>
    <x:row r="103" s="27" customFormat="1">
      <x:c r="A103" s="38" t="n"/>
      <x:c r="B103" s="37" t="n"/>
      <x:c r="C103" s="36" t="n">
        <x:f>E103*D$5</x:f>
        <x:v>0</x:v>
      </x:c>
      <x:c r="D103" s="20" t="n"/>
      <x:c r="E103" s="36" t="n">
        <x:f>SUM(G103:HT103)</x:f>
        <x:v>0</x:v>
      </x:c>
      <x:c r="R103" s="100" t="n"/>
      <x:c r="S103" s="100" t="n"/>
      <x:c r="AE103" s="100" t="n"/>
      <x:c r="AF103" s="100" t="n"/>
      <x:c r="AG103" s="100" t="n"/>
      <x:c r="AH103" s="100" t="n"/>
      <x:c r="AI103" s="100" t="n"/>
      <x:c r="AJ103" s="100" t="n"/>
      <x:c r="AK103" s="100" t="n"/>
      <x:c r="AM103" s="100" t="n"/>
      <x:c r="AO103" s="100" t="n"/>
    </x:row>
    <x:row r="104" s="27" customFormat="1">
      <x:c r="A104" s="38" t="n"/>
      <x:c r="B104" s="37" t="n"/>
      <x:c r="C104" s="36" t="n">
        <x:f>E104*D$5</x:f>
        <x:v>0</x:v>
      </x:c>
      <x:c r="D104" s="20" t="n"/>
      <x:c r="E104" s="36" t="n">
        <x:f>SUM(G104:HT104)</x:f>
        <x:v>0</x:v>
      </x:c>
      <x:c r="R104" s="100" t="n"/>
      <x:c r="S104" s="100" t="n"/>
      <x:c r="AE104" s="100" t="n"/>
      <x:c r="AF104" s="100" t="n"/>
      <x:c r="AG104" s="100" t="n"/>
      <x:c r="AH104" s="100" t="n"/>
      <x:c r="AI104" s="100" t="n"/>
      <x:c r="AJ104" s="100" t="n"/>
      <x:c r="AK104" s="100" t="n"/>
      <x:c r="AM104" s="100" t="n"/>
      <x:c r="AO104" s="100" t="n"/>
    </x:row>
    <x:row r="105" s="27" customFormat="1">
      <x:c r="A105" s="38" t="n"/>
      <x:c r="B105" s="37" t="n"/>
      <x:c r="C105" s="36" t="n">
        <x:f>E105*D$5</x:f>
        <x:v>0</x:v>
      </x:c>
      <x:c r="D105" s="20" t="n"/>
      <x:c r="E105" s="36" t="n">
        <x:f>SUM(G105:HT105)</x:f>
        <x:v>0</x:v>
      </x:c>
      <x:c r="R105" s="100" t="n"/>
      <x:c r="S105" s="100" t="n"/>
      <x:c r="AE105" s="100" t="n"/>
      <x:c r="AF105" s="100" t="n"/>
      <x:c r="AG105" s="100" t="n"/>
      <x:c r="AH105" s="100" t="n"/>
      <x:c r="AI105" s="100" t="n"/>
      <x:c r="AJ105" s="100" t="n"/>
      <x:c r="AK105" s="100" t="n"/>
      <x:c r="AM105" s="100" t="n"/>
      <x:c r="AO105" s="100" t="n"/>
    </x:row>
    <x:row r="106" s="27" customFormat="1">
      <x:c r="A106" s="38" t="n"/>
      <x:c r="B106" s="37" t="n"/>
      <x:c r="C106" s="36" t="n">
        <x:f>E106*D$5</x:f>
        <x:v>0</x:v>
      </x:c>
      <x:c r="D106" s="20" t="n"/>
      <x:c r="E106" s="36" t="n">
        <x:f>SUM(G106:HT106)</x:f>
        <x:v>0</x:v>
      </x:c>
      <x:c r="R106" s="100" t="n"/>
      <x:c r="S106" s="100" t="n"/>
      <x:c r="AE106" s="100" t="n"/>
      <x:c r="AF106" s="100" t="n"/>
      <x:c r="AG106" s="100" t="n"/>
      <x:c r="AH106" s="100" t="n"/>
      <x:c r="AI106" s="100" t="n"/>
      <x:c r="AJ106" s="100" t="n"/>
      <x:c r="AK106" s="100" t="n"/>
      <x:c r="AM106" s="100" t="n"/>
      <x:c r="AO106" s="100" t="n"/>
    </x:row>
    <x:row r="107" s="27" customFormat="1">
      <x:c r="A107" s="38" t="n"/>
      <x:c r="B107" s="37" t="n"/>
      <x:c r="C107" s="36" t="n">
        <x:f>E107*D$5</x:f>
        <x:v>0</x:v>
      </x:c>
      <x:c r="D107" s="20" t="n"/>
      <x:c r="E107" s="36" t="n">
        <x:f>SUM(G107:HT107)</x:f>
        <x:v>0</x:v>
      </x:c>
      <x:c r="R107" s="100" t="n"/>
      <x:c r="S107" s="100" t="n"/>
      <x:c r="AE107" s="100" t="n"/>
      <x:c r="AF107" s="100" t="n"/>
      <x:c r="AG107" s="100" t="n"/>
      <x:c r="AH107" s="100" t="n"/>
      <x:c r="AI107" s="100" t="n"/>
      <x:c r="AJ107" s="100" t="n"/>
      <x:c r="AK107" s="100" t="n"/>
      <x:c r="AM107" s="100" t="n"/>
      <x:c r="AO107" s="100" t="n"/>
    </x:row>
    <x:row r="108" s="27" customFormat="1">
      <x:c r="A108" s="38" t="n"/>
      <x:c r="B108" s="37" t="n"/>
      <x:c r="C108" s="36" t="n">
        <x:f>E108*D$5</x:f>
        <x:v>0</x:v>
      </x:c>
      <x:c r="D108" s="20" t="n"/>
      <x:c r="E108" s="36" t="n">
        <x:f>SUM(G108:HT108)</x:f>
        <x:v>0</x:v>
      </x:c>
      <x:c r="R108" s="100" t="n"/>
      <x:c r="S108" s="100" t="n"/>
      <x:c r="AE108" s="100" t="n"/>
      <x:c r="AF108" s="100" t="n"/>
      <x:c r="AG108" s="100" t="n"/>
      <x:c r="AH108" s="100" t="n"/>
      <x:c r="AI108" s="100" t="n"/>
      <x:c r="AJ108" s="100" t="n"/>
      <x:c r="AK108" s="100" t="n"/>
      <x:c r="AM108" s="100" t="n"/>
      <x:c r="AO108" s="100" t="n"/>
    </x:row>
    <x:row r="109" s="27" customFormat="1">
      <x:c r="A109" s="38" t="n"/>
      <x:c r="B109" s="37" t="n"/>
      <x:c r="C109" s="36" t="n">
        <x:f>E109*D$5</x:f>
        <x:v>0</x:v>
      </x:c>
      <x:c r="D109" s="20" t="n"/>
      <x:c r="E109" s="36" t="n">
        <x:f>SUM(G109:HT109)</x:f>
        <x:v>0</x:v>
      </x:c>
      <x:c r="R109" s="100" t="n"/>
      <x:c r="S109" s="100" t="n"/>
      <x:c r="AE109" s="100" t="n"/>
      <x:c r="AF109" s="100" t="n"/>
      <x:c r="AG109" s="100" t="n"/>
      <x:c r="AH109" s="100" t="n"/>
      <x:c r="AI109" s="100" t="n"/>
      <x:c r="AJ109" s="100" t="n"/>
      <x:c r="AK109" s="100" t="n"/>
      <x:c r="AM109" s="100" t="n"/>
      <x:c r="AO109" s="100" t="n"/>
    </x:row>
    <x:row r="110" s="27" customFormat="1">
      <x:c r="A110" s="38" t="n"/>
      <x:c r="B110" s="37" t="n"/>
      <x:c r="C110" s="36" t="n">
        <x:f>E110*D$5</x:f>
        <x:v>0</x:v>
      </x:c>
      <x:c r="D110" s="20" t="n"/>
      <x:c r="E110" s="36" t="n">
        <x:f>SUM(G110:HT110)</x:f>
        <x:v>0</x:v>
      </x:c>
      <x:c r="R110" s="100" t="n"/>
      <x:c r="S110" s="100" t="n"/>
      <x:c r="AE110" s="100" t="n"/>
      <x:c r="AF110" s="100" t="n"/>
      <x:c r="AG110" s="100" t="n"/>
      <x:c r="AH110" s="100" t="n"/>
      <x:c r="AI110" s="100" t="n"/>
      <x:c r="AJ110" s="100" t="n"/>
      <x:c r="AK110" s="100" t="n"/>
      <x:c r="AM110" s="100" t="n"/>
      <x:c r="AO110" s="100" t="n"/>
    </x:row>
    <x:row r="111" s="27" customFormat="1">
      <x:c r="A111" s="38" t="n"/>
      <x:c r="B111" s="37" t="n"/>
      <x:c r="C111" s="36" t="n">
        <x:f>E111*D$5</x:f>
        <x:v>0</x:v>
      </x:c>
      <x:c r="D111" s="20" t="n"/>
      <x:c r="E111" s="36" t="n">
        <x:f>SUM(G111:HT111)</x:f>
        <x:v>0</x:v>
      </x:c>
      <x:c r="R111" s="100" t="n"/>
      <x:c r="S111" s="100" t="n"/>
      <x:c r="AE111" s="100" t="n"/>
      <x:c r="AF111" s="100" t="n"/>
      <x:c r="AG111" s="100" t="n"/>
      <x:c r="AH111" s="100" t="n"/>
      <x:c r="AI111" s="100" t="n"/>
      <x:c r="AJ111" s="100" t="n"/>
      <x:c r="AK111" s="100" t="n"/>
      <x:c r="AM111" s="100" t="n"/>
      <x:c r="AO111" s="100" t="n"/>
    </x:row>
    <x:row r="112" s="27" customFormat="1">
      <x:c r="A112" s="38" t="n"/>
      <x:c r="B112" s="37" t="n"/>
      <x:c r="C112" s="36" t="n">
        <x:f>E112*D$5</x:f>
        <x:v>0</x:v>
      </x:c>
      <x:c r="D112" s="20" t="n"/>
      <x:c r="E112" s="36" t="n">
        <x:f>SUM(G112:HT112)</x:f>
        <x:v>0</x:v>
      </x:c>
      <x:c r="R112" s="100" t="n"/>
      <x:c r="S112" s="100" t="n"/>
      <x:c r="AE112" s="100" t="n"/>
      <x:c r="AF112" s="100" t="n"/>
      <x:c r="AG112" s="100" t="n"/>
      <x:c r="AH112" s="100" t="n"/>
      <x:c r="AI112" s="100" t="n"/>
      <x:c r="AJ112" s="100" t="n"/>
      <x:c r="AK112" s="100" t="n"/>
      <x:c r="AM112" s="100" t="n"/>
      <x:c r="AO112" s="100" t="n"/>
    </x:row>
    <x:row r="113" s="27" customFormat="1">
      <x:c r="A113" s="38" t="n"/>
      <x:c r="B113" s="37" t="n"/>
      <x:c r="C113" s="36" t="n">
        <x:f>E113*D$5</x:f>
        <x:v>0</x:v>
      </x:c>
      <x:c r="D113" s="20" t="n"/>
      <x:c r="E113" s="36" t="n">
        <x:f>SUM(G113:HT113)</x:f>
        <x:v>0</x:v>
      </x:c>
      <x:c r="R113" s="100" t="n"/>
      <x:c r="S113" s="100" t="n"/>
      <x:c r="AE113" s="100" t="n"/>
      <x:c r="AF113" s="100" t="n"/>
      <x:c r="AG113" s="100" t="n"/>
      <x:c r="AH113" s="100" t="n"/>
      <x:c r="AI113" s="100" t="n"/>
      <x:c r="AJ113" s="100" t="n"/>
      <x:c r="AK113" s="100" t="n"/>
      <x:c r="AM113" s="100" t="n"/>
      <x:c r="AO113" s="100" t="n"/>
    </x:row>
    <x:row r="114" s="27" customFormat="1">
      <x:c r="A114" s="38" t="n"/>
      <x:c r="B114" s="37" t="n"/>
      <x:c r="C114" s="36" t="n">
        <x:f>E114*D$5</x:f>
        <x:v>0</x:v>
      </x:c>
      <x:c r="D114" s="20" t="n"/>
      <x:c r="E114" s="36" t="n">
        <x:f>SUM(G114:HT114)</x:f>
        <x:v>0</x:v>
      </x:c>
      <x:c r="R114" s="100" t="n"/>
      <x:c r="S114" s="100" t="n"/>
      <x:c r="AE114" s="100" t="n"/>
      <x:c r="AF114" s="100" t="n"/>
      <x:c r="AG114" s="100" t="n"/>
      <x:c r="AH114" s="100" t="n"/>
      <x:c r="AI114" s="100" t="n"/>
      <x:c r="AJ114" s="100" t="n"/>
      <x:c r="AK114" s="100" t="n"/>
      <x:c r="AM114" s="100" t="n"/>
      <x:c r="AO114" s="100" t="n"/>
    </x:row>
    <x:row r="115" s="27" customFormat="1">
      <x:c r="A115" s="38" t="n"/>
      <x:c r="B115" s="37" t="n"/>
      <x:c r="C115" s="36" t="n">
        <x:f>E115*D$5</x:f>
        <x:v>0</x:v>
      </x:c>
      <x:c r="D115" s="20" t="n"/>
      <x:c r="E115" s="36" t="n">
        <x:f>SUM(G115:HT115)</x:f>
        <x:v>0</x:v>
      </x:c>
      <x:c r="R115" s="100" t="n"/>
      <x:c r="S115" s="100" t="n"/>
      <x:c r="AE115" s="100" t="n"/>
      <x:c r="AF115" s="100" t="n"/>
      <x:c r="AG115" s="100" t="n"/>
      <x:c r="AH115" s="100" t="n"/>
      <x:c r="AI115" s="100" t="n"/>
      <x:c r="AJ115" s="100" t="n"/>
      <x:c r="AK115" s="100" t="n"/>
      <x:c r="AM115" s="100" t="n"/>
      <x:c r="AO115" s="100" t="n"/>
    </x:row>
    <x:row r="116" s="27" customFormat="1">
      <x:c r="A116" s="38" t="n"/>
      <x:c r="B116" s="37" t="n"/>
      <x:c r="C116" s="36" t="n">
        <x:f>E116*D$5</x:f>
        <x:v>0</x:v>
      </x:c>
      <x:c r="D116" s="20" t="n"/>
      <x:c r="E116" s="36" t="n">
        <x:f>SUM(G116:HT116)</x:f>
        <x:v>0</x:v>
      </x:c>
      <x:c r="R116" s="100" t="n"/>
      <x:c r="S116" s="100" t="n"/>
      <x:c r="AE116" s="100" t="n"/>
      <x:c r="AF116" s="100" t="n"/>
      <x:c r="AG116" s="100" t="n"/>
      <x:c r="AH116" s="100" t="n"/>
      <x:c r="AI116" s="100" t="n"/>
      <x:c r="AJ116" s="100" t="n"/>
      <x:c r="AK116" s="100" t="n"/>
      <x:c r="AM116" s="100" t="n"/>
      <x:c r="AO116" s="100" t="n"/>
    </x:row>
    <x:row r="117" s="27" customFormat="1">
      <x:c r="A117" s="38" t="n"/>
      <x:c r="B117" s="37" t="n"/>
      <x:c r="C117" s="36" t="n">
        <x:f>E117*D$5</x:f>
        <x:v>0</x:v>
      </x:c>
      <x:c r="D117" s="20" t="n"/>
      <x:c r="E117" s="36" t="n">
        <x:f>SUM(G117:HT117)</x:f>
        <x:v>0</x:v>
      </x:c>
      <x:c r="R117" s="100" t="n"/>
      <x:c r="S117" s="100" t="n"/>
      <x:c r="AE117" s="100" t="n"/>
      <x:c r="AF117" s="100" t="n"/>
      <x:c r="AG117" s="100" t="n"/>
      <x:c r="AH117" s="100" t="n"/>
      <x:c r="AI117" s="100" t="n"/>
      <x:c r="AJ117" s="100" t="n"/>
      <x:c r="AK117" s="100" t="n"/>
      <x:c r="AM117" s="100" t="n"/>
      <x:c r="AO117" s="100" t="n"/>
    </x:row>
    <x:row r="118" s="27" customFormat="1">
      <x:c r="A118" s="38" t="n"/>
      <x:c r="B118" s="37" t="n"/>
      <x:c r="C118" s="36" t="n">
        <x:f>E118*D$5</x:f>
        <x:v>0</x:v>
      </x:c>
      <x:c r="D118" s="20" t="n"/>
      <x:c r="E118" s="36" t="n">
        <x:f>SUM(G118:HT118)</x:f>
        <x:v>0</x:v>
      </x:c>
      <x:c r="R118" s="100" t="n"/>
      <x:c r="S118" s="100" t="n"/>
      <x:c r="AE118" s="100" t="n"/>
      <x:c r="AF118" s="100" t="n"/>
      <x:c r="AG118" s="100" t="n"/>
      <x:c r="AH118" s="100" t="n"/>
      <x:c r="AI118" s="100" t="n"/>
      <x:c r="AJ118" s="100" t="n"/>
      <x:c r="AK118" s="100" t="n"/>
      <x:c r="AM118" s="100" t="n"/>
      <x:c r="AO118" s="100" t="n"/>
    </x:row>
    <x:row r="119" s="27" customFormat="1">
      <x:c r="A119" s="38" t="n"/>
      <x:c r="B119" s="37" t="n"/>
      <x:c r="C119" s="36" t="n">
        <x:f>E119*D$5</x:f>
        <x:v>0</x:v>
      </x:c>
      <x:c r="D119" s="20" t="n"/>
      <x:c r="E119" s="36" t="n">
        <x:f>SUM(G119:HT119)</x:f>
        <x:v>0</x:v>
      </x:c>
      <x:c r="R119" s="100" t="n"/>
      <x:c r="S119" s="100" t="n"/>
      <x:c r="AE119" s="100" t="n"/>
      <x:c r="AF119" s="100" t="n"/>
      <x:c r="AG119" s="100" t="n"/>
      <x:c r="AH119" s="100" t="n"/>
      <x:c r="AI119" s="100" t="n"/>
      <x:c r="AJ119" s="100" t="n"/>
      <x:c r="AK119" s="100" t="n"/>
      <x:c r="AM119" s="100" t="n"/>
      <x:c r="AO119" s="100" t="n"/>
    </x:row>
    <x:row r="120" s="27" customFormat="1">
      <x:c r="A120" s="38" t="n"/>
      <x:c r="B120" s="37" t="n"/>
      <x:c r="C120" s="36" t="n">
        <x:f>E120*D$5</x:f>
        <x:v>0</x:v>
      </x:c>
      <x:c r="D120" s="20" t="n"/>
      <x:c r="E120" s="36" t="n">
        <x:f>SUM(G120:HT120)</x:f>
        <x:v>0</x:v>
      </x:c>
      <x:c r="R120" s="100" t="n"/>
      <x:c r="S120" s="100" t="n"/>
      <x:c r="AE120" s="100" t="n"/>
      <x:c r="AF120" s="100" t="n"/>
      <x:c r="AG120" s="100" t="n"/>
      <x:c r="AH120" s="100" t="n"/>
      <x:c r="AI120" s="100" t="n"/>
      <x:c r="AJ120" s="100" t="n"/>
      <x:c r="AK120" s="100" t="n"/>
      <x:c r="AM120" s="100" t="n"/>
      <x:c r="AO120" s="100" t="n"/>
    </x:row>
    <x:row r="121" s="27" customFormat="1">
      <x:c r="A121" s="38" t="n"/>
      <x:c r="B121" s="37" t="n"/>
      <x:c r="C121" s="36" t="n">
        <x:f>E121*D$5</x:f>
        <x:v>0</x:v>
      </x:c>
      <x:c r="D121" s="20" t="n"/>
      <x:c r="E121" s="36" t="n">
        <x:f>SUM(G121:HT121)</x:f>
        <x:v>0</x:v>
      </x:c>
      <x:c r="R121" s="100" t="n"/>
      <x:c r="S121" s="100" t="n"/>
      <x:c r="AE121" s="100" t="n"/>
      <x:c r="AF121" s="100" t="n"/>
      <x:c r="AG121" s="100" t="n"/>
      <x:c r="AH121" s="100" t="n"/>
      <x:c r="AI121" s="100" t="n"/>
      <x:c r="AJ121" s="100" t="n"/>
      <x:c r="AK121" s="100" t="n"/>
      <x:c r="AM121" s="100" t="n"/>
      <x:c r="AO121" s="100" t="n"/>
    </x:row>
    <x:row r="122" s="27" customFormat="1">
      <x:c r="A122" s="38" t="n"/>
      <x:c r="B122" s="37" t="n"/>
      <x:c r="C122" s="36" t="n">
        <x:f>E122*D$5</x:f>
        <x:v>0</x:v>
      </x:c>
      <x:c r="D122" s="20" t="n"/>
      <x:c r="E122" s="36" t="n">
        <x:f>SUM(G122:HT122)</x:f>
        <x:v>0</x:v>
      </x:c>
      <x:c r="R122" s="100" t="n"/>
      <x:c r="S122" s="100" t="n"/>
      <x:c r="AE122" s="100" t="n"/>
      <x:c r="AF122" s="100" t="n"/>
      <x:c r="AG122" s="100" t="n"/>
      <x:c r="AH122" s="100" t="n"/>
      <x:c r="AI122" s="100" t="n"/>
      <x:c r="AJ122" s="100" t="n"/>
      <x:c r="AK122" s="100" t="n"/>
      <x:c r="AM122" s="100" t="n"/>
      <x:c r="AO122" s="100" t="n"/>
    </x:row>
    <x:row r="123" s="27" customFormat="1">
      <x:c r="A123" s="38" t="n"/>
      <x:c r="B123" s="37" t="n"/>
      <x:c r="C123" s="36" t="n">
        <x:f>E123*D$5</x:f>
        <x:v>0</x:v>
      </x:c>
      <x:c r="D123" s="20" t="n"/>
      <x:c r="E123" s="36" t="n">
        <x:f>SUM(G123:HT123)</x:f>
        <x:v>0</x:v>
      </x:c>
      <x:c r="R123" s="100" t="n"/>
      <x:c r="S123" s="100" t="n"/>
      <x:c r="AE123" s="100" t="n"/>
      <x:c r="AF123" s="100" t="n"/>
      <x:c r="AG123" s="100" t="n"/>
      <x:c r="AH123" s="100" t="n"/>
      <x:c r="AI123" s="100" t="n"/>
      <x:c r="AJ123" s="100" t="n"/>
      <x:c r="AK123" s="100" t="n"/>
      <x:c r="AM123" s="100" t="n"/>
      <x:c r="AO123" s="100" t="n"/>
    </x:row>
    <x:row r="124" s="27" customFormat="1">
      <x:c r="A124" s="38" t="n"/>
      <x:c r="B124" s="37" t="n"/>
      <x:c r="C124" s="36" t="n">
        <x:f>E124*D$5</x:f>
        <x:v>0</x:v>
      </x:c>
      <x:c r="D124" s="20" t="n"/>
      <x:c r="E124" s="36" t="n">
        <x:f>SUM(G124:HT124)</x:f>
        <x:v>0</x:v>
      </x:c>
      <x:c r="R124" s="100" t="n"/>
      <x:c r="S124" s="100" t="n"/>
      <x:c r="AE124" s="100" t="n"/>
      <x:c r="AF124" s="100" t="n"/>
      <x:c r="AG124" s="100" t="n"/>
      <x:c r="AH124" s="100" t="n"/>
      <x:c r="AI124" s="100" t="n"/>
      <x:c r="AJ124" s="100" t="n"/>
      <x:c r="AK124" s="100" t="n"/>
      <x:c r="AM124" s="100" t="n"/>
      <x:c r="AO124" s="100" t="n"/>
    </x:row>
    <x:row r="125" s="27" customFormat="1">
      <x:c r="A125" s="38" t="n"/>
      <x:c r="B125" s="37" t="n"/>
      <x:c r="C125" s="36" t="n">
        <x:f>E125*D$5</x:f>
        <x:v>0</x:v>
      </x:c>
      <x:c r="D125" s="20" t="n"/>
      <x:c r="E125" s="36" t="n">
        <x:f>SUM(G125:HT125)</x:f>
        <x:v>0</x:v>
      </x:c>
      <x:c r="R125" s="100" t="n"/>
      <x:c r="S125" s="100" t="n"/>
      <x:c r="AE125" s="100" t="n"/>
      <x:c r="AF125" s="100" t="n"/>
      <x:c r="AG125" s="100" t="n"/>
      <x:c r="AH125" s="100" t="n"/>
      <x:c r="AI125" s="100" t="n"/>
      <x:c r="AJ125" s="100" t="n"/>
      <x:c r="AK125" s="100" t="n"/>
      <x:c r="AM125" s="100" t="n"/>
      <x:c r="AO125" s="100" t="n"/>
    </x:row>
    <x:row r="126" s="27" customFormat="1">
      <x:c r="A126" s="38" t="n"/>
      <x:c r="B126" s="37" t="n"/>
      <x:c r="C126" s="36" t="n">
        <x:f>E126*D$5</x:f>
        <x:v>0</x:v>
      </x:c>
      <x:c r="D126" s="20" t="n"/>
      <x:c r="E126" s="36" t="n">
        <x:f>SUM(G126:HT126)</x:f>
        <x:v>0</x:v>
      </x:c>
      <x:c r="R126" s="100" t="n"/>
      <x:c r="S126" s="100" t="n"/>
      <x:c r="AE126" s="100" t="n"/>
      <x:c r="AF126" s="100" t="n"/>
      <x:c r="AG126" s="100" t="n"/>
      <x:c r="AH126" s="100" t="n"/>
      <x:c r="AI126" s="100" t="n"/>
      <x:c r="AJ126" s="100" t="n"/>
      <x:c r="AK126" s="100" t="n"/>
      <x:c r="AM126" s="100" t="n"/>
      <x:c r="AO126" s="100" t="n"/>
    </x:row>
    <x:row r="127" s="27" customFormat="1">
      <x:c r="A127" s="38" t="n"/>
      <x:c r="B127" s="37" t="n"/>
      <x:c r="C127" s="36" t="n">
        <x:f>E127*D$5</x:f>
        <x:v>0</x:v>
      </x:c>
      <x:c r="D127" s="20" t="n"/>
      <x:c r="E127" s="36" t="n">
        <x:f>SUM(G127:HT127)</x:f>
        <x:v>0</x:v>
      </x:c>
      <x:c r="R127" s="100" t="n"/>
      <x:c r="S127" s="100" t="n"/>
      <x:c r="AE127" s="100" t="n"/>
      <x:c r="AF127" s="100" t="n"/>
      <x:c r="AG127" s="100" t="n"/>
      <x:c r="AH127" s="100" t="n"/>
      <x:c r="AI127" s="100" t="n"/>
      <x:c r="AJ127" s="100" t="n"/>
      <x:c r="AK127" s="100" t="n"/>
      <x:c r="AM127" s="100" t="n"/>
      <x:c r="AO127" s="100" t="n"/>
    </x:row>
    <x:row r="128" s="27" customFormat="1">
      <x:c r="A128" s="38" t="n"/>
      <x:c r="B128" s="37" t="n"/>
      <x:c r="C128" s="36" t="n">
        <x:f>E128*D$5</x:f>
        <x:v>0</x:v>
      </x:c>
      <x:c r="D128" s="20" t="n"/>
      <x:c r="E128" s="36" t="n">
        <x:f>SUM(G128:HT128)</x:f>
        <x:v>0</x:v>
      </x:c>
      <x:c r="R128" s="100" t="n"/>
      <x:c r="S128" s="100" t="n"/>
      <x:c r="AE128" s="100" t="n"/>
      <x:c r="AF128" s="100" t="n"/>
      <x:c r="AG128" s="100" t="n"/>
      <x:c r="AH128" s="100" t="n"/>
      <x:c r="AI128" s="100" t="n"/>
      <x:c r="AJ128" s="100" t="n"/>
      <x:c r="AK128" s="100" t="n"/>
      <x:c r="AM128" s="100" t="n"/>
      <x:c r="AO128" s="100" t="n"/>
    </x:row>
    <x:row r="129" s="27" customFormat="1">
      <x:c r="A129" s="38" t="n"/>
      <x:c r="B129" s="37" t="n"/>
      <x:c r="C129" s="36" t="n">
        <x:f>E129*D$5</x:f>
        <x:v>0</x:v>
      </x:c>
      <x:c r="D129" s="20" t="n"/>
      <x:c r="E129" s="36" t="n">
        <x:f>SUM(G129:HT129)</x:f>
        <x:v>0</x:v>
      </x:c>
      <x:c r="R129" s="100" t="n"/>
      <x:c r="S129" s="100" t="n"/>
      <x:c r="AE129" s="100" t="n"/>
      <x:c r="AF129" s="100" t="n"/>
      <x:c r="AG129" s="100" t="n"/>
      <x:c r="AH129" s="100" t="n"/>
      <x:c r="AI129" s="100" t="n"/>
      <x:c r="AJ129" s="100" t="n"/>
      <x:c r="AK129" s="100" t="n"/>
      <x:c r="AM129" s="100" t="n"/>
      <x:c r="AO129" s="100" t="n"/>
    </x:row>
    <x:row r="130" s="27" customFormat="1">
      <x:c r="A130" s="38" t="n"/>
      <x:c r="B130" s="37" t="n"/>
      <x:c r="C130" s="36" t="n">
        <x:f>E130*D$5</x:f>
        <x:v>0</x:v>
      </x:c>
      <x:c r="D130" s="20" t="n"/>
      <x:c r="E130" s="36" t="n">
        <x:f>SUM(G130:HT130)</x:f>
        <x:v>0</x:v>
      </x:c>
      <x:c r="R130" s="100" t="n"/>
      <x:c r="S130" s="100" t="n"/>
      <x:c r="AE130" s="100" t="n"/>
      <x:c r="AF130" s="100" t="n"/>
      <x:c r="AG130" s="100" t="n"/>
      <x:c r="AH130" s="100" t="n"/>
      <x:c r="AI130" s="100" t="n"/>
      <x:c r="AJ130" s="100" t="n"/>
      <x:c r="AK130" s="100" t="n"/>
      <x:c r="AM130" s="100" t="n"/>
      <x:c r="AO130" s="100" t="n"/>
    </x:row>
    <x:row r="131" s="27" customFormat="1">
      <x:c r="A131" s="38" t="n"/>
      <x:c r="B131" s="37" t="n"/>
      <x:c r="C131" s="36" t="n">
        <x:f>E131*D$5</x:f>
        <x:v>0</x:v>
      </x:c>
      <x:c r="D131" s="20" t="n"/>
      <x:c r="E131" s="36" t="n">
        <x:f>SUM(G131:HT131)</x:f>
        <x:v>0</x:v>
      </x:c>
      <x:c r="R131" s="100" t="n"/>
      <x:c r="S131" s="100" t="n"/>
      <x:c r="AE131" s="100" t="n"/>
      <x:c r="AF131" s="100" t="n"/>
      <x:c r="AG131" s="100" t="n"/>
      <x:c r="AH131" s="100" t="n"/>
      <x:c r="AI131" s="100" t="n"/>
      <x:c r="AJ131" s="100" t="n"/>
      <x:c r="AK131" s="100" t="n"/>
      <x:c r="AM131" s="100" t="n"/>
      <x:c r="AO131" s="100" t="n"/>
    </x:row>
    <x:row r="132" s="27" customFormat="1">
      <x:c r="A132" s="38" t="n"/>
      <x:c r="B132" s="37" t="n"/>
      <x:c r="C132" s="36" t="n">
        <x:f>E132*D$5</x:f>
        <x:v>0</x:v>
      </x:c>
      <x:c r="D132" s="20" t="n"/>
      <x:c r="E132" s="36" t="n">
        <x:f>SUM(G132:HT132)</x:f>
        <x:v>0</x:v>
      </x:c>
      <x:c r="R132" s="100" t="n"/>
      <x:c r="S132" s="100" t="n"/>
      <x:c r="AE132" s="100" t="n"/>
      <x:c r="AF132" s="100" t="n"/>
      <x:c r="AG132" s="100" t="n"/>
      <x:c r="AH132" s="100" t="n"/>
      <x:c r="AI132" s="100" t="n"/>
      <x:c r="AJ132" s="100" t="n"/>
      <x:c r="AK132" s="100" t="n"/>
      <x:c r="AM132" s="100" t="n"/>
      <x:c r="AO132" s="100" t="n"/>
    </x:row>
    <x:row r="133" s="27" customFormat="1">
      <x:c r="A133" s="38" t="n"/>
      <x:c r="B133" s="37" t="n"/>
      <x:c r="C133" s="36" t="n">
        <x:f>E133*D$5</x:f>
        <x:v>0</x:v>
      </x:c>
      <x:c r="D133" s="20" t="n"/>
      <x:c r="E133" s="36" t="n">
        <x:f>SUM(G133:HT133)</x:f>
        <x:v>0</x:v>
      </x:c>
      <x:c r="R133" s="100" t="n"/>
      <x:c r="S133" s="100" t="n"/>
      <x:c r="AE133" s="100" t="n"/>
      <x:c r="AF133" s="100" t="n"/>
      <x:c r="AG133" s="100" t="n"/>
      <x:c r="AH133" s="100" t="n"/>
      <x:c r="AI133" s="100" t="n"/>
      <x:c r="AJ133" s="100" t="n"/>
      <x:c r="AK133" s="100" t="n"/>
      <x:c r="AM133" s="100" t="n"/>
      <x:c r="AO133" s="100" t="n"/>
    </x:row>
    <x:row r="134" s="27" customFormat="1">
      <x:c r="A134" s="38" t="n"/>
      <x:c r="B134" s="37" t="n"/>
      <x:c r="C134" s="36" t="n">
        <x:f>E134*D$5</x:f>
        <x:v>0</x:v>
      </x:c>
      <x:c r="D134" s="20" t="n"/>
      <x:c r="E134" s="36" t="n">
        <x:f>SUM(G134:HT134)</x:f>
        <x:v>0</x:v>
      </x:c>
      <x:c r="R134" s="100" t="n"/>
      <x:c r="S134" s="100" t="n"/>
      <x:c r="AE134" s="100" t="n"/>
      <x:c r="AF134" s="100" t="n"/>
      <x:c r="AG134" s="100" t="n"/>
      <x:c r="AH134" s="100" t="n"/>
      <x:c r="AI134" s="100" t="n"/>
      <x:c r="AJ134" s="100" t="n"/>
      <x:c r="AK134" s="100" t="n"/>
      <x:c r="AM134" s="100" t="n"/>
      <x:c r="AO134" s="100" t="n"/>
    </x:row>
    <x:row r="135" s="27" customFormat="1">
      <x:c r="A135" s="38" t="n"/>
      <x:c r="B135" s="37" t="n"/>
      <x:c r="C135" s="36" t="n">
        <x:f>E135*D$5</x:f>
        <x:v>0</x:v>
      </x:c>
      <x:c r="D135" s="20" t="n"/>
      <x:c r="E135" s="36" t="n">
        <x:f>SUM(G135:HT135)</x:f>
        <x:v>0</x:v>
      </x:c>
      <x:c r="R135" s="100" t="n"/>
      <x:c r="S135" s="100" t="n"/>
      <x:c r="AE135" s="100" t="n"/>
      <x:c r="AF135" s="100" t="n"/>
      <x:c r="AG135" s="100" t="n"/>
      <x:c r="AH135" s="100" t="n"/>
      <x:c r="AI135" s="100" t="n"/>
      <x:c r="AJ135" s="100" t="n"/>
      <x:c r="AK135" s="100" t="n"/>
      <x:c r="AM135" s="100" t="n"/>
      <x:c r="AO135" s="100" t="n"/>
    </x:row>
    <x:row r="136" s="27" customFormat="1">
      <x:c r="A136" s="38" t="n"/>
      <x:c r="B136" s="37" t="n"/>
      <x:c r="C136" s="36" t="n">
        <x:f>E136*D$5</x:f>
        <x:v>0</x:v>
      </x:c>
      <x:c r="D136" s="20" t="n"/>
      <x:c r="E136" s="36" t="n">
        <x:f>SUM(G136:HT136)</x:f>
        <x:v>0</x:v>
      </x:c>
      <x:c r="R136" s="100" t="n"/>
      <x:c r="S136" s="100" t="n"/>
      <x:c r="AE136" s="100" t="n"/>
      <x:c r="AF136" s="100" t="n"/>
      <x:c r="AG136" s="100" t="n"/>
      <x:c r="AH136" s="100" t="n"/>
      <x:c r="AI136" s="100" t="n"/>
      <x:c r="AJ136" s="100" t="n"/>
      <x:c r="AK136" s="100" t="n"/>
      <x:c r="AM136" s="100" t="n"/>
      <x:c r="AO136" s="100" t="n"/>
    </x:row>
    <x:row r="137" s="27" customFormat="1">
      <x:c r="A137" s="38" t="n"/>
      <x:c r="B137" s="37" t="n"/>
      <x:c r="C137" s="36" t="n">
        <x:f>E137*D$5</x:f>
        <x:v>0</x:v>
      </x:c>
      <x:c r="D137" s="20" t="n"/>
      <x:c r="E137" s="36" t="n">
        <x:f>SUM(G137:HT137)</x:f>
        <x:v>0</x:v>
      </x:c>
      <x:c r="R137" s="100" t="n"/>
      <x:c r="S137" s="100" t="n"/>
      <x:c r="AE137" s="100" t="n"/>
      <x:c r="AF137" s="100" t="n"/>
      <x:c r="AG137" s="100" t="n"/>
      <x:c r="AH137" s="100" t="n"/>
      <x:c r="AI137" s="100" t="n"/>
      <x:c r="AJ137" s="100" t="n"/>
      <x:c r="AK137" s="100" t="n"/>
      <x:c r="AM137" s="100" t="n"/>
      <x:c r="AO137" s="100" t="n"/>
    </x:row>
    <x:row r="138" s="27" customFormat="1">
      <x:c r="A138" s="38" t="n"/>
      <x:c r="B138" s="37" t="n"/>
      <x:c r="C138" s="36" t="n">
        <x:f>E138*D$5</x:f>
        <x:v>0</x:v>
      </x:c>
      <x:c r="D138" s="20" t="n"/>
      <x:c r="E138" s="36" t="n">
        <x:f>SUM(G138:HT138)</x:f>
        <x:v>0</x:v>
      </x:c>
      <x:c r="R138" s="100" t="n"/>
      <x:c r="S138" s="100" t="n"/>
      <x:c r="AE138" s="100" t="n"/>
      <x:c r="AF138" s="100" t="n"/>
      <x:c r="AG138" s="100" t="n"/>
      <x:c r="AH138" s="100" t="n"/>
      <x:c r="AI138" s="100" t="n"/>
      <x:c r="AJ138" s="100" t="n"/>
      <x:c r="AK138" s="100" t="n"/>
      <x:c r="AM138" s="100" t="n"/>
      <x:c r="AO138" s="100" t="n"/>
    </x:row>
    <x:row r="139" s="27" customFormat="1">
      <x:c r="A139" s="38" t="n"/>
      <x:c r="B139" s="37" t="n"/>
      <x:c r="C139" s="36" t="n">
        <x:f>E139*D$5</x:f>
        <x:v>0</x:v>
      </x:c>
      <x:c r="D139" s="20" t="n"/>
      <x:c r="E139" s="36" t="n">
        <x:f>SUM(G139:HT139)</x:f>
        <x:v>0</x:v>
      </x:c>
      <x:c r="R139" s="100" t="n"/>
      <x:c r="S139" s="100" t="n"/>
      <x:c r="AE139" s="100" t="n"/>
      <x:c r="AF139" s="100" t="n"/>
      <x:c r="AG139" s="100" t="n"/>
      <x:c r="AH139" s="100" t="n"/>
      <x:c r="AI139" s="100" t="n"/>
      <x:c r="AJ139" s="100" t="n"/>
      <x:c r="AK139" s="100" t="n"/>
      <x:c r="AM139" s="100" t="n"/>
      <x:c r="AO139" s="100" t="n"/>
    </x:row>
    <x:row r="140" s="27" customFormat="1">
      <x:c r="A140" s="38" t="n"/>
      <x:c r="B140" s="37" t="n"/>
      <x:c r="C140" s="36" t="n">
        <x:f>E140*D$5</x:f>
        <x:v>0</x:v>
      </x:c>
      <x:c r="D140" s="20" t="n"/>
      <x:c r="E140" s="36" t="n">
        <x:f>SUM(G140:HT140)</x:f>
        <x:v>0</x:v>
      </x:c>
      <x:c r="R140" s="100" t="n"/>
      <x:c r="S140" s="100" t="n"/>
      <x:c r="AE140" s="100" t="n"/>
      <x:c r="AF140" s="100" t="n"/>
      <x:c r="AG140" s="100" t="n"/>
      <x:c r="AH140" s="100" t="n"/>
      <x:c r="AI140" s="100" t="n"/>
      <x:c r="AJ140" s="100" t="n"/>
      <x:c r="AK140" s="100" t="n"/>
      <x:c r="AM140" s="100" t="n"/>
      <x:c r="AO140" s="100" t="n"/>
    </x:row>
    <x:row r="141" s="27" customFormat="1">
      <x:c r="A141" s="38" t="n"/>
      <x:c r="B141" s="37" t="n"/>
      <x:c r="C141" s="36" t="n">
        <x:f>E141*D$5</x:f>
        <x:v>0</x:v>
      </x:c>
      <x:c r="D141" s="20" t="n"/>
      <x:c r="E141" s="36" t="n">
        <x:f>SUM(G141:HT141)</x:f>
        <x:v>0</x:v>
      </x:c>
      <x:c r="R141" s="100" t="n"/>
      <x:c r="S141" s="100" t="n"/>
      <x:c r="AE141" s="100" t="n"/>
      <x:c r="AF141" s="100" t="n"/>
      <x:c r="AG141" s="100" t="n"/>
      <x:c r="AH141" s="100" t="n"/>
      <x:c r="AI141" s="100" t="n"/>
      <x:c r="AJ141" s="100" t="n"/>
      <x:c r="AK141" s="100" t="n"/>
      <x:c r="AM141" s="100" t="n"/>
      <x:c r="AO141" s="100" t="n"/>
    </x:row>
    <x:row r="142" s="27" customFormat="1">
      <x:c r="A142" s="38" t="n"/>
      <x:c r="B142" s="37" t="n"/>
      <x:c r="C142" s="36" t="n">
        <x:f>E142*D$5</x:f>
        <x:v>0</x:v>
      </x:c>
      <x:c r="D142" s="20" t="n"/>
      <x:c r="E142" s="36" t="n">
        <x:f>SUM(G142:HT142)</x:f>
        <x:v>0</x:v>
      </x:c>
      <x:c r="R142" s="100" t="n"/>
      <x:c r="S142" s="100" t="n"/>
      <x:c r="AE142" s="100" t="n"/>
      <x:c r="AF142" s="100" t="n"/>
      <x:c r="AG142" s="100" t="n"/>
      <x:c r="AH142" s="100" t="n"/>
      <x:c r="AI142" s="100" t="n"/>
      <x:c r="AJ142" s="100" t="n"/>
      <x:c r="AK142" s="100" t="n"/>
      <x:c r="AM142" s="100" t="n"/>
      <x:c r="AO142" s="100" t="n"/>
    </x:row>
    <x:row r="143" s="27" customFormat="1">
      <x:c r="A143" s="38" t="n"/>
      <x:c r="B143" s="37" t="n"/>
      <x:c r="C143" s="36" t="n">
        <x:f>E143*D$5</x:f>
        <x:v>0</x:v>
      </x:c>
      <x:c r="D143" s="20" t="n"/>
      <x:c r="E143" s="36" t="n">
        <x:f>SUM(G143:HT143)</x:f>
        <x:v>0</x:v>
      </x:c>
      <x:c r="R143" s="100" t="n"/>
      <x:c r="S143" s="100" t="n"/>
      <x:c r="AE143" s="100" t="n"/>
      <x:c r="AF143" s="100" t="n"/>
      <x:c r="AG143" s="100" t="n"/>
      <x:c r="AH143" s="100" t="n"/>
      <x:c r="AI143" s="100" t="n"/>
      <x:c r="AJ143" s="100" t="n"/>
      <x:c r="AK143" s="100" t="n"/>
      <x:c r="AM143" s="100" t="n"/>
      <x:c r="AO143" s="100" t="n"/>
    </x:row>
    <x:row r="144" s="27" customFormat="1">
      <x:c r="A144" s="38" t="n"/>
      <x:c r="B144" s="37" t="n"/>
      <x:c r="C144" s="36" t="n">
        <x:f>E144*D$5</x:f>
        <x:v>0</x:v>
      </x:c>
      <x:c r="D144" s="20" t="n"/>
      <x:c r="E144" s="36" t="n">
        <x:f>SUM(G144:HT144)</x:f>
        <x:v>0</x:v>
      </x:c>
      <x:c r="R144" s="100" t="n"/>
      <x:c r="S144" s="100" t="n"/>
      <x:c r="AE144" s="100" t="n"/>
      <x:c r="AF144" s="100" t="n"/>
      <x:c r="AG144" s="100" t="n"/>
      <x:c r="AH144" s="100" t="n"/>
      <x:c r="AI144" s="100" t="n"/>
      <x:c r="AJ144" s="100" t="n"/>
      <x:c r="AK144" s="100" t="n"/>
      <x:c r="AM144" s="100" t="n"/>
      <x:c r="AO144" s="100" t="n"/>
    </x:row>
    <x:row r="145" s="27" customFormat="1">
      <x:c r="A145" s="38" t="n"/>
      <x:c r="B145" s="37" t="n"/>
      <x:c r="C145" s="36" t="n">
        <x:f>E145*D$5</x:f>
        <x:v>0</x:v>
      </x:c>
      <x:c r="D145" s="20" t="n"/>
      <x:c r="E145" s="36" t="n">
        <x:f>SUM(G145:HT145)</x:f>
        <x:v>0</x:v>
      </x:c>
      <x:c r="R145" s="100" t="n"/>
      <x:c r="S145" s="100" t="n"/>
      <x:c r="AE145" s="100" t="n"/>
      <x:c r="AF145" s="100" t="n"/>
      <x:c r="AG145" s="100" t="n"/>
      <x:c r="AH145" s="100" t="n"/>
      <x:c r="AI145" s="100" t="n"/>
      <x:c r="AJ145" s="100" t="n"/>
      <x:c r="AK145" s="100" t="n"/>
      <x:c r="AM145" s="100" t="n"/>
      <x:c r="AO145" s="100" t="n"/>
    </x:row>
    <x:row r="146" s="27" customFormat="1">
      <x:c r="A146" s="38" t="n"/>
      <x:c r="B146" s="37" t="n"/>
      <x:c r="C146" s="36" t="n">
        <x:f>E146*D$5</x:f>
        <x:v>0</x:v>
      </x:c>
      <x:c r="D146" s="20" t="n"/>
      <x:c r="E146" s="36" t="n">
        <x:f>SUM(G146:HT146)</x:f>
        <x:v>0</x:v>
      </x:c>
      <x:c r="R146" s="100" t="n"/>
      <x:c r="S146" s="100" t="n"/>
      <x:c r="AE146" s="100" t="n"/>
      <x:c r="AF146" s="100" t="n"/>
      <x:c r="AG146" s="100" t="n"/>
      <x:c r="AH146" s="100" t="n"/>
      <x:c r="AI146" s="100" t="n"/>
      <x:c r="AJ146" s="100" t="n"/>
      <x:c r="AK146" s="100" t="n"/>
      <x:c r="AM146" s="100" t="n"/>
      <x:c r="AO146" s="100" t="n"/>
    </x:row>
    <x:row r="147" s="27" customFormat="1">
      <x:c r="A147" s="38" t="n"/>
      <x:c r="B147" s="37" t="n"/>
      <x:c r="C147" s="36" t="n">
        <x:f>E147*D$5</x:f>
        <x:v>0</x:v>
      </x:c>
      <x:c r="D147" s="20" t="n"/>
      <x:c r="E147" s="36" t="n">
        <x:f>SUM(G147:HT147)</x:f>
        <x:v>0</x:v>
      </x:c>
      <x:c r="R147" s="100" t="n"/>
      <x:c r="S147" s="100" t="n"/>
      <x:c r="AE147" s="100" t="n"/>
      <x:c r="AF147" s="100" t="n"/>
      <x:c r="AG147" s="100" t="n"/>
      <x:c r="AH147" s="100" t="n"/>
      <x:c r="AI147" s="100" t="n"/>
      <x:c r="AJ147" s="100" t="n"/>
      <x:c r="AK147" s="100" t="n"/>
      <x:c r="AM147" s="100" t="n"/>
      <x:c r="AO147" s="100" t="n"/>
    </x:row>
    <x:row r="148" s="27" customFormat="1">
      <x:c r="A148" s="38" t="n"/>
      <x:c r="B148" s="37" t="n"/>
      <x:c r="C148" s="36" t="n">
        <x:f>E148*D$5</x:f>
        <x:v>0</x:v>
      </x:c>
      <x:c r="D148" s="20" t="n"/>
      <x:c r="E148" s="36" t="n">
        <x:f>SUM(G148:HT148)</x:f>
        <x:v>0</x:v>
      </x:c>
      <x:c r="R148" s="100" t="n"/>
      <x:c r="S148" s="100" t="n"/>
      <x:c r="AE148" s="100" t="n"/>
      <x:c r="AF148" s="100" t="n"/>
      <x:c r="AG148" s="100" t="n"/>
      <x:c r="AH148" s="100" t="n"/>
      <x:c r="AI148" s="100" t="n"/>
      <x:c r="AJ148" s="100" t="n"/>
      <x:c r="AK148" s="100" t="n"/>
      <x:c r="AM148" s="100" t="n"/>
      <x:c r="AO148" s="100" t="n"/>
    </x:row>
    <x:row r="149" s="27" customFormat="1">
      <x:c r="A149" s="38" t="n"/>
      <x:c r="B149" s="37" t="n"/>
      <x:c r="C149" s="36" t="n">
        <x:f>E149*D$5</x:f>
        <x:v>0</x:v>
      </x:c>
      <x:c r="D149" s="20" t="n"/>
      <x:c r="E149" s="36" t="n">
        <x:f>SUM(G149:HT149)</x:f>
        <x:v>0</x:v>
      </x:c>
      <x:c r="R149" s="100" t="n"/>
      <x:c r="S149" s="100" t="n"/>
      <x:c r="AE149" s="100" t="n"/>
      <x:c r="AF149" s="100" t="n"/>
      <x:c r="AG149" s="100" t="n"/>
      <x:c r="AH149" s="100" t="n"/>
      <x:c r="AI149" s="100" t="n"/>
      <x:c r="AJ149" s="100" t="n"/>
      <x:c r="AK149" s="100" t="n"/>
      <x:c r="AM149" s="100" t="n"/>
      <x:c r="AO149" s="100" t="n"/>
    </x:row>
    <x:row r="150" s="27" customFormat="1">
      <x:c r="A150" s="38" t="n"/>
      <x:c r="B150" s="37" t="n"/>
      <x:c r="C150" s="36" t="n">
        <x:f>E150*D$5</x:f>
        <x:v>0</x:v>
      </x:c>
      <x:c r="D150" s="20" t="n"/>
      <x:c r="E150" s="36" t="n">
        <x:f>SUM(G150:HT150)</x:f>
        <x:v>0</x:v>
      </x:c>
      <x:c r="R150" s="100" t="n"/>
      <x:c r="S150" s="100" t="n"/>
      <x:c r="AE150" s="100" t="n"/>
      <x:c r="AF150" s="100" t="n"/>
      <x:c r="AG150" s="100" t="n"/>
      <x:c r="AH150" s="100" t="n"/>
      <x:c r="AI150" s="100" t="n"/>
      <x:c r="AJ150" s="100" t="n"/>
      <x:c r="AK150" s="100" t="n"/>
      <x:c r="AM150" s="100" t="n"/>
      <x:c r="AO150" s="100" t="n"/>
    </x:row>
    <x:row r="151" s="27" customFormat="1">
      <x:c r="A151" s="38" t="n"/>
      <x:c r="B151" s="37" t="n"/>
      <x:c r="C151" s="36" t="n">
        <x:f>E151*D$5</x:f>
        <x:v>0</x:v>
      </x:c>
      <x:c r="D151" s="20" t="n"/>
      <x:c r="E151" s="36" t="n">
        <x:f>SUM(G151:HT151)</x:f>
        <x:v>0</x:v>
      </x:c>
      <x:c r="R151" s="100" t="n"/>
      <x:c r="S151" s="100" t="n"/>
      <x:c r="AE151" s="100" t="n"/>
      <x:c r="AF151" s="100" t="n"/>
      <x:c r="AG151" s="100" t="n"/>
      <x:c r="AH151" s="100" t="n"/>
      <x:c r="AI151" s="100" t="n"/>
      <x:c r="AJ151" s="100" t="n"/>
      <x:c r="AK151" s="100" t="n"/>
      <x:c r="AM151" s="100" t="n"/>
      <x:c r="AO151" s="100" t="n"/>
    </x:row>
    <x:row r="152" s="27" customFormat="1">
      <x:c r="A152" s="38" t="n"/>
      <x:c r="B152" s="37" t="n"/>
      <x:c r="C152" s="36" t="n">
        <x:f>E152*D$5</x:f>
        <x:v>0</x:v>
      </x:c>
      <x:c r="D152" s="20" t="n"/>
      <x:c r="E152" s="36" t="n">
        <x:f>SUM(G152:HT152)</x:f>
        <x:v>0</x:v>
      </x:c>
      <x:c r="R152" s="100" t="n"/>
      <x:c r="S152" s="100" t="n"/>
      <x:c r="AE152" s="100" t="n"/>
      <x:c r="AF152" s="100" t="n"/>
      <x:c r="AG152" s="100" t="n"/>
      <x:c r="AH152" s="100" t="n"/>
      <x:c r="AI152" s="100" t="n"/>
      <x:c r="AJ152" s="100" t="n"/>
      <x:c r="AK152" s="100" t="n"/>
      <x:c r="AM152" s="100" t="n"/>
      <x:c r="AO152" s="100" t="n"/>
    </x:row>
    <x:row r="153" s="27" customFormat="1">
      <x:c r="A153" s="38" t="n"/>
      <x:c r="B153" s="37" t="n"/>
      <x:c r="C153" s="36" t="n">
        <x:f>E153*D$5</x:f>
        <x:v>0</x:v>
      </x:c>
      <x:c r="D153" s="20" t="n"/>
      <x:c r="E153" s="36" t="n">
        <x:f>SUM(G153:HT153)</x:f>
        <x:v>0</x:v>
      </x:c>
      <x:c r="R153" s="100" t="n"/>
      <x:c r="S153" s="100" t="n"/>
      <x:c r="AE153" s="100" t="n"/>
      <x:c r="AF153" s="100" t="n"/>
      <x:c r="AG153" s="100" t="n"/>
      <x:c r="AH153" s="100" t="n"/>
      <x:c r="AI153" s="100" t="n"/>
      <x:c r="AJ153" s="100" t="n"/>
      <x:c r="AK153" s="100" t="n"/>
      <x:c r="AM153" s="100" t="n"/>
      <x:c r="AO153" s="100" t="n"/>
    </x:row>
    <x:row r="154" s="27" customFormat="1">
      <x:c r="A154" s="38" t="n"/>
      <x:c r="B154" s="37" t="n"/>
      <x:c r="C154" s="36" t="n">
        <x:f>E154*D$5</x:f>
        <x:v>0</x:v>
      </x:c>
      <x:c r="D154" s="20" t="n"/>
      <x:c r="E154" s="36" t="n">
        <x:f>SUM(G154:HT154)</x:f>
        <x:v>0</x:v>
      </x:c>
      <x:c r="R154" s="100" t="n"/>
      <x:c r="S154" s="100" t="n"/>
      <x:c r="AE154" s="100" t="n"/>
      <x:c r="AF154" s="100" t="n"/>
      <x:c r="AG154" s="100" t="n"/>
      <x:c r="AH154" s="100" t="n"/>
      <x:c r="AI154" s="100" t="n"/>
      <x:c r="AJ154" s="100" t="n"/>
      <x:c r="AK154" s="100" t="n"/>
      <x:c r="AM154" s="100" t="n"/>
      <x:c r="AO154" s="100" t="n"/>
    </x:row>
    <x:row r="155" s="27" customFormat="1">
      <x:c r="A155" s="38" t="n"/>
      <x:c r="B155" s="37" t="n"/>
      <x:c r="C155" s="36" t="n">
        <x:f>E155*D$5</x:f>
        <x:v>0</x:v>
      </x:c>
      <x:c r="D155" s="20" t="n"/>
      <x:c r="E155" s="36" t="n">
        <x:f>SUM(G155:HT155)</x:f>
        <x:v>0</x:v>
      </x:c>
      <x:c r="R155" s="100" t="n"/>
      <x:c r="S155" s="100" t="n"/>
      <x:c r="AE155" s="100" t="n"/>
      <x:c r="AF155" s="100" t="n"/>
      <x:c r="AG155" s="100" t="n"/>
      <x:c r="AH155" s="100" t="n"/>
      <x:c r="AI155" s="100" t="n"/>
      <x:c r="AJ155" s="100" t="n"/>
      <x:c r="AK155" s="100" t="n"/>
      <x:c r="AM155" s="100" t="n"/>
      <x:c r="AO155" s="100" t="n"/>
    </x:row>
    <x:row r="156" s="27" customFormat="1">
      <x:c r="A156" s="38" t="n"/>
      <x:c r="B156" s="37" t="n"/>
      <x:c r="C156" s="36" t="n">
        <x:f>E156*D$5</x:f>
        <x:v>0</x:v>
      </x:c>
      <x:c r="D156" s="20" t="n"/>
      <x:c r="E156" s="36" t="n">
        <x:f>SUM(G156:HT156)</x:f>
        <x:v>0</x:v>
      </x:c>
      <x:c r="R156" s="100" t="n"/>
      <x:c r="S156" s="100" t="n"/>
      <x:c r="AE156" s="100" t="n"/>
      <x:c r="AF156" s="100" t="n"/>
      <x:c r="AG156" s="100" t="n"/>
      <x:c r="AH156" s="100" t="n"/>
      <x:c r="AI156" s="100" t="n"/>
      <x:c r="AJ156" s="100" t="n"/>
      <x:c r="AK156" s="100" t="n"/>
      <x:c r="AM156" s="100" t="n"/>
      <x:c r="AO156" s="100" t="n"/>
    </x:row>
    <x:row r="157" s="27" customFormat="1">
      <x:c r="A157" s="38" t="n"/>
      <x:c r="B157" s="37" t="n"/>
      <x:c r="C157" s="36" t="n">
        <x:f>E157*D$5</x:f>
        <x:v>0</x:v>
      </x:c>
      <x:c r="D157" s="20" t="n"/>
      <x:c r="E157" s="36" t="n">
        <x:f>SUM(G157:HT157)</x:f>
        <x:v>0</x:v>
      </x:c>
      <x:c r="R157" s="100" t="n"/>
      <x:c r="S157" s="100" t="n"/>
      <x:c r="AE157" s="100" t="n"/>
      <x:c r="AF157" s="100" t="n"/>
      <x:c r="AG157" s="100" t="n"/>
      <x:c r="AH157" s="100" t="n"/>
      <x:c r="AI157" s="100" t="n"/>
      <x:c r="AJ157" s="100" t="n"/>
      <x:c r="AK157" s="100" t="n"/>
      <x:c r="AM157" s="100" t="n"/>
      <x:c r="AO157" s="100" t="n"/>
    </x:row>
    <x:row r="158" s="27" customFormat="1">
      <x:c r="A158" s="38" t="n"/>
      <x:c r="B158" s="37" t="n"/>
      <x:c r="C158" s="36" t="n">
        <x:f>E158*D$5</x:f>
        <x:v>0</x:v>
      </x:c>
      <x:c r="D158" s="20" t="n"/>
      <x:c r="E158" s="36" t="n">
        <x:f>SUM(G158:HT158)</x:f>
        <x:v>0</x:v>
      </x:c>
      <x:c r="R158" s="100" t="n"/>
      <x:c r="S158" s="100" t="n"/>
      <x:c r="AE158" s="100" t="n"/>
      <x:c r="AF158" s="100" t="n"/>
      <x:c r="AG158" s="100" t="n"/>
      <x:c r="AH158" s="100" t="n"/>
      <x:c r="AI158" s="100" t="n"/>
      <x:c r="AJ158" s="100" t="n"/>
      <x:c r="AK158" s="100" t="n"/>
      <x:c r="AM158" s="100" t="n"/>
      <x:c r="AO158" s="100" t="n"/>
    </x:row>
    <x:row r="159" s="27" customFormat="1">
      <x:c r="A159" s="38" t="n"/>
      <x:c r="B159" s="37" t="n"/>
      <x:c r="C159" s="36" t="n">
        <x:f>E159*D$5</x:f>
        <x:v>0</x:v>
      </x:c>
      <x:c r="D159" s="20" t="n"/>
      <x:c r="E159" s="36" t="n">
        <x:f>SUM(G159:HT159)</x:f>
        <x:v>0</x:v>
      </x:c>
      <x:c r="R159" s="100" t="n"/>
      <x:c r="S159" s="100" t="n"/>
      <x:c r="AE159" s="100" t="n"/>
      <x:c r="AF159" s="100" t="n"/>
      <x:c r="AG159" s="100" t="n"/>
      <x:c r="AH159" s="100" t="n"/>
      <x:c r="AI159" s="100" t="n"/>
      <x:c r="AJ159" s="100" t="n"/>
      <x:c r="AK159" s="100" t="n"/>
      <x:c r="AM159" s="100" t="n"/>
      <x:c r="AO159" s="100" t="n"/>
    </x:row>
    <x:row r="160" s="27" customFormat="1">
      <x:c r="A160" s="38" t="n"/>
      <x:c r="B160" s="37" t="n"/>
      <x:c r="C160" s="36" t="n">
        <x:f>E160*D$5</x:f>
        <x:v>0</x:v>
      </x:c>
      <x:c r="D160" s="20" t="n"/>
      <x:c r="E160" s="36" t="n">
        <x:f>SUM(G160:HT160)</x:f>
        <x:v>0</x:v>
      </x:c>
      <x:c r="R160" s="100" t="n"/>
      <x:c r="S160" s="100" t="n"/>
      <x:c r="AE160" s="100" t="n"/>
      <x:c r="AF160" s="100" t="n"/>
      <x:c r="AG160" s="100" t="n"/>
      <x:c r="AH160" s="100" t="n"/>
      <x:c r="AI160" s="100" t="n"/>
      <x:c r="AJ160" s="100" t="n"/>
      <x:c r="AK160" s="100" t="n"/>
      <x:c r="AM160" s="100" t="n"/>
      <x:c r="AO160" s="100" t="n"/>
    </x:row>
    <x:row r="161" s="27" customFormat="1">
      <x:c r="A161" s="38" t="n"/>
      <x:c r="B161" s="37" t="n"/>
      <x:c r="C161" s="36" t="n">
        <x:f>E161*D$5</x:f>
        <x:v>0</x:v>
      </x:c>
      <x:c r="D161" s="20" t="n"/>
      <x:c r="E161" s="36" t="n">
        <x:f>SUM(G161:HT161)</x:f>
        <x:v>0</x:v>
      </x:c>
      <x:c r="R161" s="100" t="n"/>
      <x:c r="S161" s="100" t="n"/>
      <x:c r="AE161" s="100" t="n"/>
      <x:c r="AF161" s="100" t="n"/>
      <x:c r="AG161" s="100" t="n"/>
      <x:c r="AH161" s="100" t="n"/>
      <x:c r="AI161" s="100" t="n"/>
      <x:c r="AJ161" s="100" t="n"/>
      <x:c r="AK161" s="100" t="n"/>
      <x:c r="AM161" s="100" t="n"/>
      <x:c r="AO161" s="100" t="n"/>
    </x:row>
    <x:row r="162" s="27" customFormat="1">
      <x:c r="A162" s="38" t="n"/>
      <x:c r="B162" s="37" t="n"/>
      <x:c r="C162" s="36" t="n">
        <x:f>E162*D$5</x:f>
        <x:v>0</x:v>
      </x:c>
      <x:c r="D162" s="20" t="n"/>
      <x:c r="E162" s="36" t="n">
        <x:f>SUM(G162:HT162)</x:f>
        <x:v>0</x:v>
      </x:c>
      <x:c r="R162" s="100" t="n"/>
      <x:c r="S162" s="100" t="n"/>
      <x:c r="AE162" s="100" t="n"/>
      <x:c r="AF162" s="100" t="n"/>
      <x:c r="AG162" s="100" t="n"/>
      <x:c r="AH162" s="100" t="n"/>
      <x:c r="AI162" s="100" t="n"/>
      <x:c r="AJ162" s="100" t="n"/>
      <x:c r="AK162" s="100" t="n"/>
      <x:c r="AM162" s="100" t="n"/>
      <x:c r="AO162" s="100" t="n"/>
    </x:row>
    <x:row r="163" s="27" customFormat="1">
      <x:c r="A163" s="38" t="n"/>
      <x:c r="B163" s="37" t="n"/>
      <x:c r="C163" s="36" t="n">
        <x:f>E163*D$5</x:f>
        <x:v>0</x:v>
      </x:c>
      <x:c r="D163" s="20" t="n"/>
      <x:c r="E163" s="36" t="n">
        <x:f>SUM(G163:HT163)</x:f>
        <x:v>0</x:v>
      </x:c>
      <x:c r="R163" s="100" t="n"/>
      <x:c r="S163" s="100" t="n"/>
      <x:c r="AE163" s="100" t="n"/>
      <x:c r="AF163" s="100" t="n"/>
      <x:c r="AG163" s="100" t="n"/>
      <x:c r="AH163" s="100" t="n"/>
      <x:c r="AI163" s="100" t="n"/>
      <x:c r="AJ163" s="100" t="n"/>
      <x:c r="AK163" s="100" t="n"/>
      <x:c r="AM163" s="100" t="n"/>
      <x:c r="AO163" s="100" t="n"/>
    </x:row>
    <x:row r="164" s="27" customFormat="1">
      <x:c r="A164" s="38" t="n"/>
      <x:c r="B164" s="37" t="n"/>
      <x:c r="C164" s="36" t="n">
        <x:f>E164*D$5</x:f>
        <x:v>0</x:v>
      </x:c>
      <x:c r="D164" s="20" t="n"/>
      <x:c r="E164" s="36" t="n">
        <x:f>SUM(G164:HT164)</x:f>
        <x:v>0</x:v>
      </x:c>
      <x:c r="R164" s="100" t="n"/>
      <x:c r="S164" s="100" t="n"/>
      <x:c r="AE164" s="100" t="n"/>
      <x:c r="AF164" s="100" t="n"/>
      <x:c r="AG164" s="100" t="n"/>
      <x:c r="AH164" s="100" t="n"/>
      <x:c r="AI164" s="100" t="n"/>
      <x:c r="AJ164" s="100" t="n"/>
      <x:c r="AK164" s="100" t="n"/>
      <x:c r="AM164" s="100" t="n"/>
      <x:c r="AO164" s="100" t="n"/>
    </x:row>
    <x:row r="165" s="27" customFormat="1">
      <x:c r="A165" s="38" t="n"/>
      <x:c r="B165" s="37" t="n"/>
      <x:c r="C165" s="36" t="n">
        <x:f>E165*D$5</x:f>
        <x:v>0</x:v>
      </x:c>
      <x:c r="D165" s="20" t="n"/>
      <x:c r="E165" s="36" t="n">
        <x:f>SUM(G165:HT165)</x:f>
        <x:v>0</x:v>
      </x:c>
      <x:c r="R165" s="100" t="n"/>
      <x:c r="S165" s="100" t="n"/>
      <x:c r="AE165" s="100" t="n"/>
      <x:c r="AF165" s="100" t="n"/>
      <x:c r="AG165" s="100" t="n"/>
      <x:c r="AH165" s="100" t="n"/>
      <x:c r="AI165" s="100" t="n"/>
      <x:c r="AJ165" s="100" t="n"/>
      <x:c r="AK165" s="100" t="n"/>
      <x:c r="AM165" s="100" t="n"/>
      <x:c r="AO165" s="100" t="n"/>
    </x:row>
    <x:row r="166" s="27" customFormat="1">
      <x:c r="A166" s="38" t="n"/>
      <x:c r="B166" s="37" t="n"/>
      <x:c r="C166" s="36" t="n">
        <x:f>E166*D$5</x:f>
        <x:v>0</x:v>
      </x:c>
      <x:c r="D166" s="20" t="n"/>
      <x:c r="E166" s="36" t="n">
        <x:f>SUM(G166:HT166)</x:f>
        <x:v>0</x:v>
      </x:c>
      <x:c r="R166" s="100" t="n"/>
      <x:c r="S166" s="100" t="n"/>
      <x:c r="AE166" s="100" t="n"/>
      <x:c r="AF166" s="100" t="n"/>
      <x:c r="AG166" s="100" t="n"/>
      <x:c r="AH166" s="100" t="n"/>
      <x:c r="AI166" s="100" t="n"/>
      <x:c r="AJ166" s="100" t="n"/>
      <x:c r="AK166" s="100" t="n"/>
      <x:c r="AM166" s="100" t="n"/>
      <x:c r="AO166" s="100" t="n"/>
    </x:row>
    <x:row r="167" s="27" customFormat="1">
      <x:c r="A167" s="38" t="n"/>
      <x:c r="B167" s="37" t="n"/>
      <x:c r="C167" s="36" t="n">
        <x:f>E167*D$5</x:f>
        <x:v>0</x:v>
      </x:c>
      <x:c r="D167" s="20" t="n"/>
      <x:c r="E167" s="36" t="n">
        <x:f>SUM(G167:HT167)</x:f>
        <x:v>0</x:v>
      </x:c>
      <x:c r="R167" s="100" t="n"/>
      <x:c r="S167" s="100" t="n"/>
      <x:c r="AE167" s="100" t="n"/>
      <x:c r="AF167" s="100" t="n"/>
      <x:c r="AG167" s="100" t="n"/>
      <x:c r="AH167" s="100" t="n"/>
      <x:c r="AI167" s="100" t="n"/>
      <x:c r="AJ167" s="100" t="n"/>
      <x:c r="AK167" s="100" t="n"/>
      <x:c r="AM167" s="100" t="n"/>
      <x:c r="AO167" s="100" t="n"/>
    </x:row>
    <x:row r="168" s="27" customFormat="1">
      <x:c r="A168" s="38" t="n"/>
      <x:c r="B168" s="37" t="n"/>
      <x:c r="C168" s="36" t="n">
        <x:f>E168*D$5</x:f>
        <x:v>0</x:v>
      </x:c>
      <x:c r="D168" s="20" t="n"/>
      <x:c r="E168" s="36" t="n">
        <x:f>SUM(G168:HT168)</x:f>
        <x:v>0</x:v>
      </x:c>
      <x:c r="R168" s="100" t="n"/>
      <x:c r="S168" s="100" t="n"/>
      <x:c r="AE168" s="100" t="n"/>
      <x:c r="AF168" s="100" t="n"/>
      <x:c r="AG168" s="100" t="n"/>
      <x:c r="AH168" s="100" t="n"/>
      <x:c r="AI168" s="100" t="n"/>
      <x:c r="AJ168" s="100" t="n"/>
      <x:c r="AK168" s="100" t="n"/>
      <x:c r="AM168" s="100" t="n"/>
      <x:c r="AO168" s="100" t="n"/>
    </x:row>
    <x:row r="169" s="27" customFormat="1">
      <x:c r="A169" s="38" t="n"/>
      <x:c r="B169" s="37" t="n"/>
      <x:c r="C169" s="36" t="n">
        <x:f>E169*D$5</x:f>
        <x:v>0</x:v>
      </x:c>
      <x:c r="D169" s="20" t="n"/>
      <x:c r="E169" s="36" t="n">
        <x:f>SUM(G169:HT169)</x:f>
        <x:v>0</x:v>
      </x:c>
      <x:c r="R169" s="100" t="n"/>
      <x:c r="S169" s="100" t="n"/>
      <x:c r="AE169" s="100" t="n"/>
      <x:c r="AF169" s="100" t="n"/>
      <x:c r="AG169" s="100" t="n"/>
      <x:c r="AH169" s="100" t="n"/>
      <x:c r="AI169" s="100" t="n"/>
      <x:c r="AJ169" s="100" t="n"/>
      <x:c r="AK169" s="100" t="n"/>
      <x:c r="AM169" s="100" t="n"/>
      <x:c r="AO169" s="100" t="n"/>
    </x:row>
    <x:row r="170" s="27" customFormat="1">
      <x:c r="A170" s="38" t="n"/>
      <x:c r="B170" s="37" t="n"/>
      <x:c r="C170" s="36" t="n">
        <x:f>E170*D$5</x:f>
        <x:v>0</x:v>
      </x:c>
      <x:c r="D170" s="20" t="n"/>
      <x:c r="E170" s="36" t="n">
        <x:f>SUM(G170:HT170)</x:f>
        <x:v>0</x:v>
      </x:c>
      <x:c r="R170" s="100" t="n"/>
      <x:c r="S170" s="100" t="n"/>
      <x:c r="AE170" s="100" t="n"/>
      <x:c r="AF170" s="100" t="n"/>
      <x:c r="AG170" s="100" t="n"/>
      <x:c r="AH170" s="100" t="n"/>
      <x:c r="AI170" s="100" t="n"/>
      <x:c r="AJ170" s="100" t="n"/>
      <x:c r="AK170" s="100" t="n"/>
      <x:c r="AM170" s="100" t="n"/>
      <x:c r="AO170" s="100" t="n"/>
    </x:row>
    <x:row r="171" s="27" customFormat="1">
      <x:c r="A171" s="38" t="n"/>
      <x:c r="B171" s="37" t="n"/>
      <x:c r="C171" s="36" t="n">
        <x:f>E171*D$5</x:f>
        <x:v>0</x:v>
      </x:c>
      <x:c r="D171" s="20" t="n"/>
      <x:c r="E171" s="36" t="n">
        <x:f>SUM(G171:HT171)</x:f>
        <x:v>0</x:v>
      </x:c>
      <x:c r="R171" s="100" t="n"/>
      <x:c r="S171" s="100" t="n"/>
      <x:c r="AE171" s="100" t="n"/>
      <x:c r="AF171" s="100" t="n"/>
      <x:c r="AG171" s="100" t="n"/>
      <x:c r="AH171" s="100" t="n"/>
      <x:c r="AI171" s="100" t="n"/>
      <x:c r="AJ171" s="100" t="n"/>
      <x:c r="AK171" s="100" t="n"/>
      <x:c r="AM171" s="100" t="n"/>
      <x:c r="AO171" s="100" t="n"/>
    </x:row>
    <x:row r="172" s="27" customFormat="1">
      <x:c r="A172" s="38" t="n"/>
      <x:c r="B172" s="37" t="n"/>
      <x:c r="C172" s="36" t="n">
        <x:f>E172*D$5</x:f>
        <x:v>0</x:v>
      </x:c>
      <x:c r="D172" s="20" t="n"/>
      <x:c r="E172" s="36" t="n">
        <x:f>SUM(G172:HT172)</x:f>
        <x:v>0</x:v>
      </x:c>
      <x:c r="R172" s="100" t="n"/>
      <x:c r="S172" s="100" t="n"/>
      <x:c r="AE172" s="100" t="n"/>
      <x:c r="AF172" s="100" t="n"/>
      <x:c r="AG172" s="100" t="n"/>
      <x:c r="AH172" s="100" t="n"/>
      <x:c r="AI172" s="100" t="n"/>
      <x:c r="AJ172" s="100" t="n"/>
      <x:c r="AK172" s="100" t="n"/>
      <x:c r="AM172" s="100" t="n"/>
      <x:c r="AO172" s="100" t="n"/>
    </x:row>
    <x:row r="173" s="27" customFormat="1">
      <x:c r="A173" s="38" t="n"/>
      <x:c r="B173" s="37" t="n"/>
      <x:c r="C173" s="36" t="n">
        <x:f>E173*D$5</x:f>
        <x:v>0</x:v>
      </x:c>
      <x:c r="D173" s="20" t="n"/>
      <x:c r="E173" s="36" t="n">
        <x:f>SUM(G173:HT173)</x:f>
        <x:v>0</x:v>
      </x:c>
      <x:c r="R173" s="100" t="n"/>
      <x:c r="S173" s="100" t="n"/>
      <x:c r="AE173" s="100" t="n"/>
      <x:c r="AF173" s="100" t="n"/>
      <x:c r="AG173" s="100" t="n"/>
      <x:c r="AH173" s="100" t="n"/>
      <x:c r="AI173" s="100" t="n"/>
      <x:c r="AJ173" s="100" t="n"/>
      <x:c r="AK173" s="100" t="n"/>
      <x:c r="AM173" s="100" t="n"/>
      <x:c r="AO173" s="100" t="n"/>
    </x:row>
    <x:row r="174" s="27" customFormat="1">
      <x:c r="A174" s="38" t="n"/>
      <x:c r="B174" s="37" t="n"/>
      <x:c r="C174" s="36" t="n">
        <x:f>E174*D$5</x:f>
        <x:v>0</x:v>
      </x:c>
      <x:c r="D174" s="20" t="n"/>
      <x:c r="E174" s="36" t="n">
        <x:f>SUM(G174:HT174)</x:f>
        <x:v>0</x:v>
      </x:c>
      <x:c r="R174" s="100" t="n"/>
      <x:c r="S174" s="100" t="n"/>
      <x:c r="AE174" s="100" t="n"/>
      <x:c r="AF174" s="100" t="n"/>
      <x:c r="AG174" s="100" t="n"/>
      <x:c r="AH174" s="100" t="n"/>
      <x:c r="AI174" s="100" t="n"/>
      <x:c r="AJ174" s="100" t="n"/>
      <x:c r="AK174" s="100" t="n"/>
      <x:c r="AM174" s="100" t="n"/>
      <x:c r="AO174" s="100" t="n"/>
    </x:row>
    <x:row r="175" s="27" customFormat="1">
      <x:c r="A175" s="38" t="n"/>
      <x:c r="B175" s="37" t="n"/>
      <x:c r="C175" s="36" t="n">
        <x:f>E175*D$5</x:f>
        <x:v>0</x:v>
      </x:c>
      <x:c r="D175" s="20" t="n"/>
      <x:c r="E175" s="36" t="n">
        <x:f>SUM(G175:HT175)</x:f>
        <x:v>0</x:v>
      </x:c>
      <x:c r="R175" s="100" t="n"/>
      <x:c r="S175" s="100" t="n"/>
      <x:c r="AE175" s="100" t="n"/>
      <x:c r="AF175" s="100" t="n"/>
      <x:c r="AG175" s="100" t="n"/>
      <x:c r="AH175" s="100" t="n"/>
      <x:c r="AI175" s="100" t="n"/>
      <x:c r="AJ175" s="100" t="n"/>
      <x:c r="AK175" s="100" t="n"/>
      <x:c r="AM175" s="100" t="n"/>
      <x:c r="AO175" s="100" t="n"/>
    </x:row>
    <x:row r="176" s="27" customFormat="1">
      <x:c r="A176" s="38" t="n"/>
      <x:c r="B176" s="37" t="n"/>
      <x:c r="C176" s="36" t="n">
        <x:f>E176*D$5</x:f>
        <x:v>0</x:v>
      </x:c>
      <x:c r="D176" s="20" t="n"/>
      <x:c r="E176" s="36" t="n">
        <x:f>SUM(G176:HT176)</x:f>
        <x:v>0</x:v>
      </x:c>
      <x:c r="R176" s="100" t="n"/>
      <x:c r="S176" s="100" t="n"/>
      <x:c r="AE176" s="100" t="n"/>
      <x:c r="AF176" s="100" t="n"/>
      <x:c r="AG176" s="100" t="n"/>
      <x:c r="AH176" s="100" t="n"/>
      <x:c r="AI176" s="100" t="n"/>
      <x:c r="AJ176" s="100" t="n"/>
      <x:c r="AK176" s="100" t="n"/>
      <x:c r="AM176" s="100" t="n"/>
      <x:c r="AO176" s="100" t="n"/>
    </x:row>
    <x:row r="177" s="27" customFormat="1">
      <x:c r="A177" s="38" t="n"/>
      <x:c r="B177" s="37" t="n"/>
      <x:c r="C177" s="36" t="n">
        <x:f>E177*D$5</x:f>
        <x:v>0</x:v>
      </x:c>
      <x:c r="D177" s="20" t="n"/>
      <x:c r="E177" s="36" t="n">
        <x:f>SUM(G177:HT177)</x:f>
        <x:v>0</x:v>
      </x:c>
      <x:c r="R177" s="100" t="n"/>
      <x:c r="S177" s="100" t="n"/>
      <x:c r="AE177" s="100" t="n"/>
      <x:c r="AF177" s="100" t="n"/>
      <x:c r="AG177" s="100" t="n"/>
      <x:c r="AH177" s="100" t="n"/>
      <x:c r="AI177" s="100" t="n"/>
      <x:c r="AJ177" s="100" t="n"/>
      <x:c r="AK177" s="100" t="n"/>
      <x:c r="AM177" s="100" t="n"/>
      <x:c r="AO177" s="100" t="n"/>
    </x:row>
    <x:row r="178" s="27" customFormat="1">
      <x:c r="A178" s="38" t="n"/>
      <x:c r="B178" s="37" t="n"/>
      <x:c r="C178" s="36" t="n">
        <x:f>E178*D$5</x:f>
        <x:v>0</x:v>
      </x:c>
      <x:c r="D178" s="20" t="n"/>
      <x:c r="E178" s="36" t="n">
        <x:f>SUM(G178:HT178)</x:f>
        <x:v>0</x:v>
      </x:c>
      <x:c r="R178" s="100" t="n"/>
      <x:c r="S178" s="100" t="n"/>
      <x:c r="AE178" s="100" t="n"/>
      <x:c r="AF178" s="100" t="n"/>
      <x:c r="AG178" s="100" t="n"/>
      <x:c r="AH178" s="100" t="n"/>
      <x:c r="AI178" s="100" t="n"/>
      <x:c r="AJ178" s="100" t="n"/>
      <x:c r="AK178" s="100" t="n"/>
      <x:c r="AM178" s="100" t="n"/>
      <x:c r="AO178" s="100" t="n"/>
    </x:row>
    <x:row r="179" s="27" customFormat="1">
      <x:c r="A179" s="38" t="n"/>
      <x:c r="B179" s="37" t="n"/>
      <x:c r="C179" s="36" t="n">
        <x:f>E179*D$5</x:f>
        <x:v>0</x:v>
      </x:c>
      <x:c r="D179" s="20" t="n"/>
      <x:c r="E179" s="36" t="n">
        <x:f>SUM(G179:HT179)</x:f>
        <x:v>0</x:v>
      </x:c>
      <x:c r="R179" s="100" t="n"/>
      <x:c r="S179" s="100" t="n"/>
      <x:c r="AE179" s="100" t="n"/>
      <x:c r="AF179" s="100" t="n"/>
      <x:c r="AG179" s="100" t="n"/>
      <x:c r="AH179" s="100" t="n"/>
      <x:c r="AI179" s="100" t="n"/>
      <x:c r="AJ179" s="100" t="n"/>
      <x:c r="AK179" s="100" t="n"/>
      <x:c r="AM179" s="100" t="n"/>
      <x:c r="AO179" s="100" t="n"/>
    </x:row>
    <x:row r="180" s="27" customFormat="1">
      <x:c r="A180" s="38" t="n"/>
      <x:c r="B180" s="37" t="n"/>
      <x:c r="C180" s="36" t="n">
        <x:f>E180*D$5</x:f>
        <x:v>0</x:v>
      </x:c>
      <x:c r="D180" s="20" t="n"/>
      <x:c r="E180" s="36" t="n">
        <x:f>SUM(G180:HT180)</x:f>
        <x:v>0</x:v>
      </x:c>
      <x:c r="R180" s="100" t="n"/>
      <x:c r="S180" s="100" t="n"/>
      <x:c r="AE180" s="100" t="n"/>
      <x:c r="AF180" s="100" t="n"/>
      <x:c r="AG180" s="100" t="n"/>
      <x:c r="AH180" s="100" t="n"/>
      <x:c r="AI180" s="100" t="n"/>
      <x:c r="AJ180" s="100" t="n"/>
      <x:c r="AK180" s="100" t="n"/>
      <x:c r="AM180" s="100" t="n"/>
      <x:c r="AO180" s="100" t="n"/>
    </x:row>
    <x:row r="181" s="27" customFormat="1">
      <x:c r="A181" s="38" t="n"/>
      <x:c r="B181" s="37" t="n"/>
      <x:c r="C181" s="36" t="n">
        <x:f>E181*D$5</x:f>
        <x:v>0</x:v>
      </x:c>
      <x:c r="D181" s="20" t="n"/>
      <x:c r="E181" s="36" t="n">
        <x:f>SUM(G181:HT181)</x:f>
        <x:v>0</x:v>
      </x:c>
      <x:c r="R181" s="100" t="n"/>
      <x:c r="S181" s="100" t="n"/>
      <x:c r="AE181" s="100" t="n"/>
      <x:c r="AF181" s="100" t="n"/>
      <x:c r="AG181" s="100" t="n"/>
      <x:c r="AH181" s="100" t="n"/>
      <x:c r="AI181" s="100" t="n"/>
      <x:c r="AJ181" s="100" t="n"/>
      <x:c r="AK181" s="100" t="n"/>
      <x:c r="AM181" s="100" t="n"/>
      <x:c r="AO181" s="100" t="n"/>
    </x:row>
    <x:row r="182" s="27" customFormat="1">
      <x:c r="A182" s="38" t="n"/>
      <x:c r="B182" s="37" t="n"/>
      <x:c r="C182" s="36" t="n">
        <x:f>E182*D$5</x:f>
        <x:v>0</x:v>
      </x:c>
      <x:c r="D182" s="20" t="n"/>
      <x:c r="E182" s="36" t="n">
        <x:f>SUM(G182:HT182)</x:f>
        <x:v>0</x:v>
      </x:c>
      <x:c r="R182" s="100" t="n"/>
      <x:c r="S182" s="100" t="n"/>
      <x:c r="AE182" s="100" t="n"/>
      <x:c r="AF182" s="100" t="n"/>
      <x:c r="AG182" s="100" t="n"/>
      <x:c r="AH182" s="100" t="n"/>
      <x:c r="AI182" s="100" t="n"/>
      <x:c r="AJ182" s="100" t="n"/>
      <x:c r="AK182" s="100" t="n"/>
      <x:c r="AM182" s="100" t="n"/>
      <x:c r="AO182" s="100" t="n"/>
    </x:row>
    <x:row r="183" s="27" customFormat="1">
      <x:c r="A183" s="38" t="n"/>
      <x:c r="B183" s="37" t="n"/>
      <x:c r="C183" s="36" t="n">
        <x:f>E183*D$5</x:f>
        <x:v>0</x:v>
      </x:c>
      <x:c r="D183" s="20" t="n"/>
      <x:c r="E183" s="36" t="n">
        <x:f>SUM(G183:HT183)</x:f>
        <x:v>0</x:v>
      </x:c>
      <x:c r="R183" s="100" t="n"/>
      <x:c r="S183" s="100" t="n"/>
      <x:c r="AE183" s="100" t="n"/>
      <x:c r="AF183" s="100" t="n"/>
      <x:c r="AG183" s="100" t="n"/>
      <x:c r="AH183" s="100" t="n"/>
      <x:c r="AI183" s="100" t="n"/>
      <x:c r="AJ183" s="100" t="n"/>
      <x:c r="AK183" s="100" t="n"/>
      <x:c r="AM183" s="100" t="n"/>
      <x:c r="AO183" s="100" t="n"/>
    </x:row>
    <x:row r="184" s="27" customFormat="1">
      <x:c r="A184" s="38" t="n"/>
      <x:c r="B184" s="37" t="n"/>
      <x:c r="C184" s="36" t="n">
        <x:f>E184*D$5</x:f>
        <x:v>0</x:v>
      </x:c>
      <x:c r="D184" s="20" t="n"/>
      <x:c r="E184" s="36" t="n">
        <x:f>SUM(G184:HT184)</x:f>
        <x:v>0</x:v>
      </x:c>
      <x:c r="R184" s="100" t="n"/>
      <x:c r="S184" s="100" t="n"/>
      <x:c r="AE184" s="100" t="n"/>
      <x:c r="AF184" s="100" t="n"/>
      <x:c r="AG184" s="100" t="n"/>
      <x:c r="AH184" s="100" t="n"/>
      <x:c r="AI184" s="100" t="n"/>
      <x:c r="AJ184" s="100" t="n"/>
      <x:c r="AK184" s="100" t="n"/>
      <x:c r="AM184" s="100" t="n"/>
      <x:c r="AO184" s="100" t="n"/>
    </x:row>
    <x:row r="185" s="27" customFormat="1">
      <x:c r="A185" s="38" t="n"/>
      <x:c r="B185" s="37" t="n"/>
      <x:c r="C185" s="36" t="n">
        <x:f>E185*D$5</x:f>
        <x:v>0</x:v>
      </x:c>
      <x:c r="D185" s="20" t="n"/>
      <x:c r="E185" s="36" t="n">
        <x:f>SUM(G185:HT185)</x:f>
        <x:v>0</x:v>
      </x:c>
      <x:c r="R185" s="100" t="n"/>
      <x:c r="S185" s="100" t="n"/>
      <x:c r="AE185" s="100" t="n"/>
      <x:c r="AF185" s="100" t="n"/>
      <x:c r="AG185" s="100" t="n"/>
      <x:c r="AH185" s="100" t="n"/>
      <x:c r="AI185" s="100" t="n"/>
      <x:c r="AJ185" s="100" t="n"/>
      <x:c r="AK185" s="100" t="n"/>
      <x:c r="AM185" s="100" t="n"/>
      <x:c r="AO185" s="100" t="n"/>
    </x:row>
    <x:row r="186" s="27" customFormat="1">
      <x:c r="A186" s="38" t="n"/>
      <x:c r="B186" s="37" t="n"/>
      <x:c r="C186" s="36" t="n">
        <x:f>E186*D$5</x:f>
        <x:v>0</x:v>
      </x:c>
      <x:c r="D186" s="20" t="n"/>
      <x:c r="E186" s="36" t="n">
        <x:f>SUM(G186:HT186)</x:f>
        <x:v>0</x:v>
      </x:c>
      <x:c r="R186" s="100" t="n"/>
      <x:c r="S186" s="100" t="n"/>
      <x:c r="AE186" s="100" t="n"/>
      <x:c r="AF186" s="100" t="n"/>
      <x:c r="AG186" s="100" t="n"/>
      <x:c r="AH186" s="100" t="n"/>
      <x:c r="AI186" s="100" t="n"/>
      <x:c r="AJ186" s="100" t="n"/>
      <x:c r="AK186" s="100" t="n"/>
      <x:c r="AM186" s="100" t="n"/>
      <x:c r="AO186" s="100" t="n"/>
    </x:row>
    <x:row r="187" s="27" customFormat="1">
      <x:c r="A187" s="38" t="n"/>
      <x:c r="B187" s="37" t="n"/>
      <x:c r="C187" s="36" t="n">
        <x:f>E187*D$5</x:f>
        <x:v>0</x:v>
      </x:c>
      <x:c r="D187" s="20" t="n"/>
      <x:c r="E187" s="36" t="n">
        <x:f>SUM(G187:HT187)</x:f>
        <x:v>0</x:v>
      </x:c>
      <x:c r="R187" s="100" t="n"/>
      <x:c r="S187" s="100" t="n"/>
      <x:c r="AE187" s="100" t="n"/>
      <x:c r="AF187" s="100" t="n"/>
      <x:c r="AG187" s="100" t="n"/>
      <x:c r="AH187" s="100" t="n"/>
      <x:c r="AI187" s="100" t="n"/>
      <x:c r="AJ187" s="100" t="n"/>
      <x:c r="AK187" s="100" t="n"/>
      <x:c r="AM187" s="100" t="n"/>
      <x:c r="AO187" s="100" t="n"/>
    </x:row>
    <x:row r="188" s="27" customFormat="1">
      <x:c r="A188" s="38" t="n"/>
      <x:c r="B188" s="37" t="n"/>
      <x:c r="C188" s="36" t="n">
        <x:f>E188*D$5</x:f>
        <x:v>0</x:v>
      </x:c>
      <x:c r="D188" s="20" t="n"/>
      <x:c r="E188" s="36" t="n">
        <x:f>SUM(G188:HT188)</x:f>
        <x:v>0</x:v>
      </x:c>
      <x:c r="R188" s="100" t="n"/>
      <x:c r="S188" s="100" t="n"/>
      <x:c r="AE188" s="100" t="n"/>
      <x:c r="AF188" s="100" t="n"/>
      <x:c r="AG188" s="100" t="n"/>
      <x:c r="AH188" s="100" t="n"/>
      <x:c r="AI188" s="100" t="n"/>
      <x:c r="AJ188" s="100" t="n"/>
      <x:c r="AK188" s="100" t="n"/>
      <x:c r="AM188" s="100" t="n"/>
      <x:c r="AO188" s="100" t="n"/>
    </x:row>
    <x:row r="189" s="27" customFormat="1">
      <x:c r="A189" s="38" t="n"/>
      <x:c r="B189" s="37" t="n"/>
      <x:c r="C189" s="36" t="n">
        <x:f>E189*D$5</x:f>
        <x:v>0</x:v>
      </x:c>
      <x:c r="D189" s="20" t="n"/>
      <x:c r="E189" s="36" t="n">
        <x:f>SUM(G189:HT189)</x:f>
        <x:v>0</x:v>
      </x:c>
      <x:c r="R189" s="100" t="n"/>
      <x:c r="S189" s="100" t="n"/>
      <x:c r="AE189" s="100" t="n"/>
      <x:c r="AF189" s="100" t="n"/>
      <x:c r="AG189" s="100" t="n"/>
      <x:c r="AH189" s="100" t="n"/>
      <x:c r="AI189" s="100" t="n"/>
      <x:c r="AJ189" s="100" t="n"/>
      <x:c r="AK189" s="100" t="n"/>
      <x:c r="AM189" s="100" t="n"/>
      <x:c r="AO189" s="100" t="n"/>
    </x:row>
    <x:row r="190" s="27" customFormat="1">
      <x:c r="A190" s="38" t="n"/>
      <x:c r="B190" s="37" t="n"/>
      <x:c r="C190" s="36" t="n">
        <x:f>E190*D$5</x:f>
        <x:v>0</x:v>
      </x:c>
      <x:c r="D190" s="20" t="n"/>
      <x:c r="E190" s="36" t="n">
        <x:f>SUM(G190:HT190)</x:f>
        <x:v>0</x:v>
      </x:c>
      <x:c r="R190" s="100" t="n"/>
      <x:c r="S190" s="100" t="n"/>
      <x:c r="AE190" s="100" t="n"/>
      <x:c r="AF190" s="100" t="n"/>
      <x:c r="AG190" s="100" t="n"/>
      <x:c r="AH190" s="100" t="n"/>
      <x:c r="AI190" s="100" t="n"/>
      <x:c r="AJ190" s="100" t="n"/>
      <x:c r="AK190" s="100" t="n"/>
      <x:c r="AM190" s="100" t="n"/>
      <x:c r="AO190" s="100" t="n"/>
    </x:row>
    <x:row r="191" s="27" customFormat="1">
      <x:c r="A191" s="38" t="n"/>
      <x:c r="B191" s="37" t="n"/>
      <x:c r="C191" s="36" t="n">
        <x:f>E191*D$5</x:f>
        <x:v>0</x:v>
      </x:c>
      <x:c r="D191" s="20" t="n"/>
      <x:c r="E191" s="36" t="n">
        <x:f>SUM(G191:HT191)</x:f>
        <x:v>0</x:v>
      </x:c>
      <x:c r="R191" s="100" t="n"/>
      <x:c r="S191" s="100" t="n"/>
      <x:c r="AE191" s="100" t="n"/>
      <x:c r="AF191" s="100" t="n"/>
      <x:c r="AG191" s="100" t="n"/>
      <x:c r="AH191" s="100" t="n"/>
      <x:c r="AI191" s="100" t="n"/>
      <x:c r="AJ191" s="100" t="n"/>
      <x:c r="AK191" s="100" t="n"/>
      <x:c r="AM191" s="100" t="n"/>
      <x:c r="AO191" s="100" t="n"/>
    </x:row>
    <x:row r="192" s="27" customFormat="1">
      <x:c r="A192" s="38" t="n"/>
      <x:c r="B192" s="37" t="n"/>
      <x:c r="C192" s="36" t="n">
        <x:f>E192*D$5</x:f>
        <x:v>0</x:v>
      </x:c>
      <x:c r="D192" s="20" t="n"/>
      <x:c r="E192" s="36" t="n">
        <x:f>SUM(G192:HT192)</x:f>
        <x:v>0</x:v>
      </x:c>
      <x:c r="R192" s="100" t="n"/>
      <x:c r="S192" s="100" t="n"/>
      <x:c r="AE192" s="100" t="n"/>
      <x:c r="AF192" s="100" t="n"/>
      <x:c r="AG192" s="100" t="n"/>
      <x:c r="AH192" s="100" t="n"/>
      <x:c r="AI192" s="100" t="n"/>
      <x:c r="AJ192" s="100" t="n"/>
      <x:c r="AK192" s="100" t="n"/>
      <x:c r="AM192" s="100" t="n"/>
      <x:c r="AO192" s="100" t="n"/>
    </x:row>
    <x:row r="193" s="27" customFormat="1">
      <x:c r="A193" s="38" t="n"/>
      <x:c r="B193" s="37" t="n"/>
      <x:c r="C193" s="36" t="n">
        <x:f>E193*D$5</x:f>
        <x:v>0</x:v>
      </x:c>
      <x:c r="D193" s="20" t="n"/>
      <x:c r="E193" s="36" t="n">
        <x:f>SUM(G193:HT193)</x:f>
        <x:v>0</x:v>
      </x:c>
      <x:c r="R193" s="100" t="n"/>
      <x:c r="S193" s="100" t="n"/>
      <x:c r="AE193" s="100" t="n"/>
      <x:c r="AF193" s="100" t="n"/>
      <x:c r="AG193" s="100" t="n"/>
      <x:c r="AH193" s="100" t="n"/>
      <x:c r="AI193" s="100" t="n"/>
      <x:c r="AJ193" s="100" t="n"/>
      <x:c r="AK193" s="100" t="n"/>
      <x:c r="AM193" s="100" t="n"/>
      <x:c r="AO193" s="100" t="n"/>
    </x:row>
    <x:row r="194" s="27" customFormat="1">
      <x:c r="A194" s="38" t="n"/>
      <x:c r="B194" s="37" t="n"/>
      <x:c r="C194" s="36" t="n">
        <x:f>E194*D$5</x:f>
        <x:v>0</x:v>
      </x:c>
      <x:c r="D194" s="20" t="n"/>
      <x:c r="E194" s="36" t="n">
        <x:f>SUM(G194:HT194)</x:f>
        <x:v>0</x:v>
      </x:c>
      <x:c r="R194" s="100" t="n"/>
      <x:c r="S194" s="100" t="n"/>
      <x:c r="AE194" s="100" t="n"/>
      <x:c r="AF194" s="100" t="n"/>
      <x:c r="AG194" s="100" t="n"/>
      <x:c r="AH194" s="100" t="n"/>
      <x:c r="AI194" s="100" t="n"/>
      <x:c r="AJ194" s="100" t="n"/>
      <x:c r="AK194" s="100" t="n"/>
      <x:c r="AM194" s="100" t="n"/>
      <x:c r="AO194" s="100" t="n"/>
    </x:row>
    <x:row r="195" s="27" customFormat="1">
      <x:c r="A195" s="38" t="n"/>
      <x:c r="B195" s="37" t="n"/>
      <x:c r="C195" s="36" t="n">
        <x:f>E195*D$5</x:f>
        <x:v>0</x:v>
      </x:c>
      <x:c r="D195" s="20" t="n"/>
      <x:c r="E195" s="36" t="n">
        <x:f>SUM(G195:HT195)</x:f>
        <x:v>0</x:v>
      </x:c>
      <x:c r="R195" s="100" t="n"/>
      <x:c r="S195" s="100" t="n"/>
      <x:c r="AE195" s="100" t="n"/>
      <x:c r="AF195" s="100" t="n"/>
      <x:c r="AG195" s="100" t="n"/>
      <x:c r="AH195" s="100" t="n"/>
      <x:c r="AI195" s="100" t="n"/>
      <x:c r="AJ195" s="100" t="n"/>
      <x:c r="AK195" s="100" t="n"/>
      <x:c r="AM195" s="100" t="n"/>
      <x:c r="AO195" s="100" t="n"/>
    </x:row>
    <x:row r="196" s="27" customFormat="1">
      <x:c r="A196" s="38" t="n"/>
      <x:c r="B196" s="37" t="n"/>
      <x:c r="C196" s="36" t="n">
        <x:f>E196*D$5</x:f>
        <x:v>0</x:v>
      </x:c>
      <x:c r="D196" s="20" t="n"/>
      <x:c r="E196" s="36" t="n">
        <x:f>SUM(G196:HT196)</x:f>
        <x:v>0</x:v>
      </x:c>
      <x:c r="R196" s="100" t="n"/>
      <x:c r="S196" s="100" t="n"/>
      <x:c r="AE196" s="100" t="n"/>
      <x:c r="AF196" s="100" t="n"/>
      <x:c r="AG196" s="100" t="n"/>
      <x:c r="AH196" s="100" t="n"/>
      <x:c r="AI196" s="100" t="n"/>
      <x:c r="AJ196" s="100" t="n"/>
      <x:c r="AK196" s="100" t="n"/>
      <x:c r="AM196" s="100" t="n"/>
      <x:c r="AO196" s="100" t="n"/>
    </x:row>
    <x:row r="197" s="27" customFormat="1">
      <x:c r="A197" s="38" t="n"/>
      <x:c r="B197" s="37" t="n"/>
      <x:c r="C197" s="36" t="n">
        <x:f>E197*D$5</x:f>
        <x:v>0</x:v>
      </x:c>
      <x:c r="D197" s="20" t="n"/>
      <x:c r="E197" s="36" t="n">
        <x:f>SUM(G197:HT197)</x:f>
        <x:v>0</x:v>
      </x:c>
      <x:c r="R197" s="100" t="n"/>
      <x:c r="S197" s="100" t="n"/>
      <x:c r="AE197" s="100" t="n"/>
      <x:c r="AF197" s="100" t="n"/>
      <x:c r="AG197" s="100" t="n"/>
      <x:c r="AH197" s="100" t="n"/>
      <x:c r="AI197" s="100" t="n"/>
      <x:c r="AJ197" s="100" t="n"/>
      <x:c r="AK197" s="100" t="n"/>
      <x:c r="AM197" s="100" t="n"/>
      <x:c r="AO197" s="100" t="n"/>
    </x:row>
    <x:row r="198" s="27" customFormat="1">
      <x:c r="A198" s="38" t="n"/>
      <x:c r="B198" s="37" t="n"/>
      <x:c r="C198" s="36" t="n">
        <x:f>E198*D$5</x:f>
        <x:v>0</x:v>
      </x:c>
      <x:c r="D198" s="20" t="n"/>
      <x:c r="E198" s="36" t="n">
        <x:f>SUM(G198:HT198)</x:f>
        <x:v>0</x:v>
      </x:c>
      <x:c r="R198" s="100" t="n"/>
      <x:c r="S198" s="100" t="n"/>
      <x:c r="AE198" s="100" t="n"/>
      <x:c r="AF198" s="100" t="n"/>
      <x:c r="AG198" s="100" t="n"/>
      <x:c r="AH198" s="100" t="n"/>
      <x:c r="AI198" s="100" t="n"/>
      <x:c r="AJ198" s="100" t="n"/>
      <x:c r="AK198" s="100" t="n"/>
      <x:c r="AM198" s="100" t="n"/>
      <x:c r="AO198" s="100" t="n"/>
    </x:row>
    <x:row r="199" s="27" customFormat="1">
      <x:c r="A199" s="38" t="n"/>
      <x:c r="B199" s="37" t="n"/>
      <x:c r="C199" s="36" t="n">
        <x:f>E199*D$5</x:f>
        <x:v>0</x:v>
      </x:c>
      <x:c r="D199" s="20" t="n"/>
      <x:c r="E199" s="36" t="n">
        <x:f>SUM(G199:HT199)</x:f>
        <x:v>0</x:v>
      </x:c>
      <x:c r="R199" s="100" t="n"/>
      <x:c r="S199" s="100" t="n"/>
      <x:c r="AE199" s="100" t="n"/>
      <x:c r="AF199" s="100" t="n"/>
      <x:c r="AG199" s="100" t="n"/>
      <x:c r="AH199" s="100" t="n"/>
      <x:c r="AI199" s="100" t="n"/>
      <x:c r="AJ199" s="100" t="n"/>
      <x:c r="AK199" s="100" t="n"/>
      <x:c r="AM199" s="100" t="n"/>
      <x:c r="AO199" s="100" t="n"/>
    </x:row>
    <x:row r="200" s="27" customFormat="1">
      <x:c r="A200" s="38" t="n"/>
      <x:c r="B200" s="37" t="n"/>
      <x:c r="C200" s="36" t="n">
        <x:f>E200*D$5</x:f>
        <x:v>0</x:v>
      </x:c>
      <x:c r="D200" s="20" t="n"/>
      <x:c r="E200" s="36" t="n">
        <x:f>SUM(G200:HT200)</x:f>
        <x:v>0</x:v>
      </x:c>
      <x:c r="R200" s="100" t="n"/>
      <x:c r="S200" s="100" t="n"/>
      <x:c r="AE200" s="100" t="n"/>
      <x:c r="AF200" s="100" t="n"/>
      <x:c r="AG200" s="100" t="n"/>
      <x:c r="AH200" s="100" t="n"/>
      <x:c r="AI200" s="100" t="n"/>
      <x:c r="AJ200" s="100" t="n"/>
      <x:c r="AK200" s="100" t="n"/>
      <x:c r="AM200" s="100" t="n"/>
      <x:c r="AO200" s="100" t="n"/>
    </x:row>
    <x:row r="201" s="27" customFormat="1">
      <x:c r="A201" s="38" t="n"/>
      <x:c r="B201" s="37" t="n"/>
      <x:c r="C201" s="36" t="n">
        <x:f>E201*D$5</x:f>
        <x:v>0</x:v>
      </x:c>
      <x:c r="D201" s="20" t="n"/>
      <x:c r="E201" s="36" t="n">
        <x:f>SUM(G201:HT201)</x:f>
        <x:v>0</x:v>
      </x:c>
      <x:c r="R201" s="100" t="n"/>
      <x:c r="S201" s="100" t="n"/>
      <x:c r="AE201" s="100" t="n"/>
      <x:c r="AF201" s="100" t="n"/>
      <x:c r="AG201" s="100" t="n"/>
      <x:c r="AH201" s="100" t="n"/>
      <x:c r="AI201" s="100" t="n"/>
      <x:c r="AJ201" s="100" t="n"/>
      <x:c r="AK201" s="100" t="n"/>
      <x:c r="AM201" s="100" t="n"/>
      <x:c r="AO201" s="100" t="n"/>
    </x:row>
    <x:row r="202" s="27" customFormat="1">
      <x:c r="A202" s="38" t="n"/>
      <x:c r="B202" s="37" t="n"/>
      <x:c r="C202" s="36" t="n">
        <x:f>E202*D$5</x:f>
        <x:v>0</x:v>
      </x:c>
      <x:c r="D202" s="20" t="n"/>
      <x:c r="E202" s="36" t="n">
        <x:f>SUM(G202:HT202)</x:f>
        <x:v>0</x:v>
      </x:c>
      <x:c r="R202" s="100" t="n"/>
      <x:c r="S202" s="100" t="n"/>
      <x:c r="AE202" s="100" t="n"/>
      <x:c r="AF202" s="100" t="n"/>
      <x:c r="AG202" s="100" t="n"/>
      <x:c r="AH202" s="100" t="n"/>
      <x:c r="AI202" s="100" t="n"/>
      <x:c r="AJ202" s="100" t="n"/>
      <x:c r="AK202" s="100" t="n"/>
      <x:c r="AM202" s="100" t="n"/>
      <x:c r="AO202" s="100" t="n"/>
    </x:row>
    <x:row r="203" s="27" customFormat="1">
      <x:c r="A203" s="38" t="n"/>
      <x:c r="B203" s="37" t="n"/>
      <x:c r="C203" s="36" t="n">
        <x:f>E203*D$5</x:f>
        <x:v>0</x:v>
      </x:c>
      <x:c r="D203" s="20" t="n"/>
      <x:c r="E203" s="36" t="n">
        <x:f>SUM(G203:HT203)</x:f>
        <x:v>0</x:v>
      </x:c>
      <x:c r="R203" s="100" t="n"/>
      <x:c r="S203" s="100" t="n"/>
      <x:c r="AE203" s="100" t="n"/>
      <x:c r="AF203" s="100" t="n"/>
      <x:c r="AG203" s="100" t="n"/>
      <x:c r="AH203" s="100" t="n"/>
      <x:c r="AI203" s="100" t="n"/>
      <x:c r="AJ203" s="100" t="n"/>
      <x:c r="AK203" s="100" t="n"/>
      <x:c r="AM203" s="102" t="n"/>
      <x:c r="AO203" s="100" t="n"/>
    </x:row>
    <x:row r="204" s="29" customFormat="1">
      <x:c r="A204" s="34" t="n"/>
      <x:c r="B204" s="33" t="n"/>
      <x:c r="C204" s="32" t="n"/>
      <x:c r="D204" s="31" t="n"/>
      <x:c r="E204" s="30" t="n"/>
      <x:c r="R204" s="100" t="n"/>
      <x:c r="S204" s="100" t="n"/>
      <x:c r="AE204" s="100" t="n"/>
      <x:c r="AF204" s="100" t="n"/>
      <x:c r="AG204" s="100" t="n"/>
      <x:c r="AH204" s="100" t="n"/>
      <x:c r="AI204" s="100" t="n"/>
      <x:c r="AJ204" s="100" t="n"/>
      <x:c r="AK204" s="100" t="n"/>
      <x:c r="AM204" s="95" t="n"/>
      <x:c r="AO204" s="100" t="n"/>
    </x:row>
    <x:row r="205" s="26" customFormat="1">
      <x:c r="A205" s="25" t="n"/>
      <x:c r="B205" s="24" t="n"/>
      <x:c r="C205" s="23" t="n"/>
      <x:c r="D205" s="22" t="n"/>
      <x:c r="E205" s="21" t="n"/>
      <x:c r="R205" s="100" t="n"/>
      <x:c r="S205" s="100" t="n"/>
      <x:c r="AE205" s="100" t="n"/>
      <x:c r="AF205" s="100" t="n"/>
      <x:c r="AG205" s="100" t="n"/>
      <x:c r="AH205" s="100" t="n"/>
      <x:c r="AI205" s="100" t="n"/>
      <x:c r="AJ205" s="100" t="n"/>
      <x:c r="AK205" s="100" t="n"/>
      <x:c r="AM205" s="95" t="n"/>
      <x:c r="AO205" s="100" t="n"/>
    </x:row>
    <x:row r="206">
      <x:c r="A206" s="25" t="n"/>
      <x:c r="B206" s="24" t="n"/>
      <x:c r="C206" s="23" t="n"/>
      <x:c r="D206" s="22" t="n"/>
      <x:c r="E206" s="21" t="n"/>
      <x:c r="R206" s="100" t="n"/>
      <x:c r="S206" s="100" t="n"/>
      <x:c r="AE206" s="100" t="n"/>
      <x:c r="AF206" s="100" t="n"/>
      <x:c r="AG206" s="100" t="n"/>
      <x:c r="AH206" s="102" t="n"/>
      <x:c r="AI206" s="102" t="n"/>
      <x:c r="AJ206" s="102" t="n"/>
      <x:c r="AK206" s="102" t="n"/>
      <x:c r="AO206" s="102" t="n"/>
    </x:row>
    <x:row r="207">
      <x:c r="R207" s="100" t="n"/>
      <x:c r="S207" s="100" t="n"/>
      <x:c r="AE207" s="102" t="n"/>
      <x:c r="AF207" s="100" t="n"/>
      <x:c r="AG207" s="100" t="n"/>
    </x:row>
    <x:row r="208">
      <x:c r="R208" s="102" t="n"/>
      <x:c r="S208" s="102" t="n"/>
      <x:c r="AF208" s="102" t="n"/>
      <x:c r="AG208" s="100" t="n"/>
    </x:row>
    <x:row r="209">
      <x:c r="AG209" s="100" t="n"/>
    </x:row>
    <x:row r="210">
      <x:c r="AG210" s="100" t="n"/>
    </x:row>
    <x:row r="211">
      <x:c r="AG211" s="100" t="n"/>
    </x:row>
    <x:row r="212">
      <x:c r="AG212" s="102" t="n"/>
    </x:row>
  </x:sheetData>
  <x:mergeCells>
    <x:mergeCell ref="CG7:CG8"/>
    <x:mergeCell ref="EX7:EX8"/>
    <x:mergeCell ref="EZ7:EZ8"/>
    <x:mergeCell ref="DH7:DH8"/>
    <x:mergeCell ref="BR7:BR8"/>
    <x:mergeCell ref="BA7:BA8"/>
    <x:mergeCell ref="BC7:BC8"/>
    <x:mergeCell ref="DT7:DT8"/>
    <x:mergeCell ref="M7:M8"/>
    <x:mergeCell ref="DV7:DV8"/>
    <x:mergeCell ref="FD7:FD8"/>
    <x:mergeCell ref="FV7:FV8"/>
    <x:mergeCell ref="BO7:BO8"/>
    <x:mergeCell ref="FX7:FX8"/>
    <x:mergeCell ref="CI7:CI8"/>
    <x:mergeCell ref="DS7:DS8"/>
    <x:mergeCell ref="E1:F1"/>
    <x:mergeCell ref="P7:P8"/>
    <x:mergeCell ref="AM7:AM8"/>
    <x:mergeCell ref="FF7:FF8"/>
    <x:mergeCell ref="CA7:CA8"/>
    <x:mergeCell ref="T7:T8"/>
    <x:mergeCell ref="V7:V8"/>
    <x:mergeCell ref="CM7:CM8"/>
    <x:mergeCell ref="AN7:AN8"/>
    <x:mergeCell ref="AP7:AP8"/>
    <x:mergeCell ref="AF7:AF8"/>
    <x:mergeCell ref="DG7:DG8"/>
    <x:mergeCell ref="EO7:EO8"/>
    <x:mergeCell ref="AH7:AH8"/>
    <x:mergeCell ref="EQ7:EQ8"/>
    <x:mergeCell ref="D2:D4"/>
    <x:mergeCell ref="FI7:FI8"/>
    <x:mergeCell ref="CJ7:CJ8"/>
    <x:mergeCell ref="BB7:BB8"/>
    <x:mergeCell ref="FA7:FA8"/>
    <x:mergeCell ref="BD7:BD8"/>
    <x:mergeCell ref="FC7:FC8"/>
    <x:mergeCell ref="EN7:EN8"/>
    <x:mergeCell ref="AT7:AT8"/>
    <x:mergeCell ref="DK7:DK8"/>
    <x:mergeCell ref="AV7:AV8"/>
    <x:mergeCell ref="CP7:CP8"/>
    <x:mergeCell ref="DM7:DM8"/>
    <x:mergeCell ref="C6:C7"/>
    <x:mergeCell ref="BF7:BF8"/>
    <x:mergeCell ref="FO7:FO8"/>
    <x:mergeCell ref="BH7:BH8"/>
    <x:mergeCell ref="E3:F3"/>
    <x:mergeCell ref="FQ7:FQ8"/>
    <x:mergeCell ref="DY7:DY8"/>
    <x:mergeCell ref="EA7:EA8"/>
    <x:mergeCell ref="DJ7:DJ8"/>
    <x:mergeCell ref="GA7:GA8"/>
    <x:mergeCell ref="BT7:BT8"/>
    <x:mergeCell ref="B3:C3"/>
    <x:mergeCell ref="A2:A6"/>
    <x:mergeCell ref="E5:F5"/>
    <x:mergeCell ref="G7:G8"/>
    <x:mergeCell ref="DP7:DP8"/>
    <x:mergeCell ref="I7:I8"/>
    <x:mergeCell ref="BI7:BI8"/>
    <x:mergeCell ref="S7:S8"/>
    <x:mergeCell ref="EB7:EB8"/>
    <x:mergeCell ref="U7:U8"/>
    <x:mergeCell ref="FL7:FL8"/>
    <x:mergeCell ref="W7:W8"/>
    <x:mergeCell ref="E4:F4"/>
    <x:mergeCell ref="BW7:BW8"/>
    <x:mergeCell ref="CT7:CT8"/>
    <x:mergeCell ref="B2:C2"/>
    <x:mergeCell ref="CF7:CF8"/>
    <x:mergeCell ref="EF7:EF8"/>
    <x:mergeCell ref="AI7:AI8"/>
    <x:mergeCell ref="Y7:Y8"/>
    <x:mergeCell ref="EH7:EH8"/>
    <x:mergeCell ref="CZ7:CZ8"/>
    <x:mergeCell ref="AA7:AA8"/>
    <x:mergeCell ref="CR7:CR8"/>
    <x:mergeCell ref="AS7:AS8"/>
    <x:mergeCell ref="CC7:CC8"/>
    <x:mergeCell ref="AU7:AU8"/>
    <x:mergeCell ref="ET7:ET8"/>
    <x:mergeCell ref="F6:F8"/>
    <x:mergeCell ref="EV7:EV8"/>
    <x:mergeCell ref="CW7:CW8"/>
    <x:mergeCell ref="FN7:FN8"/>
    <x:mergeCell ref="CO7:CO8"/>
    <x:mergeCell ref="FP7:FP8"/>
    <x:mergeCell ref="DI7:DI8"/>
    <x:mergeCell ref="AY7:AY8"/>
    <x:mergeCell ref="AD7:AD8"/>
    <x:mergeCell ref="CU7:CU8"/>
    <x:mergeCell ref="DR7:DR8"/>
    <x:mergeCell ref="FR7:FR8"/>
    <x:mergeCell ref="BK7:BK8"/>
    <x:mergeCell ref="FT7:FT8"/>
    <x:mergeCell ref="DO7:DO8"/>
    <x:mergeCell ref="BQ7:BQ8"/>
    <x:mergeCell ref="DA7:DA8"/>
    <x:mergeCell ref="L7:L8"/>
    <x:mergeCell ref="DU7:DU8"/>
    <x:mergeCell ref="N7:N8"/>
    <x:mergeCell ref="BN7:BN8"/>
    <x:mergeCell ref="BP7:BP8"/>
    <x:mergeCell ref="EG7:EG8"/>
    <x:mergeCell ref="BZ7:BZ8"/>
    <x:mergeCell ref="CB7:CB8"/>
    <x:mergeCell ref="R7:R8"/>
    <x:mergeCell ref="CE7:CE8"/>
    <x:mergeCell ref="AJ7:AJ8"/>
    <x:mergeCell ref="CK7:CK8"/>
    <x:mergeCell ref="AL7:AL8"/>
    <x:mergeCell ref="EK7:EK8"/>
    <x:mergeCell ref="DC7:DC8"/>
    <x:mergeCell ref="EM7:EM8"/>
    <x:mergeCell ref="CN7:CN8"/>
    <x:mergeCell ref="FE7:FE8"/>
    <x:mergeCell ref="AX7:AX8"/>
    <x:mergeCell ref="FG7:FG8"/>
    <x:mergeCell ref="EW7:EW8"/>
    <x:mergeCell ref="EY7:EY8"/>
    <x:mergeCell ref="DB7:DB8"/>
    <x:mergeCell ref="CL7:CL8"/>
    <x:mergeCell ref="AG7:AG8"/>
    <x:mergeCell ref="EP7:EP8"/>
    <x:mergeCell ref="FW7:FW8"/>
    <x:mergeCell ref="FB7:FB8"/>
    <x:mergeCell ref="FY7:FY8"/>
    <x:mergeCell ref="DL7:DL8"/>
    <x:mergeCell ref="DD7:DD8"/>
    <x:mergeCell ref="BV7:BV8"/>
    <x:mergeCell ref="BE7:BE8"/>
    <x:mergeCell ref="DF7:DF8"/>
    <x:mergeCell ref="BG7:BG8"/>
    <x:mergeCell ref="O7:O8"/>
    <x:mergeCell ref="DX7:DX8"/>
    <x:mergeCell ref="Q7:Q8"/>
    <x:mergeCell ref="FH7:FH8"/>
    <x:mergeCell ref="DZ7:DZ8"/>
    <x:mergeCell ref="FZ7:FZ8"/>
    <x:mergeCell ref="BS7:BS8"/>
    <x:mergeCell ref="EJ7:EJ8"/>
    <x:mergeCell ref="BU7:BU8"/>
    <x:mergeCell ref="DW7:DW8"/>
    <x:mergeCell ref="AR7:AR8"/>
    <x:mergeCell ref="B5:C5"/>
    <x:mergeCell ref="EI7:EI8"/>
    <x:mergeCell ref="ED7:ED8"/>
    <x:mergeCell ref="AO7:AO8"/>
    <x:mergeCell ref="D6:D7"/>
    <x:mergeCell ref="BY7:BY8"/>
    <x:mergeCell ref="AQ7:AQ8"/>
    <x:mergeCell ref="B6:B8"/>
    <x:mergeCell ref="B4:C4"/>
    <x:mergeCell ref="ER7:ER8"/>
    <x:mergeCell ref="CS7:CS8"/>
    <x:mergeCell ref="FJ7:FJ8"/>
    <x:mergeCell ref="DE7:DE8"/>
    <x:mergeCell ref="X7:X8"/>
    <x:mergeCell ref="Z7:Z8"/>
    <x:mergeCell ref="CQ7:CQ8"/>
    <x:mergeCell ref="ES7:ES8"/>
    <x:mergeCell ref="EU7:EU8"/>
    <x:mergeCell ref="BM7:BM8"/>
    <x:mergeCell ref="AZ7:AZ8"/>
    <x:mergeCell ref="H7:H8"/>
    <x:mergeCell ref="DQ7:DQ8"/>
    <x:mergeCell ref="J7:J8"/>
    <x:mergeCell ref="E6:E7"/>
    <x:mergeCell ref="BJ7:BJ8"/>
    <x:mergeCell ref="AB7:AB8"/>
    <x:mergeCell ref="FS7:FS8"/>
    <x:mergeCell ref="BL7:BL8"/>
    <x:mergeCell ref="FU7:FU8"/>
    <x:mergeCell ref="FK7:FK8"/>
    <x:mergeCell ref="EC7:EC8"/>
    <x:mergeCell ref="FM7:FM8"/>
    <x:mergeCell ref="EE7:EE8"/>
    <x:mergeCell ref="DN7:DN8"/>
    <x:mergeCell ref="CD7:CD8"/>
    <x:mergeCell ref="BX7:BX8"/>
    <x:mergeCell ref="E2:F2"/>
    <x:mergeCell ref="K7:K8"/>
    <x:mergeCell ref="CY7:CY8"/>
    <x:mergeCell ref="CX7:CX8"/>
    <x:mergeCell ref="CH7:CH8"/>
    <x:mergeCell ref="AK7:AK8"/>
    <x:mergeCell ref="AC7:AC8"/>
    <x:mergeCell ref="EL7:EL8"/>
    <x:mergeCell ref="AE7:AE8"/>
    <x:mergeCell ref="CV7:CV8"/>
    <x:mergeCell ref="AW7:AW8"/>
  </x:mergeCells>
  <x:pageMargins left="0.7" right="0.7" top="0.75" bottom="0.75" header="0.3" footer="0.3"/>
</x:worksheet>
</file>

<file path=xl/worksheets/sheet12.xml><?xml version="1.0" encoding="utf-8"?>
<x:worksheet xmlns:x="http://schemas.openxmlformats.org/spreadsheetml/2006/main">
  <x:sheetFormatPr baseColWidth="8" defaultColWidth="14.42578125" defaultRowHeight="12.75"/>
  <x:cols>
    <x:col min="1" max="1" width="8.140625" style="19" customWidth="1"/>
    <x:col min="2" max="2" width="6.85546875" style="18" customWidth="1"/>
    <x:col min="3" max="3" width="12.5703125" style="17" customWidth="1"/>
    <x:col min="4" max="4" width="50.42578125" style="16" customWidth="1"/>
    <x:col min="5" max="5" width="11.140625" style="15" customWidth="1"/>
    <x:col min="6" max="6" width="6.85546875" style="13" customWidth="1"/>
    <x:col min="7" max="17" width="13" style="13" customWidth="1"/>
    <x:col min="18" max="19" width="13" style="95" customWidth="1"/>
    <x:col min="20" max="30" width="13" style="13" customWidth="1"/>
    <x:col min="31" max="37" width="13" style="95" customWidth="1"/>
    <x:col min="38" max="38" width="13" style="13" customWidth="1"/>
    <x:col min="39" max="39" width="13" style="95" customWidth="1"/>
    <x:col min="40" max="40" width="13" style="13" customWidth="1"/>
    <x:col min="41" max="41" width="13" style="95" customWidth="1"/>
    <x:col min="42" max="183" width="13" style="13" customWidth="1"/>
    <x:col min="184" max="184" width="13" style="14" customWidth="1"/>
    <x:col min="185" max="186" width="13" style="13" customWidth="1"/>
    <x:col min="187" max="16384" width="14.42578125" style="13" customWidth="1"/>
  </x:cols>
  <x:sheetData>
    <x:row r="1" s="569" customFormat="1" ht="13.5" customHeight="1">
      <x:c r="E1" s="477" t="inlineStr">
        <x:is>
          <x:t xml:space="preserve">Instrument</x:t>
        </x:is>
      </x:c>
      <x:c r="F1" s="592" t="n"/>
      <x:c r="G1" s="63" t="inlineStr">
        <x:is>
          <x:t xml:space="preserve"/>
        </x:is>
      </x:c>
      <x:c r="H1" s="116" t="inlineStr">
        <x:is>
          <x:t xml:space="preserve">PAT</x:t>
        </x:is>
      </x:c>
      <x:c r="I1" s="116" t="inlineStr">
        <x:is>
          <x:t xml:space="preserve">DEED</x:t>
        </x:is>
      </x:c>
      <x:c r="J1" s="116" t="inlineStr">
        <x:is>
          <x:t xml:space="preserve">QCD</x:t>
        </x:is>
      </x:c>
      <x:c r="K1" s="116" t="inlineStr">
        <x:is>
          <x:t xml:space="preserve">MD</x:t>
        </x:is>
      </x:c>
      <x:c r="L1" s="116" t="inlineStr">
        <x:is>
          <x:t xml:space="preserve">WD</x:t>
        </x:is>
      </x:c>
      <x:c r="M1" s="116" t="inlineStr">
        <x:is>
          <x:t xml:space="preserve">WD</x:t>
        </x:is>
      </x:c>
      <x:c r="N1" s="116" t="inlineStr">
        <x:is>
          <x:t xml:space="preserve">MD</x:t>
        </x:is>
      </x:c>
      <x:c r="O1" s="116" t="inlineStr">
        <x:is>
          <x:t xml:space="preserve">MD</x:t>
        </x:is>
      </x:c>
      <x:c r="P1" s="116" t="inlineStr">
        <x:is>
          <x:t xml:space="preserve">MD</x:t>
        </x:is>
      </x:c>
      <x:c r="Q1" s="116" t="inlineStr">
        <x:is>
          <x:t xml:space="preserve">MD</x:t>
        </x:is>
      </x:c>
      <x:c r="R1" s="116" t="inlineStr">
        <x:is>
          <x:t xml:space="preserve">MD</x:t>
        </x:is>
      </x:c>
      <x:c r="S1" s="116" t="inlineStr">
        <x:is>
          <x:t xml:space="preserve">MD</x:t>
        </x:is>
      </x:c>
      <x:c r="T1" s="116" t="inlineStr">
        <x:is>
          <x:t xml:space="preserve">MD</x:t>
        </x:is>
      </x:c>
      <x:c r="U1" s="116" t="inlineStr">
        <x:is>
          <x:t xml:space="preserve">MD</x:t>
        </x:is>
      </x:c>
      <x:c r="V1" s="116" t="inlineStr">
        <x:is>
          <x:t xml:space="preserve">MD</x:t>
        </x:is>
      </x:c>
      <x:c r="W1" s="116" t="inlineStr">
        <x:is>
          <x:t xml:space="preserve">MD</x:t>
        </x:is>
      </x:c>
      <x:c r="X1" s="116" t="inlineStr">
        <x:is>
          <x:t xml:space="preserve">MD</x:t>
        </x:is>
      </x:c>
      <x:c r="Y1" s="116" t="inlineStr">
        <x:is>
          <x:t xml:space="preserve">QCD</x:t>
        </x:is>
      </x:c>
      <x:c r="Z1" s="116" t="inlineStr">
        <x:is>
          <x:t xml:space="preserve">MD</x:t>
        </x:is>
      </x:c>
      <x:c r="AA1" s="116" t="inlineStr">
        <x:is>
          <x:t xml:space="preserve">MD</x:t>
        </x:is>
      </x:c>
      <x:c r="AB1" s="116" t="inlineStr">
        <x:is>
          <x:t xml:space="preserve">MD</x:t>
        </x:is>
      </x:c>
      <x:c r="AC1" s="116" t="inlineStr">
        <x:is>
          <x:t xml:space="preserve">QCD</x:t>
        </x:is>
      </x:c>
      <x:c r="AD1" s="116" t="inlineStr">
        <x:is>
          <x:t xml:space="preserve">QCD</x:t>
        </x:is>
      </x:c>
      <x:c r="AE1" s="116" t="inlineStr">
        <x:is>
          <x:t xml:space="preserve">QCD</x:t>
        </x:is>
      </x:c>
      <x:c r="AF1" s="116" t="inlineStr">
        <x:is>
          <x:t xml:space="preserve">QCD</x:t>
        </x:is>
      </x:c>
      <x:c r="AG1" s="116" t="inlineStr">
        <x:is>
          <x:t xml:space="preserve">QCD</x:t>
        </x:is>
      </x:c>
      <x:c r="AH1" s="116" t="inlineStr">
        <x:is>
          <x:t xml:space="preserve">QCD</x:t>
        </x:is>
      </x:c>
      <x:c r="AI1" s="116" t="inlineStr">
        <x:is>
          <x:t xml:space="preserve">MD</x:t>
        </x:is>
      </x:c>
      <x:c r="AJ1" s="116" t="inlineStr">
        <x:is>
          <x:t xml:space="preserve">QCD</x:t>
        </x:is>
      </x:c>
      <x:c r="AK1" s="116" t="inlineStr">
        <x:is>
          <x:t xml:space="preserve">DECREE</x:t>
        </x:is>
      </x:c>
      <x:c r="AL1" s="116" t="inlineStr">
        <x:is>
          <x:t xml:space="preserve">MD</x:t>
        </x:is>
      </x:c>
      <x:c r="AM1" s="116" t="inlineStr">
        <x:is>
          <x:t xml:space="preserve">MD</x:t>
        </x:is>
      </x:c>
      <x:c r="AN1" s="116" t="inlineStr">
        <x:is>
          <x:t xml:space="preserve">MD</x:t>
        </x:is>
      </x:c>
      <x:c r="AO1" s="116" t="inlineStr">
        <x:is>
          <x:t xml:space="preserve">DECREE</x:t>
        </x:is>
      </x:c>
      <x:c r="AP1" s="95" t="inlineStr">
        <x:is>
          <x:t xml:space="preserve">MD</x:t>
        </x:is>
      </x:c>
      <x:c r="AQ1" s="95" t="inlineStr">
        <x:is>
          <x:t xml:space="preserve">MD</x:t>
        </x:is>
      </x:c>
      <x:c r="AR1" s="95" t="inlineStr">
        <x:is>
          <x:t xml:space="preserve">MD</x:t>
        </x:is>
      </x:c>
      <x:c r="AS1" s="95" t="inlineStr">
        <x:is>
          <x:t xml:space="preserve">MD</x:t>
        </x:is>
      </x:c>
      <x:c r="AT1" s="95" t="inlineStr">
        <x:is>
          <x:t xml:space="preserve">MD</x:t>
        </x:is>
      </x:c>
      <x:c r="AU1" s="95" t="inlineStr">
        <x:is>
          <x:t xml:space="preserve">MD</x:t>
        </x:is>
      </x:c>
      <x:c r="AV1" s="95" t="inlineStr">
        <x:is>
          <x:t xml:space="preserve">DECREE</x:t>
        </x:is>
      </x:c>
      <x:c r="AW1" s="95" t="inlineStr">
        <x:is>
          <x:t xml:space="preserve">MD</x:t>
        </x:is>
      </x:c>
      <x:c r="AX1" s="95" t="inlineStr">
        <x:is>
          <x:t xml:space="preserve">WD</x:t>
        </x:is>
      </x:c>
      <x:c r="AY1" s="95" t="inlineStr">
        <x:is>
          <x:t xml:space="preserve">DECREE</x:t>
        </x:is>
      </x:c>
      <x:c r="AZ1" s="95" t="inlineStr">
        <x:is>
          <x:t xml:space="preserve">MD</x:t>
        </x:is>
      </x:c>
      <x:c r="BA1" s="95" t="inlineStr">
        <x:is>
          <x:t xml:space="preserve">MD</x:t>
        </x:is>
      </x:c>
      <x:c r="BB1" s="95" t="inlineStr">
        <x:is>
          <x:t xml:space="preserve">MD</x:t>
        </x:is>
      </x:c>
      <x:c r="BC1" s="95" t="inlineStr">
        <x:is>
          <x:t xml:space="preserve">QCD</x:t>
        </x:is>
      </x:c>
      <x:c r="BD1" s="95" t="inlineStr">
        <x:is>
          <x:t xml:space="preserve">DECREE</x:t>
        </x:is>
      </x:c>
      <x:c r="BE1" s="95" t="inlineStr">
        <x:is>
          <x:t xml:space="preserve">MD</x:t>
        </x:is>
      </x:c>
      <x:c r="BF1" s="95" t="inlineStr">
        <x:is>
          <x:t xml:space="preserve">MD</x:t>
        </x:is>
      </x:c>
      <x:c r="BG1" s="95" t="inlineStr">
        <x:is>
          <x:t xml:space="preserve">QCD</x:t>
        </x:is>
      </x:c>
      <x:c r="BH1" s="95" t="inlineStr">
        <x:is>
          <x:t xml:space="preserve">DECREE</x:t>
        </x:is>
      </x:c>
      <x:c r="BI1" s="95" t="inlineStr">
        <x:is>
          <x:t xml:space="preserve">QCD</x:t>
        </x:is>
      </x:c>
      <x:c r="BJ1" s="95" t="inlineStr">
        <x:is>
          <x:t xml:space="preserve">MD</x:t>
        </x:is>
      </x:c>
      <x:c r="BK1" s="95" t="inlineStr">
        <x:is>
          <x:t xml:space="preserve">QCD</x:t>
        </x:is>
      </x:c>
      <x:c r="BL1" s="95" t="inlineStr">
        <x:is>
          <x:t xml:space="preserve">MD</x:t>
        </x:is>
      </x:c>
      <x:c r="BM1" s="95" t="inlineStr">
        <x:is>
          <x:t xml:space="preserve">MD</x:t>
        </x:is>
      </x:c>
      <x:c r="BN1" s="95" t="inlineStr">
        <x:is>
          <x:t xml:space="preserve">DEED</x:t>
        </x:is>
      </x:c>
      <x:c r="BO1" s="95" t="inlineStr">
        <x:is>
          <x:t xml:space="preserve">WD</x:t>
        </x:is>
      </x:c>
      <x:c r="BP1" s="95" t="inlineStr">
        <x:is>
          <x:t xml:space="preserve">WD</x:t>
        </x:is>
      </x:c>
      <x:c r="BQ1" s="95" t="inlineStr">
        <x:is>
          <x:t xml:space="preserve">DECREE</x:t>
        </x:is>
      </x:c>
      <x:c r="BR1" s="95" t="inlineStr">
        <x:is>
          <x:t xml:space="preserve">PAT</x:t>
        </x:is>
      </x:c>
      <x:c r="BS1" s="95" t="n"/>
      <x:c r="BT1" s="95" t="n"/>
      <x:c r="BU1" s="95" t="n"/>
      <x:c r="BV1" s="95" t="n"/>
      <x:c r="BW1" s="95" t="n"/>
      <x:c r="BX1" s="95" t="n"/>
      <x:c r="BY1" s="95" t="n"/>
      <x:c r="BZ1" s="95" t="n"/>
      <x:c r="CA1" s="95" t="n"/>
      <x:c r="CB1" s="95" t="n"/>
      <x:c r="CC1" s="95" t="n"/>
      <x:c r="CD1" s="95" t="n"/>
      <x:c r="CE1" s="95" t="n"/>
      <x:c r="CF1" s="95" t="n"/>
      <x:c r="CG1" s="95" t="n"/>
      <x:c r="CH1" s="95" t="n"/>
      <x:c r="CI1" s="95" t="n"/>
      <x:c r="CJ1" s="95" t="n"/>
      <x:c r="CK1" s="95" t="n"/>
      <x:c r="CL1" s="95" t="n"/>
      <x:c r="CM1" s="95" t="n"/>
      <x:c r="CN1" s="95" t="n"/>
      <x:c r="CO1" s="95" t="n"/>
      <x:c r="CP1" s="95" t="n"/>
      <x:c r="CQ1" s="95" t="n"/>
      <x:c r="CR1" s="95" t="n"/>
      <x:c r="CS1" s="95" t="n"/>
      <x:c r="CT1" s="95" t="n"/>
      <x:c r="CU1" s="95" t="n"/>
      <x:c r="CV1" s="95" t="n"/>
      <x:c r="CW1" s="95" t="n"/>
      <x:c r="CX1" s="95" t="n"/>
      <x:c r="CY1" s="95" t="n"/>
      <x:c r="CZ1" s="95" t="n"/>
      <x:c r="DA1" s="95" t="n"/>
      <x:c r="DB1" s="95" t="n"/>
      <x:c r="DC1" s="95" t="n"/>
      <x:c r="DD1" s="95" t="n"/>
      <x:c r="DE1" s="95" t="n"/>
      <x:c r="DF1" s="95" t="n"/>
      <x:c r="DG1" s="95" t="n"/>
      <x:c r="DH1" s="95" t="n"/>
      <x:c r="DI1" s="95" t="n"/>
      <x:c r="DJ1" s="95" t="n"/>
      <x:c r="DK1" s="95" t="n"/>
      <x:c r="DL1" s="95" t="n"/>
      <x:c r="DM1" s="95" t="n"/>
      <x:c r="DN1" s="95" t="n"/>
      <x:c r="DO1" s="95" t="n"/>
      <x:c r="DP1" s="95" t="n"/>
      <x:c r="DQ1" s="95" t="n"/>
      <x:c r="DR1" s="95" t="n"/>
      <x:c r="DS1" s="95" t="n"/>
      <x:c r="DT1" s="95" t="n"/>
      <x:c r="DU1" s="95" t="n"/>
      <x:c r="DV1" s="95" t="n"/>
      <x:c r="DW1" s="95" t="n"/>
      <x:c r="DX1" s="95" t="n"/>
      <x:c r="DY1" s="95" t="n"/>
      <x:c r="DZ1" s="95" t="n"/>
      <x:c r="EA1" s="95" t="n"/>
      <x:c r="EB1" s="95" t="n"/>
      <x:c r="EC1" s="95" t="n"/>
      <x:c r="ED1" s="95" t="n"/>
      <x:c r="EE1" s="95" t="n"/>
      <x:c r="EF1" s="95" t="n"/>
      <x:c r="EG1" s="95" t="n"/>
      <x:c r="EH1" s="95" t="n"/>
      <x:c r="EI1" s="95" t="n"/>
      <x:c r="EJ1" s="95" t="n"/>
      <x:c r="EK1" s="95" t="n"/>
      <x:c r="EL1" s="95" t="n"/>
      <x:c r="EM1" s="95" t="n"/>
      <x:c r="EN1" s="95" t="n"/>
      <x:c r="EO1" s="95" t="n"/>
      <x:c r="EP1" s="95" t="n"/>
      <x:c r="EQ1" s="95" t="n"/>
      <x:c r="ER1" s="95" t="n"/>
      <x:c r="ES1" s="95" t="n"/>
      <x:c r="ET1" s="95" t="n"/>
      <x:c r="EU1" s="95" t="n"/>
      <x:c r="EV1" s="95" t="n"/>
      <x:c r="EW1" s="95" t="n"/>
      <x:c r="EX1" s="95" t="n"/>
      <x:c r="EY1" s="95" t="n"/>
      <x:c r="EZ1" s="95" t="n"/>
      <x:c r="FA1" s="95" t="n"/>
      <x:c r="FB1" s="95" t="n"/>
      <x:c r="FC1" s="95" t="n"/>
      <x:c r="FD1" s="95" t="n"/>
      <x:c r="FE1" s="95" t="n"/>
      <x:c r="FF1" s="95" t="n"/>
      <x:c r="FG1" s="95" t="n"/>
      <x:c r="FH1" s="95" t="n"/>
      <x:c r="FI1" s="95" t="n"/>
      <x:c r="FJ1" s="95" t="n"/>
      <x:c r="FK1" s="95" t="n"/>
      <x:c r="FL1" s="95" t="n"/>
      <x:c r="FM1" s="95" t="n"/>
      <x:c r="FN1" s="95" t="n"/>
      <x:c r="FO1" s="95" t="n"/>
      <x:c r="FP1" s="95" t="n"/>
      <x:c r="FQ1" s="95" t="n"/>
      <x:c r="FR1" s="95" t="n"/>
      <x:c r="FS1" s="95" t="n"/>
      <x:c r="FT1" s="95" t="n"/>
      <x:c r="FU1" s="95" t="n"/>
      <x:c r="FV1" s="95" t="n"/>
      <x:c r="FW1" s="95" t="n"/>
      <x:c r="FX1" s="95" t="n"/>
    </x:row>
    <x:row r="2" s="62" customFormat="1" ht="12.75" customHeight="1">
      <x:c r="A2" s="614" t="inlineStr">
        <x:is>
          <x:t xml:space="preserve">7</x:t>
        </x:is>
      </x:c>
      <x:c r="B2" s="615" t="inlineStr">
        <x:is>
          <x:t xml:space="preserve">TRACT</x:t>
        </x:is>
      </x:c>
      <x:c r="C2" s="593" t="n"/>
      <x:c r="D2" s="616" t="inlineStr">
        <x:is>
          <x:t xml:space="preserve">NE/4 SW/4, containing 40 acres, more or less</x:t>
        </x:is>
      </x:c>
      <x:c r="E2" s="617" t="inlineStr">
        <x:is>
          <x:t xml:space="preserve">Image Number</x:t>
        </x:is>
      </x:c>
      <x:c r="F2" s="618" t="n"/>
      <x:c r="G2" s="63" t="n"/>
      <x:c r="H2" s="118" t="inlineStr">
        <x:is>
          <x:t xml:space="preserve">1931-001789</x:t>
        </x:is>
      </x:c>
      <x:c r="I2" s="118" t="inlineStr">
        <x:is>
          <x:t xml:space="preserve">1925-000406</x:t>
        </x:is>
      </x:c>
      <x:c r="J2" s="118" t="inlineStr">
        <x:is>
          <x:t xml:space="preserve">1949-003394</x:t>
        </x:is>
      </x:c>
      <x:c r="K2" s="118" t="inlineStr">
        <x:is>
          <x:t xml:space="preserve">1949-001867</x:t>
        </x:is>
      </x:c>
      <x:c r="L2" s="118" t="inlineStr">
        <x:is>
          <x:t xml:space="preserve">1950-000383</x:t>
        </x:is>
      </x:c>
      <x:c r="M2" s="118" t="inlineStr">
        <x:is>
          <x:t xml:space="preserve">1953-000493</x:t>
        </x:is>
      </x:c>
      <x:c r="N2" s="118" t="inlineStr">
        <x:is>
          <x:t xml:space="preserve">1962-001141</x:t>
        </x:is>
      </x:c>
      <x:c r="O2" s="118" t="inlineStr">
        <x:is>
          <x:t xml:space="preserve">1962-001145</x:t>
        </x:is>
      </x:c>
      <x:c r="P2" s="118" t="inlineStr">
        <x:is>
          <x:t xml:space="preserve">1962-001389</x:t>
        </x:is>
      </x:c>
      <x:c r="Q2" s="118" t="inlineStr">
        <x:is>
          <x:t xml:space="preserve">1962-001390</x:t>
        </x:is>
      </x:c>
      <x:c r="R2" s="118" t="inlineStr">
        <x:is>
          <x:t xml:space="preserve">1974-001639</x:t>
        </x:is>
      </x:c>
      <x:c r="S2" s="118" t="inlineStr">
        <x:is>
          <x:t xml:space="preserve">1974-001700</x:t>
        </x:is>
      </x:c>
      <x:c r="T2" s="118" t="inlineStr">
        <x:is>
          <x:t xml:space="preserve">1974-002044</x:t>
        </x:is>
      </x:c>
      <x:c r="U2" s="118" t="inlineStr">
        <x:is>
          <x:t xml:space="preserve">1975-000869</x:t>
        </x:is>
      </x:c>
      <x:c r="V2" s="118" t="inlineStr">
        <x:is>
          <x:t xml:space="preserve">1981-005180</x:t>
        </x:is>
      </x:c>
      <x:c r="W2" s="118" t="inlineStr">
        <x:is>
          <x:t xml:space="preserve">1981-005181</x:t>
        </x:is>
      </x:c>
      <x:c r="X2" s="118" t="inlineStr">
        <x:is>
          <x:t xml:space="preserve">1982-004342</x:t>
        </x:is>
      </x:c>
      <x:c r="Y2" s="118" t="inlineStr">
        <x:is>
          <x:t xml:space="preserve">1985-002650</x:t>
        </x:is>
      </x:c>
      <x:c r="Z2" s="118" t="inlineStr">
        <x:is>
          <x:t xml:space="preserve">1986-000268</x:t>
        </x:is>
      </x:c>
      <x:c r="AA2" s="118" t="inlineStr">
        <x:is>
          <x:t xml:space="preserve">1988-005620</x:t>
        </x:is>
      </x:c>
      <x:c r="AB2" s="118" t="inlineStr">
        <x:is>
          <x:t xml:space="preserve">1989-006590</x:t>
        </x:is>
      </x:c>
      <x:c r="AC2" s="118" t="inlineStr">
        <x:is>
          <x:t xml:space="preserve">1990-001925</x:t>
        </x:is>
      </x:c>
      <x:c r="AD2" s="118" t="inlineStr">
        <x:is>
          <x:t xml:space="preserve">1990-002146</x:t>
        </x:is>
      </x:c>
      <x:c r="AE2" s="118" t="inlineStr">
        <x:is>
          <x:t xml:space="preserve">1990-002451</x:t>
        </x:is>
      </x:c>
      <x:c r="AF2" s="118" t="inlineStr">
        <x:is>
          <x:t xml:space="preserve">1990-003160</x:t>
        </x:is>
      </x:c>
      <x:c r="AG2" s="118" t="inlineStr">
        <x:is>
          <x:t xml:space="preserve">1990-003924</x:t>
        </x:is>
      </x:c>
      <x:c r="AH2" s="118" t="inlineStr">
        <x:is>
          <x:t xml:space="preserve">1990-004213</x:t>
        </x:is>
      </x:c>
      <x:c r="AI2" s="118" t="inlineStr">
        <x:is>
          <x:t xml:space="preserve">1990-005042</x:t>
        </x:is>
      </x:c>
      <x:c r="AJ2" s="118" t="inlineStr">
        <x:is>
          <x:t xml:space="preserve">1990-005043</x:t>
        </x:is>
      </x:c>
      <x:c r="AK2" s="118" t="inlineStr">
        <x:is>
          <x:t xml:space="preserve">1990-006747</x:t>
        </x:is>
      </x:c>
      <x:c r="AL2" s="118" t="inlineStr">
        <x:is>
          <x:t xml:space="preserve">1992-001067</x:t>
        </x:is>
      </x:c>
      <x:c r="AM2" s="118" t="inlineStr">
        <x:is>
          <x:t xml:space="preserve">1992-001682</x:t>
        </x:is>
      </x:c>
      <x:c r="AN2" s="118" t="inlineStr">
        <x:is>
          <x:t xml:space="preserve">1992-003373</x:t>
        </x:is>
      </x:c>
      <x:c r="AO2" s="118" t="inlineStr">
        <x:is>
          <x:t xml:space="preserve">1993-000918</x:t>
        </x:is>
      </x:c>
      <x:c r="AP2" s="96" t="inlineStr">
        <x:is>
          <x:t xml:space="preserve">1994-006415</x:t>
        </x:is>
      </x:c>
      <x:c r="AQ2" s="96" t="inlineStr">
        <x:is>
          <x:t xml:space="preserve">1995-003404</x:t>
        </x:is>
      </x:c>
      <x:c r="AR2" s="96" t="inlineStr">
        <x:is>
          <x:t xml:space="preserve">2000-007685</x:t>
        </x:is>
      </x:c>
      <x:c r="AS2" s="96" t="inlineStr">
        <x:is>
          <x:t xml:space="preserve">2001-000957</x:t>
        </x:is>
      </x:c>
      <x:c r="AT2" s="96" t="inlineStr">
        <x:is>
          <x:t xml:space="preserve">2001-001414</x:t>
        </x:is>
      </x:c>
      <x:c r="AU2" s="96" t="inlineStr">
        <x:is>
          <x:t xml:space="preserve">2001-001463</x:t>
        </x:is>
      </x:c>
      <x:c r="AV2" s="96" t="inlineStr">
        <x:is>
          <x:t xml:space="preserve">2001-002342</x:t>
        </x:is>
      </x:c>
      <x:c r="AW2" s="96" t="inlineStr">
        <x:is>
          <x:t xml:space="preserve">2002-004595</x:t>
        </x:is>
      </x:c>
      <x:c r="AX2" s="96" t="inlineStr">
        <x:is>
          <x:t xml:space="preserve">2003-004945</x:t>
        </x:is>
      </x:c>
      <x:c r="AY2" s="96" t="inlineStr">
        <x:is>
          <x:t xml:space="preserve">2004-000099</x:t>
        </x:is>
      </x:c>
      <x:c r="AZ2" s="96" t="inlineStr">
        <x:is>
          <x:t xml:space="preserve">2004-005901</x:t>
        </x:is>
      </x:c>
      <x:c r="BA2" s="96" t="inlineStr">
        <x:is>
          <x:t xml:space="preserve">2005-000158</x:t>
        </x:is>
      </x:c>
      <x:c r="BB2" s="96" t="inlineStr">
        <x:is>
          <x:t xml:space="preserve">2005-007551</x:t>
        </x:is>
      </x:c>
      <x:c r="BC2" s="96" t="inlineStr">
        <x:is>
          <x:t xml:space="preserve">2006-000154</x:t>
        </x:is>
      </x:c>
      <x:c r="BD2" s="96" t="inlineStr">
        <x:is>
          <x:t xml:space="preserve">2013-000518</x:t>
        </x:is>
      </x:c>
      <x:c r="BE2" s="96" t="inlineStr">
        <x:is>
          <x:t xml:space="preserve">2013-006585</x:t>
        </x:is>
      </x:c>
      <x:c r="BF2" s="96" t="inlineStr">
        <x:is>
          <x:t xml:space="preserve">2014-003089</x:t>
        </x:is>
      </x:c>
      <x:c r="BG2" s="96" t="inlineStr">
        <x:is>
          <x:t xml:space="preserve">2018-002650</x:t>
        </x:is>
      </x:c>
      <x:c r="BH2" s="96" t="inlineStr">
        <x:is>
          <x:t xml:space="preserve">2026-002877</x:t>
        </x:is>
      </x:c>
      <x:c r="BI2" s="96" t="inlineStr">
        <x:is>
          <x:t xml:space="preserve">2020-001374</x:t>
        </x:is>
      </x:c>
      <x:c r="BJ2" s="96" t="inlineStr">
        <x:is>
          <x:t xml:space="preserve">2021-001068</x:t>
        </x:is>
      </x:c>
      <x:c r="BK2" s="96" t="inlineStr">
        <x:is>
          <x:t xml:space="preserve">2025-001343</x:t>
        </x:is>
      </x:c>
      <x:c r="BL2" s="96" t="inlineStr">
        <x:is>
          <x:t xml:space="preserve">2026-000691</x:t>
        </x:is>
      </x:c>
      <x:c r="BM2" s="96" t="inlineStr">
        <x:is>
          <x:t xml:space="preserve">2026-001374</x:t>
        </x:is>
      </x:c>
      <x:c r="BN2" s="96" t="inlineStr">
        <x:is>
          <x:t xml:space="preserve">1918-000943</x:t>
        </x:is>
      </x:c>
      <x:c r="BO2" s="96" t="inlineStr">
        <x:is>
          <x:t xml:space="preserve">1949-000809</x:t>
        </x:is>
      </x:c>
      <x:c r="BP2" s="96" t="inlineStr">
        <x:is>
          <x:t xml:space="preserve">1949-000814</x:t>
        </x:is>
      </x:c>
      <x:c r="BQ2" s="96" t="inlineStr">
        <x:is>
          <x:t xml:space="preserve">1967-002816</x:t>
        </x:is>
      </x:c>
      <x:c r="BR2" s="96" t="inlineStr">
        <x:is>
          <x:t xml:space="preserve">1931-001789</x:t>
        </x:is>
      </x:c>
      <x:c r="BS2" s="96" t="n"/>
      <x:c r="BT2" s="96" t="n"/>
      <x:c r="BU2" s="96" t="n"/>
      <x:c r="BV2" s="96" t="n"/>
      <x:c r="BW2" s="96" t="n"/>
      <x:c r="BX2" s="96" t="n"/>
      <x:c r="BY2" s="96" t="n"/>
      <x:c r="BZ2" s="96" t="n"/>
      <x:c r="CA2" s="96" t="n"/>
      <x:c r="CB2" s="96" t="n"/>
      <x:c r="CC2" s="96" t="n"/>
      <x:c r="CD2" s="96" t="n"/>
      <x:c r="CE2" s="96" t="n"/>
      <x:c r="CF2" s="96" t="n"/>
      <x:c r="CG2" s="96" t="n"/>
      <x:c r="CH2" s="96" t="n"/>
      <x:c r="CI2" s="96" t="n"/>
      <x:c r="CJ2" s="96" t="n"/>
      <x:c r="CK2" s="96" t="n"/>
      <x:c r="CL2" s="96" t="n"/>
      <x:c r="CM2" s="96" t="n"/>
      <x:c r="CN2" s="96" t="n"/>
      <x:c r="CO2" s="96" t="n"/>
      <x:c r="CP2" s="96" t="n"/>
      <x:c r="CQ2" s="96" t="n"/>
      <x:c r="CR2" s="96" t="n"/>
      <x:c r="CS2" s="96" t="n"/>
      <x:c r="CT2" s="96" t="n"/>
      <x:c r="CU2" s="96" t="n"/>
      <x:c r="CV2" s="96" t="n"/>
      <x:c r="CW2" s="96" t="n"/>
      <x:c r="CX2" s="96" t="n"/>
      <x:c r="CY2" s="96" t="n"/>
      <x:c r="CZ2" s="96" t="n"/>
      <x:c r="DA2" s="96" t="n"/>
      <x:c r="DB2" s="96" t="n"/>
      <x:c r="DC2" s="96" t="n"/>
      <x:c r="DD2" s="96" t="n"/>
      <x:c r="DE2" s="96" t="n"/>
      <x:c r="DF2" s="96" t="n"/>
      <x:c r="DG2" s="96" t="n"/>
      <x:c r="DH2" s="96" t="n"/>
      <x:c r="DI2" s="96" t="n"/>
      <x:c r="DJ2" s="96" t="n"/>
      <x:c r="DK2" s="96" t="n"/>
      <x:c r="DL2" s="96" t="n"/>
      <x:c r="DM2" s="96" t="n"/>
      <x:c r="DN2" s="96" t="n"/>
      <x:c r="DO2" s="96" t="n"/>
      <x:c r="DP2" s="96" t="n"/>
      <x:c r="DQ2" s="96" t="n"/>
      <x:c r="DR2" s="96" t="n"/>
      <x:c r="DS2" s="96" t="n"/>
      <x:c r="DT2" s="96" t="n"/>
      <x:c r="DU2" s="96" t="n"/>
      <x:c r="DV2" s="96" t="n"/>
      <x:c r="DW2" s="96" t="n"/>
      <x:c r="DX2" s="96" t="n"/>
      <x:c r="DY2" s="96" t="n"/>
      <x:c r="DZ2" s="96" t="n"/>
      <x:c r="EA2" s="96" t="n"/>
      <x:c r="EB2" s="96" t="n"/>
      <x:c r="EC2" s="96" t="n"/>
      <x:c r="ED2" s="96" t="n"/>
      <x:c r="EE2" s="96" t="n"/>
      <x:c r="EF2" s="96" t="n"/>
      <x:c r="EG2" s="96" t="n"/>
      <x:c r="EH2" s="96" t="n"/>
      <x:c r="EI2" s="96" t="n"/>
      <x:c r="EJ2" s="96" t="n"/>
      <x:c r="EK2" s="96" t="n"/>
      <x:c r="EL2" s="96" t="n"/>
      <x:c r="EM2" s="96" t="n"/>
      <x:c r="EN2" s="96" t="n"/>
      <x:c r="EO2" s="96" t="n"/>
      <x:c r="EP2" s="96" t="n"/>
      <x:c r="EQ2" s="96" t="n"/>
      <x:c r="ER2" s="96" t="n"/>
      <x:c r="ES2" s="96" t="n"/>
      <x:c r="ET2" s="96" t="n"/>
      <x:c r="EU2" s="96" t="n"/>
      <x:c r="EV2" s="96" t="n"/>
      <x:c r="EW2" s="96" t="n"/>
      <x:c r="EX2" s="96" t="n"/>
      <x:c r="EY2" s="96" t="n"/>
      <x:c r="EZ2" s="96" t="n"/>
      <x:c r="FA2" s="96" t="n"/>
      <x:c r="FB2" s="96" t="n"/>
      <x:c r="FC2" s="96" t="n"/>
      <x:c r="FD2" s="96" t="n"/>
      <x:c r="FE2" s="96" t="n"/>
      <x:c r="FF2" s="96" t="n"/>
      <x:c r="FG2" s="96" t="n"/>
      <x:c r="FH2" s="96" t="n"/>
      <x:c r="FI2" s="96" t="n"/>
      <x:c r="FJ2" s="96" t="n"/>
      <x:c r="FK2" s="96" t="n"/>
      <x:c r="FL2" s="96" t="n"/>
      <x:c r="FM2" s="96" t="n"/>
      <x:c r="FN2" s="96" t="n"/>
      <x:c r="FO2" s="96" t="n"/>
      <x:c r="FP2" s="96" t="n"/>
      <x:c r="FQ2" s="96" t="n"/>
      <x:c r="FR2" s="96" t="n"/>
      <x:c r="FS2" s="96" t="n"/>
      <x:c r="FT2" s="96" t="n"/>
      <x:c r="FU2" s="96" t="n"/>
      <x:c r="FV2" s="96" t="n"/>
      <x:c r="FW2" s="96" t="n"/>
      <x:c r="FX2" s="96" t="n"/>
      <x:c r="FY2" s="59" t="n"/>
      <x:c r="FZ2" s="59" t="n"/>
      <x:c r="GA2" s="59" t="n"/>
    </x:row>
    <x:row r="3" s="62" customFormat="1" ht="23.100000381469727" customHeight="1">
      <x:c r="A3" s="619" t="n"/>
      <x:c r="B3" s="620" t="inlineStr">
        <x:is>
          <x:t xml:space="preserve">DESCRIPTION</x:t>
        </x:is>
      </x:c>
      <x:c r="C3" s="593" t="n"/>
      <x:c r="D3" s="621" t="n"/>
      <x:c r="E3" s="622" t="inlineStr">
        <x:is>
          <x:t xml:space="preserve">Book / Page </x:t>
        </x:is>
      </x:c>
      <x:c r="F3" s="618" t="n"/>
      <x:c r="G3" s="63" t="n"/>
      <x:c r="H3" s="6" t="inlineStr">
        <x:is>
          <x:t xml:space="preserve">PAT7/374</x:t>
        </x:is>
      </x:c>
      <x:c r="I3" s="6" t="inlineStr">
        <x:is>
          <x:t xml:space="preserve">D34/104</x:t>
        </x:is>
      </x:c>
      <x:c r="J3" s="6" t="inlineStr">
        <x:is>
          <x:t xml:space="preserve">QCD5/92</x:t>
        </x:is>
      </x:c>
      <x:c r="K3" s="6" t="inlineStr">
        <x:is>
          <x:t xml:space="preserve">D63/97</x:t>
        </x:is>
      </x:c>
      <x:c r="L3" s="6" t="inlineStr">
        <x:is>
          <x:t xml:space="preserve">D59/410</x:t>
        </x:is>
      </x:c>
      <x:c r="M3" s="6" t="inlineStr">
        <x:is>
          <x:t xml:space="preserve">D67/154</x:t>
        </x:is>
      </x:c>
      <x:c r="N3" s="6" t="inlineStr">
        <x:is>
          <x:t xml:space="preserve">MIS47/164</x:t>
        </x:is>
      </x:c>
      <x:c r="O3" s="6" t="inlineStr">
        <x:is>
          <x:t xml:space="preserve">MIS47/169</x:t>
        </x:is>
      </x:c>
      <x:c r="P3" s="6" t="inlineStr">
        <x:is>
          <x:t xml:space="preserve">MIS47/558</x:t>
        </x:is>
      </x:c>
      <x:c r="Q3" s="6" t="inlineStr">
        <x:is>
          <x:t xml:space="preserve">MIS47/559</x:t>
        </x:is>
      </x:c>
      <x:c r="R3" s="6" t="inlineStr">
        <x:is>
          <x:t xml:space="preserve">163/565</x:t>
        </x:is>
      </x:c>
      <x:c r="S3" s="6" t="inlineStr">
        <x:is>
          <x:t xml:space="preserve">164/66</x:t>
        </x:is>
      </x:c>
      <x:c r="T3" s="6" t="inlineStr">
        <x:is>
          <x:t xml:space="preserve">165/87</x:t>
        </x:is>
      </x:c>
      <x:c r="U3" s="6" t="inlineStr">
        <x:is>
          <x:t xml:space="preserve">176/144</x:t>
        </x:is>
      </x:c>
      <x:c r="V3" s="6" t="inlineStr">
        <x:is>
          <x:t xml:space="preserve">341/154</x:t>
        </x:is>
      </x:c>
      <x:c r="W3" s="6" t="inlineStr">
        <x:is>
          <x:t xml:space="preserve">341/155</x:t>
        </x:is>
      </x:c>
      <x:c r="X3" s="6" t="inlineStr">
        <x:is>
          <x:t xml:space="preserve">432/110</x:t>
        </x:is>
      </x:c>
      <x:c r="Y3" s="6" t="inlineStr">
        <x:is>
          <x:t xml:space="preserve">710/34</x:t>
        </x:is>
      </x:c>
      <x:c r="Z3" s="6" t="inlineStr">
        <x:is>
          <x:t xml:space="preserve">781/183</x:t>
        </x:is>
      </x:c>
      <x:c r="AA3" s="6" t="inlineStr">
        <x:is>
          <x:t xml:space="preserve">998/204</x:t>
        </x:is>
      </x:c>
      <x:c r="AB3" s="118" t="inlineStr">
        <x:is>
          <x:t xml:space="preserve">1100/48</x:t>
        </x:is>
      </x:c>
      <x:c r="AC3" s="118" t="inlineStr">
        <x:is>
          <x:t xml:space="preserve">1126/98</x:t>
        </x:is>
      </x:c>
      <x:c r="AD3" s="6" t="inlineStr">
        <x:is>
          <x:t xml:space="preserve">1128/39</x:t>
        </x:is>
      </x:c>
      <x:c r="AE3" s="6" t="inlineStr">
        <x:is>
          <x:t xml:space="preserve">1131/89</x:t>
        </x:is>
      </x:c>
      <x:c r="AF3" s="6" t="inlineStr">
        <x:is>
          <x:t xml:space="preserve">1140/26</x:t>
        </x:is>
      </x:c>
      <x:c r="AG3" s="6" t="inlineStr">
        <x:is>
          <x:t xml:space="preserve">1147/242</x:t>
        </x:is>
      </x:c>
      <x:c r="AH3" s="6" t="inlineStr">
        <x:is>
          <x:t xml:space="preserve">1151/107</x:t>
        </x:is>
      </x:c>
      <x:c r="AI3" s="6" t="inlineStr">
        <x:is>
          <x:t xml:space="preserve">1159/224</x:t>
        </x:is>
      </x:c>
      <x:c r="AJ3" s="6" t="inlineStr">
        <x:is>
          <x:t xml:space="preserve">1159/225</x:t>
        </x:is>
      </x:c>
      <x:c r="AK3" s="6" t="inlineStr">
        <x:is>
          <x:t xml:space="preserve">1176/54</x:t>
        </x:is>
      </x:c>
      <x:c r="AL3" s="118" t="inlineStr">
        <x:is>
          <x:t xml:space="preserve">1267/168</x:t>
        </x:is>
      </x:c>
      <x:c r="AM3" s="5" t="inlineStr">
        <x:is>
          <x:t xml:space="preserve">1274/277</x:t>
        </x:is>
      </x:c>
      <x:c r="AN3" s="118" t="inlineStr">
        <x:is>
          <x:t xml:space="preserve">1294/169</x:t>
        </x:is>
      </x:c>
      <x:c r="AO3" s="118" t="inlineStr">
        <x:is>
          <x:t xml:space="preserve">1324/22</x:t>
        </x:is>
      </x:c>
      <x:c r="AP3" s="107" t="inlineStr">
        <x:is>
          <x:t xml:space="preserve">1422/9</x:t>
        </x:is>
      </x:c>
      <x:c r="AQ3" s="107" t="inlineStr">
        <x:is>
          <x:t xml:space="preserve">1457/173</x:t>
        </x:is>
      </x:c>
      <x:c r="AR3" s="108" t="inlineStr">
        <x:is>
          <x:t xml:space="preserve">1611/503</x:t>
        </x:is>
      </x:c>
      <x:c r="AS3" s="107" t="inlineStr">
        <x:is>
          <x:t xml:space="preserve">1637/26</x:t>
        </x:is>
      </x:c>
      <x:c r="AT3" s="107" t="inlineStr">
        <x:is>
          <x:t xml:space="preserve">1639/206</x:t>
        </x:is>
      </x:c>
      <x:c r="AU3" s="96" t="inlineStr">
        <x:is>
          <x:t xml:space="preserve">1639/426</x:t>
        </x:is>
      </x:c>
      <x:c r="AV3" s="96" t="inlineStr">
        <x:is>
          <x:t xml:space="preserve">1643/389</x:t>
        </x:is>
      </x:c>
      <x:c r="AW3" s="96" t="inlineStr">
        <x:is>
          <x:t xml:space="preserve">1695/238</x:t>
        </x:is>
      </x:c>
      <x:c r="AX3" s="96" t="inlineStr">
        <x:is>
          <x:t xml:space="preserve">1724/582</x:t>
        </x:is>
      </x:c>
      <x:c r="AY3" s="96" t="inlineStr">
        <x:is>
          <x:t xml:space="preserve">1734/14</x:t>
        </x:is>
      </x:c>
      <x:c r="AZ3" s="96" t="inlineStr">
        <x:is>
          <x:t xml:space="preserve">1765/306</x:t>
        </x:is>
      </x:c>
      <x:c r="BA3" s="96" t="inlineStr">
        <x:is>
          <x:t xml:space="preserve">1774/309</x:t>
        </x:is>
      </x:c>
      <x:c r="BB3" s="96" t="inlineStr">
        <x:is>
          <x:t xml:space="preserve">1812/138</x:t>
        </x:is>
      </x:c>
      <x:c r="BC3" s="96" t="inlineStr">
        <x:is>
          <x:t xml:space="preserve">1819/157</x:t>
        </x:is>
      </x:c>
      <x:c r="BD3" s="96" t="inlineStr">
        <x:is>
          <x:t xml:space="preserve">2177/33</x:t>
        </x:is>
      </x:c>
      <x:c r="BE3" s="96" t="inlineStr">
        <x:is>
          <x:t xml:space="preserve">2224/382</x:t>
        </x:is>
      </x:c>
      <x:c r="BF3" s="96" t="inlineStr">
        <x:is>
          <x:t xml:space="preserve">2251/529</x:t>
        </x:is>
      </x:c>
      <x:c r="BG3" s="96" t="inlineStr">
        <x:is>
          <x:t xml:space="preserve">2406/228</x:t>
        </x:is>
      </x:c>
      <x:c r="BH3" s="96" t="inlineStr">
        <x:is>
          <x:t xml:space="preserve">2700/395</x:t>
        </x:is>
      </x:c>
      <x:c r="BI3" s="96" t="inlineStr">
        <x:is>
          <x:t xml:space="preserve">2450/598</x:t>
        </x:is>
      </x:c>
      <x:c r="BJ3" s="96" t="inlineStr">
        <x:is>
          <x:t xml:space="preserve">2467/476</x:t>
        </x:is>
      </x:c>
      <x:c r="BK3" s="96" t="inlineStr">
        <x:is>
          <x:t xml:space="preserve">2617/228</x:t>
        </x:is>
      </x:c>
      <x:c r="BL3" s="96" t="inlineStr">
        <x:is>
          <x:t xml:space="preserve">2682/183</x:t>
        </x:is>
      </x:c>
      <x:c r="BM3" s="96" t="inlineStr">
        <x:is>
          <x:t xml:space="preserve">2688/409</x:t>
        </x:is>
      </x:c>
      <x:c r="BN3" s="96" t="inlineStr">
        <x:is>
          <x:t xml:space="preserve">D27/477</x:t>
        </x:is>
      </x:c>
      <x:c r="BO3" s="96" t="inlineStr">
        <x:is>
          <x:t xml:space="preserve">D59/246</x:t>
        </x:is>
      </x:c>
      <x:c r="BP3" s="96" t="inlineStr">
        <x:is>
          <x:t xml:space="preserve">D59/251</x:t>
        </x:is>
      </x:c>
      <x:c r="BQ3" s="96" t="inlineStr">
        <x:is>
          <x:t xml:space="preserve">MIS86/33</x:t>
        </x:is>
      </x:c>
      <x:c r="BR3" s="96" t="inlineStr">
        <x:is>
          <x:t xml:space="preserve">PAT7/374</x:t>
        </x:is>
      </x:c>
      <x:c r="BS3" s="96" t="n"/>
      <x:c r="BT3" s="96" t="n"/>
      <x:c r="BU3" s="96" t="n"/>
      <x:c r="BV3" s="96" t="n"/>
      <x:c r="BW3" s="96" t="n"/>
      <x:c r="BX3" s="96" t="n"/>
      <x:c r="BY3" s="96" t="n"/>
      <x:c r="BZ3" s="96" t="n"/>
      <x:c r="CA3" s="96" t="n"/>
      <x:c r="CB3" s="96" t="n"/>
      <x:c r="CC3" s="96" t="n"/>
      <x:c r="CD3" s="96" t="n"/>
      <x:c r="CE3" s="96" t="n"/>
      <x:c r="CF3" s="96" t="n"/>
      <x:c r="CG3" s="96" t="n"/>
      <x:c r="CH3" s="96" t="n"/>
      <x:c r="CI3" s="96" t="n"/>
      <x:c r="CJ3" s="96" t="n"/>
      <x:c r="CK3" s="96" t="n"/>
      <x:c r="CL3" s="96" t="n"/>
      <x:c r="CM3" s="96" t="n"/>
      <x:c r="CN3" s="96" t="n"/>
      <x:c r="CO3" s="96" t="n"/>
      <x:c r="CP3" s="96" t="n"/>
      <x:c r="CQ3" s="96" t="n"/>
      <x:c r="CR3" s="96" t="n"/>
      <x:c r="CS3" s="96" t="n"/>
      <x:c r="CT3" s="96" t="n"/>
      <x:c r="CU3" s="96" t="n"/>
      <x:c r="CV3" s="96" t="n"/>
      <x:c r="CW3" s="96" t="n"/>
      <x:c r="CX3" s="96" t="n"/>
      <x:c r="CY3" s="96" t="n"/>
      <x:c r="CZ3" s="96" t="n"/>
      <x:c r="DA3" s="96" t="n"/>
      <x:c r="DB3" s="96" t="n"/>
      <x:c r="DC3" s="96" t="n"/>
      <x:c r="DD3" s="96" t="n"/>
      <x:c r="DE3" s="96" t="n"/>
      <x:c r="DF3" s="96" t="n"/>
      <x:c r="DG3" s="96" t="n"/>
      <x:c r="DH3" s="96" t="n"/>
      <x:c r="DI3" s="96" t="n"/>
      <x:c r="DJ3" s="96" t="n"/>
      <x:c r="DK3" s="96" t="n"/>
      <x:c r="DL3" s="96" t="n"/>
      <x:c r="DM3" s="96" t="n"/>
      <x:c r="DN3" s="96" t="n"/>
      <x:c r="DO3" s="96" t="n"/>
      <x:c r="DP3" s="96" t="n"/>
      <x:c r="DQ3" s="96" t="n"/>
      <x:c r="DR3" s="96" t="n"/>
      <x:c r="DS3" s="96" t="n"/>
      <x:c r="DT3" s="96" t="n"/>
      <x:c r="DU3" s="96" t="n"/>
      <x:c r="DV3" s="96" t="n"/>
      <x:c r="DW3" s="96" t="n"/>
      <x:c r="DX3" s="96" t="n"/>
      <x:c r="DY3" s="96" t="n"/>
      <x:c r="DZ3" s="96" t="n"/>
      <x:c r="EA3" s="96" t="n"/>
      <x:c r="EB3" s="96" t="n"/>
      <x:c r="EC3" s="96" t="n"/>
      <x:c r="ED3" s="96" t="n"/>
      <x:c r="EE3" s="96" t="n"/>
      <x:c r="EF3" s="96" t="n"/>
      <x:c r="EG3" s="96" t="n"/>
      <x:c r="EH3" s="96" t="n"/>
      <x:c r="EI3" s="96" t="n"/>
      <x:c r="EJ3" s="96" t="n"/>
      <x:c r="EK3" s="96" t="n"/>
      <x:c r="EL3" s="96" t="n"/>
      <x:c r="EM3" s="96" t="n"/>
      <x:c r="EN3" s="96" t="n"/>
      <x:c r="EO3" s="96" t="n"/>
      <x:c r="EP3" s="96" t="n"/>
      <x:c r="EQ3" s="96" t="n"/>
      <x:c r="ER3" s="96" t="n"/>
      <x:c r="ES3" s="96" t="n"/>
      <x:c r="ET3" s="96" t="n"/>
      <x:c r="EU3" s="96" t="n"/>
      <x:c r="EV3" s="96" t="n"/>
      <x:c r="EW3" s="96" t="n"/>
      <x:c r="EX3" s="96" t="n"/>
      <x:c r="EY3" s="96" t="n"/>
      <x:c r="EZ3" s="96" t="n"/>
      <x:c r="FA3" s="96" t="n"/>
      <x:c r="FB3" s="96" t="n"/>
      <x:c r="FC3" s="96" t="n"/>
      <x:c r="FD3" s="96" t="n"/>
      <x:c r="FE3" s="96" t="n"/>
      <x:c r="FF3" s="96" t="n"/>
      <x:c r="FG3" s="96" t="n"/>
      <x:c r="FH3" s="96" t="n"/>
      <x:c r="FI3" s="96" t="n"/>
      <x:c r="FJ3" s="96" t="n"/>
      <x:c r="FK3" s="96" t="n"/>
      <x:c r="FL3" s="96" t="n"/>
      <x:c r="FM3" s="96" t="n"/>
      <x:c r="FN3" s="96" t="n"/>
      <x:c r="FO3" s="96" t="n"/>
      <x:c r="FP3" s="96" t="n"/>
      <x:c r="FQ3" s="96" t="n"/>
      <x:c r="FR3" s="96" t="n"/>
      <x:c r="FS3" s="96" t="n"/>
      <x:c r="FT3" s="96" t="n"/>
      <x:c r="FU3" s="96" t="n"/>
      <x:c r="FV3" s="96" t="n"/>
      <x:c r="FW3" s="96" t="n"/>
      <x:c r="FX3" s="96" t="n"/>
      <x:c r="FY3" s="59" t="n"/>
      <x:c r="FZ3" s="59" t="n"/>
      <x:c r="GA3" s="59" t="n"/>
    </x:row>
    <x:row r="4" s="62" customFormat="1" ht="12.75" customHeight="1">
      <x:c r="A4" s="619" t="n"/>
      <x:c r="B4" s="623" t="n"/>
      <x:c r="C4" s="593" t="n"/>
      <x:c r="D4" s="624" t="n"/>
      <x:c r="E4" s="491" t="inlineStr">
        <x:is>
          <x:t xml:space="preserve">Date </x:t>
        </x:is>
      </x:c>
      <x:c r="F4" s="618" t="n"/>
      <x:c r="G4" s="60" t="n"/>
      <x:c r="H4" s="5" t="n">
        <x:v>2917</x:v>
      </x:c>
      <x:c r="I4" s="5" t="inlineStr">
        <x:is>
          <x:t xml:space="preserve">1/5/1925</x:t>
        </x:is>
      </x:c>
      <x:c r="J4" s="5" t="inlineStr">
        <x:is>
          <x:t xml:space="preserve">6/7/1949</x:t>
        </x:is>
      </x:c>
      <x:c r="K4" s="5" t="inlineStr">
        <x:is>
          <x:t xml:space="preserve">9/29/1949</x:t>
        </x:is>
      </x:c>
      <x:c r="L4" s="5" t="inlineStr">
        <x:is>
          <x:t xml:space="preserve">6/6/1950</x:t>
        </x:is>
      </x:c>
      <x:c r="M4" s="5" t="inlineStr">
        <x:is>
          <x:t xml:space="preserve">2/6/1953</x:t>
        </x:is>
      </x:c>
      <x:c r="N4" s="5" t="inlineStr">
        <x:is>
          <x:t xml:space="preserve">9/17/1962</x:t>
        </x:is>
      </x:c>
      <x:c r="O4" s="5" t="inlineStr">
        <x:is>
          <x:t xml:space="preserve">9/17/1962</x:t>
        </x:is>
      </x:c>
      <x:c r="P4" s="5" t="inlineStr">
        <x:is>
          <x:t xml:space="preserve">10/19/1962</x:t>
        </x:is>
      </x:c>
      <x:c r="Q4" s="5" t="inlineStr">
        <x:is>
          <x:t xml:space="preserve">10/19/1962</x:t>
        </x:is>
      </x:c>
      <x:c r="R4" s="5" t="inlineStr">
        <x:is>
          <x:t xml:space="preserve">5/14/1974</x:t>
        </x:is>
      </x:c>
      <x:c r="S4" s="5" t="inlineStr">
        <x:is>
          <x:t xml:space="preserve">5/22/1974</x:t>
        </x:is>
      </x:c>
      <x:c r="T4" s="5" t="inlineStr">
        <x:is>
          <x:t xml:space="preserve">6/27/1974</x:t>
        </x:is>
      </x:c>
      <x:c r="U4" s="5" t="inlineStr">
        <x:is>
          <x:t xml:space="preserve">3/28/1975</x:t>
        </x:is>
      </x:c>
      <x:c r="V4" s="5" t="inlineStr">
        <x:is>
          <x:t xml:space="preserve">5/8/1981</x:t>
        </x:is>
      </x:c>
      <x:c r="W4" s="5" t="inlineStr">
        <x:is>
          <x:t xml:space="preserve">5/8/1981</x:t>
        </x:is>
      </x:c>
      <x:c r="X4" s="5" t="inlineStr">
        <x:is>
          <x:t xml:space="preserve">4/13/1982</x:t>
        </x:is>
      </x:c>
      <x:c r="Y4" s="5" t="inlineStr">
        <x:is>
          <x:t xml:space="preserve">4/21/1985</x:t>
        </x:is>
      </x:c>
      <x:c r="Z4" s="5" t="inlineStr">
        <x:is>
          <x:t xml:space="preserve">1/6/1986</x:t>
        </x:is>
      </x:c>
      <x:c r="AA4" s="5" t="inlineStr">
        <x:is>
          <x:t xml:space="preserve">9/19/1988</x:t>
        </x:is>
      </x:c>
      <x:c r="AB4" s="120" t="inlineStr">
        <x:is>
          <x:t xml:space="preserve">12/5/1989</x:t>
        </x:is>
      </x:c>
      <x:c r="AC4" s="120" t="inlineStr">
        <x:is>
          <x:t xml:space="preserve">4/6/1990</x:t>
        </x:is>
      </x:c>
      <x:c r="AD4" s="5" t="inlineStr">
        <x:is>
          <x:t xml:space="preserve">4/12/1990</x:t>
        </x:is>
      </x:c>
      <x:c r="AE4" s="5" t="inlineStr">
        <x:is>
          <x:t xml:space="preserve">4/30/1990</x:t>
        </x:is>
      </x:c>
      <x:c r="AF4" s="5" t="inlineStr">
        <x:is>
          <x:t xml:space="preserve">6/1/1990</x:t>
        </x:is>
      </x:c>
      <x:c r="AG4" s="5" t="inlineStr">
        <x:is>
          <x:t xml:space="preserve">7/5/1990</x:t>
        </x:is>
      </x:c>
      <x:c r="AH4" s="5" t="inlineStr">
        <x:is>
          <x:t xml:space="preserve">7/19/1990</x:t>
        </x:is>
      </x:c>
      <x:c r="AI4" s="5" t="inlineStr">
        <x:is>
          <x:t xml:space="preserve">8/29/1990</x:t>
        </x:is>
      </x:c>
      <x:c r="AJ4" s="5" t="inlineStr">
        <x:is>
          <x:t xml:space="preserve">8/29/1990</x:t>
        </x:is>
      </x:c>
      <x:c r="AK4" s="5" t="inlineStr">
        <x:is>
          <x:t xml:space="preserve">11/28/1990</x:t>
        </x:is>
      </x:c>
      <x:c r="AL4" s="120" t="inlineStr">
        <x:is>
          <x:t xml:space="preserve">3/30/1992</x:t>
        </x:is>
      </x:c>
      <x:c r="AM4" s="5" t="inlineStr">
        <x:is>
          <x:t xml:space="preserve">5/13/1992</x:t>
        </x:is>
      </x:c>
      <x:c r="AN4" s="120" t="inlineStr">
        <x:is>
          <x:t xml:space="preserve">9/10/1992</x:t>
        </x:is>
      </x:c>
      <x:c r="AO4" s="120" t="inlineStr">
        <x:is>
          <x:t xml:space="preserve">3/4/1993</x:t>
        </x:is>
      </x:c>
      <x:c r="AP4" s="108" t="inlineStr">
        <x:is>
          <x:t xml:space="preserve">7/27/1994</x:t>
        </x:is>
      </x:c>
      <x:c r="AQ4" s="108" t="inlineStr">
        <x:is>
          <x:t xml:space="preserve">2/24/1995</x:t>
        </x:is>
      </x:c>
      <x:c r="AR4" s="108" t="inlineStr">
        <x:is>
          <x:t xml:space="preserve">5/1/2000</x:t>
        </x:is>
      </x:c>
      <x:c r="AS4" s="108" t="inlineStr">
        <x:is>
          <x:t xml:space="preserve">1/31/2001</x:t>
        </x:is>
      </x:c>
      <x:c r="AT4" s="108" t="inlineStr">
        <x:is>
          <x:t xml:space="preserve">3/7/2001</x:t>
        </x:is>
      </x:c>
      <x:c r="AU4" s="97" t="inlineStr">
        <x:is>
          <x:t xml:space="preserve">3/13/2001</x:t>
        </x:is>
      </x:c>
      <x:c r="AV4" s="97" t="inlineStr">
        <x:is>
          <x:t xml:space="preserve">5/3/2001</x:t>
        </x:is>
      </x:c>
      <x:c r="AW4" s="97" t="inlineStr">
        <x:is>
          <x:t xml:space="preserve">11/26/2002</x:t>
        </x:is>
      </x:c>
      <x:c r="AX4" s="97" t="inlineStr">
        <x:is>
          <x:t xml:space="preserve">8/15/2003</x:t>
        </x:is>
      </x:c>
      <x:c r="AY4" s="97" t="inlineStr">
        <x:is>
          <x:t xml:space="preserve">1/4/2004</x:t>
        </x:is>
      </x:c>
      <x:c r="AZ4" s="97" t="inlineStr">
        <x:is>
          <x:t xml:space="preserve">10/15/2004</x:t>
        </x:is>
      </x:c>
      <x:c r="BA4" s="97" t="inlineStr">
        <x:is>
          <x:t xml:space="preserve">1/10/2005</x:t>
        </x:is>
      </x:c>
      <x:c r="BB4" s="97" t="inlineStr">
        <x:is>
          <x:t xml:space="preserve">10/25/2005</x:t>
        </x:is>
      </x:c>
      <x:c r="BC4" s="97" t="inlineStr">
        <x:is>
          <x:t xml:space="preserve">12/13/2005</x:t>
        </x:is>
      </x:c>
      <x:c r="BD4" s="97" t="inlineStr">
        <x:is>
          <x:t xml:space="preserve">1/16/2013</x:t>
        </x:is>
      </x:c>
      <x:c r="BE4" s="97" t="inlineStr">
        <x:is>
          <x:t xml:space="preserve">7/31/2013</x:t>
        </x:is>
      </x:c>
      <x:c r="BF4" s="97" t="inlineStr">
        <x:is>
          <x:t xml:space="preserve">4/17/2014</x:t>
        </x:is>
      </x:c>
      <x:c r="BG4" s="97" t="inlineStr">
        <x:is>
          <x:t xml:space="preserve">9/20/2018</x:t>
        </x:is>
      </x:c>
      <x:c r="BH4" s="97" t="inlineStr">
        <x:is>
          <x:t xml:space="preserve">2/4/2019</x:t>
        </x:is>
      </x:c>
      <x:c r="BI4" s="97" t="inlineStr">
        <x:is>
          <x:t xml:space="preserve">8/28/2020</x:t>
        </x:is>
      </x:c>
      <x:c r="BJ4" s="97" t="inlineStr">
        <x:is>
          <x:t xml:space="preserve">6/1/2021</x:t>
        </x:is>
      </x:c>
      <x:c r="BK4" s="97" t="inlineStr">
        <x:is>
          <x:t xml:space="preserve">3/10/2025</x:t>
        </x:is>
      </x:c>
      <x:c r="BL4" s="97" t="inlineStr">
        <x:is>
          <x:t xml:space="preserve">11/10/2025</x:t>
        </x:is>
      </x:c>
      <x:c r="BM4" s="97" t="inlineStr">
        <x:is>
          <x:t xml:space="preserve">3/3/2026</x:t>
        </x:is>
      </x:c>
      <x:c r="BN4" s="97" t="inlineStr">
        <x:is>
          <x:t xml:space="preserve">12/24/1917</x:t>
        </x:is>
      </x:c>
      <x:c r="BO4" s="97" t="inlineStr">
        <x:is>
          <x:t xml:space="preserve">4/27/1949</x:t>
        </x:is>
      </x:c>
      <x:c r="BP4" s="97" t="inlineStr">
        <x:is>
          <x:t xml:space="preserve">2/21/1949</x:t>
        </x:is>
      </x:c>
      <x:c r="BQ4" s="97" t="inlineStr">
        <x:is>
          <x:t xml:space="preserve">8/25/1967</x:t>
        </x:is>
      </x:c>
      <x:c r="BR4" s="97" t="inlineStr">
        <x:is>
          <x:t xml:space="preserve">12/26/1907</x:t>
        </x:is>
      </x:c>
      <x:c r="BS4" s="97" t="n"/>
      <x:c r="BT4" s="97" t="n"/>
      <x:c r="BU4" s="97" t="n"/>
      <x:c r="BV4" s="97" t="n"/>
      <x:c r="BW4" s="97" t="n"/>
      <x:c r="BX4" s="97" t="n"/>
      <x:c r="BY4" s="97" t="n"/>
      <x:c r="BZ4" s="97" t="n"/>
      <x:c r="CA4" s="97" t="n"/>
      <x:c r="CB4" s="97" t="n"/>
      <x:c r="CC4" s="97" t="n"/>
      <x:c r="CD4" s="97" t="n"/>
      <x:c r="CE4" s="97" t="n"/>
      <x:c r="CF4" s="97" t="n"/>
      <x:c r="CG4" s="97" t="n"/>
      <x:c r="CH4" s="97" t="n"/>
      <x:c r="CI4" s="97" t="n"/>
      <x:c r="CJ4" s="97" t="n"/>
      <x:c r="CK4" s="97" t="n"/>
      <x:c r="CL4" s="97" t="n"/>
      <x:c r="CM4" s="97" t="n"/>
      <x:c r="CN4" s="97" t="n"/>
      <x:c r="CO4" s="97" t="n"/>
      <x:c r="CP4" s="97" t="n"/>
      <x:c r="CQ4" s="97" t="n"/>
      <x:c r="CR4" s="97" t="n"/>
      <x:c r="CS4" s="97" t="n"/>
      <x:c r="CT4" s="97" t="n"/>
      <x:c r="CU4" s="97" t="n"/>
      <x:c r="CV4" s="97" t="n"/>
      <x:c r="CW4" s="97" t="n"/>
      <x:c r="CX4" s="97" t="n"/>
      <x:c r="CY4" s="97" t="n"/>
      <x:c r="CZ4" s="97" t="n"/>
      <x:c r="DA4" s="97" t="n"/>
      <x:c r="DB4" s="97" t="n"/>
      <x:c r="DC4" s="97" t="n"/>
      <x:c r="DD4" s="97" t="n"/>
      <x:c r="DE4" s="97" t="n"/>
      <x:c r="DF4" s="97" t="n"/>
      <x:c r="DG4" s="97" t="n"/>
      <x:c r="DH4" s="97" t="n"/>
      <x:c r="DI4" s="97" t="n"/>
      <x:c r="DJ4" s="97" t="n"/>
      <x:c r="DK4" s="97" t="n"/>
      <x:c r="DL4" s="97" t="n"/>
      <x:c r="DM4" s="97" t="n"/>
      <x:c r="DN4" s="97" t="n"/>
      <x:c r="DO4" s="97" t="n"/>
      <x:c r="DP4" s="97" t="n"/>
      <x:c r="DQ4" s="97" t="n"/>
      <x:c r="DR4" s="97" t="n"/>
      <x:c r="DS4" s="97" t="n"/>
      <x:c r="DT4" s="97" t="n"/>
      <x:c r="DU4" s="97" t="n"/>
      <x:c r="DV4" s="97" t="n"/>
      <x:c r="DW4" s="97" t="n"/>
      <x:c r="DX4" s="97" t="n"/>
      <x:c r="DY4" s="97" t="n"/>
      <x:c r="DZ4" s="97" t="n"/>
      <x:c r="EA4" s="97" t="n"/>
      <x:c r="EB4" s="97" t="n"/>
      <x:c r="EC4" s="97" t="n"/>
      <x:c r="ED4" s="97" t="n"/>
      <x:c r="EE4" s="97" t="n"/>
      <x:c r="EF4" s="97" t="n"/>
      <x:c r="EG4" s="97" t="n"/>
      <x:c r="EH4" s="97" t="n"/>
      <x:c r="EI4" s="97" t="n"/>
      <x:c r="EJ4" s="97" t="n"/>
      <x:c r="EK4" s="97" t="n"/>
      <x:c r="EL4" s="97" t="n"/>
      <x:c r="EM4" s="97" t="n"/>
      <x:c r="EN4" s="97" t="n"/>
      <x:c r="EO4" s="97" t="n"/>
      <x:c r="EP4" s="97" t="n"/>
      <x:c r="EQ4" s="97" t="n"/>
      <x:c r="ER4" s="97" t="n"/>
      <x:c r="ES4" s="97" t="n"/>
      <x:c r="ET4" s="97" t="n"/>
      <x:c r="EU4" s="97" t="n"/>
      <x:c r="EV4" s="97" t="n"/>
      <x:c r="EW4" s="97" t="n"/>
      <x:c r="EX4" s="97" t="n"/>
      <x:c r="EY4" s="97" t="n"/>
      <x:c r="EZ4" s="97" t="n"/>
      <x:c r="FA4" s="97" t="n"/>
      <x:c r="FB4" s="97" t="n"/>
      <x:c r="FC4" s="97" t="n"/>
      <x:c r="FD4" s="97" t="n"/>
      <x:c r="FE4" s="97" t="n"/>
      <x:c r="FF4" s="97" t="n"/>
      <x:c r="FG4" s="97" t="n"/>
      <x:c r="FH4" s="97" t="n"/>
      <x:c r="FI4" s="97" t="n"/>
      <x:c r="FJ4" s="97" t="n"/>
      <x:c r="FK4" s="97" t="n"/>
      <x:c r="FL4" s="97" t="n"/>
      <x:c r="FM4" s="97" t="n"/>
      <x:c r="FN4" s="97" t="n"/>
      <x:c r="FO4" s="97" t="n"/>
      <x:c r="FP4" s="97" t="n"/>
      <x:c r="FQ4" s="97" t="n"/>
      <x:c r="FR4" s="97" t="n"/>
      <x:c r="FS4" s="97" t="n"/>
      <x:c r="FT4" s="97" t="n"/>
      <x:c r="FU4" s="97" t="n"/>
      <x:c r="FV4" s="97" t="n"/>
      <x:c r="FW4" s="97" t="n"/>
      <x:c r="FX4" s="97" t="n"/>
      <x:c r="FY4" s="58" t="n"/>
      <x:c r="FZ4" s="58" t="n"/>
      <x:c r="GA4" s="58" t="n"/>
    </x:row>
    <x:row r="5" s="57" customFormat="1" ht="27.75" customHeight="1">
      <x:c r="A5" s="619" t="n"/>
      <x:c r="B5" s="625" t="inlineStr">
        <x:is>
          <x:t xml:space="preserve">TRACT ACRES</x:t>
        </x:is>
      </x:c>
      <x:c r="C5" s="626" t="n"/>
      <x:c r="D5" s="65" t="n">
        <x:v>40</x:v>
      </x:c>
      <x:c r="E5" s="627" t="inlineStr">
        <x:is>
          <x:t xml:space="preserve">Conveyance </x:t>
        </x:is>
      </x:c>
      <x:c r="F5" s="628" t="n"/>
      <x:c r="G5" s="60" t="n"/>
      <x:c r="H5" s="118" t="inlineStr">
        <x:is>
          <x:t xml:space="preserve">ARTI</x:t>
        </x:is>
      </x:c>
      <x:c r="I5" s="118" t="inlineStr">
        <x:is>
          <x:t xml:space="preserve">ARTI</x:t>
        </x:is>
      </x:c>
      <x:c r="J5" s="118" t="inlineStr">
        <x:is>
          <x:t xml:space="preserve">ARTI</x:t>
        </x:is>
      </x:c>
      <x:c r="K5" s="118" t="inlineStr">
        <x:is>
          <x:t xml:space="preserve">21.538462 NMA</x:t>
        </x:is>
      </x:c>
      <x:c r="L5" s="118" t="inlineStr">
        <x:is>
          <x:t xml:space="preserve">ARTI</x:t>
        </x:is>
      </x:c>
      <x:c r="M5" s="118" t="inlineStr">
        <x:is>
          <x:t xml:space="preserve">ARTI</x:t>
        </x:is>
      </x:c>
      <x:c r="N5" s="118" t="inlineStr">
        <x:is>
          <x:t xml:space="preserve">286.110629 NMA</x:t>
        </x:is>
      </x:c>
      <x:c r="O5" s="118" t="inlineStr">
        <x:is>
          <x:t xml:space="preserve">209.814462 NMA</x:t>
        </x:is>
      </x:c>
      <x:c r="P5" s="118" t="inlineStr">
        <x:is>
          <x:t xml:space="preserve">38.148084 NMA</x:t>
        </x:is>
      </x:c>
      <x:c r="Q5" s="118" t="inlineStr">
        <x:is>
          <x:t xml:space="preserve">38.148084 NMA</x:t>
        </x:is>
      </x:c>
      <x:c r="R5" s="118" t="inlineStr">
        <x:is>
          <x:t xml:space="preserve">64.615385 NMA</x:t>
        </x:is>
      </x:c>
      <x:c r="S5" s="118" t="inlineStr">
        <x:is>
          <x:t xml:space="preserve">43.076923 NMA</x:t>
        </x:is>
      </x:c>
      <x:c r="T5" s="118" t="inlineStr">
        <x:is>
          <x:t xml:space="preserve">10.769231 NMA</x:t>
        </x:is>
      </x:c>
      <x:c r="U5" s="118" t="inlineStr">
        <x:is>
          <x:t xml:space="preserve">10.769231 NMA</x:t>
        </x:is>
      </x:c>
      <x:c r="V5" s="118" t="inlineStr">
        <x:is>
          <x:t xml:space="preserve">10.769231 NMA</x:t>
        </x:is>
      </x:c>
      <x:c r="W5" s="118" t="inlineStr">
        <x:is>
          <x:t xml:space="preserve">5.384615 NMA</x:t>
        </x:is>
      </x:c>
      <x:c r="X5" s="118" t="inlineStr">
        <x:is>
          <x:t xml:space="preserve">43.076923 NMA</x:t>
        </x:is>
      </x:c>
      <x:c r="Y5" s="118" t="inlineStr">
        <x:is>
          <x:t xml:space="preserve">ARTI</x:t>
        </x:is>
      </x:c>
      <x:c r="Z5" s="118" t="inlineStr">
        <x:is>
          <x:t xml:space="preserve">2.153846 NMA</x:t>
        </x:is>
      </x:c>
      <x:c r="AA5" s="118" t="inlineStr">
        <x:is>
          <x:t xml:space="preserve">ARTI</x:t>
        </x:is>
      </x:c>
      <x:c r="AB5" s="118" t="inlineStr">
        <x:is>
          <x:t xml:space="preserve">10.769231 NMA</x:t>
        </x:is>
      </x:c>
      <x:c r="AC5" s="118" t="inlineStr">
        <x:is>
          <x:t xml:space="preserve">ARTI</x:t>
        </x:is>
      </x:c>
      <x:c r="AD5" s="118" t="inlineStr">
        <x:is>
          <x:t xml:space="preserve">ARTI</x:t>
        </x:is>
      </x:c>
      <x:c r="AE5" s="118" t="inlineStr">
        <x:is>
          <x:t xml:space="preserve">ARTI</x:t>
        </x:is>
      </x:c>
      <x:c r="AF5" s="118" t="inlineStr">
        <x:is>
          <x:t xml:space="preserve">ARTI</x:t>
        </x:is>
      </x:c>
      <x:c r="AG5" s="118" t="inlineStr">
        <x:is>
          <x:t xml:space="preserve">ARTI</x:t>
        </x:is>
      </x:c>
      <x:c r="AH5" s="118" t="inlineStr">
        <x:is>
          <x:t xml:space="preserve">ARTI</x:t>
        </x:is>
      </x:c>
      <x:c r="AI5" s="118" t="inlineStr">
        <x:is>
          <x:t xml:space="preserve">5.384615 NMA</x:t>
        </x:is>
      </x:c>
      <x:c r="AJ5" s="118" t="inlineStr">
        <x:is>
          <x:t xml:space="preserve">ARTI</x:t>
        </x:is>
      </x:c>
      <x:c r="AK5" s="118" t="inlineStr">
        <x:is>
          <x:t xml:space="preserve">ARTI</x:t>
        </x:is>
      </x:c>
      <x:c r="AL5" s="118" t="inlineStr">
        <x:is>
          <x:t xml:space="preserve">ARTI</x:t>
        </x:is>
      </x:c>
      <x:c r="AM5" s="118" t="inlineStr">
        <x:is>
          <x:t xml:space="preserve">1.076923 NMA</x:t>
        </x:is>
      </x:c>
      <x:c r="AN5" s="118" t="inlineStr">
        <x:is>
          <x:t xml:space="preserve">Interest not stated — confirm from image.</x:t>
        </x:is>
      </x:c>
      <x:c r="AO5" s="118" t="inlineStr">
        <x:is>
          <x:t xml:space="preserve">Interest not stated — confirm from image.</x:t>
        </x:is>
      </x:c>
      <x:c r="AP5" s="96" t="inlineStr">
        <x:is>
          <x:t xml:space="preserve">2.153846 NMA</x:t>
        </x:is>
      </x:c>
      <x:c r="AQ5" s="96" t="inlineStr">
        <x:is>
          <x:t xml:space="preserve">ARTI</x:t>
        </x:is>
      </x:c>
      <x:c r="AR5" s="96" t="inlineStr">
        <x:is>
          <x:t xml:space="preserve">ARTI</x:t>
        </x:is>
      </x:c>
      <x:c r="AS5" s="96" t="inlineStr">
        <x:is>
          <x:t xml:space="preserve">ARTI</x:t>
        </x:is>
      </x:c>
      <x:c r="AT5" s="96" t="inlineStr">
        <x:is>
          <x:t xml:space="preserve">ARTI</x:t>
        </x:is>
      </x:c>
      <x:c r="AU5" s="96" t="inlineStr">
        <x:is>
          <x:t xml:space="preserve">ARTI</x:t>
        </x:is>
      </x:c>
      <x:c r="AV5" s="96" t="inlineStr">
        <x:is>
          <x:t xml:space="preserve">ARTI</x:t>
        </x:is>
      </x:c>
      <x:c r="AW5" s="96" t="inlineStr">
        <x:is>
          <x:t xml:space="preserve">Interest not stated — confirm from image.</x:t>
        </x:is>
      </x:c>
      <x:c r="AX5" s="96" t="inlineStr">
        <x:is>
          <x:t xml:space="preserve">ARTI</x:t>
        </x:is>
      </x:c>
      <x:c r="AY5" s="96" t="inlineStr">
        <x:is>
          <x:t xml:space="preserve">ARTI</x:t>
        </x:is>
      </x:c>
      <x:c r="AZ5" s="96" t="inlineStr">
        <x:is>
          <x:t xml:space="preserve">ARTI</x:t>
        </x:is>
      </x:c>
      <x:c r="BA5" s="96" t="inlineStr">
        <x:is>
          <x:t xml:space="preserve">ARTI</x:t>
        </x:is>
      </x:c>
      <x:c r="BB5" s="96" t="inlineStr">
        <x:is>
          <x:t xml:space="preserve">ARTI</x:t>
        </x:is>
      </x:c>
      <x:c r="BC5" s="96" t="inlineStr">
        <x:is>
          <x:t xml:space="preserve">256.666667 NMA</x:t>
        </x:is>
      </x:c>
      <x:c r="BD5" s="96" t="inlineStr">
        <x:is>
          <x:t xml:space="preserve">ARTI</x:t>
        </x:is>
      </x:c>
      <x:c r="BE5" s="96" t="inlineStr">
        <x:is>
          <x:t xml:space="preserve">Interest not stated — confirm from image.</x:t>
        </x:is>
      </x:c>
      <x:c r="BF5" s="96" t="inlineStr">
        <x:is>
          <x:t xml:space="preserve">118.461538 NMA</x:t>
        </x:is>
      </x:c>
      <x:c r="BG5" s="96" t="inlineStr">
        <x:is>
          <x:t xml:space="preserve">ARTI</x:t>
        </x:is>
      </x:c>
      <x:c r="BH5" s="96" t="inlineStr">
        <x:is>
          <x:t xml:space="preserve">ARTI</x:t>
        </x:is>
      </x:c>
      <x:c r="BI5" s="96" t="inlineStr">
        <x:is>
          <x:t xml:space="preserve">ARTI</x:t>
        </x:is>
      </x:c>
      <x:c r="BJ5" s="96" t="inlineStr">
        <x:is>
          <x:t xml:space="preserve">ARTI</x:t>
        </x:is>
      </x:c>
      <x:c r="BK5" s="96" t="inlineStr">
        <x:is>
          <x:t xml:space="preserve">ARTI</x:t>
        </x:is>
      </x:c>
      <x:c r="BL5" s="96" t="inlineStr">
        <x:is>
          <x:t xml:space="preserve">ARTI</x:t>
        </x:is>
      </x:c>
      <x:c r="BM5" s="96" t="inlineStr">
        <x:is>
          <x:t xml:space="preserve">ARTI</x:t>
        </x:is>
      </x:c>
      <x:c r="BN5" s="96" t="inlineStr">
        <x:is>
          <x:t xml:space="preserve">ARTI</x:t>
        </x:is>
      </x:c>
      <x:c r="BO5" s="96" t="inlineStr">
        <x:is>
          <x:t xml:space="preserve">ARTI</x:t>
        </x:is>
      </x:c>
      <x:c r="BP5" s="96" t="inlineStr">
        <x:is>
          <x:t xml:space="preserve">220 NMA</x:t>
        </x:is>
      </x:c>
      <x:c r="BQ5" s="96" t="inlineStr">
        <x:is>
          <x:t xml:space="preserve">ARTI</x:t>
        </x:is>
      </x:c>
      <x:c r="BR5" s="96" t="inlineStr">
        <x:is>
          <x:t xml:space="preserve">ARTI</x:t>
        </x:is>
      </x:c>
      <x:c r="BS5" s="96" t="n"/>
      <x:c r="BT5" s="96" t="n"/>
      <x:c r="BU5" s="96" t="n"/>
      <x:c r="BV5" s="96" t="n"/>
      <x:c r="BW5" s="96" t="n"/>
      <x:c r="BX5" s="96" t="n"/>
      <x:c r="BY5" s="96" t="n"/>
      <x:c r="BZ5" s="96" t="n"/>
      <x:c r="CA5" s="96" t="n"/>
      <x:c r="CB5" s="96" t="n"/>
      <x:c r="CC5" s="96" t="n"/>
      <x:c r="CD5" s="96" t="n"/>
      <x:c r="CE5" s="96" t="n"/>
      <x:c r="CF5" s="96" t="n"/>
      <x:c r="CG5" s="96" t="n"/>
      <x:c r="CH5" s="96" t="n"/>
      <x:c r="CI5" s="96" t="n"/>
      <x:c r="CJ5" s="96" t="n"/>
      <x:c r="CK5" s="96" t="n"/>
      <x:c r="CL5" s="96" t="n"/>
      <x:c r="CM5" s="96" t="n"/>
      <x:c r="CN5" s="96" t="n"/>
      <x:c r="CO5" s="96" t="n"/>
      <x:c r="CP5" s="96" t="n"/>
      <x:c r="CQ5" s="96" t="n"/>
      <x:c r="CR5" s="96" t="n"/>
      <x:c r="CS5" s="96" t="n"/>
      <x:c r="CT5" s="96" t="n"/>
      <x:c r="CU5" s="96" t="n"/>
      <x:c r="CV5" s="96" t="n"/>
      <x:c r="CW5" s="96" t="n"/>
      <x:c r="CX5" s="96" t="n"/>
      <x:c r="CY5" s="96" t="n"/>
      <x:c r="CZ5" s="96" t="n"/>
      <x:c r="DA5" s="96" t="n"/>
      <x:c r="DB5" s="96" t="n"/>
      <x:c r="DC5" s="96" t="n"/>
      <x:c r="DD5" s="96" t="n"/>
      <x:c r="DE5" s="96" t="n"/>
      <x:c r="DF5" s="96" t="n"/>
      <x:c r="DG5" s="96" t="n"/>
      <x:c r="DH5" s="96" t="n"/>
      <x:c r="DI5" s="96" t="n"/>
      <x:c r="DJ5" s="96" t="n"/>
      <x:c r="DK5" s="96" t="n"/>
      <x:c r="DL5" s="96" t="n"/>
      <x:c r="DM5" s="96" t="n"/>
      <x:c r="DN5" s="96" t="n"/>
      <x:c r="DO5" s="96" t="n"/>
      <x:c r="DP5" s="96" t="n"/>
      <x:c r="DQ5" s="96" t="n"/>
      <x:c r="DR5" s="96" t="n"/>
      <x:c r="DS5" s="96" t="n"/>
      <x:c r="DT5" s="96" t="n"/>
      <x:c r="DU5" s="96" t="n"/>
      <x:c r="DV5" s="96" t="n"/>
      <x:c r="DW5" s="96" t="n"/>
      <x:c r="DX5" s="96" t="n"/>
      <x:c r="DY5" s="96" t="n"/>
      <x:c r="DZ5" s="96" t="n"/>
      <x:c r="EA5" s="96" t="n"/>
      <x:c r="EB5" s="96" t="n"/>
      <x:c r="EC5" s="96" t="n"/>
      <x:c r="ED5" s="96" t="n"/>
      <x:c r="EE5" s="96" t="n"/>
      <x:c r="EF5" s="96" t="n"/>
      <x:c r="EG5" s="96" t="n"/>
      <x:c r="EH5" s="96" t="n"/>
      <x:c r="EI5" s="96" t="n"/>
      <x:c r="EJ5" s="96" t="n"/>
      <x:c r="EK5" s="96" t="n"/>
      <x:c r="EL5" s="96" t="n"/>
      <x:c r="EM5" s="96" t="n"/>
      <x:c r="EN5" s="96" t="n"/>
      <x:c r="EO5" s="96" t="n"/>
      <x:c r="EP5" s="96" t="n"/>
      <x:c r="EQ5" s="96" t="n"/>
      <x:c r="ER5" s="96" t="n"/>
      <x:c r="ES5" s="96" t="n"/>
      <x:c r="ET5" s="96" t="n"/>
      <x:c r="EU5" s="96" t="n"/>
      <x:c r="EV5" s="96" t="n"/>
      <x:c r="EW5" s="96" t="n"/>
      <x:c r="EX5" s="96" t="n"/>
      <x:c r="EY5" s="96" t="n"/>
      <x:c r="EZ5" s="96" t="n"/>
      <x:c r="FA5" s="96" t="n"/>
      <x:c r="FB5" s="96" t="n"/>
      <x:c r="FC5" s="96" t="n"/>
      <x:c r="FD5" s="96" t="n"/>
      <x:c r="FE5" s="96" t="n"/>
      <x:c r="FF5" s="96" t="n"/>
      <x:c r="FG5" s="96" t="n"/>
      <x:c r="FH5" s="96" t="n"/>
      <x:c r="FI5" s="96" t="n"/>
      <x:c r="FJ5" s="96" t="n"/>
      <x:c r="FK5" s="96" t="n"/>
      <x:c r="FL5" s="96" t="n"/>
      <x:c r="FM5" s="96" t="n"/>
      <x:c r="FN5" s="96" t="n"/>
      <x:c r="FO5" s="96" t="n"/>
      <x:c r="FP5" s="96" t="n"/>
      <x:c r="FQ5" s="96" t="n"/>
      <x:c r="FR5" s="96" t="n"/>
      <x:c r="FS5" s="96" t="n"/>
      <x:c r="FT5" s="96" t="n"/>
      <x:c r="FU5" s="96" t="n"/>
      <x:c r="FV5" s="96" t="n"/>
      <x:c r="FW5" s="96" t="n"/>
      <x:c r="FX5" s="96" t="n"/>
      <x:c r="FY5" s="59" t="n"/>
      <x:c r="FZ5" s="59" t="n"/>
      <x:c r="GA5" s="59" t="n"/>
    </x:row>
    <x:row r="6" s="55" customFormat="1" ht="14.25" customHeight="1">
      <x:c r="A6" s="629" t="n"/>
      <x:c r="B6" s="630" t="inlineStr">
        <x:is>
          <x:t xml:space="preserve">BASE OGL</x:t>
        </x:is>
      </x:c>
      <x:c r="C6" s="631" t="n">
        <x:v>40</x:v>
      </x:c>
      <x:c r="D6" s="632" t="inlineStr">
        <x:is>
          <x:t xml:space="preserve">Tract 7</x:t>
        </x:is>
      </x:c>
      <x:c r="E6" s="631" t="n">
        <x:f>SUBTOTAL(9,E9:E203)</x:f>
        <x:v>0.9999999999999982</x:v>
      </x:c>
      <x:c r="F6" s="633" t="inlineStr">
        <x:is>
          <x:t xml:space="preserve">SURFACE</x:t>
        </x:is>
      </x:c>
      <x:c r="G6" s="64" t="n"/>
      <x:c r="H6" s="64" t="str">
        <x:f>IF(ABS(H7)&lt;0.000000001,"","RECHECK")</x:f>
      </x:c>
      <x:c r="I6" s="64" t="str">
        <x:f>IF(ABS(I7)&lt;0.000000001,"","RECHECK")</x:f>
      </x:c>
      <x:c r="J6" s="64" t="str">
        <x:f>IF(ABS(J7)&lt;0.000000001,"","RECHECK")</x:f>
      </x:c>
      <x:c r="K6" s="64" t="str">
        <x:f>IF(ABS(K7)&lt;0.000000001,"","RECHECK")</x:f>
      </x:c>
      <x:c r="L6" s="64" t="str">
        <x:f>IF(ABS(L7)&lt;0.000000001,"","RECHECK")</x:f>
      </x:c>
      <x:c r="M6" s="64" t="str">
        <x:f>IF(ABS(M7)&lt;0.000000001,"","RECHECK")</x:f>
      </x:c>
      <x:c r="N6" s="64" t="str">
        <x:f>IF(ABS(N7)&lt;0.000000001,"","RECHECK")</x:f>
      </x:c>
      <x:c r="O6" s="64" t="str">
        <x:f>IF(ABS(O7)&lt;0.000000001,"","RECHECK")</x:f>
      </x:c>
      <x:c r="P6" s="64" t="str">
        <x:f>IF(ABS(P7)&lt;0.000000001,"","RECHECK")</x:f>
      </x:c>
      <x:c r="Q6" s="64" t="str">
        <x:f>IF(ABS(Q7)&lt;0.000000001,"","RECHECK")</x:f>
      </x:c>
      <x:c r="R6" s="98" t="str">
        <x:f>IF(ABS(R7)&lt;0.000000001,"","RECHECK")</x:f>
      </x:c>
      <x:c r="S6" s="98" t="str">
        <x:f>IF(ABS(S7)&lt;0.000000001,"","RECHECK")</x:f>
      </x:c>
      <x:c r="T6" s="64" t="str">
        <x:f>IF(ABS(T7)&lt;0.000000001,"","RECHECK")</x:f>
      </x:c>
      <x:c r="U6" s="64" t="str">
        <x:f>IF(ABS(U7)&lt;0.000000001,"","RECHECK")</x:f>
      </x:c>
      <x:c r="V6" s="64" t="str">
        <x:f>IF(ABS(V7)&lt;0.000000001,"","RECHECK")</x:f>
      </x:c>
      <x:c r="W6" s="64" t="str">
        <x:f>IF(ABS(W7)&lt;0.000000001,"","RECHECK")</x:f>
      </x:c>
      <x:c r="X6" s="64" t="str">
        <x:f>IF(ABS(X7)&lt;0.000000001,"","RECHECK")</x:f>
      </x:c>
      <x:c r="Y6" s="64" t="str">
        <x:f>IF(ABS(Y7)&lt;0.000000001,"","RECHECK")</x:f>
      </x:c>
      <x:c r="Z6" s="64" t="str">
        <x:f>IF(ABS(Z7)&lt;0.000000001,"","RECHECK")</x:f>
      </x:c>
      <x:c r="AA6" s="64" t="str">
        <x:f>IF(ABS(AA7)&lt;0.000000001,"","RECHECK")</x:f>
      </x:c>
      <x:c r="AB6" s="64" t="str">
        <x:f>IF(ABS(AB7)&lt;0.000000001,"","RECHECK")</x:f>
      </x:c>
      <x:c r="AC6" s="64" t="str">
        <x:f>IF(ABS(AC7)&lt;0.000000001,"","RECHECK")</x:f>
      </x:c>
      <x:c r="AD6" s="64" t="str">
        <x:f>IF(ABS(AD7)&lt;0.000000001,"","RECHECK")</x:f>
      </x:c>
      <x:c r="AE6" s="98" t="str">
        <x:f>IF(ABS(AE7)&lt;0.000000001,"","RECHECK")</x:f>
      </x:c>
      <x:c r="AF6" s="98" t="str">
        <x:f>IF(ABS(AF7)&lt;0.000000001,"","RECHECK")</x:f>
      </x:c>
      <x:c r="AG6" s="98" t="str">
        <x:f>IF(ABS(AG7)&lt;0.000000001,"","RECHECK")</x:f>
      </x:c>
      <x:c r="AH6" s="98" t="str">
        <x:f>IF(ABS(AH7)&lt;0.000000001,"","RECHECK")</x:f>
      </x:c>
      <x:c r="AI6" s="98" t="str">
        <x:f>IF(ABS(AI7)&lt;0.000000001,"","RECHECK")</x:f>
      </x:c>
      <x:c r="AJ6" s="98" t="str">
        <x:f>IF(ABS(AJ7)&lt;0.000000001,"","RECHECK")</x:f>
      </x:c>
      <x:c r="AK6" s="98" t="str">
        <x:f>IF(ABS(AK7)&lt;0.000000001,"","RECHECK")</x:f>
      </x:c>
      <x:c r="AL6" s="64" t="str">
        <x:f>IF(ABS(AL7)&lt;0.000000001,"","RECHECK")</x:f>
      </x:c>
      <x:c r="AM6" s="98" t="str">
        <x:f>IF(ABS(AM7)&lt;0.000000001,"","RECHECK")</x:f>
      </x:c>
      <x:c r="AN6" s="64" t="str">
        <x:f>IF(ABS(AN7)&lt;0.000000001,"","RECHECK")</x:f>
      </x:c>
      <x:c r="AO6" s="98" t="str">
        <x:f>IF(ABS(AO7)&lt;0.000000001,"","RECHECK")</x:f>
      </x:c>
      <x:c r="AP6" s="64" t="str">
        <x:f>IF(ABS(AP7)&lt;0.000000001,"","RECHECK")</x:f>
      </x:c>
      <x:c r="AQ6" s="64" t="str">
        <x:f>IF(ABS(AQ7)&lt;0.000000001,"","RECHECK")</x:f>
      </x:c>
      <x:c r="AR6" s="64" t="str">
        <x:f>IF(ABS(AR7)&lt;0.000000001,"","RECHECK")</x:f>
      </x:c>
      <x:c r="AS6" s="64" t="str">
        <x:f>IF(ABS(AS7)&lt;0.000000001,"","RECHECK")</x:f>
      </x:c>
      <x:c r="AT6" s="64" t="str">
        <x:f>IF(ABS(AT7)&lt;0.000000001,"","RECHECK")</x:f>
      </x:c>
      <x:c r="AU6" s="64" t="str">
        <x:f>IF(ABS(AU7)&lt;0.000000001,"","RECHECK")</x:f>
      </x:c>
      <x:c r="AV6" s="64" t="str">
        <x:f>IF(ABS(AV7)&lt;0.000000001,"","RECHECK")</x:f>
      </x:c>
      <x:c r="AW6" s="64" t="str">
        <x:f>IF(ABS(AW7)&lt;0.000000001,"","RECHECK")</x:f>
      </x:c>
      <x:c r="AX6" s="64" t="str">
        <x:f>IF(ABS(AX7)&lt;0.000000001,"","RECHECK")</x:f>
      </x:c>
      <x:c r="AY6" s="64" t="str">
        <x:f>IF(ABS(AY7)&lt;0.000000001,"","RECHECK")</x:f>
      </x:c>
      <x:c r="AZ6" s="64" t="str">
        <x:f>IF(ABS(AZ7)&lt;0.000000001,"","RECHECK")</x:f>
      </x:c>
      <x:c r="BA6" s="64" t="str">
        <x:f>IF(ABS(BA7)&lt;0.000000001,"","RECHECK")</x:f>
      </x:c>
      <x:c r="BB6" s="64" t="str">
        <x:f>IF(ABS(BB7)&lt;0.000000001,"","RECHECK")</x:f>
      </x:c>
      <x:c r="BC6" s="64" t="str">
        <x:f>IF(ABS(BC7)&lt;0.000000001,"","RECHECK")</x:f>
      </x:c>
      <x:c r="BD6" s="64" t="str">
        <x:f>IF(ABS(BD7)&lt;0.000000001,"","RECHECK")</x:f>
      </x:c>
      <x:c r="BE6" s="64" t="str">
        <x:f>IF(ABS(BE7)&lt;0.000000001,"","RECHECK")</x:f>
      </x:c>
      <x:c r="BF6" s="64" t="str">
        <x:f>IF(ABS(BF7)&lt;0.000000001,"","RECHECK")</x:f>
      </x:c>
      <x:c r="BG6" s="64" t="str">
        <x:f>IF(ABS(BG7)&lt;0.000000001,"","RECHECK")</x:f>
      </x:c>
      <x:c r="BH6" s="64" t="str">
        <x:f>IF(ABS(BH7)&lt;0.000000001,"","RECHECK")</x:f>
      </x:c>
      <x:c r="BI6" s="64" t="str">
        <x:f>IF(ABS(BI7)&lt;0.000000001,"","RECHECK")</x:f>
      </x:c>
      <x:c r="BJ6" s="64" t="str">
        <x:f>IF(ABS(BJ7)&lt;0.000000001,"","RECHECK")</x:f>
      </x:c>
      <x:c r="BK6" s="64" t="str">
        <x:f>IF(ABS(BK7)&lt;0.000000001,"","RECHECK")</x:f>
      </x:c>
      <x:c r="BL6" s="64" t="str">
        <x:f>IF(ABS(BL7)&lt;0.000000001,"","RECHECK")</x:f>
      </x:c>
      <x:c r="BM6" s="64" t="str">
        <x:f>IF(ABS(BM7)&lt;0.000000001,"","RECHECK")</x:f>
      </x:c>
      <x:c r="BN6" s="64" t="str">
        <x:f>IF(ABS(BN7)&lt;0.000000001,"","RECHECK")</x:f>
      </x:c>
      <x:c r="BO6" s="64" t="str">
        <x:f>IF(ABS(BO7)&lt;0.000000001,"","RECHECK")</x:f>
      </x:c>
      <x:c r="BP6" s="64" t="str">
        <x:f>IF(ABS(BP7)&lt;0.000000001,"","RECHECK")</x:f>
      </x:c>
      <x:c r="BQ6" s="64" t="str">
        <x:f>IF(ABS(BQ7)&lt;0.000000001,"","RECHECK")</x:f>
      </x:c>
      <x:c r="BR6" s="64" t="str">
        <x:f>IF(ABS(BR7)&lt;0.000000001,"","RECHECK")</x:f>
      </x:c>
      <x:c r="BS6" s="64" t="str">
        <x:f>IF(ABS(BS7)&lt;0.000000001,"","RECHECK")</x:f>
      </x:c>
      <x:c r="BT6" s="64" t="str">
        <x:f>IF(ABS(BT7)&lt;0.000000001,"","RECHECK")</x:f>
      </x:c>
      <x:c r="BU6" s="64" t="str">
        <x:f>IF(ABS(BU7)&lt;0.000000001,"","RECHECK")</x:f>
      </x:c>
      <x:c r="BV6" s="64" t="str">
        <x:f>IF(ABS(BV7)&lt;0.000000001,"","RECHECK")</x:f>
      </x:c>
      <x:c r="BW6" s="64" t="str">
        <x:f>IF(ABS(BW7)&lt;0.000000001,"","RECHECK")</x:f>
      </x:c>
      <x:c r="BX6" s="64" t="str">
        <x:f>IF(ABS(BX7)&lt;0.000000001,"","RECHECK")</x:f>
      </x:c>
      <x:c r="BY6" s="64" t="str">
        <x:f>IF(ABS(BY7)&lt;0.000000001,"","RECHECK")</x:f>
      </x:c>
      <x:c r="BZ6" s="64" t="str">
        <x:f>IF(ABS(BZ7)&lt;0.000000001,"","RECHECK")</x:f>
      </x:c>
      <x:c r="CA6" s="64" t="str">
        <x:f>IF(ABS(CA7)&lt;0.000000001,"","RECHECK")</x:f>
      </x:c>
      <x:c r="CB6" s="64" t="str">
        <x:f>IF(ABS(CB7)&lt;0.000000001,"","RECHECK")</x:f>
      </x:c>
      <x:c r="CC6" s="64" t="str">
        <x:f>IF(ABS(CC7)&lt;0.000000001,"","RECHECK")</x:f>
      </x:c>
      <x:c r="CD6" s="64" t="str">
        <x:f>IF(ABS(CD7)&lt;0.000000001,"","RECHECK")</x:f>
      </x:c>
      <x:c r="CE6" s="64" t="str">
        <x:f>IF(ABS(CE7)&lt;0.000000001,"","RECHECK")</x:f>
      </x:c>
      <x:c r="CF6" s="64" t="str">
        <x:f>IF(ABS(CF7)&lt;0.000000001,"","RECHECK")</x:f>
      </x:c>
      <x:c r="CG6" s="64" t="str">
        <x:f>IF(ABS(CG7)&lt;0.000000001,"","RECHECK")</x:f>
      </x:c>
      <x:c r="CH6" s="64" t="str">
        <x:f>IF(ABS(CH7)&lt;0.000000001,"","RECHECK")</x:f>
      </x:c>
      <x:c r="CI6" s="64" t="str">
        <x:f>IF(ABS(CI7)&lt;0.000000001,"","RECHECK")</x:f>
      </x:c>
      <x:c r="CJ6" s="64" t="str">
        <x:f>IF(ABS(CJ7)&lt;0.000000001,"","RECHECK")</x:f>
      </x:c>
      <x:c r="CK6" s="64" t="str">
        <x:f>IF(ABS(CK7)&lt;0.000000001,"","RECHECK")</x:f>
      </x:c>
      <x:c r="CL6" s="64" t="str">
        <x:f>IF(ABS(CL7)&lt;0.000000001,"","RECHECK")</x:f>
      </x:c>
      <x:c r="CM6" s="64" t="str">
        <x:f>IF(ABS(CM7)&lt;0.000000001,"","RECHECK")</x:f>
      </x:c>
      <x:c r="CN6" s="64" t="str">
        <x:f>IF(ABS(CN7)&lt;0.000000001,"","RECHECK")</x:f>
      </x:c>
      <x:c r="CO6" s="64" t="str">
        <x:f>IF(ABS(CO7)&lt;0.000000001,"","RECHECK")</x:f>
      </x:c>
      <x:c r="CP6" s="64" t="str">
        <x:f>IF(ABS(CP7)&lt;0.000000001,"","RECHECK")</x:f>
      </x:c>
      <x:c r="CQ6" s="64" t="str">
        <x:f>IF(ABS(CQ7)&lt;0.000000001,"","RECHECK")</x:f>
      </x:c>
      <x:c r="CR6" s="64" t="str">
        <x:f>IF(ABS(CR7)&lt;0.000000001,"","RECHECK")</x:f>
      </x:c>
      <x:c r="CS6" s="64" t="str">
        <x:f>IF(ABS(CS7)&lt;0.000000001,"","RECHECK")</x:f>
      </x:c>
      <x:c r="CT6" s="64" t="str">
        <x:f>IF(ABS(CT7)&lt;0.000000001,"","RECHECK")</x:f>
      </x:c>
      <x:c r="CU6" s="64" t="str">
        <x:f>IF(ABS(CU7)&lt;0.000000001,"","RECHECK")</x:f>
      </x:c>
      <x:c r="CV6" s="64" t="str">
        <x:f>IF(ABS(CV7)&lt;0.000000001,"","RECHECK")</x:f>
      </x:c>
      <x:c r="CW6" s="64" t="str">
        <x:f>IF(ABS(CW7)&lt;0.000000001,"","RECHECK")</x:f>
      </x:c>
      <x:c r="CX6" s="64" t="str">
        <x:f>IF(ABS(CX7)&lt;0.000000001,"","RECHECK")</x:f>
      </x:c>
      <x:c r="CY6" s="64" t="str">
        <x:f>IF(ABS(CY7)&lt;0.000000001,"","RECHECK")</x:f>
      </x:c>
      <x:c r="CZ6" s="64" t="str">
        <x:f>IF(ABS(CZ7)&lt;0.000000001,"","RECHECK")</x:f>
      </x:c>
      <x:c r="DA6" s="64" t="str">
        <x:f>IF(ABS(DA7)&lt;0.000000001,"","RECHECK")</x:f>
      </x:c>
      <x:c r="DB6" s="64" t="str">
        <x:f>IF(ABS(DB7)&lt;0.000000001,"","RECHECK")</x:f>
      </x:c>
      <x:c r="DC6" s="64" t="str">
        <x:f>IF(ABS(DC7)&lt;0.000000001,"","RECHECK")</x:f>
      </x:c>
      <x:c r="DD6" s="64" t="str">
        <x:f>IF(ABS(DD7)&lt;0.000000001,"","RECHECK")</x:f>
      </x:c>
      <x:c r="DE6" s="64" t="str">
        <x:f>IF(ABS(DE7)&lt;0.000000001,"","RECHECK")</x:f>
      </x:c>
      <x:c r="DF6" s="64" t="str">
        <x:f>IF(ABS(DF7)&lt;0.000000001,"","RECHECK")</x:f>
      </x:c>
      <x:c r="DG6" s="64" t="str">
        <x:f>IF(ABS(DG7)&lt;0.000000001,"","RECHECK")</x:f>
      </x:c>
      <x:c r="DH6" s="64" t="str">
        <x:f>IF(ABS(DH7)&lt;0.000000001,"","RECHECK")</x:f>
      </x:c>
      <x:c r="DI6" s="64" t="str">
        <x:f>IF(ABS(DI7)&lt;0.000000001,"","RECHECK")</x:f>
      </x:c>
      <x:c r="DJ6" s="64" t="str">
        <x:f>IF(ABS(DJ7)&lt;0.000000001,"","RECHECK")</x:f>
      </x:c>
      <x:c r="DK6" s="64" t="str">
        <x:f>IF(ABS(DK7)&lt;0.000000001,"","RECHECK")</x:f>
      </x:c>
      <x:c r="DL6" s="64" t="str">
        <x:f>IF(ABS(DL7)&lt;0.000000001,"","RECHECK")</x:f>
      </x:c>
      <x:c r="DM6" s="64" t="str">
        <x:f>IF(ABS(DM7)&lt;0.000000001,"","RECHECK")</x:f>
      </x:c>
      <x:c r="DN6" s="64" t="str">
        <x:f>IF(ABS(DN7)&lt;0.000000001,"","RECHECK")</x:f>
      </x:c>
      <x:c r="DO6" s="64" t="str">
        <x:f>IF(ABS(DO7)&lt;0.000000001,"","RECHECK")</x:f>
      </x:c>
      <x:c r="DP6" s="64" t="str">
        <x:f>IF(ABS(DP7)&lt;0.000000001,"","RECHECK")</x:f>
      </x:c>
      <x:c r="DQ6" s="64" t="str">
        <x:f>IF(ABS(DQ7)&lt;0.000000001,"","RECHECK")</x:f>
      </x:c>
      <x:c r="DR6" s="64" t="str">
        <x:f>IF(ABS(DR7)&lt;0.000000001,"","RECHECK")</x:f>
      </x:c>
      <x:c r="DS6" s="64" t="str">
        <x:f>IF(ABS(DS7)&lt;0.000000001,"","RECHECK")</x:f>
      </x:c>
      <x:c r="DT6" s="64" t="str">
        <x:f>IF(ABS(DT7)&lt;0.000000001,"","RECHECK")</x:f>
      </x:c>
      <x:c r="DU6" s="64" t="str">
        <x:f>IF(ABS(DU7)&lt;0.000000001,"","RECHECK")</x:f>
      </x:c>
      <x:c r="DV6" s="64" t="str">
        <x:f>IF(ABS(DV7)&lt;0.000000001,"","RECHECK")</x:f>
      </x:c>
      <x:c r="DW6" s="64" t="str">
        <x:f>IF(ABS(DW7)&lt;0.000000001,"","RECHECK")</x:f>
      </x:c>
      <x:c r="DX6" s="64" t="str">
        <x:f>IF(ABS(DX7)&lt;0.000000001,"","RECHECK")</x:f>
      </x:c>
      <x:c r="DY6" s="64" t="str">
        <x:f>IF(ABS(DY7)&lt;0.000000001,"","RECHECK")</x:f>
      </x:c>
      <x:c r="DZ6" s="64" t="str">
        <x:f>IF(ABS(DZ7)&lt;0.000000001,"","RECHECK")</x:f>
      </x:c>
      <x:c r="EA6" s="64" t="str">
        <x:f>IF(ABS(EA7)&lt;0.000000001,"","RECHECK")</x:f>
      </x:c>
      <x:c r="EB6" s="64" t="str">
        <x:f>IF(ABS(EB7)&lt;0.000000001,"","RECHECK")</x:f>
      </x:c>
      <x:c r="EC6" s="64" t="str">
        <x:f>IF(ABS(EC7)&lt;0.000000001,"","RECHECK")</x:f>
      </x:c>
      <x:c r="ED6" s="64" t="str">
        <x:f>IF(ABS(ED7)&lt;0.000000001,"","RECHECK")</x:f>
      </x:c>
      <x:c r="EE6" s="64" t="str">
        <x:f>IF(ABS(EE7)&lt;0.000000001,"","RECHECK")</x:f>
      </x:c>
      <x:c r="EF6" s="64" t="str">
        <x:f>IF(ABS(EF7)&lt;0.000000001,"","RECHECK")</x:f>
      </x:c>
      <x:c r="EG6" s="64" t="str">
        <x:f>IF(ABS(EG7)&lt;0.000000001,"","RECHECK")</x:f>
      </x:c>
      <x:c r="EH6" s="64" t="str">
        <x:f>IF(ABS(EH7)&lt;0.000000001,"","RECHECK")</x:f>
      </x:c>
      <x:c r="EI6" s="64" t="str">
        <x:f>IF(ABS(EI7)&lt;0.000000001,"","RECHECK")</x:f>
      </x:c>
      <x:c r="EJ6" s="64" t="str">
        <x:f>IF(ABS(EJ7)&lt;0.000000001,"","RECHECK")</x:f>
      </x:c>
      <x:c r="EK6" s="64" t="str">
        <x:f>IF(ABS(EK7)&lt;0.000000001,"","RECHECK")</x:f>
      </x:c>
      <x:c r="EL6" s="64" t="str">
        <x:f>IF(ABS(EL7)&lt;0.000000001,"","RECHECK")</x:f>
      </x:c>
      <x:c r="EM6" s="64" t="str">
        <x:f>IF(ABS(EM7)&lt;0.000000001,"","RECHECK")</x:f>
      </x:c>
      <x:c r="EN6" s="64" t="str">
        <x:f>IF(ABS(EN7)&lt;0.000000001,"","RECHECK")</x:f>
      </x:c>
      <x:c r="EO6" s="64" t="str">
        <x:f>IF(ABS(EO7)&lt;0.000000001,"","RECHECK")</x:f>
      </x:c>
      <x:c r="EP6" s="64" t="str">
        <x:f>IF(ABS(EP7)&lt;0.000000001,"","RECHECK")</x:f>
      </x:c>
      <x:c r="EQ6" s="64" t="str">
        <x:f>IF(ABS(EQ7)&lt;0.000000001,"","RECHECK")</x:f>
      </x:c>
      <x:c r="ER6" s="64" t="str">
        <x:f>IF(ABS(ER7)&lt;0.000000001,"","RECHECK")</x:f>
      </x:c>
      <x:c r="ES6" s="64" t="str">
        <x:f>IF(ABS(ES7)&lt;0.000000001,"","RECHECK")</x:f>
      </x:c>
      <x:c r="ET6" s="64" t="str">
        <x:f>IF(ABS(ET7)&lt;0.000000001,"","RECHECK")</x:f>
      </x:c>
      <x:c r="EU6" s="64" t="str">
        <x:f>IF(ABS(EU7)&lt;0.000000001,"","RECHECK")</x:f>
      </x:c>
      <x:c r="EV6" s="64" t="str">
        <x:f>IF(ABS(EV7)&lt;0.000000001,"","RECHECK")</x:f>
      </x:c>
      <x:c r="EW6" s="64" t="str">
        <x:f>IF(ABS(EW7)&lt;0.000000001,"","RECHECK")</x:f>
      </x:c>
      <x:c r="EX6" s="64" t="str">
        <x:f>IF(ABS(EX7)&lt;0.000000001,"","RECHECK")</x:f>
      </x:c>
      <x:c r="EY6" s="64" t="str">
        <x:f>IF(ABS(EY7)&lt;0.000000001,"","RECHECK")</x:f>
      </x:c>
      <x:c r="EZ6" s="64" t="str">
        <x:f>IF(ABS(EZ7)&lt;0.000000001,"","RECHECK")</x:f>
      </x:c>
      <x:c r="FA6" s="64" t="str">
        <x:f>IF(ABS(FA7)&lt;0.000000001,"","RECHECK")</x:f>
      </x:c>
      <x:c r="FB6" s="64" t="str">
        <x:f>IF(ABS(FB7)&lt;0.000000001,"","RECHECK")</x:f>
      </x:c>
      <x:c r="FC6" s="64" t="str">
        <x:f>IF(ABS(FC7)&lt;0.000000001,"","RECHECK")</x:f>
      </x:c>
      <x:c r="FD6" s="64" t="str">
        <x:f>IF(ABS(FD7)&lt;0.000000001,"","RECHECK")</x:f>
      </x:c>
      <x:c r="FE6" s="64" t="str">
        <x:f>IF(ABS(FE7)&lt;0.000000001,"","RECHECK")</x:f>
      </x:c>
      <x:c r="FF6" s="64" t="str">
        <x:f>IF(ABS(FF7)&lt;0.000000001,"","RECHECK")</x:f>
      </x:c>
      <x:c r="FG6" s="64" t="str">
        <x:f>IF(ABS(FG7)&lt;0.000000001,"","RECHECK")</x:f>
      </x:c>
      <x:c r="FH6" s="64" t="str">
        <x:f>IF(ABS(FH7)&lt;0.000000001,"","RECHECK")</x:f>
      </x:c>
      <x:c r="FI6" s="64" t="str">
        <x:f>IF(ABS(FI7)&lt;0.000000001,"","RECHECK")</x:f>
      </x:c>
      <x:c r="FJ6" s="64" t="str">
        <x:f>IF(ABS(FJ7)&lt;0.000000001,"","RECHECK")</x:f>
      </x:c>
      <x:c r="FK6" s="64" t="str">
        <x:f>IF(ABS(FK7)&lt;0.000000001,"","RECHECK")</x:f>
      </x:c>
      <x:c r="FL6" s="64" t="str">
        <x:f>IF(ABS(FL7)&lt;0.000000001,"","RECHECK")</x:f>
      </x:c>
      <x:c r="FM6" s="64" t="str">
        <x:f>IF(ABS(FM7)&lt;0.000000001,"","RECHECK")</x:f>
      </x:c>
      <x:c r="FN6" s="64" t="str">
        <x:f>IF(ABS(FN7)&lt;0.000000001,"","RECHECK")</x:f>
      </x:c>
      <x:c r="FO6" s="64" t="str">
        <x:f>IF(ABS(FO7)&lt;0.000000001,"","RECHECK")</x:f>
      </x:c>
      <x:c r="FP6" s="64" t="str">
        <x:f>IF(ABS(FP7)&lt;0.000000001,"","RECHECK")</x:f>
      </x:c>
      <x:c r="FQ6" s="64" t="str">
        <x:f>IF(ABS(FQ7)&lt;0.000000001,"","RECHECK")</x:f>
      </x:c>
      <x:c r="FR6" s="64" t="str">
        <x:f>IF(ABS(FR7)&lt;0.000000001,"","RECHECK")</x:f>
      </x:c>
      <x:c r="FS6" s="64" t="str">
        <x:f>IF(ABS(FS7)&lt;0.000000001,"","RECHECK")</x:f>
      </x:c>
      <x:c r="FT6" s="64" t="str">
        <x:f>IF(ABS(FT7)&lt;0.000000001,"","RECHECK")</x:f>
      </x:c>
      <x:c r="FU6" s="64" t="str">
        <x:f>IF(ABS(FU7)&lt;0.000000001,"","RECHECK")</x:f>
      </x:c>
      <x:c r="FV6" s="64" t="str">
        <x:f>IF(ABS(FV7)&lt;0.000000001,"","RECHECK")</x:f>
      </x:c>
      <x:c r="FW6" s="64" t="str">
        <x:f>IF(ABS(FW7)&lt;0.000000001,"","RECHECK")</x:f>
      </x:c>
      <x:c r="FX6" s="64" t="str">
        <x:f>IF(ABS(FX7)&lt;0.000000001,"","RECHECK")</x:f>
      </x:c>
      <x:c r="FY6" s="64" t="str">
        <x:f>IF(ABS(FY7)&lt;0.000000001,"","RECHECK")</x:f>
      </x:c>
      <x:c r="FZ6" s="64" t="str">
        <x:f>IF(ABS(FZ7)&lt;0.000000001,"","RECHECK")</x:f>
      </x:c>
      <x:c r="GA6" s="64" t="str">
        <x:f>IF(ABS(GA7)&lt;0.000000001,"","RECHECK")</x:f>
      </x:c>
    </x:row>
    <x:row r="7" s="53" customFormat="1" ht="14.25" customHeight="1">
      <x:c r="A7" s="54" t="n"/>
      <x:c r="B7" s="593" t="n"/>
      <x:c r="C7" s="634" t="n"/>
      <x:c r="D7" s="634" t="n"/>
      <x:c r="E7" s="634" t="n"/>
      <x:c r="F7" s="635" t="n"/>
      <x:c r="G7" s="636" t="n">
        <x:f>SUBTOTAL(9,G10:G204)</x:f>
        <x:v>1</x:v>
      </x:c>
      <x:c r="H7" s="637" t="n">
        <x:f>SUBTOTAL(9,H10:H204)</x:f>
        <x:v>0</x:v>
      </x:c>
      <x:c r="I7" s="637" t="n">
        <x:f>SUBTOTAL(9,I10:I204)</x:f>
        <x:v>0</x:v>
      </x:c>
      <x:c r="J7" s="637" t="n">
        <x:f>SUBTOTAL(9,J10:J204)</x:f>
        <x:v>0</x:v>
      </x:c>
      <x:c r="K7" s="637" t="n">
        <x:f>SUBTOTAL(9,K10:K204)</x:f>
        <x:v>0</x:v>
      </x:c>
      <x:c r="L7" s="637" t="n">
        <x:f>SUBTOTAL(9,L10:L204)</x:f>
        <x:v>0</x:v>
      </x:c>
      <x:c r="M7" s="637" t="n">
        <x:f>SUBTOTAL(9,M10:M204)</x:f>
        <x:v>0</x:v>
      </x:c>
      <x:c r="N7" s="637" t="n">
        <x:f>SUBTOTAL(9,N10:N204)</x:f>
        <x:v>0</x:v>
      </x:c>
      <x:c r="O7" s="637" t="n">
        <x:f>SUBTOTAL(9,O10:O204)</x:f>
        <x:v>0</x:v>
      </x:c>
      <x:c r="P7" s="637" t="n">
        <x:f>SUBTOTAL(9,P10:P204)</x:f>
        <x:v>0</x:v>
      </x:c>
      <x:c r="Q7" s="637" t="n">
        <x:f>SUBTOTAL(9,Q10:Q204)</x:f>
        <x:v>0</x:v>
      </x:c>
      <x:c r="R7" s="638" t="n">
        <x:f>SUBTOTAL(9,R10:R208)</x:f>
        <x:v>0</x:v>
      </x:c>
      <x:c r="S7" s="638" t="n">
        <x:f>SUBTOTAL(9,S10:S208)</x:f>
        <x:v>0</x:v>
      </x:c>
      <x:c r="T7" s="637" t="n">
        <x:f>SUBTOTAL(9,T10:T204)</x:f>
        <x:v>0</x:v>
      </x:c>
      <x:c r="U7" s="637" t="n">
        <x:f>SUBTOTAL(9,U10:U204)</x:f>
        <x:v>0</x:v>
      </x:c>
      <x:c r="V7" s="637" t="n">
        <x:f>SUBTOTAL(9,V10:V204)</x:f>
        <x:v>0</x:v>
      </x:c>
      <x:c r="W7" s="637" t="n">
        <x:f>SUBTOTAL(9,W10:W204)</x:f>
        <x:v>0</x:v>
      </x:c>
      <x:c r="X7" s="637" t="n">
        <x:f>SUBTOTAL(9,X10:X204)</x:f>
        <x:v>0</x:v>
      </x:c>
      <x:c r="Y7" s="637" t="n">
        <x:f>SUBTOTAL(9,Y10:Y204)</x:f>
        <x:v>0</x:v>
      </x:c>
      <x:c r="Z7" s="637" t="n">
        <x:f>SUBTOTAL(9,Z10:Z204)</x:f>
        <x:v>0</x:v>
      </x:c>
      <x:c r="AA7" s="637" t="n">
        <x:f>SUBTOTAL(9,AA10:AA204)</x:f>
        <x:v>0</x:v>
      </x:c>
      <x:c r="AB7" s="637" t="n">
        <x:f>SUBTOTAL(9,AB10:AB204)</x:f>
        <x:v>0</x:v>
      </x:c>
      <x:c r="AC7" s="637" t="n">
        <x:f>SUBTOTAL(9,AC10:AC204)</x:f>
        <x:v>0</x:v>
      </x:c>
      <x:c r="AD7" s="637" t="n">
        <x:f>SUBTOTAL(9,AD10:AD204)</x:f>
        <x:v>0</x:v>
      </x:c>
      <x:c r="AE7" s="638" t="n">
        <x:f>SUBTOTAL(9,AE10:AE204)</x:f>
        <x:v>0</x:v>
      </x:c>
      <x:c r="AF7" s="638" t="n">
        <x:f>SUBTOTAL(9,AF10:AF208)</x:f>
        <x:v>0</x:v>
      </x:c>
      <x:c r="AG7" s="638" t="n">
        <x:f>SUBTOTAL(9,AG10:AG212)</x:f>
        <x:v>0</x:v>
      </x:c>
      <x:c r="AH7" s="638" t="n">
        <x:f>SUBTOTAL(9,AH10:AH206)</x:f>
        <x:v>0</x:v>
      </x:c>
      <x:c r="AI7" s="638" t="n">
        <x:f>SUBTOTAL(9,AI10:AI206)</x:f>
        <x:v>0</x:v>
      </x:c>
      <x:c r="AJ7" s="638" t="n">
        <x:f>SUBTOTAL(9,AJ10:AJ206)</x:f>
        <x:v>0</x:v>
      </x:c>
      <x:c r="AK7" s="638" t="n">
        <x:f>SUBTOTAL(9,AK10:AK206)</x:f>
        <x:v>-9.992007221626409e-16</x:v>
      </x:c>
      <x:c r="AL7" s="637" t="n">
        <x:f>SUBTOTAL(9,AL10:AL204)</x:f>
        <x:v>0</x:v>
      </x:c>
      <x:c r="AM7" s="638" t="n">
        <x:f>SUBTOTAL(9,AM10:AM203)</x:f>
        <x:v>0</x:v>
      </x:c>
      <x:c r="AN7" s="637" t="n">
        <x:f>SUBTOTAL(9,AN10:AN204)</x:f>
        <x:v>0</x:v>
      </x:c>
      <x:c r="AO7" s="638" t="n">
        <x:f>SUBTOTAL(9,AO10:AO206)</x:f>
        <x:v>0</x:v>
      </x:c>
      <x:c r="AP7" s="637" t="n">
        <x:f>SUBTOTAL(9,AP10:AP204)</x:f>
        <x:v>0</x:v>
      </x:c>
      <x:c r="AQ7" s="637" t="n">
        <x:f>SUBTOTAL(9,AQ10:AQ204)</x:f>
        <x:v>-9.992007221626409e-16</x:v>
      </x:c>
      <x:c r="AR7" s="637" t="n">
        <x:f>SUBTOTAL(9,AR10:AR204)</x:f>
        <x:v>0</x:v>
      </x:c>
      <x:c r="AS7" s="637" t="n">
        <x:f>SUBTOTAL(9,AS10:AS204)</x:f>
        <x:v>0</x:v>
      </x:c>
      <x:c r="AT7" s="637" t="n">
        <x:f>SUBTOTAL(9,AT10:AT204)</x:f>
        <x:v>0</x:v>
      </x:c>
      <x:c r="AU7" s="637" t="n">
        <x:f>SUBTOTAL(9,AU10:AU204)</x:f>
        <x:v>0</x:v>
      </x:c>
      <x:c r="AV7" s="637" t="n">
        <x:f>SUBTOTAL(9,AV10:AV204)</x:f>
        <x:v>0</x:v>
      </x:c>
      <x:c r="AW7" s="637" t="n">
        <x:f>SUBTOTAL(9,AW10:AW204)</x:f>
        <x:v>0</x:v>
      </x:c>
      <x:c r="AX7" s="637" t="n">
        <x:f>SUBTOTAL(9,AX10:AX204)</x:f>
        <x:v>0</x:v>
      </x:c>
      <x:c r="AY7" s="637" t="n">
        <x:f>SUBTOTAL(9,AY10:AY204)</x:f>
        <x:v>0</x:v>
      </x:c>
      <x:c r="AZ7" s="637" t="n">
        <x:f>SUBTOTAL(9,AZ10:AZ204)</x:f>
        <x:v>0</x:v>
      </x:c>
      <x:c r="BA7" s="637" t="n">
        <x:f>SUBTOTAL(9,BA10:BA204)</x:f>
        <x:v>0</x:v>
      </x:c>
      <x:c r="BB7" s="637" t="n">
        <x:f>SUBTOTAL(9,BB10:BB204)</x:f>
        <x:v>0</x:v>
      </x:c>
      <x:c r="BC7" s="637" t="n">
        <x:f>SUBTOTAL(9,BC10:BC204)</x:f>
        <x:v>0</x:v>
      </x:c>
      <x:c r="BD7" s="637" t="n">
        <x:f>SUBTOTAL(9,BD10:BD204)</x:f>
        <x:v>0</x:v>
      </x:c>
      <x:c r="BE7" s="637" t="n">
        <x:f>SUBTOTAL(9,BE10:BE204)</x:f>
        <x:v>0</x:v>
      </x:c>
      <x:c r="BF7" s="637" t="n">
        <x:f>SUBTOTAL(9,BF10:BF204)</x:f>
        <x:v>0</x:v>
      </x:c>
      <x:c r="BG7" s="637" t="n">
        <x:f>SUBTOTAL(9,BG10:BG204)</x:f>
        <x:v>0</x:v>
      </x:c>
      <x:c r="BH7" s="637" t="n">
        <x:f>SUBTOTAL(9,BH10:BH204)</x:f>
        <x:v>0</x:v>
      </x:c>
      <x:c r="BI7" s="637" t="n">
        <x:f>SUBTOTAL(9,BI10:BI204)</x:f>
        <x:v>0</x:v>
      </x:c>
      <x:c r="BJ7" s="637" t="n">
        <x:f>SUBTOTAL(9,BJ10:BJ204)</x:f>
        <x:v>0</x:v>
      </x:c>
      <x:c r="BK7" s="637" t="n">
        <x:f>SUBTOTAL(9,BK10:BK204)</x:f>
        <x:v>0</x:v>
      </x:c>
      <x:c r="BL7" s="637" t="n">
        <x:f>SUBTOTAL(9,BL10:BL204)</x:f>
        <x:v>0</x:v>
      </x:c>
      <x:c r="BM7" s="637" t="n">
        <x:f>SUBTOTAL(9,BM10:BM204)</x:f>
        <x:v>0</x:v>
      </x:c>
      <x:c r="BN7" s="637" t="n">
        <x:f>SUBTOTAL(9,BN10:BN204)</x:f>
        <x:v>0</x:v>
      </x:c>
      <x:c r="BO7" s="637" t="n">
        <x:f>SUBTOTAL(9,BO10:BO204)</x:f>
        <x:v>0</x:v>
      </x:c>
      <x:c r="BP7" s="637" t="n">
        <x:f>SUBTOTAL(9,BP10:BP204)</x:f>
        <x:v>0</x:v>
      </x:c>
      <x:c r="BQ7" s="637" t="n">
        <x:f>SUBTOTAL(9,BQ10:BQ204)</x:f>
        <x:v>0</x:v>
      </x:c>
      <x:c r="BR7" s="637" t="n">
        <x:f>SUBTOTAL(9,BR10:BR204)</x:f>
        <x:v>0</x:v>
      </x:c>
      <x:c r="BS7" s="637" t="n">
        <x:f>SUBTOTAL(9,BS10:BS204)</x:f>
        <x:v>0</x:v>
      </x:c>
      <x:c r="BT7" s="637" t="n">
        <x:f>SUBTOTAL(9,BT10:BT204)</x:f>
        <x:v>0</x:v>
      </x:c>
      <x:c r="BU7" s="637" t="n">
        <x:f>SUBTOTAL(9,BU10:BU204)</x:f>
        <x:v>0</x:v>
      </x:c>
      <x:c r="BV7" s="637" t="n">
        <x:f>SUBTOTAL(9,BV10:BV204)</x:f>
        <x:v>0</x:v>
      </x:c>
      <x:c r="BW7" s="637" t="n">
        <x:f>SUBTOTAL(9,BW10:BW204)</x:f>
        <x:v>0</x:v>
      </x:c>
      <x:c r="BX7" s="637" t="n">
        <x:f>SUBTOTAL(9,BX10:BX204)</x:f>
        <x:v>0</x:v>
      </x:c>
      <x:c r="BY7" s="637" t="n">
        <x:f>SUBTOTAL(9,BY10:BY204)</x:f>
        <x:v>0</x:v>
      </x:c>
      <x:c r="BZ7" s="637" t="n">
        <x:f>SUBTOTAL(9,BZ10:BZ204)</x:f>
        <x:v>0</x:v>
      </x:c>
      <x:c r="CA7" s="637" t="n">
        <x:f>SUBTOTAL(9,CA10:CA204)</x:f>
        <x:v>0</x:v>
      </x:c>
      <x:c r="CB7" s="637" t="n">
        <x:f>SUBTOTAL(9,CB10:CB204)</x:f>
        <x:v>0</x:v>
      </x:c>
      <x:c r="CC7" s="637" t="n">
        <x:f>SUBTOTAL(9,CC10:CC204)</x:f>
        <x:v>0</x:v>
      </x:c>
      <x:c r="CD7" s="637" t="n">
        <x:f>SUBTOTAL(9,CD10:CD204)</x:f>
        <x:v>0</x:v>
      </x:c>
      <x:c r="CE7" s="637" t="n">
        <x:f>SUBTOTAL(9,CE10:CE204)</x:f>
        <x:v>0</x:v>
      </x:c>
      <x:c r="CF7" s="637" t="n">
        <x:f>SUBTOTAL(9,CF10:CF204)</x:f>
        <x:v>0</x:v>
      </x:c>
      <x:c r="CG7" s="637" t="n">
        <x:f>SUBTOTAL(9,CG10:CG204)</x:f>
        <x:v>0</x:v>
      </x:c>
      <x:c r="CH7" s="637" t="n">
        <x:f>SUBTOTAL(9,CH10:CH204)</x:f>
        <x:v>0</x:v>
      </x:c>
      <x:c r="CI7" s="637" t="n">
        <x:f>SUBTOTAL(9,CI10:CI204)</x:f>
        <x:v>0</x:v>
      </x:c>
      <x:c r="CJ7" s="637" t="n">
        <x:f>SUBTOTAL(9,CJ10:CJ204)</x:f>
        <x:v>0</x:v>
      </x:c>
      <x:c r="CK7" s="637" t="n">
        <x:f>SUBTOTAL(9,CK10:CK204)</x:f>
        <x:v>0</x:v>
      </x:c>
      <x:c r="CL7" s="637" t="n">
        <x:f>SUBTOTAL(9,CL10:CL204)</x:f>
        <x:v>0</x:v>
      </x:c>
      <x:c r="CM7" s="637" t="n">
        <x:f>SUBTOTAL(9,CM10:CM204)</x:f>
        <x:v>0</x:v>
      </x:c>
      <x:c r="CN7" s="637" t="n">
        <x:f>SUBTOTAL(9,CN10:CN204)</x:f>
        <x:v>0</x:v>
      </x:c>
      <x:c r="CO7" s="637" t="n">
        <x:f>SUBTOTAL(9,CO10:CO204)</x:f>
        <x:v>0</x:v>
      </x:c>
      <x:c r="CP7" s="637" t="n">
        <x:f>SUBTOTAL(9,CP10:CP204)</x:f>
        <x:v>0</x:v>
      </x:c>
      <x:c r="CQ7" s="637" t="n">
        <x:f>SUBTOTAL(9,CQ10:CQ204)</x:f>
        <x:v>0</x:v>
      </x:c>
      <x:c r="CR7" s="637" t="n">
        <x:f>SUBTOTAL(9,CR10:CR204)</x:f>
        <x:v>0</x:v>
      </x:c>
      <x:c r="CS7" s="637" t="n">
        <x:f>SUBTOTAL(9,CS10:CS204)</x:f>
        <x:v>0</x:v>
      </x:c>
      <x:c r="CT7" s="637" t="n">
        <x:f>SUBTOTAL(9,CT10:CT204)</x:f>
        <x:v>0</x:v>
      </x:c>
      <x:c r="CU7" s="637" t="n">
        <x:f>SUBTOTAL(9,CU10:CU204)</x:f>
        <x:v>0</x:v>
      </x:c>
      <x:c r="CV7" s="637" t="n">
        <x:f>SUBTOTAL(9,CV10:CV204)</x:f>
        <x:v>0</x:v>
      </x:c>
      <x:c r="CW7" s="637" t="n">
        <x:f>SUBTOTAL(9,CW10:CW204)</x:f>
        <x:v>0</x:v>
      </x:c>
      <x:c r="CX7" s="637" t="n">
        <x:f>SUBTOTAL(9,CX10:CX204)</x:f>
        <x:v>0</x:v>
      </x:c>
      <x:c r="CY7" s="637" t="n">
        <x:f>SUBTOTAL(9,CY10:CY204)</x:f>
        <x:v>0</x:v>
      </x:c>
      <x:c r="CZ7" s="637" t="n">
        <x:f>SUBTOTAL(9,CZ10:CZ204)</x:f>
        <x:v>0</x:v>
      </x:c>
      <x:c r="DA7" s="637" t="n">
        <x:f>SUBTOTAL(9,DA10:DA204)</x:f>
        <x:v>0</x:v>
      </x:c>
      <x:c r="DB7" s="637" t="n">
        <x:f>SUBTOTAL(9,DB10:DB204)</x:f>
        <x:v>0</x:v>
      </x:c>
      <x:c r="DC7" s="637" t="n">
        <x:f>SUBTOTAL(9,DC10:DC204)</x:f>
        <x:v>0</x:v>
      </x:c>
      <x:c r="DD7" s="637" t="n">
        <x:f>SUBTOTAL(9,DD10:DD204)</x:f>
        <x:v>0</x:v>
      </x:c>
      <x:c r="DE7" s="637" t="n">
        <x:f>SUBTOTAL(9,DE10:DE204)</x:f>
        <x:v>0</x:v>
      </x:c>
      <x:c r="DF7" s="637" t="n">
        <x:f>SUBTOTAL(9,DF10:DF204)</x:f>
        <x:v>0</x:v>
      </x:c>
      <x:c r="DG7" s="637" t="n">
        <x:f>SUBTOTAL(9,DG10:DG204)</x:f>
        <x:v>0</x:v>
      </x:c>
      <x:c r="DH7" s="637" t="n">
        <x:f>SUBTOTAL(9,DH10:DH204)</x:f>
        <x:v>0</x:v>
      </x:c>
      <x:c r="DI7" s="637" t="n">
        <x:f>SUBTOTAL(9,DI10:DI204)</x:f>
        <x:v>0</x:v>
      </x:c>
      <x:c r="DJ7" s="637" t="n">
        <x:f>SUBTOTAL(9,DJ10:DJ204)</x:f>
        <x:v>0</x:v>
      </x:c>
      <x:c r="DK7" s="637" t="n">
        <x:f>SUBTOTAL(9,DK10:DK204)</x:f>
        <x:v>0</x:v>
      </x:c>
      <x:c r="DL7" s="637" t="n">
        <x:f>SUBTOTAL(9,DL10:DL204)</x:f>
        <x:v>0</x:v>
      </x:c>
      <x:c r="DM7" s="637" t="n">
        <x:f>SUBTOTAL(9,DM10:DM204)</x:f>
        <x:v>0</x:v>
      </x:c>
      <x:c r="DN7" s="637" t="n">
        <x:f>SUBTOTAL(9,DN10:DN204)</x:f>
        <x:v>0</x:v>
      </x:c>
      <x:c r="DO7" s="637" t="n">
        <x:f>SUBTOTAL(9,DO10:DO204)</x:f>
        <x:v>0</x:v>
      </x:c>
      <x:c r="DP7" s="637" t="n">
        <x:f>SUBTOTAL(9,DP10:DP204)</x:f>
        <x:v>0</x:v>
      </x:c>
      <x:c r="DQ7" s="637" t="n">
        <x:f>SUBTOTAL(9,DQ10:DQ204)</x:f>
        <x:v>0</x:v>
      </x:c>
      <x:c r="DR7" s="637" t="n">
        <x:f>SUBTOTAL(9,DR10:DR204)</x:f>
        <x:v>0</x:v>
      </x:c>
      <x:c r="DS7" s="637" t="n">
        <x:f>SUBTOTAL(9,DS10:DS204)</x:f>
        <x:v>0</x:v>
      </x:c>
      <x:c r="DT7" s="637" t="n">
        <x:f>SUBTOTAL(9,DT10:DT204)</x:f>
        <x:v>0</x:v>
      </x:c>
      <x:c r="DU7" s="637" t="n">
        <x:f>SUBTOTAL(9,DU10:DU204)</x:f>
        <x:v>0</x:v>
      </x:c>
      <x:c r="DV7" s="637" t="n">
        <x:f>SUBTOTAL(9,DV10:DV204)</x:f>
        <x:v>0</x:v>
      </x:c>
      <x:c r="DW7" s="637" t="n">
        <x:f>SUBTOTAL(9,DW10:DW204)</x:f>
        <x:v>0</x:v>
      </x:c>
      <x:c r="DX7" s="637" t="n">
        <x:f>SUBTOTAL(9,DX10:DX204)</x:f>
        <x:v>0</x:v>
      </x:c>
      <x:c r="DY7" s="637" t="n">
        <x:f>SUBTOTAL(9,DY10:DY204)</x:f>
        <x:v>0</x:v>
      </x:c>
      <x:c r="DZ7" s="637" t="n">
        <x:f>SUBTOTAL(9,DZ10:DZ204)</x:f>
        <x:v>0</x:v>
      </x:c>
      <x:c r="EA7" s="637" t="n">
        <x:f>SUBTOTAL(9,EA10:EA204)</x:f>
        <x:v>0</x:v>
      </x:c>
      <x:c r="EB7" s="637" t="n">
        <x:f>SUBTOTAL(9,EB10:EB204)</x:f>
        <x:v>0</x:v>
      </x:c>
      <x:c r="EC7" s="637" t="n">
        <x:f>SUBTOTAL(9,EC10:EC204)</x:f>
        <x:v>0</x:v>
      </x:c>
      <x:c r="ED7" s="637" t="n">
        <x:f>SUBTOTAL(9,ED10:ED204)</x:f>
        <x:v>0</x:v>
      </x:c>
      <x:c r="EE7" s="637" t="n">
        <x:f>SUBTOTAL(9,EE10:EE204)</x:f>
        <x:v>0</x:v>
      </x:c>
      <x:c r="EF7" s="637" t="n">
        <x:f>SUBTOTAL(9,EF10:EF204)</x:f>
        <x:v>0</x:v>
      </x:c>
      <x:c r="EG7" s="637" t="n">
        <x:f>SUBTOTAL(9,EG10:EG204)</x:f>
        <x:v>0</x:v>
      </x:c>
      <x:c r="EH7" s="637" t="n">
        <x:f>SUBTOTAL(9,EH10:EH204)</x:f>
        <x:v>0</x:v>
      </x:c>
      <x:c r="EI7" s="637" t="n">
        <x:f>SUBTOTAL(9,EI10:EI204)</x:f>
        <x:v>0</x:v>
      </x:c>
      <x:c r="EJ7" s="637" t="n">
        <x:f>SUBTOTAL(9,EJ10:EJ204)</x:f>
        <x:v>0</x:v>
      </x:c>
      <x:c r="EK7" s="637" t="n">
        <x:f>SUBTOTAL(9,EK10:EK204)</x:f>
        <x:v>0</x:v>
      </x:c>
      <x:c r="EL7" s="637" t="n">
        <x:f>SUBTOTAL(9,EL10:EL204)</x:f>
        <x:v>0</x:v>
      </x:c>
      <x:c r="EM7" s="637" t="n">
        <x:f>SUBTOTAL(9,EM10:EM204)</x:f>
        <x:v>0</x:v>
      </x:c>
      <x:c r="EN7" s="637" t="n">
        <x:f>SUBTOTAL(9,EN10:EN204)</x:f>
        <x:v>0</x:v>
      </x:c>
      <x:c r="EO7" s="637" t="n">
        <x:f>SUBTOTAL(9,EO10:EO204)</x:f>
        <x:v>0</x:v>
      </x:c>
      <x:c r="EP7" s="637" t="n">
        <x:f>SUBTOTAL(9,EP10:EP204)</x:f>
        <x:v>0</x:v>
      </x:c>
      <x:c r="EQ7" s="637" t="n">
        <x:f>SUBTOTAL(9,EQ10:EQ204)</x:f>
        <x:v>0</x:v>
      </x:c>
      <x:c r="ER7" s="637" t="n">
        <x:f>SUBTOTAL(9,ER10:ER204)</x:f>
        <x:v>0</x:v>
      </x:c>
      <x:c r="ES7" s="637" t="n">
        <x:f>SUBTOTAL(9,ES10:ES204)</x:f>
        <x:v>0</x:v>
      </x:c>
      <x:c r="ET7" s="637" t="n">
        <x:f>SUBTOTAL(9,ET10:ET204)</x:f>
        <x:v>0</x:v>
      </x:c>
      <x:c r="EU7" s="637" t="n">
        <x:f>SUBTOTAL(9,EU10:EU204)</x:f>
        <x:v>0</x:v>
      </x:c>
      <x:c r="EV7" s="637" t="n">
        <x:f>SUBTOTAL(9,EV10:EV204)</x:f>
        <x:v>0</x:v>
      </x:c>
      <x:c r="EW7" s="637" t="n">
        <x:f>SUBTOTAL(9,EW10:EW204)</x:f>
        <x:v>0</x:v>
      </x:c>
      <x:c r="EX7" s="637" t="n">
        <x:f>SUBTOTAL(9,EX10:EX204)</x:f>
        <x:v>0</x:v>
      </x:c>
      <x:c r="EY7" s="637" t="n">
        <x:f>SUBTOTAL(9,EY10:EY204)</x:f>
        <x:v>0</x:v>
      </x:c>
      <x:c r="EZ7" s="637" t="n">
        <x:f>SUBTOTAL(9,EZ10:EZ204)</x:f>
        <x:v>0</x:v>
      </x:c>
      <x:c r="FA7" s="637" t="n">
        <x:f>SUBTOTAL(9,FA10:FA204)</x:f>
        <x:v>0</x:v>
      </x:c>
      <x:c r="FB7" s="637" t="n">
        <x:f>SUBTOTAL(9,FB10:FB204)</x:f>
        <x:v>0</x:v>
      </x:c>
      <x:c r="FC7" s="637" t="n">
        <x:f>SUBTOTAL(9,FC10:FC204)</x:f>
        <x:v>0</x:v>
      </x:c>
      <x:c r="FD7" s="637" t="n">
        <x:f>SUBTOTAL(9,FD10:FD204)</x:f>
        <x:v>0</x:v>
      </x:c>
      <x:c r="FE7" s="637" t="n">
        <x:f>SUBTOTAL(9,FE10:FE204)</x:f>
        <x:v>0</x:v>
      </x:c>
      <x:c r="FF7" s="637" t="n">
        <x:f>SUBTOTAL(9,FF10:FF204)</x:f>
        <x:v>0</x:v>
      </x:c>
      <x:c r="FG7" s="637" t="n">
        <x:f>SUBTOTAL(9,FG10:FG204)</x:f>
        <x:v>0</x:v>
      </x:c>
      <x:c r="FH7" s="637" t="n">
        <x:f>SUBTOTAL(9,FH10:FH204)</x:f>
        <x:v>0</x:v>
      </x:c>
      <x:c r="FI7" s="637" t="n">
        <x:f>SUBTOTAL(9,FI10:FI204)</x:f>
        <x:v>0</x:v>
      </x:c>
      <x:c r="FJ7" s="637" t="n">
        <x:f>SUBTOTAL(9,FJ10:FJ204)</x:f>
        <x:v>0</x:v>
      </x:c>
      <x:c r="FK7" s="637" t="n">
        <x:f>SUBTOTAL(9,FK10:FK204)</x:f>
        <x:v>0</x:v>
      </x:c>
      <x:c r="FL7" s="637" t="n">
        <x:f>SUBTOTAL(9,FL10:FL204)</x:f>
        <x:v>0</x:v>
      </x:c>
      <x:c r="FM7" s="637" t="n">
        <x:f>SUBTOTAL(9,FM10:FM204)</x:f>
        <x:v>0</x:v>
      </x:c>
      <x:c r="FN7" s="637" t="n">
        <x:f>SUBTOTAL(9,FN10:FN204)</x:f>
        <x:v>0</x:v>
      </x:c>
      <x:c r="FO7" s="637" t="n">
        <x:f>SUBTOTAL(9,FO10:FO204)</x:f>
        <x:v>0</x:v>
      </x:c>
      <x:c r="FP7" s="637" t="n">
        <x:f>SUBTOTAL(9,FP10:FP204)</x:f>
        <x:v>0</x:v>
      </x:c>
      <x:c r="FQ7" s="637" t="n">
        <x:f>SUBTOTAL(9,FQ10:FQ204)</x:f>
        <x:v>0</x:v>
      </x:c>
      <x:c r="FR7" s="637" t="n">
        <x:f>SUBTOTAL(9,FR10:FR204)</x:f>
        <x:v>0</x:v>
      </x:c>
      <x:c r="FS7" s="637" t="n">
        <x:f>SUBTOTAL(9,FS10:FS204)</x:f>
        <x:v>0</x:v>
      </x:c>
      <x:c r="FT7" s="637" t="n">
        <x:f>SUBTOTAL(9,FT10:FT204)</x:f>
        <x:v>0</x:v>
      </x:c>
      <x:c r="FU7" s="637" t="n">
        <x:f>SUBTOTAL(9,FU10:FU204)</x:f>
        <x:v>0</x:v>
      </x:c>
      <x:c r="FV7" s="637" t="n">
        <x:f>SUBTOTAL(9,FV10:FV204)</x:f>
        <x:v>0</x:v>
      </x:c>
      <x:c r="FW7" s="637" t="n">
        <x:f>SUBTOTAL(9,FW10:FW204)</x:f>
        <x:v>0</x:v>
      </x:c>
      <x:c r="FX7" s="637" t="n">
        <x:f>SUBTOTAL(9,FX10:FX204)</x:f>
        <x:v>0</x:v>
      </x:c>
      <x:c r="FY7" s="637" t="n">
        <x:f>SUBTOTAL(9,FY10:FY204)</x:f>
        <x:v>0</x:v>
      </x:c>
      <x:c r="FZ7" s="637" t="n">
        <x:f>SUBTOTAL(9,FZ10:FZ204)</x:f>
        <x:v>0</x:v>
      </x:c>
      <x:c r="GA7" s="637" t="n">
        <x:f>SUBTOTAL(9,GA10:GA204)</x:f>
        <x:v>0</x:v>
      </x:c>
    </x:row>
    <x:row r="8" s="26" customFormat="1" ht="14.25" customHeight="1">
      <x:c r="A8" s="52" t="inlineStr">
        <x:is>
          <x:t xml:space="preserve">NOTES</x:t>
        </x:is>
      </x:c>
      <x:c r="B8" s="639" t="n"/>
      <x:c r="C8" s="51" t="inlineStr">
        <x:is>
          <x:t xml:space="preserve">NET ACRES</x:t>
        </x:is>
      </x:c>
      <x:c r="D8" s="50" t="inlineStr">
        <x:is>
          <x:t xml:space="preserve">OWNERS</x:t>
        </x:is>
      </x:c>
      <x:c r="E8" s="49" t="inlineStr">
        <x:is>
          <x:t xml:space="preserve">TOTAL </x:t>
        </x:is>
      </x:c>
      <x:c r="F8" s="640" t="n"/>
      <x:c r="G8" s="641" t="n"/>
      <x:c r="H8" s="642" t="n"/>
      <x:c r="I8" s="642" t="n"/>
      <x:c r="J8" s="642" t="n"/>
      <x:c r="K8" s="642" t="n"/>
      <x:c r="L8" s="642" t="n"/>
      <x:c r="M8" s="642" t="n"/>
      <x:c r="N8" s="642" t="n"/>
      <x:c r="O8" s="642" t="n"/>
      <x:c r="P8" s="642" t="n"/>
      <x:c r="Q8" s="642" t="n"/>
      <x:c r="R8" s="642" t="n"/>
      <x:c r="S8" s="642" t="n"/>
      <x:c r="T8" s="642" t="n"/>
      <x:c r="U8" s="642" t="n"/>
      <x:c r="V8" s="642" t="n"/>
      <x:c r="W8" s="642" t="n"/>
      <x:c r="X8" s="642" t="n"/>
      <x:c r="Y8" s="642" t="n"/>
      <x:c r="Z8" s="642" t="n"/>
      <x:c r="AA8" s="642" t="n"/>
      <x:c r="AB8" s="642" t="n"/>
      <x:c r="AC8" s="642" t="n"/>
      <x:c r="AD8" s="642" t="n"/>
      <x:c r="AE8" s="642" t="n"/>
      <x:c r="AF8" s="642" t="n"/>
      <x:c r="AG8" s="642" t="n"/>
      <x:c r="AH8" s="642" t="n"/>
      <x:c r="AI8" s="642" t="n"/>
      <x:c r="AJ8" s="642" t="n"/>
      <x:c r="AK8" s="642" t="n"/>
      <x:c r="AL8" s="642" t="n"/>
      <x:c r="AM8" s="642" t="n"/>
      <x:c r="AN8" s="642" t="n"/>
      <x:c r="AO8" s="642" t="n"/>
      <x:c r="AP8" s="642" t="n"/>
      <x:c r="AQ8" s="642" t="n"/>
      <x:c r="AR8" s="642" t="n"/>
      <x:c r="AS8" s="642" t="n"/>
      <x:c r="AT8" s="642" t="n"/>
      <x:c r="AU8" s="642" t="n"/>
      <x:c r="AV8" s="642" t="n"/>
      <x:c r="AW8" s="642" t="n"/>
      <x:c r="AX8" s="642" t="n"/>
      <x:c r="AY8" s="642" t="n"/>
      <x:c r="AZ8" s="642" t="n"/>
      <x:c r="BA8" s="642" t="n"/>
      <x:c r="BB8" s="642" t="n"/>
      <x:c r="BC8" s="642" t="n"/>
      <x:c r="BD8" s="642" t="n"/>
      <x:c r="BE8" s="642" t="n"/>
      <x:c r="BF8" s="642" t="n"/>
      <x:c r="BG8" s="642" t="n"/>
      <x:c r="BH8" s="642" t="n"/>
      <x:c r="BI8" s="642" t="n"/>
      <x:c r="BJ8" s="642" t="n"/>
      <x:c r="BK8" s="642" t="n"/>
      <x:c r="BL8" s="642" t="n"/>
      <x:c r="BM8" s="642" t="n"/>
      <x:c r="BN8" s="642" t="n"/>
      <x:c r="BO8" s="642" t="n"/>
      <x:c r="BP8" s="642" t="n"/>
      <x:c r="BQ8" s="642" t="n"/>
      <x:c r="BR8" s="642" t="n"/>
      <x:c r="BS8" s="642" t="n"/>
      <x:c r="BT8" s="642" t="n"/>
      <x:c r="BU8" s="642" t="n"/>
      <x:c r="BV8" s="642" t="n"/>
      <x:c r="BW8" s="642" t="n"/>
      <x:c r="BX8" s="642" t="n"/>
      <x:c r="BY8" s="642" t="n"/>
      <x:c r="BZ8" s="642" t="n"/>
      <x:c r="CA8" s="642" t="n"/>
      <x:c r="CB8" s="642" t="n"/>
      <x:c r="CC8" s="642" t="n"/>
      <x:c r="CD8" s="642" t="n"/>
      <x:c r="CE8" s="642" t="n"/>
      <x:c r="CF8" s="642" t="n"/>
      <x:c r="CG8" s="642" t="n"/>
      <x:c r="CH8" s="642" t="n"/>
      <x:c r="CI8" s="642" t="n"/>
      <x:c r="CJ8" s="642" t="n"/>
      <x:c r="CK8" s="642" t="n"/>
      <x:c r="CL8" s="642" t="n"/>
      <x:c r="CM8" s="642" t="n"/>
      <x:c r="CN8" s="642" t="n"/>
      <x:c r="CO8" s="642" t="n"/>
      <x:c r="CP8" s="642" t="n"/>
      <x:c r="CQ8" s="642" t="n"/>
      <x:c r="CR8" s="642" t="n"/>
      <x:c r="CS8" s="642" t="n"/>
      <x:c r="CT8" s="642" t="n"/>
      <x:c r="CU8" s="642" t="n"/>
      <x:c r="CV8" s="642" t="n"/>
      <x:c r="CW8" s="642" t="n"/>
      <x:c r="CX8" s="642" t="n"/>
      <x:c r="CY8" s="642" t="n"/>
      <x:c r="CZ8" s="642" t="n"/>
      <x:c r="DA8" s="642" t="n"/>
      <x:c r="DB8" s="642" t="n"/>
      <x:c r="DC8" s="642" t="n"/>
      <x:c r="DD8" s="642" t="n"/>
      <x:c r="DE8" s="642" t="n"/>
      <x:c r="DF8" s="642" t="n"/>
      <x:c r="DG8" s="642" t="n"/>
      <x:c r="DH8" s="642" t="n"/>
      <x:c r="DI8" s="642" t="n"/>
      <x:c r="DJ8" s="642" t="n"/>
      <x:c r="DK8" s="642" t="n"/>
      <x:c r="DL8" s="642" t="n"/>
      <x:c r="DM8" s="642" t="n"/>
      <x:c r="DN8" s="642" t="n"/>
      <x:c r="DO8" s="642" t="n"/>
      <x:c r="DP8" s="642" t="n"/>
      <x:c r="DQ8" s="642" t="n"/>
      <x:c r="DR8" s="642" t="n"/>
      <x:c r="DS8" s="642" t="n"/>
      <x:c r="DT8" s="642" t="n"/>
      <x:c r="DU8" s="642" t="n"/>
      <x:c r="DV8" s="642" t="n"/>
      <x:c r="DW8" s="642" t="n"/>
      <x:c r="DX8" s="642" t="n"/>
      <x:c r="DY8" s="642" t="n"/>
      <x:c r="DZ8" s="642" t="n"/>
      <x:c r="EA8" s="642" t="n"/>
      <x:c r="EB8" s="642" t="n"/>
      <x:c r="EC8" s="642" t="n"/>
      <x:c r="ED8" s="642" t="n"/>
      <x:c r="EE8" s="642" t="n"/>
      <x:c r="EF8" s="642" t="n"/>
      <x:c r="EG8" s="642" t="n"/>
      <x:c r="EH8" s="642" t="n"/>
      <x:c r="EI8" s="642" t="n"/>
      <x:c r="EJ8" s="642" t="n"/>
      <x:c r="EK8" s="642" t="n"/>
      <x:c r="EL8" s="642" t="n"/>
      <x:c r="EM8" s="642" t="n"/>
      <x:c r="EN8" s="642" t="n"/>
      <x:c r="EO8" s="642" t="n"/>
      <x:c r="EP8" s="642" t="n"/>
      <x:c r="EQ8" s="642" t="n"/>
      <x:c r="ER8" s="642" t="n"/>
      <x:c r="ES8" s="642" t="n"/>
      <x:c r="ET8" s="642" t="n"/>
      <x:c r="EU8" s="642" t="n"/>
      <x:c r="EV8" s="642" t="n"/>
      <x:c r="EW8" s="642" t="n"/>
      <x:c r="EX8" s="642" t="n"/>
      <x:c r="EY8" s="642" t="n"/>
      <x:c r="EZ8" s="642" t="n"/>
      <x:c r="FA8" s="642" t="n"/>
      <x:c r="FB8" s="642" t="n"/>
      <x:c r="FC8" s="642" t="n"/>
      <x:c r="FD8" s="642" t="n"/>
      <x:c r="FE8" s="642" t="n"/>
      <x:c r="FF8" s="642" t="n"/>
      <x:c r="FG8" s="642" t="n"/>
      <x:c r="FH8" s="642" t="n"/>
      <x:c r="FI8" s="642" t="n"/>
      <x:c r="FJ8" s="642" t="n"/>
      <x:c r="FK8" s="642" t="n"/>
      <x:c r="FL8" s="642" t="n"/>
      <x:c r="FM8" s="642" t="n"/>
      <x:c r="FN8" s="642" t="n"/>
      <x:c r="FO8" s="642" t="n"/>
      <x:c r="FP8" s="642" t="n"/>
      <x:c r="FQ8" s="642" t="n"/>
      <x:c r="FR8" s="642" t="n"/>
      <x:c r="FS8" s="642" t="n"/>
      <x:c r="FT8" s="642" t="n"/>
      <x:c r="FU8" s="642" t="n"/>
      <x:c r="FV8" s="642" t="n"/>
      <x:c r="FW8" s="642" t="n"/>
      <x:c r="FX8" s="642" t="n"/>
      <x:c r="FY8" s="642" t="n"/>
      <x:c r="FZ8" s="642" t="n"/>
      <x:c r="GA8" s="642" t="n"/>
    </x:row>
    <x:row r="9" s="40" customFormat="1" ht="12.75" customHeight="1">
      <x:c r="A9" s="48" t="n"/>
      <x:c r="B9" s="47" t="n"/>
      <x:c r="C9" s="45" t="n"/>
      <x:c r="D9" s="46" t="n"/>
      <x:c r="E9" s="45" t="n"/>
      <x:c r="F9" s="44" t="n"/>
      <x:c r="G9" s="43" t="n"/>
      <x:c r="H9" s="41" t="n"/>
      <x:c r="I9" s="42" t="n"/>
      <x:c r="J9" s="41" t="n"/>
      <x:c r="K9" s="41" t="n"/>
      <x:c r="L9" s="41" t="n"/>
      <x:c r="M9" s="41" t="n"/>
      <x:c r="N9" s="41" t="n"/>
      <x:c r="O9" s="41" t="n"/>
      <x:c r="P9" s="41" t="n"/>
      <x:c r="Q9" s="41" t="n"/>
      <x:c r="R9" s="99" t="n"/>
      <x:c r="S9" s="99" t="n"/>
      <x:c r="T9" s="41" t="n"/>
      <x:c r="U9" s="41" t="n"/>
      <x:c r="V9" s="41" t="n"/>
      <x:c r="W9" s="41" t="n"/>
      <x:c r="X9" s="41" t="n"/>
      <x:c r="Y9" s="41" t="n"/>
      <x:c r="Z9" s="41" t="n"/>
      <x:c r="AA9" s="41" t="n"/>
      <x:c r="AB9" s="41" t="n"/>
      <x:c r="AC9" s="41" t="n"/>
      <x:c r="AD9" s="41" t="n"/>
      <x:c r="AE9" s="99" t="n"/>
      <x:c r="AF9" s="99" t="n"/>
      <x:c r="AG9" s="99" t="n"/>
      <x:c r="AH9" s="99" t="n"/>
      <x:c r="AI9" s="99" t="n"/>
      <x:c r="AJ9" s="99" t="n"/>
      <x:c r="AK9" s="99" t="n"/>
      <x:c r="AL9" s="41" t="n"/>
      <x:c r="AM9" s="99" t="n"/>
      <x:c r="AN9" s="41" t="n"/>
      <x:c r="AO9" s="99" t="n"/>
      <x:c r="AP9" s="41" t="n"/>
      <x:c r="AQ9" s="41" t="n"/>
      <x:c r="AR9" s="41" t="n"/>
      <x:c r="AS9" s="41" t="n"/>
      <x:c r="AT9" s="41" t="n"/>
      <x:c r="AU9" s="41" t="n"/>
      <x:c r="AV9" s="41" t="n"/>
      <x:c r="AW9" s="41" t="n"/>
      <x:c r="AX9" s="41" t="n"/>
      <x:c r="AY9" s="41" t="n"/>
      <x:c r="AZ9" s="41" t="n"/>
      <x:c r="BA9" s="41" t="n"/>
      <x:c r="BB9" s="41" t="n"/>
      <x:c r="BC9" s="41" t="n"/>
      <x:c r="BD9" s="41" t="n"/>
      <x:c r="BE9" s="41" t="n"/>
      <x:c r="BF9" s="41" t="n"/>
      <x:c r="BG9" s="41" t="n"/>
      <x:c r="BH9" s="41" t="n"/>
      <x:c r="BI9" s="41" t="n"/>
      <x:c r="BJ9" s="41" t="n"/>
      <x:c r="BK9" s="41" t="n"/>
      <x:c r="BL9" s="41" t="n"/>
      <x:c r="BM9" s="41" t="n"/>
      <x:c r="BN9" s="41" t="n"/>
      <x:c r="BO9" s="41" t="n"/>
      <x:c r="BP9" s="41" t="n"/>
      <x:c r="BQ9" s="41" t="n"/>
      <x:c r="BR9" s="41" t="n"/>
      <x:c r="BS9" s="41" t="n"/>
      <x:c r="BT9" s="41" t="n"/>
      <x:c r="BU9" s="41" t="n"/>
      <x:c r="BV9" s="41" t="n"/>
      <x:c r="BW9" s="41" t="n"/>
      <x:c r="BX9" s="41" t="n"/>
      <x:c r="BY9" s="41" t="n"/>
      <x:c r="BZ9" s="41" t="n"/>
      <x:c r="CA9" s="41" t="n"/>
      <x:c r="CB9" s="41" t="n"/>
      <x:c r="CC9" s="41" t="n"/>
      <x:c r="CD9" s="41" t="n"/>
      <x:c r="CE9" s="41" t="n"/>
      <x:c r="CF9" s="41" t="n"/>
      <x:c r="CG9" s="41" t="n"/>
      <x:c r="CH9" s="41" t="n"/>
      <x:c r="CI9" s="41" t="n"/>
      <x:c r="CJ9" s="41" t="n"/>
      <x:c r="CK9" s="41" t="n"/>
      <x:c r="CL9" s="41" t="n"/>
      <x:c r="CM9" s="41" t="n"/>
      <x:c r="CN9" s="41" t="n"/>
      <x:c r="CO9" s="41" t="n"/>
      <x:c r="CP9" s="41" t="n"/>
      <x:c r="CQ9" s="41" t="n"/>
      <x:c r="CR9" s="41" t="n"/>
      <x:c r="CS9" s="41" t="n"/>
      <x:c r="CT9" s="41" t="n"/>
      <x:c r="CU9" s="41" t="n"/>
      <x:c r="CV9" s="41" t="n"/>
      <x:c r="CW9" s="41" t="n"/>
      <x:c r="CX9" s="41" t="n"/>
      <x:c r="CY9" s="41" t="n"/>
      <x:c r="CZ9" s="41" t="n"/>
      <x:c r="DA9" s="41" t="n"/>
      <x:c r="DB9" s="41" t="n"/>
      <x:c r="DC9" s="41" t="n"/>
      <x:c r="DD9" s="41" t="n"/>
      <x:c r="DE9" s="41" t="n"/>
      <x:c r="DF9" s="41" t="n"/>
      <x:c r="DG9" s="41" t="n"/>
      <x:c r="DH9" s="41" t="n"/>
      <x:c r="DI9" s="41" t="n"/>
      <x:c r="DJ9" s="41" t="n"/>
      <x:c r="DK9" s="41" t="n"/>
      <x:c r="DL9" s="41" t="n"/>
      <x:c r="DM9" s="41" t="n"/>
      <x:c r="DN9" s="41" t="n"/>
      <x:c r="DO9" s="41" t="n"/>
      <x:c r="DP9" s="41" t="n"/>
      <x:c r="DQ9" s="41" t="n"/>
      <x:c r="DR9" s="41" t="n"/>
      <x:c r="DS9" s="41" t="n"/>
      <x:c r="DT9" s="41" t="n"/>
      <x:c r="DU9" s="41" t="n"/>
      <x:c r="DV9" s="41" t="n"/>
      <x:c r="DW9" s="41" t="n"/>
      <x:c r="DX9" s="41" t="n"/>
      <x:c r="DY9" s="41" t="n"/>
      <x:c r="DZ9" s="41" t="n"/>
      <x:c r="EA9" s="41" t="n"/>
      <x:c r="EB9" s="41" t="n"/>
      <x:c r="EC9" s="41" t="n"/>
      <x:c r="ED9" s="41" t="n"/>
      <x:c r="EE9" s="41" t="n"/>
      <x:c r="EF9" s="41" t="n"/>
      <x:c r="EG9" s="41" t="n"/>
      <x:c r="EH9" s="41" t="n"/>
      <x:c r="EI9" s="41" t="n"/>
      <x:c r="EJ9" s="41" t="n"/>
      <x:c r="EK9" s="41" t="n"/>
      <x:c r="EL9" s="41" t="n"/>
      <x:c r="EM9" s="41" t="n"/>
      <x:c r="EN9" s="41" t="n"/>
      <x:c r="EO9" s="41" t="n"/>
      <x:c r="EP9" s="41" t="n"/>
      <x:c r="EQ9" s="41" t="n"/>
      <x:c r="ER9" s="41" t="n"/>
      <x:c r="ES9" s="41" t="n"/>
      <x:c r="ET9" s="41" t="n"/>
      <x:c r="EU9" s="41" t="n"/>
      <x:c r="EV9" s="41" t="n"/>
      <x:c r="EW9" s="41" t="n"/>
      <x:c r="EX9" s="41" t="n"/>
      <x:c r="EY9" s="41" t="n"/>
      <x:c r="EZ9" s="41" t="n"/>
      <x:c r="FA9" s="41" t="n"/>
      <x:c r="FB9" s="41" t="n"/>
      <x:c r="FC9" s="41" t="n"/>
      <x:c r="FD9" s="41" t="n"/>
      <x:c r="FE9" s="41" t="n"/>
      <x:c r="FF9" s="41" t="n"/>
      <x:c r="FG9" s="41" t="n"/>
      <x:c r="FH9" s="41" t="n"/>
      <x:c r="FI9" s="41" t="n"/>
      <x:c r="FJ9" s="41" t="n"/>
      <x:c r="FK9" s="41" t="n"/>
      <x:c r="FL9" s="41" t="n"/>
      <x:c r="FM9" s="41" t="n"/>
      <x:c r="FN9" s="41" t="n"/>
      <x:c r="FO9" s="41" t="n"/>
      <x:c r="FP9" s="41" t="n"/>
      <x:c r="FQ9" s="41" t="n"/>
      <x:c r="FR9" s="41" t="n"/>
      <x:c r="FS9" s="41" t="n"/>
      <x:c r="FT9" s="41" t="n"/>
      <x:c r="FU9" s="41" t="n"/>
      <x:c r="FV9" s="41" t="n"/>
      <x:c r="FW9" s="41" t="n"/>
      <x:c r="FX9" s="41" t="n"/>
      <x:c r="FY9" s="41" t="n"/>
      <x:c r="FZ9" s="41" t="n"/>
      <x:c r="GA9" s="41" t="n"/>
    </x:row>
    <x:row r="10" s="27" customFormat="1">
      <x:c r="A10" s="38" t="n"/>
      <x:c r="B10" s="37" t="n"/>
      <x:c r="C10" s="36" t="n">
        <x:f>E10*D$5</x:f>
        <x:v>0</x:v>
      </x:c>
      <x:c r="D10" s="103" t="inlineStr">
        <x:is>
          <x:t xml:space="preserve">United States of America</x:t>
        </x:is>
      </x:c>
      <x:c r="E10" s="36" t="n">
        <x:f>SUM(G10:HT10)</x:f>
        <x:v>0</x:v>
      </x:c>
      <x:c r="F10" s="35" t="inlineStr">
        <x:is>
          <x:t xml:space="preserve"/>
        </x:is>
      </x:c>
      <x:c r="G10" s="121" t="n">
        <x:v>1</x:v>
      </x:c>
      <x:c r="H10" s="122" t="n">
        <x:v>-1</x:v>
      </x:c>
      <x:c r="I10" s="121" t="n"/>
      <x:c r="J10" s="121" t="n"/>
      <x:c r="K10" s="122" t="n"/>
      <x:c r="L10" s="121" t="n"/>
      <x:c r="M10" s="121" t="n"/>
      <x:c r="N10" s="121" t="n"/>
      <x:c r="O10" s="121" t="n"/>
      <x:c r="P10" s="121" t="n"/>
      <x:c r="Q10" s="121" t="n"/>
      <x:c r="R10" s="123" t="n"/>
      <x:c r="S10" s="123" t="n"/>
      <x:c r="T10" s="121" t="n"/>
      <x:c r="U10" s="121" t="n"/>
      <x:c r="V10" s="121" t="n"/>
      <x:c r="W10" s="121" t="n"/>
      <x:c r="X10" s="121" t="n"/>
      <x:c r="Y10" s="121" t="n"/>
      <x:c r="Z10" s="121" t="n"/>
      <x:c r="AA10" s="121" t="n"/>
      <x:c r="AB10" s="121" t="n"/>
      <x:c r="AC10" s="121" t="n"/>
      <x:c r="AD10" s="121" t="n"/>
      <x:c r="AE10" s="123" t="n"/>
      <x:c r="AF10" s="123" t="n"/>
      <x:c r="AG10" s="123" t="n"/>
      <x:c r="AH10" s="123" t="n"/>
      <x:c r="AI10" s="123" t="n"/>
      <x:c r="AJ10" s="123" t="n"/>
      <x:c r="AK10" s="123" t="n"/>
      <x:c r="AL10" s="121" t="n"/>
      <x:c r="AM10" s="123" t="n"/>
      <x:c r="AN10" s="121" t="n"/>
      <x:c r="AO10" s="123" t="n"/>
      <x:c r="AP10" s="121" t="n"/>
      <x:c r="AQ10" s="121" t="n"/>
      <x:c r="AR10" s="28" t="n"/>
      <x:c r="AS10" s="28" t="n"/>
      <x:c r="AT10" s="28" t="n"/>
      <x:c r="AU10" s="28" t="n"/>
      <x:c r="AV10" s="28" t="n"/>
      <x:c r="AW10" s="28" t="n"/>
      <x:c r="AX10" s="28" t="n"/>
      <x:c r="AY10" s="28" t="n"/>
      <x:c r="AZ10" s="28" t="n"/>
      <x:c r="BA10" s="28" t="n"/>
      <x:c r="BB10" s="28" t="n"/>
      <x:c r="BC10" s="28" t="n"/>
      <x:c r="BD10" s="28" t="n"/>
      <x:c r="BE10" s="28" t="n"/>
      <x:c r="BF10" s="28" t="n"/>
      <x:c r="BG10" s="28" t="n"/>
      <x:c r="BH10" s="28" t="n"/>
      <x:c r="BI10" s="28" t="n"/>
      <x:c r="BJ10" s="28" t="n"/>
      <x:c r="BK10" s="28" t="n"/>
      <x:c r="BL10" s="28" t="n"/>
      <x:c r="BM10" s="28" t="n"/>
      <x:c r="BN10" s="28" t="n"/>
      <x:c r="BO10" s="28" t="n"/>
      <x:c r="BP10" s="28" t="n"/>
      <x:c r="BQ10" s="28" t="n"/>
      <x:c r="BR10" s="28" t="n"/>
      <x:c r="BS10" s="28" t="n"/>
      <x:c r="BT10" s="28" t="n"/>
      <x:c r="BU10" s="28" t="n"/>
      <x:c r="BV10" s="28" t="n"/>
      <x:c r="BW10" s="28" t="n"/>
      <x:c r="BX10" s="28" t="n"/>
      <x:c r="BY10" s="28" t="n"/>
      <x:c r="BZ10" s="28" t="n"/>
      <x:c r="CA10" s="28" t="n"/>
      <x:c r="CB10" s="28" t="n"/>
      <x:c r="CC10" s="28" t="n"/>
      <x:c r="CD10" s="28" t="n"/>
      <x:c r="CE10" s="28" t="n"/>
      <x:c r="CF10" s="28" t="n"/>
      <x:c r="CG10" s="28" t="n"/>
      <x:c r="CH10" s="28" t="n"/>
      <x:c r="CI10" s="28" t="n"/>
      <x:c r="CJ10" s="28" t="n"/>
      <x:c r="CK10" s="28" t="n"/>
      <x:c r="CL10" s="28" t="n"/>
      <x:c r="CM10" s="28" t="n"/>
      <x:c r="CN10" s="28" t="n"/>
      <x:c r="CO10" s="28" t="n"/>
      <x:c r="CP10" s="28" t="n"/>
      <x:c r="CQ10" s="28" t="n"/>
      <x:c r="CR10" s="28" t="n"/>
      <x:c r="CS10" s="28" t="n"/>
      <x:c r="CT10" s="28" t="n"/>
      <x:c r="CU10" s="28" t="n"/>
      <x:c r="CV10" s="28" t="n"/>
      <x:c r="CW10" s="28" t="n"/>
      <x:c r="CX10" s="28" t="n"/>
      <x:c r="CY10" s="28" t="n"/>
      <x:c r="CZ10" s="28" t="n"/>
      <x:c r="DA10" s="28" t="n"/>
      <x:c r="DB10" s="28" t="n"/>
      <x:c r="DC10" s="28" t="n"/>
      <x:c r="DD10" s="28" t="n"/>
      <x:c r="DE10" s="28" t="n"/>
      <x:c r="DF10" s="28" t="n"/>
      <x:c r="DG10" s="28" t="n"/>
      <x:c r="DH10" s="28" t="n"/>
      <x:c r="DI10" s="28" t="n"/>
      <x:c r="DJ10" s="28" t="n"/>
      <x:c r="DK10" s="28" t="n"/>
      <x:c r="DL10" s="28" t="n"/>
      <x:c r="DM10" s="28" t="n"/>
      <x:c r="DN10" s="28" t="n"/>
      <x:c r="DO10" s="28" t="n"/>
      <x:c r="DP10" s="28" t="n"/>
      <x:c r="DQ10" s="28" t="n"/>
      <x:c r="DR10" s="28" t="n"/>
      <x:c r="DS10" s="28" t="n"/>
      <x:c r="DT10" s="28" t="n"/>
      <x:c r="DU10" s="28" t="n"/>
      <x:c r="DV10" s="28" t="n"/>
      <x:c r="DW10" s="28" t="n"/>
      <x:c r="DX10" s="28" t="n"/>
      <x:c r="DY10" s="28" t="n"/>
      <x:c r="DZ10" s="28" t="n"/>
      <x:c r="EA10" s="28" t="n"/>
      <x:c r="EB10" s="28" t="n"/>
      <x:c r="EC10" s="28" t="n"/>
      <x:c r="ED10" s="28" t="n"/>
      <x:c r="EE10" s="28" t="n"/>
      <x:c r="EF10" s="28" t="n"/>
      <x:c r="EG10" s="28" t="n"/>
      <x:c r="EH10" s="28" t="n"/>
      <x:c r="EI10" s="28" t="n"/>
      <x:c r="EJ10" s="28" t="n"/>
      <x:c r="EK10" s="28" t="n"/>
      <x:c r="EL10" s="28" t="n"/>
      <x:c r="EM10" s="28" t="n"/>
      <x:c r="EN10" s="28" t="n"/>
      <x:c r="EO10" s="28" t="n"/>
      <x:c r="EP10" s="28" t="n"/>
      <x:c r="EQ10" s="28" t="n"/>
      <x:c r="ER10" s="28" t="n"/>
      <x:c r="ES10" s="28" t="n"/>
      <x:c r="ET10" s="28" t="n"/>
      <x:c r="EU10" s="28" t="n"/>
      <x:c r="EV10" s="28" t="n"/>
      <x:c r="EW10" s="28" t="n"/>
      <x:c r="EX10" s="28" t="n"/>
      <x:c r="EY10" s="28" t="n"/>
      <x:c r="EZ10" s="28" t="n"/>
      <x:c r="FA10" s="28" t="n"/>
      <x:c r="FB10" s="28" t="n"/>
      <x:c r="FC10" s="28" t="n"/>
      <x:c r="FD10" s="28" t="n"/>
      <x:c r="FE10" s="28" t="n"/>
      <x:c r="FF10" s="28" t="n"/>
      <x:c r="FG10" s="28" t="n"/>
      <x:c r="FH10" s="28" t="n"/>
      <x:c r="FI10" s="28" t="n"/>
      <x:c r="FJ10" s="28" t="n"/>
      <x:c r="FK10" s="28" t="n"/>
      <x:c r="FL10" s="28" t="n"/>
      <x:c r="FM10" s="28" t="n"/>
      <x:c r="FN10" s="28" t="n"/>
      <x:c r="FO10" s="28" t="n"/>
      <x:c r="FP10" s="28" t="n"/>
      <x:c r="FQ10" s="28" t="n"/>
      <x:c r="FR10" s="28" t="n"/>
      <x:c r="FS10" s="28" t="n"/>
      <x:c r="FT10" s="28" t="n"/>
      <x:c r="FU10" s="28" t="n"/>
      <x:c r="FV10" s="28" t="n"/>
      <x:c r="FW10" s="28" t="n"/>
      <x:c r="FX10" s="28" t="n"/>
      <x:c r="FY10" s="28" t="n"/>
      <x:c r="FZ10" s="28" t="n"/>
      <x:c r="GA10" s="28" t="n"/>
    </x:row>
    <x:row r="11" s="27" customFormat="1">
      <x:c r="A11" s="20" t="n"/>
      <x:c r="B11" s="37" t="n"/>
      <x:c r="C11" s="86" t="n">
        <x:f>E11*D$5</x:f>
        <x:v>40</x:v>
      </x:c>
      <x:c r="D11" s="103" t="inlineStr">
        <x:is>
          <x:t xml:space="preserve">Herbert E. McGuire</x:t>
        </x:is>
      </x:c>
      <x:c r="E11" s="86" t="n">
        <x:f>SUM(G11:HS11)</x:f>
        <x:v>1</x:v>
      </x:c>
      <x:c r="F11" s="35" t="inlineStr">
        <x:is>
          <x:t xml:space="preserve"/>
        </x:is>
      </x:c>
      <x:c r="G11" s="121" t="n"/>
      <x:c r="H11" s="121" t="n">
        <x:v>1</x:v>
      </x:c>
      <x:c r="I11" s="122" t="n"/>
      <x:c r="J11" s="121" t="n"/>
      <x:c r="K11" s="121" t="n"/>
      <x:c r="L11" s="121" t="n"/>
      <x:c r="M11" s="121" t="n"/>
      <x:c r="N11" s="121" t="n"/>
      <x:c r="O11" s="121" t="n"/>
      <x:c r="P11" s="123" t="n"/>
      <x:c r="Q11" s="123" t="n"/>
      <x:c r="R11" s="121" t="n"/>
      <x:c r="S11" s="121" t="n"/>
      <x:c r="T11" s="121" t="n"/>
      <x:c r="U11" s="121" t="n"/>
      <x:c r="V11" s="121" t="n"/>
      <x:c r="W11" s="121" t="n"/>
      <x:c r="X11" s="121" t="n"/>
      <x:c r="Y11" s="121" t="n"/>
      <x:c r="Z11" s="121" t="n"/>
      <x:c r="AA11" s="121" t="n"/>
      <x:c r="AB11" s="121" t="n"/>
      <x:c r="AC11" s="124" t="n"/>
      <x:c r="AD11" s="123" t="n"/>
      <x:c r="AE11" s="123" t="n"/>
      <x:c r="AF11" s="123" t="n"/>
      <x:c r="AG11" s="123" t="n"/>
      <x:c r="AH11" s="123" t="n"/>
      <x:c r="AI11" s="123" t="n"/>
      <x:c r="AJ11" s="121" t="n"/>
      <x:c r="AK11" s="123" t="n"/>
      <x:c r="AL11" s="121" t="n"/>
      <x:c r="AM11" s="123" t="n"/>
      <x:c r="AN11" s="121" t="n"/>
      <x:c r="AO11" s="121" t="n"/>
      <x:c r="AP11" s="28" t="n"/>
      <x:c r="AQ11" s="28" t="n"/>
      <x:c r="AR11" s="28" t="n"/>
      <x:c r="AS11" s="28" t="n"/>
      <x:c r="AT11" s="28" t="n"/>
      <x:c r="AU11" s="28" t="n"/>
      <x:c r="AV11" s="28" t="n"/>
      <x:c r="AW11" s="28" t="n"/>
      <x:c r="AX11" s="28" t="n"/>
      <x:c r="AY11" s="28" t="n"/>
      <x:c r="AZ11" s="28" t="n"/>
      <x:c r="BA11" s="28" t="n"/>
      <x:c r="BB11" s="28" t="n"/>
      <x:c r="BC11" s="28" t="n"/>
      <x:c r="BD11" s="28" t="n"/>
      <x:c r="BE11" s="28" t="n"/>
      <x:c r="BF11" s="28" t="n"/>
      <x:c r="BG11" s="28" t="n"/>
      <x:c r="BH11" s="28" t="n"/>
      <x:c r="BI11" s="28" t="n"/>
      <x:c r="BJ11" s="28" t="n"/>
      <x:c r="BK11" s="28" t="n"/>
      <x:c r="BL11" s="28" t="n"/>
      <x:c r="BM11" s="28" t="n"/>
      <x:c r="BN11" s="28" t="n"/>
      <x:c r="BO11" s="28" t="n"/>
      <x:c r="BP11" s="28" t="n"/>
      <x:c r="BQ11" s="28" t="n"/>
      <x:c r="BR11" s="28" t="n"/>
      <x:c r="BS11" s="28" t="n"/>
      <x:c r="BT11" s="28" t="n"/>
      <x:c r="BU11" s="28" t="n"/>
      <x:c r="BV11" s="28" t="n"/>
      <x:c r="BW11" s="28" t="n"/>
      <x:c r="BX11" s="28" t="n"/>
      <x:c r="BY11" s="28" t="n"/>
      <x:c r="BZ11" s="28" t="n"/>
      <x:c r="CA11" s="28" t="n"/>
      <x:c r="CB11" s="28" t="n"/>
      <x:c r="CC11" s="28" t="n"/>
      <x:c r="CD11" s="28" t="n"/>
      <x:c r="CE11" s="28" t="n"/>
      <x:c r="CF11" s="28" t="n"/>
      <x:c r="CG11" s="28" t="n"/>
      <x:c r="CH11" s="28" t="n"/>
      <x:c r="CI11" s="28" t="n"/>
      <x:c r="CJ11" s="28" t="n"/>
      <x:c r="CK11" s="28" t="n"/>
      <x:c r="CL11" s="28" t="n"/>
      <x:c r="CM11" s="28" t="n"/>
      <x:c r="CN11" s="28" t="n"/>
      <x:c r="CO11" s="28" t="n"/>
      <x:c r="CP11" s="28" t="n"/>
      <x:c r="CQ11" s="28" t="n"/>
      <x:c r="CR11" s="28" t="n"/>
      <x:c r="CS11" s="28" t="n"/>
      <x:c r="CT11" s="28" t="n"/>
      <x:c r="CU11" s="28" t="n"/>
      <x:c r="CV11" s="28" t="n"/>
      <x:c r="CW11" s="28" t="n"/>
      <x:c r="CX11" s="28" t="n"/>
      <x:c r="CY11" s="28" t="n"/>
      <x:c r="CZ11" s="28" t="n"/>
      <x:c r="DA11" s="28" t="n"/>
      <x:c r="DB11" s="28" t="n"/>
      <x:c r="DC11" s="28" t="n"/>
      <x:c r="DD11" s="28" t="n"/>
      <x:c r="DE11" s="28" t="n"/>
      <x:c r="DF11" s="28" t="n"/>
      <x:c r="DG11" s="28" t="n"/>
      <x:c r="DH11" s="28" t="n"/>
      <x:c r="DI11" s="28" t="n"/>
      <x:c r="DJ11" s="28" t="n"/>
      <x:c r="DK11" s="28" t="n"/>
      <x:c r="DL11" s="28" t="n"/>
      <x:c r="DM11" s="28" t="n"/>
      <x:c r="DN11" s="28" t="n"/>
      <x:c r="DO11" s="28" t="n"/>
      <x:c r="DP11" s="28" t="n"/>
      <x:c r="DQ11" s="28" t="n"/>
      <x:c r="DR11" s="28" t="n"/>
      <x:c r="DS11" s="28" t="n"/>
      <x:c r="DT11" s="28" t="n"/>
      <x:c r="DU11" s="28" t="n"/>
      <x:c r="DV11" s="28" t="n"/>
      <x:c r="DW11" s="28" t="n"/>
      <x:c r="DX11" s="28" t="n"/>
      <x:c r="DY11" s="28" t="n"/>
      <x:c r="DZ11" s="28" t="n"/>
      <x:c r="EA11" s="28" t="n"/>
      <x:c r="EB11" s="28" t="n"/>
      <x:c r="EC11" s="28" t="n"/>
      <x:c r="ED11" s="28" t="n"/>
      <x:c r="EE11" s="28" t="n"/>
      <x:c r="EF11" s="28" t="n"/>
      <x:c r="EG11" s="28" t="n"/>
      <x:c r="EH11" s="28" t="n"/>
      <x:c r="EI11" s="28" t="n"/>
      <x:c r="EJ11" s="28" t="n"/>
      <x:c r="EK11" s="28" t="n"/>
      <x:c r="EL11" s="28" t="n"/>
      <x:c r="EM11" s="28" t="n"/>
      <x:c r="EN11" s="28" t="n"/>
      <x:c r="EO11" s="28" t="n"/>
      <x:c r="EP11" s="28" t="n"/>
      <x:c r="EQ11" s="28" t="n"/>
      <x:c r="ER11" s="28" t="n"/>
      <x:c r="ES11" s="28" t="n"/>
      <x:c r="ET11" s="28" t="n"/>
      <x:c r="EU11" s="28" t="n"/>
      <x:c r="EV11" s="28" t="n"/>
      <x:c r="EW11" s="28" t="n"/>
      <x:c r="EX11" s="28" t="n"/>
      <x:c r="EY11" s="28" t="n"/>
      <x:c r="EZ11" s="28" t="n"/>
      <x:c r="FA11" s="28" t="n"/>
      <x:c r="FB11" s="28" t="n"/>
      <x:c r="FC11" s="28" t="n"/>
      <x:c r="FD11" s="28" t="n"/>
      <x:c r="FE11" s="28" t="n"/>
      <x:c r="FF11" s="28" t="n"/>
      <x:c r="FG11" s="28" t="n"/>
      <x:c r="FH11" s="28" t="n"/>
      <x:c r="FI11" s="28" t="n"/>
      <x:c r="FJ11" s="28" t="n"/>
      <x:c r="FK11" s="28" t="n"/>
      <x:c r="FL11" s="28" t="n"/>
      <x:c r="FM11" s="28" t="n"/>
      <x:c r="FN11" s="28" t="n"/>
      <x:c r="FO11" s="28" t="n"/>
      <x:c r="FP11" s="28" t="n"/>
      <x:c r="FQ11" s="28" t="n"/>
      <x:c r="FR11" s="28" t="n"/>
      <x:c r="FS11" s="28" t="n"/>
      <x:c r="FT11" s="28" t="n"/>
      <x:c r="FU11" s="28" t="n"/>
      <x:c r="FV11" s="28" t="n"/>
      <x:c r="FW11" s="28" t="n"/>
      <x:c r="FX11" s="28" t="n"/>
      <x:c r="FY11" s="28" t="n"/>
    </x:row>
    <x:row r="12" s="27" customFormat="1">
      <x:c r="A12" s="20" t="n"/>
      <x:c r="B12" s="37" t="n"/>
      <x:c r="C12" s="86" t="n">
        <x:f>E12*D$5</x:f>
        <x:v>-40</x:v>
      </x:c>
      <x:c r="D12" s="410" t="inlineStr">
        <x:is>
          <x:t xml:space="preserve">E. T. Gamble and Zella M. Gamble, HW</x:t>
        </x:is>
      </x:c>
      <x:c r="E12" s="413" t="n">
        <x:f>SUM(G12:HS12)</x:f>
        <x:v>-1</x:v>
      </x:c>
      <x:c r="F12" s="35" t="inlineStr">
        <x:is>
          <x:t xml:space="preserve"/>
        </x:is>
      </x:c>
      <x:c r="G12" s="121" t="n"/>
      <x:c r="H12" s="121" t="n"/>
      <x:c r="I12" s="121" t="n">
        <x:v>-1</x:v>
      </x:c>
      <x:c r="J12" s="121" t="n"/>
      <x:c r="K12" s="121" t="n"/>
      <x:c r="L12" s="121" t="n"/>
      <x:c r="M12" s="121" t="n"/>
      <x:c r="N12" s="121" t="n"/>
      <x:c r="O12" s="121" t="n"/>
      <x:c r="P12" s="123" t="n"/>
      <x:c r="Q12" s="123" t="n"/>
      <x:c r="R12" s="121" t="n"/>
      <x:c r="S12" s="121" t="n"/>
      <x:c r="T12" s="121" t="n"/>
      <x:c r="U12" s="121" t="n"/>
      <x:c r="V12" s="121" t="n"/>
      <x:c r="W12" s="121" t="n"/>
      <x:c r="X12" s="121" t="n"/>
      <x:c r="Y12" s="121" t="n"/>
      <x:c r="Z12" s="121" t="n"/>
      <x:c r="AA12" s="121" t="n"/>
      <x:c r="AB12" s="121" t="n"/>
      <x:c r="AC12" s="124" t="n"/>
      <x:c r="AD12" s="123" t="n"/>
      <x:c r="AE12" s="123" t="n"/>
      <x:c r="AF12" s="123" t="n"/>
      <x:c r="AG12" s="123" t="n"/>
      <x:c r="AH12" s="123" t="n"/>
      <x:c r="AI12" s="123" t="n"/>
      <x:c r="AJ12" s="121" t="n"/>
      <x:c r="AK12" s="124" t="n"/>
      <x:c r="AL12" s="121" t="n"/>
      <x:c r="AM12" s="123" t="n"/>
      <x:c r="AN12" s="121" t="n"/>
      <x:c r="AO12" s="121" t="n"/>
      <x:c r="AP12" s="28" t="n"/>
      <x:c r="AQ12" s="28" t="n"/>
      <x:c r="AR12" s="28" t="n"/>
      <x:c r="AS12" s="28" t="n"/>
      <x:c r="AT12" s="28" t="n"/>
      <x:c r="AU12" s="28" t="n"/>
      <x:c r="AV12" s="28" t="n"/>
      <x:c r="AW12" s="28" t="n"/>
      <x:c r="AX12" s="28" t="n"/>
      <x:c r="AY12" s="28" t="n"/>
      <x:c r="AZ12" s="28" t="n"/>
      <x:c r="BA12" s="28" t="n"/>
      <x:c r="BB12" s="28" t="n"/>
      <x:c r="BC12" s="28" t="n"/>
      <x:c r="BD12" s="28" t="n"/>
      <x:c r="BE12" s="28" t="n"/>
      <x:c r="BF12" s="28" t="n"/>
      <x:c r="BG12" s="28" t="n"/>
      <x:c r="BH12" s="28" t="n"/>
      <x:c r="BI12" s="28" t="n"/>
      <x:c r="BJ12" s="28" t="n"/>
      <x:c r="BK12" s="28" t="n"/>
      <x:c r="BL12" s="28" t="n"/>
      <x:c r="BM12" s="28" t="n"/>
      <x:c r="BN12" s="28" t="n"/>
      <x:c r="BO12" s="28" t="n"/>
      <x:c r="BP12" s="28" t="n"/>
      <x:c r="BQ12" s="28" t="n"/>
      <x:c r="BR12" s="28" t="n"/>
      <x:c r="BS12" s="28" t="n"/>
      <x:c r="BT12" s="28" t="n"/>
      <x:c r="BU12" s="28" t="n"/>
      <x:c r="BV12" s="28" t="n"/>
      <x:c r="BW12" s="28" t="n"/>
      <x:c r="BX12" s="28" t="n"/>
      <x:c r="BY12" s="28" t="n"/>
      <x:c r="BZ12" s="28" t="n"/>
      <x:c r="CA12" s="28" t="n"/>
      <x:c r="CB12" s="28" t="n"/>
      <x:c r="CC12" s="28" t="n"/>
      <x:c r="CD12" s="28" t="n"/>
      <x:c r="CE12" s="28" t="n"/>
      <x:c r="CF12" s="28" t="n"/>
      <x:c r="CG12" s="28" t="n"/>
      <x:c r="CH12" s="28" t="n"/>
      <x:c r="CI12" s="28" t="n"/>
      <x:c r="CJ12" s="28" t="n"/>
      <x:c r="CK12" s="28" t="n"/>
      <x:c r="CL12" s="28" t="n"/>
      <x:c r="CM12" s="28" t="n"/>
      <x:c r="CN12" s="28" t="n"/>
      <x:c r="CO12" s="28" t="n"/>
      <x:c r="CP12" s="28" t="n"/>
      <x:c r="CQ12" s="28" t="n"/>
      <x:c r="CR12" s="28" t="n"/>
      <x:c r="CS12" s="28" t="n"/>
      <x:c r="CT12" s="28" t="n"/>
      <x:c r="CU12" s="28" t="n"/>
      <x:c r="CV12" s="28" t="n"/>
      <x:c r="CW12" s="28" t="n"/>
      <x:c r="CX12" s="28" t="n"/>
      <x:c r="CY12" s="28" t="n"/>
      <x:c r="CZ12" s="28" t="n"/>
      <x:c r="DA12" s="28" t="n"/>
      <x:c r="DB12" s="28" t="n"/>
      <x:c r="DC12" s="28" t="n"/>
      <x:c r="DD12" s="28" t="n"/>
      <x:c r="DE12" s="28" t="n"/>
      <x:c r="DF12" s="28" t="n"/>
      <x:c r="DG12" s="28" t="n"/>
      <x:c r="DH12" s="28" t="n"/>
      <x:c r="DI12" s="28" t="n"/>
      <x:c r="DJ12" s="28" t="n"/>
      <x:c r="DK12" s="28" t="n"/>
      <x:c r="DL12" s="28" t="n"/>
      <x:c r="DM12" s="28" t="n"/>
      <x:c r="DN12" s="28" t="n"/>
      <x:c r="DO12" s="28" t="n"/>
      <x:c r="DP12" s="28" t="n"/>
      <x:c r="DQ12" s="28" t="n"/>
      <x:c r="DR12" s="28" t="n"/>
      <x:c r="DS12" s="28" t="n"/>
      <x:c r="DT12" s="28" t="n"/>
      <x:c r="DU12" s="28" t="n"/>
      <x:c r="DV12" s="28" t="n"/>
      <x:c r="DW12" s="28" t="n"/>
      <x:c r="DX12" s="28" t="n"/>
      <x:c r="DY12" s="28" t="n"/>
      <x:c r="DZ12" s="28" t="n"/>
      <x:c r="EA12" s="28" t="n"/>
      <x:c r="EB12" s="28" t="n"/>
      <x:c r="EC12" s="28" t="n"/>
      <x:c r="ED12" s="28" t="n"/>
      <x:c r="EE12" s="28" t="n"/>
      <x:c r="EF12" s="28" t="n"/>
      <x:c r="EG12" s="28" t="n"/>
      <x:c r="EH12" s="28" t="n"/>
      <x:c r="EI12" s="28" t="n"/>
      <x:c r="EJ12" s="28" t="n"/>
      <x:c r="EK12" s="28" t="n"/>
      <x:c r="EL12" s="28" t="n"/>
      <x:c r="EM12" s="28" t="n"/>
      <x:c r="EN12" s="28" t="n"/>
      <x:c r="EO12" s="28" t="n"/>
      <x:c r="EP12" s="28" t="n"/>
      <x:c r="EQ12" s="28" t="n"/>
      <x:c r="ER12" s="28" t="n"/>
      <x:c r="ES12" s="28" t="n"/>
      <x:c r="ET12" s="28" t="n"/>
      <x:c r="EU12" s="28" t="n"/>
      <x:c r="EV12" s="28" t="n"/>
      <x:c r="EW12" s="28" t="n"/>
      <x:c r="EX12" s="28" t="n"/>
      <x:c r="EY12" s="28" t="n"/>
      <x:c r="EZ12" s="28" t="n"/>
      <x:c r="FA12" s="28" t="n"/>
      <x:c r="FB12" s="28" t="n"/>
      <x:c r="FC12" s="28" t="n"/>
      <x:c r="FD12" s="28" t="n"/>
      <x:c r="FE12" s="28" t="n"/>
      <x:c r="FF12" s="28" t="n"/>
      <x:c r="FG12" s="28" t="n"/>
      <x:c r="FH12" s="28" t="n"/>
      <x:c r="FI12" s="28" t="n"/>
      <x:c r="FJ12" s="28" t="n"/>
      <x:c r="FK12" s="28" t="n"/>
      <x:c r="FL12" s="28" t="n"/>
      <x:c r="FM12" s="28" t="n"/>
      <x:c r="FN12" s="28" t="n"/>
      <x:c r="FO12" s="28" t="n"/>
      <x:c r="FP12" s="28" t="n"/>
      <x:c r="FQ12" s="28" t="n"/>
      <x:c r="FR12" s="28" t="n"/>
      <x:c r="FS12" s="28" t="n"/>
      <x:c r="FT12" s="28" t="n"/>
      <x:c r="FU12" s="28" t="n"/>
      <x:c r="FV12" s="28" t="n"/>
      <x:c r="FW12" s="28" t="n"/>
      <x:c r="FX12" s="28" t="n"/>
      <x:c r="FY12" s="28" t="n"/>
    </x:row>
    <x:row r="13" s="27" customFormat="1">
      <x:c r="A13" s="20" t="n"/>
      <x:c r="B13" s="37" t="n"/>
      <x:c r="C13" s="86" t="n">
        <x:f>E13*D$5</x:f>
        <x:v>40</x:v>
      </x:c>
      <x:c r="D13" s="103" t="inlineStr">
        <x:is>
          <x:t xml:space="preserve">Leo Aulbert</x:t>
        </x:is>
      </x:c>
      <x:c r="E13" s="86" t="n">
        <x:f>SUM(G13:HS13)</x:f>
        <x:v>1</x:v>
      </x:c>
      <x:c r="F13" s="35" t="inlineStr">
        <x:is>
          <x:t xml:space="preserve"/>
        </x:is>
      </x:c>
      <x:c r="G13" s="121" t="n"/>
      <x:c r="H13" s="121" t="n"/>
      <x:c r="I13" s="121" t="n">
        <x:v>1</x:v>
      </x:c>
      <x:c r="J13" s="121" t="n"/>
      <x:c r="K13" s="121" t="n"/>
      <x:c r="L13" s="121" t="n"/>
      <x:c r="M13" s="121" t="n"/>
      <x:c r="N13" s="122" t="n"/>
      <x:c r="O13" s="121" t="n"/>
      <x:c r="P13" s="123" t="n"/>
      <x:c r="Q13" s="123" t="n"/>
      <x:c r="R13" s="121" t="n"/>
      <x:c r="S13" s="121" t="n"/>
      <x:c r="T13" s="121" t="n"/>
      <x:c r="U13" s="121" t="n"/>
      <x:c r="V13" s="121" t="n"/>
      <x:c r="W13" s="121" t="n"/>
      <x:c r="X13" s="121" t="n"/>
      <x:c r="Y13" s="121" t="n"/>
      <x:c r="Z13" s="121" t="n"/>
      <x:c r="AA13" s="121" t="n"/>
      <x:c r="AB13" s="121" t="n"/>
      <x:c r="AC13" s="123" t="n"/>
      <x:c r="AD13" s="123" t="n"/>
      <x:c r="AE13" s="124" t="n"/>
      <x:c r="AF13" s="123" t="n"/>
      <x:c r="AG13" s="123" t="n"/>
      <x:c r="AH13" s="123" t="n"/>
      <x:c r="AI13" s="123" t="n"/>
      <x:c r="AJ13" s="121" t="n"/>
      <x:c r="AK13" s="123" t="n"/>
      <x:c r="AL13" s="121" t="n"/>
      <x:c r="AM13" s="123" t="n"/>
      <x:c r="AN13" s="121" t="n"/>
      <x:c r="AO13" s="121" t="n"/>
      <x:c r="AP13" s="28" t="n"/>
      <x:c r="AQ13" s="28" t="n"/>
      <x:c r="AR13" s="28" t="n"/>
      <x:c r="AS13" s="28" t="n"/>
      <x:c r="AT13" s="28" t="n"/>
      <x:c r="AU13" s="28" t="n"/>
      <x:c r="AV13" s="28" t="n"/>
      <x:c r="AW13" s="28" t="n"/>
      <x:c r="AX13" s="28" t="n"/>
      <x:c r="AY13" s="28" t="n"/>
      <x:c r="AZ13" s="28" t="n"/>
      <x:c r="BA13" s="28" t="n"/>
      <x:c r="BB13" s="28" t="n"/>
      <x:c r="BC13" s="28" t="n"/>
      <x:c r="BD13" s="28" t="n"/>
      <x:c r="BE13" s="28" t="n"/>
      <x:c r="BF13" s="28" t="n"/>
      <x:c r="BG13" s="28" t="n"/>
      <x:c r="BH13" s="28" t="n"/>
      <x:c r="BI13" s="28" t="n"/>
      <x:c r="BJ13" s="28" t="n"/>
      <x:c r="BK13" s="28" t="n"/>
      <x:c r="BL13" s="28" t="n"/>
      <x:c r="BM13" s="28" t="n"/>
      <x:c r="BN13" s="28" t="n"/>
      <x:c r="BO13" s="28" t="n"/>
      <x:c r="BP13" s="28" t="n"/>
      <x:c r="BQ13" s="28" t="n"/>
      <x:c r="BR13" s="28" t="n"/>
      <x:c r="BS13" s="28" t="n"/>
      <x:c r="BT13" s="28" t="n"/>
      <x:c r="BU13" s="28" t="n"/>
      <x:c r="BV13" s="28" t="n"/>
      <x:c r="BW13" s="28" t="n"/>
      <x:c r="BX13" s="28" t="n"/>
      <x:c r="BY13" s="28" t="n"/>
      <x:c r="BZ13" s="28" t="n"/>
      <x:c r="CA13" s="28" t="n"/>
      <x:c r="CB13" s="28" t="n"/>
      <x:c r="CC13" s="28" t="n"/>
      <x:c r="CD13" s="28" t="n"/>
      <x:c r="CE13" s="28" t="n"/>
      <x:c r="CF13" s="28" t="n"/>
      <x:c r="CG13" s="28" t="n"/>
      <x:c r="CH13" s="28" t="n"/>
      <x:c r="CI13" s="28" t="n"/>
      <x:c r="CJ13" s="28" t="n"/>
      <x:c r="CK13" s="28" t="n"/>
      <x:c r="CL13" s="28" t="n"/>
      <x:c r="CM13" s="28" t="n"/>
      <x:c r="CN13" s="28" t="n"/>
      <x:c r="CO13" s="28" t="n"/>
      <x:c r="CP13" s="28" t="n"/>
      <x:c r="CQ13" s="28" t="n"/>
      <x:c r="CR13" s="28" t="n"/>
      <x:c r="CS13" s="28" t="n"/>
      <x:c r="CT13" s="28" t="n"/>
      <x:c r="CU13" s="28" t="n"/>
      <x:c r="CV13" s="28" t="n"/>
      <x:c r="CW13" s="28" t="n"/>
      <x:c r="CX13" s="28" t="n"/>
      <x:c r="CY13" s="28" t="n"/>
      <x:c r="CZ13" s="28" t="n"/>
      <x:c r="DA13" s="28" t="n"/>
      <x:c r="DB13" s="28" t="n"/>
      <x:c r="DC13" s="28" t="n"/>
      <x:c r="DD13" s="28" t="n"/>
      <x:c r="DE13" s="28" t="n"/>
      <x:c r="DF13" s="28" t="n"/>
      <x:c r="DG13" s="28" t="n"/>
      <x:c r="DH13" s="28" t="n"/>
      <x:c r="DI13" s="28" t="n"/>
      <x:c r="DJ13" s="28" t="n"/>
      <x:c r="DK13" s="28" t="n"/>
      <x:c r="DL13" s="28" t="n"/>
      <x:c r="DM13" s="28" t="n"/>
      <x:c r="DN13" s="28" t="n"/>
      <x:c r="DO13" s="28" t="n"/>
      <x:c r="DP13" s="28" t="n"/>
      <x:c r="DQ13" s="28" t="n"/>
      <x:c r="DR13" s="28" t="n"/>
      <x:c r="DS13" s="28" t="n"/>
      <x:c r="DT13" s="28" t="n"/>
      <x:c r="DU13" s="28" t="n"/>
      <x:c r="DV13" s="28" t="n"/>
      <x:c r="DW13" s="28" t="n"/>
      <x:c r="DX13" s="28" t="n"/>
      <x:c r="DY13" s="28" t="n"/>
      <x:c r="DZ13" s="28" t="n"/>
      <x:c r="EA13" s="28" t="n"/>
      <x:c r="EB13" s="28" t="n"/>
      <x:c r="EC13" s="28" t="n"/>
      <x:c r="ED13" s="28" t="n"/>
      <x:c r="EE13" s="28" t="n"/>
      <x:c r="EF13" s="28" t="n"/>
      <x:c r="EG13" s="28" t="n"/>
      <x:c r="EH13" s="28" t="n"/>
      <x:c r="EI13" s="28" t="n"/>
      <x:c r="EJ13" s="28" t="n"/>
      <x:c r="EK13" s="28" t="n"/>
      <x:c r="EL13" s="28" t="n"/>
      <x:c r="EM13" s="28" t="n"/>
      <x:c r="EN13" s="28" t="n"/>
      <x:c r="EO13" s="28" t="n"/>
      <x:c r="EP13" s="28" t="n"/>
      <x:c r="EQ13" s="28" t="n"/>
      <x:c r="ER13" s="28" t="n"/>
      <x:c r="ES13" s="28" t="n"/>
      <x:c r="ET13" s="28" t="n"/>
      <x:c r="EU13" s="28" t="n"/>
      <x:c r="EV13" s="28" t="n"/>
      <x:c r="EW13" s="28" t="n"/>
      <x:c r="EX13" s="28" t="n"/>
      <x:c r="EY13" s="28" t="n"/>
      <x:c r="EZ13" s="28" t="n"/>
      <x:c r="FA13" s="28" t="n"/>
      <x:c r="FB13" s="28" t="n"/>
      <x:c r="FC13" s="28" t="n"/>
      <x:c r="FD13" s="28" t="n"/>
      <x:c r="FE13" s="28" t="n"/>
      <x:c r="FF13" s="28" t="n"/>
      <x:c r="FG13" s="28" t="n"/>
      <x:c r="FH13" s="28" t="n"/>
      <x:c r="FI13" s="28" t="n"/>
      <x:c r="FJ13" s="28" t="n"/>
      <x:c r="FK13" s="28" t="n"/>
      <x:c r="FL13" s="28" t="n"/>
      <x:c r="FM13" s="28" t="n"/>
      <x:c r="FN13" s="28" t="n"/>
      <x:c r="FO13" s="28" t="n"/>
      <x:c r="FP13" s="28" t="n"/>
      <x:c r="FQ13" s="28" t="n"/>
      <x:c r="FR13" s="28" t="n"/>
      <x:c r="FS13" s="28" t="n"/>
      <x:c r="FT13" s="28" t="n"/>
      <x:c r="FU13" s="28" t="n"/>
      <x:c r="FV13" s="28" t="n"/>
      <x:c r="FW13" s="28" t="n"/>
      <x:c r="FX13" s="28" t="n"/>
      <x:c r="FY13" s="28" t="n"/>
    </x:row>
    <x:row r="14" s="27" customFormat="1">
      <x:c r="B14" s="80" t="n"/>
      <x:c r="C14" s="36" t="n">
        <x:f>E14*D$5</x:f>
        <x:v>-40</x:v>
      </x:c>
      <x:c r="D14" s="410" t="inlineStr">
        <x:is>
          <x:t xml:space="preserve">A. H. Douglas</x:t>
        </x:is>
      </x:c>
      <x:c r="E14" s="411" t="n">
        <x:f>SUM(G14:HS14)</x:f>
        <x:v>-1</x:v>
      </x:c>
      <x:c r="F14" s="35" t="inlineStr">
        <x:is>
          <x:t xml:space="preserve"/>
        </x:is>
      </x:c>
      <x:c r="G14" s="121" t="n"/>
      <x:c r="H14" s="121" t="n"/>
      <x:c r="I14" s="121" t="n"/>
      <x:c r="J14" s="121" t="n">
        <x:v>-1</x:v>
      </x:c>
      <x:c r="K14" s="121" t="n"/>
      <x:c r="L14" s="121" t="n"/>
      <x:c r="M14" s="121" t="n"/>
      <x:c r="N14" s="121" t="n"/>
      <x:c r="O14" s="121" t="n"/>
      <x:c r="P14" s="123" t="n"/>
      <x:c r="Q14" s="123" t="n"/>
      <x:c r="R14" s="121" t="n"/>
      <x:c r="S14" s="121" t="n"/>
      <x:c r="T14" s="121" t="n"/>
      <x:c r="U14" s="121" t="n"/>
      <x:c r="V14" s="121" t="n"/>
      <x:c r="W14" s="121" t="n"/>
      <x:c r="X14" s="121" t="n"/>
      <x:c r="Y14" s="121" t="n"/>
      <x:c r="Z14" s="121" t="n"/>
      <x:c r="AA14" s="121" t="n"/>
      <x:c r="AB14" s="121" t="n"/>
      <x:c r="AC14" s="123" t="n"/>
      <x:c r="AD14" s="123" t="n"/>
      <x:c r="AE14" s="124" t="n"/>
      <x:c r="AF14" s="122" t="n"/>
      <x:c r="AG14" s="122" t="n"/>
      <x:c r="AH14" s="122" t="n"/>
      <x:c r="AI14" s="122" t="n"/>
      <x:c r="AJ14" s="121" t="n"/>
      <x:c r="AK14" s="123" t="n"/>
      <x:c r="AL14" s="121" t="n"/>
      <x:c r="AM14" s="123" t="n"/>
      <x:c r="AN14" s="121" t="n"/>
      <x:c r="AO14" s="121" t="n"/>
      <x:c r="AP14" s="28" t="n"/>
      <x:c r="AQ14" s="28" t="n"/>
      <x:c r="AR14" s="28" t="n"/>
      <x:c r="AS14" s="28" t="n"/>
      <x:c r="AT14" s="28" t="n"/>
      <x:c r="AU14" s="28" t="n"/>
      <x:c r="AV14" s="28" t="n"/>
      <x:c r="AW14" s="28" t="n"/>
      <x:c r="AX14" s="28" t="n"/>
      <x:c r="AY14" s="28" t="n"/>
      <x:c r="AZ14" s="28" t="n"/>
      <x:c r="BA14" s="28" t="n"/>
      <x:c r="BB14" s="28" t="n"/>
      <x:c r="BC14" s="28" t="n"/>
      <x:c r="BD14" s="28" t="n"/>
      <x:c r="BE14" s="28" t="n"/>
      <x:c r="BF14" s="28" t="n"/>
      <x:c r="BG14" s="28" t="n"/>
      <x:c r="BH14" s="28" t="n"/>
      <x:c r="BI14" s="28" t="n"/>
      <x:c r="BJ14" s="28" t="n"/>
      <x:c r="BK14" s="28" t="n"/>
      <x:c r="BL14" s="28" t="n"/>
      <x:c r="BM14" s="28" t="n"/>
      <x:c r="BN14" s="28" t="n"/>
      <x:c r="BO14" s="28" t="n"/>
      <x:c r="BP14" s="28" t="n"/>
      <x:c r="BQ14" s="28" t="n"/>
      <x:c r="BR14" s="28" t="n"/>
      <x:c r="BS14" s="28" t="n"/>
      <x:c r="BT14" s="28" t="n"/>
      <x:c r="BU14" s="28" t="n"/>
      <x:c r="BV14" s="28" t="n"/>
      <x:c r="BW14" s="28" t="n"/>
      <x:c r="BX14" s="28" t="n"/>
      <x:c r="BY14" s="28" t="n"/>
      <x:c r="BZ14" s="28" t="n"/>
      <x:c r="CA14" s="28" t="n"/>
      <x:c r="CB14" s="28" t="n"/>
      <x:c r="CC14" s="28" t="n"/>
      <x:c r="CD14" s="28" t="n"/>
      <x:c r="CE14" s="28" t="n"/>
      <x:c r="CF14" s="28" t="n"/>
      <x:c r="CG14" s="28" t="n"/>
      <x:c r="CH14" s="28" t="n"/>
      <x:c r="CI14" s="28" t="n"/>
      <x:c r="CJ14" s="28" t="n"/>
      <x:c r="CK14" s="28" t="n"/>
      <x:c r="CL14" s="28" t="n"/>
      <x:c r="CM14" s="28" t="n"/>
      <x:c r="CN14" s="28" t="n"/>
      <x:c r="CO14" s="28" t="n"/>
      <x:c r="CP14" s="28" t="n"/>
      <x:c r="CQ14" s="28" t="n"/>
      <x:c r="CR14" s="28" t="n"/>
      <x:c r="CS14" s="28" t="n"/>
      <x:c r="CT14" s="28" t="n"/>
      <x:c r="CU14" s="28" t="n"/>
      <x:c r="CV14" s="28" t="n"/>
      <x:c r="CW14" s="28" t="n"/>
      <x:c r="CX14" s="28" t="n"/>
      <x:c r="CY14" s="28" t="n"/>
      <x:c r="CZ14" s="28" t="n"/>
      <x:c r="DA14" s="28" t="n"/>
      <x:c r="DB14" s="28" t="n"/>
      <x:c r="DC14" s="28" t="n"/>
      <x:c r="DD14" s="28" t="n"/>
      <x:c r="DE14" s="28" t="n"/>
      <x:c r="DF14" s="28" t="n"/>
      <x:c r="DG14" s="28" t="n"/>
      <x:c r="DH14" s="28" t="n"/>
      <x:c r="DI14" s="28" t="n"/>
      <x:c r="DJ14" s="28" t="n"/>
      <x:c r="DK14" s="28" t="n"/>
      <x:c r="DL14" s="28" t="n"/>
      <x:c r="DM14" s="28" t="n"/>
      <x:c r="DN14" s="28" t="n"/>
      <x:c r="DO14" s="28" t="n"/>
      <x:c r="DP14" s="28" t="n"/>
      <x:c r="DQ14" s="28" t="n"/>
      <x:c r="DR14" s="28" t="n"/>
      <x:c r="DS14" s="28" t="n"/>
      <x:c r="DT14" s="28" t="n"/>
      <x:c r="DU14" s="28" t="n"/>
      <x:c r="DV14" s="28" t="n"/>
      <x:c r="DW14" s="28" t="n"/>
      <x:c r="DX14" s="28" t="n"/>
      <x:c r="DY14" s="28" t="n"/>
      <x:c r="DZ14" s="28" t="n"/>
      <x:c r="EA14" s="28" t="n"/>
      <x:c r="EB14" s="28" t="n"/>
      <x:c r="EC14" s="28" t="n"/>
      <x:c r="ED14" s="28" t="n"/>
      <x:c r="EE14" s="28" t="n"/>
      <x:c r="EF14" s="28" t="n"/>
      <x:c r="EG14" s="28" t="n"/>
      <x:c r="EH14" s="28" t="n"/>
      <x:c r="EI14" s="28" t="n"/>
      <x:c r="EJ14" s="28" t="n"/>
      <x:c r="EK14" s="28" t="n"/>
      <x:c r="EL14" s="28" t="n"/>
      <x:c r="EM14" s="28" t="n"/>
      <x:c r="EN14" s="28" t="n"/>
      <x:c r="EO14" s="28" t="n"/>
      <x:c r="EP14" s="28" t="n"/>
      <x:c r="EQ14" s="28" t="n"/>
      <x:c r="ER14" s="28" t="n"/>
      <x:c r="ES14" s="28" t="n"/>
      <x:c r="ET14" s="28" t="n"/>
      <x:c r="EU14" s="28" t="n"/>
      <x:c r="EV14" s="28" t="n"/>
      <x:c r="EW14" s="28" t="n"/>
      <x:c r="EX14" s="28" t="n"/>
      <x:c r="EY14" s="28" t="n"/>
      <x:c r="EZ14" s="28" t="n"/>
      <x:c r="FA14" s="28" t="n"/>
      <x:c r="FB14" s="28" t="n"/>
      <x:c r="FC14" s="28" t="n"/>
      <x:c r="FD14" s="28" t="n"/>
      <x:c r="FE14" s="28" t="n"/>
      <x:c r="FF14" s="28" t="n"/>
      <x:c r="FG14" s="28" t="n"/>
      <x:c r="FH14" s="28" t="n"/>
      <x:c r="FI14" s="28" t="n"/>
      <x:c r="FJ14" s="28" t="n"/>
      <x:c r="FK14" s="28" t="n"/>
      <x:c r="FL14" s="28" t="n"/>
      <x:c r="FM14" s="28" t="n"/>
      <x:c r="FN14" s="28" t="n"/>
      <x:c r="FO14" s="28" t="n"/>
      <x:c r="FP14" s="28" t="n"/>
      <x:c r="FQ14" s="28" t="n"/>
      <x:c r="FR14" s="28" t="n"/>
      <x:c r="FS14" s="28" t="n"/>
      <x:c r="FT14" s="28" t="n"/>
      <x:c r="FU14" s="28" t="n"/>
      <x:c r="FV14" s="28" t="n"/>
      <x:c r="FW14" s="28" t="n"/>
      <x:c r="FX14" s="28" t="n"/>
      <x:c r="FY14" s="28" t="n"/>
    </x:row>
    <x:row r="15" s="27" customFormat="1">
      <x:c r="A15" s="79" t="n"/>
      <x:c r="B15" s="79" t="n"/>
      <x:c r="C15" s="36" t="n">
        <x:f>E15*D$5</x:f>
        <x:v>40</x:v>
      </x:c>
      <x:c r="D15" s="103" t="inlineStr">
        <x:is>
          <x:t xml:space="preserve">Marvin G. Mitchell</x:t>
        </x:is>
      </x:c>
      <x:c r="E15" s="36" t="n">
        <x:f>SUM(G15:HS15)</x:f>
        <x:v>1</x:v>
      </x:c>
      <x:c r="F15" s="35" t="inlineStr">
        <x:is>
          <x:t xml:space="preserve"/>
        </x:is>
      </x:c>
      <x:c r="G15" s="121" t="n"/>
      <x:c r="H15" s="121" t="n"/>
      <x:c r="I15" s="121" t="n"/>
      <x:c r="J15" s="121" t="n">
        <x:v>1</x:v>
      </x:c>
      <x:c r="K15" s="121" t="n"/>
      <x:c r="L15" s="121" t="n"/>
      <x:c r="M15" s="121" t="n"/>
      <x:c r="N15" s="121" t="n"/>
      <x:c r="O15" s="121" t="n"/>
      <x:c r="P15" s="123" t="n"/>
      <x:c r="Q15" s="123" t="n"/>
      <x:c r="R15" s="121" t="n"/>
      <x:c r="S15" s="121" t="n"/>
      <x:c r="T15" s="121" t="n"/>
      <x:c r="U15" s="121" t="n"/>
      <x:c r="V15" s="121" t="n"/>
      <x:c r="W15" s="121" t="n"/>
      <x:c r="X15" s="121" t="n"/>
      <x:c r="Y15" s="121" t="n"/>
      <x:c r="Z15" s="121" t="n"/>
      <x:c r="AA15" s="121" t="n"/>
      <x:c r="AB15" s="121" t="n"/>
      <x:c r="AC15" s="123" t="n"/>
      <x:c r="AD15" s="123" t="n"/>
      <x:c r="AE15" s="123" t="n"/>
      <x:c r="AF15" s="122" t="n"/>
      <x:c r="AG15" s="122" t="n"/>
      <x:c r="AH15" s="122" t="n"/>
      <x:c r="AI15" s="122" t="n"/>
      <x:c r="AJ15" s="121" t="n"/>
      <x:c r="AK15" s="123" t="n"/>
      <x:c r="AL15" s="121" t="n"/>
      <x:c r="AM15" s="123" t="n"/>
      <x:c r="AN15" s="121" t="n"/>
      <x:c r="AO15" s="121" t="n"/>
      <x:c r="AP15" s="28" t="n"/>
      <x:c r="AQ15" s="28" t="n"/>
      <x:c r="AR15" s="28" t="n"/>
      <x:c r="AS15" s="28" t="n"/>
      <x:c r="AT15" s="28" t="n"/>
      <x:c r="AU15" s="28" t="n"/>
      <x:c r="AV15" s="28" t="n"/>
      <x:c r="AW15" s="28" t="n"/>
      <x:c r="AX15" s="28" t="n"/>
      <x:c r="AY15" s="28" t="n"/>
      <x:c r="AZ15" s="28" t="n"/>
      <x:c r="BA15" s="28" t="n"/>
      <x:c r="BB15" s="28" t="n"/>
      <x:c r="BC15" s="28" t="n"/>
      <x:c r="BD15" s="28" t="n"/>
      <x:c r="BE15" s="28" t="n"/>
      <x:c r="BF15" s="28" t="n"/>
      <x:c r="BG15" s="28" t="n"/>
      <x:c r="BH15" s="28" t="n"/>
      <x:c r="BI15" s="28" t="n"/>
      <x:c r="BJ15" s="28" t="n"/>
      <x:c r="BK15" s="28" t="n"/>
      <x:c r="BL15" s="28" t="n"/>
      <x:c r="BM15" s="28" t="n"/>
      <x:c r="BN15" s="28" t="n"/>
      <x:c r="BO15" s="28" t="n"/>
      <x:c r="BP15" s="28" t="n"/>
      <x:c r="BQ15" s="28" t="n"/>
      <x:c r="BR15" s="28" t="n"/>
      <x:c r="BS15" s="28" t="n"/>
      <x:c r="BT15" s="28" t="n"/>
      <x:c r="BU15" s="28" t="n"/>
      <x:c r="BV15" s="28" t="n"/>
      <x:c r="BW15" s="28" t="n"/>
      <x:c r="BX15" s="28" t="n"/>
      <x:c r="BY15" s="28" t="n"/>
      <x:c r="BZ15" s="28" t="n"/>
      <x:c r="CA15" s="28" t="n"/>
      <x:c r="CB15" s="28" t="n"/>
      <x:c r="CC15" s="28" t="n"/>
      <x:c r="CD15" s="28" t="n"/>
      <x:c r="CE15" s="28" t="n"/>
      <x:c r="CF15" s="28" t="n"/>
      <x:c r="CG15" s="28" t="n"/>
      <x:c r="CH15" s="28" t="n"/>
      <x:c r="CI15" s="28" t="n"/>
      <x:c r="CJ15" s="28" t="n"/>
      <x:c r="CK15" s="28" t="n"/>
      <x:c r="CL15" s="28" t="n"/>
      <x:c r="CM15" s="28" t="n"/>
      <x:c r="CN15" s="28" t="n"/>
      <x:c r="CO15" s="28" t="n"/>
      <x:c r="CP15" s="28" t="n"/>
      <x:c r="CQ15" s="28" t="n"/>
      <x:c r="CR15" s="28" t="n"/>
      <x:c r="CS15" s="28" t="n"/>
      <x:c r="CT15" s="28" t="n"/>
      <x:c r="CU15" s="28" t="n"/>
      <x:c r="CV15" s="28" t="n"/>
      <x:c r="CW15" s="28" t="n"/>
      <x:c r="CX15" s="28" t="n"/>
      <x:c r="CY15" s="28" t="n"/>
      <x:c r="CZ15" s="28" t="n"/>
      <x:c r="DA15" s="28" t="n"/>
      <x:c r="DB15" s="28" t="n"/>
      <x:c r="DC15" s="28" t="n"/>
      <x:c r="DD15" s="28" t="n"/>
      <x:c r="DE15" s="28" t="n"/>
      <x:c r="DF15" s="28" t="n"/>
      <x:c r="DG15" s="28" t="n"/>
      <x:c r="DH15" s="28" t="n"/>
      <x:c r="DI15" s="28" t="n"/>
      <x:c r="DJ15" s="28" t="n"/>
      <x:c r="DK15" s="28" t="n"/>
      <x:c r="DL15" s="28" t="n"/>
      <x:c r="DM15" s="28" t="n"/>
      <x:c r="DN15" s="28" t="n"/>
      <x:c r="DO15" s="28" t="n"/>
      <x:c r="DP15" s="28" t="n"/>
      <x:c r="DQ15" s="28" t="n"/>
      <x:c r="DR15" s="28" t="n"/>
      <x:c r="DS15" s="28" t="n"/>
      <x:c r="DT15" s="28" t="n"/>
      <x:c r="DU15" s="28" t="n"/>
      <x:c r="DV15" s="28" t="n"/>
      <x:c r="DW15" s="28" t="n"/>
      <x:c r="DX15" s="28" t="n"/>
      <x:c r="DY15" s="28" t="n"/>
      <x:c r="DZ15" s="28" t="n"/>
      <x:c r="EA15" s="28" t="n"/>
      <x:c r="EB15" s="28" t="n"/>
      <x:c r="EC15" s="28" t="n"/>
      <x:c r="ED15" s="28" t="n"/>
      <x:c r="EE15" s="28" t="n"/>
      <x:c r="EF15" s="28" t="n"/>
      <x:c r="EG15" s="28" t="n"/>
      <x:c r="EH15" s="28" t="n"/>
      <x:c r="EI15" s="28" t="n"/>
      <x:c r="EJ15" s="28" t="n"/>
      <x:c r="EK15" s="28" t="n"/>
      <x:c r="EL15" s="28" t="n"/>
      <x:c r="EM15" s="28" t="n"/>
      <x:c r="EN15" s="28" t="n"/>
      <x:c r="EO15" s="28" t="n"/>
      <x:c r="EP15" s="28" t="n"/>
      <x:c r="EQ15" s="28" t="n"/>
      <x:c r="ER15" s="28" t="n"/>
      <x:c r="ES15" s="28" t="n"/>
      <x:c r="ET15" s="28" t="n"/>
      <x:c r="EU15" s="28" t="n"/>
      <x:c r="EV15" s="28" t="n"/>
      <x:c r="EW15" s="28" t="n"/>
      <x:c r="EX15" s="28" t="n"/>
      <x:c r="EY15" s="28" t="n"/>
      <x:c r="EZ15" s="28" t="n"/>
      <x:c r="FA15" s="28" t="n"/>
      <x:c r="FB15" s="28" t="n"/>
      <x:c r="FC15" s="28" t="n"/>
      <x:c r="FD15" s="28" t="n"/>
      <x:c r="FE15" s="28" t="n"/>
      <x:c r="FF15" s="28" t="n"/>
      <x:c r="FG15" s="28" t="n"/>
      <x:c r="FH15" s="28" t="n"/>
      <x:c r="FI15" s="28" t="n"/>
      <x:c r="FJ15" s="28" t="n"/>
      <x:c r="FK15" s="28" t="n"/>
      <x:c r="FL15" s="28" t="n"/>
      <x:c r="FM15" s="28" t="n"/>
      <x:c r="FN15" s="28" t="n"/>
      <x:c r="FO15" s="28" t="n"/>
      <x:c r="FP15" s="28" t="n"/>
      <x:c r="FQ15" s="28" t="n"/>
      <x:c r="FR15" s="28" t="n"/>
      <x:c r="FS15" s="28" t="n"/>
      <x:c r="FT15" s="28" t="n"/>
      <x:c r="FU15" s="28" t="n"/>
      <x:c r="FV15" s="28" t="n"/>
      <x:c r="FW15" s="28" t="n"/>
      <x:c r="FX15" s="28" t="n"/>
      <x:c r="FY15" s="28" t="n"/>
    </x:row>
    <x:row r="16" s="27" customFormat="1">
      <x:c r="A16" s="38" t="n"/>
      <x:c r="B16" s="37" t="n"/>
      <x:c r="C16" s="36" t="n">
        <x:f>E16*D$5</x:f>
        <x:v>-43.07692307692307</x:v>
      </x:c>
      <x:c r="D16" s="410" t="inlineStr">
        <x:is>
          <x:t xml:space="preserve">H. M. Carter and Ethel Carter, HW</x:t>
        </x:is>
      </x:c>
      <x:c r="E16" s="411" t="n">
        <x:f>SUM(G16:HS16)</x:f>
        <x:v>-1.0769230769230769</x:v>
      </x:c>
      <x:c r="F16" s="35" t="inlineStr">
        <x:is>
          <x:t xml:space="preserve"/>
        </x:is>
      </x:c>
      <x:c r="G16" s="121" t="n"/>
      <x:c r="H16" s="121" t="n"/>
      <x:c r="I16" s="121" t="n"/>
      <x:c r="J16" s="121" t="n"/>
      <x:c r="K16" s="121" t="n">
        <x:v>-0.0769230769230769</x:v>
      </x:c>
      <x:c r="L16" s="121" t="n">
        <x:v>-1</x:v>
      </x:c>
      <x:c r="M16" s="121" t="n"/>
      <x:c r="N16" s="121" t="n"/>
      <x:c r="O16" s="122" t="n"/>
      <x:c r="P16" s="123" t="n"/>
      <x:c r="Q16" s="123" t="n"/>
      <x:c r="R16" s="121" t="n"/>
      <x:c r="S16" s="121" t="n"/>
      <x:c r="T16" s="121" t="n"/>
      <x:c r="U16" s="121" t="n"/>
      <x:c r="V16" s="121" t="n"/>
      <x:c r="W16" s="121" t="n"/>
      <x:c r="X16" s="121" t="n"/>
      <x:c r="Y16" s="121" t="n"/>
      <x:c r="Z16" s="122" t="n"/>
      <x:c r="AA16" s="121" t="n"/>
      <x:c r="AB16" s="121" t="n"/>
      <x:c r="AC16" s="123" t="n"/>
      <x:c r="AD16" s="123" t="n"/>
      <x:c r="AE16" s="123" t="n"/>
      <x:c r="AF16" s="122" t="n"/>
      <x:c r="AG16" s="122" t="n"/>
      <x:c r="AH16" s="122" t="n"/>
      <x:c r="AI16" s="122" t="n"/>
      <x:c r="AJ16" s="121" t="n"/>
      <x:c r="AK16" s="123" t="n"/>
      <x:c r="AL16" s="121" t="n"/>
      <x:c r="AM16" s="123" t="n"/>
      <x:c r="AN16" s="121" t="n"/>
      <x:c r="AO16" s="121" t="n"/>
      <x:c r="AP16" s="28" t="n"/>
      <x:c r="AQ16" s="28" t="n"/>
      <x:c r="AR16" s="28" t="n"/>
      <x:c r="AS16" s="28" t="n"/>
      <x:c r="AT16" s="28" t="n"/>
      <x:c r="AU16" s="28" t="n"/>
      <x:c r="AV16" s="28" t="n"/>
      <x:c r="AW16" s="28" t="n"/>
      <x:c r="AX16" s="28" t="n"/>
      <x:c r="AY16" s="28" t="n"/>
      <x:c r="AZ16" s="28" t="n"/>
      <x:c r="BA16" s="28" t="n"/>
      <x:c r="BB16" s="28" t="n"/>
      <x:c r="BC16" s="28" t="n"/>
      <x:c r="BD16" s="28" t="n"/>
      <x:c r="BE16" s="28" t="n"/>
      <x:c r="BF16" s="28" t="n"/>
      <x:c r="BG16" s="28" t="n"/>
      <x:c r="BH16" s="28" t="n"/>
      <x:c r="BI16" s="28" t="n"/>
      <x:c r="BJ16" s="28" t="n"/>
      <x:c r="BK16" s="28" t="n"/>
      <x:c r="BL16" s="28" t="n"/>
      <x:c r="BM16" s="28" t="n"/>
      <x:c r="BN16" s="28" t="n"/>
      <x:c r="BO16" s="28" t="n"/>
      <x:c r="BP16" s="28" t="n"/>
      <x:c r="BQ16" s="28" t="n"/>
      <x:c r="BR16" s="28" t="n"/>
      <x:c r="BS16" s="28" t="n"/>
      <x:c r="BT16" s="28" t="n"/>
      <x:c r="BU16" s="28" t="n"/>
      <x:c r="BV16" s="28" t="n"/>
      <x:c r="BW16" s="28" t="n"/>
      <x:c r="BX16" s="28" t="n"/>
      <x:c r="BY16" s="28" t="n"/>
      <x:c r="BZ16" s="28" t="n"/>
      <x:c r="CA16" s="28" t="n"/>
      <x:c r="CB16" s="28" t="n"/>
      <x:c r="CC16" s="28" t="n"/>
      <x:c r="CD16" s="28" t="n"/>
      <x:c r="CE16" s="28" t="n"/>
      <x:c r="CF16" s="28" t="n"/>
      <x:c r="CG16" s="28" t="n"/>
      <x:c r="CH16" s="28" t="n"/>
      <x:c r="CI16" s="28" t="n"/>
      <x:c r="CJ16" s="28" t="n"/>
      <x:c r="CK16" s="28" t="n"/>
      <x:c r="CL16" s="28" t="n"/>
      <x:c r="CM16" s="28" t="n"/>
      <x:c r="CN16" s="28" t="n"/>
      <x:c r="CO16" s="28" t="n"/>
      <x:c r="CP16" s="28" t="n"/>
      <x:c r="CQ16" s="28" t="n"/>
      <x:c r="CR16" s="28" t="n"/>
      <x:c r="CS16" s="28" t="n"/>
      <x:c r="CT16" s="28" t="n"/>
      <x:c r="CU16" s="28" t="n"/>
      <x:c r="CV16" s="28" t="n"/>
      <x:c r="CW16" s="28" t="n"/>
      <x:c r="CX16" s="28" t="n"/>
      <x:c r="CY16" s="28" t="n"/>
      <x:c r="CZ16" s="28" t="n"/>
      <x:c r="DA16" s="28" t="n"/>
      <x:c r="DB16" s="28" t="n"/>
      <x:c r="DC16" s="28" t="n"/>
      <x:c r="DD16" s="28" t="n"/>
      <x:c r="DE16" s="28" t="n"/>
      <x:c r="DF16" s="28" t="n"/>
      <x:c r="DG16" s="28" t="n"/>
      <x:c r="DH16" s="28" t="n"/>
      <x:c r="DI16" s="28" t="n"/>
      <x:c r="DJ16" s="28" t="n"/>
      <x:c r="DK16" s="28" t="n"/>
      <x:c r="DL16" s="28" t="n"/>
      <x:c r="DM16" s="28" t="n"/>
      <x:c r="DN16" s="28" t="n"/>
      <x:c r="DO16" s="28" t="n"/>
      <x:c r="DP16" s="28" t="n"/>
      <x:c r="DQ16" s="28" t="n"/>
      <x:c r="DR16" s="28" t="n"/>
      <x:c r="DS16" s="28" t="n"/>
      <x:c r="DT16" s="28" t="n"/>
      <x:c r="DU16" s="28" t="n"/>
      <x:c r="DV16" s="28" t="n"/>
      <x:c r="DW16" s="28" t="n"/>
      <x:c r="DX16" s="28" t="n"/>
      <x:c r="DY16" s="28" t="n"/>
      <x:c r="DZ16" s="28" t="n"/>
      <x:c r="EA16" s="28" t="n"/>
      <x:c r="EB16" s="28" t="n"/>
      <x:c r="EC16" s="28" t="n"/>
      <x:c r="ED16" s="28" t="n"/>
      <x:c r="EE16" s="28" t="n"/>
      <x:c r="EF16" s="28" t="n"/>
      <x:c r="EG16" s="28" t="n"/>
      <x:c r="EH16" s="28" t="n"/>
      <x:c r="EI16" s="28" t="n"/>
      <x:c r="EJ16" s="28" t="n"/>
      <x:c r="EK16" s="28" t="n"/>
      <x:c r="EL16" s="28" t="n"/>
      <x:c r="EM16" s="28" t="n"/>
      <x:c r="EN16" s="28" t="n"/>
      <x:c r="EO16" s="28" t="n"/>
      <x:c r="EP16" s="28" t="n"/>
      <x:c r="EQ16" s="28" t="n"/>
      <x:c r="ER16" s="28" t="n"/>
      <x:c r="ES16" s="28" t="n"/>
      <x:c r="ET16" s="28" t="n"/>
      <x:c r="EU16" s="28" t="n"/>
      <x:c r="EV16" s="28" t="n"/>
      <x:c r="EW16" s="28" t="n"/>
      <x:c r="EX16" s="28" t="n"/>
      <x:c r="EY16" s="28" t="n"/>
      <x:c r="EZ16" s="28" t="n"/>
      <x:c r="FA16" s="28" t="n"/>
      <x:c r="FB16" s="28" t="n"/>
      <x:c r="FC16" s="28" t="n"/>
      <x:c r="FD16" s="28" t="n"/>
      <x:c r="FE16" s="28" t="n"/>
      <x:c r="FF16" s="28" t="n"/>
      <x:c r="FG16" s="28" t="n"/>
      <x:c r="FH16" s="28" t="n"/>
      <x:c r="FI16" s="28" t="n"/>
      <x:c r="FJ16" s="28" t="n"/>
      <x:c r="FK16" s="28" t="n"/>
      <x:c r="FL16" s="28" t="n"/>
      <x:c r="FM16" s="28" t="n"/>
      <x:c r="FN16" s="28" t="n"/>
      <x:c r="FO16" s="28" t="n"/>
      <x:c r="FP16" s="28" t="n"/>
      <x:c r="FQ16" s="28" t="n"/>
      <x:c r="FR16" s="28" t="n"/>
      <x:c r="FS16" s="28" t="n"/>
      <x:c r="FT16" s="28" t="n"/>
      <x:c r="FU16" s="28" t="n"/>
      <x:c r="FV16" s="28" t="n"/>
      <x:c r="FW16" s="28" t="n"/>
      <x:c r="FX16" s="28" t="n"/>
      <x:c r="FY16" s="28" t="n"/>
    </x:row>
    <x:row r="17" s="27" customFormat="1">
      <x:c r="A17" s="38" t="n"/>
      <x:c r="B17" s="37" t="n"/>
      <x:c r="C17" s="36" t="n">
        <x:f>E17*D$5</x:f>
        <x:v>1.5384615384615379</x:v>
      </x:c>
      <x:c r="D17" s="103" t="inlineStr">
        <x:is>
          <x:t xml:space="preserve">G. C. Mitchel</x:t>
        </x:is>
      </x:c>
      <x:c r="E17" s="36" t="n">
        <x:f>SUM(G17:HS17)</x:f>
        <x:v>0.03846153846153845</x:v>
      </x:c>
      <x:c r="F17" s="35" t="inlineStr">
        <x:is>
          <x:t xml:space="preserve"/>
        </x:is>
      </x:c>
      <x:c r="G17" s="121" t="n"/>
      <x:c r="H17" s="121" t="n"/>
      <x:c r="I17" s="121" t="n"/>
      <x:c r="J17" s="121" t="n"/>
      <x:c r="K17" s="121" t="n">
        <x:v>0.03846153846153845</x:v>
      </x:c>
      <x:c r="L17" s="121" t="n"/>
      <x:c r="M17" s="121" t="n"/>
      <x:c r="N17" s="121" t="n"/>
      <x:c r="O17" s="121" t="n"/>
      <x:c r="P17" s="123" t="n"/>
      <x:c r="Q17" s="123" t="n"/>
      <x:c r="R17" s="121" t="n"/>
      <x:c r="S17" s="121" t="n"/>
      <x:c r="T17" s="121" t="n"/>
      <x:c r="U17" s="121" t="n"/>
      <x:c r="V17" s="121" t="n"/>
      <x:c r="W17" s="121" t="n"/>
      <x:c r="X17" s="121" t="n"/>
      <x:c r="Y17" s="121" t="n"/>
      <x:c r="Z17" s="121" t="n"/>
      <x:c r="AA17" s="121" t="n"/>
      <x:c r="AB17" s="121" t="n"/>
      <x:c r="AC17" s="123" t="n"/>
      <x:c r="AD17" s="123" t="n"/>
      <x:c r="AE17" s="123" t="n"/>
      <x:c r="AF17" s="122" t="n"/>
      <x:c r="AG17" s="122" t="n"/>
      <x:c r="AH17" s="122" t="n"/>
      <x:c r="AI17" s="122" t="n"/>
      <x:c r="AJ17" s="121" t="n"/>
      <x:c r="AK17" s="123" t="n"/>
      <x:c r="AL17" s="121" t="n"/>
      <x:c r="AM17" s="123" t="n"/>
      <x:c r="AN17" s="121" t="n"/>
      <x:c r="AO17" s="121" t="n"/>
      <x:c r="AP17" s="28" t="n"/>
      <x:c r="AQ17" s="28" t="n"/>
      <x:c r="AR17" s="28" t="n"/>
      <x:c r="AS17" s="28" t="n"/>
      <x:c r="AT17" s="28" t="n"/>
      <x:c r="AU17" s="28" t="n"/>
      <x:c r="AV17" s="28" t="n"/>
      <x:c r="AW17" s="28" t="n"/>
      <x:c r="AX17" s="28" t="n"/>
      <x:c r="AY17" s="28" t="n"/>
      <x:c r="AZ17" s="28" t="n"/>
      <x:c r="BA17" s="28" t="n"/>
      <x:c r="BB17" s="28" t="n"/>
      <x:c r="BC17" s="28" t="n"/>
      <x:c r="BD17" s="28" t="n"/>
      <x:c r="BE17" s="28" t="n"/>
      <x:c r="BF17" s="28" t="n"/>
      <x:c r="BG17" s="28" t="n"/>
      <x:c r="BH17" s="28" t="n"/>
      <x:c r="BI17" s="28" t="n"/>
      <x:c r="BJ17" s="28" t="n"/>
      <x:c r="BK17" s="28" t="n"/>
      <x:c r="BL17" s="28" t="n"/>
      <x:c r="BM17" s="28" t="n"/>
      <x:c r="BN17" s="28" t="n"/>
      <x:c r="BO17" s="28" t="n"/>
      <x:c r="BP17" s="28" t="n"/>
      <x:c r="BQ17" s="28" t="n"/>
      <x:c r="BR17" s="28" t="n"/>
      <x:c r="BS17" s="28" t="n"/>
      <x:c r="BT17" s="28" t="n"/>
      <x:c r="BU17" s="28" t="n"/>
      <x:c r="BV17" s="28" t="n"/>
      <x:c r="BW17" s="28" t="n"/>
      <x:c r="BX17" s="28" t="n"/>
      <x:c r="BY17" s="28" t="n"/>
      <x:c r="BZ17" s="28" t="n"/>
      <x:c r="CA17" s="28" t="n"/>
      <x:c r="CB17" s="28" t="n"/>
      <x:c r="CC17" s="28" t="n"/>
      <x:c r="CD17" s="28" t="n"/>
      <x:c r="CE17" s="28" t="n"/>
      <x:c r="CF17" s="28" t="n"/>
      <x:c r="CG17" s="28" t="n"/>
      <x:c r="CH17" s="28" t="n"/>
      <x:c r="CI17" s="28" t="n"/>
      <x:c r="CJ17" s="28" t="n"/>
      <x:c r="CK17" s="28" t="n"/>
      <x:c r="CL17" s="28" t="n"/>
      <x:c r="CM17" s="28" t="n"/>
      <x:c r="CN17" s="28" t="n"/>
      <x:c r="CO17" s="28" t="n"/>
      <x:c r="CP17" s="28" t="n"/>
      <x:c r="CQ17" s="28" t="n"/>
      <x:c r="CR17" s="28" t="n"/>
      <x:c r="CS17" s="28" t="n"/>
      <x:c r="CT17" s="28" t="n"/>
      <x:c r="CU17" s="28" t="n"/>
      <x:c r="CV17" s="28" t="n"/>
      <x:c r="CW17" s="28" t="n"/>
      <x:c r="CX17" s="28" t="n"/>
      <x:c r="CY17" s="28" t="n"/>
      <x:c r="CZ17" s="28" t="n"/>
      <x:c r="DA17" s="28" t="n"/>
      <x:c r="DB17" s="28" t="n"/>
      <x:c r="DC17" s="28" t="n"/>
      <x:c r="DD17" s="28" t="n"/>
      <x:c r="DE17" s="28" t="n"/>
      <x:c r="DF17" s="28" t="n"/>
      <x:c r="DG17" s="28" t="n"/>
      <x:c r="DH17" s="28" t="n"/>
      <x:c r="DI17" s="28" t="n"/>
      <x:c r="DJ17" s="28" t="n"/>
      <x:c r="DK17" s="28" t="n"/>
      <x:c r="DL17" s="28" t="n"/>
      <x:c r="DM17" s="28" t="n"/>
      <x:c r="DN17" s="28" t="n"/>
      <x:c r="DO17" s="28" t="n"/>
      <x:c r="DP17" s="28" t="n"/>
      <x:c r="DQ17" s="28" t="n"/>
      <x:c r="DR17" s="28" t="n"/>
      <x:c r="DS17" s="28" t="n"/>
      <x:c r="DT17" s="28" t="n"/>
      <x:c r="DU17" s="28" t="n"/>
      <x:c r="DV17" s="28" t="n"/>
      <x:c r="DW17" s="28" t="n"/>
      <x:c r="DX17" s="28" t="n"/>
      <x:c r="DY17" s="28" t="n"/>
      <x:c r="DZ17" s="28" t="n"/>
      <x:c r="EA17" s="28" t="n"/>
      <x:c r="EB17" s="28" t="n"/>
      <x:c r="EC17" s="28" t="n"/>
      <x:c r="ED17" s="28" t="n"/>
      <x:c r="EE17" s="28" t="n"/>
      <x:c r="EF17" s="28" t="n"/>
      <x:c r="EG17" s="28" t="n"/>
      <x:c r="EH17" s="28" t="n"/>
      <x:c r="EI17" s="28" t="n"/>
      <x:c r="EJ17" s="28" t="n"/>
      <x:c r="EK17" s="28" t="n"/>
      <x:c r="EL17" s="28" t="n"/>
      <x:c r="EM17" s="28" t="n"/>
      <x:c r="EN17" s="28" t="n"/>
      <x:c r="EO17" s="28" t="n"/>
      <x:c r="EP17" s="28" t="n"/>
      <x:c r="EQ17" s="28" t="n"/>
      <x:c r="ER17" s="28" t="n"/>
      <x:c r="ES17" s="28" t="n"/>
      <x:c r="ET17" s="28" t="n"/>
      <x:c r="EU17" s="28" t="n"/>
      <x:c r="EV17" s="28" t="n"/>
      <x:c r="EW17" s="28" t="n"/>
      <x:c r="EX17" s="28" t="n"/>
      <x:c r="EY17" s="28" t="n"/>
      <x:c r="EZ17" s="28" t="n"/>
      <x:c r="FA17" s="28" t="n"/>
      <x:c r="FB17" s="28" t="n"/>
      <x:c r="FC17" s="28" t="n"/>
      <x:c r="FD17" s="28" t="n"/>
      <x:c r="FE17" s="28" t="n"/>
      <x:c r="FF17" s="28" t="n"/>
      <x:c r="FG17" s="28" t="n"/>
      <x:c r="FH17" s="28" t="n"/>
      <x:c r="FI17" s="28" t="n"/>
      <x:c r="FJ17" s="28" t="n"/>
      <x:c r="FK17" s="28" t="n"/>
      <x:c r="FL17" s="28" t="n"/>
      <x:c r="FM17" s="28" t="n"/>
      <x:c r="FN17" s="28" t="n"/>
      <x:c r="FO17" s="28" t="n"/>
      <x:c r="FP17" s="28" t="n"/>
      <x:c r="FQ17" s="28" t="n"/>
      <x:c r="FR17" s="28" t="n"/>
      <x:c r="FS17" s="28" t="n"/>
      <x:c r="FT17" s="28" t="n"/>
      <x:c r="FU17" s="28" t="n"/>
      <x:c r="FV17" s="28" t="n"/>
      <x:c r="FW17" s="28" t="n"/>
      <x:c r="FX17" s="28" t="n"/>
      <x:c r="FY17" s="28" t="n"/>
    </x:row>
    <x:row r="18" s="27" customFormat="1">
      <x:c r="A18" s="38" t="n"/>
      <x:c r="B18" s="39" t="n"/>
      <x:c r="C18" s="36" t="n">
        <x:f>E18*D$5</x:f>
        <x:v>14.871794871794856</x:v>
      </x:c>
      <x:c r="D18" s="103" t="inlineStr">
        <x:is>
          <x:t xml:space="preserve">Glenn D. Mitchel</x:t>
        </x:is>
      </x:c>
      <x:c r="E18" s="36" t="n">
        <x:f>SUM(G18:HS18)</x:f>
        <x:v>0.3717948717948714</x:v>
      </x:c>
      <x:c r="F18" s="35" t="inlineStr">
        <x:is>
          <x:t xml:space="preserve"/>
        </x:is>
      </x:c>
      <x:c r="G18" s="121" t="n"/>
      <x:c r="H18" s="121" t="n"/>
      <x:c r="I18" s="121" t="n"/>
      <x:c r="J18" s="121" t="n"/>
      <x:c r="K18" s="121" t="n">
        <x:v>0.03846153846153845</x:v>
      </x:c>
      <x:c r="L18" s="121" t="n"/>
      <x:c r="M18" s="121" t="n"/>
      <x:c r="N18" s="122" t="n"/>
      <x:c r="O18" s="128" t="n"/>
      <x:c r="P18" s="124" t="n"/>
      <x:c r="Q18" s="123" t="n"/>
      <x:c r="R18" s="129" t="n"/>
      <x:c r="S18" s="121" t="n"/>
      <x:c r="T18" s="121" t="n"/>
      <x:c r="U18" s="121" t="n"/>
      <x:c r="V18" s="121" t="n"/>
      <x:c r="W18" s="121" t="n"/>
      <x:c r="X18" s="121" t="n"/>
      <x:c r="Y18" s="121" t="n"/>
      <x:c r="Z18" s="121" t="n"/>
      <x:c r="AA18" s="121" t="n"/>
      <x:c r="AB18" s="121" t="n"/>
      <x:c r="AC18" s="123" t="n"/>
      <x:c r="AD18" s="123" t="n"/>
      <x:c r="AE18" s="123" t="n"/>
      <x:c r="AF18" s="122" t="n"/>
      <x:c r="AG18" s="122" t="n"/>
      <x:c r="AH18" s="122" t="n"/>
      <x:c r="AI18" s="122" t="n"/>
      <x:c r="AJ18" s="121" t="n"/>
      <x:c r="AK18" s="124" t="n">
        <x:v>0.333333333333333</x:v>
      </x:c>
      <x:c r="AL18" s="121" t="n"/>
      <x:c r="AM18" s="123" t="n"/>
      <x:c r="AN18" s="121" t="n"/>
      <x:c r="AO18" s="121" t="n"/>
      <x:c r="AP18" s="28" t="n"/>
      <x:c r="AQ18" s="28" t="n"/>
      <x:c r="AR18" s="28" t="n"/>
      <x:c r="AS18" s="28" t="n"/>
      <x:c r="AT18" s="28" t="n"/>
      <x:c r="AU18" s="28" t="n"/>
      <x:c r="AV18" s="28" t="n"/>
      <x:c r="AW18" s="28" t="n"/>
      <x:c r="AX18" s="28" t="n"/>
      <x:c r="AY18" s="28" t="n"/>
      <x:c r="AZ18" s="28" t="n"/>
      <x:c r="BA18" s="28" t="n"/>
      <x:c r="BB18" s="28" t="n"/>
      <x:c r="BC18" s="28" t="n"/>
      <x:c r="BD18" s="28" t="n"/>
      <x:c r="BE18" s="28" t="n"/>
      <x:c r="BF18" s="28" t="n"/>
      <x:c r="BG18" s="28" t="n"/>
      <x:c r="BH18" s="28" t="n"/>
      <x:c r="BI18" s="28" t="n"/>
      <x:c r="BJ18" s="28" t="n"/>
      <x:c r="BK18" s="28" t="n"/>
      <x:c r="BL18" s="28" t="n"/>
      <x:c r="BM18" s="28" t="n"/>
      <x:c r="BN18" s="28" t="n"/>
      <x:c r="BO18" s="28" t="n"/>
      <x:c r="BP18" s="28" t="n"/>
      <x:c r="BQ18" s="28" t="n"/>
      <x:c r="BR18" s="28" t="n"/>
      <x:c r="BS18" s="28" t="n"/>
      <x:c r="BT18" s="28" t="n"/>
      <x:c r="BU18" s="28" t="n"/>
      <x:c r="BV18" s="28" t="n"/>
      <x:c r="BW18" s="28" t="n"/>
      <x:c r="BX18" s="28" t="n"/>
      <x:c r="BY18" s="28" t="n"/>
      <x:c r="BZ18" s="28" t="n"/>
      <x:c r="CA18" s="28" t="n"/>
      <x:c r="CB18" s="28" t="n"/>
      <x:c r="CC18" s="28" t="n"/>
      <x:c r="CD18" s="28" t="n"/>
      <x:c r="CE18" s="28" t="n"/>
      <x:c r="CF18" s="28" t="n"/>
      <x:c r="CG18" s="28" t="n"/>
      <x:c r="CH18" s="28" t="n"/>
      <x:c r="CI18" s="28" t="n"/>
      <x:c r="CJ18" s="28" t="n"/>
      <x:c r="CK18" s="28" t="n"/>
      <x:c r="CL18" s="28" t="n"/>
      <x:c r="CM18" s="28" t="n"/>
      <x:c r="CN18" s="28" t="n"/>
      <x:c r="CO18" s="28" t="n"/>
      <x:c r="CP18" s="28" t="n"/>
      <x:c r="CQ18" s="28" t="n"/>
      <x:c r="CR18" s="28" t="n"/>
      <x:c r="CS18" s="28" t="n"/>
      <x:c r="CT18" s="28" t="n"/>
      <x:c r="CU18" s="28" t="n"/>
      <x:c r="CV18" s="28" t="n"/>
      <x:c r="CW18" s="28" t="n"/>
      <x:c r="CX18" s="28" t="n"/>
      <x:c r="CY18" s="28" t="n"/>
      <x:c r="CZ18" s="28" t="n"/>
      <x:c r="DA18" s="28" t="n"/>
      <x:c r="DB18" s="28" t="n"/>
      <x:c r="DC18" s="28" t="n"/>
      <x:c r="DD18" s="28" t="n"/>
      <x:c r="DE18" s="28" t="n"/>
      <x:c r="DF18" s="28" t="n"/>
      <x:c r="DG18" s="28" t="n"/>
      <x:c r="DH18" s="28" t="n"/>
      <x:c r="DI18" s="28" t="n"/>
      <x:c r="DJ18" s="28" t="n"/>
      <x:c r="DK18" s="28" t="n"/>
      <x:c r="DL18" s="28" t="n"/>
      <x:c r="DM18" s="28" t="n"/>
      <x:c r="DN18" s="28" t="n"/>
      <x:c r="DO18" s="28" t="n"/>
      <x:c r="DP18" s="28" t="n"/>
      <x:c r="DQ18" s="28" t="n"/>
      <x:c r="DR18" s="28" t="n"/>
      <x:c r="DS18" s="28" t="n"/>
      <x:c r="DT18" s="28" t="n"/>
      <x:c r="DU18" s="28" t="n"/>
      <x:c r="DV18" s="28" t="n"/>
      <x:c r="DW18" s="28" t="n"/>
      <x:c r="DX18" s="28" t="n"/>
      <x:c r="DY18" s="28" t="n"/>
      <x:c r="DZ18" s="28" t="n"/>
      <x:c r="EA18" s="28" t="n"/>
      <x:c r="EB18" s="28" t="n"/>
      <x:c r="EC18" s="28" t="n"/>
      <x:c r="ED18" s="28" t="n"/>
      <x:c r="EE18" s="28" t="n"/>
      <x:c r="EF18" s="28" t="n"/>
      <x:c r="EG18" s="28" t="n"/>
      <x:c r="EH18" s="28" t="n"/>
      <x:c r="EI18" s="28" t="n"/>
      <x:c r="EJ18" s="28" t="n"/>
      <x:c r="EK18" s="28" t="n"/>
      <x:c r="EL18" s="28" t="n"/>
      <x:c r="EM18" s="28" t="n"/>
      <x:c r="EN18" s="28" t="n"/>
      <x:c r="EO18" s="28" t="n"/>
      <x:c r="EP18" s="28" t="n"/>
      <x:c r="EQ18" s="28" t="n"/>
      <x:c r="ER18" s="28" t="n"/>
      <x:c r="ES18" s="28" t="n"/>
      <x:c r="ET18" s="28" t="n"/>
      <x:c r="EU18" s="28" t="n"/>
      <x:c r="EV18" s="28" t="n"/>
      <x:c r="EW18" s="28" t="n"/>
      <x:c r="EX18" s="28" t="n"/>
      <x:c r="EY18" s="28" t="n"/>
      <x:c r="EZ18" s="28" t="n"/>
      <x:c r="FA18" s="28" t="n"/>
      <x:c r="FB18" s="28" t="n"/>
      <x:c r="FC18" s="28" t="n"/>
      <x:c r="FD18" s="28" t="n"/>
      <x:c r="FE18" s="28" t="n"/>
      <x:c r="FF18" s="28" t="n"/>
      <x:c r="FG18" s="28" t="n"/>
      <x:c r="FH18" s="28" t="n"/>
      <x:c r="FI18" s="28" t="n"/>
      <x:c r="FJ18" s="28" t="n"/>
      <x:c r="FK18" s="28" t="n"/>
      <x:c r="FL18" s="28" t="n"/>
      <x:c r="FM18" s="28" t="n"/>
      <x:c r="FN18" s="28" t="n"/>
      <x:c r="FO18" s="28" t="n"/>
      <x:c r="FP18" s="28" t="n"/>
      <x:c r="FQ18" s="28" t="n"/>
      <x:c r="FR18" s="28" t="n"/>
      <x:c r="FS18" s="28" t="n"/>
      <x:c r="FT18" s="28" t="n"/>
      <x:c r="FU18" s="28" t="n"/>
      <x:c r="FV18" s="28" t="n"/>
      <x:c r="FW18" s="28" t="n"/>
      <x:c r="FX18" s="28" t="n"/>
      <x:c r="FY18" s="28" t="n"/>
    </x:row>
    <x:row r="19" s="27" customFormat="1">
      <x:c r="A19" s="38" t="n"/>
      <x:c r="B19" s="39" t="n"/>
      <x:c r="C19" s="36" t="n">
        <x:f>E19*D$5</x:f>
        <x:v>100</x:v>
      </x:c>
      <x:c r="D19" s="104" t="inlineStr">
        <x:is>
          <x:t xml:space="preserve">Marvin G. Mitchell and Carrie Lou Mitchell, HW, JTWROS</x:t>
        </x:is>
      </x:c>
      <x:c r="E19" s="36" t="n">
        <x:f>SUM(G19:HS19)</x:f>
        <x:v>2.5</x:v>
      </x:c>
      <x:c r="F19" s="35" t="inlineStr">
        <x:is>
          <x:t xml:space="preserve"/>
        </x:is>
      </x:c>
      <x:c r="G19" s="121" t="n"/>
      <x:c r="H19" s="121" t="n"/>
      <x:c r="I19" s="121" t="n"/>
      <x:c r="J19" s="121" t="n"/>
      <x:c r="K19" s="121" t="n"/>
      <x:c r="L19" s="121" t="n">
        <x:v>1</x:v>
      </x:c>
      <x:c r="M19" s="121" t="n"/>
      <x:c r="N19" s="122" t="n"/>
      <x:c r="O19" s="128" t="n"/>
      <x:c r="P19" s="128" t="n"/>
      <x:c r="Q19" s="123" t="n"/>
      <x:c r="R19" s="129" t="n"/>
      <x:c r="S19" s="121" t="n"/>
      <x:c r="T19" s="121" t="n"/>
      <x:c r="U19" s="121" t="n"/>
      <x:c r="V19" s="121" t="n"/>
      <x:c r="W19" s="121" t="n"/>
      <x:c r="X19" s="121" t="n"/>
      <x:c r="Y19" s="121" t="n"/>
      <x:c r="Z19" s="121" t="n"/>
      <x:c r="AA19" s="121" t="n"/>
      <x:c r="AB19" s="121" t="n"/>
      <x:c r="AC19" s="123" t="n"/>
      <x:c r="AD19" s="123" t="n"/>
      <x:c r="AE19" s="123" t="n"/>
      <x:c r="AF19" s="122" t="n"/>
      <x:c r="AG19" s="122" t="n"/>
      <x:c r="AH19" s="122" t="n"/>
      <x:c r="AI19" s="122" t="n"/>
      <x:c r="AJ19" s="121" t="n"/>
      <x:c r="AK19" s="123" t="n"/>
      <x:c r="AL19" s="121" t="n"/>
      <x:c r="AM19" s="123" t="n"/>
      <x:c r="AN19" s="121" t="n"/>
      <x:c r="AO19" s="121" t="n"/>
      <x:c r="AP19" s="28" t="n"/>
      <x:c r="AQ19" s="28" t="n"/>
      <x:c r="AR19" s="28" t="n"/>
      <x:c r="AS19" s="28" t="n"/>
      <x:c r="AT19" s="28" t="n"/>
      <x:c r="AU19" s="28" t="n"/>
      <x:c r="AV19" s="28" t="n"/>
      <x:c r="AW19" s="28" t="n"/>
      <x:c r="AX19" s="28" t="n"/>
      <x:c r="AY19" s="28" t="n"/>
      <x:c r="AZ19" s="28" t="n"/>
      <x:c r="BA19" s="28" t="n"/>
      <x:c r="BB19" s="28" t="n"/>
      <x:c r="BC19" s="28" t="n"/>
      <x:c r="BD19" s="28" t="n"/>
      <x:c r="BE19" s="28" t="n"/>
      <x:c r="BF19" s="28" t="n"/>
      <x:c r="BG19" s="28" t="n"/>
      <x:c r="BH19" s="28" t="n"/>
      <x:c r="BI19" s="28" t="n"/>
      <x:c r="BJ19" s="28" t="n"/>
      <x:c r="BK19" s="28" t="n"/>
      <x:c r="BL19" s="28" t="n"/>
      <x:c r="BM19" s="28" t="n"/>
      <x:c r="BN19" s="28" t="n"/>
      <x:c r="BO19" s="28" t="n">
        <x:v>1</x:v>
      </x:c>
      <x:c r="BP19" s="28" t="n">
        <x:v>0.5</x:v>
      </x:c>
      <x:c r="BQ19" s="28" t="n"/>
      <x:c r="BR19" s="28" t="n"/>
      <x:c r="BS19" s="28" t="n"/>
      <x:c r="BT19" s="28" t="n"/>
      <x:c r="BU19" s="28" t="n"/>
      <x:c r="BV19" s="28" t="n"/>
      <x:c r="BW19" s="28" t="n"/>
      <x:c r="BX19" s="28" t="n"/>
      <x:c r="BY19" s="28" t="n"/>
      <x:c r="BZ19" s="28" t="n"/>
      <x:c r="CA19" s="28" t="n"/>
      <x:c r="CB19" s="28" t="n"/>
      <x:c r="CC19" s="28" t="n"/>
      <x:c r="CD19" s="28" t="n"/>
      <x:c r="CE19" s="28" t="n"/>
      <x:c r="CF19" s="28" t="n"/>
      <x:c r="CG19" s="28" t="n"/>
      <x:c r="CH19" s="28" t="n"/>
      <x:c r="CI19" s="28" t="n"/>
      <x:c r="CJ19" s="28" t="n"/>
      <x:c r="CK19" s="28" t="n"/>
      <x:c r="CL19" s="28" t="n"/>
      <x:c r="CM19" s="28" t="n"/>
      <x:c r="CN19" s="28" t="n"/>
      <x:c r="CO19" s="28" t="n"/>
      <x:c r="CP19" s="28" t="n"/>
      <x:c r="CQ19" s="28" t="n"/>
      <x:c r="CR19" s="28" t="n"/>
      <x:c r="CS19" s="28" t="n"/>
      <x:c r="CT19" s="28" t="n"/>
      <x:c r="CU19" s="28" t="n"/>
      <x:c r="CV19" s="28" t="n"/>
      <x:c r="CW19" s="28" t="n"/>
      <x:c r="CX19" s="28" t="n"/>
      <x:c r="CY19" s="28" t="n"/>
      <x:c r="CZ19" s="28" t="n"/>
      <x:c r="DA19" s="28" t="n"/>
      <x:c r="DB19" s="28" t="n"/>
      <x:c r="DC19" s="28" t="n"/>
      <x:c r="DD19" s="28" t="n"/>
      <x:c r="DE19" s="28" t="n"/>
      <x:c r="DF19" s="28" t="n"/>
      <x:c r="DG19" s="28" t="n"/>
      <x:c r="DH19" s="28" t="n"/>
      <x:c r="DI19" s="28" t="n"/>
      <x:c r="DJ19" s="28" t="n"/>
      <x:c r="DK19" s="28" t="n"/>
      <x:c r="DL19" s="28" t="n"/>
      <x:c r="DM19" s="28" t="n"/>
      <x:c r="DN19" s="28" t="n"/>
      <x:c r="DO19" s="28" t="n"/>
      <x:c r="DP19" s="28" t="n"/>
      <x:c r="DQ19" s="28" t="n"/>
      <x:c r="DR19" s="28" t="n"/>
      <x:c r="DS19" s="28" t="n"/>
      <x:c r="DT19" s="28" t="n"/>
      <x:c r="DU19" s="28" t="n"/>
      <x:c r="DV19" s="28" t="n"/>
      <x:c r="DW19" s="28" t="n"/>
      <x:c r="DX19" s="28" t="n"/>
      <x:c r="DY19" s="28" t="n"/>
      <x:c r="DZ19" s="28" t="n"/>
      <x:c r="EA19" s="28" t="n"/>
      <x:c r="EB19" s="28" t="n"/>
      <x:c r="EC19" s="28" t="n"/>
      <x:c r="ED19" s="28" t="n"/>
      <x:c r="EE19" s="28" t="n"/>
      <x:c r="EF19" s="28" t="n"/>
      <x:c r="EG19" s="28" t="n"/>
      <x:c r="EH19" s="28" t="n"/>
      <x:c r="EI19" s="28" t="n"/>
      <x:c r="EJ19" s="28" t="n"/>
      <x:c r="EK19" s="28" t="n"/>
      <x:c r="EL19" s="28" t="n"/>
      <x:c r="EM19" s="28" t="n"/>
      <x:c r="EN19" s="28" t="n"/>
      <x:c r="EO19" s="28" t="n"/>
      <x:c r="EP19" s="28" t="n"/>
      <x:c r="EQ19" s="28" t="n"/>
      <x:c r="ER19" s="28" t="n"/>
      <x:c r="ES19" s="28" t="n"/>
      <x:c r="ET19" s="28" t="n"/>
      <x:c r="EU19" s="28" t="n"/>
      <x:c r="EV19" s="28" t="n"/>
      <x:c r="EW19" s="28" t="n"/>
      <x:c r="EX19" s="28" t="n"/>
      <x:c r="EY19" s="28" t="n"/>
      <x:c r="EZ19" s="28" t="n"/>
      <x:c r="FA19" s="28" t="n"/>
      <x:c r="FB19" s="28" t="n"/>
      <x:c r="FC19" s="28" t="n"/>
      <x:c r="FD19" s="28" t="n"/>
      <x:c r="FE19" s="28" t="n"/>
      <x:c r="FF19" s="28" t="n"/>
      <x:c r="FG19" s="28" t="n"/>
      <x:c r="FH19" s="28" t="n"/>
      <x:c r="FI19" s="28" t="n"/>
      <x:c r="FJ19" s="28" t="n"/>
      <x:c r="FK19" s="28" t="n"/>
      <x:c r="FL19" s="28" t="n"/>
      <x:c r="FM19" s="28" t="n"/>
      <x:c r="FN19" s="28" t="n"/>
      <x:c r="FO19" s="28" t="n"/>
      <x:c r="FP19" s="28" t="n"/>
      <x:c r="FQ19" s="28" t="n"/>
      <x:c r="FR19" s="28" t="n"/>
      <x:c r="FS19" s="28" t="n"/>
      <x:c r="FT19" s="28" t="n"/>
      <x:c r="FU19" s="28" t="n"/>
      <x:c r="FV19" s="28" t="n"/>
      <x:c r="FW19" s="28" t="n"/>
      <x:c r="FX19" s="28" t="n"/>
      <x:c r="FY19" s="28" t="n"/>
    </x:row>
    <x:row r="20" s="27" customFormat="1">
      <x:c r="A20" s="38" t="n"/>
      <x:c r="B20" s="39" t="n"/>
      <x:c r="C20" s="86" t="n">
        <x:f>E20*D$5</x:f>
        <x:v>-40</x:v>
      </x:c>
      <x:c r="D20" s="412" t="inlineStr">
        <x:is>
          <x:t xml:space="preserve">Elvin J. Ridling and Dorothy Jean Ridling, HW</x:t>
        </x:is>
      </x:c>
      <x:c r="E20" s="413" t="n">
        <x:f>SUM(G20:HS20)</x:f>
        <x:v>-1</x:v>
      </x:c>
      <x:c r="F20" s="35" t="inlineStr">
        <x:is>
          <x:t xml:space="preserve"/>
        </x:is>
      </x:c>
      <x:c r="G20" s="121" t="n"/>
      <x:c r="H20" s="121" t="n"/>
      <x:c r="I20" s="121" t="n"/>
      <x:c r="J20" s="121" t="n"/>
      <x:c r="K20" s="121" t="n"/>
      <x:c r="L20" s="121" t="n"/>
      <x:c r="M20" s="121" t="n">
        <x:v>-1</x:v>
      </x:c>
      <x:c r="N20" s="122" t="n"/>
      <x:c r="O20" s="128" t="n"/>
      <x:c r="P20" s="128" t="n"/>
      <x:c r="Q20" s="123" t="n"/>
      <x:c r="R20" s="129" t="n"/>
      <x:c r="S20" s="121" t="n"/>
      <x:c r="T20" s="121" t="n"/>
      <x:c r="U20" s="121" t="n"/>
      <x:c r="V20" s="121" t="n"/>
      <x:c r="W20" s="121" t="n"/>
      <x:c r="X20" s="121" t="n"/>
      <x:c r="Y20" s="121" t="n"/>
      <x:c r="Z20" s="121" t="n"/>
      <x:c r="AA20" s="121" t="n"/>
      <x:c r="AB20" s="121" t="n"/>
      <x:c r="AC20" s="123" t="n"/>
      <x:c r="AD20" s="123" t="n"/>
      <x:c r="AE20" s="123" t="n"/>
      <x:c r="AF20" s="123" t="n"/>
      <x:c r="AG20" s="123" t="n"/>
      <x:c r="AH20" s="123" t="n"/>
      <x:c r="AI20" s="123" t="n"/>
      <x:c r="AJ20" s="121" t="n"/>
      <x:c r="AK20" s="123" t="n"/>
      <x:c r="AL20" s="121" t="n"/>
      <x:c r="AM20" s="123" t="n"/>
      <x:c r="AN20" s="121" t="n"/>
      <x:c r="AO20" s="121" t="n"/>
      <x:c r="AP20" s="28" t="n"/>
      <x:c r="AQ20" s="28" t="n"/>
      <x:c r="AR20" s="28" t="n"/>
      <x:c r="AS20" s="28" t="n"/>
      <x:c r="AT20" s="28" t="n"/>
      <x:c r="AU20" s="28" t="n"/>
      <x:c r="AV20" s="28" t="n"/>
      <x:c r="AW20" s="28" t="n"/>
      <x:c r="AX20" s="28" t="n"/>
      <x:c r="AY20" s="28" t="n"/>
      <x:c r="AZ20" s="28" t="n"/>
      <x:c r="BA20" s="28" t="n"/>
      <x:c r="BB20" s="28" t="n"/>
      <x:c r="BC20" s="28" t="n"/>
      <x:c r="BD20" s="28" t="n"/>
      <x:c r="BE20" s="28" t="n"/>
      <x:c r="BF20" s="28" t="n"/>
      <x:c r="BG20" s="28" t="n"/>
      <x:c r="BH20" s="28" t="n"/>
      <x:c r="BI20" s="28" t="n"/>
      <x:c r="BJ20" s="28" t="n"/>
      <x:c r="BK20" s="28" t="n"/>
      <x:c r="BL20" s="28" t="n"/>
      <x:c r="BM20" s="28" t="n"/>
      <x:c r="BN20" s="28" t="n"/>
      <x:c r="BO20" s="28" t="n"/>
      <x:c r="BP20" s="28" t="n"/>
      <x:c r="BQ20" s="28" t="n"/>
      <x:c r="BR20" s="28" t="n"/>
      <x:c r="BS20" s="28" t="n"/>
      <x:c r="BT20" s="28" t="n"/>
      <x:c r="BU20" s="28" t="n"/>
      <x:c r="BV20" s="28" t="n"/>
      <x:c r="BW20" s="28" t="n"/>
      <x:c r="BX20" s="28" t="n"/>
      <x:c r="BY20" s="28" t="n"/>
      <x:c r="BZ20" s="28" t="n"/>
      <x:c r="CA20" s="28" t="n"/>
      <x:c r="CB20" s="28" t="n"/>
      <x:c r="CC20" s="28" t="n"/>
      <x:c r="CD20" s="28" t="n"/>
      <x:c r="CE20" s="28" t="n"/>
      <x:c r="CF20" s="28" t="n"/>
      <x:c r="CG20" s="28" t="n"/>
      <x:c r="CH20" s="28" t="n"/>
      <x:c r="CI20" s="28" t="n"/>
      <x:c r="CJ20" s="28" t="n"/>
      <x:c r="CK20" s="28" t="n"/>
      <x:c r="CL20" s="28" t="n"/>
      <x:c r="CM20" s="28" t="n"/>
      <x:c r="CN20" s="28" t="n"/>
      <x:c r="CO20" s="28" t="n"/>
      <x:c r="CP20" s="28" t="n"/>
      <x:c r="CQ20" s="28" t="n"/>
      <x:c r="CR20" s="28" t="n"/>
      <x:c r="CS20" s="28" t="n"/>
      <x:c r="CT20" s="28" t="n"/>
      <x:c r="CU20" s="28" t="n"/>
      <x:c r="CV20" s="28" t="n"/>
      <x:c r="CW20" s="28" t="n"/>
      <x:c r="CX20" s="28" t="n"/>
      <x:c r="CY20" s="28" t="n"/>
      <x:c r="CZ20" s="28" t="n"/>
      <x:c r="DA20" s="28" t="n"/>
      <x:c r="DB20" s="28" t="n"/>
      <x:c r="DC20" s="28" t="n"/>
      <x:c r="DD20" s="28" t="n"/>
      <x:c r="DE20" s="28" t="n"/>
      <x:c r="DF20" s="28" t="n"/>
      <x:c r="DG20" s="28" t="n"/>
      <x:c r="DH20" s="28" t="n"/>
      <x:c r="DI20" s="28" t="n"/>
      <x:c r="DJ20" s="28" t="n"/>
      <x:c r="DK20" s="28" t="n"/>
      <x:c r="DL20" s="28" t="n"/>
      <x:c r="DM20" s="28" t="n"/>
      <x:c r="DN20" s="28" t="n"/>
      <x:c r="DO20" s="28" t="n"/>
      <x:c r="DP20" s="28" t="n"/>
      <x:c r="DQ20" s="28" t="n"/>
      <x:c r="DR20" s="28" t="n"/>
      <x:c r="DS20" s="28" t="n"/>
      <x:c r="DT20" s="28" t="n"/>
      <x:c r="DU20" s="28" t="n"/>
      <x:c r="DV20" s="28" t="n"/>
      <x:c r="DW20" s="28" t="n"/>
      <x:c r="DX20" s="28" t="n"/>
      <x:c r="DY20" s="28" t="n"/>
      <x:c r="DZ20" s="28" t="n"/>
      <x:c r="EA20" s="28" t="n"/>
      <x:c r="EB20" s="28" t="n"/>
      <x:c r="EC20" s="28" t="n"/>
      <x:c r="ED20" s="28" t="n"/>
      <x:c r="EE20" s="28" t="n"/>
      <x:c r="EF20" s="28" t="n"/>
      <x:c r="EG20" s="28" t="n"/>
      <x:c r="EH20" s="28" t="n"/>
      <x:c r="EI20" s="28" t="n"/>
      <x:c r="EJ20" s="28" t="n"/>
      <x:c r="EK20" s="28" t="n"/>
      <x:c r="EL20" s="28" t="n"/>
      <x:c r="EM20" s="28" t="n"/>
      <x:c r="EN20" s="28" t="n"/>
      <x:c r="EO20" s="28" t="n"/>
      <x:c r="EP20" s="28" t="n"/>
      <x:c r="EQ20" s="28" t="n"/>
      <x:c r="ER20" s="28" t="n"/>
      <x:c r="ES20" s="28" t="n"/>
      <x:c r="ET20" s="28" t="n"/>
      <x:c r="EU20" s="28" t="n"/>
      <x:c r="EV20" s="28" t="n"/>
      <x:c r="EW20" s="28" t="n"/>
      <x:c r="EX20" s="28" t="n"/>
      <x:c r="EY20" s="28" t="n"/>
      <x:c r="EZ20" s="28" t="n"/>
      <x:c r="FA20" s="28" t="n"/>
      <x:c r="FB20" s="28" t="n"/>
      <x:c r="FC20" s="28" t="n"/>
      <x:c r="FD20" s="28" t="n"/>
      <x:c r="FE20" s="28" t="n"/>
      <x:c r="FF20" s="28" t="n"/>
      <x:c r="FG20" s="28" t="n"/>
      <x:c r="FH20" s="28" t="n"/>
      <x:c r="FI20" s="28" t="n"/>
      <x:c r="FJ20" s="28" t="n"/>
      <x:c r="FK20" s="28" t="n"/>
      <x:c r="FL20" s="28" t="n"/>
      <x:c r="FM20" s="28" t="n"/>
      <x:c r="FN20" s="28" t="n"/>
      <x:c r="FO20" s="28" t="n"/>
      <x:c r="FP20" s="28" t="n"/>
      <x:c r="FQ20" s="28" t="n"/>
      <x:c r="FR20" s="28" t="n"/>
      <x:c r="FS20" s="28" t="n"/>
      <x:c r="FT20" s="28" t="n"/>
      <x:c r="FU20" s="28" t="n"/>
      <x:c r="FV20" s="28" t="n"/>
      <x:c r="FW20" s="28" t="n"/>
      <x:c r="FX20" s="28" t="n"/>
      <x:c r="FY20" s="28" t="n"/>
    </x:row>
    <x:row r="21" s="27" customFormat="1">
      <x:c r="A21" s="38" t="n"/>
      <x:c r="B21" s="37" t="n"/>
      <x:c r="C21" s="36" t="n">
        <x:f>E21*D$5</x:f>
        <x:v>40</x:v>
      </x:c>
      <x:c r="D21" s="103" t="inlineStr">
        <x:is>
          <x:t xml:space="preserve">M. G. Mitchell and Carrie Lou Mitchell, HW, JTWROS</x:t>
        </x:is>
      </x:c>
      <x:c r="E21" s="36" t="n">
        <x:f>SUM(G21:HS21)</x:f>
        <x:v>1</x:v>
      </x:c>
      <x:c r="F21" s="35" t="inlineStr">
        <x:is>
          <x:t xml:space="preserve"/>
        </x:is>
      </x:c>
      <x:c r="G21" s="121" t="n"/>
      <x:c r="H21" s="121" t="n"/>
      <x:c r="I21" s="121" t="n"/>
      <x:c r="J21" s="121" t="n"/>
      <x:c r="K21" s="121" t="n"/>
      <x:c r="L21" s="121" t="n"/>
      <x:c r="M21" s="121" t="n">
        <x:v>1</x:v>
      </x:c>
      <x:c r="N21" s="121" t="n"/>
      <x:c r="O21" s="128" t="n"/>
      <x:c r="P21" s="128" t="n"/>
      <x:c r="Q21" s="123" t="n"/>
      <x:c r="R21" s="129" t="n"/>
      <x:c r="S21" s="121" t="n"/>
      <x:c r="T21" s="121" t="n"/>
      <x:c r="U21" s="121" t="n"/>
      <x:c r="V21" s="121" t="n"/>
      <x:c r="W21" s="121" t="n"/>
      <x:c r="X21" s="121" t="n"/>
      <x:c r="Y21" s="121" t="n"/>
      <x:c r="Z21" s="121" t="n"/>
      <x:c r="AA21" s="121" t="n"/>
      <x:c r="AB21" s="121" t="n"/>
      <x:c r="AC21" s="123" t="n"/>
      <x:c r="AD21" s="123" t="n"/>
      <x:c r="AE21" s="123" t="n"/>
      <x:c r="AF21" s="123" t="n"/>
      <x:c r="AG21" s="123" t="n"/>
      <x:c r="AH21" s="123" t="n"/>
      <x:c r="AI21" s="123" t="n"/>
      <x:c r="AJ21" s="121" t="n"/>
      <x:c r="AK21" s="123" t="n"/>
      <x:c r="AL21" s="122" t="n"/>
      <x:c r="AM21" s="123" t="n"/>
      <x:c r="AN21" s="121" t="n"/>
      <x:c r="AO21" s="121" t="n"/>
      <x:c r="AP21" s="28" t="n"/>
      <x:c r="AQ21" s="28" t="n"/>
      <x:c r="AR21" s="28" t="n"/>
      <x:c r="AS21" s="28" t="n"/>
      <x:c r="AT21" s="28" t="n"/>
      <x:c r="AU21" s="28" t="n"/>
      <x:c r="AV21" s="28" t="n"/>
      <x:c r="AW21" s="28" t="n"/>
      <x:c r="AX21" s="28" t="n"/>
      <x:c r="AY21" s="28" t="n"/>
      <x:c r="AZ21" s="28" t="n"/>
      <x:c r="BA21" s="28" t="n"/>
      <x:c r="BB21" s="28" t="n"/>
      <x:c r="BC21" s="28" t="n"/>
      <x:c r="BD21" s="28" t="n"/>
      <x:c r="BE21" s="28" t="n"/>
      <x:c r="BF21" s="28" t="n"/>
      <x:c r="BG21" s="28" t="n"/>
      <x:c r="BH21" s="28" t="n"/>
      <x:c r="BI21" s="28" t="n"/>
      <x:c r="BJ21" s="28" t="n"/>
      <x:c r="BK21" s="28" t="n"/>
      <x:c r="BL21" s="28" t="n"/>
      <x:c r="BM21" s="28" t="n"/>
      <x:c r="BN21" s="28" t="n"/>
      <x:c r="BO21" s="28" t="n"/>
      <x:c r="BP21" s="28" t="n"/>
      <x:c r="BQ21" s="28" t="n"/>
      <x:c r="BR21" s="28" t="n"/>
      <x:c r="BS21" s="28" t="n"/>
      <x:c r="BT21" s="28" t="n"/>
      <x:c r="BU21" s="28" t="n"/>
      <x:c r="BV21" s="28" t="n"/>
      <x:c r="BW21" s="28" t="n"/>
      <x:c r="BX21" s="28" t="n"/>
      <x:c r="BY21" s="28" t="n"/>
      <x:c r="BZ21" s="28" t="n"/>
      <x:c r="CA21" s="28" t="n"/>
      <x:c r="CB21" s="28" t="n"/>
      <x:c r="CC21" s="28" t="n"/>
      <x:c r="CD21" s="28" t="n"/>
      <x:c r="CE21" s="28" t="n"/>
      <x:c r="CF21" s="28" t="n"/>
      <x:c r="CG21" s="28" t="n"/>
      <x:c r="CH21" s="28" t="n"/>
      <x:c r="CI21" s="28" t="n"/>
      <x:c r="CJ21" s="28" t="n"/>
      <x:c r="CK21" s="28" t="n"/>
      <x:c r="CL21" s="28" t="n"/>
      <x:c r="CM21" s="28" t="n"/>
      <x:c r="CN21" s="28" t="n"/>
      <x:c r="CO21" s="28" t="n"/>
      <x:c r="CP21" s="28" t="n"/>
      <x:c r="CQ21" s="28" t="n"/>
      <x:c r="CR21" s="28" t="n"/>
      <x:c r="CS21" s="28" t="n"/>
      <x:c r="CT21" s="28" t="n"/>
      <x:c r="CU21" s="28" t="n"/>
      <x:c r="CV21" s="28" t="n"/>
      <x:c r="CW21" s="28" t="n"/>
      <x:c r="CX21" s="28" t="n"/>
      <x:c r="CY21" s="28" t="n"/>
      <x:c r="CZ21" s="28" t="n"/>
      <x:c r="DA21" s="28" t="n"/>
      <x:c r="DB21" s="28" t="n"/>
      <x:c r="DC21" s="28" t="n"/>
      <x:c r="DD21" s="28" t="n"/>
      <x:c r="DE21" s="28" t="n"/>
      <x:c r="DF21" s="28" t="n"/>
      <x:c r="DG21" s="28" t="n"/>
      <x:c r="DH21" s="28" t="n"/>
      <x:c r="DI21" s="28" t="n"/>
      <x:c r="DJ21" s="28" t="n"/>
      <x:c r="DK21" s="28" t="n"/>
      <x:c r="DL21" s="28" t="n"/>
      <x:c r="DM21" s="28" t="n"/>
      <x:c r="DN21" s="28" t="n"/>
      <x:c r="DO21" s="28" t="n"/>
      <x:c r="DP21" s="28" t="n"/>
      <x:c r="DQ21" s="28" t="n"/>
      <x:c r="DR21" s="28" t="n"/>
      <x:c r="DS21" s="28" t="n"/>
      <x:c r="DT21" s="28" t="n"/>
      <x:c r="DU21" s="28" t="n"/>
      <x:c r="DV21" s="28" t="n"/>
      <x:c r="DW21" s="28" t="n"/>
      <x:c r="DX21" s="28" t="n"/>
      <x:c r="DY21" s="28" t="n"/>
      <x:c r="DZ21" s="28" t="n"/>
      <x:c r="EA21" s="28" t="n"/>
      <x:c r="EB21" s="28" t="n"/>
      <x:c r="EC21" s="28" t="n"/>
      <x:c r="ED21" s="28" t="n"/>
      <x:c r="EE21" s="28" t="n"/>
      <x:c r="EF21" s="28" t="n"/>
      <x:c r="EG21" s="28" t="n"/>
      <x:c r="EH21" s="28" t="n"/>
      <x:c r="EI21" s="28" t="n"/>
      <x:c r="EJ21" s="28" t="n"/>
      <x:c r="EK21" s="28" t="n"/>
      <x:c r="EL21" s="28" t="n"/>
      <x:c r="EM21" s="28" t="n"/>
      <x:c r="EN21" s="28" t="n"/>
      <x:c r="EO21" s="28" t="n"/>
      <x:c r="EP21" s="28" t="n"/>
      <x:c r="EQ21" s="28" t="n"/>
      <x:c r="ER21" s="28" t="n"/>
      <x:c r="ES21" s="28" t="n"/>
      <x:c r="ET21" s="28" t="n"/>
      <x:c r="EU21" s="28" t="n"/>
      <x:c r="EV21" s="28" t="n"/>
      <x:c r="EW21" s="28" t="n"/>
      <x:c r="EX21" s="28" t="n"/>
      <x:c r="EY21" s="28" t="n"/>
      <x:c r="EZ21" s="28" t="n"/>
      <x:c r="FA21" s="28" t="n"/>
      <x:c r="FB21" s="28" t="n"/>
      <x:c r="FC21" s="28" t="n"/>
      <x:c r="FD21" s="28" t="n"/>
      <x:c r="FE21" s="28" t="n"/>
      <x:c r="FF21" s="28" t="n"/>
      <x:c r="FG21" s="28" t="n"/>
      <x:c r="FH21" s="28" t="n"/>
      <x:c r="FI21" s="28" t="n"/>
      <x:c r="FJ21" s="28" t="n"/>
      <x:c r="FK21" s="28" t="n"/>
      <x:c r="FL21" s="28" t="n"/>
      <x:c r="FM21" s="28" t="n"/>
      <x:c r="FN21" s="28" t="n"/>
      <x:c r="FO21" s="28" t="n"/>
      <x:c r="FP21" s="28" t="n"/>
      <x:c r="FQ21" s="28" t="n"/>
      <x:c r="FR21" s="28" t="n"/>
      <x:c r="FS21" s="28" t="n"/>
      <x:c r="FT21" s="28" t="n"/>
      <x:c r="FU21" s="28" t="n"/>
      <x:c r="FV21" s="28" t="n"/>
      <x:c r="FW21" s="28" t="n"/>
      <x:c r="FX21" s="28" t="n"/>
      <x:c r="FY21" s="28" t="n"/>
    </x:row>
    <x:row r="22" s="27" customFormat="1">
      <x:c r="A22" s="38" t="n"/>
      <x:c r="B22" s="37" t="n"/>
      <x:c r="C22" s="86" t="n">
        <x:f>E22*D$5</x:f>
        <x:v>-26.01005722212588</x:v>
      </x:c>
      <x:c r="D22" s="410" t="inlineStr">
        <x:is>
          <x:t xml:space="preserve">W. L. Ayers and Hazel Ayers, HW</x:t>
        </x:is>
      </x:c>
      <x:c r="E22" s="413" t="n">
        <x:f>SUM(G22:HS22)</x:f>
        <x:v>-0.650251430553147</x:v>
      </x:c>
      <x:c r="F22" s="35" t="inlineStr">
        <x:is>
          <x:t xml:space="preserve"/>
        </x:is>
      </x:c>
      <x:c r="G22" s="121" t="n"/>
      <x:c r="H22" s="121" t="n"/>
      <x:c r="I22" s="121" t="n"/>
      <x:c r="J22" s="121" t="n"/>
      <x:c r="K22" s="121" t="n"/>
      <x:c r="L22" s="121" t="n"/>
      <x:c r="M22" s="121" t="n"/>
      <x:c r="N22" s="121" t="n">
        <x:v>-0.650251430553147</x:v>
      </x:c>
      <x:c r="O22" s="128" t="n"/>
      <x:c r="P22" s="128" t="n"/>
      <x:c r="Q22" s="123" t="n"/>
      <x:c r="R22" s="129" t="n"/>
      <x:c r="S22" s="121" t="n"/>
      <x:c r="T22" s="121" t="n"/>
      <x:c r="U22" s="121" t="n"/>
      <x:c r="V22" s="121" t="n"/>
      <x:c r="W22" s="121" t="n"/>
      <x:c r="X22" s="121" t="n"/>
      <x:c r="Y22" s="121" t="n"/>
      <x:c r="Z22" s="121" t="n"/>
      <x:c r="AA22" s="121" t="n"/>
      <x:c r="AB22" s="121" t="n"/>
      <x:c r="AC22" s="123" t="n"/>
      <x:c r="AD22" s="123" t="n"/>
      <x:c r="AE22" s="123" t="n"/>
      <x:c r="AF22" s="123" t="n"/>
      <x:c r="AG22" s="123" t="n"/>
      <x:c r="AH22" s="123" t="n"/>
      <x:c r="AI22" s="123" t="n"/>
      <x:c r="AJ22" s="121" t="n"/>
      <x:c r="AK22" s="123" t="n"/>
      <x:c r="AL22" s="122" t="n"/>
      <x:c r="AM22" s="123" t="n"/>
      <x:c r="AN22" s="121" t="n"/>
      <x:c r="AO22" s="121" t="n"/>
      <x:c r="AP22" s="28" t="n"/>
      <x:c r="AQ22" s="28" t="n"/>
      <x:c r="AR22" s="28" t="n"/>
      <x:c r="AS22" s="28" t="n"/>
      <x:c r="AT22" s="28" t="n"/>
      <x:c r="AU22" s="28" t="n"/>
      <x:c r="AV22" s="28" t="n"/>
      <x:c r="AW22" s="28" t="n"/>
      <x:c r="AX22" s="28" t="n"/>
      <x:c r="AY22" s="28" t="n"/>
      <x:c r="AZ22" s="28" t="n"/>
      <x:c r="BA22" s="28" t="n"/>
      <x:c r="BB22" s="28" t="n"/>
      <x:c r="BC22" s="28" t="n"/>
      <x:c r="BD22" s="28" t="n"/>
      <x:c r="BE22" s="28" t="n"/>
      <x:c r="BF22" s="28" t="n"/>
      <x:c r="BG22" s="28" t="n"/>
      <x:c r="BH22" s="28" t="n"/>
      <x:c r="BI22" s="28" t="n"/>
      <x:c r="BJ22" s="28" t="n"/>
      <x:c r="BK22" s="28" t="n"/>
      <x:c r="BL22" s="28" t="n"/>
      <x:c r="BM22" s="28" t="n"/>
      <x:c r="BN22" s="28" t="n"/>
      <x:c r="BO22" s="28" t="n"/>
      <x:c r="BP22" s="28" t="n"/>
      <x:c r="BQ22" s="28" t="n"/>
      <x:c r="BR22" s="28" t="n"/>
      <x:c r="BS22" s="28" t="n"/>
      <x:c r="BT22" s="28" t="n"/>
      <x:c r="BU22" s="28" t="n"/>
      <x:c r="BV22" s="28" t="n"/>
      <x:c r="BW22" s="28" t="n"/>
      <x:c r="BX22" s="28" t="n"/>
      <x:c r="BY22" s="28" t="n"/>
      <x:c r="BZ22" s="28" t="n"/>
      <x:c r="CA22" s="28" t="n"/>
      <x:c r="CB22" s="28" t="n"/>
      <x:c r="CC22" s="28" t="n"/>
      <x:c r="CD22" s="28" t="n"/>
      <x:c r="CE22" s="28" t="n"/>
      <x:c r="CF22" s="28" t="n"/>
      <x:c r="CG22" s="28" t="n"/>
      <x:c r="CH22" s="28" t="n"/>
      <x:c r="CI22" s="28" t="n"/>
      <x:c r="CJ22" s="28" t="n"/>
      <x:c r="CK22" s="28" t="n"/>
      <x:c r="CL22" s="28" t="n"/>
      <x:c r="CM22" s="28" t="n"/>
      <x:c r="CN22" s="28" t="n"/>
      <x:c r="CO22" s="28" t="n"/>
      <x:c r="CP22" s="28" t="n"/>
      <x:c r="CQ22" s="28" t="n"/>
      <x:c r="CR22" s="28" t="n"/>
      <x:c r="CS22" s="28" t="n"/>
      <x:c r="CT22" s="28" t="n"/>
      <x:c r="CU22" s="28" t="n"/>
      <x:c r="CV22" s="28" t="n"/>
      <x:c r="CW22" s="28" t="n"/>
      <x:c r="CX22" s="28" t="n"/>
      <x:c r="CY22" s="28" t="n"/>
      <x:c r="CZ22" s="28" t="n"/>
      <x:c r="DA22" s="28" t="n"/>
      <x:c r="DB22" s="28" t="n"/>
      <x:c r="DC22" s="28" t="n"/>
      <x:c r="DD22" s="28" t="n"/>
      <x:c r="DE22" s="28" t="n"/>
      <x:c r="DF22" s="28" t="n"/>
      <x:c r="DG22" s="28" t="n"/>
      <x:c r="DH22" s="28" t="n"/>
      <x:c r="DI22" s="28" t="n"/>
      <x:c r="DJ22" s="28" t="n"/>
      <x:c r="DK22" s="28" t="n"/>
      <x:c r="DL22" s="28" t="n"/>
      <x:c r="DM22" s="28" t="n"/>
      <x:c r="DN22" s="28" t="n"/>
      <x:c r="DO22" s="28" t="n"/>
      <x:c r="DP22" s="28" t="n"/>
      <x:c r="DQ22" s="28" t="n"/>
      <x:c r="DR22" s="28" t="n"/>
      <x:c r="DS22" s="28" t="n"/>
      <x:c r="DT22" s="28" t="n"/>
      <x:c r="DU22" s="28" t="n"/>
      <x:c r="DV22" s="28" t="n"/>
      <x:c r="DW22" s="28" t="n"/>
      <x:c r="DX22" s="28" t="n"/>
      <x:c r="DY22" s="28" t="n"/>
      <x:c r="DZ22" s="28" t="n"/>
      <x:c r="EA22" s="28" t="n"/>
      <x:c r="EB22" s="28" t="n"/>
      <x:c r="EC22" s="28" t="n"/>
      <x:c r="ED22" s="28" t="n"/>
      <x:c r="EE22" s="28" t="n"/>
      <x:c r="EF22" s="28" t="n"/>
      <x:c r="EG22" s="28" t="n"/>
      <x:c r="EH22" s="28" t="n"/>
      <x:c r="EI22" s="28" t="n"/>
      <x:c r="EJ22" s="28" t="n"/>
      <x:c r="EK22" s="28" t="n"/>
      <x:c r="EL22" s="28" t="n"/>
      <x:c r="EM22" s="28" t="n"/>
      <x:c r="EN22" s="28" t="n"/>
      <x:c r="EO22" s="28" t="n"/>
      <x:c r="EP22" s="28" t="n"/>
      <x:c r="EQ22" s="28" t="n"/>
      <x:c r="ER22" s="28" t="n"/>
      <x:c r="ES22" s="28" t="n"/>
      <x:c r="ET22" s="28" t="n"/>
      <x:c r="EU22" s="28" t="n"/>
      <x:c r="EV22" s="28" t="n"/>
      <x:c r="EW22" s="28" t="n"/>
      <x:c r="EX22" s="28" t="n"/>
      <x:c r="EY22" s="28" t="n"/>
      <x:c r="EZ22" s="28" t="n"/>
      <x:c r="FA22" s="28" t="n"/>
      <x:c r="FB22" s="28" t="n"/>
      <x:c r="FC22" s="28" t="n"/>
      <x:c r="FD22" s="28" t="n"/>
      <x:c r="FE22" s="28" t="n"/>
      <x:c r="FF22" s="28" t="n"/>
      <x:c r="FG22" s="28" t="n"/>
      <x:c r="FH22" s="28" t="n"/>
      <x:c r="FI22" s="28" t="n"/>
      <x:c r="FJ22" s="28" t="n"/>
      <x:c r="FK22" s="28" t="n"/>
      <x:c r="FL22" s="28" t="n"/>
      <x:c r="FM22" s="28" t="n"/>
      <x:c r="FN22" s="28" t="n"/>
      <x:c r="FO22" s="28" t="n"/>
      <x:c r="FP22" s="28" t="n"/>
      <x:c r="FQ22" s="28" t="n"/>
      <x:c r="FR22" s="28" t="n"/>
      <x:c r="FS22" s="28" t="n"/>
      <x:c r="FT22" s="28" t="n"/>
      <x:c r="FU22" s="28" t="n"/>
      <x:c r="FV22" s="28" t="n"/>
      <x:c r="FW22" s="28" t="n"/>
      <x:c r="FX22" s="28" t="n"/>
      <x:c r="FY22" s="28" t="n"/>
    </x:row>
    <x:row r="23" s="27" customFormat="1">
      <x:c r="A23" s="125" t="n"/>
      <x:c r="B23" s="39" t="n"/>
      <x:c r="C23" s="86" t="n">
        <x:f>E23*D$5</x:f>
        <x:v>19.074041962892316</x:v>
      </x:c>
      <x:c r="D23" s="4" t="inlineStr">
        <x:is>
          <x:t xml:space="preserve">Robert O. Lister Jr.</x:t>
        </x:is>
      </x:c>
      <x:c r="E23" s="86" t="n">
        <x:f>SUM(G23:HS23)</x:f>
        <x:v>0.4768510490723079</x:v>
      </x:c>
      <x:c r="F23" s="35" t="inlineStr">
        <x:is>
          <x:t xml:space="preserve"/>
        </x:is>
      </x:c>
      <x:c r="G23" s="121" t="n"/>
      <x:c r="H23" s="121" t="n"/>
      <x:c r="I23" s="121" t="n"/>
      <x:c r="J23" s="121" t="n"/>
      <x:c r="K23" s="121" t="n"/>
      <x:c r="L23" s="121" t="n"/>
      <x:c r="M23" s="121" t="n"/>
      <x:c r="N23" s="121" t="n">
        <x:v>0.650251430553147</x:v>
      </x:c>
      <x:c r="O23" s="121" t="n"/>
      <x:c r="P23" s="124" t="n">
        <x:v>-0.0867001907404196</x:v>
      </x:c>
      <x:c r="Q23" s="123" t="n">
        <x:v>-0.0867001907404196</x:v>
      </x:c>
      <x:c r="R23" s="121" t="n"/>
      <x:c r="S23" s="129" t="n"/>
      <x:c r="T23" s="121" t="n"/>
      <x:c r="U23" s="121" t="n"/>
      <x:c r="V23" s="121" t="n"/>
      <x:c r="W23" s="121" t="n"/>
      <x:c r="X23" s="121" t="n"/>
      <x:c r="Y23" s="121" t="n"/>
      <x:c r="Z23" s="121" t="n"/>
      <x:c r="AA23" s="121" t="n"/>
      <x:c r="AB23" s="121" t="n"/>
      <x:c r="AC23" s="123" t="n"/>
      <x:c r="AD23" s="123" t="n"/>
      <x:c r="AE23" s="123" t="n"/>
      <x:c r="AF23" s="123" t="n"/>
      <x:c r="AG23" s="123" t="n"/>
      <x:c r="AH23" s="123" t="n"/>
      <x:c r="AI23" s="123" t="n"/>
      <x:c r="AJ23" s="121" t="n"/>
      <x:c r="AK23" s="123" t="n"/>
      <x:c r="AL23" s="122" t="n"/>
      <x:c r="AM23" s="123" t="n"/>
      <x:c r="AN23" s="121" t="n"/>
      <x:c r="AO23" s="121" t="n"/>
      <x:c r="AP23" s="28" t="n"/>
      <x:c r="AQ23" s="28" t="n"/>
      <x:c r="AR23" s="28" t="n"/>
      <x:c r="AS23" s="28" t="n"/>
      <x:c r="AT23" s="28" t="n"/>
      <x:c r="AU23" s="28" t="n"/>
      <x:c r="AV23" s="28" t="n"/>
      <x:c r="AW23" s="28" t="n"/>
      <x:c r="AX23" s="28" t="n"/>
      <x:c r="AY23" s="28" t="n"/>
      <x:c r="AZ23" s="28" t="n"/>
      <x:c r="BA23" s="28" t="n"/>
      <x:c r="BB23" s="28" t="n"/>
      <x:c r="BC23" s="28" t="n"/>
      <x:c r="BD23" s="28" t="n"/>
      <x:c r="BE23" s="28" t="n"/>
      <x:c r="BF23" s="28" t="n"/>
      <x:c r="BG23" s="28" t="n"/>
      <x:c r="BH23" s="28" t="n"/>
      <x:c r="BI23" s="28" t="n"/>
      <x:c r="BJ23" s="28" t="n"/>
      <x:c r="BK23" s="28" t="n"/>
      <x:c r="BL23" s="28" t="n"/>
      <x:c r="BM23" s="28" t="n"/>
      <x:c r="BN23" s="28" t="n"/>
      <x:c r="BO23" s="28" t="n"/>
      <x:c r="BP23" s="28" t="n"/>
      <x:c r="BQ23" s="28" t="n"/>
      <x:c r="BR23" s="28" t="n"/>
      <x:c r="BS23" s="28" t="n"/>
      <x:c r="BT23" s="28" t="n"/>
      <x:c r="BU23" s="28" t="n"/>
      <x:c r="BV23" s="28" t="n"/>
      <x:c r="BW23" s="28" t="n"/>
      <x:c r="BX23" s="28" t="n"/>
      <x:c r="BY23" s="28" t="n"/>
      <x:c r="BZ23" s="28" t="n"/>
      <x:c r="CA23" s="28" t="n"/>
      <x:c r="CB23" s="28" t="n"/>
      <x:c r="CC23" s="28" t="n"/>
      <x:c r="CD23" s="28" t="n"/>
      <x:c r="CE23" s="28" t="n"/>
      <x:c r="CF23" s="28" t="n"/>
      <x:c r="CG23" s="28" t="n"/>
      <x:c r="CH23" s="28" t="n"/>
      <x:c r="CI23" s="28" t="n"/>
      <x:c r="CJ23" s="28" t="n"/>
      <x:c r="CK23" s="28" t="n"/>
      <x:c r="CL23" s="28" t="n"/>
      <x:c r="CM23" s="28" t="n"/>
      <x:c r="CN23" s="28" t="n"/>
      <x:c r="CO23" s="28" t="n"/>
      <x:c r="CP23" s="28" t="n"/>
      <x:c r="CQ23" s="28" t="n"/>
      <x:c r="CR23" s="28" t="n"/>
      <x:c r="CS23" s="28" t="n"/>
      <x:c r="CT23" s="28" t="n"/>
      <x:c r="CU23" s="28" t="n"/>
      <x:c r="CV23" s="28" t="n"/>
      <x:c r="CW23" s="28" t="n"/>
      <x:c r="CX23" s="28" t="n"/>
      <x:c r="CY23" s="28" t="n"/>
      <x:c r="CZ23" s="28" t="n"/>
      <x:c r="DA23" s="28" t="n"/>
      <x:c r="DB23" s="28" t="n"/>
      <x:c r="DC23" s="28" t="n"/>
      <x:c r="DD23" s="28" t="n"/>
      <x:c r="DE23" s="28" t="n"/>
      <x:c r="DF23" s="28" t="n"/>
      <x:c r="DG23" s="28" t="n"/>
      <x:c r="DH23" s="28" t="n"/>
      <x:c r="DI23" s="28" t="n"/>
      <x:c r="DJ23" s="28" t="n"/>
      <x:c r="DK23" s="28" t="n"/>
      <x:c r="DL23" s="28" t="n"/>
      <x:c r="DM23" s="28" t="n"/>
      <x:c r="DN23" s="28" t="n"/>
      <x:c r="DO23" s="28" t="n"/>
      <x:c r="DP23" s="28" t="n"/>
      <x:c r="DQ23" s="28" t="n"/>
      <x:c r="DR23" s="28" t="n"/>
      <x:c r="DS23" s="28" t="n"/>
      <x:c r="DT23" s="28" t="n"/>
      <x:c r="DU23" s="28" t="n"/>
      <x:c r="DV23" s="28" t="n"/>
      <x:c r="DW23" s="28" t="n"/>
      <x:c r="DX23" s="28" t="n"/>
      <x:c r="DY23" s="28" t="n"/>
      <x:c r="DZ23" s="28" t="n"/>
      <x:c r="EA23" s="28" t="n"/>
      <x:c r="EB23" s="28" t="n"/>
      <x:c r="EC23" s="28" t="n"/>
      <x:c r="ED23" s="28" t="n"/>
      <x:c r="EE23" s="28" t="n"/>
      <x:c r="EF23" s="28" t="n"/>
      <x:c r="EG23" s="28" t="n"/>
      <x:c r="EH23" s="28" t="n"/>
      <x:c r="EI23" s="28" t="n"/>
      <x:c r="EJ23" s="28" t="n"/>
      <x:c r="EK23" s="28" t="n"/>
      <x:c r="EL23" s="28" t="n"/>
      <x:c r="EM23" s="28" t="n"/>
      <x:c r="EN23" s="28" t="n"/>
      <x:c r="EO23" s="28" t="n"/>
      <x:c r="EP23" s="28" t="n"/>
      <x:c r="EQ23" s="28" t="n"/>
      <x:c r="ER23" s="28" t="n"/>
      <x:c r="ES23" s="28" t="n"/>
      <x:c r="ET23" s="28" t="n"/>
      <x:c r="EU23" s="28" t="n"/>
      <x:c r="EV23" s="28" t="n"/>
      <x:c r="EW23" s="28" t="n"/>
      <x:c r="EX23" s="28" t="n"/>
      <x:c r="EY23" s="28" t="n"/>
      <x:c r="EZ23" s="28" t="n"/>
      <x:c r="FA23" s="28" t="n"/>
      <x:c r="FB23" s="28" t="n"/>
      <x:c r="FC23" s="28" t="n"/>
      <x:c r="FD23" s="28" t="n"/>
      <x:c r="FE23" s="28" t="n"/>
      <x:c r="FF23" s="28" t="n"/>
      <x:c r="FG23" s="28" t="n"/>
      <x:c r="FH23" s="28" t="n"/>
      <x:c r="FI23" s="28" t="n"/>
      <x:c r="FJ23" s="28" t="n"/>
      <x:c r="FK23" s="28" t="n"/>
      <x:c r="FL23" s="28" t="n"/>
      <x:c r="FM23" s="28" t="n"/>
      <x:c r="FN23" s="28" t="n"/>
      <x:c r="FO23" s="28" t="n"/>
      <x:c r="FP23" s="28" t="n"/>
      <x:c r="FQ23" s="28" t="n"/>
      <x:c r="FR23" s="28" t="n"/>
      <x:c r="FS23" s="28" t="n"/>
      <x:c r="FT23" s="28" t="n"/>
      <x:c r="FU23" s="28" t="n"/>
      <x:c r="FV23" s="28" t="n"/>
      <x:c r="FW23" s="28" t="n"/>
      <x:c r="FX23" s="28" t="n"/>
      <x:c r="FY23" s="28" t="n"/>
    </x:row>
    <x:row r="24" s="27" customFormat="1">
      <x:c r="A24" s="125" t="n"/>
      <x:c r="B24" s="39" t="n"/>
      <x:c r="C24" s="86" t="n">
        <x:f>E24*D$5</x:f>
        <x:v>-19.07404196289232</x:v>
      </x:c>
      <x:c r="D24" s="410" t="inlineStr">
        <x:is>
          <x:t xml:space="preserve">Robert O. Lister, Jr. and Marie Lister, HW</x:t>
        </x:is>
      </x:c>
      <x:c r="E24" s="413" t="n">
        <x:f>SUM(G24:HS24)</x:f>
        <x:v>-0.476851049072308</x:v>
      </x:c>
      <x:c r="F24" s="35" t="inlineStr">
        <x:is>
          <x:t xml:space="preserve"/>
        </x:is>
      </x:c>
      <x:c r="G24" s="121" t="n"/>
      <x:c r="H24" s="121" t="n"/>
      <x:c r="I24" s="121" t="n"/>
      <x:c r="J24" s="121" t="n"/>
      <x:c r="K24" s="121" t="n"/>
      <x:c r="L24" s="121" t="n"/>
      <x:c r="M24" s="121" t="n"/>
      <x:c r="N24" s="121" t="n"/>
      <x:c r="O24" s="121" t="n">
        <x:v>-0.476851049072308</x:v>
      </x:c>
      <x:c r="P24" s="124" t="n"/>
      <x:c r="Q24" s="123" t="n"/>
      <x:c r="R24" s="121" t="n"/>
      <x:c r="S24" s="129" t="n"/>
      <x:c r="T24" s="121" t="n"/>
      <x:c r="U24" s="121" t="n"/>
      <x:c r="V24" s="121" t="n"/>
      <x:c r="W24" s="121" t="n"/>
      <x:c r="X24" s="121" t="n"/>
      <x:c r="Y24" s="121" t="n"/>
      <x:c r="Z24" s="121" t="n"/>
      <x:c r="AA24" s="121" t="n"/>
      <x:c r="AB24" s="121" t="n"/>
      <x:c r="AC24" s="123" t="n"/>
      <x:c r="AD24" s="123" t="n"/>
      <x:c r="AE24" s="123" t="n"/>
      <x:c r="AF24" s="123" t="n"/>
      <x:c r="AG24" s="123" t="n"/>
      <x:c r="AH24" s="123" t="n"/>
      <x:c r="AI24" s="123" t="n"/>
      <x:c r="AJ24" s="121" t="n"/>
      <x:c r="AK24" s="123" t="n"/>
      <x:c r="AL24" s="122" t="n"/>
      <x:c r="AM24" s="123" t="n"/>
      <x:c r="AN24" s="121" t="n"/>
      <x:c r="AO24" s="121" t="n"/>
      <x:c r="AP24" s="28" t="n"/>
      <x:c r="AQ24" s="28" t="n"/>
      <x:c r="AR24" s="28" t="n"/>
      <x:c r="AS24" s="28" t="n"/>
      <x:c r="AT24" s="28" t="n"/>
      <x:c r="AU24" s="28" t="n"/>
      <x:c r="AV24" s="28" t="n"/>
      <x:c r="AW24" s="28" t="n"/>
      <x:c r="AX24" s="28" t="n"/>
      <x:c r="AY24" s="28" t="n"/>
      <x:c r="AZ24" s="28" t="n"/>
      <x:c r="BA24" s="28" t="n"/>
      <x:c r="BB24" s="28" t="n"/>
      <x:c r="BC24" s="28" t="n"/>
      <x:c r="BD24" s="28" t="n"/>
      <x:c r="BE24" s="28" t="n"/>
      <x:c r="BF24" s="28" t="n"/>
      <x:c r="BG24" s="28" t="n"/>
      <x:c r="BH24" s="28" t="n"/>
      <x:c r="BI24" s="28" t="n"/>
      <x:c r="BJ24" s="28" t="n"/>
      <x:c r="BK24" s="28" t="n"/>
      <x:c r="BL24" s="28" t="n"/>
      <x:c r="BM24" s="28" t="n"/>
      <x:c r="BN24" s="28" t="n"/>
      <x:c r="BO24" s="28" t="n"/>
      <x:c r="BP24" s="28" t="n"/>
      <x:c r="BQ24" s="28" t="n"/>
      <x:c r="BR24" s="28" t="n"/>
      <x:c r="BS24" s="28" t="n"/>
      <x:c r="BT24" s="28" t="n"/>
      <x:c r="BU24" s="28" t="n"/>
      <x:c r="BV24" s="28" t="n"/>
      <x:c r="BW24" s="28" t="n"/>
      <x:c r="BX24" s="28" t="n"/>
      <x:c r="BY24" s="28" t="n"/>
      <x:c r="BZ24" s="28" t="n"/>
      <x:c r="CA24" s="28" t="n"/>
      <x:c r="CB24" s="28" t="n"/>
      <x:c r="CC24" s="28" t="n"/>
      <x:c r="CD24" s="28" t="n"/>
      <x:c r="CE24" s="28" t="n"/>
      <x:c r="CF24" s="28" t="n"/>
      <x:c r="CG24" s="28" t="n"/>
      <x:c r="CH24" s="28" t="n"/>
      <x:c r="CI24" s="28" t="n"/>
      <x:c r="CJ24" s="28" t="n"/>
      <x:c r="CK24" s="28" t="n"/>
      <x:c r="CL24" s="28" t="n"/>
      <x:c r="CM24" s="28" t="n"/>
      <x:c r="CN24" s="28" t="n"/>
      <x:c r="CO24" s="28" t="n"/>
      <x:c r="CP24" s="28" t="n"/>
      <x:c r="CQ24" s="28" t="n"/>
      <x:c r="CR24" s="28" t="n"/>
      <x:c r="CS24" s="28" t="n"/>
      <x:c r="CT24" s="28" t="n"/>
      <x:c r="CU24" s="28" t="n"/>
      <x:c r="CV24" s="28" t="n"/>
      <x:c r="CW24" s="28" t="n"/>
      <x:c r="CX24" s="28" t="n"/>
      <x:c r="CY24" s="28" t="n"/>
      <x:c r="CZ24" s="28" t="n"/>
      <x:c r="DA24" s="28" t="n"/>
      <x:c r="DB24" s="28" t="n"/>
      <x:c r="DC24" s="28" t="n"/>
      <x:c r="DD24" s="28" t="n"/>
      <x:c r="DE24" s="28" t="n"/>
      <x:c r="DF24" s="28" t="n"/>
      <x:c r="DG24" s="28" t="n"/>
      <x:c r="DH24" s="28" t="n"/>
      <x:c r="DI24" s="28" t="n"/>
      <x:c r="DJ24" s="28" t="n"/>
      <x:c r="DK24" s="28" t="n"/>
      <x:c r="DL24" s="28" t="n"/>
      <x:c r="DM24" s="28" t="n"/>
      <x:c r="DN24" s="28" t="n"/>
      <x:c r="DO24" s="28" t="n"/>
      <x:c r="DP24" s="28" t="n"/>
      <x:c r="DQ24" s="28" t="n"/>
      <x:c r="DR24" s="28" t="n"/>
      <x:c r="DS24" s="28" t="n"/>
      <x:c r="DT24" s="28" t="n"/>
      <x:c r="DU24" s="28" t="n"/>
      <x:c r="DV24" s="28" t="n"/>
      <x:c r="DW24" s="28" t="n"/>
      <x:c r="DX24" s="28" t="n"/>
      <x:c r="DY24" s="28" t="n"/>
      <x:c r="DZ24" s="28" t="n"/>
      <x:c r="EA24" s="28" t="n"/>
      <x:c r="EB24" s="28" t="n"/>
      <x:c r="EC24" s="28" t="n"/>
      <x:c r="ED24" s="28" t="n"/>
      <x:c r="EE24" s="28" t="n"/>
      <x:c r="EF24" s="28" t="n"/>
      <x:c r="EG24" s="28" t="n"/>
      <x:c r="EH24" s="28" t="n"/>
      <x:c r="EI24" s="28" t="n"/>
      <x:c r="EJ24" s="28" t="n"/>
      <x:c r="EK24" s="28" t="n"/>
      <x:c r="EL24" s="28" t="n"/>
      <x:c r="EM24" s="28" t="n"/>
      <x:c r="EN24" s="28" t="n"/>
      <x:c r="EO24" s="28" t="n"/>
      <x:c r="EP24" s="28" t="n"/>
      <x:c r="EQ24" s="28" t="n"/>
      <x:c r="ER24" s="28" t="n"/>
      <x:c r="ES24" s="28" t="n"/>
      <x:c r="ET24" s="28" t="n"/>
      <x:c r="EU24" s="28" t="n"/>
      <x:c r="EV24" s="28" t="n"/>
      <x:c r="EW24" s="28" t="n"/>
      <x:c r="EX24" s="28" t="n"/>
      <x:c r="EY24" s="28" t="n"/>
      <x:c r="EZ24" s="28" t="n"/>
      <x:c r="FA24" s="28" t="n"/>
      <x:c r="FB24" s="28" t="n"/>
      <x:c r="FC24" s="28" t="n"/>
      <x:c r="FD24" s="28" t="n"/>
      <x:c r="FE24" s="28" t="n"/>
      <x:c r="FF24" s="28" t="n"/>
      <x:c r="FG24" s="28" t="n"/>
      <x:c r="FH24" s="28" t="n"/>
      <x:c r="FI24" s="28" t="n"/>
      <x:c r="FJ24" s="28" t="n"/>
      <x:c r="FK24" s="28" t="n"/>
      <x:c r="FL24" s="28" t="n"/>
      <x:c r="FM24" s="28" t="n"/>
      <x:c r="FN24" s="28" t="n"/>
      <x:c r="FO24" s="28" t="n"/>
      <x:c r="FP24" s="28" t="n"/>
      <x:c r="FQ24" s="28" t="n"/>
      <x:c r="FR24" s="28" t="n"/>
      <x:c r="FS24" s="28" t="n"/>
      <x:c r="FT24" s="28" t="n"/>
      <x:c r="FU24" s="28" t="n"/>
      <x:c r="FV24" s="28" t="n"/>
      <x:c r="FW24" s="28" t="n"/>
      <x:c r="FX24" s="28" t="n"/>
      <x:c r="FY24" s="28" t="n"/>
    </x:row>
    <x:row r="25" s="27" customFormat="1">
      <x:c r="A25" s="125" t="n"/>
      <x:c r="B25" s="39" t="n"/>
      <x:c r="C25" s="86" t="n">
        <x:f>E25*D$5</x:f>
        <x:v>19.07404196289232</x:v>
      </x:c>
      <x:c r="D25" s="104" t="inlineStr">
        <x:is>
          <x:t xml:space="preserve">Carrie Lou Mitchell</x:t>
        </x:is>
      </x:c>
      <x:c r="E25" s="86" t="n">
        <x:f>SUM(G25:HS25)</x:f>
        <x:v>0.476851049072308</x:v>
      </x:c>
      <x:c r="F25" s="35" t="inlineStr">
        <x:is>
          <x:t xml:space="preserve"/>
        </x:is>
      </x:c>
      <x:c r="G25" s="121" t="n"/>
      <x:c r="H25" s="121" t="n"/>
      <x:c r="I25" s="121" t="n"/>
      <x:c r="J25" s="121" t="n"/>
      <x:c r="K25" s="121" t="n"/>
      <x:c r="L25" s="121" t="n"/>
      <x:c r="M25" s="121" t="n"/>
      <x:c r="N25" s="121" t="n"/>
      <x:c r="O25" s="121" t="n">
        <x:v>0.476851049072308</x:v>
      </x:c>
      <x:c r="P25" s="124" t="n"/>
      <x:c r="Q25" s="123" t="n"/>
      <x:c r="R25" s="121" t="n"/>
      <x:c r="S25" s="121" t="n"/>
      <x:c r="T25" s="129" t="n"/>
      <x:c r="U25" s="121" t="n"/>
      <x:c r="V25" s="121" t="n"/>
      <x:c r="W25" s="121" t="n"/>
      <x:c r="X25" s="121" t="n"/>
      <x:c r="Y25" s="121" t="n"/>
      <x:c r="Z25" s="121" t="n"/>
      <x:c r="AA25" s="121" t="n"/>
      <x:c r="AB25" s="121" t="n"/>
      <x:c r="AC25" s="123" t="n"/>
      <x:c r="AD25" s="123" t="n"/>
      <x:c r="AE25" s="123" t="n"/>
      <x:c r="AF25" s="123" t="n"/>
      <x:c r="AG25" s="123" t="n"/>
      <x:c r="AH25" s="6" t="n"/>
      <x:c r="AI25" s="123" t="n"/>
      <x:c r="AJ25" s="121" t="n"/>
      <x:c r="AK25" s="123" t="n"/>
      <x:c r="AL25" s="121" t="n"/>
      <x:c r="AM25" s="123" t="n"/>
      <x:c r="AN25" s="121" t="n"/>
      <x:c r="AO25" s="121" t="n"/>
      <x:c r="AP25" s="28" t="n"/>
      <x:c r="AQ25" s="28" t="n"/>
      <x:c r="AR25" s="28" t="n"/>
      <x:c r="AS25" s="28" t="n"/>
      <x:c r="AT25" s="28" t="n"/>
      <x:c r="AU25" s="28" t="n"/>
      <x:c r="AV25" s="28" t="n"/>
      <x:c r="AW25" s="28" t="n"/>
      <x:c r="AX25" s="28" t="n"/>
      <x:c r="AY25" s="28" t="n"/>
      <x:c r="AZ25" s="28" t="n"/>
      <x:c r="BA25" s="28" t="n"/>
      <x:c r="BB25" s="28" t="n"/>
      <x:c r="BC25" s="28" t="n"/>
      <x:c r="BD25" s="28" t="n"/>
      <x:c r="BE25" s="28" t="n"/>
      <x:c r="BF25" s="28" t="n"/>
      <x:c r="BG25" s="28" t="n"/>
      <x:c r="BH25" s="28" t="n"/>
      <x:c r="BI25" s="28" t="n"/>
      <x:c r="BJ25" s="28" t="n"/>
      <x:c r="BK25" s="28" t="n"/>
      <x:c r="BL25" s="28" t="n"/>
      <x:c r="BM25" s="28" t="n"/>
      <x:c r="BN25" s="28" t="n"/>
      <x:c r="BO25" s="28" t="n"/>
      <x:c r="BP25" s="28" t="n"/>
      <x:c r="BQ25" s="28" t="n"/>
      <x:c r="BR25" s="28" t="n"/>
      <x:c r="BS25" s="28" t="n"/>
      <x:c r="BT25" s="28" t="n"/>
      <x:c r="BU25" s="28" t="n"/>
      <x:c r="BV25" s="28" t="n"/>
      <x:c r="BW25" s="28" t="n"/>
      <x:c r="BX25" s="28" t="n"/>
      <x:c r="BY25" s="28" t="n"/>
      <x:c r="BZ25" s="28" t="n"/>
      <x:c r="CA25" s="28" t="n"/>
      <x:c r="CB25" s="28" t="n"/>
      <x:c r="CC25" s="28" t="n"/>
      <x:c r="CD25" s="28" t="n"/>
      <x:c r="CE25" s="28" t="n"/>
      <x:c r="CF25" s="28" t="n"/>
      <x:c r="CG25" s="28" t="n"/>
      <x:c r="CH25" s="28" t="n"/>
      <x:c r="CI25" s="28" t="n"/>
      <x:c r="CJ25" s="28" t="n"/>
      <x:c r="CK25" s="28" t="n"/>
      <x:c r="CL25" s="28" t="n"/>
      <x:c r="CM25" s="28" t="n"/>
      <x:c r="CN25" s="28" t="n"/>
      <x:c r="CO25" s="28" t="n"/>
      <x:c r="CP25" s="28" t="n"/>
      <x:c r="CQ25" s="28" t="n"/>
      <x:c r="CR25" s="28" t="n"/>
      <x:c r="CS25" s="28" t="n"/>
      <x:c r="CT25" s="28" t="n"/>
      <x:c r="CU25" s="28" t="n"/>
      <x:c r="CV25" s="28" t="n"/>
      <x:c r="CW25" s="28" t="n"/>
      <x:c r="CX25" s="28" t="n"/>
      <x:c r="CY25" s="28" t="n"/>
      <x:c r="CZ25" s="28" t="n"/>
      <x:c r="DA25" s="28" t="n"/>
      <x:c r="DB25" s="28" t="n"/>
      <x:c r="DC25" s="28" t="n"/>
      <x:c r="DD25" s="28" t="n"/>
      <x:c r="DE25" s="28" t="n"/>
      <x:c r="DF25" s="28" t="n"/>
      <x:c r="DG25" s="28" t="n"/>
      <x:c r="DH25" s="28" t="n"/>
      <x:c r="DI25" s="28" t="n"/>
      <x:c r="DJ25" s="28" t="n"/>
      <x:c r="DK25" s="28" t="n"/>
      <x:c r="DL25" s="28" t="n"/>
      <x:c r="DM25" s="28" t="n"/>
      <x:c r="DN25" s="28" t="n"/>
      <x:c r="DO25" s="28" t="n"/>
      <x:c r="DP25" s="28" t="n"/>
      <x:c r="DQ25" s="28" t="n"/>
      <x:c r="DR25" s="28" t="n"/>
      <x:c r="DS25" s="28" t="n"/>
      <x:c r="DT25" s="28" t="n"/>
      <x:c r="DU25" s="28" t="n"/>
      <x:c r="DV25" s="28" t="n"/>
      <x:c r="DW25" s="28" t="n"/>
      <x:c r="DX25" s="28" t="n"/>
      <x:c r="DY25" s="28" t="n"/>
      <x:c r="DZ25" s="28" t="n"/>
      <x:c r="EA25" s="28" t="n"/>
      <x:c r="EB25" s="28" t="n"/>
      <x:c r="EC25" s="28" t="n"/>
      <x:c r="ED25" s="28" t="n"/>
      <x:c r="EE25" s="28" t="n"/>
      <x:c r="EF25" s="28" t="n"/>
      <x:c r="EG25" s="28" t="n"/>
      <x:c r="EH25" s="28" t="n"/>
      <x:c r="EI25" s="28" t="n"/>
      <x:c r="EJ25" s="28" t="n"/>
      <x:c r="EK25" s="28" t="n"/>
      <x:c r="EL25" s="28" t="n"/>
      <x:c r="EM25" s="28" t="n"/>
      <x:c r="EN25" s="28" t="n"/>
      <x:c r="EO25" s="28" t="n"/>
      <x:c r="EP25" s="28" t="n"/>
      <x:c r="EQ25" s="28" t="n"/>
      <x:c r="ER25" s="28" t="n"/>
      <x:c r="ES25" s="28" t="n"/>
      <x:c r="ET25" s="28" t="n"/>
      <x:c r="EU25" s="28" t="n"/>
      <x:c r="EV25" s="28" t="n"/>
      <x:c r="EW25" s="28" t="n"/>
      <x:c r="EX25" s="28" t="n"/>
      <x:c r="EY25" s="28" t="n"/>
      <x:c r="EZ25" s="28" t="n"/>
      <x:c r="FA25" s="28" t="n"/>
      <x:c r="FB25" s="28" t="n"/>
      <x:c r="FC25" s="28" t="n"/>
      <x:c r="FD25" s="28" t="n"/>
      <x:c r="FE25" s="28" t="n"/>
      <x:c r="FF25" s="28" t="n"/>
      <x:c r="FG25" s="28" t="n"/>
      <x:c r="FH25" s="28" t="n"/>
      <x:c r="FI25" s="28" t="n"/>
      <x:c r="FJ25" s="28" t="n"/>
      <x:c r="FK25" s="28" t="n"/>
      <x:c r="FL25" s="28" t="n"/>
      <x:c r="FM25" s="28" t="n"/>
      <x:c r="FN25" s="28" t="n"/>
      <x:c r="FO25" s="28" t="n"/>
      <x:c r="FP25" s="28" t="n"/>
      <x:c r="FQ25" s="28" t="n"/>
      <x:c r="FR25" s="28" t="n"/>
      <x:c r="FS25" s="28" t="n"/>
      <x:c r="FT25" s="28" t="n"/>
      <x:c r="FU25" s="28" t="n"/>
      <x:c r="FV25" s="28" t="n"/>
      <x:c r="FW25" s="28" t="n"/>
      <x:c r="FX25" s="28" t="n"/>
      <x:c r="FY25" s="28" t="n"/>
    </x:row>
    <x:row r="26" s="27" customFormat="1">
      <x:c r="A26" s="125" t="n"/>
      <x:c r="B26" s="39" t="n"/>
      <x:c r="C26" s="86" t="n">
        <x:f>E26*D$5</x:f>
        <x:v>3.4680076296167837</x:v>
      </x:c>
      <x:c r="D26" s="104" t="inlineStr">
        <x:is>
          <x:t xml:space="preserve">A. C. Campbell</x:t>
        </x:is>
      </x:c>
      <x:c r="E26" s="86" t="n">
        <x:f>SUM(G26:HS26)</x:f>
        <x:v>0.0867001907404196</x:v>
      </x:c>
      <x:c r="F26" s="35" t="inlineStr">
        <x:is>
          <x:t xml:space="preserve"/>
        </x:is>
      </x:c>
      <x:c r="G26" s="121" t="n"/>
      <x:c r="H26" s="121" t="n"/>
      <x:c r="I26" s="121" t="n"/>
      <x:c r="J26" s="121" t="n"/>
      <x:c r="K26" s="121" t="n"/>
      <x:c r="L26" s="121" t="n"/>
      <x:c r="M26" s="121" t="n"/>
      <x:c r="N26" s="121" t="n"/>
      <x:c r="O26" s="121" t="n"/>
      <x:c r="P26" s="123" t="n">
        <x:v>0.0867001907404196</x:v>
      </x:c>
      <x:c r="Q26" s="123" t="n"/>
      <x:c r="R26" s="121" t="n"/>
      <x:c r="S26" s="121" t="n"/>
      <x:c r="T26" s="129" t="n"/>
      <x:c r="U26" s="121" t="n"/>
      <x:c r="V26" s="121" t="n"/>
      <x:c r="W26" s="121" t="n"/>
      <x:c r="X26" s="121" t="n"/>
      <x:c r="Y26" s="121" t="n"/>
      <x:c r="Z26" s="121" t="n"/>
      <x:c r="AA26" s="121" t="n"/>
      <x:c r="AB26" s="121" t="n"/>
      <x:c r="AC26" s="123" t="n"/>
      <x:c r="AD26" s="123" t="n"/>
      <x:c r="AE26" s="123" t="n"/>
      <x:c r="AF26" s="123" t="n"/>
      <x:c r="AG26" s="123" t="n"/>
      <x:c r="AH26" s="5" t="n"/>
      <x:c r="AI26" s="123" t="n"/>
      <x:c r="AJ26" s="121" t="n"/>
      <x:c r="AK26" s="123" t="n"/>
      <x:c r="AL26" s="122" t="n"/>
      <x:c r="AM26" s="123" t="n"/>
      <x:c r="AN26" s="121" t="n"/>
      <x:c r="AO26" s="121" t="n"/>
      <x:c r="AP26" s="28" t="n"/>
      <x:c r="AQ26" s="28" t="n"/>
      <x:c r="AR26" s="28" t="n"/>
      <x:c r="AS26" s="28" t="n"/>
      <x:c r="AT26" s="28" t="n"/>
      <x:c r="AU26" s="28" t="n"/>
      <x:c r="AV26" s="28" t="n"/>
      <x:c r="AW26" s="28" t="n"/>
      <x:c r="AX26" s="28" t="n"/>
      <x:c r="AY26" s="28" t="n"/>
      <x:c r="AZ26" s="28" t="n"/>
      <x:c r="BA26" s="28" t="n"/>
      <x:c r="BB26" s="28" t="n"/>
      <x:c r="BC26" s="28" t="n"/>
      <x:c r="BD26" s="28" t="n"/>
      <x:c r="BE26" s="28" t="n"/>
      <x:c r="BF26" s="28" t="n"/>
      <x:c r="BG26" s="28" t="n"/>
      <x:c r="BH26" s="28" t="n"/>
      <x:c r="BI26" s="28" t="n"/>
      <x:c r="BJ26" s="28" t="n"/>
      <x:c r="BK26" s="28" t="n"/>
      <x:c r="BL26" s="28" t="n"/>
      <x:c r="BM26" s="28" t="n"/>
      <x:c r="BN26" s="28" t="n"/>
      <x:c r="BO26" s="28" t="n"/>
      <x:c r="BP26" s="28" t="n"/>
      <x:c r="BQ26" s="28" t="n"/>
      <x:c r="BR26" s="28" t="n"/>
      <x:c r="BS26" s="28" t="n"/>
      <x:c r="BT26" s="28" t="n"/>
      <x:c r="BU26" s="28" t="n"/>
      <x:c r="BV26" s="28" t="n"/>
      <x:c r="BW26" s="28" t="n"/>
      <x:c r="BX26" s="28" t="n"/>
      <x:c r="BY26" s="28" t="n"/>
      <x:c r="BZ26" s="28" t="n"/>
      <x:c r="CA26" s="28" t="n"/>
      <x:c r="CB26" s="28" t="n"/>
      <x:c r="CC26" s="28" t="n"/>
      <x:c r="CD26" s="28" t="n"/>
      <x:c r="CE26" s="28" t="n"/>
      <x:c r="CF26" s="28" t="n"/>
      <x:c r="CG26" s="28" t="n"/>
      <x:c r="CH26" s="28" t="n"/>
      <x:c r="CI26" s="28" t="n"/>
      <x:c r="CJ26" s="28" t="n"/>
      <x:c r="CK26" s="28" t="n"/>
      <x:c r="CL26" s="28" t="n"/>
      <x:c r="CM26" s="28" t="n"/>
      <x:c r="CN26" s="28" t="n"/>
      <x:c r="CO26" s="28" t="n"/>
      <x:c r="CP26" s="28" t="n"/>
      <x:c r="CQ26" s="28" t="n"/>
      <x:c r="CR26" s="28" t="n"/>
      <x:c r="CS26" s="28" t="n"/>
      <x:c r="CT26" s="28" t="n"/>
      <x:c r="CU26" s="28" t="n"/>
      <x:c r="CV26" s="28" t="n"/>
      <x:c r="CW26" s="28" t="n"/>
      <x:c r="CX26" s="28" t="n"/>
      <x:c r="CY26" s="28" t="n"/>
      <x:c r="CZ26" s="28" t="n"/>
      <x:c r="DA26" s="28" t="n"/>
      <x:c r="DB26" s="28" t="n"/>
      <x:c r="DC26" s="28" t="n"/>
      <x:c r="DD26" s="28" t="n"/>
      <x:c r="DE26" s="28" t="n"/>
      <x:c r="DF26" s="28" t="n"/>
      <x:c r="DG26" s="28" t="n"/>
      <x:c r="DH26" s="28" t="n"/>
      <x:c r="DI26" s="28" t="n"/>
      <x:c r="DJ26" s="28" t="n"/>
      <x:c r="DK26" s="28" t="n"/>
      <x:c r="DL26" s="28" t="n"/>
      <x:c r="DM26" s="28" t="n"/>
      <x:c r="DN26" s="28" t="n"/>
      <x:c r="DO26" s="28" t="n"/>
      <x:c r="DP26" s="28" t="n"/>
      <x:c r="DQ26" s="28" t="n"/>
      <x:c r="DR26" s="28" t="n"/>
      <x:c r="DS26" s="28" t="n"/>
      <x:c r="DT26" s="28" t="n"/>
      <x:c r="DU26" s="28" t="n"/>
      <x:c r="DV26" s="28" t="n"/>
      <x:c r="DW26" s="28" t="n"/>
      <x:c r="DX26" s="28" t="n"/>
      <x:c r="DY26" s="28" t="n"/>
      <x:c r="DZ26" s="28" t="n"/>
      <x:c r="EA26" s="28" t="n"/>
      <x:c r="EB26" s="28" t="n"/>
      <x:c r="EC26" s="28" t="n"/>
      <x:c r="ED26" s="28" t="n"/>
      <x:c r="EE26" s="28" t="n"/>
      <x:c r="EF26" s="28" t="n"/>
      <x:c r="EG26" s="28" t="n"/>
      <x:c r="EH26" s="28" t="n"/>
      <x:c r="EI26" s="28" t="n"/>
      <x:c r="EJ26" s="28" t="n"/>
      <x:c r="EK26" s="28" t="n"/>
      <x:c r="EL26" s="28" t="n"/>
      <x:c r="EM26" s="28" t="n"/>
      <x:c r="EN26" s="28" t="n"/>
      <x:c r="EO26" s="28" t="n"/>
      <x:c r="EP26" s="28" t="n"/>
      <x:c r="EQ26" s="28" t="n"/>
      <x:c r="ER26" s="28" t="n"/>
      <x:c r="ES26" s="28" t="n"/>
      <x:c r="ET26" s="28" t="n"/>
      <x:c r="EU26" s="28" t="n"/>
      <x:c r="EV26" s="28" t="n"/>
      <x:c r="EW26" s="28" t="n"/>
      <x:c r="EX26" s="28" t="n"/>
      <x:c r="EY26" s="28" t="n"/>
      <x:c r="EZ26" s="28" t="n"/>
      <x:c r="FA26" s="28" t="n"/>
      <x:c r="FB26" s="28" t="n"/>
      <x:c r="FC26" s="28" t="n"/>
      <x:c r="FD26" s="28" t="n"/>
      <x:c r="FE26" s="28" t="n"/>
      <x:c r="FF26" s="28" t="n"/>
      <x:c r="FG26" s="28" t="n"/>
      <x:c r="FH26" s="28" t="n"/>
      <x:c r="FI26" s="28" t="n"/>
      <x:c r="FJ26" s="28" t="n"/>
      <x:c r="FK26" s="28" t="n"/>
      <x:c r="FL26" s="28" t="n"/>
      <x:c r="FM26" s="28" t="n"/>
      <x:c r="FN26" s="28" t="n"/>
      <x:c r="FO26" s="28" t="n"/>
      <x:c r="FP26" s="28" t="n"/>
      <x:c r="FQ26" s="28" t="n"/>
      <x:c r="FR26" s="28" t="n"/>
      <x:c r="FS26" s="28" t="n"/>
      <x:c r="FT26" s="28" t="n"/>
      <x:c r="FU26" s="28" t="n"/>
      <x:c r="FV26" s="28" t="n"/>
      <x:c r="FW26" s="28" t="n"/>
      <x:c r="FX26" s="28" t="n"/>
      <x:c r="FY26" s="28" t="n"/>
    </x:row>
    <x:row r="27" s="27" customFormat="1">
      <x:c r="A27" s="125" t="n"/>
      <x:c r="B27" s="39" t="n"/>
      <x:c r="C27" s="36" t="n">
        <x:f>E27*D$5</x:f>
        <x:v>3.4680076296167837</x:v>
      </x:c>
      <x:c r="D27" s="523" t="inlineStr">
        <x:is>
          <x:t xml:space="preserve">J. W. Klopfenstein</x:t>
        </x:is>
      </x:c>
      <x:c r="E27" s="36" t="n">
        <x:f>SUM(G27:HS27)</x:f>
        <x:v>0.0867001907404196</x:v>
      </x:c>
      <x:c r="F27" s="35" t="inlineStr">
        <x:is>
          <x:t xml:space="preserve"/>
        </x:is>
      </x:c>
      <x:c r="G27" s="121" t="n"/>
      <x:c r="H27" s="121" t="n"/>
      <x:c r="I27" s="121" t="n"/>
      <x:c r="J27" s="121" t="n"/>
      <x:c r="K27" s="121" t="n"/>
      <x:c r="L27" s="6" t="n"/>
      <x:c r="M27" s="121" t="n"/>
      <x:c r="N27" s="121" t="n"/>
      <x:c r="O27" s="121" t="n"/>
      <x:c r="P27" s="123" t="n"/>
      <x:c r="Q27" s="123" t="n">
        <x:v>0.0867001907404196</x:v>
      </x:c>
      <x:c r="R27" s="121" t="n"/>
      <x:c r="S27" s="121" t="n"/>
      <x:c r="T27" s="121" t="n"/>
      <x:c r="U27" s="129" t="n"/>
      <x:c r="V27" s="121" t="n"/>
      <x:c r="W27" s="121" t="n"/>
      <x:c r="X27" s="121" t="n"/>
      <x:c r="Y27" s="121" t="n"/>
      <x:c r="Z27" s="121" t="n"/>
      <x:c r="AA27" s="121" t="n"/>
      <x:c r="AB27" s="121" t="n"/>
      <x:c r="AC27" s="123" t="n"/>
      <x:c r="AD27" s="123" t="n"/>
      <x:c r="AE27" s="123" t="n"/>
      <x:c r="AF27" s="123" t="n"/>
      <x:c r="AG27" s="123" t="n"/>
      <x:c r="AH27" s="5" t="n"/>
      <x:c r="AI27" s="123" t="n"/>
      <x:c r="AJ27" s="121" t="n"/>
      <x:c r="AK27" s="123" t="n"/>
      <x:c r="AL27" s="121" t="n"/>
      <x:c r="AM27" s="123" t="n"/>
      <x:c r="AN27" s="121" t="n"/>
      <x:c r="AO27" s="121" t="n"/>
      <x:c r="AP27" s="28" t="n"/>
      <x:c r="AQ27" s="28" t="n"/>
      <x:c r="AR27" s="28" t="n"/>
    </x:row>
    <x:row r="28" s="27" customFormat="1">
      <x:c r="A28" s="125" t="n"/>
      <x:c r="B28" s="39" t="n"/>
      <x:c r="C28" s="36" t="n">
        <x:f>E28*D$5</x:f>
        <x:v>-9.23076923076924</x:v>
      </x:c>
      <x:c r="D28" s="421" t="inlineStr">
        <x:is>
          <x:t xml:space="preserve">L. E. Thurman and Veronica Thurman, HW</x:t>
        </x:is>
      </x:c>
      <x:c r="E28" s="411" t="n">
        <x:f>SUM(G28:HS28)</x:f>
        <x:v>-0.230769230769231</x:v>
      </x:c>
      <x:c r="F28" s="35" t="inlineStr">
        <x:is>
          <x:t xml:space="preserve"/>
        </x:is>
      </x:c>
      <x:c r="G28" s="121" t="n"/>
      <x:c r="H28" s="121" t="n"/>
      <x:c r="I28" s="121" t="n"/>
      <x:c r="J28" s="121" t="n"/>
      <x:c r="K28" s="121" t="n"/>
      <x:c r="L28" s="5" t="n"/>
      <x:c r="M28" s="121" t="n"/>
      <x:c r="N28" s="121" t="n"/>
      <x:c r="O28" s="121" t="n"/>
      <x:c r="P28" s="123" t="n"/>
      <x:c r="Q28" s="123" t="n"/>
      <x:c r="R28" s="121" t="n">
        <x:v>-0.230769230769231</x:v>
      </x:c>
      <x:c r="S28" s="121" t="n"/>
      <x:c r="T28" s="121" t="n"/>
      <x:c r="U28" s="129" t="n"/>
      <x:c r="V28" s="121" t="n"/>
      <x:c r="W28" s="121" t="n"/>
      <x:c r="X28" s="121" t="n"/>
      <x:c r="Y28" s="121" t="n"/>
      <x:c r="Z28" s="121" t="n"/>
      <x:c r="AA28" s="121" t="n"/>
      <x:c r="AB28" s="121" t="n"/>
      <x:c r="AC28" s="123" t="n"/>
      <x:c r="AD28" s="123" t="n"/>
      <x:c r="AE28" s="123" t="n"/>
      <x:c r="AF28" s="123" t="n"/>
      <x:c r="AG28" s="123" t="n"/>
      <x:c r="AH28" s="5" t="n"/>
      <x:c r="AI28" s="123" t="n"/>
      <x:c r="AJ28" s="121" t="n"/>
      <x:c r="AK28" s="123" t="n"/>
      <x:c r="AL28" s="121" t="n"/>
      <x:c r="AM28" s="123" t="n"/>
      <x:c r="AN28" s="121" t="n"/>
      <x:c r="AO28" s="121" t="n"/>
      <x:c r="AP28" s="28" t="n"/>
      <x:c r="AQ28" s="28" t="n"/>
      <x:c r="AR28" s="28" t="n"/>
    </x:row>
    <x:row r="29" s="27" customFormat="1">
      <x:c r="A29" s="125" t="n"/>
      <x:c r="B29" s="39" t="n"/>
      <x:c r="C29" s="86" t="n">
        <x:f>E29*D$5</x:f>
        <x:v>5.551115123125783e-16</x:v>
      </x:c>
      <x:c r="D29" s="4" t="inlineStr">
        <x:is>
          <x:t xml:space="preserve">Marie Lister</x:t>
        </x:is>
      </x:c>
      <x:c r="E29" s="86" t="n">
        <x:f>SUM(G29:HS29)</x:f>
        <x:v>1.3877787807814457e-17</x:v>
      </x:c>
      <x:c r="F29" s="35" t="inlineStr">
        <x:is>
          <x:t xml:space="preserve"/>
        </x:is>
      </x:c>
      <x:c r="G29" s="121" t="n"/>
      <x:c r="H29" s="121" t="n"/>
      <x:c r="I29" s="121" t="n"/>
      <x:c r="J29" s="121" t="n"/>
      <x:c r="K29" s="121" t="n"/>
      <x:c r="L29" s="5" t="n"/>
      <x:c r="M29" s="121" t="n"/>
      <x:c r="N29" s="121" t="n"/>
      <x:c r="O29" s="121" t="n"/>
      <x:c r="P29" s="123" t="n"/>
      <x:c r="Q29" s="123" t="n"/>
      <x:c r="R29" s="121" t="n">
        <x:v>0.230769230769231</x:v>
      </x:c>
      <x:c r="S29" s="121" t="n">
        <x:v>-0.153846153846154</x:v>
      </x:c>
      <x:c r="T29" s="121" t="n">
        <x:v>-0.0384615384615385</x:v>
      </x:c>
      <x:c r="U29" s="129" t="n">
        <x:v>-0.0384615384615385</x:v>
      </x:c>
      <x:c r="V29" s="121" t="n"/>
      <x:c r="W29" s="121" t="n"/>
      <x:c r="X29" s="121" t="n"/>
      <x:c r="Y29" s="121" t="n"/>
      <x:c r="Z29" s="121" t="n"/>
      <x:c r="AA29" s="121" t="n"/>
      <x:c r="AB29" s="121" t="n"/>
      <x:c r="AC29" s="123" t="n"/>
      <x:c r="AD29" s="123" t="n"/>
      <x:c r="AE29" s="123" t="n"/>
      <x:c r="AF29" s="123" t="n"/>
      <x:c r="AG29" s="123" t="n"/>
      <x:c r="AH29" s="5" t="n"/>
      <x:c r="AI29" s="123" t="n"/>
      <x:c r="AJ29" s="121" t="n"/>
      <x:c r="AK29" s="123" t="n"/>
      <x:c r="AL29" s="121" t="n"/>
      <x:c r="AM29" s="123" t="n"/>
      <x:c r="AN29" s="121" t="n"/>
      <x:c r="AO29" s="121" t="n"/>
      <x:c r="AP29" s="28" t="n"/>
      <x:c r="AQ29" s="28" t="n"/>
      <x:c r="AR29" s="28" t="n"/>
    </x:row>
    <x:row r="30" s="27" customFormat="1">
      <x:c r="A30" s="125" t="n"/>
      <x:c r="B30" s="39" t="n"/>
      <x:c r="C30" s="36" t="n">
        <x:f>E30*D$5</x:f>
        <x:v>0</x:v>
      </x:c>
      <x:c r="D30" s="103" t="inlineStr">
        <x:is>
          <x:t xml:space="preserve">W. H. Sorenson</x:t>
        </x:is>
      </x:c>
      <x:c r="E30" s="36" t="n">
        <x:f>SUM(G30:HS30)</x:f>
        <x:v>0</x:v>
      </x:c>
      <x:c r="F30" s="35" t="inlineStr">
        <x:is>
          <x:t xml:space="preserve"/>
        </x:is>
      </x:c>
      <x:c r="G30" s="121" t="n"/>
      <x:c r="H30" s="121" t="n"/>
      <x:c r="I30" s="121" t="n"/>
      <x:c r="J30" s="121" t="n"/>
      <x:c r="K30" s="121" t="n"/>
      <x:c r="L30" s="117" t="n"/>
      <x:c r="M30" s="121" t="n"/>
      <x:c r="N30" s="121" t="n"/>
      <x:c r="O30" s="121" t="n"/>
      <x:c r="P30" s="123" t="n"/>
      <x:c r="Q30" s="123" t="n"/>
      <x:c r="R30" s="121" t="n"/>
      <x:c r="S30" s="121" t="n">
        <x:v>0.153846153846154</x:v>
      </x:c>
      <x:c r="T30" s="121" t="n"/>
      <x:c r="U30" s="121" t="n"/>
      <x:c r="V30" s="129" t="n"/>
      <x:c r="W30" s="129" t="n"/>
      <x:c r="X30" s="129" t="n">
        <x:v>-0.153846153846154</x:v>
      </x:c>
      <x:c r="Y30" s="129" t="n"/>
      <x:c r="Z30" s="129" t="n"/>
      <x:c r="AA30" s="121" t="n"/>
      <x:c r="AB30" s="121" t="n"/>
      <x:c r="AC30" s="123" t="n"/>
      <x:c r="AD30" s="123" t="n"/>
      <x:c r="AE30" s="123" t="n"/>
      <x:c r="AF30" s="123" t="n"/>
      <x:c r="AG30" s="123" t="n"/>
      <x:c r="AH30" s="118" t="n"/>
      <x:c r="AI30" s="123" t="n"/>
      <x:c r="AJ30" s="121" t="n"/>
      <x:c r="AK30" s="123" t="n"/>
      <x:c r="AL30" s="121" t="n"/>
      <x:c r="AM30" s="123" t="n"/>
      <x:c r="AN30" s="121" t="n"/>
      <x:c r="AO30" s="121" t="n"/>
      <x:c r="AP30" s="28" t="n"/>
      <x:c r="AQ30" s="28" t="n"/>
      <x:c r="AR30" s="28" t="n"/>
    </x:row>
    <x:row r="31" s="27" customFormat="1">
      <x:c r="A31" s="125" t="n"/>
      <x:c r="B31" s="39" t="n"/>
      <x:c r="C31" s="86" t="n">
        <x:f>E31*D$5</x:f>
        <x:v>1.5384615384615399</x:v>
      </x:c>
      <x:c r="D31" s="103" t="inlineStr">
        <x:is>
          <x:t xml:space="preserve">Mann Childrens Trust</x:t>
        </x:is>
      </x:c>
      <x:c r="E31" s="86" t="n">
        <x:f>SUM(G31:HS31)</x:f>
        <x:v>0.0384615384615385</x:v>
      </x:c>
      <x:c r="F31" s="35" t="inlineStr">
        <x:is>
          <x:t xml:space="preserve"/>
        </x:is>
      </x:c>
      <x:c r="G31" s="121" t="n"/>
      <x:c r="H31" s="121" t="n"/>
      <x:c r="I31" s="121" t="n"/>
      <x:c r="J31" s="121" t="n"/>
      <x:c r="K31" s="121" t="n"/>
      <x:c r="L31" s="117" t="n"/>
      <x:c r="M31" s="121" t="n"/>
      <x:c r="N31" s="121" t="n"/>
      <x:c r="O31" s="121" t="n"/>
      <x:c r="P31" s="123" t="n"/>
      <x:c r="Q31" s="123" t="n"/>
      <x:c r="R31" s="121" t="n"/>
      <x:c r="S31" s="121" t="n"/>
      <x:c r="T31" s="121" t="n">
        <x:v>0.0384615384615385</x:v>
      </x:c>
      <x:c r="U31" s="121" t="n"/>
      <x:c r="V31" s="129" t="n"/>
      <x:c r="W31" s="129" t="n"/>
      <x:c r="X31" s="121" t="n"/>
      <x:c r="Y31" s="121" t="n"/>
      <x:c r="Z31" s="121" t="n"/>
      <x:c r="AA31" s="121" t="n"/>
      <x:c r="AB31" s="121" t="n"/>
      <x:c r="AC31" s="123" t="n"/>
      <x:c r="AD31" s="123" t="n"/>
      <x:c r="AE31" s="123" t="n"/>
      <x:c r="AF31" s="123" t="n"/>
      <x:c r="AG31" s="123" t="n"/>
      <x:c r="AH31" s="118" t="n"/>
      <x:c r="AI31" s="123" t="n"/>
      <x:c r="AJ31" s="121" t="n"/>
      <x:c r="AK31" s="123" t="n"/>
      <x:c r="AL31" s="121" t="n"/>
      <x:c r="AM31" s="123" t="n"/>
      <x:c r="AN31" s="121" t="n"/>
      <x:c r="AO31" s="121" t="n"/>
      <x:c r="AP31" s="28" t="n"/>
      <x:c r="AQ31" s="28" t="n"/>
      <x:c r="AR31" s="28" t="n"/>
    </x:row>
    <x:row r="32" s="27" customFormat="1">
      <x:c r="A32" s="125" t="n"/>
      <x:c r="B32" s="39" t="n"/>
      <x:c r="C32" s="86" t="n">
        <x:f>E32*D$5</x:f>
        <x:v>1.5384615384615399</x:v>
      </x:c>
      <x:c r="D32" s="103" t="inlineStr">
        <x:is>
          <x:t xml:space="preserve">J. E. Barnett</x:t>
        </x:is>
      </x:c>
      <x:c r="E32" s="86" t="n">
        <x:f>SUM(G32:HS32)</x:f>
        <x:v>0.0384615384615385</x:v>
      </x:c>
      <x:c r="F32" s="35" t="inlineStr">
        <x:is>
          <x:t xml:space="preserve"/>
        </x:is>
      </x:c>
      <x:c r="G32" s="121" t="n"/>
      <x:c r="H32" s="121" t="n"/>
      <x:c r="I32" s="121" t="n"/>
      <x:c r="J32" s="121" t="n"/>
      <x:c r="K32" s="121" t="n"/>
      <x:c r="L32" s="117" t="n"/>
      <x:c r="M32" s="121" t="n"/>
      <x:c r="N32" s="121" t="n"/>
      <x:c r="O32" s="121" t="n"/>
      <x:c r="P32" s="123" t="n"/>
      <x:c r="Q32" s="123" t="n"/>
      <x:c r="R32" s="121" t="n"/>
      <x:c r="S32" s="121" t="n"/>
      <x:c r="T32" s="121" t="n"/>
      <x:c r="U32" s="121" t="n">
        <x:v>0.0384615384615385</x:v>
      </x:c>
      <x:c r="V32" s="129" t="n"/>
      <x:c r="W32" s="121" t="n"/>
      <x:c r="X32" s="129" t="n"/>
      <x:c r="Y32" s="121" t="n"/>
      <x:c r="Z32" s="121" t="n"/>
      <x:c r="AA32" s="121" t="n"/>
      <x:c r="AB32" s="121" t="n"/>
      <x:c r="AC32" s="123" t="n"/>
      <x:c r="AD32" s="123" t="n"/>
      <x:c r="AE32" s="123" t="n"/>
      <x:c r="AF32" s="123" t="n"/>
      <x:c r="AG32" s="123" t="n"/>
      <x:c r="AH32" s="118" t="n"/>
      <x:c r="AI32" s="123" t="n"/>
      <x:c r="AJ32" s="121" t="n"/>
      <x:c r="AK32" s="123" t="n"/>
      <x:c r="AL32" s="121" t="n"/>
      <x:c r="AM32" s="123" t="n"/>
      <x:c r="AN32" s="121" t="n"/>
      <x:c r="AO32" s="121" t="n"/>
      <x:c r="AP32" s="28" t="n"/>
      <x:c r="AQ32" s="28" t="n"/>
      <x:c r="AR32" s="28" t="n"/>
    </x:row>
    <x:row r="33" s="27" customFormat="1">
      <x:c r="A33" s="125" t="n"/>
      <x:c r="B33" s="39" t="n"/>
      <x:c r="C33" s="36" t="n">
        <x:f>E33*D$5</x:f>
        <x:v>-1.5384615384615399</x:v>
      </x:c>
      <x:c r="D33" s="410" t="inlineStr">
        <x:is>
          <x:t xml:space="preserve">Glenn D. Mitchel Hazel P. Mitchel, HW</x:t>
        </x:is>
      </x:c>
      <x:c r="E33" s="411" t="n">
        <x:f>SUM(G33:HS33)</x:f>
        <x:v>-0.0384615384615385</x:v>
      </x:c>
      <x:c r="F33" s="35" t="inlineStr">
        <x:is>
          <x:t xml:space="preserve"/>
        </x:is>
      </x:c>
      <x:c r="G33" s="121" t="n"/>
      <x:c r="H33" s="121" t="n"/>
      <x:c r="I33" s="121" t="n"/>
      <x:c r="J33" s="121" t="n"/>
      <x:c r="K33" s="121" t="n"/>
      <x:c r="L33" s="121" t="n"/>
      <x:c r="M33" s="121" t="n"/>
      <x:c r="N33" s="121" t="n"/>
      <x:c r="O33" s="121" t="n"/>
      <x:c r="P33" s="123" t="n"/>
      <x:c r="Q33" s="123" t="n"/>
      <x:c r="R33" s="121" t="n"/>
      <x:c r="S33" s="121" t="n"/>
      <x:c r="T33" s="121" t="n"/>
      <x:c r="U33" s="121" t="n"/>
      <x:c r="V33" s="129" t="n">
        <x:v>-0.0384615384615385</x:v>
      </x:c>
      <x:c r="W33" s="121" t="n"/>
      <x:c r="X33" s="121" t="n"/>
      <x:c r="Y33" s="129" t="n"/>
      <x:c r="Z33" s="121" t="n"/>
      <x:c r="AA33" s="121" t="n"/>
      <x:c r="AB33" s="121" t="n"/>
      <x:c r="AC33" s="123" t="n"/>
      <x:c r="AD33" s="123" t="n"/>
      <x:c r="AE33" s="123" t="n"/>
      <x:c r="AF33" s="123" t="n"/>
      <x:c r="AG33" s="123" t="n"/>
      <x:c r="AH33" s="123" t="n"/>
      <x:c r="AI33" s="123" t="n"/>
      <x:c r="AJ33" s="121" t="n"/>
      <x:c r="AK33" s="123" t="n"/>
      <x:c r="AL33" s="121" t="n"/>
      <x:c r="AM33" s="123" t="n"/>
      <x:c r="AN33" s="121" t="n"/>
      <x:c r="AO33" s="121" t="n"/>
      <x:c r="AP33" s="28" t="n"/>
      <x:c r="AQ33" s="28" t="n"/>
      <x:c r="AR33" s="28" t="n"/>
    </x:row>
    <x:row r="34" s="27" customFormat="1">
      <x:c r="A34" s="125" t="n"/>
      <x:c r="B34" s="39" t="n"/>
      <x:c r="C34" s="36" t="n">
        <x:f>E34*D$5</x:f>
        <x:v>0.7692307692307719</x:v>
      </x:c>
      <x:c r="D34" s="103" t="inlineStr">
        <x:is>
          <x:t xml:space="preserve">Nolan E. Britton, Inc.</x:t>
        </x:is>
      </x:c>
      <x:c r="E34" s="36" t="n">
        <x:f>SUM(G34:HS34)</x:f>
        <x:v>0.019230769230769298</x:v>
      </x:c>
      <x:c r="F34" s="35" t="inlineStr">
        <x:is>
          <x:t xml:space="preserve"/>
        </x:is>
      </x:c>
      <x:c r="G34" s="121" t="n"/>
      <x:c r="H34" s="121" t="n"/>
      <x:c r="I34" s="121" t="n"/>
      <x:c r="J34" s="121" t="n"/>
      <x:c r="K34" s="121" t="n"/>
      <x:c r="L34" s="121" t="n"/>
      <x:c r="M34" s="121" t="n"/>
      <x:c r="N34" s="121" t="n"/>
      <x:c r="O34" s="121" t="n"/>
      <x:c r="P34" s="123" t="n"/>
      <x:c r="Q34" s="123" t="n"/>
      <x:c r="R34" s="121" t="n"/>
      <x:c r="S34" s="121" t="n"/>
      <x:c r="T34" s="121" t="n"/>
      <x:c r="U34" s="121" t="n"/>
      <x:c r="V34" s="129" t="n">
        <x:v>0.0384615384615385</x:v>
      </x:c>
      <x:c r="W34" s="121" t="n">
        <x:v>-0.0192307692307692</x:v>
      </x:c>
      <x:c r="X34" s="121" t="n"/>
      <x:c r="Y34" s="121" t="n"/>
      <x:c r="Z34" s="129" t="n"/>
      <x:c r="AA34" s="121" t="n"/>
      <x:c r="AB34" s="121" t="n"/>
      <x:c r="AC34" s="121" t="n"/>
      <x:c r="AD34" s="123" t="n"/>
      <x:c r="AE34" s="123" t="n"/>
      <x:c r="AF34" s="123" t="n"/>
      <x:c r="AG34" s="123" t="n"/>
      <x:c r="AH34" s="123" t="n"/>
      <x:c r="AI34" s="123" t="n"/>
      <x:c r="AJ34" s="121" t="n"/>
      <x:c r="AK34" s="123" t="n"/>
      <x:c r="AL34" s="121" t="n"/>
      <x:c r="AM34" s="123" t="n"/>
      <x:c r="AN34" s="121" t="n"/>
      <x:c r="AO34" s="121" t="n"/>
      <x:c r="AP34" s="28" t="n"/>
      <x:c r="AQ34" s="28" t="n"/>
      <x:c r="AR34" s="28" t="n"/>
    </x:row>
    <x:row r="35" s="27" customFormat="1">
      <x:c r="A35" s="125" t="n"/>
      <x:c r="B35" s="39" t="n"/>
      <x:c r="C35" s="36" t="n">
        <x:f>E35*D$5</x:f>
        <x:v>-39.23076923076923</x:v>
      </x:c>
      <x:c r="D35" s="410" t="inlineStr">
        <x:is>
          <x:t xml:space="preserve">Chinook Resources, Inc.</x:t>
        </x:is>
      </x:c>
      <x:c r="E35" s="411" t="n">
        <x:f>SUM(G35:HS35)</x:f>
        <x:v>-0.9807692307692308</x:v>
      </x:c>
      <x:c r="F35" s="35" t="inlineStr">
        <x:is>
          <x:t xml:space="preserve"/>
        </x:is>
      </x:c>
      <x:c r="G35" s="121" t="n"/>
      <x:c r="H35" s="121" t="n"/>
      <x:c r="I35" s="121" t="n"/>
      <x:c r="J35" s="121" t="n"/>
      <x:c r="K35" s="121" t="n"/>
      <x:c r="L35" s="121" t="n"/>
      <x:c r="M35" s="121" t="n"/>
      <x:c r="N35" s="121" t="n"/>
      <x:c r="O35" s="121" t="n"/>
      <x:c r="P35" s="123" t="n"/>
      <x:c r="Q35" s="123" t="n"/>
      <x:c r="R35" s="121" t="n"/>
      <x:c r="S35" s="121" t="n"/>
      <x:c r="T35" s="121" t="n"/>
      <x:c r="U35" s="121" t="n"/>
      <x:c r="V35" s="129" t="n"/>
      <x:c r="W35" s="121" t="n">
        <x:v>0.0192307692307692</x:v>
      </x:c>
      <x:c r="X35" s="121" t="n"/>
      <x:c r="Y35" s="121" t="n">
        <x:v>-1</x:v>
      </x:c>
      <x:c r="Z35" s="121" t="n"/>
      <x:c r="AA35" s="121" t="n"/>
      <x:c r="AB35" s="121" t="n"/>
      <x:c r="AC35" s="121" t="n"/>
      <x:c r="AD35" s="123" t="n"/>
      <x:c r="AE35" s="123" t="n"/>
      <x:c r="AF35" s="123" t="n"/>
      <x:c r="AG35" s="123" t="n"/>
      <x:c r="AH35" s="123" t="n"/>
      <x:c r="AI35" s="123" t="n"/>
      <x:c r="AJ35" s="121" t="n"/>
      <x:c r="AK35" s="121" t="n"/>
      <x:c r="AL35" s="121" t="n"/>
      <x:c r="AM35" s="123" t="n"/>
      <x:c r="AN35" s="121" t="n"/>
      <x:c r="AO35" s="121" t="n"/>
      <x:c r="AP35" s="28" t="n"/>
      <x:c r="AQ35" s="28" t="n"/>
      <x:c r="AR35" s="28" t="n"/>
    </x:row>
    <x:row r="36" s="27" customFormat="1" ht="24" customHeight="1">
      <x:c r="A36" s="125" t="n"/>
      <x:c r="B36" s="39" t="n"/>
      <x:c r="C36" s="36" t="n">
        <x:f>E36*D$5</x:f>
        <x:v>6.1538461538461595</x:v>
      </x:c>
      <x:c r="D36" s="103" t="inlineStr">
        <x:is>
          <x:t xml:space="preserve">Sorenson Oil &amp; Gas Trust, Michelle Sorenson Johnson, Trustee, Marchelle Sorenson Uaigle, Trustee</x:t>
        </x:is>
      </x:c>
      <x:c r="E36" s="36" t="n">
        <x:f>SUM(G36:HS36)</x:f>
        <x:v>0.153846153846154</x:v>
      </x:c>
      <x:c r="F36" s="35" t="inlineStr">
        <x:is>
          <x:t xml:space="preserve"/>
        </x:is>
      </x:c>
      <x:c r="G36" s="121" t="n"/>
      <x:c r="H36" s="121" t="n"/>
      <x:c r="I36" s="121" t="n"/>
      <x:c r="J36" s="121" t="n"/>
      <x:c r="K36" s="121" t="n"/>
      <x:c r="L36" s="121" t="n"/>
      <x:c r="M36" s="121" t="n"/>
      <x:c r="N36" s="121" t="n"/>
      <x:c r="O36" s="121" t="n"/>
      <x:c r="P36" s="123" t="n"/>
      <x:c r="Q36" s="123" t="n"/>
      <x:c r="R36" s="121" t="n"/>
      <x:c r="S36" s="121" t="n"/>
      <x:c r="T36" s="121" t="n"/>
      <x:c r="U36" s="121" t="n"/>
      <x:c r="V36" s="121" t="n"/>
      <x:c r="W36" s="121" t="n"/>
      <x:c r="X36" s="121" t="n">
        <x:v>0.153846153846154</x:v>
      </x:c>
      <x:c r="Y36" s="121" t="n"/>
      <x:c r="Z36" s="121" t="n"/>
      <x:c r="AA36" s="121" t="n"/>
      <x:c r="AB36" s="121" t="n"/>
      <x:c r="AC36" s="121" t="n"/>
      <x:c r="AD36" s="123" t="n"/>
      <x:c r="AE36" s="124" t="n"/>
      <x:c r="AF36" s="123" t="n"/>
      <x:c r="AG36" s="123" t="n"/>
      <x:c r="AH36" s="123" t="n"/>
      <x:c r="AI36" s="123" t="n"/>
      <x:c r="AJ36" s="121" t="n"/>
      <x:c r="AK36" s="123" t="n"/>
      <x:c r="AL36" s="121" t="n"/>
      <x:c r="AM36" s="124" t="n"/>
      <x:c r="AN36" s="121" t="n"/>
      <x:c r="AO36" s="121" t="n"/>
      <x:c r="AP36" s="28" t="n"/>
      <x:c r="AQ36" s="28" t="n"/>
      <x:c r="AR36" s="28" t="n"/>
    </x:row>
    <x:row r="37" s="27" customFormat="1">
      <x:c r="A37" s="125" t="n"/>
      <x:c r="B37" s="39" t="n"/>
      <x:c r="C37" s="86" t="n">
        <x:f>E37*D$5</x:f>
        <x:v>40</x:v>
      </x:c>
      <x:c r="D37" s="103" t="inlineStr">
        <x:is>
          <x:t xml:space="preserve">Continental Illinois Energy Development Corp</x:t>
        </x:is>
      </x:c>
      <x:c r="E37" s="86" t="n">
        <x:f>SUM(G37:HS37)</x:f>
        <x:v>1</x:v>
      </x:c>
      <x:c r="F37" s="35" t="inlineStr">
        <x:is>
          <x:t xml:space="preserve"/>
        </x:is>
      </x:c>
      <x:c r="G37" s="121" t="n"/>
      <x:c r="H37" s="121" t="n"/>
      <x:c r="I37" s="122" t="n"/>
      <x:c r="J37" s="122" t="n"/>
      <x:c r="K37" s="123" t="n"/>
      <x:c r="L37" s="123" t="n"/>
      <x:c r="M37" s="123" t="n"/>
      <x:c r="N37" s="123" t="n"/>
      <x:c r="O37" s="123" t="n"/>
      <x:c r="P37" s="123" t="n"/>
      <x:c r="Q37" s="123" t="n"/>
      <x:c r="R37" s="123" t="n"/>
      <x:c r="S37" s="123" t="n"/>
      <x:c r="T37" s="123" t="n"/>
      <x:c r="U37" s="123" t="n"/>
      <x:c r="V37" s="123" t="n"/>
      <x:c r="W37" s="123" t="n"/>
      <x:c r="X37" s="121" t="n"/>
      <x:c r="Y37" s="123" t="n">
        <x:v>1</x:v>
      </x:c>
      <x:c r="Z37" s="123" t="n"/>
      <x:c r="AA37" s="123" t="n"/>
      <x:c r="AB37" s="123" t="n"/>
      <x:c r="AC37" s="121" t="n"/>
      <x:c r="AD37" s="123" t="n"/>
      <x:c r="AE37" s="124" t="n"/>
      <x:c r="AF37" s="124" t="n"/>
      <x:c r="AG37" s="124" t="n"/>
      <x:c r="AH37" s="123" t="n"/>
      <x:c r="AI37" s="123" t="n"/>
      <x:c r="AJ37" s="123" t="n"/>
      <x:c r="AK37" s="121" t="n"/>
      <x:c r="AL37" s="123" t="n"/>
      <x:c r="AM37" s="123" t="n"/>
      <x:c r="AN37" s="123" t="n"/>
      <x:c r="AO37" s="123" t="n"/>
      <x:c r="AP37" s="100" t="n"/>
      <x:c r="AQ37" s="100" t="n"/>
      <x:c r="AR37" s="100" t="n"/>
      <x:c r="AS37" s="100" t="n"/>
      <x:c r="AT37" s="100" t="n"/>
      <x:c r="AU37" s="100" t="n"/>
      <x:c r="AV37" s="100" t="n"/>
      <x:c r="AW37" s="100" t="n"/>
      <x:c r="AX37" s="100" t="n"/>
      <x:c r="AY37" s="100" t="n"/>
      <x:c r="AZ37" s="100" t="n"/>
      <x:c r="BA37" s="100" t="n"/>
      <x:c r="BB37" s="100" t="n"/>
      <x:c r="BC37" s="100" t="n"/>
      <x:c r="BD37" s="100" t="n"/>
      <x:c r="BE37" s="100" t="n"/>
      <x:c r="BF37" s="100" t="n"/>
      <x:c r="BG37" s="100" t="n"/>
      <x:c r="BH37" s="100" t="n"/>
      <x:c r="BI37" s="100" t="n"/>
      <x:c r="BJ37" s="100" t="n"/>
      <x:c r="BK37" s="100" t="n"/>
      <x:c r="BL37" s="100" t="n"/>
      <x:c r="BM37" s="100" t="n"/>
      <x:c r="BN37" s="100" t="n"/>
      <x:c r="BO37" s="100" t="n"/>
      <x:c r="BP37" s="100" t="n"/>
      <x:c r="BQ37" s="100" t="n"/>
      <x:c r="BR37" s="100" t="n"/>
      <x:c r="BS37" s="100" t="n"/>
      <x:c r="BT37" s="100" t="n"/>
      <x:c r="BU37" s="100" t="n"/>
      <x:c r="BV37" s="100" t="n"/>
      <x:c r="BW37" s="100" t="n"/>
      <x:c r="BX37" s="100" t="n"/>
      <x:c r="BY37" s="100" t="n"/>
      <x:c r="BZ37" s="100" t="n"/>
      <x:c r="CA37" s="100" t="n"/>
      <x:c r="CB37" s="100" t="n"/>
      <x:c r="CC37" s="100" t="n"/>
      <x:c r="CD37" s="100" t="n"/>
      <x:c r="CE37" s="100" t="n"/>
      <x:c r="CF37" s="100" t="n"/>
      <x:c r="CG37" s="100" t="n"/>
      <x:c r="CH37" s="100" t="n"/>
      <x:c r="CI37" s="100" t="n"/>
      <x:c r="CJ37" s="100" t="n"/>
      <x:c r="CK37" s="100" t="n"/>
      <x:c r="CL37" s="100" t="n"/>
      <x:c r="CM37" s="100" t="n"/>
      <x:c r="CN37" s="100" t="n"/>
      <x:c r="CO37" s="100" t="n"/>
      <x:c r="CP37" s="100" t="n"/>
      <x:c r="CQ37" s="100" t="n"/>
      <x:c r="CR37" s="100" t="n"/>
      <x:c r="CS37" s="100" t="n"/>
      <x:c r="CT37" s="100" t="n"/>
      <x:c r="CU37" s="100" t="n"/>
      <x:c r="CV37" s="100" t="n"/>
      <x:c r="CW37" s="100" t="n"/>
      <x:c r="CX37" s="100" t="n"/>
      <x:c r="CY37" s="100" t="n"/>
      <x:c r="CZ37" s="100" t="n"/>
      <x:c r="DA37" s="100" t="n"/>
      <x:c r="DB37" s="100" t="n"/>
      <x:c r="DC37" s="100" t="n"/>
      <x:c r="DD37" s="100" t="n"/>
      <x:c r="DE37" s="100" t="n"/>
      <x:c r="DF37" s="100" t="n"/>
      <x:c r="DG37" s="100" t="n"/>
      <x:c r="DH37" s="100" t="n"/>
      <x:c r="DI37" s="100" t="n"/>
      <x:c r="DJ37" s="100" t="n"/>
      <x:c r="DK37" s="100" t="n"/>
      <x:c r="DL37" s="100" t="n"/>
      <x:c r="DM37" s="100" t="n"/>
      <x:c r="DN37" s="100" t="n"/>
      <x:c r="DO37" s="100" t="n"/>
      <x:c r="DP37" s="100" t="n"/>
      <x:c r="DQ37" s="100" t="n"/>
      <x:c r="DR37" s="100" t="n"/>
      <x:c r="DS37" s="100" t="n"/>
      <x:c r="DT37" s="100" t="n"/>
      <x:c r="DU37" s="100" t="n"/>
      <x:c r="DV37" s="100" t="n"/>
      <x:c r="DW37" s="100" t="n"/>
      <x:c r="DX37" s="100" t="n"/>
      <x:c r="DY37" s="100" t="n"/>
      <x:c r="DZ37" s="100" t="n"/>
      <x:c r="EA37" s="100" t="n"/>
      <x:c r="EB37" s="100" t="n"/>
      <x:c r="EC37" s="100" t="n"/>
      <x:c r="ED37" s="100" t="n"/>
      <x:c r="EE37" s="100" t="n"/>
      <x:c r="EF37" s="100" t="n"/>
      <x:c r="EG37" s="100" t="n"/>
      <x:c r="EH37" s="100" t="n"/>
      <x:c r="EI37" s="100" t="n"/>
      <x:c r="EJ37" s="100" t="n"/>
      <x:c r="EK37" s="100" t="n"/>
      <x:c r="EL37" s="100" t="n"/>
      <x:c r="EM37" s="100" t="n"/>
      <x:c r="EN37" s="100" t="n"/>
      <x:c r="EO37" s="100" t="n"/>
      <x:c r="EP37" s="100" t="n"/>
      <x:c r="EQ37" s="100" t="n"/>
      <x:c r="ER37" s="100" t="n"/>
      <x:c r="ES37" s="100" t="n"/>
      <x:c r="ET37" s="100" t="n"/>
      <x:c r="EU37" s="100" t="n"/>
      <x:c r="EV37" s="100" t="n"/>
      <x:c r="EW37" s="100" t="n"/>
      <x:c r="EX37" s="100" t="n"/>
      <x:c r="EY37" s="100" t="n"/>
      <x:c r="EZ37" s="100" t="n"/>
      <x:c r="FA37" s="100" t="n"/>
      <x:c r="FB37" s="100" t="n"/>
      <x:c r="FC37" s="100" t="n"/>
      <x:c r="FD37" s="100" t="n"/>
      <x:c r="FE37" s="100" t="n"/>
      <x:c r="FF37" s="100" t="n"/>
      <x:c r="FG37" s="100" t="n"/>
      <x:c r="FH37" s="100" t="n"/>
      <x:c r="FI37" s="100" t="n"/>
      <x:c r="FJ37" s="100" t="n"/>
      <x:c r="FK37" s="100" t="n"/>
      <x:c r="FL37" s="100" t="n"/>
      <x:c r="FM37" s="100" t="n"/>
      <x:c r="FN37" s="100" t="n"/>
      <x:c r="FO37" s="100" t="n"/>
      <x:c r="FP37" s="100" t="n"/>
      <x:c r="FQ37" s="100" t="n"/>
      <x:c r="FR37" s="100" t="n"/>
      <x:c r="FS37" s="100" t="n"/>
      <x:c r="FT37" s="100" t="n"/>
      <x:c r="FU37" s="100" t="n"/>
      <x:c r="FV37" s="100" t="n"/>
      <x:c r="FW37" s="100" t="n"/>
      <x:c r="FX37" s="100" t="n"/>
      <x:c r="FY37" s="100" t="n"/>
      <x:c r="FZ37" s="100" t="n"/>
      <x:c r="GA37" s="100" t="n"/>
      <x:c r="GB37" s="100" t="n"/>
      <x:c r="GC37" s="100" t="n"/>
      <x:c r="GD37" s="100" t="n"/>
    </x:row>
    <x:row r="38" s="27" customFormat="1">
      <x:c r="A38" s="125" t="n"/>
      <x:c r="B38" s="39" t="n"/>
      <x:c r="C38" s="36" t="n">
        <x:f>E38*D$5</x:f>
        <x:v>-0.3076923076923076</x:v>
      </x:c>
      <x:c r="D38" s="421" t="inlineStr">
        <x:is>
          <x:t xml:space="preserve">Mann Childrens Trust, by Walter J. Rusek, Trustee</x:t>
        </x:is>
      </x:c>
      <x:c r="E38" s="411" t="n">
        <x:f>SUM(G38:HS38)</x:f>
        <x:v>-0.00769230769230769</x:v>
      </x:c>
      <x:c r="F38" s="35" t="inlineStr">
        <x:is>
          <x:t xml:space="preserve"/>
        </x:is>
      </x:c>
      <x:c r="G38" s="121" t="n"/>
      <x:c r="H38" s="121" t="n"/>
      <x:c r="I38" s="121" t="n"/>
      <x:c r="J38" s="121" t="n"/>
      <x:c r="K38" s="121" t="n"/>
      <x:c r="L38" s="121" t="n"/>
      <x:c r="M38" s="121" t="n"/>
      <x:c r="N38" s="121" t="n"/>
      <x:c r="O38" s="121" t="n"/>
      <x:c r="P38" s="123" t="n"/>
      <x:c r="Q38" s="123" t="n"/>
      <x:c r="R38" s="121" t="n"/>
      <x:c r="S38" s="121" t="n"/>
      <x:c r="T38" s="121" t="n"/>
      <x:c r="U38" s="121" t="n"/>
      <x:c r="V38" s="121" t="n"/>
      <x:c r="W38" s="121" t="n"/>
      <x:c r="X38" s="121" t="n"/>
      <x:c r="Y38" s="121" t="n"/>
      <x:c r="Z38" s="121" t="n">
        <x:v>-0.00769230769230769</x:v>
      </x:c>
      <x:c r="AA38" s="121" t="n"/>
      <x:c r="AB38" s="121" t="n"/>
      <x:c r="AC38" s="121" t="n"/>
      <x:c r="AD38" s="123" t="n"/>
      <x:c r="AE38" s="124" t="n"/>
      <x:c r="AF38" s="124" t="n"/>
      <x:c r="AG38" s="123" t="n"/>
      <x:c r="AH38" s="123" t="n"/>
      <x:c r="AI38" s="124" t="n"/>
      <x:c r="AJ38" s="121" t="n"/>
      <x:c r="AK38" s="121" t="n"/>
      <x:c r="AL38" s="121" t="n"/>
      <x:c r="AM38" s="124" t="n"/>
      <x:c r="AN38" s="121" t="n"/>
      <x:c r="AO38" s="121" t="n"/>
      <x:c r="AP38" s="28" t="n"/>
      <x:c r="AQ38" s="28" t="n"/>
      <x:c r="AR38" s="28" t="n"/>
    </x:row>
    <x:row r="39" s="27" customFormat="1">
      <x:c r="A39" s="125" t="n"/>
      <x:c r="B39" s="39" t="n"/>
      <x:c r="C39" s="36" t="n">
        <x:f>E39*D$5</x:f>
        <x:v>-1.2307692307692324</x:v>
      </x:c>
      <x:c r="D39" s="410" t="inlineStr">
        <x:is>
          <x:t xml:space="preserve">Mann Group Investment Company</x:t>
        </x:is>
      </x:c>
      <x:c r="E39" s="411" t="n">
        <x:f>SUM(G39:HS39)</x:f>
        <x:v>-0.03076923076923081</x:v>
      </x:c>
      <x:c r="F39" s="35" t="inlineStr">
        <x:is>
          <x:t xml:space="preserve"/>
        </x:is>
      </x:c>
      <x:c r="G39" s="121" t="n"/>
      <x:c r="H39" s="122" t="n"/>
      <x:c r="I39" s="122" t="n"/>
      <x:c r="J39" s="122" t="n"/>
      <x:c r="K39" s="123" t="n"/>
      <x:c r="L39" s="123" t="n"/>
      <x:c r="M39" s="123" t="n"/>
      <x:c r="N39" s="123" t="n"/>
      <x:c r="O39" s="123" t="n"/>
      <x:c r="P39" s="123" t="n"/>
      <x:c r="Q39" s="123" t="n"/>
      <x:c r="R39" s="123" t="n"/>
      <x:c r="S39" s="123" t="n"/>
      <x:c r="T39" s="123" t="n"/>
      <x:c r="U39" s="123" t="n"/>
      <x:c r="V39" s="123" t="n"/>
      <x:c r="W39" s="123" t="n"/>
      <x:c r="X39" s="123" t="n"/>
      <x:c r="Y39" s="123" t="n"/>
      <x:c r="Z39" s="123" t="n">
        <x:v>0.00769230769230769</x:v>
      </x:c>
      <x:c r="AA39" s="123" t="n"/>
      <x:c r="AB39" s="123" t="n">
        <x:v>-0.0384615384615385</x:v>
      </x:c>
      <x:c r="AC39" s="123" t="n"/>
      <x:c r="AD39" s="123" t="n"/>
      <x:c r="AE39" s="124" t="n"/>
      <x:c r="AF39" s="124" t="n"/>
      <x:c r="AG39" s="124" t="n"/>
      <x:c r="AH39" s="123" t="n"/>
      <x:c r="AI39" s="123" t="n"/>
      <x:c r="AJ39" s="123" t="n"/>
      <x:c r="AK39" s="123" t="n"/>
      <x:c r="AL39" s="123" t="n"/>
      <x:c r="AM39" s="123" t="n"/>
      <x:c r="AN39" s="123" t="n"/>
      <x:c r="AO39" s="123" t="n"/>
      <x:c r="AP39" s="100" t="n"/>
      <x:c r="AQ39" s="100" t="n"/>
      <x:c r="AR39" s="100" t="n"/>
      <x:c r="AS39" s="100" t="n"/>
      <x:c r="AT39" s="100" t="n"/>
      <x:c r="AU39" s="100" t="n"/>
      <x:c r="AV39" s="100" t="n"/>
      <x:c r="AW39" s="100" t="n"/>
      <x:c r="AX39" s="100" t="n"/>
      <x:c r="AY39" s="100" t="n"/>
      <x:c r="AZ39" s="100" t="n"/>
      <x:c r="BA39" s="100" t="n"/>
      <x:c r="BB39" s="100" t="n"/>
      <x:c r="BC39" s="100" t="n"/>
      <x:c r="BD39" s="100" t="n"/>
      <x:c r="BE39" s="100" t="n"/>
      <x:c r="BF39" s="100" t="n"/>
      <x:c r="BG39" s="100" t="n"/>
      <x:c r="BH39" s="100" t="n"/>
      <x:c r="BI39" s="100" t="n"/>
      <x:c r="BJ39" s="100" t="n"/>
      <x:c r="BK39" s="100" t="n"/>
      <x:c r="BL39" s="100" t="n"/>
      <x:c r="BM39" s="100" t="n"/>
      <x:c r="BN39" s="100" t="n"/>
      <x:c r="BO39" s="100" t="n"/>
      <x:c r="BP39" s="100" t="n"/>
      <x:c r="BQ39" s="100" t="n"/>
      <x:c r="BR39" s="100" t="n"/>
      <x:c r="BS39" s="100" t="n"/>
      <x:c r="BT39" s="100" t="n"/>
      <x:c r="BU39" s="100" t="n"/>
      <x:c r="BV39" s="100" t="n"/>
      <x:c r="BW39" s="100" t="n"/>
      <x:c r="BX39" s="100" t="n"/>
      <x:c r="BY39" s="100" t="n"/>
      <x:c r="BZ39" s="100" t="n"/>
      <x:c r="CA39" s="100" t="n"/>
      <x:c r="CB39" s="100" t="n"/>
      <x:c r="CC39" s="100" t="n"/>
      <x:c r="CD39" s="100" t="n"/>
      <x:c r="CE39" s="100" t="n"/>
      <x:c r="CF39" s="100" t="n"/>
      <x:c r="CG39" s="100" t="n"/>
      <x:c r="CH39" s="100" t="n"/>
      <x:c r="CI39" s="100" t="n"/>
      <x:c r="CJ39" s="100" t="n"/>
      <x:c r="CK39" s="100" t="n"/>
      <x:c r="CL39" s="100" t="n"/>
      <x:c r="CM39" s="100" t="n"/>
      <x:c r="CN39" s="100" t="n"/>
      <x:c r="CO39" s="100" t="n"/>
      <x:c r="CP39" s="100" t="n"/>
      <x:c r="CQ39" s="100" t="n"/>
      <x:c r="CR39" s="100" t="n"/>
      <x:c r="CS39" s="100" t="n"/>
      <x:c r="CT39" s="100" t="n"/>
      <x:c r="CU39" s="100" t="n"/>
      <x:c r="CV39" s="100" t="n"/>
      <x:c r="CW39" s="100" t="n"/>
      <x:c r="CX39" s="100" t="n"/>
      <x:c r="CY39" s="100" t="n"/>
      <x:c r="CZ39" s="100" t="n"/>
      <x:c r="DA39" s="100" t="n"/>
      <x:c r="DB39" s="100" t="n"/>
      <x:c r="DC39" s="100" t="n"/>
      <x:c r="DD39" s="100" t="n"/>
      <x:c r="DE39" s="100" t="n"/>
      <x:c r="DF39" s="100" t="n"/>
      <x:c r="DG39" s="100" t="n"/>
      <x:c r="DH39" s="100" t="n"/>
      <x:c r="DI39" s="100" t="n"/>
      <x:c r="DJ39" s="100" t="n"/>
      <x:c r="DK39" s="100" t="n"/>
      <x:c r="DL39" s="100" t="n"/>
      <x:c r="DM39" s="100" t="n"/>
      <x:c r="DN39" s="100" t="n"/>
      <x:c r="DO39" s="100" t="n"/>
      <x:c r="DP39" s="100" t="n"/>
      <x:c r="DQ39" s="100" t="n"/>
      <x:c r="DR39" s="100" t="n"/>
      <x:c r="DS39" s="100" t="n"/>
      <x:c r="DT39" s="100" t="n"/>
      <x:c r="DU39" s="100" t="n"/>
      <x:c r="DV39" s="100" t="n"/>
      <x:c r="DW39" s="100" t="n"/>
      <x:c r="DX39" s="100" t="n"/>
      <x:c r="DY39" s="100" t="n"/>
      <x:c r="DZ39" s="100" t="n"/>
      <x:c r="EA39" s="100" t="n"/>
      <x:c r="EB39" s="100" t="n"/>
      <x:c r="EC39" s="100" t="n"/>
      <x:c r="ED39" s="100" t="n"/>
      <x:c r="EE39" s="100" t="n"/>
      <x:c r="EF39" s="100" t="n"/>
      <x:c r="EG39" s="100" t="n"/>
      <x:c r="EH39" s="100" t="n"/>
      <x:c r="EI39" s="100" t="n"/>
      <x:c r="EJ39" s="100" t="n"/>
      <x:c r="EK39" s="100" t="n"/>
      <x:c r="EL39" s="100" t="n"/>
      <x:c r="EM39" s="100" t="n"/>
      <x:c r="EN39" s="100" t="n"/>
      <x:c r="EO39" s="100" t="n"/>
      <x:c r="EP39" s="100" t="n"/>
      <x:c r="EQ39" s="100" t="n"/>
      <x:c r="ER39" s="100" t="n"/>
      <x:c r="ES39" s="100" t="n"/>
      <x:c r="ET39" s="100" t="n"/>
      <x:c r="EU39" s="100" t="n"/>
      <x:c r="EV39" s="100" t="n"/>
      <x:c r="EW39" s="100" t="n"/>
      <x:c r="EX39" s="100" t="n"/>
      <x:c r="EY39" s="100" t="n"/>
      <x:c r="EZ39" s="100" t="n"/>
      <x:c r="FA39" s="100" t="n"/>
      <x:c r="FB39" s="100" t="n"/>
      <x:c r="FC39" s="100" t="n"/>
      <x:c r="FD39" s="100" t="n"/>
      <x:c r="FE39" s="100" t="n"/>
      <x:c r="FF39" s="100" t="n"/>
      <x:c r="FG39" s="100" t="n"/>
      <x:c r="FH39" s="100" t="n"/>
      <x:c r="FI39" s="100" t="n"/>
      <x:c r="FJ39" s="100" t="n"/>
      <x:c r="FK39" s="100" t="n"/>
      <x:c r="FL39" s="100" t="n"/>
      <x:c r="FM39" s="100" t="n"/>
    </x:row>
    <x:row r="40" s="27" customFormat="1">
      <x:c r="A40" s="125" t="n"/>
      <x:c r="B40" s="39" t="n"/>
      <x:c r="C40" s="86" t="n">
        <x:f>E40*D$5</x:f>
        <x:v>-40</x:v>
      </x:c>
      <x:c r="D40" s="410" t="inlineStr">
        <x:is>
          <x:t xml:space="preserve">Cimarron Mineral Corporation</x:t>
        </x:is>
      </x:c>
      <x:c r="E40" s="413" t="n">
        <x:f>SUM(G40:HS40)</x:f>
        <x:v>-1</x:v>
      </x:c>
      <x:c r="F40" s="35" t="inlineStr">
        <x:is>
          <x:t xml:space="preserve"/>
        </x:is>
      </x:c>
      <x:c r="G40" s="121" t="n"/>
      <x:c r="H40" s="122" t="n"/>
      <x:c r="I40" s="122" t="n"/>
      <x:c r="J40" s="122" t="n"/>
      <x:c r="K40" s="123" t="n"/>
      <x:c r="L40" s="123" t="n"/>
      <x:c r="M40" s="123" t="n"/>
      <x:c r="N40" s="123" t="n"/>
      <x:c r="O40" s="123" t="n"/>
      <x:c r="P40" s="123" t="n"/>
      <x:c r="Q40" s="123" t="n"/>
      <x:c r="R40" s="123" t="n"/>
      <x:c r="S40" s="123" t="n"/>
      <x:c r="T40" s="123" t="n"/>
      <x:c r="U40" s="123" t="n"/>
      <x:c r="V40" s="123" t="n"/>
      <x:c r="W40" s="123" t="n"/>
      <x:c r="X40" s="123" t="n"/>
      <x:c r="Y40" s="123" t="n"/>
      <x:c r="Z40" s="123" t="n"/>
      <x:c r="AA40" s="123" t="n">
        <x:v>-1</x:v>
      </x:c>
      <x:c r="AB40" s="123" t="n"/>
      <x:c r="AC40" s="123" t="n"/>
      <x:c r="AD40" s="123" t="n"/>
      <x:c r="AE40" s="123" t="n"/>
      <x:c r="AF40" s="124" t="n"/>
      <x:c r="AG40" s="123" t="n"/>
      <x:c r="AH40" s="123" t="n"/>
      <x:c r="AI40" s="124" t="n"/>
      <x:c r="AJ40" s="123" t="n"/>
      <x:c r="AK40" s="123" t="n"/>
      <x:c r="AL40" s="123" t="n"/>
      <x:c r="AM40" s="123" t="n"/>
      <x:c r="AN40" s="123" t="n"/>
      <x:c r="AO40" s="123" t="n"/>
      <x:c r="AP40" s="100" t="n"/>
      <x:c r="AQ40" s="100" t="n"/>
      <x:c r="AR40" s="100" t="n"/>
      <x:c r="AS40" s="100" t="n"/>
      <x:c r="AT40" s="100" t="n"/>
      <x:c r="AU40" s="100" t="n"/>
      <x:c r="AV40" s="100" t="n"/>
      <x:c r="AW40" s="100" t="n"/>
      <x:c r="AX40" s="100" t="n"/>
      <x:c r="AY40" s="100" t="n"/>
      <x:c r="AZ40" s="100" t="n"/>
      <x:c r="BA40" s="100" t="n"/>
      <x:c r="BB40" s="100" t="n"/>
      <x:c r="BC40" s="100" t="n"/>
      <x:c r="BD40" s="100" t="n"/>
      <x:c r="BE40" s="100" t="n"/>
      <x:c r="BF40" s="100" t="n"/>
      <x:c r="BG40" s="100" t="n"/>
      <x:c r="BH40" s="100" t="n"/>
      <x:c r="BI40" s="100" t="n"/>
      <x:c r="BJ40" s="100" t="n"/>
      <x:c r="BK40" s="100" t="n"/>
      <x:c r="BL40" s="100" t="n"/>
      <x:c r="BM40" s="100" t="n"/>
      <x:c r="BN40" s="100" t="n"/>
      <x:c r="BO40" s="100" t="n"/>
      <x:c r="BP40" s="100" t="n"/>
      <x:c r="BQ40" s="100" t="n"/>
      <x:c r="BR40" s="100" t="n"/>
      <x:c r="BS40" s="100" t="n"/>
      <x:c r="BT40" s="100" t="n"/>
      <x:c r="BU40" s="100" t="n"/>
      <x:c r="BV40" s="100" t="n"/>
      <x:c r="BW40" s="100" t="n"/>
      <x:c r="BX40" s="100" t="n"/>
      <x:c r="BY40" s="100" t="n"/>
      <x:c r="BZ40" s="100" t="n"/>
      <x:c r="CA40" s="100" t="n"/>
      <x:c r="CB40" s="100" t="n"/>
      <x:c r="CC40" s="100" t="n"/>
      <x:c r="CD40" s="100" t="n"/>
      <x:c r="CE40" s="100" t="n"/>
      <x:c r="CF40" s="100" t="n"/>
      <x:c r="CG40" s="100" t="n"/>
      <x:c r="CH40" s="100" t="n"/>
      <x:c r="CI40" s="100" t="n"/>
      <x:c r="CJ40" s="100" t="n"/>
      <x:c r="CK40" s="100" t="n"/>
      <x:c r="CL40" s="100" t="n"/>
      <x:c r="CM40" s="100" t="n"/>
      <x:c r="CN40" s="100" t="n"/>
      <x:c r="CO40" s="100" t="n"/>
      <x:c r="CP40" s="100" t="n"/>
      <x:c r="CQ40" s="100" t="n"/>
      <x:c r="CR40" s="100" t="n"/>
      <x:c r="CS40" s="100" t="n"/>
      <x:c r="CT40" s="100" t="n"/>
      <x:c r="CU40" s="100" t="n"/>
      <x:c r="CV40" s="100" t="n"/>
      <x:c r="CW40" s="100" t="n"/>
      <x:c r="CX40" s="100" t="n"/>
      <x:c r="CY40" s="100" t="n"/>
      <x:c r="CZ40" s="100" t="n"/>
      <x:c r="DA40" s="100" t="n"/>
      <x:c r="DB40" s="100" t="n"/>
      <x:c r="DC40" s="100" t="n"/>
      <x:c r="DD40" s="100" t="n"/>
      <x:c r="DE40" s="100" t="n"/>
      <x:c r="DF40" s="100" t="n"/>
      <x:c r="DG40" s="100" t="n"/>
      <x:c r="DH40" s="100" t="n"/>
      <x:c r="DI40" s="100" t="n"/>
      <x:c r="DJ40" s="100" t="n"/>
      <x:c r="DK40" s="100" t="n"/>
      <x:c r="DL40" s="100" t="n"/>
      <x:c r="DM40" s="100" t="n"/>
      <x:c r="DN40" s="100" t="n"/>
      <x:c r="DO40" s="100" t="n"/>
      <x:c r="DP40" s="100" t="n"/>
      <x:c r="DQ40" s="100" t="n"/>
      <x:c r="DR40" s="100" t="n"/>
      <x:c r="DS40" s="100" t="n"/>
      <x:c r="DT40" s="100" t="n"/>
      <x:c r="DU40" s="100" t="n"/>
      <x:c r="DV40" s="100" t="n"/>
      <x:c r="DW40" s="100" t="n"/>
      <x:c r="DX40" s="100" t="n"/>
      <x:c r="DY40" s="100" t="n"/>
      <x:c r="DZ40" s="100" t="n"/>
      <x:c r="EA40" s="100" t="n"/>
      <x:c r="EB40" s="100" t="n"/>
      <x:c r="EC40" s="100" t="n"/>
      <x:c r="ED40" s="100" t="n"/>
      <x:c r="EE40" s="100" t="n"/>
      <x:c r="EF40" s="100" t="n"/>
      <x:c r="EG40" s="100" t="n"/>
      <x:c r="EH40" s="100" t="n"/>
      <x:c r="EI40" s="100" t="n"/>
      <x:c r="EJ40" s="100" t="n"/>
      <x:c r="EK40" s="100" t="n"/>
      <x:c r="EL40" s="100" t="n"/>
      <x:c r="EM40" s="100" t="n"/>
      <x:c r="EN40" s="100" t="n"/>
      <x:c r="EO40" s="100" t="n"/>
      <x:c r="EP40" s="100" t="n"/>
      <x:c r="EQ40" s="100" t="n"/>
      <x:c r="ER40" s="100" t="n"/>
      <x:c r="ES40" s="100" t="n"/>
      <x:c r="ET40" s="100" t="n"/>
      <x:c r="EU40" s="100" t="n"/>
      <x:c r="EV40" s="100" t="n"/>
      <x:c r="EW40" s="100" t="n"/>
      <x:c r="EX40" s="100" t="n"/>
      <x:c r="EY40" s="100" t="n"/>
      <x:c r="EZ40" s="100" t="n"/>
      <x:c r="FA40" s="100" t="n"/>
      <x:c r="FB40" s="100" t="n"/>
      <x:c r="FC40" s="100" t="n"/>
      <x:c r="FD40" s="100" t="n"/>
      <x:c r="FE40" s="100" t="n"/>
      <x:c r="FF40" s="100" t="n"/>
      <x:c r="FG40" s="100" t="n"/>
      <x:c r="FH40" s="100" t="n"/>
      <x:c r="FI40" s="100" t="n"/>
      <x:c r="FJ40" s="100" t="n"/>
      <x:c r="FK40" s="100" t="n"/>
      <x:c r="FL40" s="100" t="n"/>
      <x:c r="FM40" s="100" t="n"/>
    </x:row>
    <x:row r="41" s="27" customFormat="1">
      <x:c r="A41" s="125" t="n"/>
      <x:c r="B41" s="39" t="n"/>
      <x:c r="C41" s="36" t="n">
        <x:f>E41*D$5</x:f>
        <x:v>39.23076923076923</x:v>
      </x:c>
      <x:c r="D41" s="4" t="inlineStr">
        <x:is>
          <x:t xml:space="preserve">Inter-American Corporation</x:t>
        </x:is>
      </x:c>
      <x:c r="E41" s="36" t="n">
        <x:f>SUM(G41:HS41)</x:f>
        <x:v>0.9807692307692308</x:v>
      </x:c>
      <x:c r="F41" s="35" t="inlineStr">
        <x:is>
          <x:t xml:space="preserve"/>
        </x:is>
      </x:c>
      <x:c r="G41" s="121" t="n"/>
      <x:c r="H41" s="122" t="n"/>
      <x:c r="I41" s="122" t="n"/>
      <x:c r="J41" s="122" t="n"/>
      <x:c r="K41" s="123" t="n"/>
      <x:c r="L41" s="123" t="n"/>
      <x:c r="M41" s="123" t="n"/>
      <x:c r="N41" s="123" t="n"/>
      <x:c r="O41" s="123" t="n"/>
      <x:c r="P41" s="123" t="n"/>
      <x:c r="Q41" s="123" t="n"/>
      <x:c r="R41" s="123" t="n"/>
      <x:c r="S41" s="123" t="n"/>
      <x:c r="T41" s="123" t="n"/>
      <x:c r="U41" s="123" t="n"/>
      <x:c r="V41" s="123" t="n"/>
      <x:c r="W41" s="123" t="n"/>
      <x:c r="X41" s="123" t="n"/>
      <x:c r="Y41" s="123" t="n"/>
      <x:c r="Z41" s="123" t="n"/>
      <x:c r="AA41" s="123" t="n">
        <x:v>1</x:v>
      </x:c>
      <x:c r="AB41" s="123" t="n"/>
      <x:c r="AC41" s="123" t="n"/>
      <x:c r="AD41" s="123" t="n"/>
      <x:c r="AE41" s="123" t="n"/>
      <x:c r="AF41" s="123" t="n"/>
      <x:c r="AG41" s="124" t="n"/>
      <x:c r="AH41" s="124" t="n"/>
      <x:c r="AI41" s="123" t="n">
        <x:v>-0.0192307692307692</x:v>
      </x:c>
      <x:c r="AJ41" s="123" t="n"/>
      <x:c r="AK41" s="123" t="n"/>
      <x:c r="AL41" s="123" t="n"/>
      <x:c r="AM41" s="123" t="n"/>
      <x:c r="AN41" s="123" t="n"/>
      <x:c r="AO41" s="123" t="n"/>
      <x:c r="AP41" s="100" t="n"/>
      <x:c r="AQ41" s="100" t="n"/>
      <x:c r="AR41" s="100" t="n"/>
      <x:c r="AS41" s="100" t="n"/>
      <x:c r="AT41" s="100" t="n"/>
      <x:c r="AU41" s="100" t="n"/>
      <x:c r="AV41" s="100" t="n"/>
      <x:c r="AW41" s="100" t="n"/>
      <x:c r="AX41" s="100" t="n"/>
      <x:c r="AY41" s="100" t="n"/>
      <x:c r="AZ41" s="100" t="n"/>
      <x:c r="BA41" s="100" t="n"/>
      <x:c r="BB41" s="100" t="n"/>
      <x:c r="BC41" s="100" t="n"/>
      <x:c r="BD41" s="100" t="n"/>
      <x:c r="BE41" s="100" t="n"/>
      <x:c r="BF41" s="100" t="n"/>
      <x:c r="BG41" s="100" t="n"/>
      <x:c r="BH41" s="100" t="n"/>
      <x:c r="BI41" s="100" t="n"/>
      <x:c r="BJ41" s="100" t="n"/>
      <x:c r="BK41" s="100" t="n"/>
      <x:c r="BL41" s="100" t="n"/>
      <x:c r="BM41" s="100" t="n"/>
      <x:c r="BN41" s="100" t="n"/>
      <x:c r="BO41" s="100" t="n"/>
      <x:c r="BP41" s="100" t="n"/>
      <x:c r="BQ41" s="100" t="n"/>
      <x:c r="BR41" s="100" t="n"/>
      <x:c r="BS41" s="100" t="n"/>
      <x:c r="BT41" s="100" t="n"/>
      <x:c r="BU41" s="100" t="n"/>
      <x:c r="BV41" s="100" t="n"/>
      <x:c r="BW41" s="100" t="n"/>
      <x:c r="BX41" s="100" t="n"/>
      <x:c r="BY41" s="100" t="n"/>
      <x:c r="BZ41" s="100" t="n"/>
      <x:c r="CA41" s="100" t="n"/>
      <x:c r="CB41" s="100" t="n"/>
      <x:c r="CC41" s="100" t="n"/>
      <x:c r="CD41" s="100" t="n"/>
      <x:c r="CE41" s="100" t="n"/>
      <x:c r="CF41" s="100" t="n"/>
      <x:c r="CG41" s="100" t="n"/>
      <x:c r="CH41" s="100" t="n"/>
      <x:c r="CI41" s="100" t="n"/>
      <x:c r="CJ41" s="100" t="n"/>
      <x:c r="CK41" s="100" t="n"/>
      <x:c r="CL41" s="100" t="n"/>
      <x:c r="CM41" s="100" t="n"/>
      <x:c r="CN41" s="100" t="n"/>
      <x:c r="CO41" s="100" t="n"/>
      <x:c r="CP41" s="100" t="n"/>
      <x:c r="CQ41" s="100" t="n"/>
      <x:c r="CR41" s="100" t="n"/>
      <x:c r="CS41" s="100" t="n"/>
      <x:c r="CT41" s="100" t="n"/>
      <x:c r="CU41" s="100" t="n"/>
      <x:c r="CV41" s="100" t="n"/>
      <x:c r="CW41" s="100" t="n"/>
      <x:c r="CX41" s="100" t="n"/>
      <x:c r="CY41" s="100" t="n"/>
      <x:c r="CZ41" s="100" t="n"/>
      <x:c r="DA41" s="100" t="n"/>
      <x:c r="DB41" s="100" t="n"/>
      <x:c r="DC41" s="100" t="n"/>
      <x:c r="DD41" s="100" t="n"/>
      <x:c r="DE41" s="100" t="n"/>
      <x:c r="DF41" s="100" t="n"/>
      <x:c r="DG41" s="100" t="n"/>
      <x:c r="DH41" s="100" t="n"/>
      <x:c r="DI41" s="100" t="n"/>
      <x:c r="DJ41" s="100" t="n"/>
      <x:c r="DK41" s="100" t="n"/>
      <x:c r="DL41" s="100" t="n"/>
      <x:c r="DM41" s="100" t="n"/>
      <x:c r="DN41" s="100" t="n"/>
      <x:c r="DO41" s="100" t="n"/>
      <x:c r="DP41" s="100" t="n"/>
      <x:c r="DQ41" s="100" t="n"/>
      <x:c r="DR41" s="100" t="n"/>
      <x:c r="DS41" s="100" t="n"/>
      <x:c r="DT41" s="100" t="n"/>
      <x:c r="DU41" s="100" t="n"/>
      <x:c r="DV41" s="100" t="n"/>
      <x:c r="DW41" s="100" t="n"/>
      <x:c r="DX41" s="100" t="n"/>
      <x:c r="DY41" s="100" t="n"/>
      <x:c r="DZ41" s="100" t="n"/>
      <x:c r="EA41" s="100" t="n"/>
      <x:c r="EB41" s="100" t="n"/>
      <x:c r="EC41" s="100" t="n"/>
      <x:c r="ED41" s="100" t="n"/>
      <x:c r="EE41" s="100" t="n"/>
      <x:c r="EF41" s="100" t="n"/>
      <x:c r="EG41" s="100" t="n"/>
      <x:c r="EH41" s="100" t="n"/>
      <x:c r="EI41" s="100" t="n"/>
      <x:c r="EJ41" s="100" t="n"/>
      <x:c r="EK41" s="100" t="n"/>
      <x:c r="EL41" s="100" t="n"/>
      <x:c r="EM41" s="100" t="n"/>
      <x:c r="EN41" s="100" t="n"/>
      <x:c r="EO41" s="100" t="n"/>
      <x:c r="EP41" s="100" t="n"/>
      <x:c r="EQ41" s="100" t="n"/>
      <x:c r="ER41" s="100" t="n"/>
      <x:c r="ES41" s="100" t="n"/>
      <x:c r="ET41" s="100" t="n"/>
      <x:c r="EU41" s="100" t="n"/>
      <x:c r="EV41" s="100" t="n"/>
      <x:c r="EW41" s="100" t="n"/>
      <x:c r="EX41" s="100" t="n"/>
      <x:c r="EY41" s="100" t="n"/>
      <x:c r="EZ41" s="100" t="n"/>
      <x:c r="FA41" s="100" t="n"/>
      <x:c r="FB41" s="100" t="n"/>
      <x:c r="FC41" s="100" t="n"/>
      <x:c r="FD41" s="100" t="n"/>
      <x:c r="FE41" s="100" t="n"/>
      <x:c r="FF41" s="100" t="n"/>
      <x:c r="FG41" s="100" t="n"/>
      <x:c r="FH41" s="100" t="n"/>
      <x:c r="FI41" s="100" t="n"/>
      <x:c r="FJ41" s="100" t="n"/>
      <x:c r="FK41" s="100" t="n"/>
      <x:c r="FL41" s="100" t="n"/>
      <x:c r="FM41" s="100" t="n"/>
    </x:row>
    <x:row r="42" s="27" customFormat="1">
      <x:c r="A42" s="125" t="n"/>
      <x:c r="B42" s="39" t="n"/>
      <x:c r="C42" s="86" t="n">
        <x:f>E42*D$5</x:f>
        <x:v>-38.46153846153846</x:v>
      </x:c>
      <x:c r="D42" s="422" t="inlineStr">
        <x:is>
          <x:t xml:space="preserve">Bluebonnet Investments, Ltd.</x:t>
        </x:is>
      </x:c>
      <x:c r="E42" s="413" t="n">
        <x:f>SUM(G42:HS42)</x:f>
        <x:v>-0.9615384615384615</x:v>
      </x:c>
      <x:c r="F42" s="35" t="inlineStr">
        <x:is>
          <x:t xml:space="preserve"/>
        </x:is>
      </x:c>
      <x:c r="G42" s="121" t="n"/>
      <x:c r="H42" s="122" t="n"/>
      <x:c r="I42" s="122" t="n"/>
      <x:c r="J42" s="122" t="n"/>
      <x:c r="K42" s="123" t="n"/>
      <x:c r="L42" s="123" t="n"/>
      <x:c r="M42" s="123" t="n"/>
      <x:c r="N42" s="123" t="n"/>
      <x:c r="O42" s="123" t="n"/>
      <x:c r="P42" s="123" t="n"/>
      <x:c r="Q42" s="123" t="n"/>
      <x:c r="R42" s="124" t="n"/>
      <x:c r="S42" s="124" t="n"/>
      <x:c r="T42" s="123" t="n"/>
      <x:c r="U42" s="123" t="n"/>
      <x:c r="V42" s="123" t="n"/>
      <x:c r="W42" s="123" t="n"/>
      <x:c r="X42" s="123" t="n"/>
      <x:c r="Y42" s="123" t="n"/>
      <x:c r="Z42" s="123" t="n"/>
      <x:c r="AA42" s="123" t="n"/>
      <x:c r="AB42" s="123" t="n">
        <x:v>0.0384615384615385</x:v>
      </x:c>
      <x:c r="AC42" s="123" t="n"/>
      <x:c r="AD42" s="123" t="n"/>
      <x:c r="AE42" s="123" t="n"/>
      <x:c r="AF42" s="123" t="n"/>
      <x:c r="AG42" s="123" t="n"/>
      <x:c r="AH42" s="123" t="n"/>
      <x:c r="AI42" s="124" t="n"/>
      <x:c r="AJ42" s="123" t="n"/>
      <x:c r="AK42" s="123" t="n"/>
      <x:c r="AL42" s="123" t="n"/>
      <x:c r="AM42" s="123" t="n"/>
      <x:c r="AN42" s="123" t="n"/>
      <x:c r="AO42" s="123" t="n"/>
      <x:c r="AP42" s="100" t="n"/>
      <x:c r="AQ42" s="100" t="n"/>
      <x:c r="AR42" s="100" t="n"/>
      <x:c r="AS42" s="100" t="n"/>
      <x:c r="AT42" s="100" t="n"/>
      <x:c r="AU42" s="100" t="n"/>
      <x:c r="AV42" s="100" t="n"/>
      <x:c r="AW42" s="100" t="n"/>
      <x:c r="AX42" s="100" t="n">
        <x:v>-1</x:v>
      </x:c>
      <x:c r="AY42" s="100" t="n"/>
      <x:c r="AZ42" s="100" t="n"/>
      <x:c r="BA42" s="100" t="n"/>
      <x:c r="BB42" s="100" t="n"/>
      <x:c r="BC42" s="100" t="n"/>
      <x:c r="BD42" s="100" t="n"/>
      <x:c r="BE42" s="100" t="n"/>
      <x:c r="BF42" s="100" t="n"/>
      <x:c r="BG42" s="100" t="n"/>
      <x:c r="BH42" s="100" t="n"/>
      <x:c r="BI42" s="100" t="n"/>
      <x:c r="BJ42" s="100" t="n"/>
      <x:c r="BK42" s="100" t="n"/>
      <x:c r="BL42" s="100" t="n"/>
      <x:c r="BM42" s="100" t="n"/>
      <x:c r="BN42" s="100" t="n"/>
      <x:c r="BO42" s="100" t="n"/>
      <x:c r="BP42" s="100" t="n"/>
      <x:c r="BQ42" s="100" t="n"/>
      <x:c r="BR42" s="100" t="n"/>
      <x:c r="BS42" s="100" t="n"/>
      <x:c r="BT42" s="100" t="n"/>
      <x:c r="BU42" s="100" t="n"/>
      <x:c r="BV42" s="100" t="n"/>
      <x:c r="BW42" s="100" t="n"/>
      <x:c r="BX42" s="100" t="n"/>
      <x:c r="BY42" s="100" t="n"/>
      <x:c r="BZ42" s="100" t="n"/>
      <x:c r="CA42" s="100" t="n"/>
      <x:c r="CB42" s="100" t="n"/>
      <x:c r="CC42" s="100" t="n"/>
      <x:c r="CD42" s="100" t="n"/>
      <x:c r="CE42" s="100" t="n"/>
      <x:c r="CF42" s="100" t="n"/>
      <x:c r="CG42" s="100" t="n"/>
      <x:c r="CH42" s="100" t="n"/>
      <x:c r="CI42" s="100" t="n"/>
      <x:c r="CJ42" s="100" t="n"/>
      <x:c r="CK42" s="100" t="n"/>
      <x:c r="CL42" s="100" t="n"/>
      <x:c r="CM42" s="100" t="n"/>
      <x:c r="CN42" s="100" t="n"/>
      <x:c r="CO42" s="100" t="n"/>
      <x:c r="CP42" s="100" t="n"/>
      <x:c r="CQ42" s="100" t="n"/>
      <x:c r="CR42" s="100" t="n"/>
      <x:c r="CS42" s="100" t="n"/>
      <x:c r="CT42" s="100" t="n"/>
      <x:c r="CU42" s="100" t="n"/>
      <x:c r="CV42" s="100" t="n"/>
      <x:c r="CW42" s="100" t="n"/>
      <x:c r="CX42" s="100" t="n"/>
      <x:c r="CY42" s="100" t="n"/>
      <x:c r="CZ42" s="100" t="n"/>
      <x:c r="DA42" s="100" t="n"/>
      <x:c r="DB42" s="100" t="n"/>
      <x:c r="DC42" s="100" t="n"/>
      <x:c r="DD42" s="100" t="n"/>
      <x:c r="DE42" s="100" t="n"/>
      <x:c r="DF42" s="100" t="n"/>
      <x:c r="DG42" s="100" t="n"/>
      <x:c r="DH42" s="100" t="n"/>
      <x:c r="DI42" s="100" t="n"/>
      <x:c r="DJ42" s="100" t="n"/>
      <x:c r="DK42" s="100" t="n"/>
      <x:c r="DL42" s="100" t="n"/>
      <x:c r="DM42" s="100" t="n"/>
      <x:c r="DN42" s="100" t="n"/>
      <x:c r="DO42" s="100" t="n"/>
      <x:c r="DP42" s="100" t="n"/>
      <x:c r="DQ42" s="100" t="n"/>
      <x:c r="DR42" s="100" t="n"/>
      <x:c r="DS42" s="100" t="n"/>
      <x:c r="DT42" s="100" t="n"/>
      <x:c r="DU42" s="100" t="n"/>
      <x:c r="DV42" s="100" t="n"/>
      <x:c r="DW42" s="100" t="n"/>
      <x:c r="DX42" s="100" t="n"/>
      <x:c r="DY42" s="100" t="n"/>
      <x:c r="DZ42" s="100" t="n"/>
      <x:c r="EA42" s="100" t="n"/>
      <x:c r="EB42" s="100" t="n"/>
      <x:c r="EC42" s="100" t="n"/>
      <x:c r="ED42" s="100" t="n"/>
      <x:c r="EE42" s="100" t="n"/>
      <x:c r="EF42" s="100" t="n"/>
      <x:c r="EG42" s="100" t="n"/>
      <x:c r="EH42" s="100" t="n"/>
      <x:c r="EI42" s="100" t="n"/>
      <x:c r="EJ42" s="100" t="n"/>
      <x:c r="EK42" s="100" t="n"/>
      <x:c r="EL42" s="100" t="n"/>
      <x:c r="EM42" s="100" t="n"/>
      <x:c r="EN42" s="100" t="n"/>
      <x:c r="EO42" s="100" t="n"/>
      <x:c r="EP42" s="100" t="n"/>
      <x:c r="EQ42" s="100" t="n"/>
      <x:c r="ER42" s="100" t="n"/>
      <x:c r="ES42" s="100" t="n"/>
      <x:c r="ET42" s="100" t="n"/>
      <x:c r="EU42" s="100" t="n"/>
      <x:c r="EV42" s="100" t="n"/>
      <x:c r="EW42" s="100" t="n"/>
      <x:c r="EX42" s="100" t="n"/>
      <x:c r="EY42" s="100" t="n"/>
      <x:c r="EZ42" s="100" t="n"/>
      <x:c r="FA42" s="100" t="n"/>
      <x:c r="FB42" s="100" t="n"/>
      <x:c r="FC42" s="100" t="n"/>
      <x:c r="FD42" s="100" t="n"/>
      <x:c r="FE42" s="100" t="n"/>
      <x:c r="FF42" s="100" t="n"/>
      <x:c r="FG42" s="100" t="n"/>
      <x:c r="FH42" s="100" t="n"/>
      <x:c r="FI42" s="100" t="n"/>
      <x:c r="FJ42" s="100" t="n"/>
      <x:c r="FK42" s="100" t="n"/>
      <x:c r="FL42" s="100" t="n"/>
      <x:c r="FM42" s="100" t="n"/>
    </x:row>
    <x:row r="43" s="27" customFormat="1">
      <x:c r="A43" s="125" t="n"/>
      <x:c r="B43" s="39" t="n"/>
      <x:c r="C43" s="86" t="n">
        <x:f>E43*D$5</x:f>
        <x:v>-40</x:v>
      </x:c>
      <x:c r="D43" s="422" t="inlineStr">
        <x:is>
          <x:t xml:space="preserve">Federal Deposit Insurance Corporation</x:t>
        </x:is>
      </x:c>
      <x:c r="E43" s="413" t="n">
        <x:f>SUM(G43:HS43)</x:f>
        <x:v>-1</x:v>
      </x:c>
      <x:c r="F43" s="35" t="inlineStr">
        <x:is>
          <x:t xml:space="preserve"/>
        </x:is>
      </x:c>
      <x:c r="G43" s="121" t="n"/>
      <x:c r="H43" s="122" t="n"/>
      <x:c r="I43" s="122" t="n"/>
      <x:c r="J43" s="122" t="n"/>
      <x:c r="K43" s="123" t="n"/>
      <x:c r="L43" s="123" t="n"/>
      <x:c r="M43" s="123" t="n"/>
      <x:c r="N43" s="124" t="n"/>
      <x:c r="O43" s="123" t="n"/>
      <x:c r="P43" s="123" t="n"/>
      <x:c r="Q43" s="123" t="n"/>
      <x:c r="R43" s="123" t="n"/>
      <x:c r="S43" s="123" t="n"/>
      <x:c r="T43" s="123" t="n"/>
      <x:c r="U43" s="123" t="n"/>
      <x:c r="V43" s="123" t="n"/>
      <x:c r="W43" s="123" t="n"/>
      <x:c r="X43" s="123" t="n"/>
      <x:c r="Y43" s="123" t="n"/>
      <x:c r="Z43" s="123" t="n"/>
      <x:c r="AA43" s="123" t="n"/>
      <x:c r="AB43" s="123" t="n"/>
      <x:c r="AC43" s="123" t="n">
        <x:v>-1</x:v>
      </x:c>
      <x:c r="AD43" s="123" t="n"/>
      <x:c r="AE43" s="123" t="n"/>
      <x:c r="AF43" s="123" t="n"/>
      <x:c r="AG43" s="123" t="n"/>
      <x:c r="AH43" s="123" t="n"/>
      <x:c r="AI43" s="124" t="n"/>
      <x:c r="AJ43" s="123" t="n"/>
      <x:c r="AK43" s="123" t="n"/>
      <x:c r="AL43" s="123" t="n"/>
      <x:c r="AM43" s="123" t="n"/>
      <x:c r="AN43" s="123" t="n"/>
      <x:c r="AO43" s="123" t="n"/>
      <x:c r="AP43" s="100" t="n"/>
      <x:c r="AQ43" s="100" t="n"/>
      <x:c r="AR43" s="100" t="n"/>
      <x:c r="AS43" s="100" t="n"/>
      <x:c r="AT43" s="100" t="n"/>
      <x:c r="AU43" s="100" t="n"/>
      <x:c r="AV43" s="100" t="n"/>
      <x:c r="AW43" s="100" t="n"/>
      <x:c r="AX43" s="100" t="n"/>
      <x:c r="AY43" s="100" t="n"/>
      <x:c r="AZ43" s="100" t="n"/>
      <x:c r="BA43" s="100" t="n"/>
      <x:c r="BB43" s="100" t="n"/>
      <x:c r="BC43" s="100" t="n"/>
      <x:c r="BD43" s="100" t="n"/>
      <x:c r="BE43" s="100" t="n"/>
      <x:c r="BF43" s="100" t="n"/>
      <x:c r="BG43" s="100" t="n"/>
      <x:c r="BH43" s="100" t="n"/>
      <x:c r="BI43" s="100" t="n"/>
      <x:c r="BJ43" s="100" t="n"/>
      <x:c r="BK43" s="100" t="n"/>
      <x:c r="BL43" s="100" t="n"/>
      <x:c r="BM43" s="100" t="n"/>
      <x:c r="BN43" s="100" t="n"/>
      <x:c r="BO43" s="100" t="n"/>
      <x:c r="BP43" s="100" t="n"/>
      <x:c r="BQ43" s="100" t="n"/>
      <x:c r="BR43" s="100" t="n"/>
      <x:c r="BS43" s="100" t="n"/>
      <x:c r="BT43" s="100" t="n"/>
      <x:c r="BU43" s="100" t="n"/>
      <x:c r="BV43" s="100" t="n"/>
      <x:c r="BW43" s="100" t="n"/>
      <x:c r="BX43" s="100" t="n"/>
      <x:c r="BY43" s="100" t="n"/>
      <x:c r="BZ43" s="100" t="n"/>
      <x:c r="CA43" s="100" t="n"/>
      <x:c r="CB43" s="100" t="n"/>
      <x:c r="CC43" s="100" t="n"/>
      <x:c r="CD43" s="100" t="n"/>
      <x:c r="CE43" s="100" t="n"/>
      <x:c r="CF43" s="100" t="n"/>
      <x:c r="CG43" s="100" t="n"/>
      <x:c r="CH43" s="100" t="n"/>
      <x:c r="CI43" s="100" t="n"/>
      <x:c r="CJ43" s="100" t="n"/>
      <x:c r="CK43" s="100" t="n"/>
      <x:c r="CL43" s="100" t="n"/>
      <x:c r="CM43" s="100" t="n"/>
      <x:c r="CN43" s="100" t="n"/>
      <x:c r="CO43" s="100" t="n"/>
      <x:c r="CP43" s="100" t="n"/>
      <x:c r="CQ43" s="100" t="n"/>
      <x:c r="CR43" s="100" t="n"/>
      <x:c r="CS43" s="100" t="n"/>
      <x:c r="CT43" s="100" t="n"/>
      <x:c r="CU43" s="100" t="n"/>
      <x:c r="CV43" s="100" t="n"/>
      <x:c r="CW43" s="100" t="n"/>
      <x:c r="CX43" s="100" t="n"/>
      <x:c r="CY43" s="100" t="n"/>
      <x:c r="CZ43" s="100" t="n"/>
      <x:c r="DA43" s="100" t="n"/>
      <x:c r="DB43" s="100" t="n"/>
      <x:c r="DC43" s="100" t="n"/>
      <x:c r="DD43" s="100" t="n"/>
      <x:c r="DE43" s="100" t="n"/>
      <x:c r="DF43" s="100" t="n"/>
      <x:c r="DG43" s="100" t="n"/>
      <x:c r="DH43" s="100" t="n"/>
      <x:c r="DI43" s="100" t="n"/>
      <x:c r="DJ43" s="100" t="n"/>
      <x:c r="DK43" s="100" t="n"/>
      <x:c r="DL43" s="100" t="n"/>
      <x:c r="DM43" s="100" t="n"/>
      <x:c r="DN43" s="100" t="n"/>
      <x:c r="DO43" s="100" t="n"/>
      <x:c r="DP43" s="100" t="n"/>
      <x:c r="DQ43" s="100" t="n"/>
      <x:c r="DR43" s="100" t="n"/>
      <x:c r="DS43" s="100" t="n"/>
      <x:c r="DT43" s="100" t="n"/>
      <x:c r="DU43" s="100" t="n"/>
      <x:c r="DV43" s="100" t="n"/>
      <x:c r="DW43" s="100" t="n"/>
      <x:c r="DX43" s="100" t="n"/>
      <x:c r="DY43" s="100" t="n"/>
      <x:c r="DZ43" s="100" t="n"/>
      <x:c r="EA43" s="100" t="n"/>
      <x:c r="EB43" s="100" t="n"/>
      <x:c r="EC43" s="100" t="n"/>
      <x:c r="ED43" s="100" t="n"/>
      <x:c r="EE43" s="100" t="n"/>
      <x:c r="EF43" s="100" t="n"/>
      <x:c r="EG43" s="100" t="n"/>
      <x:c r="EH43" s="100" t="n"/>
      <x:c r="EI43" s="100" t="n"/>
      <x:c r="EJ43" s="100" t="n"/>
      <x:c r="EK43" s="100" t="n"/>
      <x:c r="EL43" s="100" t="n"/>
      <x:c r="EM43" s="100" t="n"/>
      <x:c r="EN43" s="100" t="n"/>
      <x:c r="EO43" s="100" t="n"/>
      <x:c r="EP43" s="100" t="n"/>
      <x:c r="EQ43" s="100" t="n"/>
      <x:c r="ER43" s="100" t="n"/>
      <x:c r="ES43" s="100" t="n"/>
      <x:c r="ET43" s="100" t="n"/>
      <x:c r="EU43" s="100" t="n"/>
      <x:c r="EV43" s="100" t="n"/>
      <x:c r="EW43" s="100" t="n"/>
      <x:c r="EX43" s="100" t="n"/>
      <x:c r="EY43" s="100" t="n"/>
      <x:c r="EZ43" s="100" t="n"/>
      <x:c r="FA43" s="100" t="n"/>
      <x:c r="FB43" s="100" t="n"/>
      <x:c r="FC43" s="100" t="n"/>
      <x:c r="FD43" s="100" t="n"/>
      <x:c r="FE43" s="100" t="n"/>
      <x:c r="FF43" s="100" t="n"/>
      <x:c r="FG43" s="100" t="n"/>
      <x:c r="FH43" s="100" t="n"/>
      <x:c r="FI43" s="100" t="n"/>
      <x:c r="FJ43" s="100" t="n"/>
      <x:c r="FK43" s="100" t="n"/>
      <x:c r="FL43" s="100" t="n"/>
      <x:c r="FM43" s="100" t="n"/>
    </x:row>
    <x:row r="44" s="27" customFormat="1" ht="12" customHeight="1">
      <x:c r="A44" s="125" t="n"/>
      <x:c r="B44" s="39" t="n"/>
      <x:c r="C44" s="86" t="n">
        <x:f>E44*D$5</x:f>
        <x:v>0</x:v>
      </x:c>
      <x:c r="D44" s="4" t="inlineStr">
        <x:is>
          <x:t xml:space="preserve">First State Bank &amp; Trust Company</x:t>
        </x:is>
      </x:c>
      <x:c r="E44" s="86" t="n">
        <x:f>SUM(G44:HS44)</x:f>
        <x:v>0</x:v>
      </x:c>
      <x:c r="F44" s="35" t="inlineStr">
        <x:is>
          <x:t xml:space="preserve"/>
        </x:is>
      </x:c>
      <x:c r="G44" s="121" t="n"/>
      <x:c r="H44" s="121" t="n"/>
      <x:c r="I44" s="121" t="n"/>
      <x:c r="J44" s="121" t="n"/>
      <x:c r="K44" s="121" t="n"/>
      <x:c r="L44" s="121" t="n"/>
      <x:c r="M44" s="121" t="n"/>
      <x:c r="N44" s="121" t="n"/>
      <x:c r="O44" s="121" t="n"/>
      <x:c r="P44" s="123" t="n"/>
      <x:c r="Q44" s="123" t="n"/>
      <x:c r="R44" s="121" t="n"/>
      <x:c r="S44" s="121" t="n"/>
      <x:c r="T44" s="121" t="n"/>
      <x:c r="U44" s="121" t="n"/>
      <x:c r="V44" s="121" t="n"/>
      <x:c r="W44" s="121" t="n"/>
      <x:c r="X44" s="121" t="n"/>
      <x:c r="Y44" s="121" t="n"/>
      <x:c r="Z44" s="121" t="n"/>
      <x:c r="AA44" s="121" t="n"/>
      <x:c r="AB44" s="121" t="n"/>
      <x:c r="AC44" s="123" t="n">
        <x:v>1</x:v>
      </x:c>
      <x:c r="AD44" s="123" t="n"/>
      <x:c r="AE44" s="123" t="n"/>
      <x:c r="AF44" s="123" t="n">
        <x:v>-1</x:v>
      </x:c>
      <x:c r="AG44" s="124" t="n"/>
      <x:c r="AH44" s="124" t="n"/>
      <x:c r="AI44" s="123" t="n"/>
      <x:c r="AJ44" s="121" t="n"/>
      <x:c r="AK44" s="123" t="n"/>
      <x:c r="AL44" s="121" t="n"/>
      <x:c r="AM44" s="123" t="n"/>
      <x:c r="AN44" s="121" t="n"/>
      <x:c r="AO44" s="121" t="n"/>
      <x:c r="AP44" s="28" t="n"/>
      <x:c r="AQ44" s="28" t="n"/>
      <x:c r="AR44" s="28" t="n"/>
    </x:row>
    <x:row r="45" s="27" customFormat="1">
      <x:c r="A45" s="125" t="n"/>
      <x:c r="B45" s="39" t="n"/>
      <x:c r="C45" s="86" t="n">
        <x:f>E45*D$5</x:f>
        <x:v>-40</x:v>
      </x:c>
      <x:c r="D45" s="422" t="inlineStr">
        <x:is>
          <x:t xml:space="preserve">State Bank &amp; Trust Company</x:t>
        </x:is>
      </x:c>
      <x:c r="E45" s="413" t="n">
        <x:f>SUM(G45:HS45)</x:f>
        <x:v>-1</x:v>
      </x:c>
      <x:c r="F45" s="35" t="inlineStr">
        <x:is>
          <x:t xml:space="preserve"/>
        </x:is>
      </x:c>
      <x:c r="G45" s="121" t="n"/>
      <x:c r="H45" s="123" t="n"/>
      <x:c r="I45" s="123" t="n"/>
      <x:c r="J45" s="123" t="n"/>
      <x:c r="K45" s="123" t="n"/>
      <x:c r="L45" s="124" t="n"/>
      <x:c r="M45" s="124" t="n"/>
      <x:c r="N45" s="123" t="n"/>
      <x:c r="O45" s="123" t="n"/>
      <x:c r="P45" s="123" t="n"/>
      <x:c r="Q45" s="123" t="n"/>
      <x:c r="R45" s="123" t="n"/>
      <x:c r="S45" s="123" t="n"/>
      <x:c r="T45" s="123" t="n"/>
      <x:c r="U45" s="123" t="n"/>
      <x:c r="V45" s="123" t="n"/>
      <x:c r="W45" s="123" t="n"/>
      <x:c r="X45" s="123" t="n"/>
      <x:c r="Y45" s="123" t="n"/>
      <x:c r="Z45" s="123" t="n"/>
      <x:c r="AA45" s="121" t="n"/>
      <x:c r="AB45" s="123" t="n"/>
      <x:c r="AC45" s="123" t="n"/>
      <x:c r="AD45" s="123" t="n">
        <x:v>-1</x:v>
      </x:c>
      <x:c r="AE45" s="123" t="n"/>
      <x:c r="AF45" s="123" t="n"/>
      <x:c r="AG45" s="123" t="n"/>
      <x:c r="AH45" s="123" t="n"/>
      <x:c r="AI45" s="124" t="n"/>
      <x:c r="AJ45" s="123" t="n"/>
      <x:c r="AK45" s="121" t="n"/>
      <x:c r="AL45" s="123" t="n"/>
      <x:c r="AM45" s="123" t="n"/>
      <x:c r="AN45" s="123" t="n"/>
      <x:c r="AO45" s="123" t="n"/>
      <x:c r="AP45" s="100" t="n"/>
      <x:c r="AQ45" s="100" t="n"/>
      <x:c r="AR45" s="100" t="n"/>
      <x:c r="AS45" s="100" t="n"/>
      <x:c r="AT45" s="100" t="n"/>
      <x:c r="AU45" s="100" t="n"/>
      <x:c r="AV45" s="100" t="n"/>
      <x:c r="AW45" s="100" t="n"/>
      <x:c r="AX45" s="100" t="n"/>
      <x:c r="AY45" s="100" t="n"/>
      <x:c r="AZ45" s="100" t="n"/>
      <x:c r="BA45" s="100" t="n"/>
      <x:c r="BB45" s="100" t="n"/>
      <x:c r="BC45" s="100" t="n"/>
      <x:c r="BD45" s="100" t="n"/>
      <x:c r="BE45" s="100" t="n"/>
      <x:c r="BF45" s="100" t="n"/>
      <x:c r="BG45" s="100" t="n"/>
      <x:c r="BH45" s="100" t="n"/>
      <x:c r="BI45" s="100" t="n"/>
      <x:c r="BJ45" s="100" t="n"/>
      <x:c r="BK45" s="100" t="n"/>
      <x:c r="BL45" s="100" t="n"/>
      <x:c r="BM45" s="100" t="n"/>
      <x:c r="BN45" s="100" t="n"/>
      <x:c r="BO45" s="100" t="n"/>
      <x:c r="BP45" s="100" t="n"/>
      <x:c r="BQ45" s="100" t="n"/>
      <x:c r="BR45" s="100" t="n"/>
      <x:c r="BS45" s="100" t="n"/>
      <x:c r="BT45" s="100" t="n"/>
      <x:c r="BU45" s="100" t="n"/>
      <x:c r="BV45" s="100" t="n"/>
      <x:c r="BW45" s="100" t="n"/>
      <x:c r="BX45" s="100" t="n"/>
      <x:c r="BY45" s="100" t="n"/>
      <x:c r="BZ45" s="100" t="n"/>
      <x:c r="CA45" s="100" t="n"/>
      <x:c r="CB45" s="100" t="n"/>
      <x:c r="CC45" s="100" t="n"/>
      <x:c r="CD45" s="100" t="n"/>
      <x:c r="CE45" s="100" t="n"/>
      <x:c r="CF45" s="100" t="n"/>
      <x:c r="CG45" s="100" t="n"/>
      <x:c r="CH45" s="100" t="n"/>
      <x:c r="CI45" s="100" t="n"/>
      <x:c r="CJ45" s="100" t="n"/>
      <x:c r="CK45" s="100" t="n"/>
      <x:c r="CL45" s="100" t="n"/>
      <x:c r="CM45" s="100" t="n"/>
      <x:c r="CN45" s="100" t="n"/>
      <x:c r="CO45" s="100" t="n"/>
      <x:c r="CP45" s="100" t="n"/>
      <x:c r="CQ45" s="100" t="n"/>
      <x:c r="CR45" s="100" t="n"/>
      <x:c r="CS45" s="100" t="n"/>
      <x:c r="CT45" s="100" t="n"/>
      <x:c r="CU45" s="100" t="n"/>
      <x:c r="CV45" s="100" t="n"/>
      <x:c r="CW45" s="100" t="n"/>
      <x:c r="CX45" s="100" t="n"/>
      <x:c r="CY45" s="100" t="n"/>
      <x:c r="CZ45" s="100" t="n"/>
      <x:c r="DA45" s="100" t="n"/>
      <x:c r="DB45" s="100" t="n"/>
      <x:c r="DC45" s="100" t="n"/>
      <x:c r="DD45" s="100" t="n"/>
      <x:c r="DE45" s="100" t="n"/>
      <x:c r="DF45" s="100" t="n"/>
      <x:c r="DG45" s="100" t="n"/>
      <x:c r="DH45" s="100" t="n"/>
      <x:c r="DI45" s="100" t="n"/>
      <x:c r="DJ45" s="100" t="n"/>
      <x:c r="DK45" s="100" t="n"/>
      <x:c r="DL45" s="100" t="n"/>
      <x:c r="DM45" s="100" t="n"/>
      <x:c r="DN45" s="100" t="n"/>
      <x:c r="DO45" s="100" t="n"/>
      <x:c r="DP45" s="100" t="n"/>
      <x:c r="DQ45" s="100" t="n"/>
      <x:c r="DR45" s="100" t="n"/>
      <x:c r="DS45" s="100" t="n"/>
      <x:c r="DT45" s="100" t="n"/>
      <x:c r="DU45" s="100" t="n"/>
      <x:c r="DV45" s="100" t="n"/>
      <x:c r="DW45" s="100" t="n"/>
      <x:c r="DX45" s="100" t="n"/>
      <x:c r="DY45" s="100" t="n"/>
      <x:c r="DZ45" s="100" t="n"/>
      <x:c r="EA45" s="100" t="n"/>
      <x:c r="EB45" s="100" t="n"/>
      <x:c r="EC45" s="100" t="n"/>
      <x:c r="ED45" s="100" t="n"/>
      <x:c r="EE45" s="100" t="n"/>
      <x:c r="EF45" s="100" t="n"/>
      <x:c r="EG45" s="100" t="n"/>
      <x:c r="EH45" s="100" t="n"/>
      <x:c r="EI45" s="100" t="n"/>
      <x:c r="EJ45" s="100" t="n"/>
      <x:c r="EK45" s="100" t="n"/>
      <x:c r="EL45" s="100" t="n"/>
      <x:c r="EM45" s="100" t="n"/>
      <x:c r="EN45" s="100" t="n"/>
      <x:c r="EO45" s="100" t="n"/>
      <x:c r="EP45" s="100" t="n"/>
      <x:c r="EQ45" s="100" t="n"/>
      <x:c r="ER45" s="100" t="n"/>
      <x:c r="ES45" s="100" t="n"/>
      <x:c r="ET45" s="100" t="n"/>
      <x:c r="EU45" s="100" t="n"/>
      <x:c r="EV45" s="100" t="n"/>
      <x:c r="EW45" s="100" t="n"/>
      <x:c r="EX45" s="100" t="n"/>
      <x:c r="EY45" s="100" t="n"/>
      <x:c r="EZ45" s="100" t="n"/>
      <x:c r="FA45" s="100" t="n"/>
      <x:c r="FB45" s="100" t="n"/>
      <x:c r="FC45" s="100" t="n"/>
      <x:c r="FD45" s="100" t="n"/>
      <x:c r="FE45" s="100" t="n"/>
      <x:c r="FF45" s="100" t="n"/>
      <x:c r="FG45" s="100" t="n"/>
      <x:c r="FH45" s="100" t="n"/>
      <x:c r="FI45" s="100" t="n"/>
      <x:c r="FJ45" s="100" t="n"/>
      <x:c r="FK45" s="100" t="n"/>
      <x:c r="FL45" s="100" t="n"/>
      <x:c r="FM45" s="100" t="n"/>
      <x:c r="FN45" s="100" t="n"/>
      <x:c r="FO45" s="100" t="n"/>
      <x:c r="FP45" s="100" t="n"/>
      <x:c r="FQ45" s="100" t="n"/>
      <x:c r="FR45" s="100" t="n"/>
      <x:c r="FS45" s="100" t="n"/>
      <x:c r="FT45" s="100" t="n"/>
      <x:c r="FU45" s="100" t="n"/>
    </x:row>
    <x:row r="46" s="27" customFormat="1">
      <x:c r="A46" s="125" t="n"/>
      <x:c r="B46" s="39" t="n"/>
      <x:c r="C46" s="86" t="n">
        <x:f>E46*D$5</x:f>
        <x:v>120</x:v>
      </x:c>
      <x:c r="D46" s="4" t="inlineStr">
        <x:is>
          <x:t xml:space="preserve">Arrowhead Resources, Inc.</x:t>
        </x:is>
      </x:c>
      <x:c r="E46" s="86" t="n">
        <x:f>SUM(G46:HS46)</x:f>
        <x:v>3</x:v>
      </x:c>
      <x:c r="F46" s="35" t="inlineStr">
        <x:is>
          <x:t xml:space="preserve"/>
        </x:is>
      </x:c>
      <x:c r="G46" s="121" t="n"/>
      <x:c r="H46" s="121" t="n"/>
      <x:c r="I46" s="121" t="n"/>
      <x:c r="J46" s="121" t="n"/>
      <x:c r="K46" s="121" t="n"/>
      <x:c r="L46" s="121" t="n"/>
      <x:c r="M46" s="121" t="n"/>
      <x:c r="N46" s="121" t="n"/>
      <x:c r="O46" s="121" t="n"/>
      <x:c r="P46" s="123" t="n"/>
      <x:c r="Q46" s="123" t="n"/>
      <x:c r="R46" s="121" t="n"/>
      <x:c r="S46" s="121" t="n"/>
      <x:c r="T46" s="121" t="n"/>
      <x:c r="U46" s="121" t="n"/>
      <x:c r="V46" s="121" t="n"/>
      <x:c r="W46" s="121" t="n"/>
      <x:c r="X46" s="121" t="n"/>
      <x:c r="Y46" s="121" t="n"/>
      <x:c r="Z46" s="121" t="n"/>
      <x:c r="AA46" s="121" t="n"/>
      <x:c r="AB46" s="121" t="n"/>
      <x:c r="AC46" s="123" t="n"/>
      <x:c r="AD46" s="123" t="n">
        <x:v>1</x:v>
      </x:c>
      <x:c r="AE46" s="123" t="n">
        <x:v>-1</x:v>
      </x:c>
      <x:c r="AF46" s="123" t="n">
        <x:v>1</x:v>
      </x:c>
      <x:c r="AG46" s="123" t="n">
        <x:v>-1</x:v>
      </x:c>
      <x:c r="AH46" s="123" t="n"/>
      <x:c r="AI46" s="124" t="n"/>
      <x:c r="AJ46" s="121" t="n"/>
      <x:c r="AK46" s="123" t="n"/>
      <x:c r="AL46" s="129" t="n"/>
      <x:c r="AM46" s="123" t="n"/>
      <x:c r="AN46" s="121" t="n"/>
      <x:c r="AO46" s="121" t="n"/>
      <x:c r="AP46" s="28" t="n"/>
      <x:c r="AQ46" s="28" t="n"/>
      <x:c r="AR46" s="28" t="n"/>
      <x:c r="AS46" s="27" t="n">
        <x:v>1</x:v>
      </x:c>
      <x:c r="AT46" s="27" t="n">
        <x:v>1</x:v>
      </x:c>
      <x:c r="AU46" s="27" t="n">
        <x:v>1</x:v>
      </x:c>
    </x:row>
    <x:row r="47" s="27" customFormat="1">
      <x:c r="A47" s="125" t="n"/>
      <x:c r="B47" s="39" t="n"/>
      <x:c r="C47" s="86" t="n">
        <x:f>E47*D$5</x:f>
        <x:v>40</x:v>
      </x:c>
      <x:c r="D47" s="523" t="inlineStr">
        <x:is>
          <x:t xml:space="preserve">Daniel D. Ferson</x:t>
        </x:is>
      </x:c>
      <x:c r="E47" s="86" t="n">
        <x:f>SUM(G47:HS47)</x:f>
        <x:v>1</x:v>
      </x:c>
      <x:c r="F47" s="35" t="inlineStr">
        <x:is>
          <x:t xml:space="preserve"/>
        </x:is>
      </x:c>
      <x:c r="G47" s="121" t="n"/>
      <x:c r="H47" s="121" t="n"/>
      <x:c r="I47" s="121" t="n"/>
      <x:c r="J47" s="121" t="n"/>
      <x:c r="K47" s="121" t="n"/>
      <x:c r="L47" s="121" t="n"/>
      <x:c r="M47" s="121" t="n"/>
      <x:c r="N47" s="121" t="n"/>
      <x:c r="O47" s="121" t="n"/>
      <x:c r="P47" s="123" t="n"/>
      <x:c r="Q47" s="123" t="n"/>
      <x:c r="R47" s="121" t="n"/>
      <x:c r="S47" s="121" t="n"/>
      <x:c r="T47" s="121" t="n"/>
      <x:c r="U47" s="121" t="n"/>
      <x:c r="V47" s="121" t="n"/>
      <x:c r="W47" s="121" t="n"/>
      <x:c r="X47" s="121" t="n"/>
      <x:c r="Y47" s="121" t="n"/>
      <x:c r="Z47" s="121" t="n"/>
      <x:c r="AA47" s="121" t="n"/>
      <x:c r="AB47" s="121" t="n"/>
      <x:c r="AC47" s="123" t="n"/>
      <x:c r="AD47" s="123" t="n"/>
      <x:c r="AE47" s="123" t="n">
        <x:v>1</x:v>
      </x:c>
      <x:c r="AF47" s="123" t="n"/>
      <x:c r="AG47" s="123" t="n"/>
      <x:c r="AH47" s="123" t="n"/>
      <x:c r="AI47" s="123" t="n"/>
      <x:c r="AJ47" s="121" t="n"/>
      <x:c r="AK47" s="123" t="n"/>
      <x:c r="AL47" s="129" t="n"/>
      <x:c r="AM47" s="124" t="n"/>
      <x:c r="AN47" s="121" t="n"/>
      <x:c r="AO47" s="121" t="n"/>
      <x:c r="AP47" s="28" t="n"/>
      <x:c r="AQ47" s="28" t="n"/>
      <x:c r="AR47" s="28" t="n"/>
    </x:row>
    <x:row r="48" s="27" customFormat="1">
      <x:c r="A48" s="125" t="n"/>
      <x:c r="B48" s="39" t="n"/>
      <x:c r="C48" s="36" t="n">
        <x:f>E48*D$5</x:f>
        <x:v>40</x:v>
      </x:c>
      <x:c r="D48" s="4" t="inlineStr">
        <x:is>
          <x:t xml:space="preserve">The Hefner Corporation</x:t>
        </x:is>
      </x:c>
      <x:c r="E48" s="36" t="n">
        <x:f>SUM(G48:HS48)</x:f>
        <x:v>1</x:v>
      </x:c>
      <x:c r="F48" s="35" t="inlineStr">
        <x:is>
          <x:t xml:space="preserve"/>
        </x:is>
      </x:c>
      <x:c r="G48" s="121" t="n"/>
      <x:c r="H48" s="121" t="n"/>
      <x:c r="I48" s="121" t="n"/>
      <x:c r="J48" s="121" t="n"/>
      <x:c r="K48" s="121" t="n"/>
      <x:c r="L48" s="121" t="n"/>
      <x:c r="M48" s="121" t="n"/>
      <x:c r="N48" s="121" t="n"/>
      <x:c r="O48" s="121" t="n"/>
      <x:c r="P48" s="123" t="n"/>
      <x:c r="Q48" s="123" t="n"/>
      <x:c r="R48" s="121" t="n"/>
      <x:c r="S48" s="121" t="n"/>
      <x:c r="T48" s="121" t="n"/>
      <x:c r="U48" s="121" t="n"/>
      <x:c r="V48" s="121" t="n"/>
      <x:c r="W48" s="121" t="n"/>
      <x:c r="X48" s="121" t="n"/>
      <x:c r="Y48" s="121" t="n"/>
      <x:c r="Z48" s="121" t="n"/>
      <x:c r="AA48" s="121" t="n"/>
      <x:c r="AB48" s="121" t="n"/>
      <x:c r="AC48" s="123" t="n"/>
      <x:c r="AD48" s="123" t="n"/>
      <x:c r="AE48" s="123" t="n"/>
      <x:c r="AF48" s="123" t="n"/>
      <x:c r="AG48" s="123" t="n">
        <x:v>1</x:v>
      </x:c>
      <x:c r="AH48" s="123" t="n"/>
      <x:c r="AI48" s="123" t="n"/>
      <x:c r="AJ48" s="121" t="n"/>
      <x:c r="AK48" s="123" t="n"/>
      <x:c r="AL48" s="129" t="n"/>
      <x:c r="AM48" s="124" t="n"/>
      <x:c r="AN48" s="121" t="n"/>
      <x:c r="AO48" s="121" t="n"/>
      <x:c r="AP48" s="28" t="n"/>
      <x:c r="AQ48" s="28" t="n"/>
      <x:c r="AR48" s="28" t="n"/>
    </x:row>
    <x:row r="49" s="27" customFormat="1">
      <x:c r="A49" s="125" t="n"/>
      <x:c r="B49" s="39" t="n"/>
      <x:c r="C49" s="86" t="n">
        <x:f>E49*D$5</x:f>
        <x:v>-40</x:v>
      </x:c>
      <x:c r="D49" s="422" t="inlineStr">
        <x:is>
          <x:t xml:space="preserve">Charles O. Burckhalter</x:t>
        </x:is>
      </x:c>
      <x:c r="E49" s="411" t="n">
        <x:f>SUM(G49:HS49)</x:f>
        <x:v>-1</x:v>
      </x:c>
      <x:c r="F49" s="35" t="inlineStr">
        <x:is>
          <x:t xml:space="preserve"/>
        </x:is>
      </x:c>
      <x:c r="G49" s="121" t="n"/>
      <x:c r="H49" s="121" t="n"/>
      <x:c r="I49" s="121" t="n"/>
      <x:c r="J49" s="121" t="n"/>
      <x:c r="K49" s="121" t="n"/>
      <x:c r="L49" s="121" t="n"/>
      <x:c r="M49" s="121" t="n"/>
      <x:c r="N49" s="121" t="n"/>
      <x:c r="O49" s="121" t="n"/>
      <x:c r="P49" s="123" t="n"/>
      <x:c r="Q49" s="123" t="n"/>
      <x:c r="R49" s="121" t="n"/>
      <x:c r="S49" s="121" t="n"/>
      <x:c r="T49" s="121" t="n"/>
      <x:c r="U49" s="121" t="n"/>
      <x:c r="V49" s="121" t="n"/>
      <x:c r="W49" s="121" t="n"/>
      <x:c r="X49" s="121" t="n"/>
      <x:c r="Y49" s="121" t="n"/>
      <x:c r="Z49" s="121" t="n"/>
      <x:c r="AA49" s="121" t="n"/>
      <x:c r="AB49" s="121" t="n"/>
      <x:c r="AC49" s="123" t="n"/>
      <x:c r="AD49" s="123" t="n"/>
      <x:c r="AE49" s="123" t="n"/>
      <x:c r="AF49" s="123" t="n"/>
      <x:c r="AG49" s="123" t="n"/>
      <x:c r="AH49" s="123" t="n">
        <x:v>-1</x:v>
      </x:c>
      <x:c r="AI49" s="123" t="n"/>
      <x:c r="AJ49" s="121" t="n"/>
      <x:c r="AK49" s="123" t="n"/>
      <x:c r="AL49" s="121" t="n"/>
      <x:c r="AM49" s="124" t="n"/>
      <x:c r="AN49" s="121" t="n"/>
      <x:c r="AO49" s="121" t="n"/>
      <x:c r="AP49" s="28" t="n"/>
      <x:c r="AQ49" s="28" t="n"/>
      <x:c r="AR49" s="28" t="n"/>
    </x:row>
    <x:row r="50" s="27" customFormat="1" ht="24" customHeight="1">
      <x:c r="A50" s="38" t="n"/>
      <x:c r="B50" s="37" t="n"/>
      <x:c r="C50" s="36" t="n">
        <x:f>E50*D$5</x:f>
        <x:v>40</x:v>
      </x:c>
      <x:c r="D50" s="4" t="inlineStr">
        <x:is>
          <x:t xml:space="preserve">Charles O. Burckhalter, Trustee of the Burckhalter Family Trust dated July 9, 1990</x:t>
        </x:is>
      </x:c>
      <x:c r="E50" s="36" t="n">
        <x:f>SUM(G50:HS50)</x:f>
        <x:v>1</x:v>
      </x:c>
      <x:c r="F50" s="35" t="inlineStr">
        <x:is>
          <x:t xml:space="preserve"/>
        </x:is>
      </x:c>
      <x:c r="G50" s="122" t="n"/>
      <x:c r="H50" s="121" t="n"/>
      <x:c r="I50" s="121" t="n"/>
      <x:c r="J50" s="121" t="n"/>
      <x:c r="K50" s="121" t="n"/>
      <x:c r="L50" s="121" t="n"/>
      <x:c r="M50" s="121" t="n"/>
      <x:c r="N50" s="121" t="n"/>
      <x:c r="O50" s="121" t="n"/>
      <x:c r="P50" s="123" t="n"/>
      <x:c r="Q50" s="123" t="n"/>
      <x:c r="R50" s="121" t="n"/>
      <x:c r="S50" s="121" t="n"/>
      <x:c r="T50" s="121" t="n"/>
      <x:c r="U50" s="121" t="n"/>
      <x:c r="V50" s="121" t="n"/>
      <x:c r="W50" s="121" t="n"/>
      <x:c r="X50" s="121" t="n"/>
      <x:c r="Y50" s="121" t="n"/>
      <x:c r="Z50" s="121" t="n"/>
      <x:c r="AA50" s="122" t="n"/>
      <x:c r="AB50" s="121" t="n"/>
      <x:c r="AC50" s="123" t="n"/>
      <x:c r="AD50" s="123" t="n"/>
      <x:c r="AE50" s="123" t="n"/>
      <x:c r="AF50" s="123" t="n"/>
      <x:c r="AG50" s="123" t="n"/>
      <x:c r="AH50" s="123" t="n">
        <x:v>1</x:v>
      </x:c>
      <x:c r="AI50" s="123" t="n"/>
      <x:c r="AJ50" s="121" t="n"/>
      <x:c r="AK50" s="123" t="n"/>
      <x:c r="AL50" s="121" t="n"/>
      <x:c r="AM50" s="123" t="n"/>
      <x:c r="AN50" s="121" t="n"/>
      <x:c r="AO50" s="121" t="n"/>
      <x:c r="AP50" s="28" t="n"/>
      <x:c r="AQ50" s="28" t="n"/>
      <x:c r="AR50" s="28" t="n"/>
    </x:row>
    <x:row r="51" s="27" customFormat="1">
      <x:c r="A51" s="38" t="n"/>
      <x:c r="B51" s="37" t="n"/>
      <x:c r="C51" s="36" t="n">
        <x:f>E51*D$5</x:f>
        <x:v>40.30769230769231</x:v>
      </x:c>
      <x:c r="D51" s="4" t="inlineStr">
        <x:is>
          <x:t xml:space="preserve">Hayhurst Oil Properties, Inc.</x:t>
        </x:is>
      </x:c>
      <x:c r="E51" s="36" t="n">
        <x:f>SUM(G51:HS51)</x:f>
        <x:v>1.0076923076923077</x:v>
      </x:c>
      <x:c r="F51" s="35" t="inlineStr">
        <x:is>
          <x:t xml:space="preserve"/>
        </x:is>
      </x:c>
      <x:c r="G51" s="122" t="n"/>
      <x:c r="H51" s="121" t="n"/>
      <x:c r="I51" s="121" t="n"/>
      <x:c r="J51" s="121" t="n"/>
      <x:c r="K51" s="121" t="n"/>
      <x:c r="L51" s="121" t="n"/>
      <x:c r="M51" s="121" t="n"/>
      <x:c r="N51" s="121" t="n"/>
      <x:c r="O51" s="121" t="n"/>
      <x:c r="P51" s="123" t="n"/>
      <x:c r="Q51" s="123" t="n"/>
      <x:c r="R51" s="121" t="n"/>
      <x:c r="S51" s="121" t="n"/>
      <x:c r="T51" s="121" t="n"/>
      <x:c r="U51" s="121" t="n"/>
      <x:c r="V51" s="121" t="n"/>
      <x:c r="W51" s="121" t="n"/>
      <x:c r="X51" s="121" t="n"/>
      <x:c r="Y51" s="121" t="n"/>
      <x:c r="Z51" s="121" t="n"/>
      <x:c r="AA51" s="121" t="n"/>
      <x:c r="AB51" s="121" t="n"/>
      <x:c r="AC51" s="123" t="n"/>
      <x:c r="AD51" s="123" t="n"/>
      <x:c r="AE51" s="123" t="n"/>
      <x:c r="AF51" s="123" t="n"/>
      <x:c r="AG51" s="123" t="n"/>
      <x:c r="AH51" s="123" t="n"/>
      <x:c r="AI51" s="123" t="n">
        <x:v>0.0192307692307692</x:v>
      </x:c>
      <x:c r="AJ51" s="121" t="n">
        <x:v>1</x:v>
      </x:c>
      <x:c r="AK51" s="123" t="n"/>
      <x:c r="AL51" s="121" t="n"/>
      <x:c r="AM51" s="123" t="n">
        <x:v>-0.00384615384615385</x:v>
      </x:c>
      <x:c r="AN51" s="121" t="n"/>
      <x:c r="AO51" s="121" t="n"/>
      <x:c r="AP51" s="28" t="n">
        <x:v>-0.00769230769230769</x:v>
      </x:c>
      <x:c r="AQ51" s="28" t="n"/>
      <x:c r="AR51" s="28" t="n"/>
    </x:row>
    <x:row r="52" s="27" customFormat="1">
      <x:c r="A52" s="38" t="n"/>
      <x:c r="B52" s="37" t="n"/>
      <x:c r="C52" s="86" t="n">
        <x:f>E52*D$5</x:f>
        <x:v>-40</x:v>
      </x:c>
      <x:c r="D52" s="421" t="inlineStr">
        <x:is>
          <x:t xml:space="preserve">Termo Company</x:t>
        </x:is>
      </x:c>
      <x:c r="E52" s="413" t="n">
        <x:f>SUM(G52:HS52)</x:f>
        <x:v>-1</x:v>
      </x:c>
      <x:c r="F52" s="35" t="inlineStr">
        <x:is>
          <x:t xml:space="preserve"/>
        </x:is>
      </x:c>
      <x:c r="G52" s="122" t="n"/>
      <x:c r="H52" s="121" t="n"/>
      <x:c r="I52" s="121" t="n"/>
      <x:c r="J52" s="121" t="n"/>
      <x:c r="K52" s="121" t="n"/>
      <x:c r="L52" s="121" t="n"/>
      <x:c r="M52" s="121" t="n"/>
      <x:c r="N52" s="121" t="n"/>
      <x:c r="O52" s="121" t="n"/>
      <x:c r="P52" s="123" t="n"/>
      <x:c r="Q52" s="123" t="n"/>
      <x:c r="R52" s="121" t="n"/>
      <x:c r="S52" s="121" t="n"/>
      <x:c r="T52" s="121" t="n"/>
      <x:c r="U52" s="121" t="n"/>
      <x:c r="V52" s="121" t="n"/>
      <x:c r="W52" s="121" t="n"/>
      <x:c r="X52" s="121" t="n"/>
      <x:c r="Y52" s="121" t="n"/>
      <x:c r="Z52" s="121" t="n"/>
      <x:c r="AA52" s="121" t="n"/>
      <x:c r="AB52" s="121" t="n"/>
      <x:c r="AC52" s="123" t="n"/>
      <x:c r="AD52" s="123" t="n"/>
      <x:c r="AE52" s="123" t="n"/>
      <x:c r="AF52" s="123" t="n"/>
      <x:c r="AG52" s="123" t="n"/>
      <x:c r="AH52" s="123" t="n"/>
      <x:c r="AI52" s="123" t="n"/>
      <x:c r="AJ52" s="121" t="n">
        <x:v>-1</x:v>
      </x:c>
      <x:c r="AK52" s="123" t="n"/>
      <x:c r="AL52" s="121" t="n"/>
      <x:c r="AM52" s="123" t="n"/>
      <x:c r="AN52" s="121" t="n"/>
      <x:c r="AO52" s="121" t="n"/>
      <x:c r="AP52" s="28" t="n"/>
      <x:c r="AQ52" s="28" t="n"/>
      <x:c r="AR52" s="28" t="n"/>
    </x:row>
    <x:row r="53" s="27" customFormat="1" ht="24" customHeight="1">
      <x:c r="A53" s="38" t="n"/>
      <x:c r="B53" s="37" t="n"/>
      <x:c r="C53" s="86" t="n">
        <x:f>E53*D$5</x:f>
        <x:v>-40</x:v>
      </x:c>
      <x:c r="D53" s="421" t="inlineStr">
        <x:is>
          <x:t xml:space="preserve">Beckham County Court, RE: In the Matter of the Estate of Annie E. Mitchel, Deceased</x:t>
        </x:is>
      </x:c>
      <x:c r="E53" s="413" t="n">
        <x:f>SUM(G53:HS53)</x:f>
        <x:v>-1</x:v>
      </x:c>
      <x:c r="F53" s="35" t="inlineStr">
        <x:is>
          <x:t xml:space="preserve"/>
        </x:is>
      </x:c>
      <x:c r="G53" s="122" t="n"/>
      <x:c r="H53" s="121" t="n"/>
      <x:c r="I53" s="121" t="n"/>
      <x:c r="J53" s="121" t="n"/>
      <x:c r="K53" s="121" t="n"/>
      <x:c r="L53" s="121" t="n"/>
      <x:c r="M53" s="121" t="n"/>
      <x:c r="N53" s="121" t="n"/>
      <x:c r="O53" s="121" t="n"/>
      <x:c r="P53" s="123" t="n"/>
      <x:c r="Q53" s="123" t="n"/>
      <x:c r="R53" s="121" t="n"/>
      <x:c r="S53" s="121" t="n"/>
      <x:c r="T53" s="121" t="n"/>
      <x:c r="U53" s="121" t="n"/>
      <x:c r="V53" s="121" t="n"/>
      <x:c r="W53" s="121" t="n"/>
      <x:c r="X53" s="121" t="n"/>
      <x:c r="Y53" s="121" t="n"/>
      <x:c r="Z53" s="121" t="n"/>
      <x:c r="AA53" s="121" t="n"/>
      <x:c r="AB53" s="121" t="n"/>
      <x:c r="AC53" s="123" t="n"/>
      <x:c r="AD53" s="123" t="n"/>
      <x:c r="AE53" s="123" t="n"/>
      <x:c r="AF53" s="123" t="n"/>
      <x:c r="AG53" s="123" t="n"/>
      <x:c r="AH53" s="123" t="n"/>
      <x:c r="AI53" s="123" t="n"/>
      <x:c r="AJ53" s="121" t="n"/>
      <x:c r="AK53" s="123" t="n">
        <x:v>-1</x:v>
      </x:c>
      <x:c r="AL53" s="121" t="n"/>
      <x:c r="AM53" s="123" t="n"/>
      <x:c r="AN53" s="121" t="n"/>
      <x:c r="AO53" s="121" t="n"/>
      <x:c r="AP53" s="28" t="n"/>
      <x:c r="AQ53" s="28" t="n"/>
      <x:c r="AR53" s="28" t="n"/>
    </x:row>
    <x:row r="54" s="27" customFormat="1" ht="12.949999809265137" customHeight="1">
      <x:c r="A54" s="38" t="n"/>
      <x:c r="B54" s="37" t="n"/>
      <x:c r="C54" s="36" t="n">
        <x:f>E54*D$5</x:f>
        <x:v>-6.66666666666668</x:v>
      </x:c>
      <x:c r="D54" s="421" t="inlineStr">
        <x:is>
          <x:t xml:space="preserve">Louise Ormand</x:t>
        </x:is>
      </x:c>
      <x:c r="E54" s="411" t="n">
        <x:f>SUM(G54:HS54)</x:f>
        <x:v>-0.16666666666666702</x:v>
      </x:c>
      <x:c r="F54" s="35" t="inlineStr">
        <x:is>
          <x:t xml:space="preserve"/>
        </x:is>
      </x:c>
      <x:c r="G54" s="122" t="n"/>
      <x:c r="H54" s="121" t="n"/>
      <x:c r="I54" s="121" t="n"/>
      <x:c r="J54" s="121" t="n"/>
      <x:c r="K54" s="121" t="n"/>
      <x:c r="L54" s="121" t="n"/>
      <x:c r="M54" s="121" t="n"/>
      <x:c r="N54" s="121" t="n"/>
      <x:c r="O54" s="121" t="n"/>
      <x:c r="P54" s="123" t="n"/>
      <x:c r="Q54" s="123" t="n"/>
      <x:c r="R54" s="121" t="n"/>
      <x:c r="S54" s="121" t="n"/>
      <x:c r="T54" s="121" t="n"/>
      <x:c r="U54" s="121" t="n"/>
      <x:c r="V54" s="121" t="n"/>
      <x:c r="W54" s="121" t="n"/>
      <x:c r="X54" s="121" t="n"/>
      <x:c r="Y54" s="121" t="n"/>
      <x:c r="Z54" s="121" t="n"/>
      <x:c r="AA54" s="121" t="n"/>
      <x:c r="AB54" s="121" t="n"/>
      <x:c r="AC54" s="123" t="n"/>
      <x:c r="AD54" s="123" t="n"/>
      <x:c r="AE54" s="123" t="n"/>
      <x:c r="AF54" s="123" t="n"/>
      <x:c r="AG54" s="123" t="n"/>
      <x:c r="AH54" s="123" t="n"/>
      <x:c r="AI54" s="123" t="n"/>
      <x:c r="AJ54" s="121" t="n"/>
      <x:c r="AK54" s="123" t="n">
        <x:v>0.333333333333333</x:v>
      </x:c>
      <x:c r="AL54" s="121" t="n"/>
      <x:c r="AM54" s="123" t="n"/>
      <x:c r="AN54" s="121" t="n"/>
      <x:c r="AO54" s="121" t="n"/>
      <x:c r="AP54" s="28" t="n"/>
      <x:c r="AQ54" s="28" t="n"/>
      <x:c r="AR54" s="28" t="n"/>
      <x:c r="AT54" s="27" t="n">
        <x:v>-0.5</x:v>
      </x:c>
    </x:row>
    <x:row r="55" s="27" customFormat="1" ht="14.100000381469727" customHeight="1">
      <x:c r="A55" s="38" t="n"/>
      <x:c r="B55" s="37" t="n"/>
      <x:c r="C55" s="36" t="n">
        <x:f>E55*D$5</x:f>
        <x:v>13.33333333333332</x:v>
      </x:c>
      <x:c r="D55" s="4" t="inlineStr">
        <x:is>
          <x:t xml:space="preserve">Mattie Britton</x:t>
        </x:is>
      </x:c>
      <x:c r="E55" s="36" t="n">
        <x:f>SUM(G55:HS55)</x:f>
        <x:v>0.333333333333333</x:v>
      </x:c>
      <x:c r="F55" s="35" t="inlineStr">
        <x:is>
          <x:t xml:space="preserve"/>
        </x:is>
      </x:c>
      <x:c r="G55" s="122" t="n"/>
      <x:c r="H55" s="121" t="n"/>
      <x:c r="I55" s="121" t="n"/>
      <x:c r="J55" s="121" t="n"/>
      <x:c r="K55" s="121" t="n"/>
      <x:c r="L55" s="121" t="n"/>
      <x:c r="M55" s="121" t="n"/>
      <x:c r="N55" s="121" t="n"/>
      <x:c r="O55" s="121" t="n"/>
      <x:c r="P55" s="123" t="n"/>
      <x:c r="Q55" s="123" t="n"/>
      <x:c r="R55" s="121" t="n"/>
      <x:c r="S55" s="121" t="n"/>
      <x:c r="T55" s="121" t="n"/>
      <x:c r="U55" s="121" t="n"/>
      <x:c r="V55" s="121" t="n"/>
      <x:c r="W55" s="121" t="n"/>
      <x:c r="X55" s="121" t="n"/>
      <x:c r="Y55" s="121" t="n"/>
      <x:c r="Z55" s="121" t="n"/>
      <x:c r="AA55" s="121" t="n"/>
      <x:c r="AB55" s="121" t="n"/>
      <x:c r="AC55" s="123" t="n"/>
      <x:c r="AD55" s="123" t="n"/>
      <x:c r="AE55" s="123" t="n"/>
      <x:c r="AF55" s="123" t="n"/>
      <x:c r="AG55" s="123" t="n"/>
      <x:c r="AH55" s="123" t="n"/>
      <x:c r="AI55" s="123" t="n"/>
      <x:c r="AJ55" s="121" t="n"/>
      <x:c r="AK55" s="123" t="n">
        <x:v>0.333333333333333</x:v>
      </x:c>
      <x:c r="AL55" s="121" t="n"/>
      <x:c r="AM55" s="124" t="n"/>
      <x:c r="AN55" s="121" t="n"/>
      <x:c r="AO55" s="121" t="n"/>
      <x:c r="AP55" s="28" t="n"/>
      <x:c r="AQ55" s="28" t="n"/>
      <x:c r="AR55" s="28" t="n"/>
    </x:row>
    <x:row r="56" s="27" customFormat="1" ht="17.450000762939453" customHeight="1">
      <x:c r="A56" s="38" t="n"/>
      <x:c r="B56" s="37" t="n"/>
      <x:c r="C56" s="36" t="n">
        <x:f>E56*D$5</x:f>
        <x:v>-40</x:v>
      </x:c>
      <x:c r="D56" s="423" t="inlineStr">
        <x:is>
          <x:t xml:space="preserve">Mattie C. Britton</x:t>
        </x:is>
      </x:c>
      <x:c r="E56" s="411" t="n">
        <x:f>SUM(G56:HS56)</x:f>
        <x:v>-1</x:v>
      </x:c>
      <x:c r="F56" s="35" t="inlineStr">
        <x:is>
          <x:t xml:space="preserve"/>
        </x:is>
      </x:c>
      <x:c r="H56" s="28" t="n"/>
      <x:c r="I56" s="28" t="n"/>
      <x:c r="J56" s="28" t="n"/>
      <x:c r="K56" s="28" t="n"/>
      <x:c r="L56" s="28" t="n"/>
      <x:c r="M56" s="28" t="n"/>
      <x:c r="N56" s="28" t="n"/>
      <x:c r="O56" s="28" t="n"/>
      <x:c r="P56" s="100" t="n"/>
      <x:c r="Q56" s="100" t="n"/>
      <x:c r="R56" s="28" t="n"/>
      <x:c r="S56" s="28" t="n"/>
      <x:c r="T56" s="28" t="n"/>
      <x:c r="U56" s="28" t="n"/>
      <x:c r="V56" s="28" t="n"/>
      <x:c r="W56" s="28" t="n"/>
      <x:c r="X56" s="28" t="n"/>
      <x:c r="Y56" s="28" t="n"/>
      <x:c r="Z56" s="28" t="n"/>
      <x:c r="AA56" s="28" t="n"/>
      <x:c r="AB56" s="28" t="n"/>
      <x:c r="AC56" s="100" t="n"/>
      <x:c r="AD56" s="100" t="n"/>
      <x:c r="AE56" s="100" t="n"/>
      <x:c r="AF56" s="100" t="n"/>
      <x:c r="AG56" s="100" t="n"/>
      <x:c r="AH56" s="100" t="n"/>
      <x:c r="AI56" s="100" t="n"/>
      <x:c r="AJ56" s="28" t="n"/>
      <x:c r="AK56" s="100" t="n"/>
      <x:c r="AL56" s="28" t="n">
        <x:v>-1</x:v>
      </x:c>
      <x:c r="AM56" s="123" t="n"/>
      <x:c r="AN56" s="28" t="n"/>
      <x:c r="AO56" s="28" t="n"/>
      <x:c r="AP56" s="28" t="n"/>
      <x:c r="AQ56" s="28" t="n"/>
      <x:c r="AR56" s="28" t="n"/>
    </x:row>
    <x:row r="57" s="27" customFormat="1" ht="17.450000762939453" customHeight="1">
      <x:c r="A57" s="38" t="n"/>
      <x:c r="B57" s="37" t="n"/>
      <x:c r="C57" s="36" t="n">
        <x:f>E57*D$5</x:f>
        <x:v>40</x:v>
      </x:c>
      <x:c r="D57" s="89" t="inlineStr">
        <x:is>
          <x:t xml:space="preserve">Joe Britton and Anna R. Britton, HW, JTWROS</x:t>
        </x:is>
      </x:c>
      <x:c r="E57" s="36" t="n">
        <x:f>SUM(G57:HS57)</x:f>
        <x:v>1</x:v>
      </x:c>
      <x:c r="F57" s="35" t="inlineStr">
        <x:is>
          <x:t xml:space="preserve"/>
        </x:is>
      </x:c>
      <x:c r="H57" s="28" t="n"/>
      <x:c r="I57" s="28" t="n"/>
      <x:c r="J57" s="28" t="n"/>
      <x:c r="K57" s="28" t="n"/>
      <x:c r="L57" s="28" t="n"/>
      <x:c r="M57" s="28" t="n"/>
      <x:c r="N57" s="28" t="n"/>
      <x:c r="O57" s="28" t="n"/>
      <x:c r="P57" s="100" t="n"/>
      <x:c r="Q57" s="100" t="n"/>
      <x:c r="R57" s="28" t="n"/>
      <x:c r="S57" s="28" t="n"/>
      <x:c r="T57" s="28" t="n"/>
      <x:c r="U57" s="28" t="n"/>
      <x:c r="V57" s="28" t="n"/>
      <x:c r="W57" s="28" t="n"/>
      <x:c r="X57" s="28" t="n"/>
      <x:c r="Y57" s="28" t="n"/>
      <x:c r="Z57" s="28" t="n"/>
      <x:c r="AA57" s="28" t="n"/>
      <x:c r="AB57" s="28" t="n"/>
      <x:c r="AC57" s="100" t="n"/>
      <x:c r="AD57" s="100" t="n"/>
      <x:c r="AE57" s="100" t="n"/>
      <x:c r="AF57" s="100" t="n"/>
      <x:c r="AG57" s="100" t="n"/>
      <x:c r="AH57" s="100" t="n"/>
      <x:c r="AI57" s="100" t="n"/>
      <x:c r="AJ57" s="28" t="n"/>
      <x:c r="AK57" s="100" t="n"/>
      <x:c r="AL57" s="28" t="n">
        <x:v>1</x:v>
      </x:c>
      <x:c r="AM57" s="123" t="n"/>
      <x:c r="AN57" s="28" t="n"/>
      <x:c r="AO57" s="28" t="n"/>
      <x:c r="AP57" s="28" t="n"/>
      <x:c r="AQ57" s="28" t="n"/>
      <x:c r="AR57" s="28" t="n"/>
    </x:row>
    <x:row r="58" s="27" customFormat="1" ht="17.450000762939453" customHeight="1">
      <x:c r="A58" s="38" t="n"/>
      <x:c r="B58" s="37" t="n"/>
      <x:c r="C58" s="36" t="n">
        <x:f>E58*D$5</x:f>
        <x:v>0.153846153846154</x:v>
      </x:c>
      <x:c r="D58" s="87" t="inlineStr">
        <x:is>
          <x:t xml:space="preserve">Minion Investment Company</x:t>
        </x:is>
      </x:c>
      <x:c r="E58" s="36" t="n">
        <x:f>SUM(G58:HS58)</x:f>
        <x:v>0.00384615384615385</x:v>
      </x:c>
      <x:c r="F58" s="35" t="inlineStr">
        <x:is>
          <x:t xml:space="preserve"/>
        </x:is>
      </x:c>
      <x:c r="H58" s="28" t="n"/>
      <x:c r="I58" s="28" t="n"/>
      <x:c r="J58" s="28" t="n"/>
      <x:c r="K58" s="28" t="n"/>
      <x:c r="L58" s="28" t="n"/>
      <x:c r="M58" s="28" t="n"/>
      <x:c r="N58" s="28" t="n"/>
      <x:c r="O58" s="28" t="n"/>
      <x:c r="P58" s="100" t="n"/>
      <x:c r="Q58" s="100" t="n"/>
      <x:c r="R58" s="28" t="n"/>
      <x:c r="S58" s="28" t="n"/>
      <x:c r="T58" s="28" t="n"/>
      <x:c r="U58" s="28" t="n"/>
      <x:c r="V58" s="28" t="n"/>
      <x:c r="W58" s="28" t="n"/>
      <x:c r="X58" s="28" t="n"/>
      <x:c r="Y58" s="28" t="n"/>
      <x:c r="Z58" s="28" t="n"/>
      <x:c r="AA58" s="28" t="n"/>
      <x:c r="AB58" s="28" t="n"/>
      <x:c r="AC58" s="100" t="n"/>
      <x:c r="AD58" s="100" t="n"/>
      <x:c r="AE58" s="100" t="n"/>
      <x:c r="AF58" s="100" t="n"/>
      <x:c r="AG58" s="100" t="n"/>
      <x:c r="AH58" s="100" t="n"/>
      <x:c r="AI58" s="100" t="n"/>
      <x:c r="AJ58" s="28" t="n"/>
      <x:c r="AK58" s="100" t="n"/>
      <x:c r="AL58" s="28" t="n"/>
      <x:c r="AM58" s="123" t="n">
        <x:v>0.00384615384615385</x:v>
      </x:c>
      <x:c r="AN58" s="28" t="n"/>
      <x:c r="AO58" s="28" t="n"/>
      <x:c r="AP58" s="28" t="n"/>
      <x:c r="AQ58" s="28" t="n"/>
      <x:c r="AR58" s="28" t="n"/>
    </x:row>
    <x:row r="59" s="27" customFormat="1" ht="17.450000762939453" customHeight="1">
      <x:c r="A59" s="38" t="n"/>
      <x:c r="B59" s="37" t="n"/>
      <x:c r="C59" s="36" t="n">
        <x:f>E59*D$5</x:f>
        <x:v>10</x:v>
      </x:c>
      <x:c r="D59" s="87" t="inlineStr">
        <x:is>
          <x:t xml:space="preserve">Marvin Mitchell Williams</x:t>
        </x:is>
      </x:c>
      <x:c r="E59" s="36" t="n">
        <x:f>SUM(G59:HS59)</x:f>
        <x:v>0.25</x:v>
      </x:c>
      <x:c r="F59" s="35" t="inlineStr">
        <x:is>
          <x:t xml:space="preserve"/>
        </x:is>
      </x:c>
      <x:c r="H59" s="28" t="n"/>
      <x:c r="I59" s="28" t="n"/>
      <x:c r="J59" s="28" t="n"/>
      <x:c r="K59" s="28" t="n"/>
      <x:c r="L59" s="28" t="n"/>
      <x:c r="M59" s="28" t="n"/>
      <x:c r="N59" s="28" t="n"/>
      <x:c r="O59" s="28" t="n"/>
      <x:c r="P59" s="100" t="n"/>
      <x:c r="Q59" s="100" t="n"/>
      <x:c r="R59" s="28" t="n"/>
      <x:c r="S59" s="28" t="n"/>
      <x:c r="T59" s="28" t="n"/>
      <x:c r="U59" s="28" t="n"/>
      <x:c r="V59" s="28" t="n"/>
      <x:c r="W59" s="28" t="n"/>
      <x:c r="X59" s="28" t="n"/>
      <x:c r="Y59" s="28" t="n"/>
      <x:c r="Z59" s="28" t="n"/>
      <x:c r="AA59" s="28" t="n"/>
      <x:c r="AB59" s="28" t="n"/>
      <x:c r="AC59" s="100" t="n"/>
      <x:c r="AD59" s="100" t="n"/>
      <x:c r="AE59" s="100" t="n"/>
      <x:c r="AF59" s="100" t="n"/>
      <x:c r="AG59" s="100" t="n"/>
      <x:c r="AH59" s="100" t="n"/>
      <x:c r="AI59" s="100" t="n"/>
      <x:c r="AJ59" s="28" t="n"/>
      <x:c r="AK59" s="100" t="n"/>
      <x:c r="AL59" s="28" t="n"/>
      <x:c r="AM59" s="123" t="n"/>
      <x:c r="AN59" s="28" t="n"/>
      <x:c r="AO59" s="28" t="n"/>
      <x:c r="AP59" s="28" t="n"/>
      <x:c r="AQ59" s="28" t="n"/>
      <x:c r="AR59" s="28" t="n"/>
      <x:c r="BQ59" s="27" t="n">
        <x:v>0.25</x:v>
      </x:c>
    </x:row>
    <x:row r="60" s="27" customFormat="1" ht="16.5" customHeight="1">
      <x:c r="A60" s="38" t="n"/>
      <x:c r="B60" s="37" t="n"/>
      <x:c r="C60" s="36" t="n">
        <x:f>E60*D$5</x:f>
        <x:v>0</x:v>
      </x:c>
      <x:c r="D60" s="87" t="inlineStr">
        <x:is>
          <x:t xml:space="preserve">Nancy Mitchell Williams</x:t>
        </x:is>
      </x:c>
      <x:c r="E60" s="36" t="n">
        <x:f>SUM(G60:HS60)</x:f>
        <x:v>0</x:v>
      </x:c>
      <x:c r="F60" s="35" t="inlineStr">
        <x:is>
          <x:t xml:space="preserve"/>
        </x:is>
      </x:c>
      <x:c r="H60" s="28" t="n"/>
      <x:c r="I60" s="28" t="n"/>
      <x:c r="J60" s="28" t="n"/>
      <x:c r="K60" s="28" t="n"/>
      <x:c r="L60" s="28" t="n"/>
      <x:c r="M60" s="28" t="n"/>
      <x:c r="N60" s="28" t="n"/>
      <x:c r="O60" s="28" t="n"/>
      <x:c r="P60" s="100" t="n"/>
      <x:c r="Q60" s="100" t="n"/>
      <x:c r="R60" s="28" t="n"/>
      <x:c r="S60" s="28" t="n"/>
      <x:c r="T60" s="28" t="n"/>
      <x:c r="U60" s="28" t="n"/>
      <x:c r="V60" s="28" t="n"/>
      <x:c r="W60" s="28" t="n"/>
      <x:c r="X60" s="28" t="n"/>
      <x:c r="Y60" s="28" t="n"/>
      <x:c r="Z60" s="28" t="n"/>
      <x:c r="AA60" s="28" t="n"/>
      <x:c r="AB60" s="28" t="n"/>
      <x:c r="AC60" s="100" t="n"/>
      <x:c r="AD60" s="100" t="n"/>
      <x:c r="AE60" s="100" t="n"/>
      <x:c r="AF60" s="100" t="n"/>
      <x:c r="AG60" s="100" t="n"/>
      <x:c r="AH60" s="100" t="n"/>
      <x:c r="AI60" s="100" t="n"/>
      <x:c r="AJ60" s="28" t="n"/>
      <x:c r="AK60" s="100" t="n"/>
      <x:c r="AL60" s="28" t="n"/>
      <x:c r="AM60" s="123" t="n"/>
      <x:c r="AN60" s="28" t="n"/>
      <x:c r="AO60" s="28" t="n"/>
      <x:c r="AP60" s="28" t="n"/>
      <x:c r="AQ60" s="28" t="n"/>
      <x:c r="AR60" s="28" t="n"/>
    </x:row>
    <x:row r="61" s="27" customFormat="1">
      <x:c r="A61" s="38" t="n"/>
      <x:c r="B61" s="37" t="n"/>
      <x:c r="C61" s="36" t="n">
        <x:f>E61*D$5</x:f>
        <x:v>0</x:v>
      </x:c>
      <x:c r="D61" s="4" t="inlineStr">
        <x:is>
          <x:t xml:space="preserve">Confirm — Missing conveyed interest 1992-003373</x:t>
        </x:is>
      </x:c>
      <x:c r="E61" s="36" t="n">
        <x:f>SUM(G61:HS61)</x:f>
        <x:v>0</x:v>
      </x:c>
      <x:c r="F61" s="35" t="inlineStr">
        <x:is>
          <x:t xml:space="preserve"/>
        </x:is>
      </x:c>
      <x:c r="H61" s="28" t="n"/>
      <x:c r="I61" s="28" t="n"/>
      <x:c r="J61" s="28" t="n"/>
      <x:c r="K61" s="28" t="n"/>
      <x:c r="L61" s="28" t="n"/>
      <x:c r="M61" s="28" t="n"/>
      <x:c r="N61" s="28" t="n"/>
      <x:c r="O61" s="28" t="n"/>
      <x:c r="P61" s="100" t="n"/>
      <x:c r="Q61" s="100" t="n"/>
      <x:c r="R61" s="28" t="n"/>
      <x:c r="S61" s="28" t="n"/>
      <x:c r="T61" s="28" t="n"/>
      <x:c r="U61" s="28" t="n"/>
      <x:c r="V61" s="28" t="n"/>
      <x:c r="W61" s="28" t="n"/>
      <x:c r="X61" s="28" t="n"/>
      <x:c r="Y61" s="28" t="n"/>
      <x:c r="Z61" s="28" t="n"/>
      <x:c r="AA61" s="28" t="n"/>
      <x:c r="AB61" s="28" t="n"/>
      <x:c r="AC61" s="100" t="n"/>
      <x:c r="AD61" s="100" t="n"/>
      <x:c r="AE61" s="100" t="n"/>
      <x:c r="AF61" s="100" t="n"/>
      <x:c r="AG61" s="100" t="n"/>
      <x:c r="AH61" s="100" t="n"/>
      <x:c r="AI61" s="100" t="n"/>
      <x:c r="AJ61" s="28" t="n"/>
      <x:c r="AK61" s="100" t="n"/>
      <x:c r="AL61" s="28" t="n"/>
      <x:c r="AM61" s="123" t="n"/>
      <x:c r="AN61" s="28" t="n"/>
      <x:c r="AO61" s="28" t="n"/>
      <x:c r="AP61" s="28" t="n"/>
      <x:c r="AQ61" s="28" t="n"/>
      <x:c r="AR61" s="28" t="n"/>
    </x:row>
    <x:row r="62" s="27" customFormat="1" ht="24" customHeight="1">
      <x:c r="A62" s="38" t="n"/>
      <x:c r="B62" s="37" t="n"/>
      <x:c r="C62" s="86" t="n">
        <x:f>E62*D$5</x:f>
        <x:v>0</x:v>
      </x:c>
      <x:c r="D62" s="523" t="inlineStr">
        <x:is>
          <x:t xml:space="preserve">Roger Mills County Court RE: In the Matter of the Estate of John Klopfenstein, Deceased</x:t>
        </x:is>
      </x:c>
      <x:c r="E62" s="86" t="n">
        <x:f>SUM(G62:HS62)</x:f>
        <x:v>0</x:v>
      </x:c>
      <x:c r="F62" s="35" t="inlineStr">
        <x:is>
          <x:t xml:space="preserve"/>
        </x:is>
      </x:c>
      <x:c r="H62" s="28" t="n"/>
      <x:c r="I62" s="28" t="n"/>
      <x:c r="J62" s="28" t="n"/>
      <x:c r="K62" s="28" t="n"/>
      <x:c r="L62" s="28" t="n"/>
      <x:c r="M62" s="28" t="n"/>
      <x:c r="N62" s="28" t="n"/>
      <x:c r="O62" s="28" t="n"/>
      <x:c r="P62" s="100" t="n"/>
      <x:c r="Q62" s="100" t="n"/>
      <x:c r="R62" s="28" t="n"/>
      <x:c r="S62" s="28" t="n"/>
      <x:c r="T62" s="28" t="n"/>
      <x:c r="U62" s="28" t="n"/>
      <x:c r="V62" s="28" t="n"/>
      <x:c r="W62" s="28" t="n"/>
      <x:c r="X62" s="28" t="n"/>
      <x:c r="Y62" s="28" t="n"/>
      <x:c r="Z62" s="28" t="n"/>
      <x:c r="AA62" s="28" t="n"/>
      <x:c r="AB62" s="28" t="n"/>
      <x:c r="AC62" s="100" t="n"/>
      <x:c r="AD62" s="100" t="n"/>
      <x:c r="AE62" s="100" t="n"/>
      <x:c r="AF62" s="100" t="n"/>
      <x:c r="AG62" s="100" t="n"/>
      <x:c r="AH62" s="100" t="n"/>
      <x:c r="AI62" s="100" t="n"/>
      <x:c r="AJ62" s="28" t="n"/>
      <x:c r="AK62" s="100" t="n"/>
      <x:c r="AL62" s="28" t="n"/>
      <x:c r="AM62" s="123" t="n"/>
      <x:c r="AN62" s="28" t="n"/>
      <x:c r="AO62" s="28" t="n"/>
      <x:c r="AP62" s="28" t="n"/>
      <x:c r="AQ62" s="28" t="n"/>
      <x:c r="AR62" s="28" t="n"/>
    </x:row>
    <x:row r="63" s="27" customFormat="1">
      <x:c r="A63" s="38" t="n"/>
      <x:c r="B63" s="37" t="n"/>
      <x:c r="C63" s="86" t="n">
        <x:f>E63*D$5</x:f>
        <x:v>0</x:v>
      </x:c>
      <x:c r="D63" s="523" t="inlineStr">
        <x:is>
          <x:t xml:space="preserve">Margaret Kirk</x:t>
        </x:is>
      </x:c>
      <x:c r="E63" s="86" t="n">
        <x:f>SUM(G63:HS63)</x:f>
        <x:v>0</x:v>
      </x:c>
      <x:c r="F63" s="35" t="inlineStr">
        <x:is>
          <x:t xml:space="preserve"/>
        </x:is>
      </x:c>
      <x:c r="H63" s="28" t="n"/>
      <x:c r="I63" s="28" t="n"/>
      <x:c r="J63" s="28" t="n"/>
      <x:c r="K63" s="28" t="n"/>
      <x:c r="L63" s="28" t="n"/>
      <x:c r="M63" s="28" t="n"/>
      <x:c r="N63" s="28" t="n"/>
      <x:c r="O63" s="28" t="n"/>
      <x:c r="P63" s="100" t="n"/>
      <x:c r="Q63" s="100" t="n"/>
      <x:c r="R63" s="28" t="n"/>
      <x:c r="S63" s="28" t="n"/>
      <x:c r="T63" s="28" t="n"/>
      <x:c r="U63" s="28" t="n"/>
      <x:c r="V63" s="28" t="n"/>
      <x:c r="W63" s="28" t="n"/>
      <x:c r="X63" s="28" t="n"/>
      <x:c r="Y63" s="28" t="n"/>
      <x:c r="Z63" s="28" t="n"/>
      <x:c r="AA63" s="28" t="n"/>
      <x:c r="AB63" s="28" t="n"/>
      <x:c r="AC63" s="100" t="n"/>
      <x:c r="AD63" s="100" t="n"/>
      <x:c r="AE63" s="100" t="n"/>
      <x:c r="AF63" s="100" t="n"/>
      <x:c r="AG63" s="100" t="n"/>
      <x:c r="AH63" s="100" t="n"/>
      <x:c r="AI63" s="100" t="n"/>
      <x:c r="AJ63" s="28" t="n"/>
      <x:c r="AK63" s="100" t="n"/>
      <x:c r="AL63" s="28" t="n"/>
      <x:c r="AM63" s="123" t="n"/>
      <x:c r="AN63" s="28" t="n"/>
      <x:c r="AO63" s="28" t="n"/>
      <x:c r="AP63" s="28" t="n"/>
      <x:c r="AQ63" s="28" t="n"/>
      <x:c r="AR63" s="28" t="n"/>
    </x:row>
    <x:row r="64" s="27" customFormat="1">
      <x:c r="A64" s="38" t="n"/>
      <x:c r="B64" s="37" t="n"/>
      <x:c r="C64" s="36" t="n">
        <x:f>E64*D$5</x:f>
        <x:v>0</x:v>
      </x:c>
      <x:c r="D64" s="4" t="inlineStr">
        <x:is>
          <x:t xml:space="preserve">Linda Mize</x:t>
        </x:is>
      </x:c>
      <x:c r="E64" s="36" t="n">
        <x:f>SUM(G64:HS64)</x:f>
        <x:v>0</x:v>
      </x:c>
      <x:c r="F64" s="35" t="inlineStr">
        <x:is>
          <x:t xml:space="preserve"/>
        </x:is>
      </x:c>
      <x:c r="H64" s="28" t="n"/>
      <x:c r="J64" s="28" t="n"/>
      <x:c r="K64" s="28" t="n"/>
      <x:c r="L64" s="28" t="n"/>
      <x:c r="M64" s="28" t="n"/>
      <x:c r="N64" s="28" t="n"/>
      <x:c r="O64" s="28" t="n"/>
      <x:c r="P64" s="100" t="n"/>
      <x:c r="Q64" s="100" t="n"/>
      <x:c r="R64" s="28" t="n"/>
      <x:c r="S64" s="28" t="n"/>
      <x:c r="T64" s="28" t="n"/>
      <x:c r="U64" s="28" t="n"/>
      <x:c r="V64" s="28" t="n"/>
      <x:c r="W64" s="28" t="n"/>
      <x:c r="X64" s="28" t="n"/>
      <x:c r="Y64" s="28" t="n"/>
      <x:c r="Z64" s="28" t="n"/>
      <x:c r="AA64" s="28" t="n"/>
      <x:c r="AB64" s="28" t="n"/>
      <x:c r="AC64" s="100" t="n"/>
      <x:c r="AD64" s="100" t="n"/>
      <x:c r="AE64" s="100" t="n"/>
      <x:c r="AF64" s="100" t="n"/>
      <x:c r="AG64" s="100" t="n"/>
      <x:c r="AH64" s="100" t="n"/>
      <x:c r="AI64" s="100" t="n"/>
      <x:c r="AJ64" s="28" t="n"/>
      <x:c r="AK64" s="100" t="n"/>
      <x:c r="AL64" s="28" t="n"/>
      <x:c r="AM64" s="123" t="n"/>
      <x:c r="AN64" s="28" t="n"/>
      <x:c r="AO64" s="28" t="n"/>
      <x:c r="AP64" s="28" t="n"/>
      <x:c r="AQ64" s="28" t="n"/>
      <x:c r="AR64" s="28" t="n"/>
    </x:row>
    <x:row r="65" s="27" customFormat="1">
      <x:c r="A65" s="38" t="n"/>
      <x:c r="B65" s="37" t="n"/>
      <x:c r="C65" s="86" t="n">
        <x:f>E65*D$5</x:f>
        <x:v>0</x:v>
      </x:c>
      <x:c r="D65" s="523" t="inlineStr">
        <x:is>
          <x:t xml:space="preserve">Eleanore Wheeler</x:t>
        </x:is>
      </x:c>
      <x:c r="E65" s="86" t="n">
        <x:f>SUM(G65:HS65)</x:f>
        <x:v>0</x:v>
      </x:c>
      <x:c r="F65" s="35" t="inlineStr">
        <x:is>
          <x:t xml:space="preserve"/>
        </x:is>
      </x:c>
      <x:c r="H65" s="28" t="n"/>
      <x:c r="K65" s="28" t="n"/>
      <x:c r="L65" s="28" t="n"/>
      <x:c r="M65" s="28" t="n"/>
      <x:c r="N65" s="28" t="n"/>
      <x:c r="O65" s="28" t="n"/>
      <x:c r="P65" s="100" t="n"/>
      <x:c r="Q65" s="100" t="n"/>
      <x:c r="R65" s="28" t="n"/>
      <x:c r="S65" s="28" t="n"/>
      <x:c r="T65" s="28" t="n"/>
      <x:c r="U65" s="28" t="n"/>
      <x:c r="V65" s="28" t="n"/>
      <x:c r="W65" s="28" t="n"/>
      <x:c r="X65" s="28" t="n"/>
      <x:c r="Y65" s="28" t="n"/>
      <x:c r="Z65" s="28" t="n"/>
      <x:c r="AA65" s="28" t="n"/>
      <x:c r="AB65" s="28" t="n"/>
      <x:c r="AC65" s="100" t="n"/>
      <x:c r="AD65" s="100" t="n"/>
      <x:c r="AE65" s="100" t="n"/>
      <x:c r="AF65" s="100" t="n"/>
      <x:c r="AG65" s="100" t="n"/>
      <x:c r="AH65" s="100" t="n"/>
      <x:c r="AI65" s="100" t="n"/>
      <x:c r="AJ65" s="28" t="n"/>
      <x:c r="AK65" s="100" t="n"/>
      <x:c r="AL65" s="28" t="n"/>
      <x:c r="AM65" s="123" t="n"/>
      <x:c r="AN65" s="28" t="n"/>
      <x:c r="AO65" s="28" t="n"/>
      <x:c r="AP65" s="28" t="n"/>
      <x:c r="AQ65" s="28" t="n"/>
      <x:c r="AR65" s="28" t="n"/>
    </x:row>
    <x:row r="66" s="27" customFormat="1">
      <x:c r="A66" s="38" t="n"/>
      <x:c r="B66" s="37" t="n"/>
      <x:c r="C66" s="86" t="n">
        <x:f>E66*D$5</x:f>
        <x:v>0</x:v>
      </x:c>
      <x:c r="D66" s="523" t="inlineStr">
        <x:is>
          <x:t xml:space="preserve">Roger Klopfenstein</x:t>
        </x:is>
      </x:c>
      <x:c r="E66" s="86" t="n">
        <x:f>SUM(G66:HS66)</x:f>
        <x:v>0</x:v>
      </x:c>
      <x:c r="F66" s="35" t="inlineStr">
        <x:is>
          <x:t xml:space="preserve"/>
        </x:is>
      </x:c>
      <x:c r="H66" s="28" t="n"/>
      <x:c r="K66" s="28" t="n"/>
      <x:c r="L66" s="28" t="n"/>
      <x:c r="M66" s="28" t="n"/>
      <x:c r="N66" s="28" t="n"/>
      <x:c r="O66" s="28" t="n"/>
      <x:c r="P66" s="100" t="n"/>
      <x:c r="Q66" s="100" t="n"/>
      <x:c r="R66" s="28" t="n"/>
      <x:c r="S66" s="28" t="n"/>
      <x:c r="T66" s="28" t="n"/>
      <x:c r="U66" s="28" t="n"/>
      <x:c r="V66" s="28" t="n"/>
      <x:c r="W66" s="28" t="n"/>
      <x:c r="X66" s="28" t="n"/>
      <x:c r="Y66" s="28" t="n"/>
      <x:c r="Z66" s="28" t="n"/>
      <x:c r="AA66" s="28" t="n"/>
      <x:c r="AB66" s="28" t="n"/>
      <x:c r="AC66" s="100" t="n"/>
      <x:c r="AD66" s="100" t="n"/>
      <x:c r="AE66" s="100" t="n"/>
      <x:c r="AF66" s="101" t="n"/>
      <x:c r="AG66" s="101" t="n"/>
      <x:c r="AH66" s="100" t="n"/>
      <x:c r="AI66" s="100" t="n"/>
      <x:c r="AJ66" s="28" t="n"/>
      <x:c r="AK66" s="100" t="n"/>
      <x:c r="AL66" s="28" t="n"/>
      <x:c r="AM66" s="123" t="n"/>
      <x:c r="AN66" s="28" t="n"/>
      <x:c r="AO66" s="28" t="n"/>
      <x:c r="AP66" s="28" t="n"/>
      <x:c r="AQ66" s="28" t="n"/>
      <x:c r="AR66" s="28" t="n"/>
    </x:row>
    <x:row r="67" s="27" customFormat="1">
      <x:c r="A67" s="38" t="n"/>
      <x:c r="B67" s="37" t="n"/>
      <x:c r="C67" s="36" t="n">
        <x:f>E67*D$5</x:f>
        <x:v>0</x:v>
      </x:c>
      <x:c r="D67" s="4" t="inlineStr">
        <x:is>
          <x:t xml:space="preserve">Confirm — Missing conveyed interest 1993-000918</x:t>
        </x:is>
      </x:c>
      <x:c r="E67" s="36" t="n">
        <x:f>SUM(G67:HS67)</x:f>
        <x:v>0</x:v>
      </x:c>
      <x:c r="F67" s="35" t="inlineStr">
        <x:is>
          <x:t xml:space="preserve"/>
        </x:is>
      </x:c>
      <x:c r="H67" s="28" t="n"/>
      <x:c r="I67" s="28" t="n"/>
      <x:c r="J67" s="28" t="n"/>
      <x:c r="K67" s="28" t="n"/>
      <x:c r="L67" s="28" t="n"/>
      <x:c r="M67" s="28" t="n"/>
      <x:c r="N67" s="28" t="n"/>
      <x:c r="O67" s="28" t="n"/>
      <x:c r="P67" s="100" t="n"/>
      <x:c r="Q67" s="100" t="n"/>
      <x:c r="R67" s="28" t="n"/>
      <x:c r="S67" s="28" t="n"/>
      <x:c r="T67" s="28" t="n"/>
      <x:c r="U67" s="28" t="n"/>
      <x:c r="V67" s="28" t="n"/>
      <x:c r="W67" s="28" t="n"/>
      <x:c r="X67" s="28" t="n"/>
      <x:c r="Y67" s="28" t="n"/>
      <x:c r="Z67" s="28" t="n"/>
      <x:c r="AA67" s="28" t="n"/>
      <x:c r="AB67" s="28" t="n"/>
      <x:c r="AC67" s="100" t="n"/>
      <x:c r="AD67" s="100" t="n"/>
      <x:c r="AE67" s="100" t="n"/>
      <x:c r="AF67" s="101" t="n"/>
      <x:c r="AG67" s="100" t="n"/>
      <x:c r="AH67" s="100" t="n"/>
      <x:c r="AI67" s="101" t="n"/>
      <x:c r="AJ67" s="28" t="n"/>
      <x:c r="AK67" s="100" t="n"/>
      <x:c r="AL67" s="28" t="n"/>
      <x:c r="AM67" s="123" t="n"/>
      <x:c r="AN67" s="28" t="n"/>
      <x:c r="AO67" s="28" t="n"/>
      <x:c r="AP67" s="28" t="n"/>
      <x:c r="AQ67" s="28" t="n"/>
      <x:c r="AR67" s="28" t="n"/>
    </x:row>
    <x:row r="68" s="27" customFormat="1">
      <x:c r="A68" s="38" t="n"/>
      <x:c r="B68" s="37" t="n"/>
      <x:c r="C68" s="36" t="n">
        <x:f>E68*D$5</x:f>
        <x:v>0.1538461538461538</x:v>
      </x:c>
      <x:c r="D68" s="4" t="inlineStr">
        <x:is>
          <x:t xml:space="preserve">Nam Corporation</x:t>
        </x:is>
      </x:c>
      <x:c r="E68" s="36" t="n">
        <x:f>SUM(G68:HS68)</x:f>
        <x:v>0.003846153846153845</x:v>
      </x:c>
      <x:c r="F68" s="35" t="inlineStr">
        <x:is>
          <x:t xml:space="preserve"/>
        </x:is>
      </x:c>
      <x:c r="H68" s="28" t="n"/>
      <x:c r="I68" s="28" t="n"/>
      <x:c r="J68" s="28" t="n"/>
      <x:c r="K68" s="28" t="n"/>
      <x:c r="L68" s="28" t="n"/>
      <x:c r="M68" s="28" t="n"/>
      <x:c r="N68" s="28" t="n"/>
      <x:c r="O68" s="28" t="n"/>
      <x:c r="P68" s="100" t="n"/>
      <x:c r="Q68" s="100" t="n"/>
      <x:c r="R68" s="28" t="n"/>
      <x:c r="S68" s="28" t="n"/>
      <x:c r="T68" s="28" t="n"/>
      <x:c r="U68" s="28" t="n"/>
      <x:c r="V68" s="28" t="n"/>
      <x:c r="W68" s="28" t="n"/>
      <x:c r="X68" s="28" t="n"/>
      <x:c r="Y68" s="28" t="n"/>
      <x:c r="Z68" s="28" t="n"/>
      <x:c r="AA68" s="28" t="n"/>
      <x:c r="AB68" s="28" t="n"/>
      <x:c r="AC68" s="100" t="n"/>
      <x:c r="AD68" s="100" t="n"/>
      <x:c r="AE68" s="100" t="n"/>
      <x:c r="AF68" s="100" t="n"/>
      <x:c r="AG68" s="101" t="n"/>
      <x:c r="AH68" s="101" t="n"/>
      <x:c r="AI68" s="100" t="n"/>
      <x:c r="AJ68" s="28" t="n"/>
      <x:c r="AK68" s="100" t="n"/>
      <x:c r="AL68" s="28" t="n"/>
      <x:c r="AM68" s="124" t="n"/>
      <x:c r="AN68" s="28" t="n"/>
      <x:c r="AO68" s="28" t="n"/>
      <x:c r="AP68" s="28" t="n">
        <x:v>0.003846153846153845</x:v>
      </x:c>
      <x:c r="AQ68" s="28" t="n"/>
      <x:c r="AR68" s="28" t="n"/>
    </x:row>
    <x:row r="69" s="27" customFormat="1">
      <x:c r="A69" s="38" t="n"/>
      <x:c r="B69" s="37" t="n"/>
      <x:c r="C69" s="36" t="n">
        <x:f>E69*D$5</x:f>
        <x:v>-79.84615384615384</x:v>
      </x:c>
      <x:c r="D69" s="421" t="inlineStr">
        <x:is>
          <x:t xml:space="preserve">Tripco, Inc.</x:t>
        </x:is>
      </x:c>
      <x:c r="E69" s="411" t="n">
        <x:f>SUM(G69:HS69)</x:f>
        <x:v>-1.9961538461538462</x:v>
      </x:c>
      <x:c r="F69" s="35" t="inlineStr">
        <x:is>
          <x:t xml:space="preserve"/>
        </x:is>
      </x:c>
      <x:c r="H69" s="28" t="n"/>
      <x:c r="I69" s="28" t="n"/>
      <x:c r="J69" s="28" t="n"/>
      <x:c r="K69" s="28" t="n"/>
      <x:c r="L69" s="28" t="n"/>
      <x:c r="M69" s="28" t="n"/>
      <x:c r="N69" s="28" t="n"/>
      <x:c r="O69" s="28" t="n"/>
      <x:c r="P69" s="100" t="n"/>
      <x:c r="Q69" s="100" t="n"/>
      <x:c r="R69" s="28" t="n"/>
      <x:c r="S69" s="28" t="n"/>
      <x:c r="T69" s="28" t="n"/>
      <x:c r="U69" s="28" t="n"/>
      <x:c r="V69" s="28" t="n"/>
      <x:c r="W69" s="28" t="n"/>
      <x:c r="X69" s="28" t="n"/>
      <x:c r="Y69" s="28" t="n"/>
      <x:c r="Z69" s="28" t="n"/>
      <x:c r="AA69" s="28" t="n"/>
      <x:c r="AB69" s="28" t="n"/>
      <x:c r="AC69" s="100" t="n"/>
      <x:c r="AD69" s="100" t="n"/>
      <x:c r="AE69" s="100" t="n"/>
      <x:c r="AF69" s="100" t="n"/>
      <x:c r="AG69" s="100" t="n"/>
      <x:c r="AH69" s="100" t="n"/>
      <x:c r="AI69" s="101" t="n"/>
      <x:c r="AJ69" s="28" t="n"/>
      <x:c r="AK69" s="100" t="n"/>
      <x:c r="AL69" s="28" t="n"/>
      <x:c r="AM69" s="123" t="n"/>
      <x:c r="AN69" s="28" t="n"/>
      <x:c r="AO69" s="28" t="n"/>
      <x:c r="AP69" s="28" t="n">
        <x:v>0.003846153846153845</x:v>
      </x:c>
      <x:c r="AQ69" s="28" t="n">
        <x:v>-1</x:v>
      </x:c>
      <x:c r="AR69" s="28" t="n"/>
      <x:c r="BB69" s="27" t="n">
        <x:v>-1</x:v>
      </x:c>
    </x:row>
    <x:row r="70" s="27" customFormat="1">
      <x:c r="A70" s="38" t="n"/>
      <x:c r="B70" s="37" t="n"/>
      <x:c r="C70" s="36" t="n">
        <x:f>E70*D$5</x:f>
        <x:v>13.33333333333332</x:v>
      </x:c>
      <x:c r="D70" s="89" t="inlineStr">
        <x:is>
          <x:t xml:space="preserve">Prudential Securities</x:t>
        </x:is>
      </x:c>
      <x:c r="E70" s="36" t="n">
        <x:f>SUM(G70:HS70)</x:f>
        <x:v>0.333333333333333</x:v>
      </x:c>
      <x:c r="F70" s="35" t="inlineStr">
        <x:is>
          <x:t xml:space="preserve"/>
        </x:is>
      </x:c>
      <x:c r="H70" s="28" t="n"/>
      <x:c r="I70" s="28" t="n"/>
      <x:c r="J70" s="28" t="n"/>
      <x:c r="K70" s="28" t="n"/>
      <x:c r="L70" s="28" t="n"/>
      <x:c r="M70" s="28" t="n"/>
      <x:c r="N70" s="28" t="n"/>
      <x:c r="O70" s="28" t="n"/>
      <x:c r="P70" s="100" t="n"/>
      <x:c r="Q70" s="100" t="n"/>
      <x:c r="R70" s="28" t="n"/>
      <x:c r="S70" s="28" t="n"/>
      <x:c r="T70" s="28" t="n"/>
      <x:c r="U70" s="28" t="n"/>
      <x:c r="V70" s="28" t="n"/>
      <x:c r="W70" s="28" t="n"/>
      <x:c r="X70" s="28" t="n"/>
      <x:c r="Y70" s="28" t="n"/>
      <x:c r="Z70" s="28" t="n"/>
      <x:c r="AA70" s="28" t="n"/>
      <x:c r="AB70" s="28" t="n"/>
      <x:c r="AC70" s="100" t="n"/>
      <x:c r="AD70" s="100" t="n"/>
      <x:c r="AE70" s="100" t="n"/>
      <x:c r="AF70" s="100" t="n"/>
      <x:c r="AG70" s="100" t="n"/>
      <x:c r="AH70" s="100" t="n"/>
      <x:c r="AI70" s="101" t="n"/>
      <x:c r="AJ70" s="28" t="n"/>
      <x:c r="AK70" s="100" t="n"/>
      <x:c r="AL70" s="28" t="n"/>
      <x:c r="AM70" s="123" t="n"/>
      <x:c r="AN70" s="28" t="n"/>
      <x:c r="AO70" s="28" t="n"/>
      <x:c r="AP70" s="28" t="n"/>
      <x:c r="AQ70" s="28" t="n">
        <x:v>0.333333333333333</x:v>
      </x:c>
      <x:c r="AR70" s="28" t="n"/>
    </x:row>
    <x:row r="71" s="27" customFormat="1">
      <x:c r="A71" s="38" t="n"/>
      <x:c r="B71" s="37" t="n"/>
      <x:c r="C71" s="36" t="n">
        <x:f>E71*D$5</x:f>
        <x:v>13.33333333333332</x:v>
      </x:c>
      <x:c r="D71" s="66" t="inlineStr">
        <x:is>
          <x:t xml:space="preserve">C/F Cynthia L. Pipkin I.R.A. Rollover Dated January 23</x:t>
        </x:is>
      </x:c>
      <x:c r="E71" s="36" t="n">
        <x:f>SUM(G71:HS71)</x:f>
        <x:v>0.333333333333333</x:v>
      </x:c>
      <x:c r="F71" s="35" t="inlineStr">
        <x:is>
          <x:t xml:space="preserve"/>
        </x:is>
      </x:c>
      <x:c r="H71" s="28" t="n"/>
      <x:c r="I71" s="28" t="n"/>
      <x:c r="J71" s="28" t="n"/>
      <x:c r="K71" s="28" t="n"/>
      <x:c r="L71" s="28" t="n"/>
      <x:c r="M71" s="28" t="n"/>
      <x:c r="N71" s="28" t="n"/>
      <x:c r="O71" s="28" t="n"/>
      <x:c r="P71" s="100" t="n"/>
      <x:c r="Q71" s="100" t="n"/>
      <x:c r="R71" s="28" t="n"/>
      <x:c r="S71" s="28" t="n"/>
      <x:c r="T71" s="28" t="n"/>
      <x:c r="U71" s="28" t="n"/>
      <x:c r="V71" s="28" t="n"/>
      <x:c r="W71" s="28" t="n"/>
      <x:c r="X71" s="28" t="n"/>
      <x:c r="Y71" s="28" t="n"/>
      <x:c r="Z71" s="28" t="n"/>
      <x:c r="AA71" s="28" t="n"/>
      <x:c r="AB71" s="28" t="n"/>
      <x:c r="AC71" s="100" t="n"/>
      <x:c r="AD71" s="100" t="n"/>
      <x:c r="AE71" s="100" t="n"/>
      <x:c r="AF71" s="100" t="n"/>
      <x:c r="AG71" s="100" t="n"/>
      <x:c r="AH71" s="100" t="n"/>
      <x:c r="AI71" s="101" t="n"/>
      <x:c r="AJ71" s="28" t="n"/>
      <x:c r="AK71" s="100" t="n"/>
      <x:c r="AL71" s="28" t="n"/>
      <x:c r="AM71" s="123" t="n"/>
      <x:c r="AN71" s="28" t="n"/>
      <x:c r="AO71" s="28" t="n"/>
      <x:c r="AP71" s="28" t="n"/>
      <x:c r="AQ71" s="28" t="n">
        <x:v>0.333333333333333</x:v>
      </x:c>
      <x:c r="AR71" s="28" t="n"/>
    </x:row>
    <x:row r="72" s="27" customFormat="1">
      <x:c r="A72" s="38" t="n"/>
      <x:c r="B72" s="37" t="n"/>
      <x:c r="C72" s="36" t="n">
        <x:f>E72*D$5</x:f>
        <x:v>13.33333333333332</x:v>
      </x:c>
      <x:c r="D72" s="66" t="n">
        <x:v>1995</x:v>
      </x:c>
      <x:c r="E72" s="36" t="n">
        <x:f>SUM(G72:HS72)</x:f>
        <x:v>0.333333333333333</x:v>
      </x:c>
      <x:c r="F72" s="35" t="inlineStr">
        <x:is>
          <x:t xml:space="preserve"/>
        </x:is>
      </x:c>
      <x:c r="H72" s="28" t="n"/>
      <x:c r="I72" s="28" t="n"/>
      <x:c r="J72" s="28" t="n"/>
      <x:c r="K72" s="28" t="n"/>
      <x:c r="L72" s="28" t="n"/>
      <x:c r="M72" s="28" t="n"/>
      <x:c r="N72" s="28" t="n"/>
      <x:c r="O72" s="28" t="n"/>
      <x:c r="P72" s="100" t="n"/>
      <x:c r="Q72" s="100" t="n"/>
      <x:c r="R72" s="28" t="n"/>
      <x:c r="S72" s="28" t="n"/>
      <x:c r="T72" s="28" t="n"/>
      <x:c r="U72" s="28" t="n"/>
      <x:c r="V72" s="28" t="n"/>
      <x:c r="W72" s="28" t="n"/>
      <x:c r="X72" s="28" t="n"/>
      <x:c r="Y72" s="28" t="n"/>
      <x:c r="Z72" s="28" t="n"/>
      <x:c r="AA72" s="28" t="n"/>
      <x:c r="AB72" s="28" t="n"/>
      <x:c r="AC72" s="100" t="n"/>
      <x:c r="AD72" s="100" t="n"/>
      <x:c r="AE72" s="100" t="n"/>
      <x:c r="AF72" s="100" t="n"/>
      <x:c r="AG72" s="100" t="n"/>
      <x:c r="AH72" s="100" t="n"/>
      <x:c r="AI72" s="101" t="n"/>
      <x:c r="AJ72" s="28" t="n"/>
      <x:c r="AK72" s="100" t="n"/>
      <x:c r="AL72" s="28" t="n"/>
      <x:c r="AM72" s="123" t="n"/>
      <x:c r="AN72" s="28" t="n"/>
      <x:c r="AO72" s="28" t="n"/>
      <x:c r="AP72" s="28" t="n"/>
      <x:c r="AQ72" s="28" t="n">
        <x:v>0.333333333333333</x:v>
      </x:c>
      <x:c r="AR72" s="28" t="n"/>
    </x:row>
    <x:row r="73" s="27" customFormat="1">
      <x:c r="A73" s="38" t="n"/>
      <x:c r="B73" s="37" t="n"/>
      <x:c r="C73" s="86" t="n">
        <x:f>E73*D$5</x:f>
        <x:v>-40</x:v>
      </x:c>
      <x:c r="D73" s="418" t="inlineStr">
        <x:is>
          <x:t xml:space="preserve">Fer-Scher Exploration, LLC</x:t>
        </x:is>
      </x:c>
      <x:c r="E73" s="413" t="n">
        <x:f>SUM(G73:HS73)</x:f>
        <x:v>-1</x:v>
      </x:c>
      <x:c r="F73" s="35" t="inlineStr">
        <x:is>
          <x:t xml:space="preserve"/>
        </x:is>
      </x:c>
      <x:c r="H73" s="28" t="n"/>
      <x:c r="I73" s="28" t="n"/>
      <x:c r="J73" s="28" t="n"/>
      <x:c r="K73" s="28" t="n"/>
      <x:c r="L73" s="28" t="n"/>
      <x:c r="M73" s="28" t="n"/>
      <x:c r="N73" s="28" t="n"/>
      <x:c r="O73" s="28" t="n"/>
      <x:c r="P73" s="100" t="n"/>
      <x:c r="Q73" s="100" t="n"/>
      <x:c r="R73" s="28" t="n"/>
      <x:c r="S73" s="28" t="n"/>
      <x:c r="T73" s="28" t="n"/>
      <x:c r="U73" s="28" t="n"/>
      <x:c r="V73" s="28" t="n"/>
      <x:c r="W73" s="28" t="n"/>
      <x:c r="X73" s="28" t="n"/>
      <x:c r="Y73" s="28" t="n"/>
      <x:c r="Z73" s="28" t="n"/>
      <x:c r="AA73" s="28" t="n"/>
      <x:c r="AB73" s="28" t="n"/>
      <x:c r="AC73" s="100" t="n"/>
      <x:c r="AD73" s="100" t="n"/>
      <x:c r="AE73" s="100" t="n"/>
      <x:c r="AF73" s="100" t="n"/>
      <x:c r="AG73" s="100" t="n"/>
      <x:c r="AH73" s="100" t="n"/>
      <x:c r="AI73" s="100" t="n"/>
      <x:c r="AJ73" s="28" t="n"/>
      <x:c r="AK73" s="100" t="n"/>
      <x:c r="AL73" s="28" t="n"/>
      <x:c r="AM73" s="123" t="n"/>
      <x:c r="AN73" s="28" t="n"/>
      <x:c r="AO73" s="28" t="n"/>
      <x:c r="AP73" s="28" t="n"/>
      <x:c r="AQ73" s="28" t="n"/>
      <x:c r="AR73" s="28" t="n">
        <x:v>-1</x:v>
      </x:c>
    </x:row>
    <x:row r="74" s="27" customFormat="1">
      <x:c r="A74" s="38" t="n"/>
      <x:c r="B74" s="37" t="n"/>
      <x:c r="C74" s="86" t="n">
        <x:f>E74*D$5</x:f>
        <x:v>40</x:v>
      </x:c>
      <x:c r="D74" s="66" t="inlineStr">
        <x:is>
          <x:t xml:space="preserve">Aspen Minerals Group</x:t>
        </x:is>
      </x:c>
      <x:c r="E74" s="86" t="n">
        <x:f>SUM(G74:HS74)</x:f>
        <x:v>1</x:v>
      </x:c>
      <x:c r="F74" s="35" t="inlineStr">
        <x:is>
          <x:t xml:space="preserve"/>
        </x:is>
      </x:c>
      <x:c r="H74" s="28" t="n"/>
      <x:c r="I74" s="28" t="n"/>
      <x:c r="J74" s="28" t="n"/>
      <x:c r="K74" s="28" t="n"/>
      <x:c r="L74" s="28" t="n"/>
      <x:c r="M74" s="28" t="n"/>
      <x:c r="N74" s="28" t="n"/>
      <x:c r="O74" s="28" t="n"/>
      <x:c r="P74" s="100" t="n"/>
      <x:c r="Q74" s="100" t="n"/>
      <x:c r="R74" s="28" t="n"/>
      <x:c r="S74" s="28" t="n"/>
      <x:c r="T74" s="28" t="n"/>
      <x:c r="U74" s="28" t="n"/>
      <x:c r="V74" s="28" t="n"/>
      <x:c r="W74" s="28" t="n"/>
      <x:c r="X74" s="28" t="n"/>
      <x:c r="Y74" s="28" t="n"/>
      <x:c r="Z74" s="28" t="n"/>
      <x:c r="AA74" s="28" t="n"/>
      <x:c r="AB74" s="28" t="n"/>
      <x:c r="AC74" s="100" t="n"/>
      <x:c r="AD74" s="100" t="n"/>
      <x:c r="AE74" s="100" t="n"/>
      <x:c r="AF74" s="100" t="n"/>
      <x:c r="AG74" s="100" t="n"/>
      <x:c r="AH74" s="100" t="n"/>
      <x:c r="AI74" s="100" t="n"/>
      <x:c r="AJ74" s="28" t="n"/>
      <x:c r="AK74" s="100" t="n"/>
      <x:c r="AL74" s="28" t="n"/>
      <x:c r="AM74" s="123" t="n"/>
      <x:c r="AN74" s="28" t="n"/>
      <x:c r="AO74" s="28" t="n"/>
      <x:c r="AP74" s="28" t="n"/>
      <x:c r="AQ74" s="28" t="n"/>
      <x:c r="AR74" s="28" t="n">
        <x:v>1</x:v>
      </x:c>
    </x:row>
    <x:row r="75" s="27" customFormat="1">
      <x:c r="A75" s="38" t="n"/>
      <x:c r="B75" s="37" t="n"/>
      <x:c r="C75" s="36" t="n">
        <x:f>E75*D$5</x:f>
        <x:v>0</x:v>
      </x:c>
      <x:c r="D75" s="66" t="inlineStr">
        <x:is>
          <x:t xml:space="preserve">Nanalee Faye Barnett</x:t>
        </x:is>
      </x:c>
      <x:c r="E75" s="36" t="n">
        <x:f>SUM(G75:HS75)</x:f>
        <x:v>0</x:v>
      </x:c>
      <x:c r="F75" s="35" t="inlineStr">
        <x:is>
          <x:t xml:space="preserve"/>
        </x:is>
      </x:c>
      <x:c r="H75" s="28" t="n"/>
      <x:c r="I75" s="28" t="n"/>
      <x:c r="J75" s="28" t="n"/>
      <x:c r="K75" s="28" t="n"/>
      <x:c r="L75" s="28" t="n"/>
      <x:c r="M75" s="28" t="n"/>
      <x:c r="N75" s="28" t="n"/>
      <x:c r="O75" s="28" t="n"/>
      <x:c r="P75" s="100" t="n"/>
      <x:c r="Q75" s="100" t="n"/>
      <x:c r="R75" s="28" t="n"/>
      <x:c r="S75" s="28" t="n"/>
      <x:c r="T75" s="28" t="n"/>
      <x:c r="U75" s="28" t="n"/>
      <x:c r="V75" s="28" t="n"/>
      <x:c r="W75" s="28" t="n"/>
      <x:c r="X75" s="28" t="n"/>
      <x:c r="Y75" s="28" t="n"/>
      <x:c r="Z75" s="28" t="n"/>
      <x:c r="AA75" s="28" t="n"/>
      <x:c r="AB75" s="28" t="n"/>
      <x:c r="AC75" s="100" t="n"/>
      <x:c r="AD75" s="100" t="n"/>
      <x:c r="AE75" s="100" t="n"/>
      <x:c r="AF75" s="100" t="n"/>
      <x:c r="AG75" s="100" t="n"/>
      <x:c r="AH75" s="100" t="n"/>
      <x:c r="AI75" s="100" t="n"/>
      <x:c r="AJ75" s="28" t="n"/>
      <x:c r="AK75" s="100" t="n"/>
      <x:c r="AL75" s="28" t="n"/>
      <x:c r="AM75" s="100" t="n"/>
      <x:c r="AN75" s="28" t="n"/>
      <x:c r="AO75" s="28" t="n"/>
      <x:c r="AP75" s="28" t="n"/>
      <x:c r="AQ75" s="28" t="n"/>
      <x:c r="AR75" s="28" t="n"/>
      <x:c r="AS75" s="27" t="n">
        <x:v>-1</x:v>
      </x:c>
      <x:c r="AV75" s="27" t="n">
        <x:v>1</x:v>
      </x:c>
    </x:row>
    <x:row r="76" s="27" customFormat="1">
      <x:c r="A76" s="38" t="n"/>
      <x:c r="B76" s="37" t="n"/>
      <x:c r="C76" s="36" t="n">
        <x:f>E76*D$5</x:f>
        <x:v>-20</x:v>
      </x:c>
      <x:c r="D76" s="418" t="inlineStr">
        <x:is>
          <x:t xml:space="preserve">now Louise Ormand McLerran</x:t>
        </x:is>
      </x:c>
      <x:c r="E76" s="411" t="n">
        <x:f>SUM(G76:HS76)</x:f>
        <x:v>-0.5</x:v>
      </x:c>
      <x:c r="F76" s="35" t="inlineStr">
        <x:is>
          <x:t xml:space="preserve"/>
        </x:is>
      </x:c>
      <x:c r="H76" s="28" t="n"/>
      <x:c r="I76" s="28" t="n"/>
      <x:c r="J76" s="28" t="n"/>
      <x:c r="K76" s="28" t="n"/>
      <x:c r="L76" s="28" t="n"/>
      <x:c r="M76" s="28" t="n"/>
      <x:c r="N76" s="28" t="n"/>
      <x:c r="O76" s="28" t="n"/>
      <x:c r="P76" s="100" t="n"/>
      <x:c r="Q76" s="100" t="n"/>
      <x:c r="R76" s="28" t="n"/>
      <x:c r="S76" s="28" t="n"/>
      <x:c r="T76" s="28" t="n"/>
      <x:c r="U76" s="28" t="n"/>
      <x:c r="V76" s="28" t="n"/>
      <x:c r="W76" s="28" t="n"/>
      <x:c r="X76" s="28" t="n"/>
      <x:c r="Y76" s="28" t="n"/>
      <x:c r="Z76" s="28" t="n"/>
      <x:c r="AA76" s="28" t="n"/>
      <x:c r="AB76" s="28" t="n"/>
      <x:c r="AC76" s="100" t="n"/>
      <x:c r="AD76" s="100" t="n"/>
      <x:c r="AE76" s="100" t="n"/>
      <x:c r="AF76" s="100" t="n"/>
      <x:c r="AG76" s="100" t="n"/>
      <x:c r="AH76" s="100" t="n"/>
      <x:c r="AI76" s="100" t="n"/>
      <x:c r="AJ76" s="28" t="n"/>
      <x:c r="AK76" s="100" t="n"/>
      <x:c r="AL76" s="28" t="n"/>
      <x:c r="AM76" s="100" t="n"/>
      <x:c r="AN76" s="28" t="n"/>
      <x:c r="AO76" s="28" t="n"/>
      <x:c r="AP76" s="28" t="n"/>
      <x:c r="AQ76" s="28" t="n"/>
      <x:c r="AR76" s="28" t="n"/>
      <x:c r="AT76" s="27" t="n">
        <x:v>-0.5</x:v>
      </x:c>
    </x:row>
    <x:row r="77" s="27" customFormat="1">
      <x:c r="A77" s="38" t="n"/>
      <x:c r="B77" s="37" t="n"/>
      <x:c r="C77" s="36" t="n">
        <x:f>E77*D$5</x:f>
        <x:v>-40</x:v>
      </x:c>
      <x:c r="D77" s="424" t="inlineStr">
        <x:is>
          <x:t xml:space="preserve">Glenn D. Mitchel, a/k/a Glen D. Mitchel</x:t>
        </x:is>
      </x:c>
      <x:c r="E77" s="411" t="n">
        <x:f>SUM(G77:HS77)</x:f>
        <x:v>-1</x:v>
      </x:c>
      <x:c r="F77" s="35" t="inlineStr">
        <x:is>
          <x:t xml:space="preserve"/>
        </x:is>
      </x:c>
      <x:c r="H77" s="28" t="n"/>
      <x:c r="I77" s="28" t="n"/>
      <x:c r="J77" s="28" t="n"/>
      <x:c r="K77" s="28" t="n"/>
      <x:c r="L77" s="28" t="n"/>
      <x:c r="M77" s="28" t="n"/>
      <x:c r="N77" s="28" t="n"/>
      <x:c r="O77" s="28" t="n"/>
      <x:c r="P77" s="100" t="n"/>
      <x:c r="Q77" s="100" t="n"/>
      <x:c r="R77" s="28" t="n"/>
      <x:c r="S77" s="28" t="n"/>
      <x:c r="T77" s="28" t="n"/>
      <x:c r="U77" s="28" t="n"/>
      <x:c r="V77" s="28" t="n"/>
      <x:c r="W77" s="28" t="n"/>
      <x:c r="X77" s="28" t="n"/>
      <x:c r="Y77" s="28" t="n"/>
      <x:c r="Z77" s="28" t="n"/>
      <x:c r="AA77" s="28" t="n"/>
      <x:c r="AB77" s="28" t="n"/>
      <x:c r="AC77" s="100" t="n"/>
      <x:c r="AD77" s="100" t="n"/>
      <x:c r="AE77" s="100" t="n"/>
      <x:c r="AF77" s="100" t="n"/>
      <x:c r="AG77" s="100" t="n"/>
      <x:c r="AH77" s="100" t="n"/>
      <x:c r="AI77" s="100" t="n"/>
      <x:c r="AJ77" s="28" t="n"/>
      <x:c r="AK77" s="100" t="n"/>
      <x:c r="AL77" s="28" t="n"/>
      <x:c r="AM77" s="100" t="n"/>
      <x:c r="AN77" s="28" t="n"/>
      <x:c r="AO77" s="28" t="n"/>
      <x:c r="AP77" s="28" t="n"/>
      <x:c r="AQ77" s="28" t="n"/>
      <x:c r="AR77" s="28" t="n"/>
      <x:c r="AU77" s="27" t="n">
        <x:v>-1</x:v>
      </x:c>
    </x:row>
    <x:row r="78" s="27" customFormat="1" ht="24" customHeight="1">
      <x:c r="A78" s="38" t="n"/>
      <x:c r="B78" s="37" t="n"/>
      <x:c r="C78" s="36" t="n">
        <x:f>E78*D$5</x:f>
        <x:v>-40</x:v>
      </x:c>
      <x:c r="D78" s="418" t="inlineStr">
        <x:is>
          <x:t xml:space="preserve">Roger Mills County Court RE: In the Matter of the Estate of Jack E. Barnett, Deceased</x:t>
        </x:is>
      </x:c>
      <x:c r="E78" s="411" t="n">
        <x:f>SUM(G78:HS78)</x:f>
        <x:v>-1</x:v>
      </x:c>
      <x:c r="F78" s="35" t="inlineStr">
        <x:is>
          <x:t xml:space="preserve"/>
        </x:is>
      </x:c>
      <x:c r="H78" s="28" t="n"/>
      <x:c r="I78" s="28" t="n"/>
      <x:c r="J78" s="28" t="n"/>
      <x:c r="K78" s="28" t="n"/>
      <x:c r="L78" s="28" t="n"/>
      <x:c r="M78" s="28" t="n"/>
      <x:c r="N78" s="28" t="n"/>
      <x:c r="O78" s="28" t="n"/>
      <x:c r="P78" s="100" t="n"/>
      <x:c r="Q78" s="100" t="n"/>
      <x:c r="R78" s="28" t="n"/>
      <x:c r="S78" s="28" t="n"/>
      <x:c r="T78" s="28" t="n"/>
      <x:c r="U78" s="28" t="n"/>
      <x:c r="V78" s="28" t="n"/>
      <x:c r="W78" s="28" t="n"/>
      <x:c r="X78" s="28" t="n"/>
      <x:c r="Y78" s="28" t="n"/>
      <x:c r="Z78" s="28" t="n"/>
      <x:c r="AA78" s="28" t="n"/>
      <x:c r="AB78" s="28" t="n"/>
      <x:c r="AC78" s="100" t="n"/>
      <x:c r="AD78" s="100" t="n"/>
      <x:c r="AE78" s="100" t="n"/>
      <x:c r="AF78" s="100" t="n"/>
      <x:c r="AG78" s="100" t="n"/>
      <x:c r="AH78" s="100" t="n"/>
      <x:c r="AI78" s="100" t="n"/>
      <x:c r="AJ78" s="28" t="n"/>
      <x:c r="AK78" s="100" t="n"/>
      <x:c r="AL78" s="28" t="n"/>
      <x:c r="AM78" s="100" t="n"/>
      <x:c r="AN78" s="28" t="n"/>
      <x:c r="AO78" s="28" t="n"/>
      <x:c r="AP78" s="28" t="n"/>
      <x:c r="AQ78" s="28" t="n"/>
      <x:c r="AR78" s="28" t="n"/>
      <x:c r="AV78" s="27" t="n">
        <x:v>-1</x:v>
      </x:c>
    </x:row>
    <x:row r="79" s="27" customFormat="1" ht="24" customHeight="1">
      <x:c r="A79" s="38" t="n"/>
      <x:c r="B79" s="37" t="n"/>
      <x:c r="C79" s="86" t="n">
        <x:f>E79*D$5</x:f>
        <x:v>0</x:v>
      </x:c>
      <x:c r="D79" s="523" t="inlineStr">
        <x:is>
          <x:t xml:space="preserve">Peggy J. HAYHURST, TRUSTEE, of the Peggy J. Hayhurst Revocable Trust datedrNovember 9, 1993</x:t>
        </x:is>
      </x:c>
      <x:c r="E79" s="86" t="n">
        <x:f>SUM(G79:HS79)</x:f>
        <x:v>0</x:v>
      </x:c>
      <x:c r="F79" s="35" t="inlineStr">
        <x:is>
          <x:t xml:space="preserve"/>
        </x:is>
      </x:c>
      <x:c r="H79" s="28" t="n"/>
      <x:c r="I79" s="28" t="n"/>
      <x:c r="J79" s="28" t="n"/>
      <x:c r="K79" s="28" t="n"/>
      <x:c r="L79" s="28" t="n"/>
      <x:c r="M79" s="28" t="n"/>
      <x:c r="N79" s="28" t="n"/>
      <x:c r="O79" s="28" t="n"/>
      <x:c r="P79" s="100" t="n"/>
      <x:c r="Q79" s="100" t="n"/>
      <x:c r="R79" s="28" t="n"/>
      <x:c r="S79" s="28" t="n"/>
      <x:c r="T79" s="28" t="n"/>
      <x:c r="U79" s="28" t="n"/>
      <x:c r="V79" s="28" t="n"/>
      <x:c r="W79" s="28" t="n"/>
      <x:c r="X79" s="28" t="n"/>
      <x:c r="Y79" s="28" t="n"/>
      <x:c r="Z79" s="28" t="n"/>
      <x:c r="AA79" s="28" t="n"/>
      <x:c r="AB79" s="28" t="n"/>
      <x:c r="AC79" s="100" t="n"/>
      <x:c r="AD79" s="100" t="n"/>
      <x:c r="AE79" s="100" t="n"/>
      <x:c r="AF79" s="100" t="n"/>
      <x:c r="AG79" s="100" t="n"/>
      <x:c r="AH79" s="100" t="n"/>
      <x:c r="AI79" s="100" t="n"/>
      <x:c r="AJ79" s="28" t="n"/>
      <x:c r="AK79" s="100" t="n"/>
      <x:c r="AL79" s="28" t="n"/>
      <x:c r="AM79" s="100" t="n"/>
      <x:c r="AN79" s="28" t="n"/>
      <x:c r="AO79" s="28" t="n"/>
      <x:c r="AP79" s="28" t="n"/>
      <x:c r="AQ79" s="28" t="n"/>
      <x:c r="AR79" s="28" t="n"/>
    </x:row>
    <x:row r="80" s="27" customFormat="1">
      <x:c r="A80" s="38" t="n"/>
      <x:c r="B80" s="37" t="n"/>
      <x:c r="C80" s="36" t="n">
        <x:f>E80*D$5</x:f>
        <x:v>0</x:v>
      </x:c>
      <x:c r="D80" s="66" t="inlineStr">
        <x:is>
          <x:t xml:space="preserve">Confirm — Missing conveyed interest 2002-004595</x:t>
        </x:is>
      </x:c>
      <x:c r="E80" s="36" t="n">
        <x:f>SUM(G80:HS80)</x:f>
        <x:v>0</x:v>
      </x:c>
      <x:c r="F80" s="35" t="inlineStr">
        <x:is>
          <x:t xml:space="preserve"/>
        </x:is>
      </x:c>
      <x:c r="H80" s="28" t="n"/>
      <x:c r="I80" s="28" t="n"/>
      <x:c r="J80" s="28" t="n"/>
      <x:c r="K80" s="28" t="n"/>
      <x:c r="L80" s="28" t="n"/>
      <x:c r="M80" s="28" t="n"/>
      <x:c r="N80" s="28" t="n"/>
      <x:c r="O80" s="28" t="n"/>
      <x:c r="P80" s="100" t="n"/>
      <x:c r="Q80" s="100" t="n"/>
      <x:c r="R80" s="28" t="n"/>
      <x:c r="S80" s="28" t="n"/>
      <x:c r="T80" s="28" t="n"/>
      <x:c r="U80" s="28" t="n"/>
      <x:c r="V80" s="28" t="n"/>
      <x:c r="W80" s="28" t="n"/>
      <x:c r="X80" s="28" t="n"/>
      <x:c r="Y80" s="28" t="n"/>
      <x:c r="Z80" s="28" t="n"/>
      <x:c r="AA80" s="28" t="n"/>
      <x:c r="AB80" s="28" t="n"/>
      <x:c r="AC80" s="100" t="n"/>
      <x:c r="AD80" s="100" t="n"/>
      <x:c r="AE80" s="100" t="n"/>
      <x:c r="AF80" s="100" t="n"/>
      <x:c r="AG80" s="100" t="n"/>
      <x:c r="AH80" s="100" t="n"/>
      <x:c r="AI80" s="100" t="n"/>
      <x:c r="AJ80" s="28" t="n"/>
      <x:c r="AK80" s="100" t="n"/>
      <x:c r="AL80" s="28" t="n"/>
      <x:c r="AM80" s="100" t="n"/>
      <x:c r="AN80" s="28" t="n"/>
      <x:c r="AO80" s="28" t="n"/>
      <x:c r="AP80" s="28" t="n"/>
      <x:c r="AQ80" s="28" t="n"/>
      <x:c r="AR80" s="28" t="n"/>
    </x:row>
    <x:row r="81" s="27" customFormat="1">
      <x:c r="A81" s="38" t="n"/>
      <x:c r="B81" s="37" t="n"/>
      <x:c r="C81" s="86" t="n">
        <x:f>E81*D$5</x:f>
        <x:v>20</x:v>
      </x:c>
      <x:c r="D81" s="523" t="inlineStr">
        <x:is>
          <x:t xml:space="preserve">White Birch</x:t>
        </x:is>
      </x:c>
      <x:c r="E81" s="86" t="n">
        <x:f>SUM(G81:HS81)</x:f>
        <x:v>0.5</x:v>
      </x:c>
      <x:c r="F81" s="35" t="inlineStr">
        <x:is>
          <x:t xml:space="preserve"/>
        </x:is>
      </x:c>
      <x:c r="H81" s="28" t="n"/>
      <x:c r="I81" s="28" t="n"/>
      <x:c r="J81" s="28" t="n"/>
      <x:c r="K81" s="28" t="n"/>
      <x:c r="L81" s="28" t="n"/>
      <x:c r="M81" s="28" t="n"/>
      <x:c r="N81" s="28" t="n"/>
      <x:c r="O81" s="28" t="n"/>
      <x:c r="P81" s="100" t="n"/>
      <x:c r="Q81" s="100" t="n"/>
      <x:c r="R81" s="28" t="n"/>
      <x:c r="S81" s="28" t="n"/>
      <x:c r="T81" s="28" t="n"/>
      <x:c r="U81" s="28" t="n"/>
      <x:c r="V81" s="28" t="n"/>
      <x:c r="W81" s="28" t="n"/>
      <x:c r="X81" s="28" t="n"/>
      <x:c r="Y81" s="28" t="n"/>
      <x:c r="Z81" s="28" t="n"/>
      <x:c r="AA81" s="28" t="n"/>
      <x:c r="AB81" s="28" t="n"/>
      <x:c r="AC81" s="100" t="n"/>
      <x:c r="AD81" s="100" t="n"/>
      <x:c r="AE81" s="100" t="n"/>
      <x:c r="AF81" s="100" t="n"/>
      <x:c r="AG81" s="100" t="n"/>
      <x:c r="AH81" s="100" t="n"/>
      <x:c r="AI81" s="100" t="n"/>
      <x:c r="AJ81" s="28" t="n"/>
      <x:c r="AK81" s="100" t="n"/>
      <x:c r="AL81" s="28" t="n"/>
      <x:c r="AM81" s="100" t="n"/>
      <x:c r="AN81" s="28" t="n"/>
      <x:c r="AO81" s="28" t="n"/>
      <x:c r="AP81" s="28" t="n"/>
      <x:c r="AQ81" s="28" t="n"/>
      <x:c r="AR81" s="28" t="n"/>
      <x:c r="AX81" s="27" t="n">
        <x:v>0.5</x:v>
      </x:c>
    </x:row>
    <x:row r="82" s="27" customFormat="1">
      <x:c r="A82" s="38" t="n"/>
      <x:c r="B82" s="37" t="n"/>
      <x:c r="C82" s="36" t="n">
        <x:f>E82*D$5</x:f>
        <x:v>20</x:v>
      </x:c>
      <x:c r="D82" s="66" t="inlineStr">
        <x:is>
          <x:t xml:space="preserve">L.P.</x:t>
        </x:is>
      </x:c>
      <x:c r="E82" s="36" t="n">
        <x:f>SUM(G82:HS82)</x:f>
        <x:v>0.5</x:v>
      </x:c>
      <x:c r="F82" s="35" t="inlineStr">
        <x:is>
          <x:t xml:space="preserve"/>
        </x:is>
      </x:c>
      <x:c r="H82" s="28" t="n"/>
      <x:c r="I82" s="28" t="n"/>
      <x:c r="J82" s="28" t="n"/>
      <x:c r="K82" s="28" t="n"/>
      <x:c r="L82" s="28" t="n"/>
      <x:c r="M82" s="28" t="n"/>
      <x:c r="N82" s="28" t="n"/>
      <x:c r="O82" s="28" t="n"/>
      <x:c r="P82" s="100" t="n"/>
      <x:c r="Q82" s="100" t="n"/>
      <x:c r="R82" s="28" t="n"/>
      <x:c r="S82" s="28" t="n"/>
      <x:c r="T82" s="28" t="n"/>
      <x:c r="U82" s="28" t="n"/>
      <x:c r="V82" s="28" t="n"/>
      <x:c r="W82" s="28" t="n"/>
      <x:c r="X82" s="28" t="n"/>
      <x:c r="Y82" s="28" t="n"/>
      <x:c r="Z82" s="28" t="n"/>
      <x:c r="AA82" s="28" t="n"/>
      <x:c r="AB82" s="28" t="n"/>
      <x:c r="AC82" s="100" t="n"/>
      <x:c r="AD82" s="100" t="n"/>
      <x:c r="AE82" s="100" t="n"/>
      <x:c r="AF82" s="100" t="n"/>
      <x:c r="AG82" s="100" t="n"/>
      <x:c r="AH82" s="100" t="n"/>
      <x:c r="AI82" s="100" t="n"/>
      <x:c r="AJ82" s="28" t="n"/>
      <x:c r="AK82" s="100" t="n"/>
      <x:c r="AL82" s="28" t="n"/>
      <x:c r="AM82" s="100" t="n"/>
      <x:c r="AN82" s="28" t="n"/>
      <x:c r="AO82" s="28" t="n"/>
      <x:c r="AP82" s="28" t="n"/>
      <x:c r="AQ82" s="28" t="n"/>
      <x:c r="AR82" s="28" t="n"/>
      <x:c r="AX82" s="27" t="n">
        <x:v>0.5</x:v>
      </x:c>
    </x:row>
    <x:row r="83" s="27" customFormat="1" ht="24" customHeight="1">
      <x:c r="A83" s="38" t="n"/>
      <x:c r="B83" s="37" t="n"/>
      <x:c r="C83" s="86" t="n">
        <x:f>E83*D$5</x:f>
        <x:v>-40</x:v>
      </x:c>
      <x:c r="D83" s="422" t="inlineStr">
        <x:is>
          <x:t xml:space="preserve">Beckham County Court, RE: In the Matter of the Estate of Evelyn Louise McLerran, Deceased</x:t>
        </x:is>
      </x:c>
      <x:c r="E83" s="413" t="n">
        <x:f>SUM(G83:HS83)</x:f>
        <x:v>-1</x:v>
      </x:c>
      <x:c r="F83" s="35" t="inlineStr">
        <x:is>
          <x:t xml:space="preserve"/>
        </x:is>
      </x:c>
      <x:c r="H83" s="28" t="n"/>
      <x:c r="I83" s="28" t="n"/>
      <x:c r="J83" s="28" t="n"/>
      <x:c r="K83" s="28" t="n"/>
      <x:c r="L83" s="28" t="n"/>
      <x:c r="M83" s="28" t="n"/>
      <x:c r="N83" s="28" t="n"/>
      <x:c r="O83" s="28" t="n"/>
      <x:c r="P83" s="100" t="n"/>
      <x:c r="Q83" s="100" t="n"/>
      <x:c r="R83" s="28" t="n"/>
      <x:c r="S83" s="28" t="n"/>
      <x:c r="T83" s="28" t="n"/>
      <x:c r="U83" s="28" t="n"/>
      <x:c r="V83" s="28" t="n"/>
      <x:c r="W83" s="28" t="n"/>
      <x:c r="X83" s="28" t="n"/>
      <x:c r="Y83" s="28" t="n"/>
      <x:c r="Z83" s="28" t="n"/>
      <x:c r="AA83" s="28" t="n"/>
      <x:c r="AB83" s="28" t="n"/>
      <x:c r="AC83" s="100" t="n"/>
      <x:c r="AD83" s="100" t="n"/>
      <x:c r="AE83" s="100" t="n"/>
      <x:c r="AF83" s="100" t="n"/>
      <x:c r="AG83" s="100" t="n"/>
      <x:c r="AH83" s="100" t="n"/>
      <x:c r="AI83" s="100" t="n"/>
      <x:c r="AJ83" s="28" t="n"/>
      <x:c r="AK83" s="100" t="n"/>
      <x:c r="AL83" s="28" t="n"/>
      <x:c r="AM83" s="100" t="n"/>
      <x:c r="AN83" s="28" t="n"/>
      <x:c r="AO83" s="28" t="n"/>
      <x:c r="AP83" s="28" t="n"/>
      <x:c r="AQ83" s="28" t="n"/>
      <x:c r="AR83" s="28" t="n"/>
      <x:c r="AY83" s="27" t="n">
        <x:v>-1</x:v>
      </x:c>
    </x:row>
    <x:row r="84" s="27" customFormat="1">
      <x:c r="A84" s="38" t="n"/>
      <x:c r="B84" s="37" t="n"/>
      <x:c r="C84" s="36" t="n">
        <x:f>E84*D$5</x:f>
        <x:v>40</x:v>
      </x:c>
      <x:c r="D84" s="66" t="inlineStr">
        <x:is>
          <x:t xml:space="preserve">Nana Lou Jones</x:t>
        </x:is>
      </x:c>
      <x:c r="E84" s="36" t="n">
        <x:f>SUM(G84:HS84)</x:f>
        <x:v>1</x:v>
      </x:c>
      <x:c r="F84" s="35" t="inlineStr">
        <x:is>
          <x:t xml:space="preserve"/>
        </x:is>
      </x:c>
      <x:c r="H84" s="28" t="n"/>
      <x:c r="I84" s="28" t="n"/>
      <x:c r="J84" s="28" t="n"/>
      <x:c r="K84" s="28" t="n"/>
      <x:c r="L84" s="28" t="n"/>
      <x:c r="M84" s="28" t="n"/>
      <x:c r="N84" s="28" t="n"/>
      <x:c r="O84" s="28" t="n"/>
      <x:c r="P84" s="100" t="n"/>
      <x:c r="Q84" s="100" t="n"/>
      <x:c r="R84" s="28" t="n"/>
      <x:c r="S84" s="28" t="n"/>
      <x:c r="T84" s="28" t="n"/>
      <x:c r="U84" s="28" t="n"/>
      <x:c r="V84" s="28" t="n"/>
      <x:c r="W84" s="28" t="n"/>
      <x:c r="X84" s="28" t="n"/>
      <x:c r="Y84" s="28" t="n"/>
      <x:c r="Z84" s="28" t="n"/>
      <x:c r="AA84" s="28" t="n"/>
      <x:c r="AB84" s="28" t="n"/>
      <x:c r="AC84" s="100" t="n"/>
      <x:c r="AD84" s="100" t="n"/>
      <x:c r="AE84" s="100" t="n"/>
      <x:c r="AF84" s="100" t="n"/>
      <x:c r="AG84" s="100" t="n"/>
      <x:c r="AH84" s="100" t="n"/>
      <x:c r="AI84" s="100" t="n"/>
      <x:c r="AJ84" s="28" t="n"/>
      <x:c r="AK84" s="100" t="n"/>
      <x:c r="AL84" s="28" t="n"/>
      <x:c r="AM84" s="100" t="n"/>
      <x:c r="AN84" s="28" t="n"/>
      <x:c r="AO84" s="28" t="n"/>
      <x:c r="AP84" s="28" t="n"/>
      <x:c r="AQ84" s="28" t="n"/>
      <x:c r="AR84" s="28" t="n"/>
      <x:c r="AY84" s="27" t="n">
        <x:v>1</x:v>
      </x:c>
    </x:row>
    <x:row r="85" s="27" customFormat="1">
      <x:c r="A85" s="38" t="n"/>
      <x:c r="B85" s="37" t="n"/>
      <x:c r="C85" s="36" t="n">
        <x:f>E85*D$5</x:f>
        <x:v>-40</x:v>
      </x:c>
      <x:c r="D85" s="418" t="inlineStr">
        <x:is>
          <x:t xml:space="preserve">Aspen Energy Group, Inc.</x:t>
        </x:is>
      </x:c>
      <x:c r="E85" s="411" t="n">
        <x:f>SUM(G85:HS85)</x:f>
        <x:v>-1</x:v>
      </x:c>
      <x:c r="F85" s="35" t="inlineStr">
        <x:is>
          <x:t xml:space="preserve"/>
        </x:is>
      </x:c>
      <x:c r="H85" s="28" t="n"/>
      <x:c r="I85" s="28" t="n"/>
      <x:c r="J85" s="28" t="n"/>
      <x:c r="K85" s="28" t="n"/>
      <x:c r="L85" s="28" t="n"/>
      <x:c r="M85" s="28" t="n"/>
      <x:c r="N85" s="28" t="n"/>
      <x:c r="O85" s="28" t="n"/>
      <x:c r="P85" s="100" t="n"/>
      <x:c r="Q85" s="100" t="n"/>
      <x:c r="R85" s="28" t="n"/>
      <x:c r="S85" s="28" t="n"/>
      <x:c r="T85" s="28" t="n"/>
      <x:c r="U85" s="28" t="n"/>
      <x:c r="V85" s="28" t="n"/>
      <x:c r="W85" s="28" t="n"/>
      <x:c r="X85" s="28" t="n"/>
      <x:c r="Y85" s="28" t="n"/>
      <x:c r="Z85" s="28" t="n"/>
      <x:c r="AA85" s="28" t="n"/>
      <x:c r="AB85" s="28" t="n"/>
      <x:c r="AC85" s="100" t="n"/>
      <x:c r="AD85" s="100" t="n"/>
      <x:c r="AE85" s="100" t="n"/>
      <x:c r="AF85" s="100" t="n"/>
      <x:c r="AG85" s="100" t="n"/>
      <x:c r="AH85" s="100" t="n"/>
      <x:c r="AI85" s="100" t="n"/>
      <x:c r="AJ85" s="28" t="n"/>
      <x:c r="AK85" s="100" t="n"/>
      <x:c r="AL85" s="28" t="n"/>
      <x:c r="AM85" s="100" t="n"/>
      <x:c r="AN85" s="28" t="n"/>
      <x:c r="AO85" s="28" t="n"/>
      <x:c r="AP85" s="28" t="n"/>
      <x:c r="AQ85" s="28" t="n"/>
      <x:c r="AR85" s="28" t="n"/>
      <x:c r="AZ85" s="27" t="n">
        <x:v>-1</x:v>
      </x:c>
    </x:row>
    <x:row r="86" s="27" customFormat="1">
      <x:c r="A86" s="38" t="n"/>
      <x:c r="B86" s="37" t="n"/>
      <x:c r="C86" s="36" t="n">
        <x:f>E86*D$5</x:f>
        <x:v>40</x:v>
      </x:c>
      <x:c r="D86" s="66" t="inlineStr">
        <x:is>
          <x:t xml:space="preserve">Crusader Energy Corporation</x:t>
        </x:is>
      </x:c>
      <x:c r="E86" s="36" t="n">
        <x:f>SUM(G86:HS86)</x:f>
        <x:v>1</x:v>
      </x:c>
      <x:c r="F86" s="35" t="inlineStr">
        <x:is>
          <x:t xml:space="preserve"/>
        </x:is>
      </x:c>
      <x:c r="H86" s="28" t="n"/>
      <x:c r="I86" s="28" t="n"/>
      <x:c r="J86" s="28" t="n"/>
      <x:c r="K86" s="28" t="n"/>
      <x:c r="L86" s="28" t="n"/>
      <x:c r="M86" s="28" t="n"/>
      <x:c r="N86" s="28" t="n"/>
      <x:c r="O86" s="28" t="n"/>
      <x:c r="P86" s="100" t="n"/>
      <x:c r="Q86" s="100" t="n"/>
      <x:c r="R86" s="28" t="n"/>
      <x:c r="S86" s="28" t="n"/>
      <x:c r="T86" s="28" t="n"/>
      <x:c r="U86" s="28" t="n"/>
      <x:c r="V86" s="28" t="n"/>
      <x:c r="W86" s="28" t="n"/>
      <x:c r="X86" s="28" t="n"/>
      <x:c r="Y86" s="28" t="n"/>
      <x:c r="Z86" s="28" t="n"/>
      <x:c r="AA86" s="28" t="n"/>
      <x:c r="AB86" s="28" t="n"/>
      <x:c r="AC86" s="100" t="n"/>
      <x:c r="AD86" s="100" t="n"/>
      <x:c r="AE86" s="100" t="n"/>
      <x:c r="AF86" s="100" t="n"/>
      <x:c r="AG86" s="100" t="n"/>
      <x:c r="AH86" s="100" t="n"/>
      <x:c r="AI86" s="100" t="n"/>
      <x:c r="AJ86" s="28" t="n"/>
      <x:c r="AK86" s="100" t="n"/>
      <x:c r="AL86" s="28" t="n"/>
      <x:c r="AM86" s="100" t="n"/>
      <x:c r="AN86" s="28" t="n"/>
      <x:c r="AO86" s="28" t="n"/>
      <x:c r="AP86" s="28" t="n"/>
      <x:c r="AQ86" s="28" t="n"/>
      <x:c r="AR86" s="28" t="n"/>
      <x:c r="AZ86" s="27" t="n">
        <x:v>1</x:v>
      </x:c>
    </x:row>
    <x:row r="87" s="27" customFormat="1">
      <x:c r="A87" s="38" t="n"/>
      <x:c r="B87" s="37" t="n"/>
      <x:c r="C87" s="36" t="n">
        <x:f>E87*D$5</x:f>
        <x:v>-40</x:v>
      </x:c>
      <x:c r="D87" s="418" t="inlineStr">
        <x:is>
          <x:t xml:space="preserve">Minion Investment Co, Brian L. Rice</x:t>
        </x:is>
      </x:c>
      <x:c r="E87" s="411" t="n">
        <x:f>SUM(G87:HS87)</x:f>
        <x:v>-1</x:v>
      </x:c>
      <x:c r="F87" s="35" t="inlineStr">
        <x:is>
          <x:t xml:space="preserve"/>
        </x:is>
      </x:c>
      <x:c r="P87" s="100" t="n"/>
      <x:c r="Q87" s="100" t="n"/>
      <x:c r="AC87" s="100" t="n"/>
      <x:c r="AD87" s="100" t="n"/>
      <x:c r="AE87" s="100" t="n"/>
      <x:c r="AF87" s="100" t="n"/>
      <x:c r="AG87" s="100" t="n"/>
      <x:c r="AH87" s="100" t="n"/>
      <x:c r="AI87" s="100" t="n"/>
      <x:c r="AK87" s="100" t="n"/>
      <x:c r="AM87" s="100" t="n"/>
      <x:c r="BA87" s="27" t="n">
        <x:v>-1</x:v>
      </x:c>
    </x:row>
    <x:row r="88" s="27" customFormat="1">
      <x:c r="A88" s="38" t="n"/>
      <x:c r="B88" s="37" t="n"/>
      <x:c r="C88" s="86" t="n">
        <x:f>E88*D$5</x:f>
        <x:v>80</x:v>
      </x:c>
      <x:c r="D88" s="523" t="inlineStr">
        <x:is>
          <x:t xml:space="preserve">Prism Energy, Inc.</x:t>
        </x:is>
      </x:c>
      <x:c r="E88" s="86" t="n">
        <x:f>SUM(G88:HS88)</x:f>
        <x:v>2</x:v>
      </x:c>
      <x:c r="F88" s="35" t="inlineStr">
        <x:is>
          <x:t xml:space="preserve"/>
        </x:is>
      </x:c>
      <x:c r="P88" s="100" t="n"/>
      <x:c r="Q88" s="100" t="n"/>
      <x:c r="AC88" s="100" t="n"/>
      <x:c r="AD88" s="100" t="n"/>
      <x:c r="AE88" s="100" t="n"/>
      <x:c r="AF88" s="100" t="n"/>
      <x:c r="AG88" s="100" t="n"/>
      <x:c r="AH88" s="100" t="n"/>
      <x:c r="AI88" s="100" t="n"/>
      <x:c r="AK88" s="100" t="n"/>
      <x:c r="AM88" s="100" t="n"/>
      <x:c r="BA88" s="27" t="n">
        <x:v>1</x:v>
      </x:c>
      <x:c r="BB88" s="27" t="n">
        <x:v>1</x:v>
      </x:c>
    </x:row>
    <x:row r="89" s="27" customFormat="1" ht="24" customHeight="1">
      <x:c r="A89" s="38" t="n"/>
      <x:c r="B89" s="37" t="n"/>
      <x:c r="C89" s="36" t="n">
        <x:f>E89*D$5</x:f>
        <x:v>-36.66666666666668</x:v>
      </x:c>
      <x:c r="D89" s="418" t="inlineStr">
        <x:is>
          <x:t xml:space="preserve">Glenda A. Palmer, Trustee of the Glenn Douglas Mitchel and Hazel Pearl Mitchel Trust</x:t>
        </x:is>
      </x:c>
      <x:c r="E89" s="411" t="n">
        <x:f>SUM(G89:HS89)</x:f>
        <x:v>-0.916666666666667</x:v>
      </x:c>
      <x:c r="F89" s="35" t="inlineStr">
        <x:is>
          <x:t xml:space="preserve"/>
        </x:is>
      </x:c>
      <x:c r="P89" s="100" t="n"/>
      <x:c r="Q89" s="100" t="n"/>
      <x:c r="AC89" s="100" t="n"/>
      <x:c r="AD89" s="100" t="n"/>
      <x:c r="AE89" s="100" t="n"/>
      <x:c r="AF89" s="100" t="n"/>
      <x:c r="AG89" s="100" t="n"/>
      <x:c r="AH89" s="100" t="n"/>
      <x:c r="AI89" s="100" t="n"/>
      <x:c r="AK89" s="100" t="n"/>
      <x:c r="AM89" s="100" t="n"/>
      <x:c r="BC89" s="27" t="n">
        <x:v>-0.916666666666667</x:v>
      </x:c>
    </x:row>
    <x:row r="90" s="27" customFormat="1">
      <x:c r="A90" s="38" t="n"/>
      <x:c r="B90" s="37" t="n"/>
      <x:c r="C90" s="36" t="n">
        <x:f>E90*D$5</x:f>
        <x:v>36.66666666666668</x:v>
      </x:c>
      <x:c r="D90" s="66" t="inlineStr">
        <x:is>
          <x:t xml:space="preserve">The Public</x:t>
        </x:is>
      </x:c>
      <x:c r="E90" s="86" t="n">
        <x:f>SUM(G90:HS90)</x:f>
        <x:v>0.916666666666667</x:v>
      </x:c>
      <x:c r="F90" s="35" t="inlineStr">
        <x:is>
          <x:t xml:space="preserve"/>
        </x:is>
      </x:c>
      <x:c r="P90" s="100" t="n"/>
      <x:c r="Q90" s="100" t="n"/>
      <x:c r="AC90" s="100" t="n"/>
      <x:c r="AD90" s="100" t="n"/>
      <x:c r="AE90" s="100" t="n"/>
      <x:c r="AF90" s="100" t="n"/>
      <x:c r="AG90" s="100" t="n"/>
      <x:c r="AH90" s="100" t="n"/>
      <x:c r="AI90" s="100" t="n"/>
      <x:c r="AK90" s="100" t="n"/>
      <x:c r="AM90" s="100" t="n"/>
      <x:c r="BC90" s="27" t="n">
        <x:v>0.916666666666667</x:v>
      </x:c>
    </x:row>
    <x:row r="91" s="27" customFormat="1" ht="36" customHeight="1">
      <x:c r="A91" s="38" t="n"/>
      <x:c r="B91" s="37" t="n"/>
      <x:c r="C91" s="86" t="n">
        <x:f>E91*D$5</x:f>
        <x:v>-40</x:v>
      </x:c>
      <x:c r="D91" s="418" t="inlineStr">
        <x:is>
          <x:t xml:space="preserve">Kiowa County Court, RE: In the Matter of the Probate of The Last Will and Testament of Nancy Mitchell WILLIAMS, Deceased</x:t>
        </x:is>
      </x:c>
      <x:c r="E91" s="413" t="n">
        <x:f>SUM(G91:HS91)</x:f>
        <x:v>-1</x:v>
      </x:c>
      <x:c r="F91" s="35" t="inlineStr">
        <x:is>
          <x:t xml:space="preserve"/>
        </x:is>
      </x:c>
      <x:c r="P91" s="100" t="n"/>
      <x:c r="Q91" s="100" t="n"/>
      <x:c r="AC91" s="100" t="n"/>
      <x:c r="AD91" s="100" t="n"/>
      <x:c r="AE91" s="100" t="n"/>
      <x:c r="AF91" s="100" t="n"/>
      <x:c r="AG91" s="100" t="n"/>
      <x:c r="AH91" s="100" t="n"/>
      <x:c r="AI91" s="100" t="n"/>
      <x:c r="AK91" s="100" t="n"/>
      <x:c r="AM91" s="100" t="n"/>
      <x:c r="BD91" s="27" t="n">
        <x:v>-1</x:v>
      </x:c>
    </x:row>
    <x:row r="92" s="27" customFormat="1" ht="25.5" customHeight="1">
      <x:c r="A92" s="38" t="n"/>
      <x:c r="B92" s="37" t="inlineStr">
        <x:is>
          <x:t xml:space="preserve">HBP (base)</x:t>
        </x:is>
      </x:c>
      <x:c r="C92" s="36" t="n">
        <x:f>E92*D$5</x:f>
        <x:v>40</x:v>
      </x:c>
      <x:c r="D92" s="66" t="inlineStr">
        <x:is>
          <x:t xml:space="preserve">Gene G. Williams</x:t>
        </x:is>
      </x:c>
      <x:c r="E92" s="86" t="n">
        <x:f>SUM(G92:HS92)</x:f>
        <x:v>1</x:v>
      </x:c>
      <x:c r="F92" s="35" t="inlineStr">
        <x:is>
          <x:t xml:space="preserve"/>
        </x:is>
      </x:c>
      <x:c r="P92" s="100" t="n"/>
      <x:c r="Q92" s="100" t="n"/>
      <x:c r="AC92" s="100" t="n"/>
      <x:c r="AD92" s="100" t="n"/>
      <x:c r="AE92" s="100" t="n"/>
      <x:c r="AF92" s="100" t="n"/>
      <x:c r="AG92" s="100" t="n"/>
      <x:c r="AH92" s="100" t="n"/>
      <x:c r="AI92" s="100" t="n"/>
      <x:c r="AK92" s="100" t="n"/>
      <x:c r="AM92" s="100" t="n"/>
      <x:c r="BD92" s="27" t="n">
        <x:v>1</x:v>
      </x:c>
    </x:row>
    <x:row r="93" s="27" customFormat="1">
      <x:c r="A93" s="38" t="n"/>
      <x:c r="B93" s="37" t="n"/>
      <x:c r="C93" s="86" t="n">
        <x:f>E93*D$5</x:f>
        <x:v>0</x:v>
      </x:c>
      <x:c r="D93" s="66" t="inlineStr">
        <x:is>
          <x:t xml:space="preserve">Joseph A. Bain and Doris M. Bain, husband and wife</x:t>
        </x:is>
      </x:c>
      <x:c r="E93" s="86" t="n">
        <x:f>SUM(G93:HS93)</x:f>
        <x:v>0</x:v>
      </x:c>
      <x:c r="F93" s="35" t="inlineStr">
        <x:is>
          <x:t xml:space="preserve"/>
        </x:is>
      </x:c>
      <x:c r="P93" s="100" t="n"/>
      <x:c r="Q93" s="100" t="n"/>
      <x:c r="AC93" s="100" t="n"/>
      <x:c r="AD93" s="100" t="n"/>
      <x:c r="AE93" s="100" t="n"/>
      <x:c r="AF93" s="100" t="n"/>
      <x:c r="AG93" s="100" t="n"/>
      <x:c r="AH93" s="100" t="n"/>
      <x:c r="AI93" s="100" t="n"/>
      <x:c r="AK93" s="100" t="n"/>
      <x:c r="AM93" s="100" t="n"/>
    </x:row>
    <x:row r="94" s="27" customFormat="1">
      <x:c r="A94" s="38" t="n"/>
      <x:c r="B94" s="37" t="n"/>
      <x:c r="C94" s="36" t="n">
        <x:f>E94*D$5</x:f>
        <x:v>0</x:v>
      </x:c>
      <x:c r="D94" s="66" t="inlineStr">
        <x:is>
          <x:t xml:space="preserve">Anna T. Gibson Wichita</x:t>
        </x:is>
      </x:c>
      <x:c r="E94" s="86" t="n">
        <x:f>SUM(G94:HS94)</x:f>
        <x:v>0</x:v>
      </x:c>
      <x:c r="F94" s="35" t="inlineStr">
        <x:is>
          <x:t xml:space="preserve"/>
        </x:is>
      </x:c>
      <x:c r="P94" s="100" t="n"/>
      <x:c r="Q94" s="100" t="n"/>
      <x:c r="AC94" s="100" t="n"/>
      <x:c r="AD94" s="100" t="n"/>
      <x:c r="AE94" s="100" t="n"/>
      <x:c r="AF94" s="100" t="n"/>
      <x:c r="AG94" s="100" t="n"/>
      <x:c r="AH94" s="100" t="n"/>
      <x:c r="AI94" s="100" t="n"/>
      <x:c r="AK94" s="100" t="n"/>
      <x:c r="AM94" s="100" t="n"/>
    </x:row>
    <x:row r="95" s="27" customFormat="1">
      <x:c r="A95" s="38" t="n"/>
      <x:c r="B95" s="37" t="n"/>
      <x:c r="C95" s="86" t="n">
        <x:f>E95*D$5</x:f>
        <x:v>0</x:v>
      </x:c>
      <x:c r="D95" s="66" t="inlineStr">
        <x:is>
          <x:t xml:space="preserve">Ks</x:t>
        </x:is>
      </x:c>
      <x:c r="E95" s="86" t="n">
        <x:f>SUM(G95:HS95)</x:f>
        <x:v>0</x:v>
      </x:c>
      <x:c r="F95" s="35" t="inlineStr">
        <x:is>
          <x:t xml:space="preserve"/>
        </x:is>
      </x:c>
      <x:c r="P95" s="100" t="n"/>
      <x:c r="Q95" s="100" t="n"/>
      <x:c r="AC95" s="100" t="n"/>
      <x:c r="AD95" s="100" t="n"/>
      <x:c r="AE95" s="100" t="n"/>
      <x:c r="AF95" s="100" t="n"/>
      <x:c r="AG95" s="100" t="n"/>
      <x:c r="AH95" s="100" t="n"/>
      <x:c r="AI95" s="100" t="n"/>
      <x:c r="AK95" s="100" t="n"/>
      <x:c r="AM95" s="100" t="n"/>
    </x:row>
    <x:row r="96" s="27" customFormat="1">
      <x:c r="A96" s="38" t="n"/>
      <x:c r="B96" s="37" t="n"/>
      <x:c r="C96" s="36" t="n">
        <x:f>E96*D$5</x:f>
        <x:v>0</x:v>
      </x:c>
      <x:c r="D96" s="66" t="inlineStr">
        <x:is>
          <x:t xml:space="preserve">Confirm — Missing conveyed interest 2013-006585</x:t>
        </x:is>
      </x:c>
      <x:c r="E96" s="36" t="n">
        <x:f>SUM(G96:HS96)</x:f>
        <x:v>0</x:v>
      </x:c>
      <x:c r="F96" s="35" t="inlineStr">
        <x:is>
          <x:t xml:space="preserve"/>
        </x:is>
      </x:c>
      <x:c r="P96" s="100" t="n"/>
      <x:c r="Q96" s="100" t="n"/>
      <x:c r="AC96" s="100" t="n"/>
      <x:c r="AD96" s="100" t="n"/>
      <x:c r="AE96" s="100" t="n"/>
      <x:c r="AF96" s="100" t="n"/>
      <x:c r="AG96" s="100" t="n"/>
      <x:c r="AH96" s="100" t="n"/>
      <x:c r="AI96" s="100" t="n"/>
      <x:c r="AK96" s="100" t="n"/>
      <x:c r="AM96" s="100" t="n"/>
    </x:row>
    <x:row r="97" s="27" customFormat="1">
      <x:c r="A97" s="38" t="n"/>
      <x:c r="B97" s="37" t="n"/>
      <x:c r="C97" s="36" t="n">
        <x:f>E97*D$5</x:f>
        <x:v>-16.92307692307692</x:v>
      </x:c>
      <x:c r="D97" s="418" t="inlineStr">
        <x:is>
          <x:t xml:space="preserve">Luther Ervin Thurman and Veronica Gentry Thurman, HW</x:t>
        </x:is>
      </x:c>
      <x:c r="E97" s="411" t="n">
        <x:f>SUM(G97:HS97)</x:f>
        <x:v>-0.423076923076923</x:v>
      </x:c>
      <x:c r="F97" s="35" t="inlineStr">
        <x:is>
          <x:t xml:space="preserve"/>
        </x:is>
      </x:c>
      <x:c r="P97" s="100" t="n"/>
      <x:c r="Q97" s="100" t="n"/>
      <x:c r="AC97" s="100" t="n"/>
      <x:c r="AD97" s="100" t="n"/>
      <x:c r="AE97" s="100" t="n"/>
      <x:c r="AF97" s="100" t="n"/>
      <x:c r="AG97" s="100" t="n"/>
      <x:c r="AH97" s="100" t="n"/>
      <x:c r="AI97" s="100" t="n"/>
      <x:c r="AK97" s="100" t="n"/>
      <x:c r="AM97" s="100" t="n"/>
      <x:c r="BF97" s="27" t="n">
        <x:v>-0.423076923076923</x:v>
      </x:c>
    </x:row>
    <x:row r="98" s="27" customFormat="1" ht="48" customHeight="1">
      <x:c r="A98" s="38" t="n"/>
      <x:c r="B98" s="37" t="n"/>
      <x:c r="C98" s="36" t="n">
        <x:f>E98*D$5</x:f>
        <x:v>16.92307692307692</x:v>
      </x:c>
      <x:c r="D98" s="66" t="inlineStr">
        <x:is>
          <x:t xml:space="preserve">Luther Ervin Thurman and Veronica Gentry Thurman, Trustees or their successors in Trust under the Luther and Veronica Thurman Living Trust, a Revocable Trust, dated April 17, 2014, and any amendments thereto</x:t>
        </x:is>
      </x:c>
      <x:c r="E98" s="36" t="n">
        <x:f>SUM(G98:HS98)</x:f>
        <x:v>0.423076923076923</x:v>
      </x:c>
      <x:c r="F98" s="35" t="inlineStr">
        <x:is>
          <x:t xml:space="preserve"/>
        </x:is>
      </x:c>
      <x:c r="P98" s="100" t="n"/>
      <x:c r="Q98" s="100" t="n"/>
      <x:c r="AC98" s="100" t="n"/>
      <x:c r="AD98" s="100" t="n"/>
      <x:c r="AE98" s="100" t="n"/>
      <x:c r="AF98" s="100" t="n"/>
      <x:c r="AG98" s="100" t="n"/>
      <x:c r="AH98" s="100" t="n"/>
      <x:c r="AI98" s="100" t="n"/>
      <x:c r="AK98" s="100" t="n"/>
      <x:c r="AM98" s="100" t="n"/>
      <x:c r="BF98" s="27" t="n">
        <x:v>0.423076923076923</x:v>
      </x:c>
    </x:row>
    <x:row r="99" s="27" customFormat="1" ht="24" customHeight="1">
      <x:c r="A99" s="38" t="n"/>
      <x:c r="B99" s="37" t="n"/>
      <x:c r="C99" s="36" t="n">
        <x:f>E99*D$5</x:f>
        <x:v>-40</x:v>
      </x:c>
      <x:c r="D99" s="422" t="inlineStr">
        <x:is>
          <x:t xml:space="preserve">Cindy Lou Vignal, Trustee under the Luther and Veronica Thurman Living Trust, a Revocable Trust, dated April 17, 2014</x:t>
        </x:is>
      </x:c>
      <x:c r="E99" s="411" t="n">
        <x:f>SUM(G99:HS99)</x:f>
        <x:v>-1</x:v>
      </x:c>
      <x:c r="F99" s="35" t="inlineStr">
        <x:is>
          <x:t xml:space="preserve"/>
        </x:is>
      </x:c>
      <x:c r="P99" s="100" t="n"/>
      <x:c r="Q99" s="100" t="n"/>
      <x:c r="AC99" s="100" t="n"/>
      <x:c r="AD99" s="100" t="n"/>
      <x:c r="AE99" s="100" t="n"/>
      <x:c r="AF99" s="100" t="n"/>
      <x:c r="AG99" s="100" t="n"/>
      <x:c r="AH99" s="100" t="n"/>
      <x:c r="AI99" s="100" t="n"/>
      <x:c r="AK99" s="100" t="n"/>
      <x:c r="AM99" s="100" t="n"/>
      <x:c r="BG99" s="27" t="n">
        <x:v>-1</x:v>
      </x:c>
    </x:row>
    <x:row r="100" s="27" customFormat="1" ht="60" customHeight="1">
      <x:c r="A100" s="38" t="n"/>
      <x:c r="B100" s="37" t="n"/>
      <x:c r="C100" s="36" t="n">
        <x:f>E100*D$5</x:f>
        <x:v>40</x:v>
      </x:c>
      <x:c r="D100" s="523" t="inlineStr">
        <x:is>
          <x:t xml:space="preserve">Gary Wayne Vignal and Cindy Lou Vignal, Co-Trustees or their successors in Trust under the Gary and Cindy Vignal Living Trust, a Revocable Trust, dated September 20, 2018, and any amendments thereto 11598 N. 1800 Road Sayre, OK 73662</x:t>
        </x:is>
      </x:c>
      <x:c r="E100" s="36" t="n">
        <x:f>SUM(G100:HS100)</x:f>
        <x:v>1</x:v>
      </x:c>
      <x:c r="F100" s="35" t="inlineStr">
        <x:is>
          <x:t xml:space="preserve"/>
        </x:is>
      </x:c>
      <x:c r="P100" s="100" t="n"/>
      <x:c r="Q100" s="100" t="n"/>
      <x:c r="AC100" s="100" t="n"/>
      <x:c r="AD100" s="100" t="n"/>
      <x:c r="AE100" s="100" t="n"/>
      <x:c r="AF100" s="100" t="n"/>
      <x:c r="AG100" s="100" t="n"/>
      <x:c r="AH100" s="100" t="n"/>
      <x:c r="AI100" s="100" t="n"/>
      <x:c r="AK100" s="100" t="n"/>
      <x:c r="AM100" s="100" t="n"/>
      <x:c r="BG100" s="27" t="n">
        <x:v>1</x:v>
      </x:c>
    </x:row>
    <x:row r="101" s="27" customFormat="1" ht="25.5" customHeight="1">
      <x:c r="A101" s="38" t="n"/>
      <x:c r="B101" s="37" t="n"/>
      <x:c r="C101" s="36" t="n">
        <x:f>E101*D$5</x:f>
        <x:v>-40</x:v>
      </x:c>
      <x:c r="D101" s="420" t="inlineStr">
        <x:is>
          <x:t xml:space="preserve">Roger Mills County Court RE: In the Matter of the Estate of Audy C. Campbella/k/a A.C. CAMPBELL, Deceased</x:t>
        </x:is>
      </x:c>
      <x:c r="E101" s="411" t="n">
        <x:f>SUM(G101:HS101)</x:f>
        <x:v>-1</x:v>
      </x:c>
      <x:c r="F101" s="35" t="inlineStr">
        <x:is>
          <x:t xml:space="preserve"/>
        </x:is>
      </x:c>
      <x:c r="P101" s="100" t="n"/>
      <x:c r="Q101" s="100" t="n"/>
      <x:c r="AC101" s="100" t="n"/>
      <x:c r="AD101" s="100" t="n"/>
      <x:c r="AE101" s="100" t="n"/>
      <x:c r="AF101" s="100" t="n"/>
      <x:c r="AG101" s="100" t="n"/>
      <x:c r="AH101" s="100" t="n"/>
      <x:c r="AI101" s="100" t="n"/>
      <x:c r="AK101" s="100" t="n"/>
      <x:c r="AM101" s="100" t="n"/>
      <x:c r="BH101" s="27" t="n">
        <x:v>-1</x:v>
      </x:c>
    </x:row>
    <x:row r="102" s="27" customFormat="1">
      <x:c r="A102" s="38" t="n"/>
      <x:c r="B102" s="37" t="n"/>
      <x:c r="C102" s="36" t="n">
        <x:f>E102*D$5</x:f>
        <x:v>40</x:v>
      </x:c>
      <x:c r="D102" s="20" t="inlineStr">
        <x:is>
          <x:t xml:space="preserve">Janis F. Campbell</x:t>
        </x:is>
      </x:c>
      <x:c r="E102" s="36" t="n">
        <x:f>SUM(G102:HS102)</x:f>
        <x:v>1</x:v>
      </x:c>
      <x:c r="F102" s="35" t="inlineStr">
        <x:is>
          <x:t xml:space="preserve"/>
        </x:is>
      </x:c>
      <x:c r="P102" s="100" t="n"/>
      <x:c r="Q102" s="100" t="n"/>
      <x:c r="AC102" s="100" t="n"/>
      <x:c r="AD102" s="100" t="n"/>
      <x:c r="AE102" s="100" t="n"/>
      <x:c r="AF102" s="100" t="n"/>
      <x:c r="AG102" s="100" t="n"/>
      <x:c r="AH102" s="100" t="n"/>
      <x:c r="AI102" s="100" t="n"/>
      <x:c r="AK102" s="100" t="n"/>
      <x:c r="AM102" s="100" t="n"/>
      <x:c r="BH102" s="27" t="n">
        <x:v>1</x:v>
      </x:c>
    </x:row>
    <x:row r="103" s="27" customFormat="1">
      <x:c r="A103" s="38" t="n"/>
      <x:c r="B103" s="37" t="n"/>
      <x:c r="C103" s="36" t="n">
        <x:f>E103*D$5</x:f>
        <x:v>-40</x:v>
      </x:c>
      <x:c r="D103" s="420" t="inlineStr">
        <x:is>
          <x:t xml:space="preserve">Janis Fern Campbell</x:t>
        </x:is>
      </x:c>
      <x:c r="E103" s="411" t="n">
        <x:f>SUM(G103:HS103)</x:f>
        <x:v>-1</x:v>
      </x:c>
      <x:c r="F103" s="35" t="inlineStr">
        <x:is>
          <x:t xml:space="preserve"/>
        </x:is>
      </x:c>
      <x:c r="P103" s="100" t="n"/>
      <x:c r="Q103" s="100" t="n"/>
      <x:c r="AC103" s="100" t="n"/>
      <x:c r="AD103" s="100" t="n"/>
      <x:c r="AE103" s="100" t="n"/>
      <x:c r="AF103" s="100" t="n"/>
      <x:c r="AG103" s="100" t="n"/>
      <x:c r="AH103" s="100" t="n"/>
      <x:c r="AI103" s="100" t="n"/>
      <x:c r="AK103" s="100" t="n"/>
      <x:c r="AM103" s="100" t="n"/>
      <x:c r="BI103" s="27" t="n">
        <x:v>-1</x:v>
      </x:c>
    </x:row>
    <x:row r="104" s="27" customFormat="1">
      <x:c r="A104" s="38" t="n"/>
      <x:c r="B104" s="37" t="n"/>
      <x:c r="C104" s="36" t="n">
        <x:f>E104*D$5</x:f>
        <x:v>40</x:v>
      </x:c>
      <x:c r="D104" s="20" t="inlineStr">
        <x:is>
          <x:t xml:space="preserve">The Audy and Janis Campbell Family Trust</x:t>
        </x:is>
      </x:c>
      <x:c r="E104" s="36" t="n">
        <x:f>SUM(G104:HS104)</x:f>
        <x:v>1</x:v>
      </x:c>
      <x:c r="F104" s="35" t="inlineStr">
        <x:is>
          <x:t xml:space="preserve"/>
        </x:is>
      </x:c>
      <x:c r="P104" s="100" t="n"/>
      <x:c r="Q104" s="100" t="n"/>
      <x:c r="AC104" s="100" t="n"/>
      <x:c r="AD104" s="100" t="n"/>
      <x:c r="AE104" s="100" t="n"/>
      <x:c r="AF104" s="100" t="n"/>
      <x:c r="AG104" s="100" t="n"/>
      <x:c r="AH104" s="100" t="n"/>
      <x:c r="AI104" s="100" t="n"/>
      <x:c r="AK104" s="100" t="n"/>
      <x:c r="AM104" s="100" t="n"/>
      <x:c r="BI104" s="27" t="n">
        <x:v>1</x:v>
      </x:c>
    </x:row>
    <x:row r="105" s="27" customFormat="1">
      <x:c r="A105" s="38" t="n"/>
      <x:c r="B105" s="37" t="n"/>
      <x:c r="C105" s="36" t="n">
        <x:f>E105*D$5</x:f>
        <x:v>-40</x:v>
      </x:c>
      <x:c r="D105" s="420" t="inlineStr">
        <x:is>
          <x:t xml:space="preserve">Grizzly Operating, LLC, Vanguard Operating, LLC</x:t>
        </x:is>
      </x:c>
      <x:c r="E105" s="411" t="n">
        <x:f>SUM(G105:HS105)</x:f>
        <x:v>-1</x:v>
      </x:c>
      <x:c r="F105" s="35" t="inlineStr">
        <x:is>
          <x:t xml:space="preserve"/>
        </x:is>
      </x:c>
      <x:c r="P105" s="100" t="n"/>
      <x:c r="Q105" s="100" t="n"/>
      <x:c r="AC105" s="100" t="n"/>
      <x:c r="AD105" s="100" t="n"/>
      <x:c r="AE105" s="100" t="n"/>
      <x:c r="AF105" s="100" t="n"/>
      <x:c r="AG105" s="100" t="n"/>
      <x:c r="AH105" s="100" t="n"/>
      <x:c r="AI105" s="100" t="n"/>
      <x:c r="AK105" s="100" t="n"/>
      <x:c r="AM105" s="100" t="n"/>
      <x:c r="BJ105" s="27" t="n">
        <x:v>-1</x:v>
      </x:c>
    </x:row>
    <x:row r="106" s="27" customFormat="1">
      <x:c r="A106" s="38" t="n"/>
      <x:c r="B106" s="37" t="n"/>
      <x:c r="C106" s="36" t="n">
        <x:f>E106*D$5</x:f>
        <x:v>40</x:v>
      </x:c>
      <x:c r="D106" s="20" t="inlineStr">
        <x:is>
          <x:t xml:space="preserve">Psi Lke, LLC</x:t>
        </x:is>
      </x:c>
      <x:c r="E106" s="36" t="n">
        <x:f>SUM(G106:HS106)</x:f>
        <x:v>1</x:v>
      </x:c>
      <x:c r="F106" s="35" t="inlineStr">
        <x:is>
          <x:t xml:space="preserve"/>
        </x:is>
      </x:c>
      <x:c r="P106" s="100" t="n"/>
      <x:c r="Q106" s="100" t="n"/>
      <x:c r="AC106" s="100" t="n"/>
      <x:c r="AD106" s="100" t="n"/>
      <x:c r="AE106" s="100" t="n"/>
      <x:c r="AF106" s="100" t="n"/>
      <x:c r="AG106" s="100" t="n"/>
      <x:c r="AH106" s="100" t="n"/>
      <x:c r="AI106" s="100" t="n"/>
      <x:c r="AK106" s="100" t="n"/>
      <x:c r="AM106" s="100" t="n"/>
      <x:c r="BJ106" s="27" t="n">
        <x:v>1</x:v>
      </x:c>
    </x:row>
    <x:row r="107" s="27" customFormat="1">
      <x:c r="A107" s="38" t="n"/>
      <x:c r="B107" s="37" t="n"/>
      <x:c r="C107" s="36" t="n">
        <x:f>E107*D$5</x:f>
        <x:v>-40</x:v>
      </x:c>
      <x:c r="D107" s="420" t="inlineStr">
        <x:is>
          <x:t xml:space="preserve">Eleanore Wheeler aka Eleanor Wheeler, single</x:t>
        </x:is>
      </x:c>
      <x:c r="E107" s="411" t="n">
        <x:f>SUM(G107:HS107)</x:f>
        <x:v>-1</x:v>
      </x:c>
      <x:c r="F107" s="35" t="inlineStr">
        <x:is>
          <x:t xml:space="preserve"/>
        </x:is>
      </x:c>
      <x:c r="P107" s="100" t="n"/>
      <x:c r="Q107" s="100" t="n"/>
      <x:c r="AC107" s="100" t="n"/>
      <x:c r="AD107" s="100" t="n"/>
      <x:c r="AE107" s="100" t="n"/>
      <x:c r="AF107" s="100" t="n"/>
      <x:c r="AG107" s="100" t="n"/>
      <x:c r="AH107" s="100" t="n"/>
      <x:c r="AI107" s="100" t="n"/>
      <x:c r="AK107" s="100" t="n"/>
      <x:c r="AM107" s="100" t="n"/>
      <x:c r="BK107" s="27" t="n">
        <x:v>-1</x:v>
      </x:c>
    </x:row>
    <x:row r="108" s="27" customFormat="1" ht="25.5" customHeight="1">
      <x:c r="A108" s="38" t="n"/>
      <x:c r="B108" s="37" t="n"/>
      <x:c r="C108" s="36" t="n">
        <x:f>E108*D$5</x:f>
        <x:v>40</x:v>
      </x:c>
      <x:c r="D108" s="20" t="inlineStr">
        <x:is>
          <x:t xml:space="preserve">Eleanore Wheeler and Shirley Wheeler, mother and daughter, JTWROS</x:t>
        </x:is>
      </x:c>
      <x:c r="E108" s="36" t="n">
        <x:f>SUM(G108:HS108)</x:f>
        <x:v>1</x:v>
      </x:c>
      <x:c r="F108" s="35" t="inlineStr">
        <x:is>
          <x:t xml:space="preserve"/>
        </x:is>
      </x:c>
      <x:c r="P108" s="100" t="n"/>
      <x:c r="Q108" s="100" t="n"/>
      <x:c r="AC108" s="100" t="n"/>
      <x:c r="AD108" s="100" t="n"/>
      <x:c r="AE108" s="100" t="n"/>
      <x:c r="AF108" s="100" t="n"/>
      <x:c r="AG108" s="100" t="n"/>
      <x:c r="AH108" s="100" t="n"/>
      <x:c r="AI108" s="100" t="n"/>
      <x:c r="AK108" s="100" t="n"/>
      <x:c r="AM108" s="100" t="n"/>
      <x:c r="BK108" s="27" t="n">
        <x:v>1</x:v>
      </x:c>
    </x:row>
    <x:row r="109" s="27" customFormat="1">
      <x:c r="A109" s="38" t="n"/>
      <x:c r="B109" s="37" t="n"/>
      <x:c r="C109" s="36" t="n">
        <x:f>E109*D$5</x:f>
        <x:v>-40</x:v>
      </x:c>
      <x:c r="D109" s="420" t="inlineStr">
        <x:is>
          <x:t xml:space="preserve">Clint Roy Kirk</x:t>
        </x:is>
      </x:c>
      <x:c r="E109" s="411" t="n">
        <x:f>SUM(G109:HS109)</x:f>
        <x:v>-1</x:v>
      </x:c>
      <x:c r="F109" s="35" t="inlineStr">
        <x:is>
          <x:t xml:space="preserve"/>
        </x:is>
      </x:c>
      <x:c r="P109" s="100" t="n"/>
      <x:c r="Q109" s="100" t="n"/>
      <x:c r="AC109" s="100" t="n"/>
      <x:c r="AD109" s="100" t="n"/>
      <x:c r="AE109" s="100" t="n"/>
      <x:c r="AF109" s="100" t="n"/>
      <x:c r="AG109" s="100" t="n"/>
      <x:c r="AH109" s="100" t="n"/>
      <x:c r="AI109" s="100" t="n"/>
      <x:c r="AK109" s="100" t="n"/>
      <x:c r="AM109" s="100" t="n"/>
      <x:c r="BL109" s="27" t="n">
        <x:v>-1</x:v>
      </x:c>
    </x:row>
    <x:row r="110" s="27" customFormat="1">
      <x:c r="A110" s="38" t="n"/>
      <x:c r="B110" s="37" t="n"/>
      <x:c r="C110" s="36" t="n">
        <x:f>E110*D$5</x:f>
        <x:v>0</x:v>
      </x:c>
      <x:c r="D110" s="20" t="inlineStr">
        <x:is>
          <x:t xml:space="preserve">J and A Minerals, LLC</x:t>
        </x:is>
      </x:c>
      <x:c r="E110" s="36" t="n">
        <x:f>SUM(G110:HS110)</x:f>
        <x:v>0</x:v>
      </x:c>
      <x:c r="F110" s="35" t="inlineStr">
        <x:is>
          <x:t xml:space="preserve"/>
        </x:is>
      </x:c>
      <x:c r="P110" s="100" t="n"/>
      <x:c r="Q110" s="100" t="n"/>
      <x:c r="AC110" s="100" t="n"/>
      <x:c r="AD110" s="100" t="n"/>
      <x:c r="AE110" s="100" t="n"/>
      <x:c r="AF110" s="100" t="n"/>
      <x:c r="AG110" s="100" t="n"/>
      <x:c r="AH110" s="100" t="n"/>
      <x:c r="AI110" s="100" t="n"/>
      <x:c r="AK110" s="100" t="n"/>
      <x:c r="AM110" s="100" t="n"/>
      <x:c r="BL110" s="27" t="n">
        <x:v>1</x:v>
      </x:c>
      <x:c r="BM110" s="27" t="n">
        <x:v>-1</x:v>
      </x:c>
    </x:row>
    <x:row r="111" s="27" customFormat="1">
      <x:c r="A111" s="38" t="n"/>
      <x:c r="B111" s="37" t="inlineStr">
        <x:is>
          <x:t xml:space="preserve">—</x:t>
        </x:is>
      </x:c>
      <x:c r="C111" s="36" t="n">
        <x:f>E111*D$5</x:f>
        <x:v>40</x:v>
      </x:c>
      <x:c r="D111" s="20" t="inlineStr">
        <x:is>
          <x:t xml:space="preserve">Pine Tree Energy Partners, LLC</x:t>
        </x:is>
      </x:c>
      <x:c r="E111" s="36" t="n">
        <x:f>SUM(G111:HS111)</x:f>
        <x:v>1</x:v>
      </x:c>
      <x:c r="F111" s="35" t="inlineStr">
        <x:is>
          <x:t xml:space="preserve"/>
        </x:is>
      </x:c>
      <x:c r="P111" s="100" t="n"/>
      <x:c r="Q111" s="100" t="n"/>
      <x:c r="AC111" s="100" t="n"/>
      <x:c r="AD111" s="100" t="n"/>
      <x:c r="AE111" s="100" t="n"/>
      <x:c r="AF111" s="100" t="n"/>
      <x:c r="AG111" s="100" t="n"/>
      <x:c r="AH111" s="100" t="n"/>
      <x:c r="AI111" s="100" t="n"/>
      <x:c r="AK111" s="100" t="n"/>
      <x:c r="AM111" s="100" t="n"/>
      <x:c r="BM111" s="27" t="n">
        <x:v>1</x:v>
      </x:c>
    </x:row>
    <x:row r="112" s="27" customFormat="1">
      <x:c r="A112" s="38" t="n"/>
      <x:c r="B112" s="37" t="n"/>
      <x:c r="C112" s="36" t="n">
        <x:f>E112*D$5</x:f>
        <x:v>-40</x:v>
      </x:c>
      <x:c r="D112" s="420" t="inlineStr">
        <x:is>
          <x:t xml:space="preserve">Herbert E. McGuire and Claude J. McGuire, HW</x:t>
        </x:is>
      </x:c>
      <x:c r="E112" s="411" t="n">
        <x:f>SUM(G112:HS112)</x:f>
        <x:v>-1</x:v>
      </x:c>
      <x:c r="F112" s="35" t="inlineStr">
        <x:is>
          <x:t xml:space="preserve"/>
        </x:is>
      </x:c>
      <x:c r="P112" s="100" t="n"/>
      <x:c r="Q112" s="100" t="n"/>
      <x:c r="AC112" s="100" t="n"/>
      <x:c r="AD112" s="100" t="n"/>
      <x:c r="AE112" s="100" t="n"/>
      <x:c r="AF112" s="100" t="n"/>
      <x:c r="AG112" s="100" t="n"/>
      <x:c r="AH112" s="100" t="n"/>
      <x:c r="AI112" s="100" t="n"/>
      <x:c r="AK112" s="100" t="n"/>
      <x:c r="AM112" s="100" t="n"/>
      <x:c r="BN112" s="27" t="n">
        <x:v>-1</x:v>
      </x:c>
    </x:row>
    <x:row r="113" s="27" customFormat="1">
      <x:c r="A113" s="38" t="n"/>
      <x:c r="B113" s="37" t="n"/>
      <x:c r="C113" s="36" t="n">
        <x:f>E113*D$5</x:f>
        <x:v>40</x:v>
      </x:c>
      <x:c r="D113" s="20" t="inlineStr">
        <x:is>
          <x:t xml:space="preserve">E. T. Gamble</x:t>
        </x:is>
      </x:c>
      <x:c r="E113" s="36" t="n">
        <x:f>SUM(G113:HS113)</x:f>
        <x:v>1</x:v>
      </x:c>
      <x:c r="F113" s="35" t="inlineStr">
        <x:is>
          <x:t xml:space="preserve"/>
        </x:is>
      </x:c>
      <x:c r="P113" s="100" t="n"/>
      <x:c r="Q113" s="100" t="n"/>
      <x:c r="AC113" s="100" t="n"/>
      <x:c r="AD113" s="100" t="n"/>
      <x:c r="AE113" s="100" t="n"/>
      <x:c r="AF113" s="100" t="n"/>
      <x:c r="AG113" s="100" t="n"/>
      <x:c r="AH113" s="100" t="n"/>
      <x:c r="AI113" s="100" t="n"/>
      <x:c r="AK113" s="100" t="n"/>
      <x:c r="AM113" s="100" t="n"/>
      <x:c r="BN113" s="27" t="n">
        <x:v>1</x:v>
      </x:c>
    </x:row>
    <x:row r="114" s="27" customFormat="1">
      <x:c r="A114" s="38" t="n"/>
      <x:c r="B114" s="37" t="n"/>
      <x:c r="C114" s="36" t="n">
        <x:f>E114*D$5</x:f>
        <x:v>-40</x:v>
      </x:c>
      <x:c r="D114" s="420" t="inlineStr">
        <x:is>
          <x:t xml:space="preserve">Lee Aulbert and Mollie Aulbert, HW</x:t>
        </x:is>
      </x:c>
      <x:c r="E114" s="411" t="n">
        <x:f>SUM(G114:HS114)</x:f>
        <x:v>-1</x:v>
      </x:c>
      <x:c r="F114" s="35" t="inlineStr">
        <x:is>
          <x:t xml:space="preserve"/>
        </x:is>
      </x:c>
      <x:c r="P114" s="100" t="n"/>
      <x:c r="Q114" s="100" t="n"/>
      <x:c r="AC114" s="100" t="n"/>
      <x:c r="AD114" s="100" t="n"/>
      <x:c r="AE114" s="100" t="n"/>
      <x:c r="AF114" s="100" t="n"/>
      <x:c r="AG114" s="100" t="n"/>
      <x:c r="AH114" s="100" t="n"/>
      <x:c r="AI114" s="100" t="n"/>
      <x:c r="AK114" s="100" t="n"/>
      <x:c r="AM114" s="100" t="n"/>
      <x:c r="BO114" s="27" t="n">
        <x:v>-1</x:v>
      </x:c>
    </x:row>
    <x:row r="115" s="27" customFormat="1">
      <x:c r="A115" s="38" t="n"/>
      <x:c r="B115" s="37" t="n"/>
      <x:c r="C115" s="36" t="n">
        <x:f>E115*D$5</x:f>
        <x:v>-20</x:v>
      </x:c>
      <x:c r="D115" s="420" t="inlineStr">
        <x:is>
          <x:t xml:space="preserve">H. M. Carter and Mrs Ethel Carter, HW</x:t>
        </x:is>
      </x:c>
      <x:c r="E115" s="411" t="n">
        <x:f>SUM(G115:HS115)</x:f>
        <x:v>-0.5</x:v>
      </x:c>
      <x:c r="F115" s="35" t="inlineStr">
        <x:is>
          <x:t xml:space="preserve"/>
        </x:is>
      </x:c>
      <x:c r="P115" s="100" t="n"/>
      <x:c r="Q115" s="100" t="n"/>
      <x:c r="AC115" s="100" t="n"/>
      <x:c r="AD115" s="100" t="n"/>
      <x:c r="AE115" s="100" t="n"/>
      <x:c r="AF115" s="100" t="n"/>
      <x:c r="AG115" s="100" t="n"/>
      <x:c r="AH115" s="100" t="n"/>
      <x:c r="AI115" s="100" t="n"/>
      <x:c r="AK115" s="100" t="n"/>
      <x:c r="AM115" s="100" t="n"/>
      <x:c r="BP115" s="27" t="n">
        <x:v>-0.5</x:v>
      </x:c>
    </x:row>
    <x:row r="116" s="27" customFormat="1" ht="25.5" customHeight="1">
      <x:c r="A116" s="38" t="n"/>
      <x:c r="B116" s="37" t="n"/>
      <x:c r="C116" s="36" t="n">
        <x:f>E116*D$5</x:f>
        <x:v>-40</x:v>
      </x:c>
      <x:c r="D116" s="420" t="inlineStr">
        <x:is>
          <x:t xml:space="preserve">Kiowa County Court, RE: In the Matter of the Estate of Carrie Lou Mitchell, Deceased</x:t>
        </x:is>
      </x:c>
      <x:c r="E116" s="411" t="n">
        <x:f>SUM(G116:HS116)</x:f>
        <x:v>-1</x:v>
      </x:c>
      <x:c r="F116" s="35" t="inlineStr">
        <x:is>
          <x:t xml:space="preserve"/>
        </x:is>
      </x:c>
      <x:c r="P116" s="100" t="n"/>
      <x:c r="Q116" s="100" t="n"/>
      <x:c r="AC116" s="100" t="n"/>
      <x:c r="AD116" s="100" t="n"/>
      <x:c r="AE116" s="100" t="n"/>
      <x:c r="AF116" s="100" t="n"/>
      <x:c r="AG116" s="100" t="n"/>
      <x:c r="AH116" s="100" t="n"/>
      <x:c r="AI116" s="100" t="n"/>
      <x:c r="AK116" s="100" t="n"/>
      <x:c r="AM116" s="100" t="n"/>
      <x:c r="BQ116" s="27" t="n">
        <x:v>-1</x:v>
      </x:c>
    </x:row>
    <x:row r="117" s="27" customFormat="1">
      <x:c r="A117" s="38" t="n"/>
      <x:c r="B117" s="37" t="n"/>
      <x:c r="C117" s="36" t="n">
        <x:f>E117*D$5</x:f>
        <x:v>10</x:v>
      </x:c>
      <x:c r="D117" s="20" t="inlineStr">
        <x:is>
          <x:t xml:space="preserve">Gena Williams</x:t>
        </x:is>
      </x:c>
      <x:c r="E117" s="36" t="n">
        <x:f>SUM(G117:HS117)</x:f>
        <x:v>0.25</x:v>
      </x:c>
      <x:c r="F117" s="35" t="inlineStr">
        <x:is>
          <x:t xml:space="preserve"/>
        </x:is>
      </x:c>
      <x:c r="P117" s="100" t="n"/>
      <x:c r="Q117" s="100" t="n"/>
      <x:c r="AC117" s="100" t="n"/>
      <x:c r="AD117" s="100" t="n"/>
      <x:c r="AE117" s="100" t="n"/>
      <x:c r="AF117" s="100" t="n"/>
      <x:c r="AG117" s="100" t="n"/>
      <x:c r="AH117" s="100" t="n"/>
      <x:c r="AI117" s="100" t="n"/>
      <x:c r="AK117" s="100" t="n"/>
      <x:c r="AM117" s="100" t="n"/>
      <x:c r="BQ117" s="27" t="n">
        <x:v>0.25</x:v>
      </x:c>
    </x:row>
    <x:row r="118" s="27" customFormat="1">
      <x:c r="A118" s="38" t="n"/>
      <x:c r="B118" s="37" t="n"/>
      <x:c r="C118" s="36" t="n">
        <x:f>E118*D$5</x:f>
        <x:v>10</x:v>
      </x:c>
      <x:c r="D118" s="20" t="inlineStr">
        <x:is>
          <x:t xml:space="preserve">Carrie Leeann Williams</x:t>
        </x:is>
      </x:c>
      <x:c r="E118" s="36" t="n">
        <x:f>SUM(G118:HS118)</x:f>
        <x:v>0.25</x:v>
      </x:c>
      <x:c r="F118" s="35" t="inlineStr">
        <x:is>
          <x:t xml:space="preserve"/>
        </x:is>
      </x:c>
      <x:c r="P118" s="100" t="n"/>
      <x:c r="Q118" s="100" t="n"/>
      <x:c r="AC118" s="100" t="n"/>
      <x:c r="AD118" s="100" t="n"/>
      <x:c r="AE118" s="100" t="n"/>
      <x:c r="AF118" s="100" t="n"/>
      <x:c r="AG118" s="100" t="n"/>
      <x:c r="AH118" s="100" t="n"/>
      <x:c r="AI118" s="100" t="n"/>
      <x:c r="AK118" s="100" t="n"/>
      <x:c r="AM118" s="100" t="n"/>
      <x:c r="BQ118" s="27" t="n">
        <x:v>0.25</x:v>
      </x:c>
    </x:row>
    <x:row r="119" s="27" customFormat="1">
      <x:c r="A119" s="38" t="n"/>
      <x:c r="B119" s="37" t="n"/>
      <x:c r="C119" s="36" t="n">
        <x:f>E119*D$5</x:f>
        <x:v>10</x:v>
      </x:c>
      <x:c r="D119" s="20" t="inlineStr">
        <x:is>
          <x:t xml:space="preserve">Nancy Susan Mitchell</x:t>
        </x:is>
      </x:c>
      <x:c r="E119" s="36" t="n">
        <x:f>SUM(G119:HS119)</x:f>
        <x:v>0.25</x:v>
      </x:c>
      <x:c r="F119" s="35" t="inlineStr">
        <x:is>
          <x:t xml:space="preserve"/>
        </x:is>
      </x:c>
      <x:c r="P119" s="100" t="n"/>
      <x:c r="Q119" s="100" t="n"/>
      <x:c r="AC119" s="100" t="n"/>
      <x:c r="AD119" s="100" t="n"/>
      <x:c r="AE119" s="100" t="n"/>
      <x:c r="AF119" s="100" t="n"/>
      <x:c r="AG119" s="100" t="n"/>
      <x:c r="AH119" s="100" t="n"/>
      <x:c r="AI119" s="100" t="n"/>
      <x:c r="AK119" s="100" t="n"/>
      <x:c r="AM119" s="100" t="n"/>
      <x:c r="BQ119" s="27" t="n">
        <x:v>0.25</x:v>
      </x:c>
    </x:row>
    <x:row r="120" s="27" customFormat="1">
      <x:c r="A120" s="38" t="n"/>
      <x:c r="B120" s="37" t="n"/>
      <x:c r="C120" s="36" t="n">
        <x:f>E120*D$5</x:f>
        <x:v>-40</x:v>
      </x:c>
      <x:c r="D120" s="420" t="inlineStr">
        <x:is>
          <x:t xml:space="preserve">United States of America</x:t>
        </x:is>
      </x:c>
      <x:c r="E120" s="411" t="n">
        <x:f>SUM(G120:HS120)</x:f>
        <x:v>-1</x:v>
      </x:c>
      <x:c r="F120" s="35" t="inlineStr">
        <x:is>
          <x:t xml:space="preserve"/>
        </x:is>
      </x:c>
      <x:c r="P120" s="100" t="n"/>
      <x:c r="Q120" s="100" t="n"/>
      <x:c r="AC120" s="100" t="n"/>
      <x:c r="AD120" s="100" t="n"/>
      <x:c r="AE120" s="100" t="n"/>
      <x:c r="AF120" s="100" t="n"/>
      <x:c r="AG120" s="100" t="n"/>
      <x:c r="AH120" s="100" t="n"/>
      <x:c r="AI120" s="100" t="n"/>
      <x:c r="AK120" s="100" t="n"/>
      <x:c r="AM120" s="100" t="n"/>
      <x:c r="BR120" s="27" t="n">
        <x:v>-1</x:v>
      </x:c>
    </x:row>
    <x:row r="121" s="27" customFormat="1">
      <x:c r="A121" s="38" t="n"/>
      <x:c r="B121" s="37" t="n"/>
      <x:c r="C121" s="36" t="n">
        <x:f>E121*D$5</x:f>
        <x:v>40</x:v>
      </x:c>
      <x:c r="D121" s="20" t="inlineStr">
        <x:is>
          <x:t xml:space="preserve">Herbert E. McGuire</x:t>
        </x:is>
      </x:c>
      <x:c r="E121" s="36" t="n">
        <x:f>SUM(G121:HS121)</x:f>
        <x:v>1</x:v>
      </x:c>
      <x:c r="F121" s="35" t="inlineStr">
        <x:is>
          <x:t xml:space="preserve"/>
        </x:is>
      </x:c>
      <x:c r="P121" s="100" t="n"/>
      <x:c r="Q121" s="100" t="n"/>
      <x:c r="AC121" s="100" t="n"/>
      <x:c r="AD121" s="100" t="n"/>
      <x:c r="AE121" s="100" t="n"/>
      <x:c r="AF121" s="100" t="n"/>
      <x:c r="AG121" s="100" t="n"/>
      <x:c r="AH121" s="100" t="n"/>
      <x:c r="AI121" s="100" t="n"/>
      <x:c r="AK121" s="100" t="n"/>
      <x:c r="AM121" s="100" t="n"/>
      <x:c r="BR121" s="27" t="n">
        <x:v>1</x:v>
      </x:c>
    </x:row>
    <x:row r="122" s="27" customFormat="1">
      <x:c r="A122" s="38" t="n"/>
      <x:c r="B122" s="37" t="n"/>
      <x:c r="C122" s="36" t="n">
        <x:f>E122*D$5</x:f>
        <x:v>0</x:v>
      </x:c>
      <x:c r="D122" s="20" t="n"/>
      <x:c r="E122" s="36" t="n">
        <x:f>SUM(G122:HS122)</x:f>
        <x:v>0</x:v>
      </x:c>
      <x:c r="P122" s="100" t="n"/>
      <x:c r="Q122" s="100" t="n"/>
      <x:c r="AC122" s="100" t="n"/>
      <x:c r="AD122" s="100" t="n"/>
      <x:c r="AE122" s="100" t="n"/>
      <x:c r="AF122" s="100" t="n"/>
      <x:c r="AG122" s="100" t="n"/>
      <x:c r="AH122" s="100" t="n"/>
      <x:c r="AI122" s="100" t="n"/>
      <x:c r="AK122" s="100" t="n"/>
      <x:c r="AM122" s="100" t="n"/>
    </x:row>
    <x:row r="123" s="27" customFormat="1">
      <x:c r="A123" s="38" t="n"/>
      <x:c r="B123" s="37" t="n"/>
      <x:c r="C123" s="36" t="n">
        <x:f>E123*D$5</x:f>
        <x:v>0</x:v>
      </x:c>
      <x:c r="D123" s="20" t="n"/>
      <x:c r="E123" s="36" t="n">
        <x:f>SUM(G123:HS123)</x:f>
        <x:v>0</x:v>
      </x:c>
      <x:c r="P123" s="100" t="n"/>
      <x:c r="Q123" s="100" t="n"/>
      <x:c r="AC123" s="100" t="n"/>
      <x:c r="AD123" s="100" t="n"/>
      <x:c r="AE123" s="100" t="n"/>
      <x:c r="AF123" s="100" t="n"/>
      <x:c r="AG123" s="100" t="n"/>
      <x:c r="AH123" s="100" t="n"/>
      <x:c r="AI123" s="100" t="n"/>
      <x:c r="AK123" s="100" t="n"/>
      <x:c r="AM123" s="100" t="n"/>
    </x:row>
    <x:row r="124" s="27" customFormat="1">
      <x:c r="A124" s="38" t="n"/>
      <x:c r="B124" s="37" t="n"/>
      <x:c r="C124" s="36" t="n">
        <x:f>E124*D$5</x:f>
        <x:v>0</x:v>
      </x:c>
      <x:c r="D124" s="20" t="n"/>
      <x:c r="E124" s="36" t="n">
        <x:f>SUM(G124:HS124)</x:f>
        <x:v>0</x:v>
      </x:c>
      <x:c r="P124" s="100" t="n"/>
      <x:c r="Q124" s="100" t="n"/>
      <x:c r="AC124" s="100" t="n"/>
      <x:c r="AD124" s="100" t="n"/>
      <x:c r="AE124" s="100" t="n"/>
      <x:c r="AF124" s="100" t="n"/>
      <x:c r="AG124" s="100" t="n"/>
      <x:c r="AH124" s="100" t="n"/>
      <x:c r="AI124" s="100" t="n"/>
      <x:c r="AK124" s="100" t="n"/>
      <x:c r="AM124" s="100" t="n"/>
    </x:row>
    <x:row r="125" s="27" customFormat="1">
      <x:c r="A125" s="38" t="n"/>
      <x:c r="B125" s="37" t="n"/>
      <x:c r="C125" s="36" t="n">
        <x:f>E125*D$5</x:f>
        <x:v>0</x:v>
      </x:c>
      <x:c r="D125" s="20" t="n"/>
      <x:c r="E125" s="36" t="n">
        <x:f>SUM(G125:HS125)</x:f>
        <x:v>0</x:v>
      </x:c>
      <x:c r="P125" s="100" t="n"/>
      <x:c r="Q125" s="100" t="n"/>
      <x:c r="AC125" s="100" t="n"/>
      <x:c r="AD125" s="100" t="n"/>
      <x:c r="AE125" s="100" t="n"/>
      <x:c r="AF125" s="100" t="n"/>
      <x:c r="AG125" s="100" t="n"/>
      <x:c r="AH125" s="100" t="n"/>
      <x:c r="AI125" s="100" t="n"/>
      <x:c r="AK125" s="100" t="n"/>
      <x:c r="AM125" s="100" t="n"/>
    </x:row>
    <x:row r="126" s="27" customFormat="1">
      <x:c r="A126" s="38" t="n"/>
      <x:c r="B126" s="37" t="n"/>
      <x:c r="C126" s="36" t="n">
        <x:f>E126*D$5</x:f>
        <x:v>0</x:v>
      </x:c>
      <x:c r="D126" s="20" t="n"/>
      <x:c r="E126" s="36" t="n">
        <x:f>SUM(G126:HS126)</x:f>
        <x:v>0</x:v>
      </x:c>
      <x:c r="P126" s="100" t="n"/>
      <x:c r="Q126" s="100" t="n"/>
      <x:c r="AC126" s="100" t="n"/>
      <x:c r="AD126" s="100" t="n"/>
      <x:c r="AE126" s="100" t="n"/>
      <x:c r="AF126" s="100" t="n"/>
      <x:c r="AG126" s="100" t="n"/>
      <x:c r="AH126" s="100" t="n"/>
      <x:c r="AI126" s="100" t="n"/>
      <x:c r="AK126" s="100" t="n"/>
      <x:c r="AM126" s="100" t="n"/>
    </x:row>
    <x:row r="127" s="27" customFormat="1">
      <x:c r="A127" s="38" t="n"/>
      <x:c r="B127" s="37" t="n"/>
      <x:c r="C127" s="36" t="n">
        <x:f>E127*D$5</x:f>
        <x:v>0</x:v>
      </x:c>
      <x:c r="D127" s="20" t="n"/>
      <x:c r="E127" s="36" t="n">
        <x:f>SUM(G127:HS127)</x:f>
        <x:v>0</x:v>
      </x:c>
      <x:c r="P127" s="100" t="n"/>
      <x:c r="Q127" s="100" t="n"/>
      <x:c r="AC127" s="100" t="n"/>
      <x:c r="AD127" s="100" t="n"/>
      <x:c r="AE127" s="100" t="n"/>
      <x:c r="AF127" s="100" t="n"/>
      <x:c r="AG127" s="100" t="n"/>
      <x:c r="AH127" s="100" t="n"/>
      <x:c r="AI127" s="100" t="n"/>
      <x:c r="AK127" s="100" t="n"/>
      <x:c r="AM127" s="100" t="n"/>
    </x:row>
    <x:row r="128" s="27" customFormat="1">
      <x:c r="A128" s="38" t="n"/>
      <x:c r="B128" s="37" t="n"/>
      <x:c r="C128" s="36" t="n">
        <x:f>E128*D$5</x:f>
        <x:v>0</x:v>
      </x:c>
      <x:c r="D128" s="20" t="n"/>
      <x:c r="E128" s="36" t="n">
        <x:f>SUM(G128:HS128)</x:f>
        <x:v>0</x:v>
      </x:c>
      <x:c r="P128" s="100" t="n"/>
      <x:c r="Q128" s="100" t="n"/>
      <x:c r="AC128" s="100" t="n"/>
      <x:c r="AD128" s="100" t="n"/>
      <x:c r="AE128" s="100" t="n"/>
      <x:c r="AF128" s="100" t="n"/>
      <x:c r="AG128" s="100" t="n"/>
      <x:c r="AH128" s="100" t="n"/>
      <x:c r="AI128" s="100" t="n"/>
      <x:c r="AK128" s="100" t="n"/>
      <x:c r="AM128" s="100" t="n"/>
    </x:row>
    <x:row r="129" s="27" customFormat="1">
      <x:c r="A129" s="38" t="n"/>
      <x:c r="B129" s="37" t="n"/>
      <x:c r="C129" s="36" t="n">
        <x:f>E129*D$5</x:f>
        <x:v>0</x:v>
      </x:c>
      <x:c r="D129" s="20" t="n"/>
      <x:c r="E129" s="36" t="n">
        <x:f>SUM(G129:HS129)</x:f>
        <x:v>0</x:v>
      </x:c>
      <x:c r="P129" s="100" t="n"/>
      <x:c r="Q129" s="100" t="n"/>
      <x:c r="AC129" s="100" t="n"/>
      <x:c r="AD129" s="100" t="n"/>
      <x:c r="AE129" s="100" t="n"/>
      <x:c r="AF129" s="100" t="n"/>
      <x:c r="AG129" s="100" t="n"/>
      <x:c r="AH129" s="100" t="n"/>
      <x:c r="AI129" s="100" t="n"/>
      <x:c r="AK129" s="100" t="n"/>
      <x:c r="AM129" s="100" t="n"/>
    </x:row>
    <x:row r="130" s="27" customFormat="1">
      <x:c r="A130" s="38" t="n"/>
      <x:c r="B130" s="37" t="n"/>
      <x:c r="C130" s="36" t="n">
        <x:f>E130*D$5</x:f>
        <x:v>0</x:v>
      </x:c>
      <x:c r="D130" s="20" t="n"/>
      <x:c r="E130" s="36" t="n">
        <x:f>SUM(G130:HS130)</x:f>
        <x:v>0</x:v>
      </x:c>
      <x:c r="P130" s="100" t="n"/>
      <x:c r="Q130" s="100" t="n"/>
      <x:c r="AC130" s="100" t="n"/>
      <x:c r="AD130" s="100" t="n"/>
      <x:c r="AE130" s="100" t="n"/>
      <x:c r="AF130" s="100" t="n"/>
      <x:c r="AG130" s="100" t="n"/>
      <x:c r="AH130" s="100" t="n"/>
      <x:c r="AI130" s="100" t="n"/>
      <x:c r="AK130" s="100" t="n"/>
      <x:c r="AM130" s="100" t="n"/>
    </x:row>
    <x:row r="131" s="27" customFormat="1">
      <x:c r="A131" s="38" t="n"/>
      <x:c r="B131" s="37" t="n"/>
      <x:c r="C131" s="36" t="n">
        <x:f>E131*D$5</x:f>
        <x:v>0</x:v>
      </x:c>
      <x:c r="D131" s="20" t="n"/>
      <x:c r="E131" s="36" t="n">
        <x:f>SUM(G131:HS131)</x:f>
        <x:v>0</x:v>
      </x:c>
      <x:c r="P131" s="100" t="n"/>
      <x:c r="Q131" s="100" t="n"/>
      <x:c r="AC131" s="100" t="n"/>
      <x:c r="AD131" s="100" t="n"/>
      <x:c r="AE131" s="100" t="n"/>
      <x:c r="AF131" s="100" t="n"/>
      <x:c r="AG131" s="100" t="n"/>
      <x:c r="AH131" s="100" t="n"/>
      <x:c r="AI131" s="100" t="n"/>
      <x:c r="AK131" s="100" t="n"/>
      <x:c r="AM131" s="100" t="n"/>
    </x:row>
    <x:row r="132" s="27" customFormat="1">
      <x:c r="A132" s="38" t="n"/>
      <x:c r="B132" s="37" t="n"/>
      <x:c r="C132" s="36" t="n">
        <x:f>E132*D$5</x:f>
        <x:v>0</x:v>
      </x:c>
      <x:c r="D132" s="20" t="n"/>
      <x:c r="E132" s="36" t="n">
        <x:f>SUM(G132:HS132)</x:f>
        <x:v>0</x:v>
      </x:c>
      <x:c r="P132" s="100" t="n"/>
      <x:c r="Q132" s="100" t="n"/>
      <x:c r="AC132" s="100" t="n"/>
      <x:c r="AD132" s="100" t="n"/>
      <x:c r="AE132" s="100" t="n"/>
      <x:c r="AF132" s="100" t="n"/>
      <x:c r="AG132" s="100" t="n"/>
      <x:c r="AH132" s="100" t="n"/>
      <x:c r="AI132" s="100" t="n"/>
      <x:c r="AK132" s="100" t="n"/>
      <x:c r="AM132" s="100" t="n"/>
    </x:row>
    <x:row r="133" s="27" customFormat="1">
      <x:c r="A133" s="38" t="n"/>
      <x:c r="B133" s="37" t="n"/>
      <x:c r="C133" s="36" t="n">
        <x:f>E133*D$5</x:f>
        <x:v>0</x:v>
      </x:c>
      <x:c r="D133" s="20" t="n"/>
      <x:c r="E133" s="36" t="n">
        <x:f>SUM(G133:HS133)</x:f>
        <x:v>0</x:v>
      </x:c>
      <x:c r="P133" s="100" t="n"/>
      <x:c r="Q133" s="100" t="n"/>
      <x:c r="AC133" s="100" t="n"/>
      <x:c r="AD133" s="100" t="n"/>
      <x:c r="AE133" s="100" t="n"/>
      <x:c r="AF133" s="100" t="n"/>
      <x:c r="AG133" s="100" t="n"/>
      <x:c r="AH133" s="100" t="n"/>
      <x:c r="AI133" s="100" t="n"/>
      <x:c r="AK133" s="100" t="n"/>
      <x:c r="AM133" s="100" t="n"/>
    </x:row>
    <x:row r="134" s="27" customFormat="1">
      <x:c r="A134" s="38" t="n"/>
      <x:c r="B134" s="37" t="n"/>
      <x:c r="C134" s="36" t="n">
        <x:f>E134*D$5</x:f>
        <x:v>0</x:v>
      </x:c>
      <x:c r="D134" s="20" t="n"/>
      <x:c r="E134" s="36" t="n">
        <x:f>SUM(G134:HS134)</x:f>
        <x:v>0</x:v>
      </x:c>
      <x:c r="P134" s="100" t="n"/>
      <x:c r="Q134" s="100" t="n"/>
      <x:c r="AC134" s="100" t="n"/>
      <x:c r="AD134" s="100" t="n"/>
      <x:c r="AE134" s="100" t="n"/>
      <x:c r="AF134" s="100" t="n"/>
      <x:c r="AG134" s="100" t="n"/>
      <x:c r="AH134" s="100" t="n"/>
      <x:c r="AI134" s="100" t="n"/>
      <x:c r="AK134" s="100" t="n"/>
      <x:c r="AM134" s="100" t="n"/>
    </x:row>
    <x:row r="135" s="27" customFormat="1">
      <x:c r="A135" s="38" t="n"/>
      <x:c r="B135" s="37" t="n"/>
      <x:c r="C135" s="36" t="n">
        <x:f>E135*D$5</x:f>
        <x:v>0</x:v>
      </x:c>
      <x:c r="D135" s="20" t="n"/>
      <x:c r="E135" s="36" t="n">
        <x:f>SUM(G135:HS135)</x:f>
        <x:v>0</x:v>
      </x:c>
      <x:c r="P135" s="100" t="n"/>
      <x:c r="Q135" s="100" t="n"/>
      <x:c r="AC135" s="100" t="n"/>
      <x:c r="AD135" s="100" t="n"/>
      <x:c r="AE135" s="100" t="n"/>
      <x:c r="AF135" s="100" t="n"/>
      <x:c r="AG135" s="100" t="n"/>
      <x:c r="AH135" s="100" t="n"/>
      <x:c r="AI135" s="100" t="n"/>
      <x:c r="AK135" s="100" t="n"/>
      <x:c r="AM135" s="100" t="n"/>
    </x:row>
    <x:row r="136" s="27" customFormat="1">
      <x:c r="A136" s="38" t="n"/>
      <x:c r="B136" s="37" t="n"/>
      <x:c r="C136" s="36" t="n">
        <x:f>E136*D$5</x:f>
        <x:v>0</x:v>
      </x:c>
      <x:c r="D136" s="20" t="n"/>
      <x:c r="E136" s="36" t="n">
        <x:f>SUM(G136:HS136)</x:f>
        <x:v>0</x:v>
      </x:c>
      <x:c r="P136" s="100" t="n"/>
      <x:c r="Q136" s="100" t="n"/>
      <x:c r="AC136" s="100" t="n"/>
      <x:c r="AD136" s="100" t="n"/>
      <x:c r="AE136" s="100" t="n"/>
      <x:c r="AF136" s="100" t="n"/>
      <x:c r="AG136" s="100" t="n"/>
      <x:c r="AH136" s="100" t="n"/>
      <x:c r="AI136" s="100" t="n"/>
      <x:c r="AK136" s="100" t="n"/>
      <x:c r="AM136" s="100" t="n"/>
    </x:row>
    <x:row r="137" s="27" customFormat="1">
      <x:c r="A137" s="38" t="n"/>
      <x:c r="B137" s="37" t="n"/>
      <x:c r="C137" s="36" t="n">
        <x:f>E137*D$5</x:f>
        <x:v>0</x:v>
      </x:c>
      <x:c r="D137" s="20" t="n"/>
      <x:c r="E137" s="36" t="n">
        <x:f>SUM(G137:HS137)</x:f>
        <x:v>0</x:v>
      </x:c>
      <x:c r="P137" s="100" t="n"/>
      <x:c r="Q137" s="100" t="n"/>
      <x:c r="AC137" s="100" t="n"/>
      <x:c r="AD137" s="100" t="n"/>
      <x:c r="AE137" s="100" t="n"/>
      <x:c r="AF137" s="100" t="n"/>
      <x:c r="AG137" s="100" t="n"/>
      <x:c r="AH137" s="100" t="n"/>
      <x:c r="AI137" s="100" t="n"/>
      <x:c r="AK137" s="100" t="n"/>
      <x:c r="AM137" s="100" t="n"/>
    </x:row>
    <x:row r="138" s="27" customFormat="1">
      <x:c r="A138" s="38" t="n"/>
      <x:c r="B138" s="37" t="n"/>
      <x:c r="C138" s="36" t="n">
        <x:f>E138*D$5</x:f>
        <x:v>0</x:v>
      </x:c>
      <x:c r="D138" s="20" t="n"/>
      <x:c r="E138" s="36" t="n">
        <x:f>SUM(G138:HS138)</x:f>
        <x:v>0</x:v>
      </x:c>
      <x:c r="P138" s="100" t="n"/>
      <x:c r="Q138" s="100" t="n"/>
      <x:c r="AC138" s="100" t="n"/>
      <x:c r="AD138" s="100" t="n"/>
      <x:c r="AE138" s="100" t="n"/>
      <x:c r="AF138" s="100" t="n"/>
      <x:c r="AG138" s="100" t="n"/>
      <x:c r="AH138" s="100" t="n"/>
      <x:c r="AI138" s="100" t="n"/>
      <x:c r="AK138" s="100" t="n"/>
      <x:c r="AM138" s="100" t="n"/>
    </x:row>
    <x:row r="139" s="27" customFormat="1">
      <x:c r="A139" s="38" t="n"/>
      <x:c r="B139" s="37" t="n"/>
      <x:c r="C139" s="36" t="n">
        <x:f>E139*D$5</x:f>
        <x:v>0</x:v>
      </x:c>
      <x:c r="D139" s="20" t="n"/>
      <x:c r="E139" s="36" t="n">
        <x:f>SUM(G139:HS139)</x:f>
        <x:v>0</x:v>
      </x:c>
      <x:c r="P139" s="100" t="n"/>
      <x:c r="Q139" s="100" t="n"/>
      <x:c r="AC139" s="100" t="n"/>
      <x:c r="AD139" s="100" t="n"/>
      <x:c r="AE139" s="100" t="n"/>
      <x:c r="AF139" s="100" t="n"/>
      <x:c r="AG139" s="100" t="n"/>
      <x:c r="AH139" s="100" t="n"/>
      <x:c r="AI139" s="100" t="n"/>
      <x:c r="AK139" s="100" t="n"/>
      <x:c r="AM139" s="100" t="n"/>
    </x:row>
    <x:row r="140" s="27" customFormat="1">
      <x:c r="A140" s="38" t="n"/>
      <x:c r="B140" s="37" t="n"/>
      <x:c r="C140" s="36" t="n">
        <x:f>E140*D$5</x:f>
        <x:v>0</x:v>
      </x:c>
      <x:c r="D140" s="20" t="n"/>
      <x:c r="E140" s="36" t="n">
        <x:f>SUM(G140:HS140)</x:f>
        <x:v>0</x:v>
      </x:c>
      <x:c r="P140" s="100" t="n"/>
      <x:c r="Q140" s="100" t="n"/>
      <x:c r="AC140" s="100" t="n"/>
      <x:c r="AD140" s="100" t="n"/>
      <x:c r="AE140" s="100" t="n"/>
      <x:c r="AF140" s="100" t="n"/>
      <x:c r="AG140" s="100" t="n"/>
      <x:c r="AH140" s="100" t="n"/>
      <x:c r="AI140" s="100" t="n"/>
      <x:c r="AK140" s="100" t="n"/>
      <x:c r="AM140" s="100" t="n"/>
    </x:row>
    <x:row r="141" s="27" customFormat="1">
      <x:c r="A141" s="38" t="n"/>
      <x:c r="B141" s="37" t="n"/>
      <x:c r="C141" s="36" t="n">
        <x:f>E141*D$5</x:f>
        <x:v>0</x:v>
      </x:c>
      <x:c r="D141" s="20" t="n"/>
      <x:c r="E141" s="36" t="n">
        <x:f>SUM(G141:HS141)</x:f>
        <x:v>0</x:v>
      </x:c>
      <x:c r="P141" s="100" t="n"/>
      <x:c r="Q141" s="100" t="n"/>
      <x:c r="AC141" s="100" t="n"/>
      <x:c r="AD141" s="100" t="n"/>
      <x:c r="AE141" s="100" t="n"/>
      <x:c r="AF141" s="100" t="n"/>
      <x:c r="AG141" s="100" t="n"/>
      <x:c r="AH141" s="100" t="n"/>
      <x:c r="AI141" s="100" t="n"/>
      <x:c r="AK141" s="100" t="n"/>
      <x:c r="AM141" s="100" t="n"/>
    </x:row>
    <x:row r="142" s="27" customFormat="1">
      <x:c r="A142" s="38" t="n"/>
      <x:c r="B142" s="37" t="n"/>
      <x:c r="C142" s="36" t="n">
        <x:f>E142*D$5</x:f>
        <x:v>0</x:v>
      </x:c>
      <x:c r="D142" s="20" t="n"/>
      <x:c r="E142" s="36" t="n">
        <x:f>SUM(G142:HS142)</x:f>
        <x:v>0</x:v>
      </x:c>
      <x:c r="P142" s="100" t="n"/>
      <x:c r="Q142" s="100" t="n"/>
      <x:c r="AC142" s="100" t="n"/>
      <x:c r="AD142" s="100" t="n"/>
      <x:c r="AE142" s="100" t="n"/>
      <x:c r="AF142" s="100" t="n"/>
      <x:c r="AG142" s="100" t="n"/>
      <x:c r="AH142" s="100" t="n"/>
      <x:c r="AI142" s="100" t="n"/>
      <x:c r="AK142" s="100" t="n"/>
      <x:c r="AM142" s="100" t="n"/>
    </x:row>
    <x:row r="143" s="27" customFormat="1">
      <x:c r="A143" s="38" t="n"/>
      <x:c r="B143" s="37" t="n"/>
      <x:c r="C143" s="36" t="n">
        <x:f>E143*D$5</x:f>
        <x:v>0</x:v>
      </x:c>
      <x:c r="D143" s="20" t="n"/>
      <x:c r="E143" s="36" t="n">
        <x:f>SUM(G143:HS143)</x:f>
        <x:v>0</x:v>
      </x:c>
      <x:c r="P143" s="100" t="n"/>
      <x:c r="Q143" s="100" t="n"/>
      <x:c r="AC143" s="100" t="n"/>
      <x:c r="AD143" s="100" t="n"/>
      <x:c r="AE143" s="100" t="n"/>
      <x:c r="AF143" s="100" t="n"/>
      <x:c r="AG143" s="100" t="n"/>
      <x:c r="AH143" s="100" t="n"/>
      <x:c r="AI143" s="100" t="n"/>
      <x:c r="AK143" s="100" t="n"/>
      <x:c r="AM143" s="100" t="n"/>
    </x:row>
    <x:row r="144" s="27" customFormat="1">
      <x:c r="A144" s="38" t="n"/>
      <x:c r="B144" s="37" t="n"/>
      <x:c r="C144" s="36" t="n">
        <x:f>E144*D$5</x:f>
        <x:v>0</x:v>
      </x:c>
      <x:c r="D144" s="20" t="n"/>
      <x:c r="E144" s="36" t="n">
        <x:f>SUM(G144:HS144)</x:f>
        <x:v>0</x:v>
      </x:c>
      <x:c r="P144" s="100" t="n"/>
      <x:c r="Q144" s="100" t="n"/>
      <x:c r="AC144" s="100" t="n"/>
      <x:c r="AD144" s="100" t="n"/>
      <x:c r="AE144" s="100" t="n"/>
      <x:c r="AF144" s="100" t="n"/>
      <x:c r="AG144" s="100" t="n"/>
      <x:c r="AH144" s="100" t="n"/>
      <x:c r="AI144" s="100" t="n"/>
      <x:c r="AK144" s="100" t="n"/>
      <x:c r="AM144" s="100" t="n"/>
    </x:row>
    <x:row r="145" s="27" customFormat="1">
      <x:c r="A145" s="38" t="n"/>
      <x:c r="B145" s="37" t="n"/>
      <x:c r="C145" s="36" t="n">
        <x:f>E145*D$5</x:f>
        <x:v>0</x:v>
      </x:c>
      <x:c r="D145" s="20" t="n"/>
      <x:c r="E145" s="36" t="n">
        <x:f>SUM(G145:HS145)</x:f>
        <x:v>0</x:v>
      </x:c>
      <x:c r="P145" s="100" t="n"/>
      <x:c r="Q145" s="100" t="n"/>
      <x:c r="AC145" s="100" t="n"/>
      <x:c r="AD145" s="100" t="n"/>
      <x:c r="AE145" s="100" t="n"/>
      <x:c r="AF145" s="100" t="n"/>
      <x:c r="AG145" s="100" t="n"/>
      <x:c r="AH145" s="100" t="n"/>
      <x:c r="AI145" s="100" t="n"/>
      <x:c r="AK145" s="100" t="n"/>
      <x:c r="AM145" s="100" t="n"/>
    </x:row>
    <x:row r="146" s="27" customFormat="1">
      <x:c r="A146" s="38" t="n"/>
      <x:c r="B146" s="37" t="n"/>
      <x:c r="C146" s="36" t="n">
        <x:f>E146*D$5</x:f>
        <x:v>0</x:v>
      </x:c>
      <x:c r="D146" s="20" t="n"/>
      <x:c r="E146" s="36" t="n">
        <x:f>SUM(G146:HS146)</x:f>
        <x:v>0</x:v>
      </x:c>
      <x:c r="P146" s="100" t="n"/>
      <x:c r="Q146" s="100" t="n"/>
      <x:c r="AC146" s="100" t="n"/>
      <x:c r="AD146" s="100" t="n"/>
      <x:c r="AE146" s="100" t="n"/>
      <x:c r="AF146" s="100" t="n"/>
      <x:c r="AG146" s="100" t="n"/>
      <x:c r="AH146" s="100" t="n"/>
      <x:c r="AI146" s="100" t="n"/>
      <x:c r="AK146" s="100" t="n"/>
      <x:c r="AM146" s="100" t="n"/>
    </x:row>
    <x:row r="147" s="27" customFormat="1">
      <x:c r="A147" s="38" t="n"/>
      <x:c r="B147" s="37" t="n"/>
      <x:c r="C147" s="36" t="n">
        <x:f>E147*D$5</x:f>
        <x:v>0</x:v>
      </x:c>
      <x:c r="D147" s="20" t="n"/>
      <x:c r="E147" s="36" t="n">
        <x:f>SUM(G147:HS147)</x:f>
        <x:v>0</x:v>
      </x:c>
      <x:c r="P147" s="100" t="n"/>
      <x:c r="Q147" s="100" t="n"/>
      <x:c r="AC147" s="100" t="n"/>
      <x:c r="AD147" s="100" t="n"/>
      <x:c r="AE147" s="100" t="n"/>
      <x:c r="AF147" s="100" t="n"/>
      <x:c r="AG147" s="100" t="n"/>
      <x:c r="AH147" s="100" t="n"/>
      <x:c r="AI147" s="100" t="n"/>
      <x:c r="AK147" s="100" t="n"/>
      <x:c r="AM147" s="100" t="n"/>
    </x:row>
    <x:row r="148" s="27" customFormat="1">
      <x:c r="A148" s="38" t="n"/>
      <x:c r="B148" s="37" t="n"/>
      <x:c r="C148" s="36" t="n">
        <x:f>E148*D$5</x:f>
        <x:v>0</x:v>
      </x:c>
      <x:c r="D148" s="20" t="n"/>
      <x:c r="E148" s="36" t="n">
        <x:f>SUM(G148:HS148)</x:f>
        <x:v>0</x:v>
      </x:c>
      <x:c r="P148" s="100" t="n"/>
      <x:c r="Q148" s="100" t="n"/>
      <x:c r="AC148" s="100" t="n"/>
      <x:c r="AD148" s="100" t="n"/>
      <x:c r="AE148" s="100" t="n"/>
      <x:c r="AF148" s="100" t="n"/>
      <x:c r="AG148" s="100" t="n"/>
      <x:c r="AH148" s="100" t="n"/>
      <x:c r="AI148" s="100" t="n"/>
      <x:c r="AK148" s="100" t="n"/>
      <x:c r="AM148" s="100" t="n"/>
    </x:row>
    <x:row r="149" s="27" customFormat="1">
      <x:c r="A149" s="38" t="n"/>
      <x:c r="B149" s="37" t="n"/>
      <x:c r="C149" s="36" t="n">
        <x:f>E149*D$5</x:f>
        <x:v>0</x:v>
      </x:c>
      <x:c r="D149" s="20" t="n"/>
      <x:c r="E149" s="36" t="n">
        <x:f>SUM(G149:HS149)</x:f>
        <x:v>0</x:v>
      </x:c>
      <x:c r="P149" s="100" t="n"/>
      <x:c r="Q149" s="100" t="n"/>
      <x:c r="AC149" s="100" t="n"/>
      <x:c r="AD149" s="100" t="n"/>
      <x:c r="AE149" s="100" t="n"/>
      <x:c r="AF149" s="100" t="n"/>
      <x:c r="AG149" s="100" t="n"/>
      <x:c r="AH149" s="100" t="n"/>
      <x:c r="AI149" s="100" t="n"/>
      <x:c r="AK149" s="100" t="n"/>
      <x:c r="AM149" s="100" t="n"/>
    </x:row>
    <x:row r="150" s="27" customFormat="1">
      <x:c r="A150" s="38" t="n"/>
      <x:c r="B150" s="37" t="n"/>
      <x:c r="C150" s="36" t="n">
        <x:f>E150*D$5</x:f>
        <x:v>0</x:v>
      </x:c>
      <x:c r="D150" s="20" t="n"/>
      <x:c r="E150" s="36" t="n">
        <x:f>SUM(G150:HS150)</x:f>
        <x:v>0</x:v>
      </x:c>
      <x:c r="P150" s="100" t="n"/>
      <x:c r="Q150" s="100" t="n"/>
      <x:c r="AC150" s="100" t="n"/>
      <x:c r="AD150" s="100" t="n"/>
      <x:c r="AE150" s="100" t="n"/>
      <x:c r="AF150" s="100" t="n"/>
      <x:c r="AG150" s="100" t="n"/>
      <x:c r="AH150" s="100" t="n"/>
      <x:c r="AI150" s="100" t="n"/>
      <x:c r="AK150" s="100" t="n"/>
      <x:c r="AM150" s="100" t="n"/>
    </x:row>
    <x:row r="151" s="27" customFormat="1">
      <x:c r="A151" s="38" t="n"/>
      <x:c r="B151" s="37" t="n"/>
      <x:c r="C151" s="36" t="n">
        <x:f>E151*D$5</x:f>
        <x:v>0</x:v>
      </x:c>
      <x:c r="D151" s="20" t="n"/>
      <x:c r="E151" s="36" t="n">
        <x:f>SUM(G151:HS151)</x:f>
        <x:v>0</x:v>
      </x:c>
      <x:c r="P151" s="100" t="n"/>
      <x:c r="Q151" s="100" t="n"/>
      <x:c r="AC151" s="100" t="n"/>
      <x:c r="AD151" s="100" t="n"/>
      <x:c r="AE151" s="100" t="n"/>
      <x:c r="AF151" s="100" t="n"/>
      <x:c r="AG151" s="100" t="n"/>
      <x:c r="AH151" s="100" t="n"/>
      <x:c r="AI151" s="100" t="n"/>
      <x:c r="AK151" s="100" t="n"/>
      <x:c r="AM151" s="100" t="n"/>
    </x:row>
    <x:row r="152" s="27" customFormat="1">
      <x:c r="A152" s="38" t="n"/>
      <x:c r="B152" s="37" t="n"/>
      <x:c r="C152" s="36" t="n">
        <x:f>E152*D$5</x:f>
        <x:v>0</x:v>
      </x:c>
      <x:c r="D152" s="20" t="n"/>
      <x:c r="E152" s="36" t="n">
        <x:f>SUM(G152:HS152)</x:f>
        <x:v>0</x:v>
      </x:c>
      <x:c r="P152" s="100" t="n"/>
      <x:c r="Q152" s="100" t="n"/>
      <x:c r="AC152" s="100" t="n"/>
      <x:c r="AD152" s="100" t="n"/>
      <x:c r="AE152" s="100" t="n"/>
      <x:c r="AF152" s="100" t="n"/>
      <x:c r="AG152" s="100" t="n"/>
      <x:c r="AH152" s="100" t="n"/>
      <x:c r="AI152" s="100" t="n"/>
      <x:c r="AK152" s="100" t="n"/>
      <x:c r="AM152" s="100" t="n"/>
    </x:row>
    <x:row r="153" s="27" customFormat="1">
      <x:c r="A153" s="38" t="n"/>
      <x:c r="B153" s="37" t="n"/>
      <x:c r="C153" s="36" t="n">
        <x:f>E153*D$5</x:f>
        <x:v>0</x:v>
      </x:c>
      <x:c r="D153" s="20" t="n"/>
      <x:c r="E153" s="36" t="n">
        <x:f>SUM(G153:HS153)</x:f>
        <x:v>0</x:v>
      </x:c>
      <x:c r="P153" s="100" t="n"/>
      <x:c r="Q153" s="100" t="n"/>
      <x:c r="AC153" s="100" t="n"/>
      <x:c r="AD153" s="100" t="n"/>
      <x:c r="AE153" s="100" t="n"/>
      <x:c r="AF153" s="100" t="n"/>
      <x:c r="AG153" s="100" t="n"/>
      <x:c r="AH153" s="100" t="n"/>
      <x:c r="AI153" s="100" t="n"/>
      <x:c r="AK153" s="100" t="n"/>
      <x:c r="AM153" s="100" t="n"/>
    </x:row>
    <x:row r="154" s="27" customFormat="1">
      <x:c r="A154" s="38" t="n"/>
      <x:c r="B154" s="37" t="n"/>
      <x:c r="C154" s="36" t="n">
        <x:f>E154*D$5</x:f>
        <x:v>0</x:v>
      </x:c>
      <x:c r="D154" s="20" t="n"/>
      <x:c r="E154" s="36" t="n">
        <x:f>SUM(G154:HS154)</x:f>
        <x:v>0</x:v>
      </x:c>
      <x:c r="P154" s="100" t="n"/>
      <x:c r="Q154" s="100" t="n"/>
      <x:c r="AC154" s="100" t="n"/>
      <x:c r="AD154" s="100" t="n"/>
      <x:c r="AE154" s="100" t="n"/>
      <x:c r="AF154" s="100" t="n"/>
      <x:c r="AG154" s="100" t="n"/>
      <x:c r="AH154" s="100" t="n"/>
      <x:c r="AI154" s="100" t="n"/>
      <x:c r="AK154" s="100" t="n"/>
      <x:c r="AM154" s="100" t="n"/>
    </x:row>
    <x:row r="155" s="27" customFormat="1">
      <x:c r="A155" s="38" t="n"/>
      <x:c r="B155" s="37" t="n"/>
      <x:c r="C155" s="36" t="n">
        <x:f>E155*D$5</x:f>
        <x:v>0</x:v>
      </x:c>
      <x:c r="D155" s="20" t="n"/>
      <x:c r="E155" s="36" t="n">
        <x:f>SUM(G155:HS155)</x:f>
        <x:v>0</x:v>
      </x:c>
      <x:c r="P155" s="100" t="n"/>
      <x:c r="Q155" s="100" t="n"/>
      <x:c r="AC155" s="100" t="n"/>
      <x:c r="AD155" s="100" t="n"/>
      <x:c r="AE155" s="100" t="n"/>
      <x:c r="AF155" s="100" t="n"/>
      <x:c r="AG155" s="100" t="n"/>
      <x:c r="AH155" s="100" t="n"/>
      <x:c r="AI155" s="100" t="n"/>
      <x:c r="AK155" s="100" t="n"/>
      <x:c r="AM155" s="100" t="n"/>
    </x:row>
    <x:row r="156" s="27" customFormat="1">
      <x:c r="A156" s="38" t="n"/>
      <x:c r="B156" s="37" t="n"/>
      <x:c r="C156" s="36" t="n">
        <x:f>E156*D$5</x:f>
        <x:v>0</x:v>
      </x:c>
      <x:c r="D156" s="20" t="n"/>
      <x:c r="E156" s="36" t="n">
        <x:f>SUM(G156:HS156)</x:f>
        <x:v>0</x:v>
      </x:c>
      <x:c r="P156" s="100" t="n"/>
      <x:c r="Q156" s="100" t="n"/>
      <x:c r="AC156" s="100" t="n"/>
      <x:c r="AD156" s="100" t="n"/>
      <x:c r="AE156" s="100" t="n"/>
      <x:c r="AF156" s="100" t="n"/>
      <x:c r="AG156" s="100" t="n"/>
      <x:c r="AH156" s="100" t="n"/>
      <x:c r="AI156" s="100" t="n"/>
      <x:c r="AK156" s="100" t="n"/>
      <x:c r="AM156" s="100" t="n"/>
    </x:row>
    <x:row r="157" s="27" customFormat="1">
      <x:c r="A157" s="38" t="n"/>
      <x:c r="B157" s="37" t="n"/>
      <x:c r="C157" s="36" t="n">
        <x:f>E157*D$5</x:f>
        <x:v>0</x:v>
      </x:c>
      <x:c r="D157" s="20" t="n"/>
      <x:c r="E157" s="36" t="n">
        <x:f>SUM(G157:HS157)</x:f>
        <x:v>0</x:v>
      </x:c>
      <x:c r="P157" s="100" t="n"/>
      <x:c r="Q157" s="100" t="n"/>
      <x:c r="AC157" s="100" t="n"/>
      <x:c r="AD157" s="100" t="n"/>
      <x:c r="AE157" s="100" t="n"/>
      <x:c r="AF157" s="100" t="n"/>
      <x:c r="AG157" s="100" t="n"/>
      <x:c r="AH157" s="100" t="n"/>
      <x:c r="AI157" s="100" t="n"/>
      <x:c r="AK157" s="100" t="n"/>
      <x:c r="AM157" s="100" t="n"/>
    </x:row>
    <x:row r="158" s="27" customFormat="1">
      <x:c r="A158" s="38" t="n"/>
      <x:c r="B158" s="37" t="n"/>
      <x:c r="C158" s="36" t="n">
        <x:f>E158*D$5</x:f>
        <x:v>0</x:v>
      </x:c>
      <x:c r="D158" s="20" t="n"/>
      <x:c r="E158" s="36" t="n">
        <x:f>SUM(G158:HS158)</x:f>
        <x:v>0</x:v>
      </x:c>
      <x:c r="P158" s="100" t="n"/>
      <x:c r="Q158" s="100" t="n"/>
      <x:c r="AC158" s="100" t="n"/>
      <x:c r="AD158" s="100" t="n"/>
      <x:c r="AE158" s="100" t="n"/>
      <x:c r="AF158" s="100" t="n"/>
      <x:c r="AG158" s="100" t="n"/>
      <x:c r="AH158" s="100" t="n"/>
      <x:c r="AI158" s="100" t="n"/>
      <x:c r="AK158" s="100" t="n"/>
      <x:c r="AM158" s="100" t="n"/>
    </x:row>
    <x:row r="159" s="27" customFormat="1">
      <x:c r="A159" s="38" t="n"/>
      <x:c r="B159" s="37" t="n"/>
      <x:c r="C159" s="36" t="n">
        <x:f>E159*D$5</x:f>
        <x:v>0</x:v>
      </x:c>
      <x:c r="D159" s="20" t="n"/>
      <x:c r="E159" s="36" t="n">
        <x:f>SUM(G159:HS159)</x:f>
        <x:v>0</x:v>
      </x:c>
      <x:c r="P159" s="100" t="n"/>
      <x:c r="Q159" s="100" t="n"/>
      <x:c r="AC159" s="100" t="n"/>
      <x:c r="AD159" s="100" t="n"/>
      <x:c r="AE159" s="100" t="n"/>
      <x:c r="AF159" s="100" t="n"/>
      <x:c r="AG159" s="100" t="n"/>
      <x:c r="AH159" s="100" t="n"/>
      <x:c r="AI159" s="100" t="n"/>
      <x:c r="AK159" s="100" t="n"/>
      <x:c r="AM159" s="100" t="n"/>
    </x:row>
    <x:row r="160" s="27" customFormat="1">
      <x:c r="A160" s="38" t="n"/>
      <x:c r="B160" s="37" t="n"/>
      <x:c r="C160" s="36" t="n">
        <x:f>E160*D$5</x:f>
        <x:v>0</x:v>
      </x:c>
      <x:c r="D160" s="20" t="n"/>
      <x:c r="E160" s="36" t="n">
        <x:f>SUM(G160:HS160)</x:f>
        <x:v>0</x:v>
      </x:c>
      <x:c r="P160" s="100" t="n"/>
      <x:c r="Q160" s="100" t="n"/>
      <x:c r="AC160" s="100" t="n"/>
      <x:c r="AD160" s="100" t="n"/>
      <x:c r="AE160" s="100" t="n"/>
      <x:c r="AF160" s="100" t="n"/>
      <x:c r="AG160" s="100" t="n"/>
      <x:c r="AH160" s="100" t="n"/>
      <x:c r="AI160" s="100" t="n"/>
      <x:c r="AK160" s="100" t="n"/>
      <x:c r="AM160" s="100" t="n"/>
    </x:row>
    <x:row r="161" s="27" customFormat="1">
      <x:c r="A161" s="38" t="n"/>
      <x:c r="B161" s="37" t="n"/>
      <x:c r="C161" s="36" t="n">
        <x:f>E161*D$5</x:f>
        <x:v>0</x:v>
      </x:c>
      <x:c r="D161" s="20" t="n"/>
      <x:c r="E161" s="36" t="n">
        <x:f>SUM(G161:HS161)</x:f>
        <x:v>0</x:v>
      </x:c>
      <x:c r="P161" s="100" t="n"/>
      <x:c r="Q161" s="100" t="n"/>
      <x:c r="AC161" s="100" t="n"/>
      <x:c r="AD161" s="100" t="n"/>
      <x:c r="AE161" s="100" t="n"/>
      <x:c r="AF161" s="100" t="n"/>
      <x:c r="AG161" s="100" t="n"/>
      <x:c r="AH161" s="100" t="n"/>
      <x:c r="AI161" s="100" t="n"/>
      <x:c r="AK161" s="100" t="n"/>
      <x:c r="AM161" s="100" t="n"/>
    </x:row>
    <x:row r="162" s="27" customFormat="1">
      <x:c r="A162" s="38" t="n"/>
      <x:c r="B162" s="37" t="n"/>
      <x:c r="C162" s="36" t="n">
        <x:f>E162*D$5</x:f>
        <x:v>0</x:v>
      </x:c>
      <x:c r="D162" s="20" t="n"/>
      <x:c r="E162" s="36" t="n">
        <x:f>SUM(G162:HS162)</x:f>
        <x:v>0</x:v>
      </x:c>
      <x:c r="P162" s="100" t="n"/>
      <x:c r="Q162" s="100" t="n"/>
      <x:c r="AC162" s="100" t="n"/>
      <x:c r="AD162" s="100" t="n"/>
      <x:c r="AE162" s="100" t="n"/>
      <x:c r="AF162" s="100" t="n"/>
      <x:c r="AG162" s="100" t="n"/>
      <x:c r="AH162" s="100" t="n"/>
      <x:c r="AI162" s="100" t="n"/>
      <x:c r="AK162" s="100" t="n"/>
      <x:c r="AM162" s="100" t="n"/>
    </x:row>
    <x:row r="163" s="27" customFormat="1">
      <x:c r="A163" s="38" t="n"/>
      <x:c r="B163" s="37" t="n"/>
      <x:c r="C163" s="36" t="n">
        <x:f>E163*D$5</x:f>
        <x:v>0</x:v>
      </x:c>
      <x:c r="D163" s="20" t="n"/>
      <x:c r="E163" s="36" t="n">
        <x:f>SUM(G163:HS163)</x:f>
        <x:v>0</x:v>
      </x:c>
      <x:c r="P163" s="100" t="n"/>
      <x:c r="Q163" s="100" t="n"/>
      <x:c r="AC163" s="100" t="n"/>
      <x:c r="AD163" s="100" t="n"/>
      <x:c r="AE163" s="100" t="n"/>
      <x:c r="AF163" s="100" t="n"/>
      <x:c r="AG163" s="100" t="n"/>
      <x:c r="AH163" s="100" t="n"/>
      <x:c r="AI163" s="100" t="n"/>
      <x:c r="AK163" s="100" t="n"/>
      <x:c r="AM163" s="100" t="n"/>
    </x:row>
    <x:row r="164" s="27" customFormat="1">
      <x:c r="A164" s="38" t="n"/>
      <x:c r="B164" s="37" t="n"/>
      <x:c r="C164" s="36" t="n">
        <x:f>E164*D$5</x:f>
        <x:v>0</x:v>
      </x:c>
      <x:c r="D164" s="20" t="n"/>
      <x:c r="E164" s="36" t="n">
        <x:f>SUM(G164:HS164)</x:f>
        <x:v>0</x:v>
      </x:c>
      <x:c r="P164" s="100" t="n"/>
      <x:c r="Q164" s="100" t="n"/>
      <x:c r="AC164" s="100" t="n"/>
      <x:c r="AD164" s="100" t="n"/>
      <x:c r="AE164" s="100" t="n"/>
      <x:c r="AF164" s="100" t="n"/>
      <x:c r="AG164" s="100" t="n"/>
      <x:c r="AH164" s="100" t="n"/>
      <x:c r="AI164" s="100" t="n"/>
      <x:c r="AK164" s="100" t="n"/>
      <x:c r="AM164" s="100" t="n"/>
    </x:row>
    <x:row r="165" s="27" customFormat="1">
      <x:c r="A165" s="38" t="n"/>
      <x:c r="B165" s="37" t="n"/>
      <x:c r="C165" s="36" t="n">
        <x:f>E165*D$5</x:f>
        <x:v>0</x:v>
      </x:c>
      <x:c r="D165" s="20" t="n"/>
      <x:c r="E165" s="36" t="n">
        <x:f>SUM(G165:HS165)</x:f>
        <x:v>0</x:v>
      </x:c>
      <x:c r="P165" s="100" t="n"/>
      <x:c r="Q165" s="100" t="n"/>
      <x:c r="AC165" s="100" t="n"/>
      <x:c r="AD165" s="100" t="n"/>
      <x:c r="AE165" s="100" t="n"/>
      <x:c r="AF165" s="100" t="n"/>
      <x:c r="AG165" s="100" t="n"/>
      <x:c r="AH165" s="100" t="n"/>
      <x:c r="AI165" s="100" t="n"/>
      <x:c r="AK165" s="100" t="n"/>
      <x:c r="AM165" s="100" t="n"/>
    </x:row>
    <x:row r="166" s="27" customFormat="1">
      <x:c r="A166" s="38" t="n"/>
      <x:c r="B166" s="37" t="n"/>
      <x:c r="C166" s="36" t="n">
        <x:f>E166*D$5</x:f>
        <x:v>0</x:v>
      </x:c>
      <x:c r="D166" s="20" t="n"/>
      <x:c r="E166" s="36" t="n">
        <x:f>SUM(G166:HS166)</x:f>
        <x:v>0</x:v>
      </x:c>
      <x:c r="P166" s="100" t="n"/>
      <x:c r="Q166" s="100" t="n"/>
      <x:c r="AC166" s="100" t="n"/>
      <x:c r="AD166" s="100" t="n"/>
      <x:c r="AE166" s="100" t="n"/>
      <x:c r="AF166" s="100" t="n"/>
      <x:c r="AG166" s="100" t="n"/>
      <x:c r="AH166" s="100" t="n"/>
      <x:c r="AI166" s="100" t="n"/>
      <x:c r="AK166" s="100" t="n"/>
      <x:c r="AM166" s="100" t="n"/>
    </x:row>
    <x:row r="167" s="27" customFormat="1">
      <x:c r="A167" s="38" t="n"/>
      <x:c r="B167" s="37" t="n"/>
      <x:c r="C167" s="36" t="n">
        <x:f>E167*D$5</x:f>
        <x:v>0</x:v>
      </x:c>
      <x:c r="D167" s="20" t="n"/>
      <x:c r="E167" s="36" t="n">
        <x:f>SUM(G167:HS167)</x:f>
        <x:v>0</x:v>
      </x:c>
      <x:c r="P167" s="100" t="n"/>
      <x:c r="Q167" s="100" t="n"/>
      <x:c r="AC167" s="100" t="n"/>
      <x:c r="AD167" s="100" t="n"/>
      <x:c r="AE167" s="100" t="n"/>
      <x:c r="AF167" s="100" t="n"/>
      <x:c r="AG167" s="100" t="n"/>
      <x:c r="AH167" s="100" t="n"/>
      <x:c r="AI167" s="100" t="n"/>
      <x:c r="AK167" s="100" t="n"/>
      <x:c r="AM167" s="100" t="n"/>
    </x:row>
    <x:row r="168" s="27" customFormat="1">
      <x:c r="A168" s="38" t="n"/>
      <x:c r="B168" s="37" t="n"/>
      <x:c r="C168" s="36" t="n">
        <x:f>E168*D$5</x:f>
        <x:v>0</x:v>
      </x:c>
      <x:c r="D168" s="20" t="n"/>
      <x:c r="E168" s="36" t="n">
        <x:f>SUM(G168:HS168)</x:f>
        <x:v>0</x:v>
      </x:c>
      <x:c r="P168" s="100" t="n"/>
      <x:c r="Q168" s="100" t="n"/>
      <x:c r="AC168" s="100" t="n"/>
      <x:c r="AD168" s="100" t="n"/>
      <x:c r="AE168" s="100" t="n"/>
      <x:c r="AF168" s="100" t="n"/>
      <x:c r="AG168" s="100" t="n"/>
      <x:c r="AH168" s="100" t="n"/>
      <x:c r="AI168" s="100" t="n"/>
      <x:c r="AK168" s="100" t="n"/>
      <x:c r="AM168" s="100" t="n"/>
    </x:row>
    <x:row r="169" s="27" customFormat="1">
      <x:c r="A169" s="38" t="n"/>
      <x:c r="B169" s="37" t="n"/>
      <x:c r="C169" s="36" t="n">
        <x:f>E169*D$5</x:f>
        <x:v>0</x:v>
      </x:c>
      <x:c r="D169" s="20" t="n"/>
      <x:c r="E169" s="36" t="n">
        <x:f>SUM(G169:HS169)</x:f>
        <x:v>0</x:v>
      </x:c>
      <x:c r="P169" s="100" t="n"/>
      <x:c r="Q169" s="100" t="n"/>
      <x:c r="AC169" s="100" t="n"/>
      <x:c r="AD169" s="100" t="n"/>
      <x:c r="AE169" s="100" t="n"/>
      <x:c r="AF169" s="100" t="n"/>
      <x:c r="AG169" s="100" t="n"/>
      <x:c r="AH169" s="100" t="n"/>
      <x:c r="AI169" s="100" t="n"/>
      <x:c r="AK169" s="100" t="n"/>
      <x:c r="AM169" s="100" t="n"/>
    </x:row>
    <x:row r="170" s="27" customFormat="1">
      <x:c r="A170" s="38" t="n"/>
      <x:c r="B170" s="37" t="n"/>
      <x:c r="C170" s="36" t="n">
        <x:f>E170*D$5</x:f>
        <x:v>0</x:v>
      </x:c>
      <x:c r="D170" s="20" t="n"/>
      <x:c r="E170" s="36" t="n">
        <x:f>SUM(G170:HS170)</x:f>
        <x:v>0</x:v>
      </x:c>
      <x:c r="P170" s="100" t="n"/>
      <x:c r="Q170" s="100" t="n"/>
      <x:c r="AC170" s="100" t="n"/>
      <x:c r="AD170" s="100" t="n"/>
      <x:c r="AE170" s="100" t="n"/>
      <x:c r="AF170" s="100" t="n"/>
      <x:c r="AG170" s="100" t="n"/>
      <x:c r="AH170" s="100" t="n"/>
      <x:c r="AI170" s="100" t="n"/>
      <x:c r="AK170" s="100" t="n"/>
      <x:c r="AM170" s="100" t="n"/>
    </x:row>
    <x:row r="171" s="27" customFormat="1">
      <x:c r="A171" s="38" t="n"/>
      <x:c r="B171" s="37" t="n"/>
      <x:c r="C171" s="36" t="n">
        <x:f>E171*D$5</x:f>
        <x:v>0</x:v>
      </x:c>
      <x:c r="D171" s="20" t="n"/>
      <x:c r="E171" s="36" t="n">
        <x:f>SUM(G171:HS171)</x:f>
        <x:v>0</x:v>
      </x:c>
      <x:c r="Q171" s="100" t="n"/>
      <x:c r="R171" s="100" t="n"/>
      <x:c r="AD171" s="100" t="n"/>
      <x:c r="AE171" s="100" t="n"/>
      <x:c r="AF171" s="100" t="n"/>
      <x:c r="AG171" s="100" t="n"/>
      <x:c r="AH171" s="100" t="n"/>
      <x:c r="AI171" s="100" t="n"/>
      <x:c r="AJ171" s="100" t="n"/>
      <x:c r="AL171" s="100" t="n"/>
      <x:c r="AN171" s="100" t="n"/>
    </x:row>
    <x:row r="172" s="27" customFormat="1">
      <x:c r="A172" s="38" t="n"/>
      <x:c r="B172" s="37" t="n"/>
      <x:c r="C172" s="36" t="n">
        <x:f>E172*D$5</x:f>
        <x:v>0</x:v>
      </x:c>
      <x:c r="D172" s="20" t="n"/>
      <x:c r="E172" s="36" t="n">
        <x:f>SUM(G172:HS172)</x:f>
        <x:v>0</x:v>
      </x:c>
      <x:c r="Q172" s="100" t="n"/>
      <x:c r="R172" s="100" t="n"/>
      <x:c r="AD172" s="100" t="n"/>
      <x:c r="AE172" s="100" t="n"/>
      <x:c r="AF172" s="100" t="n"/>
      <x:c r="AG172" s="100" t="n"/>
      <x:c r="AH172" s="100" t="n"/>
      <x:c r="AI172" s="100" t="n"/>
      <x:c r="AJ172" s="100" t="n"/>
      <x:c r="AL172" s="100" t="n"/>
      <x:c r="AN172" s="100" t="n"/>
    </x:row>
    <x:row r="173" s="27" customFormat="1">
      <x:c r="A173" s="38" t="n"/>
      <x:c r="B173" s="37" t="n"/>
      <x:c r="C173" s="36" t="n">
        <x:f>E173*D$5</x:f>
        <x:v>0</x:v>
      </x:c>
      <x:c r="D173" s="20" t="n"/>
      <x:c r="E173" s="36" t="n">
        <x:f>SUM(G173:HS173)</x:f>
        <x:v>0</x:v>
      </x:c>
      <x:c r="Q173" s="100" t="n"/>
      <x:c r="R173" s="100" t="n"/>
      <x:c r="AD173" s="100" t="n"/>
      <x:c r="AE173" s="100" t="n"/>
      <x:c r="AF173" s="100" t="n"/>
      <x:c r="AG173" s="100" t="n"/>
      <x:c r="AH173" s="100" t="n"/>
      <x:c r="AI173" s="100" t="n"/>
      <x:c r="AJ173" s="100" t="n"/>
      <x:c r="AL173" s="100" t="n"/>
      <x:c r="AN173" s="100" t="n"/>
    </x:row>
    <x:row r="174" s="27" customFormat="1">
      <x:c r="A174" s="38" t="n"/>
      <x:c r="B174" s="37" t="n"/>
      <x:c r="C174" s="36" t="n">
        <x:f>E174*D$5</x:f>
        <x:v>0</x:v>
      </x:c>
      <x:c r="D174" s="20" t="n"/>
      <x:c r="E174" s="36" t="n">
        <x:f>SUM(G174:HS174)</x:f>
        <x:v>0</x:v>
      </x:c>
      <x:c r="Q174" s="100" t="n"/>
      <x:c r="R174" s="100" t="n"/>
      <x:c r="AD174" s="100" t="n"/>
      <x:c r="AE174" s="100" t="n"/>
      <x:c r="AF174" s="100" t="n"/>
      <x:c r="AG174" s="100" t="n"/>
      <x:c r="AH174" s="100" t="n"/>
      <x:c r="AI174" s="100" t="n"/>
      <x:c r="AJ174" s="100" t="n"/>
      <x:c r="AL174" s="100" t="n"/>
      <x:c r="AN174" s="100" t="n"/>
    </x:row>
    <x:row r="175" s="27" customFormat="1">
      <x:c r="A175" s="38" t="n"/>
      <x:c r="B175" s="37" t="n"/>
      <x:c r="C175" s="36" t="n">
        <x:f>E175*D$5</x:f>
        <x:v>0</x:v>
      </x:c>
      <x:c r="D175" s="20" t="n"/>
      <x:c r="E175" s="36" t="n">
        <x:f>SUM(G175:HS175)</x:f>
        <x:v>0</x:v>
      </x:c>
      <x:c r="Q175" s="100" t="n"/>
      <x:c r="R175" s="100" t="n"/>
      <x:c r="AD175" s="100" t="n"/>
      <x:c r="AE175" s="100" t="n"/>
      <x:c r="AF175" s="100" t="n"/>
      <x:c r="AG175" s="100" t="n"/>
      <x:c r="AH175" s="100" t="n"/>
      <x:c r="AI175" s="100" t="n"/>
      <x:c r="AJ175" s="100" t="n"/>
      <x:c r="AL175" s="100" t="n"/>
      <x:c r="AN175" s="100" t="n"/>
    </x:row>
    <x:row r="176" s="27" customFormat="1">
      <x:c r="A176" s="38" t="n"/>
      <x:c r="B176" s="37" t="n"/>
      <x:c r="C176" s="36" t="n">
        <x:f>E176*D$5</x:f>
        <x:v>0</x:v>
      </x:c>
      <x:c r="D176" s="20" t="n"/>
      <x:c r="E176" s="36" t="n">
        <x:f>SUM(G176:HS176)</x:f>
        <x:v>0</x:v>
      </x:c>
      <x:c r="Q176" s="100" t="n"/>
      <x:c r="R176" s="100" t="n"/>
      <x:c r="AD176" s="100" t="n"/>
      <x:c r="AE176" s="100" t="n"/>
      <x:c r="AF176" s="100" t="n"/>
      <x:c r="AG176" s="100" t="n"/>
      <x:c r="AH176" s="100" t="n"/>
      <x:c r="AI176" s="100" t="n"/>
      <x:c r="AJ176" s="100" t="n"/>
      <x:c r="AL176" s="100" t="n"/>
      <x:c r="AN176" s="100" t="n"/>
    </x:row>
    <x:row r="177" s="27" customFormat="1">
      <x:c r="A177" s="38" t="n"/>
      <x:c r="B177" s="37" t="n"/>
      <x:c r="C177" s="36" t="n">
        <x:f>E177*D$5</x:f>
        <x:v>0</x:v>
      </x:c>
      <x:c r="D177" s="20" t="n"/>
      <x:c r="E177" s="36" t="n">
        <x:f>SUM(G177:HS177)</x:f>
        <x:v>0</x:v>
      </x:c>
      <x:c r="Q177" s="100" t="n"/>
      <x:c r="R177" s="100" t="n"/>
      <x:c r="AD177" s="100" t="n"/>
      <x:c r="AE177" s="100" t="n"/>
      <x:c r="AF177" s="100" t="n"/>
      <x:c r="AG177" s="100" t="n"/>
      <x:c r="AH177" s="100" t="n"/>
      <x:c r="AI177" s="100" t="n"/>
      <x:c r="AJ177" s="100" t="n"/>
      <x:c r="AL177" s="100" t="n"/>
      <x:c r="AN177" s="100" t="n"/>
    </x:row>
    <x:row r="178" s="27" customFormat="1">
      <x:c r="A178" s="38" t="n"/>
      <x:c r="B178" s="37" t="n"/>
      <x:c r="C178" s="36" t="n">
        <x:f>E178*D$5</x:f>
        <x:v>0</x:v>
      </x:c>
      <x:c r="D178" s="20" t="n"/>
      <x:c r="E178" s="36" t="n">
        <x:f>SUM(G178:HS178)</x:f>
        <x:v>0</x:v>
      </x:c>
      <x:c r="Q178" s="100" t="n"/>
      <x:c r="R178" s="100" t="n"/>
      <x:c r="AD178" s="100" t="n"/>
      <x:c r="AE178" s="100" t="n"/>
      <x:c r="AF178" s="100" t="n"/>
      <x:c r="AG178" s="100" t="n"/>
      <x:c r="AH178" s="100" t="n"/>
      <x:c r="AI178" s="100" t="n"/>
      <x:c r="AJ178" s="100" t="n"/>
      <x:c r="AL178" s="100" t="n"/>
      <x:c r="AN178" s="100" t="n"/>
    </x:row>
    <x:row r="179" s="27" customFormat="1">
      <x:c r="A179" s="38" t="n"/>
      <x:c r="B179" s="37" t="n"/>
      <x:c r="C179" s="36" t="n">
        <x:f>E179*D$5</x:f>
        <x:v>0</x:v>
      </x:c>
      <x:c r="D179" s="20" t="n"/>
      <x:c r="E179" s="36" t="n">
        <x:f>SUM(G179:HS179)</x:f>
        <x:v>0</x:v>
      </x:c>
      <x:c r="Q179" s="100" t="n"/>
      <x:c r="R179" s="100" t="n"/>
      <x:c r="AD179" s="100" t="n"/>
      <x:c r="AE179" s="100" t="n"/>
      <x:c r="AF179" s="100" t="n"/>
      <x:c r="AG179" s="100" t="n"/>
      <x:c r="AH179" s="100" t="n"/>
      <x:c r="AI179" s="100" t="n"/>
      <x:c r="AJ179" s="100" t="n"/>
      <x:c r="AL179" s="100" t="n"/>
      <x:c r="AN179" s="100" t="n"/>
    </x:row>
    <x:row r="180" s="27" customFormat="1">
      <x:c r="A180" s="38" t="n"/>
      <x:c r="B180" s="37" t="n"/>
      <x:c r="C180" s="36" t="n">
        <x:f>E180*D$5</x:f>
        <x:v>0</x:v>
      </x:c>
      <x:c r="D180" s="20" t="n"/>
      <x:c r="E180" s="36" t="n">
        <x:f>SUM(G180:HS180)</x:f>
        <x:v>0</x:v>
      </x:c>
      <x:c r="Q180" s="100" t="n"/>
      <x:c r="R180" s="100" t="n"/>
      <x:c r="AD180" s="100" t="n"/>
      <x:c r="AE180" s="100" t="n"/>
      <x:c r="AF180" s="100" t="n"/>
      <x:c r="AG180" s="100" t="n"/>
      <x:c r="AH180" s="100" t="n"/>
      <x:c r="AI180" s="100" t="n"/>
      <x:c r="AJ180" s="100" t="n"/>
      <x:c r="AL180" s="100" t="n"/>
      <x:c r="AN180" s="100" t="n"/>
    </x:row>
    <x:row r="181" s="27" customFormat="1">
      <x:c r="A181" s="38" t="n"/>
      <x:c r="B181" s="37" t="n"/>
      <x:c r="C181" s="36" t="n">
        <x:f>E181*D$5</x:f>
        <x:v>0</x:v>
      </x:c>
      <x:c r="D181" s="20" t="n"/>
      <x:c r="E181" s="36" t="n">
        <x:f>SUM(G181:HS181)</x:f>
        <x:v>0</x:v>
      </x:c>
      <x:c r="Q181" s="100" t="n"/>
      <x:c r="R181" s="100" t="n"/>
      <x:c r="AD181" s="100" t="n"/>
      <x:c r="AE181" s="100" t="n"/>
      <x:c r="AF181" s="100" t="n"/>
      <x:c r="AG181" s="100" t="n"/>
      <x:c r="AH181" s="100" t="n"/>
      <x:c r="AI181" s="100" t="n"/>
      <x:c r="AJ181" s="100" t="n"/>
      <x:c r="AL181" s="100" t="n"/>
      <x:c r="AN181" s="100" t="n"/>
    </x:row>
    <x:row r="182" s="27" customFormat="1">
      <x:c r="A182" s="38" t="n"/>
      <x:c r="B182" s="37" t="n"/>
      <x:c r="C182" s="36" t="n">
        <x:f>E182*D$5</x:f>
        <x:v>0</x:v>
      </x:c>
      <x:c r="D182" s="20" t="n"/>
      <x:c r="E182" s="36" t="n">
        <x:f>SUM(G182:HS182)</x:f>
        <x:v>0</x:v>
      </x:c>
      <x:c r="Q182" s="100" t="n"/>
      <x:c r="R182" s="100" t="n"/>
      <x:c r="AD182" s="100" t="n"/>
      <x:c r="AE182" s="100" t="n"/>
      <x:c r="AF182" s="100" t="n"/>
      <x:c r="AG182" s="100" t="n"/>
      <x:c r="AH182" s="100" t="n"/>
      <x:c r="AI182" s="100" t="n"/>
      <x:c r="AJ182" s="100" t="n"/>
      <x:c r="AL182" s="100" t="n"/>
      <x:c r="AN182" s="100" t="n"/>
    </x:row>
    <x:row r="183" s="27" customFormat="1">
      <x:c r="A183" s="38" t="n"/>
      <x:c r="B183" s="37" t="n"/>
      <x:c r="C183" s="36" t="n">
        <x:f>E183*D$5</x:f>
        <x:v>0</x:v>
      </x:c>
      <x:c r="D183" s="20" t="n"/>
      <x:c r="E183" s="36" t="n">
        <x:f>SUM(G183:HS183)</x:f>
        <x:v>0</x:v>
      </x:c>
      <x:c r="Q183" s="100" t="n"/>
      <x:c r="R183" s="100" t="n"/>
      <x:c r="AD183" s="100" t="n"/>
      <x:c r="AE183" s="100" t="n"/>
      <x:c r="AF183" s="100" t="n"/>
      <x:c r="AG183" s="100" t="n"/>
      <x:c r="AH183" s="100" t="n"/>
      <x:c r="AI183" s="100" t="n"/>
      <x:c r="AJ183" s="100" t="n"/>
      <x:c r="AL183" s="100" t="n"/>
      <x:c r="AN183" s="100" t="n"/>
    </x:row>
    <x:row r="184" s="27" customFormat="1">
      <x:c r="A184" s="38" t="n"/>
      <x:c r="B184" s="37" t="n"/>
      <x:c r="C184" s="36" t="n">
        <x:f>E184*D$5</x:f>
        <x:v>0</x:v>
      </x:c>
      <x:c r="D184" s="20" t="n"/>
      <x:c r="E184" s="36" t="n">
        <x:f>SUM(G184:HS184)</x:f>
        <x:v>0</x:v>
      </x:c>
      <x:c r="Q184" s="100" t="n"/>
      <x:c r="R184" s="100" t="n"/>
      <x:c r="AD184" s="100" t="n"/>
      <x:c r="AE184" s="100" t="n"/>
      <x:c r="AF184" s="100" t="n"/>
      <x:c r="AG184" s="100" t="n"/>
      <x:c r="AH184" s="100" t="n"/>
      <x:c r="AI184" s="100" t="n"/>
      <x:c r="AJ184" s="100" t="n"/>
      <x:c r="AL184" s="100" t="n"/>
      <x:c r="AN184" s="100" t="n"/>
    </x:row>
    <x:row r="185" s="27" customFormat="1">
      <x:c r="A185" s="38" t="n"/>
      <x:c r="B185" s="37" t="n"/>
      <x:c r="C185" s="36" t="n">
        <x:f>E185*D$5</x:f>
        <x:v>0</x:v>
      </x:c>
      <x:c r="D185" s="20" t="n"/>
      <x:c r="E185" s="36" t="n">
        <x:f>SUM(G185:HS185)</x:f>
        <x:v>0</x:v>
      </x:c>
      <x:c r="Q185" s="100" t="n"/>
      <x:c r="R185" s="100" t="n"/>
      <x:c r="AD185" s="100" t="n"/>
      <x:c r="AE185" s="100" t="n"/>
      <x:c r="AF185" s="100" t="n"/>
      <x:c r="AG185" s="100" t="n"/>
      <x:c r="AH185" s="100" t="n"/>
      <x:c r="AI185" s="100" t="n"/>
      <x:c r="AJ185" s="100" t="n"/>
      <x:c r="AL185" s="100" t="n"/>
      <x:c r="AN185" s="100" t="n"/>
    </x:row>
    <x:row r="186" s="27" customFormat="1">
      <x:c r="A186" s="38" t="n"/>
      <x:c r="B186" s="37" t="n"/>
      <x:c r="C186" s="36" t="n">
        <x:f>E186*D$5</x:f>
        <x:v>0</x:v>
      </x:c>
      <x:c r="D186" s="20" t="n"/>
      <x:c r="E186" s="36" t="n">
        <x:f>SUM(G186:HS186)</x:f>
        <x:v>0</x:v>
      </x:c>
      <x:c r="Q186" s="100" t="n"/>
      <x:c r="R186" s="100" t="n"/>
      <x:c r="AD186" s="100" t="n"/>
      <x:c r="AE186" s="100" t="n"/>
      <x:c r="AF186" s="100" t="n"/>
      <x:c r="AG186" s="100" t="n"/>
      <x:c r="AH186" s="100" t="n"/>
      <x:c r="AI186" s="100" t="n"/>
      <x:c r="AJ186" s="100" t="n"/>
      <x:c r="AL186" s="100" t="n"/>
      <x:c r="AN186" s="100" t="n"/>
    </x:row>
    <x:row r="187" s="27" customFormat="1">
      <x:c r="A187" s="38" t="n"/>
      <x:c r="B187" s="37" t="n"/>
      <x:c r="C187" s="36" t="n">
        <x:f>E187*D$5</x:f>
        <x:v>0</x:v>
      </x:c>
      <x:c r="D187" s="20" t="n"/>
      <x:c r="E187" s="36" t="n">
        <x:f>SUM(G187:HS187)</x:f>
        <x:v>0</x:v>
      </x:c>
      <x:c r="Q187" s="100" t="n"/>
      <x:c r="R187" s="100" t="n"/>
      <x:c r="AD187" s="100" t="n"/>
      <x:c r="AE187" s="100" t="n"/>
      <x:c r="AF187" s="100" t="n"/>
      <x:c r="AG187" s="100" t="n"/>
      <x:c r="AH187" s="100" t="n"/>
      <x:c r="AI187" s="100" t="n"/>
      <x:c r="AJ187" s="100" t="n"/>
      <x:c r="AL187" s="100" t="n"/>
      <x:c r="AN187" s="100" t="n"/>
    </x:row>
    <x:row r="188" s="27" customFormat="1">
      <x:c r="A188" s="38" t="n"/>
      <x:c r="B188" s="37" t="n"/>
      <x:c r="C188" s="36" t="n">
        <x:f>E188*D$5</x:f>
        <x:v>0</x:v>
      </x:c>
      <x:c r="D188" s="20" t="n"/>
      <x:c r="E188" s="36" t="n">
        <x:f>SUM(G188:HS188)</x:f>
        <x:v>0</x:v>
      </x:c>
      <x:c r="Q188" s="100" t="n"/>
      <x:c r="R188" s="100" t="n"/>
      <x:c r="AD188" s="100" t="n"/>
      <x:c r="AE188" s="100" t="n"/>
      <x:c r="AF188" s="100" t="n"/>
      <x:c r="AG188" s="100" t="n"/>
      <x:c r="AH188" s="100" t="n"/>
      <x:c r="AI188" s="100" t="n"/>
      <x:c r="AJ188" s="100" t="n"/>
      <x:c r="AL188" s="100" t="n"/>
      <x:c r="AN188" s="100" t="n"/>
    </x:row>
    <x:row r="189" s="27" customFormat="1">
      <x:c r="A189" s="38" t="n"/>
      <x:c r="B189" s="37" t="n"/>
      <x:c r="C189" s="36" t="n">
        <x:f>E189*D$5</x:f>
        <x:v>0</x:v>
      </x:c>
      <x:c r="D189" s="20" t="n"/>
      <x:c r="E189" s="36" t="n">
        <x:f>SUM(G189:HS189)</x:f>
        <x:v>0</x:v>
      </x:c>
      <x:c r="Q189" s="100" t="n"/>
      <x:c r="R189" s="100" t="n"/>
      <x:c r="AD189" s="100" t="n"/>
      <x:c r="AE189" s="100" t="n"/>
      <x:c r="AF189" s="100" t="n"/>
      <x:c r="AG189" s="100" t="n"/>
      <x:c r="AH189" s="100" t="n"/>
      <x:c r="AI189" s="100" t="n"/>
      <x:c r="AJ189" s="100" t="n"/>
      <x:c r="AL189" s="100" t="n"/>
      <x:c r="AN189" s="100" t="n"/>
    </x:row>
    <x:row r="190" s="27" customFormat="1">
      <x:c r="A190" s="38" t="n"/>
      <x:c r="B190" s="37" t="n"/>
      <x:c r="C190" s="36" t="n">
        <x:f>E190*D$5</x:f>
        <x:v>0</x:v>
      </x:c>
      <x:c r="D190" s="20" t="n"/>
      <x:c r="E190" s="36" t="n">
        <x:f>SUM(G190:HS190)</x:f>
        <x:v>0</x:v>
      </x:c>
      <x:c r="Q190" s="100" t="n"/>
      <x:c r="R190" s="100" t="n"/>
      <x:c r="AD190" s="100" t="n"/>
      <x:c r="AE190" s="100" t="n"/>
      <x:c r="AF190" s="100" t="n"/>
      <x:c r="AG190" s="100" t="n"/>
      <x:c r="AH190" s="100" t="n"/>
      <x:c r="AI190" s="100" t="n"/>
      <x:c r="AJ190" s="100" t="n"/>
      <x:c r="AL190" s="100" t="n"/>
      <x:c r="AN190" s="100" t="n"/>
    </x:row>
    <x:row r="191" s="27" customFormat="1">
      <x:c r="A191" s="38" t="n"/>
      <x:c r="B191" s="37" t="n"/>
      <x:c r="C191" s="36" t="n">
        <x:f>E191*D$5</x:f>
        <x:v>0</x:v>
      </x:c>
      <x:c r="D191" s="20" t="n"/>
      <x:c r="E191" s="36" t="n">
        <x:f>SUM(G191:HS191)</x:f>
        <x:v>0</x:v>
      </x:c>
      <x:c r="Q191" s="100" t="n"/>
      <x:c r="R191" s="100" t="n"/>
      <x:c r="AD191" s="100" t="n"/>
      <x:c r="AE191" s="100" t="n"/>
      <x:c r="AF191" s="100" t="n"/>
      <x:c r="AG191" s="100" t="n"/>
      <x:c r="AH191" s="100" t="n"/>
      <x:c r="AI191" s="100" t="n"/>
      <x:c r="AJ191" s="100" t="n"/>
      <x:c r="AL191" s="100" t="n"/>
      <x:c r="AN191" s="100" t="n"/>
    </x:row>
    <x:row r="192" s="27" customFormat="1">
      <x:c r="A192" s="38" t="n"/>
      <x:c r="B192" s="37" t="n"/>
      <x:c r="C192" s="36" t="n">
        <x:f>E192*D$5</x:f>
        <x:v>0</x:v>
      </x:c>
      <x:c r="D192" s="20" t="n"/>
      <x:c r="E192" s="36" t="n">
        <x:f>SUM(G192:HS192)</x:f>
        <x:v>0</x:v>
      </x:c>
      <x:c r="Q192" s="100" t="n"/>
      <x:c r="R192" s="100" t="n"/>
      <x:c r="AD192" s="100" t="n"/>
      <x:c r="AE192" s="100" t="n"/>
      <x:c r="AF192" s="100" t="n"/>
      <x:c r="AG192" s="100" t="n"/>
      <x:c r="AH192" s="100" t="n"/>
      <x:c r="AI192" s="100" t="n"/>
      <x:c r="AJ192" s="100" t="n"/>
      <x:c r="AL192" s="100" t="n"/>
      <x:c r="AN192" s="100" t="n"/>
    </x:row>
    <x:row r="193" s="27" customFormat="1">
      <x:c r="A193" s="38" t="n"/>
      <x:c r="B193" s="37" t="n"/>
      <x:c r="C193" s="36" t="n">
        <x:f>E193*D$5</x:f>
        <x:v>0</x:v>
      </x:c>
      <x:c r="D193" s="20" t="n"/>
      <x:c r="E193" s="36" t="n">
        <x:f>SUM(G193:HS193)</x:f>
        <x:v>0</x:v>
      </x:c>
      <x:c r="Q193" s="100" t="n"/>
      <x:c r="R193" s="100" t="n"/>
      <x:c r="AD193" s="100" t="n"/>
      <x:c r="AE193" s="100" t="n"/>
      <x:c r="AF193" s="100" t="n"/>
      <x:c r="AG193" s="100" t="n"/>
      <x:c r="AH193" s="100" t="n"/>
      <x:c r="AI193" s="100" t="n"/>
      <x:c r="AJ193" s="100" t="n"/>
      <x:c r="AL193" s="100" t="n"/>
      <x:c r="AN193" s="100" t="n"/>
    </x:row>
    <x:row r="194" s="27" customFormat="1">
      <x:c r="A194" s="38" t="n"/>
      <x:c r="B194" s="37" t="n"/>
      <x:c r="C194" s="36" t="n">
        <x:f>E194*D$5</x:f>
        <x:v>0</x:v>
      </x:c>
      <x:c r="D194" s="20" t="n"/>
      <x:c r="E194" s="36" t="n">
        <x:f>SUM(G194:HS194)</x:f>
        <x:v>0</x:v>
      </x:c>
      <x:c r="Q194" s="100" t="n"/>
      <x:c r="R194" s="100" t="n"/>
      <x:c r="AD194" s="100" t="n"/>
      <x:c r="AE194" s="100" t="n"/>
      <x:c r="AF194" s="100" t="n"/>
      <x:c r="AG194" s="100" t="n"/>
      <x:c r="AH194" s="100" t="n"/>
      <x:c r="AI194" s="100" t="n"/>
      <x:c r="AJ194" s="100" t="n"/>
      <x:c r="AL194" s="100" t="n"/>
      <x:c r="AN194" s="100" t="n"/>
    </x:row>
    <x:row r="195" s="27" customFormat="1">
      <x:c r="A195" s="38" t="n"/>
      <x:c r="B195" s="37" t="n"/>
      <x:c r="C195" s="36" t="n">
        <x:f>E195*D$5</x:f>
        <x:v>0</x:v>
      </x:c>
      <x:c r="D195" s="20" t="n"/>
      <x:c r="E195" s="36" t="n">
        <x:f>SUM(G195:HS195)</x:f>
        <x:v>0</x:v>
      </x:c>
      <x:c r="Q195" s="100" t="n"/>
      <x:c r="R195" s="100" t="n"/>
      <x:c r="AD195" s="100" t="n"/>
      <x:c r="AE195" s="100" t="n"/>
      <x:c r="AF195" s="100" t="n"/>
      <x:c r="AG195" s="100" t="n"/>
      <x:c r="AH195" s="100" t="n"/>
      <x:c r="AI195" s="100" t="n"/>
      <x:c r="AJ195" s="100" t="n"/>
      <x:c r="AL195" s="100" t="n"/>
      <x:c r="AN195" s="100" t="n"/>
    </x:row>
    <x:row r="196" s="27" customFormat="1">
      <x:c r="A196" s="38" t="n"/>
      <x:c r="B196" s="37" t="n"/>
      <x:c r="C196" s="36" t="n">
        <x:f>E196*D$5</x:f>
        <x:v>0</x:v>
      </x:c>
      <x:c r="D196" s="20" t="n"/>
      <x:c r="E196" s="36" t="n">
        <x:f>SUM(G196:HT196)</x:f>
        <x:v>0</x:v>
      </x:c>
      <x:c r="R196" s="100" t="n"/>
      <x:c r="S196" s="100" t="n"/>
      <x:c r="AE196" s="100" t="n"/>
      <x:c r="AF196" s="100" t="n"/>
      <x:c r="AG196" s="100" t="n"/>
      <x:c r="AH196" s="100" t="n"/>
      <x:c r="AI196" s="100" t="n"/>
      <x:c r="AJ196" s="100" t="n"/>
      <x:c r="AK196" s="100" t="n"/>
      <x:c r="AM196" s="100" t="n"/>
      <x:c r="AO196" s="100" t="n"/>
    </x:row>
    <x:row r="197" s="27" customFormat="1">
      <x:c r="A197" s="38" t="n"/>
      <x:c r="B197" s="37" t="n"/>
      <x:c r="C197" s="36" t="n">
        <x:f>E197*D$5</x:f>
        <x:v>0</x:v>
      </x:c>
      <x:c r="D197" s="20" t="n"/>
      <x:c r="E197" s="36" t="n">
        <x:f>SUM(G197:HT197)</x:f>
        <x:v>0</x:v>
      </x:c>
      <x:c r="R197" s="100" t="n"/>
      <x:c r="S197" s="100" t="n"/>
      <x:c r="AE197" s="100" t="n"/>
      <x:c r="AF197" s="100" t="n"/>
      <x:c r="AG197" s="100" t="n"/>
      <x:c r="AH197" s="100" t="n"/>
      <x:c r="AI197" s="100" t="n"/>
      <x:c r="AJ197" s="100" t="n"/>
      <x:c r="AK197" s="100" t="n"/>
      <x:c r="AM197" s="100" t="n"/>
      <x:c r="AO197" s="100" t="n"/>
    </x:row>
    <x:row r="198" s="27" customFormat="1">
      <x:c r="A198" s="38" t="n"/>
      <x:c r="B198" s="37" t="n"/>
      <x:c r="C198" s="36" t="n">
        <x:f>E198*D$5</x:f>
        <x:v>0</x:v>
      </x:c>
      <x:c r="D198" s="20" t="n"/>
      <x:c r="E198" s="36" t="n">
        <x:f>SUM(G198:HT198)</x:f>
        <x:v>0</x:v>
      </x:c>
      <x:c r="R198" s="100" t="n"/>
      <x:c r="S198" s="100" t="n"/>
      <x:c r="AE198" s="100" t="n"/>
      <x:c r="AF198" s="100" t="n"/>
      <x:c r="AG198" s="100" t="n"/>
      <x:c r="AH198" s="100" t="n"/>
      <x:c r="AI198" s="100" t="n"/>
      <x:c r="AJ198" s="100" t="n"/>
      <x:c r="AK198" s="100" t="n"/>
      <x:c r="AM198" s="100" t="n"/>
      <x:c r="AO198" s="100" t="n"/>
    </x:row>
    <x:row r="199" s="27" customFormat="1">
      <x:c r="A199" s="38" t="n"/>
      <x:c r="B199" s="37" t="n"/>
      <x:c r="C199" s="36" t="n">
        <x:f>E199*D$5</x:f>
        <x:v>0</x:v>
      </x:c>
      <x:c r="D199" s="20" t="n"/>
      <x:c r="E199" s="36" t="n">
        <x:f>SUM(G199:HT199)</x:f>
        <x:v>0</x:v>
      </x:c>
      <x:c r="R199" s="100" t="n"/>
      <x:c r="S199" s="100" t="n"/>
      <x:c r="AE199" s="100" t="n"/>
      <x:c r="AF199" s="100" t="n"/>
      <x:c r="AG199" s="100" t="n"/>
      <x:c r="AH199" s="100" t="n"/>
      <x:c r="AI199" s="100" t="n"/>
      <x:c r="AJ199" s="100" t="n"/>
      <x:c r="AK199" s="100" t="n"/>
      <x:c r="AM199" s="100" t="n"/>
      <x:c r="AO199" s="100" t="n"/>
    </x:row>
    <x:row r="200" s="27" customFormat="1">
      <x:c r="A200" s="38" t="n"/>
      <x:c r="B200" s="37" t="n"/>
      <x:c r="C200" s="36" t="n">
        <x:f>E200*D$5</x:f>
        <x:v>0</x:v>
      </x:c>
      <x:c r="D200" s="20" t="n"/>
      <x:c r="E200" s="36" t="n">
        <x:f>SUM(G200:HT200)</x:f>
        <x:v>0</x:v>
      </x:c>
      <x:c r="R200" s="100" t="n"/>
      <x:c r="S200" s="100" t="n"/>
      <x:c r="AE200" s="100" t="n"/>
      <x:c r="AF200" s="100" t="n"/>
      <x:c r="AG200" s="100" t="n"/>
      <x:c r="AH200" s="100" t="n"/>
      <x:c r="AI200" s="100" t="n"/>
      <x:c r="AJ200" s="100" t="n"/>
      <x:c r="AK200" s="100" t="n"/>
      <x:c r="AM200" s="100" t="n"/>
      <x:c r="AO200" s="100" t="n"/>
    </x:row>
    <x:row r="201" s="27" customFormat="1">
      <x:c r="A201" s="38" t="n"/>
      <x:c r="B201" s="37" t="n"/>
      <x:c r="C201" s="36" t="n">
        <x:f>E201*D$5</x:f>
        <x:v>0</x:v>
      </x:c>
      <x:c r="D201" s="20" t="n"/>
      <x:c r="E201" s="36" t="n">
        <x:f>SUM(G201:HT201)</x:f>
        <x:v>0</x:v>
      </x:c>
      <x:c r="R201" s="100" t="n"/>
      <x:c r="S201" s="100" t="n"/>
      <x:c r="AE201" s="100" t="n"/>
      <x:c r="AF201" s="100" t="n"/>
      <x:c r="AG201" s="100" t="n"/>
      <x:c r="AH201" s="100" t="n"/>
      <x:c r="AI201" s="100" t="n"/>
      <x:c r="AJ201" s="100" t="n"/>
      <x:c r="AK201" s="100" t="n"/>
      <x:c r="AM201" s="100" t="n"/>
      <x:c r="AO201" s="100" t="n"/>
    </x:row>
    <x:row r="202" s="27" customFormat="1">
      <x:c r="A202" s="38" t="n"/>
      <x:c r="B202" s="37" t="n"/>
      <x:c r="C202" s="36" t="n">
        <x:f>E202*D$5</x:f>
        <x:v>0</x:v>
      </x:c>
      <x:c r="D202" s="20" t="n"/>
      <x:c r="E202" s="36" t="n">
        <x:f>SUM(G202:HT202)</x:f>
        <x:v>0</x:v>
      </x:c>
      <x:c r="R202" s="100" t="n"/>
      <x:c r="S202" s="100" t="n"/>
      <x:c r="AE202" s="100" t="n"/>
      <x:c r="AF202" s="100" t="n"/>
      <x:c r="AG202" s="100" t="n"/>
      <x:c r="AH202" s="100" t="n"/>
      <x:c r="AI202" s="100" t="n"/>
      <x:c r="AJ202" s="100" t="n"/>
      <x:c r="AK202" s="100" t="n"/>
      <x:c r="AM202" s="100" t="n"/>
      <x:c r="AO202" s="100" t="n"/>
    </x:row>
    <x:row r="203" s="27" customFormat="1">
      <x:c r="A203" s="38" t="n"/>
      <x:c r="B203" s="37" t="n"/>
      <x:c r="C203" s="36" t="n">
        <x:f>E203*D$5</x:f>
        <x:v>0</x:v>
      </x:c>
      <x:c r="D203" s="20" t="n"/>
      <x:c r="E203" s="36" t="n">
        <x:f>SUM(G203:HT203)</x:f>
        <x:v>0</x:v>
      </x:c>
      <x:c r="R203" s="100" t="n"/>
      <x:c r="S203" s="100" t="n"/>
      <x:c r="AE203" s="100" t="n"/>
      <x:c r="AF203" s="100" t="n"/>
      <x:c r="AG203" s="100" t="n"/>
      <x:c r="AH203" s="100" t="n"/>
      <x:c r="AI203" s="100" t="n"/>
      <x:c r="AJ203" s="100" t="n"/>
      <x:c r="AK203" s="100" t="n"/>
      <x:c r="AM203" s="102" t="n"/>
      <x:c r="AO203" s="100" t="n"/>
    </x:row>
    <x:row r="204" s="29" customFormat="1">
      <x:c r="A204" s="34" t="n"/>
      <x:c r="B204" s="33" t="n"/>
      <x:c r="C204" s="32" t="n"/>
      <x:c r="D204" s="31" t="n"/>
      <x:c r="E204" s="30" t="n"/>
      <x:c r="R204" s="100" t="n"/>
      <x:c r="S204" s="100" t="n"/>
      <x:c r="AE204" s="100" t="n"/>
      <x:c r="AF204" s="100" t="n"/>
      <x:c r="AG204" s="100" t="n"/>
      <x:c r="AH204" s="100" t="n"/>
      <x:c r="AI204" s="100" t="n"/>
      <x:c r="AJ204" s="100" t="n"/>
      <x:c r="AK204" s="100" t="n"/>
      <x:c r="AM204" s="95" t="n"/>
      <x:c r="AO204" s="100" t="n"/>
    </x:row>
    <x:row r="205" s="26" customFormat="1">
      <x:c r="A205" s="25" t="n"/>
      <x:c r="B205" s="24" t="n"/>
      <x:c r="C205" s="23" t="n"/>
      <x:c r="D205" s="22" t="n"/>
      <x:c r="E205" s="21" t="n"/>
      <x:c r="R205" s="100" t="n"/>
      <x:c r="S205" s="100" t="n"/>
      <x:c r="AE205" s="100" t="n"/>
      <x:c r="AF205" s="100" t="n"/>
      <x:c r="AG205" s="100" t="n"/>
      <x:c r="AH205" s="100" t="n"/>
      <x:c r="AI205" s="100" t="n"/>
      <x:c r="AJ205" s="100" t="n"/>
      <x:c r="AK205" s="100" t="n"/>
      <x:c r="AM205" s="95" t="n"/>
      <x:c r="AO205" s="100" t="n"/>
    </x:row>
    <x:row r="206">
      <x:c r="A206" s="25" t="n"/>
      <x:c r="B206" s="24" t="n"/>
      <x:c r="C206" s="23" t="n"/>
      <x:c r="D206" s="22" t="n"/>
      <x:c r="E206" s="21" t="n"/>
      <x:c r="R206" s="100" t="n"/>
      <x:c r="S206" s="100" t="n"/>
      <x:c r="AE206" s="100" t="n"/>
      <x:c r="AF206" s="100" t="n"/>
      <x:c r="AG206" s="100" t="n"/>
      <x:c r="AH206" s="102" t="n"/>
      <x:c r="AI206" s="102" t="n"/>
      <x:c r="AJ206" s="102" t="n"/>
      <x:c r="AK206" s="102" t="n"/>
      <x:c r="AO206" s="102" t="n"/>
    </x:row>
    <x:row r="207">
      <x:c r="R207" s="100" t="n"/>
      <x:c r="S207" s="100" t="n"/>
      <x:c r="AE207" s="102" t="n"/>
      <x:c r="AF207" s="100" t="n"/>
      <x:c r="AG207" s="100" t="n"/>
    </x:row>
    <x:row r="208">
      <x:c r="R208" s="102" t="n"/>
      <x:c r="S208" s="102" t="n"/>
      <x:c r="AF208" s="102" t="n"/>
      <x:c r="AG208" s="100" t="n"/>
    </x:row>
    <x:row r="209">
      <x:c r="AG209" s="100" t="n"/>
    </x:row>
    <x:row r="210">
      <x:c r="AG210" s="100" t="n"/>
    </x:row>
    <x:row r="211">
      <x:c r="AG211" s="100" t="n"/>
    </x:row>
    <x:row r="212">
      <x:c r="AG212" s="102" t="n"/>
    </x:row>
  </x:sheetData>
  <x:mergeCells>
    <x:mergeCell ref="CG7:CG8"/>
    <x:mergeCell ref="EX7:EX8"/>
    <x:mergeCell ref="EZ7:EZ8"/>
    <x:mergeCell ref="DH7:DH8"/>
    <x:mergeCell ref="BR7:BR8"/>
    <x:mergeCell ref="BA7:BA8"/>
    <x:mergeCell ref="BC7:BC8"/>
    <x:mergeCell ref="DT7:DT8"/>
    <x:mergeCell ref="M7:M8"/>
    <x:mergeCell ref="DV7:DV8"/>
    <x:mergeCell ref="FD7:FD8"/>
    <x:mergeCell ref="FV7:FV8"/>
    <x:mergeCell ref="BO7:BO8"/>
    <x:mergeCell ref="FX7:FX8"/>
    <x:mergeCell ref="CI7:CI8"/>
    <x:mergeCell ref="DS7:DS8"/>
    <x:mergeCell ref="E1:F1"/>
    <x:mergeCell ref="P7:P8"/>
    <x:mergeCell ref="AM7:AM8"/>
    <x:mergeCell ref="FF7:FF8"/>
    <x:mergeCell ref="CA7:CA8"/>
    <x:mergeCell ref="T7:T8"/>
    <x:mergeCell ref="V7:V8"/>
    <x:mergeCell ref="CM7:CM8"/>
    <x:mergeCell ref="AN7:AN8"/>
    <x:mergeCell ref="AP7:AP8"/>
    <x:mergeCell ref="AF7:AF8"/>
    <x:mergeCell ref="DG7:DG8"/>
    <x:mergeCell ref="EO7:EO8"/>
    <x:mergeCell ref="AH7:AH8"/>
    <x:mergeCell ref="EQ7:EQ8"/>
    <x:mergeCell ref="D2:D4"/>
    <x:mergeCell ref="FI7:FI8"/>
    <x:mergeCell ref="CJ7:CJ8"/>
    <x:mergeCell ref="BB7:BB8"/>
    <x:mergeCell ref="FA7:FA8"/>
    <x:mergeCell ref="BD7:BD8"/>
    <x:mergeCell ref="FC7:FC8"/>
    <x:mergeCell ref="EN7:EN8"/>
    <x:mergeCell ref="AT7:AT8"/>
    <x:mergeCell ref="DK7:DK8"/>
    <x:mergeCell ref="AV7:AV8"/>
    <x:mergeCell ref="CP7:CP8"/>
    <x:mergeCell ref="DM7:DM8"/>
    <x:mergeCell ref="C6:C7"/>
    <x:mergeCell ref="BF7:BF8"/>
    <x:mergeCell ref="FO7:FO8"/>
    <x:mergeCell ref="BH7:BH8"/>
    <x:mergeCell ref="E3:F3"/>
    <x:mergeCell ref="FQ7:FQ8"/>
    <x:mergeCell ref="DY7:DY8"/>
    <x:mergeCell ref="EA7:EA8"/>
    <x:mergeCell ref="DJ7:DJ8"/>
    <x:mergeCell ref="GA7:GA8"/>
    <x:mergeCell ref="BT7:BT8"/>
    <x:mergeCell ref="B3:C3"/>
    <x:mergeCell ref="A2:A6"/>
    <x:mergeCell ref="E5:F5"/>
    <x:mergeCell ref="G7:G8"/>
    <x:mergeCell ref="DP7:DP8"/>
    <x:mergeCell ref="I7:I8"/>
    <x:mergeCell ref="BI7:BI8"/>
    <x:mergeCell ref="S7:S8"/>
    <x:mergeCell ref="EB7:EB8"/>
    <x:mergeCell ref="U7:U8"/>
    <x:mergeCell ref="FL7:FL8"/>
    <x:mergeCell ref="W7:W8"/>
    <x:mergeCell ref="E4:F4"/>
    <x:mergeCell ref="BW7:BW8"/>
    <x:mergeCell ref="CT7:CT8"/>
    <x:mergeCell ref="B2:C2"/>
    <x:mergeCell ref="CF7:CF8"/>
    <x:mergeCell ref="EF7:EF8"/>
    <x:mergeCell ref="AI7:AI8"/>
    <x:mergeCell ref="Y7:Y8"/>
    <x:mergeCell ref="EH7:EH8"/>
    <x:mergeCell ref="CZ7:CZ8"/>
    <x:mergeCell ref="AA7:AA8"/>
    <x:mergeCell ref="CR7:CR8"/>
    <x:mergeCell ref="AS7:AS8"/>
    <x:mergeCell ref="CC7:CC8"/>
    <x:mergeCell ref="AU7:AU8"/>
    <x:mergeCell ref="ET7:ET8"/>
    <x:mergeCell ref="F6:F8"/>
    <x:mergeCell ref="EV7:EV8"/>
    <x:mergeCell ref="CW7:CW8"/>
    <x:mergeCell ref="FN7:FN8"/>
    <x:mergeCell ref="CO7:CO8"/>
    <x:mergeCell ref="FP7:FP8"/>
    <x:mergeCell ref="DI7:DI8"/>
    <x:mergeCell ref="AY7:AY8"/>
    <x:mergeCell ref="AD7:AD8"/>
    <x:mergeCell ref="CU7:CU8"/>
    <x:mergeCell ref="DR7:DR8"/>
    <x:mergeCell ref="FR7:FR8"/>
    <x:mergeCell ref="BK7:BK8"/>
    <x:mergeCell ref="FT7:FT8"/>
    <x:mergeCell ref="DO7:DO8"/>
    <x:mergeCell ref="BQ7:BQ8"/>
    <x:mergeCell ref="DA7:DA8"/>
    <x:mergeCell ref="L7:L8"/>
    <x:mergeCell ref="DU7:DU8"/>
    <x:mergeCell ref="N7:N8"/>
    <x:mergeCell ref="BN7:BN8"/>
    <x:mergeCell ref="BP7:BP8"/>
    <x:mergeCell ref="EG7:EG8"/>
    <x:mergeCell ref="BZ7:BZ8"/>
    <x:mergeCell ref="CB7:CB8"/>
    <x:mergeCell ref="R7:R8"/>
    <x:mergeCell ref="CE7:CE8"/>
    <x:mergeCell ref="AJ7:AJ8"/>
    <x:mergeCell ref="CK7:CK8"/>
    <x:mergeCell ref="AL7:AL8"/>
    <x:mergeCell ref="EK7:EK8"/>
    <x:mergeCell ref="DC7:DC8"/>
    <x:mergeCell ref="EM7:EM8"/>
    <x:mergeCell ref="CN7:CN8"/>
    <x:mergeCell ref="FE7:FE8"/>
    <x:mergeCell ref="AX7:AX8"/>
    <x:mergeCell ref="FG7:FG8"/>
    <x:mergeCell ref="EW7:EW8"/>
    <x:mergeCell ref="EY7:EY8"/>
    <x:mergeCell ref="DB7:DB8"/>
    <x:mergeCell ref="CL7:CL8"/>
    <x:mergeCell ref="AG7:AG8"/>
    <x:mergeCell ref="EP7:EP8"/>
    <x:mergeCell ref="FW7:FW8"/>
    <x:mergeCell ref="FB7:FB8"/>
    <x:mergeCell ref="FY7:FY8"/>
    <x:mergeCell ref="DL7:DL8"/>
    <x:mergeCell ref="DD7:DD8"/>
    <x:mergeCell ref="BV7:BV8"/>
    <x:mergeCell ref="BE7:BE8"/>
    <x:mergeCell ref="DF7:DF8"/>
    <x:mergeCell ref="BG7:BG8"/>
    <x:mergeCell ref="O7:O8"/>
    <x:mergeCell ref="DX7:DX8"/>
    <x:mergeCell ref="Q7:Q8"/>
    <x:mergeCell ref="FH7:FH8"/>
    <x:mergeCell ref="DZ7:DZ8"/>
    <x:mergeCell ref="FZ7:FZ8"/>
    <x:mergeCell ref="BS7:BS8"/>
    <x:mergeCell ref="EJ7:EJ8"/>
    <x:mergeCell ref="BU7:BU8"/>
    <x:mergeCell ref="DW7:DW8"/>
    <x:mergeCell ref="AR7:AR8"/>
    <x:mergeCell ref="B5:C5"/>
    <x:mergeCell ref="EI7:EI8"/>
    <x:mergeCell ref="ED7:ED8"/>
    <x:mergeCell ref="AO7:AO8"/>
    <x:mergeCell ref="D6:D7"/>
    <x:mergeCell ref="BY7:BY8"/>
    <x:mergeCell ref="AQ7:AQ8"/>
    <x:mergeCell ref="B6:B8"/>
    <x:mergeCell ref="B4:C4"/>
    <x:mergeCell ref="ER7:ER8"/>
    <x:mergeCell ref="CS7:CS8"/>
    <x:mergeCell ref="FJ7:FJ8"/>
    <x:mergeCell ref="DE7:DE8"/>
    <x:mergeCell ref="X7:X8"/>
    <x:mergeCell ref="Z7:Z8"/>
    <x:mergeCell ref="CQ7:CQ8"/>
    <x:mergeCell ref="ES7:ES8"/>
    <x:mergeCell ref="EU7:EU8"/>
    <x:mergeCell ref="BM7:BM8"/>
    <x:mergeCell ref="AZ7:AZ8"/>
    <x:mergeCell ref="H7:H8"/>
    <x:mergeCell ref="DQ7:DQ8"/>
    <x:mergeCell ref="J7:J8"/>
    <x:mergeCell ref="E6:E7"/>
    <x:mergeCell ref="BJ7:BJ8"/>
    <x:mergeCell ref="AB7:AB8"/>
    <x:mergeCell ref="FS7:FS8"/>
    <x:mergeCell ref="BL7:BL8"/>
    <x:mergeCell ref="FU7:FU8"/>
    <x:mergeCell ref="FK7:FK8"/>
    <x:mergeCell ref="EC7:EC8"/>
    <x:mergeCell ref="FM7:FM8"/>
    <x:mergeCell ref="EE7:EE8"/>
    <x:mergeCell ref="DN7:DN8"/>
    <x:mergeCell ref="CD7:CD8"/>
    <x:mergeCell ref="BX7:BX8"/>
    <x:mergeCell ref="E2:F2"/>
    <x:mergeCell ref="K7:K8"/>
    <x:mergeCell ref="CY7:CY8"/>
    <x:mergeCell ref="CX7:CX8"/>
    <x:mergeCell ref="CH7:CH8"/>
    <x:mergeCell ref="AK7:AK8"/>
    <x:mergeCell ref="AC7:AC8"/>
    <x:mergeCell ref="EL7:EL8"/>
    <x:mergeCell ref="AE7:AE8"/>
    <x:mergeCell ref="CV7:CV8"/>
    <x:mergeCell ref="AW7:AW8"/>
  </x:mergeCells>
  <x:pageMargins left="0.7" right="0.7" top="0.75" bottom="0.75" header="0.3" footer="0.3"/>
</x:worksheet>
</file>

<file path=xl/worksheets/sheet13.xml><?xml version="1.0" encoding="utf-8"?>
<x:worksheet xmlns:x="http://schemas.openxmlformats.org/spreadsheetml/2006/main">
  <x:sheetFormatPr baseColWidth="8" defaultColWidth="14.42578125" defaultRowHeight="12.75"/>
  <x:cols>
    <x:col min="1" max="1" width="8.140625" style="19" customWidth="1"/>
    <x:col min="2" max="2" width="6.85546875" style="18" customWidth="1"/>
    <x:col min="3" max="3" width="11.5703125" style="17" customWidth="1"/>
    <x:col min="4" max="4" width="51.42578125" style="16" customWidth="1"/>
    <x:col min="5" max="5" width="10.5703125" style="15" customWidth="1"/>
    <x:col min="6" max="6" width="6.85546875" style="13" customWidth="1"/>
    <x:col min="7" max="17" width="13" style="13" customWidth="1"/>
    <x:col min="18" max="19" width="13" style="95" customWidth="1"/>
    <x:col min="20" max="30" width="13" style="13" customWidth="1"/>
    <x:col min="31" max="37" width="13" style="95" customWidth="1"/>
    <x:col min="38" max="38" width="13" style="13" customWidth="1"/>
    <x:col min="39" max="39" width="13" style="95" customWidth="1"/>
    <x:col min="40" max="40" width="13" style="13" customWidth="1"/>
    <x:col min="41" max="41" width="13" style="95" customWidth="1"/>
    <x:col min="42" max="183" width="13" style="13" customWidth="1"/>
    <x:col min="184" max="184" width="13" style="14" customWidth="1"/>
    <x:col min="185" max="188" width="13" style="13" customWidth="1"/>
    <x:col min="189" max="16384" width="14.42578125" style="13" customWidth="1"/>
  </x:cols>
  <x:sheetData>
    <x:row r="1" s="569" customFormat="1" ht="13.5" customHeight="1">
      <x:c r="E1" s="477" t="inlineStr">
        <x:is>
          <x:t xml:space="preserve">Instrument</x:t>
        </x:is>
      </x:c>
      <x:c r="F1" s="592" t="n"/>
      <x:c r="G1" s="63" t="n"/>
      <x:c r="H1" s="116" t="inlineStr">
        <x:is>
          <x:t xml:space="preserve">PAT</x:t>
        </x:is>
      </x:c>
      <x:c r="I1" s="116" t="inlineStr">
        <x:is>
          <x:t xml:space="preserve">DEED</x:t>
        </x:is>
      </x:c>
      <x:c r="J1" s="116" t="inlineStr">
        <x:is>
          <x:t xml:space="preserve">DEED</x:t>
        </x:is>
      </x:c>
      <x:c r="K1" s="116" t="inlineStr">
        <x:is>
          <x:t xml:space="preserve">DEED</x:t>
        </x:is>
      </x:c>
      <x:c r="L1" s="116" t="inlineStr">
        <x:is>
          <x:t xml:space="preserve">WD</x:t>
        </x:is>
      </x:c>
      <x:c r="M1" s="116" t="inlineStr">
        <x:is>
          <x:t xml:space="preserve">QCD</x:t>
        </x:is>
      </x:c>
      <x:c r="N1" s="116" t="inlineStr">
        <x:is>
          <x:t xml:space="preserve">WD</x:t>
        </x:is>
      </x:c>
      <x:c r="O1" s="116" t="inlineStr">
        <x:is>
          <x:t xml:space="preserve">MD</x:t>
        </x:is>
      </x:c>
      <x:c r="P1" s="116" t="inlineStr">
        <x:is>
          <x:t xml:space="preserve">MD</x:t>
        </x:is>
      </x:c>
      <x:c r="Q1" s="116" t="inlineStr">
        <x:is>
          <x:t xml:space="preserve">MD</x:t>
        </x:is>
      </x:c>
      <x:c r="R1" s="116" t="inlineStr">
        <x:is>
          <x:t xml:space="preserve">MD</x:t>
        </x:is>
      </x:c>
      <x:c r="S1" s="116" t="inlineStr">
        <x:is>
          <x:t xml:space="preserve">DECREE</x:t>
        </x:is>
      </x:c>
      <x:c r="T1" s="116" t="inlineStr">
        <x:is>
          <x:t xml:space="preserve">WD</x:t>
        </x:is>
      </x:c>
      <x:c r="U1" s="116" t="inlineStr">
        <x:is>
          <x:t xml:space="preserve">JTWD</x:t>
        </x:is>
      </x:c>
      <x:c r="V1" s="116" t="inlineStr">
        <x:is>
          <x:t xml:space="preserve">DECREE</x:t>
        </x:is>
      </x:c>
      <x:c r="W1" s="116" t="inlineStr">
        <x:is>
          <x:t xml:space="preserve">MD</x:t>
        </x:is>
      </x:c>
      <x:c r="X1" s="116" t="inlineStr">
        <x:is>
          <x:t xml:space="preserve">QCD</x:t>
        </x:is>
      </x:c>
      <x:c r="Y1" s="116" t="inlineStr">
        <x:is>
          <x:t xml:space="preserve">MD</x:t>
        </x:is>
      </x:c>
      <x:c r="Z1" s="116" t="inlineStr">
        <x:is>
          <x:t xml:space="preserve">DECREE</x:t>
        </x:is>
      </x:c>
      <x:c r="AA1" s="116" t="inlineStr">
        <x:is>
          <x:t xml:space="preserve">QCD</x:t>
        </x:is>
      </x:c>
      <x:c r="AB1" s="116" t="inlineStr">
        <x:is>
          <x:t xml:space="preserve">AFF</x:t>
        </x:is>
      </x:c>
      <x:c r="AC1" s="116" t="inlineStr">
        <x:is>
          <x:t xml:space="preserve">DECREE</x:t>
        </x:is>
      </x:c>
      <x:c r="AD1" s="116" t="inlineStr">
        <x:is>
          <x:t xml:space="preserve">MD</x:t>
        </x:is>
      </x:c>
      <x:c r="AE1" s="116" t="inlineStr">
        <x:is>
          <x:t xml:space="preserve">MD</x:t>
        </x:is>
      </x:c>
      <x:c r="AF1" s="116" t="inlineStr">
        <x:is>
          <x:t xml:space="preserve">MD</x:t>
        </x:is>
      </x:c>
      <x:c r="AG1" s="116" t="inlineStr">
        <x:is>
          <x:t xml:space="preserve">MD</x:t>
        </x:is>
      </x:c>
      <x:c r="AH1" s="116" t="inlineStr">
        <x:is>
          <x:t xml:space="preserve">DECREE</x:t>
        </x:is>
      </x:c>
      <x:c r="AI1" s="116" t="inlineStr">
        <x:is>
          <x:t xml:space="preserve">MD</x:t>
        </x:is>
      </x:c>
      <x:c r="AJ1" s="116" t="inlineStr">
        <x:is>
          <x:t xml:space="preserve">MD</x:t>
        </x:is>
      </x:c>
      <x:c r="AK1" s="116" t="inlineStr">
        <x:is>
          <x:t xml:space="preserve">QCD</x:t>
        </x:is>
      </x:c>
      <x:c r="AL1" s="116" t="inlineStr">
        <x:is>
          <x:t xml:space="preserve">QCD</x:t>
        </x:is>
      </x:c>
      <x:c r="AM1" s="116" t="inlineStr">
        <x:is>
          <x:t xml:space="preserve">MD</x:t>
        </x:is>
      </x:c>
      <x:c r="AN1" s="116" t="inlineStr">
        <x:is>
          <x:t xml:space="preserve">DECREE</x:t>
        </x:is>
      </x:c>
      <x:c r="AO1" s="116" t="inlineStr">
        <x:is>
          <x:t xml:space="preserve">QCD</x:t>
        </x:is>
      </x:c>
      <x:c r="AP1" s="95" t="inlineStr">
        <x:is>
          <x:t xml:space="preserve">MD</x:t>
        </x:is>
      </x:c>
      <x:c r="AQ1" s="95" t="inlineStr">
        <x:is>
          <x:t xml:space="preserve">DECREE</x:t>
        </x:is>
      </x:c>
      <x:c r="AR1" s="95" t="inlineStr">
        <x:is>
          <x:t xml:space="preserve">QCD</x:t>
        </x:is>
      </x:c>
      <x:c r="AS1" s="95" t="inlineStr">
        <x:is>
          <x:t xml:space="preserve">QCD</x:t>
        </x:is>
      </x:c>
      <x:c r="AT1" s="95" t="inlineStr">
        <x:is>
          <x:t xml:space="preserve">WD</x:t>
        </x:is>
      </x:c>
      <x:c r="AU1" s="95" t="inlineStr">
        <x:is>
          <x:t xml:space="preserve">MD</x:t>
        </x:is>
      </x:c>
      <x:c r="AV1" s="95" t="inlineStr">
        <x:is>
          <x:t xml:space="preserve">MD</x:t>
        </x:is>
      </x:c>
      <x:c r="AW1" s="95" t="n"/>
      <x:c r="AX1" s="95" t="n"/>
      <x:c r="AY1" s="95" t="n"/>
      <x:c r="AZ1" s="95" t="n"/>
      <x:c r="BA1" s="95" t="n"/>
      <x:c r="BB1" s="95" t="n"/>
      <x:c r="BC1" s="95" t="n"/>
      <x:c r="BD1" s="95" t="n"/>
      <x:c r="BE1" s="95" t="n"/>
      <x:c r="BF1" s="95" t="n"/>
      <x:c r="BG1" s="95" t="n"/>
      <x:c r="BH1" s="95" t="n"/>
      <x:c r="BI1" s="95" t="n"/>
      <x:c r="BJ1" s="95" t="n"/>
      <x:c r="BK1" s="95" t="n"/>
      <x:c r="BL1" s="95" t="n"/>
      <x:c r="BM1" s="95" t="n"/>
      <x:c r="BN1" s="95" t="n"/>
      <x:c r="BO1" s="95" t="n"/>
      <x:c r="BP1" s="95" t="n"/>
      <x:c r="BQ1" s="95" t="n"/>
      <x:c r="BR1" s="95" t="n"/>
      <x:c r="BS1" s="95" t="n"/>
      <x:c r="BT1" s="95" t="n"/>
      <x:c r="BU1" s="95" t="n"/>
      <x:c r="BV1" s="95" t="n"/>
      <x:c r="BW1" s="95" t="n"/>
      <x:c r="BX1" s="95" t="n"/>
      <x:c r="BY1" s="95" t="n"/>
      <x:c r="BZ1" s="95" t="n"/>
      <x:c r="CA1" s="95" t="n"/>
      <x:c r="CB1" s="95" t="n"/>
      <x:c r="CC1" s="95" t="n"/>
      <x:c r="CD1" s="95" t="n"/>
      <x:c r="CE1" s="95" t="n"/>
      <x:c r="CF1" s="95" t="n"/>
      <x:c r="CG1" s="95" t="n"/>
      <x:c r="CH1" s="95" t="n"/>
      <x:c r="CI1" s="95" t="n"/>
      <x:c r="CJ1" s="95" t="n"/>
      <x:c r="CK1" s="95" t="n"/>
      <x:c r="CL1" s="95" t="n"/>
      <x:c r="CM1" s="95" t="n"/>
      <x:c r="CN1" s="95" t="n"/>
      <x:c r="CO1" s="95" t="n"/>
      <x:c r="CP1" s="95" t="n"/>
      <x:c r="CQ1" s="95" t="n"/>
      <x:c r="CR1" s="95" t="n"/>
      <x:c r="CS1" s="95" t="n"/>
      <x:c r="CT1" s="95" t="n"/>
      <x:c r="CU1" s="95" t="n"/>
      <x:c r="CV1" s="95" t="n"/>
      <x:c r="CW1" s="95" t="n"/>
      <x:c r="CX1" s="95" t="n"/>
      <x:c r="CY1" s="95" t="n"/>
      <x:c r="CZ1" s="95" t="n"/>
      <x:c r="DA1" s="95" t="n"/>
      <x:c r="DB1" s="95" t="n"/>
      <x:c r="DC1" s="95" t="n"/>
      <x:c r="DD1" s="95" t="n"/>
      <x:c r="DE1" s="95" t="n"/>
      <x:c r="DF1" s="95" t="n"/>
      <x:c r="DG1" s="95" t="n"/>
      <x:c r="DH1" s="95" t="n"/>
      <x:c r="DI1" s="95" t="n"/>
      <x:c r="DJ1" s="95" t="n"/>
      <x:c r="DK1" s="95" t="n"/>
      <x:c r="DL1" s="95" t="n"/>
      <x:c r="DM1" s="95" t="n"/>
      <x:c r="DN1" s="95" t="n"/>
      <x:c r="DO1" s="95" t="n"/>
      <x:c r="DP1" s="95" t="n"/>
      <x:c r="DQ1" s="95" t="n"/>
      <x:c r="DR1" s="95" t="n"/>
      <x:c r="DS1" s="95" t="n"/>
      <x:c r="DT1" s="95" t="n"/>
      <x:c r="DU1" s="95" t="n"/>
      <x:c r="DV1" s="95" t="n"/>
      <x:c r="DW1" s="95" t="n"/>
      <x:c r="DX1" s="95" t="n"/>
      <x:c r="DY1" s="95" t="n"/>
      <x:c r="DZ1" s="95" t="n"/>
      <x:c r="EA1" s="95" t="n"/>
      <x:c r="EB1" s="95" t="n"/>
      <x:c r="EC1" s="95" t="n"/>
      <x:c r="ED1" s="95" t="n"/>
      <x:c r="EE1" s="95" t="n"/>
      <x:c r="EF1" s="95" t="n"/>
      <x:c r="EG1" s="95" t="n"/>
      <x:c r="EH1" s="95" t="n"/>
      <x:c r="EI1" s="95" t="n"/>
      <x:c r="EJ1" s="95" t="n"/>
      <x:c r="EK1" s="95" t="n"/>
      <x:c r="EL1" s="95" t="n"/>
      <x:c r="EM1" s="95" t="n"/>
      <x:c r="EN1" s="95" t="n"/>
      <x:c r="EO1" s="95" t="n"/>
      <x:c r="EP1" s="95" t="n"/>
      <x:c r="EQ1" s="95" t="n"/>
      <x:c r="ER1" s="95" t="n"/>
      <x:c r="ES1" s="95" t="n"/>
      <x:c r="ET1" s="95" t="n"/>
      <x:c r="EU1" s="95" t="n"/>
      <x:c r="EV1" s="95" t="n"/>
      <x:c r="EW1" s="95" t="n"/>
      <x:c r="EX1" s="95" t="n"/>
      <x:c r="EY1" s="95" t="n"/>
      <x:c r="EZ1" s="95" t="n"/>
      <x:c r="FA1" s="95" t="n"/>
      <x:c r="FB1" s="95" t="n"/>
      <x:c r="FC1" s="95" t="n"/>
      <x:c r="FD1" s="95" t="n"/>
      <x:c r="FE1" s="95" t="n"/>
      <x:c r="FF1" s="95" t="n"/>
      <x:c r="FG1" s="95" t="n"/>
      <x:c r="FH1" s="95" t="n"/>
      <x:c r="FI1" s="95" t="n"/>
      <x:c r="FJ1" s="95" t="n"/>
      <x:c r="FK1" s="95" t="n"/>
      <x:c r="FL1" s="95" t="n"/>
      <x:c r="FM1" s="95" t="n"/>
      <x:c r="FN1" s="95" t="n"/>
      <x:c r="FO1" s="95" t="n"/>
      <x:c r="FP1" s="95" t="n"/>
      <x:c r="FQ1" s="95" t="n"/>
      <x:c r="FR1" s="95" t="n"/>
      <x:c r="FS1" s="95" t="n"/>
      <x:c r="FT1" s="95" t="n"/>
      <x:c r="FU1" s="95" t="n"/>
      <x:c r="FV1" s="95" t="n"/>
      <x:c r="FW1" s="95" t="n"/>
      <x:c r="FX1" s="95" t="n"/>
    </x:row>
    <x:row r="2" s="62" customFormat="1" ht="12.75" customHeight="1">
      <x:c r="A2" s="614" t="inlineStr">
        <x:is>
          <x:t xml:space="preserve">8</x:t>
        </x:is>
      </x:c>
      <x:c r="B2" s="615" t="inlineStr">
        <x:is>
          <x:t xml:space="preserve">TRACT</x:t>
        </x:is>
      </x:c>
      <x:c r="C2" s="593" t="n"/>
      <x:c r="D2" s="616" t="inlineStr">
        <x:is>
          <x:t xml:space="preserve">The South 32.80 acres in a tract of land described as W. 1820 chains (72 8/10 Rods) of Lots 1 &amp; 2 ADA W 18.20 chains (or 72 8/10 Rods) of W/2 NW/4, W 18.20 chains (or 72 8/10 Rods) of N/2 of Lot 3 ADA W 18.20 chains (or 72 8/10 Rods) of N/2 NW/4 SW/4 of 31-12N-24W, containing 32.8 acres, more or less</x:t>
        </x:is>
      </x:c>
      <x:c r="E2" s="617" t="inlineStr">
        <x:is>
          <x:t xml:space="preserve">Image Number</x:t>
        </x:is>
      </x:c>
      <x:c r="F2" s="618" t="n"/>
      <x:c r="G2" s="63" t="n"/>
      <x:c r="H2" s="118" t="inlineStr">
        <x:is>
          <x:t xml:space="preserve">1931-001789</x:t>
        </x:is>
      </x:c>
      <x:c r="I2" s="118" t="inlineStr">
        <x:is>
          <x:t xml:space="preserve">1918-000943</x:t>
        </x:is>
      </x:c>
      <x:c r="J2" s="118" t="inlineStr">
        <x:is>
          <x:t xml:space="preserve">1925-000406</x:t>
        </x:is>
      </x:c>
      <x:c r="K2" s="118" t="inlineStr">
        <x:is>
          <x:t xml:space="preserve">1927-000706</x:t>
        </x:is>
      </x:c>
      <x:c r="L2" s="118" t="inlineStr">
        <x:is>
          <x:t xml:space="preserve">1949-000809</x:t>
        </x:is>
      </x:c>
      <x:c r="M2" s="118" t="inlineStr">
        <x:is>
          <x:t xml:space="preserve">1949-003394</x:t>
        </x:is>
      </x:c>
      <x:c r="N2" s="118" t="inlineStr">
        <x:is>
          <x:t xml:space="preserve">1953-000493</x:t>
        </x:is>
      </x:c>
      <x:c r="O2" s="118" t="inlineStr">
        <x:is>
          <x:t xml:space="preserve">1962-001141</x:t>
        </x:is>
      </x:c>
      <x:c r="P2" s="118" t="inlineStr">
        <x:is>
          <x:t xml:space="preserve">1962-001145</x:t>
        </x:is>
      </x:c>
      <x:c r="Q2" s="118" t="inlineStr">
        <x:is>
          <x:t xml:space="preserve">1962-001389</x:t>
        </x:is>
      </x:c>
      <x:c r="R2" s="118" t="inlineStr">
        <x:is>
          <x:t xml:space="preserve">1962-001390</x:t>
        </x:is>
      </x:c>
      <x:c r="S2" s="118" t="inlineStr">
        <x:is>
          <x:t xml:space="preserve">1967-002816</x:t>
        </x:is>
      </x:c>
      <x:c r="T2" s="118" t="inlineStr">
        <x:is>
          <x:t xml:space="preserve">1976-003251</x:t>
        </x:is>
      </x:c>
      <x:c r="U2" s="118" t="inlineStr">
        <x:is>
          <x:t xml:space="preserve">1977-007503</x:t>
        </x:is>
      </x:c>
      <x:c r="V2" s="118" t="inlineStr">
        <x:is>
          <x:t xml:space="preserve">1979-002206</x:t>
        </x:is>
      </x:c>
      <x:c r="W2" s="118" t="inlineStr">
        <x:is>
          <x:t xml:space="preserve">1982-007158</x:t>
        </x:is>
      </x:c>
      <x:c r="X2" s="118" t="inlineStr">
        <x:is>
          <x:t xml:space="preserve">1990-004213</x:t>
        </x:is>
      </x:c>
      <x:c r="Y2" s="118" t="inlineStr">
        <x:is>
          <x:t xml:space="preserve">1992-003373</x:t>
        </x:is>
      </x:c>
      <x:c r="Z2" s="118" t="inlineStr">
        <x:is>
          <x:t xml:space="preserve">1993-000918</x:t>
        </x:is>
      </x:c>
      <x:c r="AA2" s="118" t="inlineStr">
        <x:is>
          <x:t xml:space="preserve">1995-000748</x:t>
        </x:is>
      </x:c>
      <x:c r="AB2" s="118" t="inlineStr">
        <x:is>
          <x:t xml:space="preserve">1999-003117</x:t>
        </x:is>
      </x:c>
      <x:c r="AC2" s="118" t="inlineStr">
        <x:is>
          <x:t xml:space="preserve">1999-005936</x:t>
        </x:is>
      </x:c>
      <x:c r="AD2" s="118" t="inlineStr">
        <x:is>
          <x:t xml:space="preserve">2004-005738</x:t>
        </x:is>
      </x:c>
      <x:c r="AE2" s="118" t="inlineStr">
        <x:is>
          <x:t xml:space="preserve">2004-005739</x:t>
        </x:is>
      </x:c>
      <x:c r="AF2" s="118" t="inlineStr">
        <x:is>
          <x:t xml:space="preserve">2008-006536</x:t>
        </x:is>
      </x:c>
      <x:c r="AG2" s="118" t="inlineStr">
        <x:is>
          <x:t xml:space="preserve">2004-006577</x:t>
        </x:is>
      </x:c>
      <x:c r="AH2" s="118" t="inlineStr">
        <x:is>
          <x:t xml:space="preserve">2005-002196</x:t>
        </x:is>
      </x:c>
      <x:c r="AI2" s="118" t="inlineStr">
        <x:is>
          <x:t xml:space="preserve">2005-004793</x:t>
        </x:is>
      </x:c>
      <x:c r="AJ2" s="118" t="inlineStr">
        <x:is>
          <x:t xml:space="preserve">2005-004044</x:t>
        </x:is>
      </x:c>
      <x:c r="AK2" s="118" t="inlineStr">
        <x:is>
          <x:t xml:space="preserve">2006-000153</x:t>
        </x:is>
      </x:c>
      <x:c r="AL2" s="118" t="inlineStr">
        <x:is>
          <x:t xml:space="preserve">2007-001848</x:t>
        </x:is>
      </x:c>
      <x:c r="AM2" s="118" t="inlineStr">
        <x:is>
          <x:t xml:space="preserve">2011-007826</x:t>
        </x:is>
      </x:c>
      <x:c r="AN2" s="118" t="inlineStr">
        <x:is>
          <x:t xml:space="preserve">2013-000518</x:t>
        </x:is>
      </x:c>
      <x:c r="AO2" s="118" t="inlineStr">
        <x:is>
          <x:t xml:space="preserve">2013-001724</x:t>
        </x:is>
      </x:c>
      <x:c r="AP2" s="96" t="inlineStr">
        <x:is>
          <x:t xml:space="preserve">2013-006585</x:t>
        </x:is>
      </x:c>
      <x:c r="AQ2" s="96" t="inlineStr">
        <x:is>
          <x:t xml:space="preserve">2026-002877</x:t>
        </x:is>
      </x:c>
      <x:c r="AR2" s="96" t="inlineStr">
        <x:is>
          <x:t xml:space="preserve">2020-001374</x:t>
        </x:is>
      </x:c>
      <x:c r="AS2" s="96" t="inlineStr">
        <x:is>
          <x:t xml:space="preserve">2025-001343</x:t>
        </x:is>
      </x:c>
      <x:c r="AT2" s="96" t="inlineStr">
        <x:is>
          <x:t xml:space="preserve">2025-003963</x:t>
        </x:is>
      </x:c>
      <x:c r="AU2" s="96" t="inlineStr">
        <x:is>
          <x:t xml:space="preserve">2026-000691</x:t>
        </x:is>
      </x:c>
      <x:c r="AV2" s="96" t="inlineStr">
        <x:is>
          <x:t xml:space="preserve">2026-001374</x:t>
        </x:is>
      </x:c>
      <x:c r="AW2" s="96" t="n"/>
      <x:c r="AX2" s="96" t="n"/>
      <x:c r="AY2" s="96" t="n"/>
      <x:c r="AZ2" s="96" t="n"/>
      <x:c r="BA2" s="96" t="n"/>
      <x:c r="BB2" s="96" t="n"/>
      <x:c r="BC2" s="96" t="n"/>
      <x:c r="BD2" s="96" t="n"/>
      <x:c r="BE2" s="96" t="n"/>
      <x:c r="BF2" s="96" t="n"/>
      <x:c r="BG2" s="96" t="n"/>
      <x:c r="BH2" s="96" t="n"/>
      <x:c r="BI2" s="96" t="n"/>
      <x:c r="BJ2" s="96" t="n"/>
      <x:c r="BK2" s="96" t="n"/>
      <x:c r="BL2" s="96" t="n"/>
      <x:c r="BM2" s="96" t="n"/>
      <x:c r="BN2" s="96" t="n"/>
      <x:c r="BO2" s="96" t="n"/>
      <x:c r="BP2" s="96" t="n"/>
      <x:c r="BQ2" s="96" t="n"/>
      <x:c r="BR2" s="96" t="n"/>
      <x:c r="BS2" s="96" t="n"/>
      <x:c r="BT2" s="96" t="n"/>
      <x:c r="BU2" s="96" t="n"/>
      <x:c r="BV2" s="96" t="n"/>
      <x:c r="BW2" s="96" t="n"/>
      <x:c r="BX2" s="96" t="n"/>
      <x:c r="BY2" s="96" t="n"/>
      <x:c r="BZ2" s="96" t="n"/>
      <x:c r="CA2" s="96" t="n"/>
      <x:c r="CB2" s="96" t="n"/>
      <x:c r="CC2" s="96" t="n"/>
      <x:c r="CD2" s="96" t="n"/>
      <x:c r="CE2" s="96" t="n"/>
      <x:c r="CF2" s="96" t="n"/>
      <x:c r="CG2" s="96" t="n"/>
      <x:c r="CH2" s="96" t="n"/>
      <x:c r="CI2" s="96" t="n"/>
      <x:c r="CJ2" s="96" t="n"/>
      <x:c r="CK2" s="96" t="n"/>
      <x:c r="CL2" s="96" t="n"/>
      <x:c r="CM2" s="96" t="n"/>
      <x:c r="CN2" s="96" t="n"/>
      <x:c r="CO2" s="96" t="n"/>
      <x:c r="CP2" s="96" t="n"/>
      <x:c r="CQ2" s="96" t="n"/>
      <x:c r="CR2" s="96" t="n"/>
      <x:c r="CS2" s="96" t="n"/>
      <x:c r="CT2" s="96" t="n"/>
      <x:c r="CU2" s="96" t="n"/>
      <x:c r="CV2" s="96" t="n"/>
      <x:c r="CW2" s="96" t="n"/>
      <x:c r="CX2" s="96" t="n"/>
      <x:c r="CY2" s="96" t="n"/>
      <x:c r="CZ2" s="96" t="n"/>
      <x:c r="DA2" s="96" t="n"/>
      <x:c r="DB2" s="96" t="n"/>
      <x:c r="DC2" s="96" t="n"/>
      <x:c r="DD2" s="96" t="n"/>
      <x:c r="DE2" s="96" t="n"/>
      <x:c r="DF2" s="96" t="n"/>
      <x:c r="DG2" s="96" t="n"/>
      <x:c r="DH2" s="96" t="n"/>
      <x:c r="DI2" s="96" t="n"/>
      <x:c r="DJ2" s="96" t="n"/>
      <x:c r="DK2" s="96" t="n"/>
      <x:c r="DL2" s="96" t="n"/>
      <x:c r="DM2" s="96" t="n"/>
      <x:c r="DN2" s="96" t="n"/>
      <x:c r="DO2" s="96" t="n"/>
      <x:c r="DP2" s="96" t="n"/>
      <x:c r="DQ2" s="96" t="n"/>
      <x:c r="DR2" s="96" t="n"/>
      <x:c r="DS2" s="96" t="n"/>
      <x:c r="DT2" s="96" t="n"/>
      <x:c r="DU2" s="96" t="n"/>
      <x:c r="DV2" s="96" t="n"/>
      <x:c r="DW2" s="96" t="n"/>
      <x:c r="DX2" s="96" t="n"/>
      <x:c r="DY2" s="96" t="n"/>
      <x:c r="DZ2" s="96" t="n"/>
      <x:c r="EA2" s="96" t="n"/>
      <x:c r="EB2" s="96" t="n"/>
      <x:c r="EC2" s="96" t="n"/>
      <x:c r="ED2" s="96" t="n"/>
      <x:c r="EE2" s="96" t="n"/>
      <x:c r="EF2" s="96" t="n"/>
      <x:c r="EG2" s="96" t="n"/>
      <x:c r="EH2" s="96" t="n"/>
      <x:c r="EI2" s="96" t="n"/>
      <x:c r="EJ2" s="96" t="n"/>
      <x:c r="EK2" s="96" t="n"/>
      <x:c r="EL2" s="96" t="n"/>
      <x:c r="EM2" s="96" t="n"/>
      <x:c r="EN2" s="96" t="n"/>
      <x:c r="EO2" s="96" t="n"/>
      <x:c r="EP2" s="96" t="n"/>
      <x:c r="EQ2" s="96" t="n"/>
      <x:c r="ER2" s="96" t="n"/>
      <x:c r="ES2" s="96" t="n"/>
      <x:c r="ET2" s="96" t="n"/>
      <x:c r="EU2" s="96" t="n"/>
      <x:c r="EV2" s="96" t="n"/>
      <x:c r="EW2" s="96" t="n"/>
      <x:c r="EX2" s="96" t="n"/>
      <x:c r="EY2" s="96" t="n"/>
      <x:c r="EZ2" s="96" t="n"/>
      <x:c r="FA2" s="96" t="n"/>
      <x:c r="FB2" s="96" t="n"/>
      <x:c r="FC2" s="96" t="n"/>
      <x:c r="FD2" s="96" t="n"/>
      <x:c r="FE2" s="96" t="n"/>
      <x:c r="FF2" s="96" t="n"/>
      <x:c r="FG2" s="96" t="n"/>
      <x:c r="FH2" s="96" t="n"/>
      <x:c r="FI2" s="96" t="n"/>
      <x:c r="FJ2" s="96" t="n"/>
      <x:c r="FK2" s="96" t="n"/>
      <x:c r="FL2" s="96" t="n"/>
      <x:c r="FM2" s="96" t="n"/>
      <x:c r="FN2" s="96" t="n"/>
      <x:c r="FO2" s="96" t="n"/>
      <x:c r="FP2" s="96" t="n"/>
      <x:c r="FQ2" s="96" t="n"/>
      <x:c r="FR2" s="96" t="n"/>
      <x:c r="FS2" s="96" t="n"/>
      <x:c r="FT2" s="96" t="n"/>
      <x:c r="FU2" s="96" t="n"/>
      <x:c r="FV2" s="96" t="n"/>
      <x:c r="FW2" s="96" t="n"/>
      <x:c r="FX2" s="96" t="n"/>
      <x:c r="FY2" s="59" t="n"/>
      <x:c r="FZ2" s="59" t="n"/>
      <x:c r="GA2" s="59" t="n"/>
    </x:row>
    <x:row r="3" s="62" customFormat="1" ht="23.100000381469727" customHeight="1">
      <x:c r="A3" s="619" t="n"/>
      <x:c r="B3" s="620" t="inlineStr">
        <x:is>
          <x:t xml:space="preserve">DESCRIPTION</x:t>
        </x:is>
      </x:c>
      <x:c r="C3" s="593" t="n"/>
      <x:c r="D3" s="621" t="n"/>
      <x:c r="E3" s="622" t="inlineStr">
        <x:is>
          <x:t xml:space="preserve">Book / Page </x:t>
        </x:is>
      </x:c>
      <x:c r="F3" s="618" t="n"/>
      <x:c r="G3" s="63" t="n"/>
      <x:c r="H3" s="6" t="inlineStr">
        <x:is>
          <x:t xml:space="preserve">PAT7/374</x:t>
        </x:is>
      </x:c>
      <x:c r="I3" s="6" t="inlineStr">
        <x:is>
          <x:t xml:space="preserve">D27/477</x:t>
        </x:is>
      </x:c>
      <x:c r="J3" s="6" t="inlineStr">
        <x:is>
          <x:t xml:space="preserve">D34/104</x:t>
        </x:is>
      </x:c>
      <x:c r="K3" s="6" t="inlineStr">
        <x:is>
          <x:t xml:space="preserve">D38/162</x:t>
        </x:is>
      </x:c>
      <x:c r="L3" s="6" t="inlineStr">
        <x:is>
          <x:t xml:space="preserve">D59/246</x:t>
        </x:is>
      </x:c>
      <x:c r="M3" s="6" t="inlineStr">
        <x:is>
          <x:t xml:space="preserve">QCD5/92</x:t>
        </x:is>
      </x:c>
      <x:c r="N3" s="6" t="inlineStr">
        <x:is>
          <x:t xml:space="preserve">D67/154</x:t>
        </x:is>
      </x:c>
      <x:c r="O3" s="6" t="inlineStr">
        <x:is>
          <x:t xml:space="preserve">MIS47/164</x:t>
        </x:is>
      </x:c>
      <x:c r="P3" s="6" t="inlineStr">
        <x:is>
          <x:t xml:space="preserve">MIS47/169</x:t>
        </x:is>
      </x:c>
      <x:c r="Q3" s="6" t="inlineStr">
        <x:is>
          <x:t xml:space="preserve">MIS47/558</x:t>
        </x:is>
      </x:c>
      <x:c r="R3" s="6" t="inlineStr">
        <x:is>
          <x:t xml:space="preserve">MIS47/559</x:t>
        </x:is>
      </x:c>
      <x:c r="S3" s="6" t="inlineStr">
        <x:is>
          <x:t xml:space="preserve">MIS86/33</x:t>
        </x:is>
      </x:c>
      <x:c r="T3" s="6" t="inlineStr">
        <x:is>
          <x:t xml:space="preserve">197/116</x:t>
        </x:is>
      </x:c>
      <x:c r="U3" s="6" t="inlineStr">
        <x:is>
          <x:t xml:space="preserve">227/89</x:t>
        </x:is>
      </x:c>
      <x:c r="V3" s="6" t="inlineStr">
        <x:is>
          <x:t xml:space="preserve">264/428</x:t>
        </x:is>
      </x:c>
      <x:c r="W3" s="6" t="inlineStr">
        <x:is>
          <x:t xml:space="preserve">451/176</x:t>
        </x:is>
      </x:c>
      <x:c r="X3" s="6" t="inlineStr">
        <x:is>
          <x:t xml:space="preserve">1151/107</x:t>
        </x:is>
      </x:c>
      <x:c r="Y3" s="6" t="inlineStr">
        <x:is>
          <x:t xml:space="preserve">1294/169</x:t>
        </x:is>
      </x:c>
      <x:c r="Z3" s="6" t="inlineStr">
        <x:is>
          <x:t xml:space="preserve">1324/22</x:t>
        </x:is>
      </x:c>
      <x:c r="AA3" s="6" t="inlineStr">
        <x:is>
          <x:t xml:space="preserve">1471/574</x:t>
        </x:is>
      </x:c>
      <x:c r="AB3" s="118" t="inlineStr">
        <x:is>
          <x:t xml:space="preserve">1581/316</x:t>
        </x:is>
      </x:c>
      <x:c r="AC3" s="118" t="inlineStr">
        <x:is>
          <x:t xml:space="preserve">1600/1</x:t>
        </x:is>
      </x:c>
      <x:c r="AD3" s="6" t="inlineStr">
        <x:is>
          <x:t xml:space="preserve">1764/344</x:t>
        </x:is>
      </x:c>
      <x:c r="AE3" s="6" t="inlineStr">
        <x:is>
          <x:t xml:space="preserve">1764/345</x:t>
        </x:is>
      </x:c>
      <x:c r="AF3" s="6" t="inlineStr">
        <x:is>
          <x:t xml:space="preserve">1937/418</x:t>
        </x:is>
      </x:c>
      <x:c r="AG3" s="6" t="inlineStr">
        <x:is>
          <x:t xml:space="preserve">1768/339</x:t>
        </x:is>
      </x:c>
      <x:c r="AH3" s="6" t="inlineStr">
        <x:is>
          <x:t xml:space="preserve">1784/591</x:t>
        </x:is>
      </x:c>
      <x:c r="AI3" s="6" t="inlineStr">
        <x:is>
          <x:t xml:space="preserve">1797/463</x:t>
        </x:is>
      </x:c>
      <x:c r="AJ3" s="6" t="inlineStr">
        <x:is>
          <x:t xml:space="preserve">1794/173</x:t>
        </x:is>
      </x:c>
      <x:c r="AK3" s="6" t="inlineStr">
        <x:is>
          <x:t xml:space="preserve">1819/156</x:t>
        </x:is>
      </x:c>
      <x:c r="AL3" s="118" t="inlineStr">
        <x:is>
          <x:t xml:space="preserve">1872/277</x:t>
        </x:is>
      </x:c>
      <x:c r="AM3" s="5" t="inlineStr">
        <x:is>
          <x:t xml:space="preserve">2104/537</x:t>
        </x:is>
      </x:c>
      <x:c r="AN3" s="118" t="inlineStr">
        <x:is>
          <x:t xml:space="preserve">2177/33</x:t>
        </x:is>
      </x:c>
      <x:c r="AO3" s="118" t="inlineStr">
        <x:is>
          <x:t xml:space="preserve">2184/570</x:t>
        </x:is>
      </x:c>
      <x:c r="AP3" s="107" t="inlineStr">
        <x:is>
          <x:t xml:space="preserve">2224/382</x:t>
        </x:is>
      </x:c>
      <x:c r="AQ3" s="107" t="inlineStr">
        <x:is>
          <x:t xml:space="preserve">2700/395</x:t>
        </x:is>
      </x:c>
      <x:c r="AR3" s="108" t="inlineStr">
        <x:is>
          <x:t xml:space="preserve">2450/598</x:t>
        </x:is>
      </x:c>
      <x:c r="AS3" s="107" t="inlineStr">
        <x:is>
          <x:t xml:space="preserve">2617/228</x:t>
        </x:is>
      </x:c>
      <x:c r="AT3" s="107" t="inlineStr">
        <x:is>
          <x:t xml:space="preserve">2638/58</x:t>
        </x:is>
      </x:c>
      <x:c r="AU3" s="96" t="inlineStr">
        <x:is>
          <x:t xml:space="preserve">2682/183</x:t>
        </x:is>
      </x:c>
      <x:c r="AV3" s="96" t="inlineStr">
        <x:is>
          <x:t xml:space="preserve">2688/409</x:t>
        </x:is>
      </x:c>
      <x:c r="AW3" s="96" t="n"/>
      <x:c r="AX3" s="96" t="n"/>
      <x:c r="AY3" s="96" t="n"/>
      <x:c r="AZ3" s="96" t="n"/>
      <x:c r="BA3" s="96" t="n"/>
      <x:c r="BB3" s="96" t="n"/>
      <x:c r="BC3" s="96" t="n"/>
      <x:c r="BD3" s="96" t="n"/>
      <x:c r="BE3" s="96" t="n"/>
      <x:c r="BF3" s="96" t="n"/>
      <x:c r="BG3" s="96" t="n"/>
      <x:c r="BH3" s="96" t="n"/>
      <x:c r="BI3" s="96" t="n"/>
      <x:c r="BJ3" s="96" t="n"/>
      <x:c r="BK3" s="96" t="n"/>
      <x:c r="BL3" s="96" t="n"/>
      <x:c r="BM3" s="96" t="n"/>
      <x:c r="BN3" s="96" t="n"/>
      <x:c r="BO3" s="96" t="n"/>
      <x:c r="BP3" s="96" t="n"/>
      <x:c r="BQ3" s="96" t="n"/>
      <x:c r="BR3" s="96" t="n"/>
      <x:c r="BS3" s="96" t="n"/>
      <x:c r="BT3" s="96" t="n"/>
      <x:c r="BU3" s="96" t="n"/>
      <x:c r="BV3" s="96" t="n"/>
      <x:c r="BW3" s="96" t="n"/>
      <x:c r="BX3" s="96" t="n"/>
      <x:c r="BY3" s="96" t="n"/>
      <x:c r="BZ3" s="96" t="n"/>
      <x:c r="CA3" s="96" t="n"/>
      <x:c r="CB3" s="96" t="n"/>
      <x:c r="CC3" s="96" t="n"/>
      <x:c r="CD3" s="96" t="n"/>
      <x:c r="CE3" s="96" t="n"/>
      <x:c r="CF3" s="96" t="n"/>
      <x:c r="CG3" s="96" t="n"/>
      <x:c r="CH3" s="96" t="n"/>
      <x:c r="CI3" s="96" t="n"/>
      <x:c r="CJ3" s="96" t="n"/>
      <x:c r="CK3" s="96" t="n"/>
      <x:c r="CL3" s="96" t="n"/>
      <x:c r="CM3" s="96" t="n"/>
      <x:c r="CN3" s="96" t="n"/>
      <x:c r="CO3" s="96" t="n"/>
      <x:c r="CP3" s="96" t="n"/>
      <x:c r="CQ3" s="96" t="n"/>
      <x:c r="CR3" s="96" t="n"/>
      <x:c r="CS3" s="96" t="n"/>
      <x:c r="CT3" s="96" t="n"/>
      <x:c r="CU3" s="96" t="n"/>
      <x:c r="CV3" s="96" t="n"/>
      <x:c r="CW3" s="96" t="n"/>
      <x:c r="CX3" s="96" t="n"/>
      <x:c r="CY3" s="96" t="n"/>
      <x:c r="CZ3" s="96" t="n"/>
      <x:c r="DA3" s="96" t="n"/>
      <x:c r="DB3" s="96" t="n"/>
      <x:c r="DC3" s="96" t="n"/>
      <x:c r="DD3" s="96" t="n"/>
      <x:c r="DE3" s="96" t="n"/>
      <x:c r="DF3" s="96" t="n"/>
      <x:c r="DG3" s="96" t="n"/>
      <x:c r="DH3" s="96" t="n"/>
      <x:c r="DI3" s="96" t="n"/>
      <x:c r="DJ3" s="96" t="n"/>
      <x:c r="DK3" s="96" t="n"/>
      <x:c r="DL3" s="96" t="n"/>
      <x:c r="DM3" s="96" t="n"/>
      <x:c r="DN3" s="96" t="n"/>
      <x:c r="DO3" s="96" t="n"/>
      <x:c r="DP3" s="96" t="n"/>
      <x:c r="DQ3" s="96" t="n"/>
      <x:c r="DR3" s="96" t="n"/>
      <x:c r="DS3" s="96" t="n"/>
      <x:c r="DT3" s="96" t="n"/>
      <x:c r="DU3" s="96" t="n"/>
      <x:c r="DV3" s="96" t="n"/>
      <x:c r="DW3" s="96" t="n"/>
      <x:c r="DX3" s="96" t="n"/>
      <x:c r="DY3" s="96" t="n"/>
      <x:c r="DZ3" s="96" t="n"/>
      <x:c r="EA3" s="96" t="n"/>
      <x:c r="EB3" s="96" t="n"/>
      <x:c r="EC3" s="96" t="n"/>
      <x:c r="ED3" s="96" t="n"/>
      <x:c r="EE3" s="96" t="n"/>
      <x:c r="EF3" s="96" t="n"/>
      <x:c r="EG3" s="96" t="n"/>
      <x:c r="EH3" s="96" t="n"/>
      <x:c r="EI3" s="96" t="n"/>
      <x:c r="EJ3" s="96" t="n"/>
      <x:c r="EK3" s="96" t="n"/>
      <x:c r="EL3" s="96" t="n"/>
      <x:c r="EM3" s="96" t="n"/>
      <x:c r="EN3" s="96" t="n"/>
      <x:c r="EO3" s="96" t="n"/>
      <x:c r="EP3" s="96" t="n"/>
      <x:c r="EQ3" s="96" t="n"/>
      <x:c r="ER3" s="96" t="n"/>
      <x:c r="ES3" s="96" t="n"/>
      <x:c r="ET3" s="96" t="n"/>
      <x:c r="EU3" s="96" t="n"/>
      <x:c r="EV3" s="96" t="n"/>
      <x:c r="EW3" s="96" t="n"/>
      <x:c r="EX3" s="96" t="n"/>
      <x:c r="EY3" s="96" t="n"/>
      <x:c r="EZ3" s="96" t="n"/>
      <x:c r="FA3" s="96" t="n"/>
      <x:c r="FB3" s="96" t="n"/>
      <x:c r="FC3" s="96" t="n"/>
      <x:c r="FD3" s="96" t="n"/>
      <x:c r="FE3" s="96" t="n"/>
      <x:c r="FF3" s="96" t="n"/>
      <x:c r="FG3" s="96" t="n"/>
      <x:c r="FH3" s="96" t="n"/>
      <x:c r="FI3" s="96" t="n"/>
      <x:c r="FJ3" s="96" t="n"/>
      <x:c r="FK3" s="96" t="n"/>
      <x:c r="FL3" s="96" t="n"/>
      <x:c r="FM3" s="96" t="n"/>
      <x:c r="FN3" s="96" t="n"/>
      <x:c r="FO3" s="96" t="n"/>
      <x:c r="FP3" s="96" t="n"/>
      <x:c r="FQ3" s="96" t="n"/>
      <x:c r="FR3" s="96" t="n"/>
      <x:c r="FS3" s="96" t="n"/>
      <x:c r="FT3" s="96" t="n"/>
      <x:c r="FU3" s="96" t="n"/>
      <x:c r="FV3" s="96" t="n"/>
      <x:c r="FW3" s="96" t="n"/>
      <x:c r="FX3" s="96" t="n"/>
      <x:c r="FY3" s="59" t="n"/>
      <x:c r="FZ3" s="59" t="n"/>
      <x:c r="GA3" s="59" t="n"/>
    </x:row>
    <x:row r="4" s="62" customFormat="1" ht="12.75" customHeight="1">
      <x:c r="A4" s="619" t="n"/>
      <x:c r="B4" s="623" t="n"/>
      <x:c r="C4" s="593" t="n"/>
      <x:c r="D4" s="624" t="n"/>
      <x:c r="E4" s="491" t="inlineStr">
        <x:is>
          <x:t xml:space="preserve">Date </x:t>
        </x:is>
      </x:c>
      <x:c r="F4" s="618" t="n"/>
      <x:c r="G4" s="60" t="n"/>
      <x:c r="H4" s="5" t="n">
        <x:v>2917</x:v>
      </x:c>
      <x:c r="I4" s="5" t="n">
        <x:v>6568</x:v>
      </x:c>
      <x:c r="J4" s="5" t="n">
        <x:v>9137</x:v>
      </x:c>
      <x:c r="K4" s="5" t="n">
        <x:v>10069</x:v>
      </x:c>
      <x:c r="L4" s="5" t="n">
        <x:v>18015</x:v>
      </x:c>
      <x:c r="M4" s="5" t="n">
        <x:v>18056</x:v>
      </x:c>
      <x:c r="N4" s="5" t="n">
        <x:v>19396</x:v>
      </x:c>
      <x:c r="O4" s="5" t="n">
        <x:v>22906</x:v>
      </x:c>
      <x:c r="P4" s="5" t="n">
        <x:v>22906</x:v>
      </x:c>
      <x:c r="Q4" s="5" t="n">
        <x:v>22938</x:v>
      </x:c>
      <x:c r="R4" s="5" t="n">
        <x:v>22938</x:v>
      </x:c>
      <x:c r="S4" s="5" t="n">
        <x:v>24709</x:v>
      </x:c>
      <x:c r="T4" s="5" t="n">
        <x:v>28005</x:v>
      </x:c>
      <x:c r="U4" s="5" t="n">
        <x:v>28445</x:v>
      </x:c>
      <x:c r="V4" s="5" t="n">
        <x:v>28961</x:v>
      </x:c>
      <x:c r="W4" s="5" t="n">
        <x:v>30124</x:v>
      </x:c>
      <x:c r="X4" s="5" t="n">
        <x:v>33073</x:v>
      </x:c>
      <x:c r="Y4" s="5" t="n">
        <x:v>33857</x:v>
      </x:c>
      <x:c r="Z4" s="5" t="n">
        <x:v>34032</x:v>
      </x:c>
      <x:c r="AA4" s="5" t="n">
        <x:v>34950</x:v>
      </x:c>
      <x:c r="AB4" s="120" t="n">
        <x:v>36250</x:v>
      </x:c>
      <x:c r="AC4" s="120" t="n">
        <x:v>36511</x:v>
      </x:c>
      <x:c r="AD4" s="5" t="n">
        <x:v>38260</x:v>
      </x:c>
      <x:c r="AE4" s="5" t="n">
        <x:v>38267</x:v>
      </x:c>
      <x:c r="AF4" s="5" t="n">
        <x:v>38286</x:v>
      </x:c>
      <x:c r="AG4" s="5" t="n">
        <x:v>38292</x:v>
      </x:c>
      <x:c r="AH4" s="5" t="n">
        <x:v>38455</x:v>
      </x:c>
      <x:c r="AI4" s="5" t="n">
        <x:v>38473</x:v>
      </x:c>
      <x:c r="AJ4" s="5" t="n">
        <x:v>38516</x:v>
      </x:c>
      <x:c r="AK4" s="5" t="n">
        <x:v>38694</x:v>
      </x:c>
      <x:c r="AL4" s="120" t="n">
        <x:v>39162</x:v>
      </x:c>
      <x:c r="AM4" s="5" t="n">
        <x:v>40855</x:v>
      </x:c>
      <x:c r="AN4" s="120" t="n">
        <x:v>41290</x:v>
      </x:c>
      <x:c r="AO4" s="120" t="n">
        <x:v>41368</x:v>
      </x:c>
      <x:c r="AP4" s="108" t="n">
        <x:v>41486</x:v>
      </x:c>
      <x:c r="AQ4" s="108" t="n">
        <x:v>43500</x:v>
      </x:c>
      <x:c r="AR4" s="108" t="n">
        <x:v>44071</x:v>
      </x:c>
      <x:c r="AS4" s="108" t="n">
        <x:v>45726</x:v>
      </x:c>
      <x:c r="AT4" s="108" t="n">
        <x:v>45726</x:v>
      </x:c>
      <x:c r="AU4" s="97" t="n">
        <x:v>45971</x:v>
      </x:c>
      <x:c r="AV4" s="97" t="n">
        <x:v>46084</x:v>
      </x:c>
      <x:c r="AW4" s="97" t="n"/>
      <x:c r="AX4" s="97" t="n"/>
      <x:c r="AY4" s="97" t="n"/>
      <x:c r="AZ4" s="97" t="n"/>
      <x:c r="BA4" s="97" t="n"/>
      <x:c r="BB4" s="97" t="n"/>
      <x:c r="BC4" s="97" t="n"/>
      <x:c r="BD4" s="97" t="n"/>
      <x:c r="BE4" s="97" t="n"/>
      <x:c r="BF4" s="97" t="n"/>
      <x:c r="BG4" s="97" t="n"/>
      <x:c r="BH4" s="97" t="n"/>
      <x:c r="BI4" s="97" t="n"/>
      <x:c r="BJ4" s="97" t="n"/>
      <x:c r="BK4" s="97" t="n"/>
      <x:c r="BL4" s="97" t="n"/>
      <x:c r="BM4" s="97" t="n"/>
      <x:c r="BN4" s="97" t="n"/>
      <x:c r="BO4" s="97" t="n"/>
      <x:c r="BP4" s="97" t="n"/>
      <x:c r="BQ4" s="97" t="n"/>
      <x:c r="BR4" s="97" t="n"/>
      <x:c r="BS4" s="97" t="n"/>
      <x:c r="BT4" s="97" t="n"/>
      <x:c r="BU4" s="97" t="n"/>
      <x:c r="BV4" s="97" t="n"/>
      <x:c r="BW4" s="97" t="n"/>
      <x:c r="BX4" s="97" t="n"/>
      <x:c r="BY4" s="97" t="n"/>
      <x:c r="BZ4" s="97" t="n"/>
      <x:c r="CA4" s="97" t="n"/>
      <x:c r="CB4" s="97" t="n"/>
      <x:c r="CC4" s="97" t="n"/>
      <x:c r="CD4" s="97" t="n"/>
      <x:c r="CE4" s="97" t="n"/>
      <x:c r="CF4" s="97" t="n"/>
      <x:c r="CG4" s="97" t="n"/>
      <x:c r="CH4" s="97" t="n"/>
      <x:c r="CI4" s="97" t="n"/>
      <x:c r="CJ4" s="97" t="n"/>
      <x:c r="CK4" s="97" t="n"/>
      <x:c r="CL4" s="97" t="n"/>
      <x:c r="CM4" s="97" t="n"/>
      <x:c r="CN4" s="97" t="n"/>
      <x:c r="CO4" s="97" t="n"/>
      <x:c r="CP4" s="97" t="n"/>
      <x:c r="CQ4" s="97" t="n"/>
      <x:c r="CR4" s="97" t="n"/>
      <x:c r="CS4" s="97" t="n"/>
      <x:c r="CT4" s="97" t="n"/>
      <x:c r="CU4" s="97" t="n"/>
      <x:c r="CV4" s="97" t="n"/>
      <x:c r="CW4" s="97" t="n"/>
      <x:c r="CX4" s="97" t="n"/>
      <x:c r="CY4" s="97" t="n"/>
      <x:c r="CZ4" s="97" t="n"/>
      <x:c r="DA4" s="97" t="n"/>
      <x:c r="DB4" s="97" t="n"/>
      <x:c r="DC4" s="97" t="n"/>
      <x:c r="DD4" s="97" t="n"/>
      <x:c r="DE4" s="97" t="n"/>
      <x:c r="DF4" s="97" t="n"/>
      <x:c r="DG4" s="97" t="n"/>
      <x:c r="DH4" s="97" t="n"/>
      <x:c r="DI4" s="97" t="n"/>
      <x:c r="DJ4" s="97" t="n"/>
      <x:c r="DK4" s="97" t="n"/>
      <x:c r="DL4" s="97" t="n"/>
      <x:c r="DM4" s="97" t="n"/>
      <x:c r="DN4" s="97" t="n"/>
      <x:c r="DO4" s="97" t="n"/>
      <x:c r="DP4" s="97" t="n"/>
      <x:c r="DQ4" s="97" t="n"/>
      <x:c r="DR4" s="97" t="n"/>
      <x:c r="DS4" s="97" t="n"/>
      <x:c r="DT4" s="97" t="n"/>
      <x:c r="DU4" s="97" t="n"/>
      <x:c r="DV4" s="97" t="n"/>
      <x:c r="DW4" s="97" t="n"/>
      <x:c r="DX4" s="97" t="n"/>
      <x:c r="DY4" s="97" t="n"/>
      <x:c r="DZ4" s="97" t="n"/>
      <x:c r="EA4" s="97" t="n"/>
      <x:c r="EB4" s="97" t="n"/>
      <x:c r="EC4" s="97" t="n"/>
      <x:c r="ED4" s="97" t="n"/>
      <x:c r="EE4" s="97" t="n"/>
      <x:c r="EF4" s="97" t="n"/>
      <x:c r="EG4" s="97" t="n"/>
      <x:c r="EH4" s="97" t="n"/>
      <x:c r="EI4" s="97" t="n"/>
      <x:c r="EJ4" s="97" t="n"/>
      <x:c r="EK4" s="97" t="n"/>
      <x:c r="EL4" s="97" t="n"/>
      <x:c r="EM4" s="97" t="n"/>
      <x:c r="EN4" s="97" t="n"/>
      <x:c r="EO4" s="97" t="n"/>
      <x:c r="EP4" s="97" t="n"/>
      <x:c r="EQ4" s="97" t="n"/>
      <x:c r="ER4" s="97" t="n"/>
      <x:c r="ES4" s="97" t="n"/>
      <x:c r="ET4" s="97" t="n"/>
      <x:c r="EU4" s="97" t="n"/>
      <x:c r="EV4" s="97" t="n"/>
      <x:c r="EW4" s="97" t="n"/>
      <x:c r="EX4" s="97" t="n"/>
      <x:c r="EY4" s="97" t="n"/>
      <x:c r="EZ4" s="97" t="n"/>
      <x:c r="FA4" s="97" t="n"/>
      <x:c r="FB4" s="97" t="n"/>
      <x:c r="FC4" s="97" t="n"/>
      <x:c r="FD4" s="97" t="n"/>
      <x:c r="FE4" s="97" t="n"/>
      <x:c r="FF4" s="97" t="n"/>
      <x:c r="FG4" s="97" t="n"/>
      <x:c r="FH4" s="97" t="n"/>
      <x:c r="FI4" s="97" t="n"/>
      <x:c r="FJ4" s="97" t="n"/>
      <x:c r="FK4" s="97" t="n"/>
      <x:c r="FL4" s="97" t="n"/>
      <x:c r="FM4" s="97" t="n"/>
      <x:c r="FN4" s="97" t="n"/>
      <x:c r="FO4" s="97" t="n"/>
      <x:c r="FP4" s="97" t="n"/>
      <x:c r="FQ4" s="97" t="n"/>
      <x:c r="FR4" s="97" t="n"/>
      <x:c r="FS4" s="97" t="n"/>
      <x:c r="FT4" s="97" t="n"/>
      <x:c r="FU4" s="97" t="n"/>
      <x:c r="FV4" s="97" t="n"/>
      <x:c r="FW4" s="97" t="n"/>
      <x:c r="FX4" s="97" t="n"/>
      <x:c r="FY4" s="58" t="n"/>
      <x:c r="FZ4" s="58" t="n"/>
      <x:c r="GA4" s="58" t="n"/>
    </x:row>
    <x:row r="5" s="57" customFormat="1" ht="27.75" customHeight="1">
      <x:c r="A5" s="619" t="n"/>
      <x:c r="B5" s="625" t="inlineStr">
        <x:is>
          <x:t xml:space="preserve">TRACT ACRES</x:t>
        </x:is>
      </x:c>
      <x:c r="C5" s="626" t="n"/>
      <x:c r="D5" s="65" t="n">
        <x:v>32.8</x:v>
      </x:c>
      <x:c r="E5" s="627" t="inlineStr">
        <x:is>
          <x:t xml:space="preserve">Conveyance </x:t>
        </x:is>
      </x:c>
      <x:c r="F5" s="628" t="n"/>
      <x:c r="G5" s="60" t="n"/>
      <x:c r="H5" s="118" t="inlineStr">
        <x:is>
          <x:t xml:space="preserve">ARTI</x:t>
        </x:is>
      </x:c>
      <x:c r="I5" s="118" t="inlineStr">
        <x:is>
          <x:t xml:space="preserve">ARTI</x:t>
        </x:is>
      </x:c>
      <x:c r="J5" s="118" t="inlineStr">
        <x:is>
          <x:t xml:space="preserve">ARTI</x:t>
        </x:is>
      </x:c>
      <x:c r="K5" s="118" t="inlineStr">
        <x:is>
          <x:t xml:space="preserve">60 NMA</x:t>
        </x:is>
      </x:c>
      <x:c r="L5" s="118" t="inlineStr">
        <x:is>
          <x:t xml:space="preserve">ARTI</x:t>
        </x:is>
      </x:c>
      <x:c r="M5" s="118" t="inlineStr">
        <x:is>
          <x:t xml:space="preserve">ARTI</x:t>
        </x:is>
      </x:c>
      <x:c r="N5" s="118" t="inlineStr">
        <x:is>
          <x:t xml:space="preserve">ARTI</x:t>
        </x:is>
      </x:c>
      <x:c r="O5" s="118" t="inlineStr">
        <x:is>
          <x:t xml:space="preserve">286.110629 NMA</x:t>
        </x:is>
      </x:c>
      <x:c r="P5" s="118" t="inlineStr">
        <x:is>
          <x:t xml:space="preserve">209.814462 NMA</x:t>
        </x:is>
      </x:c>
      <x:c r="Q5" s="118" t="inlineStr">
        <x:is>
          <x:t xml:space="preserve">38.148084 NMA</x:t>
        </x:is>
      </x:c>
      <x:c r="R5" s="118" t="inlineStr">
        <x:is>
          <x:t xml:space="preserve">38.148084 NMA</x:t>
        </x:is>
      </x:c>
      <x:c r="S5" s="118" t="inlineStr">
        <x:is>
          <x:t xml:space="preserve">ARTI</x:t>
        </x:is>
      </x:c>
      <x:c r="T5" s="118" t="inlineStr">
        <x:is>
          <x:t xml:space="preserve">ARTI</x:t>
        </x:is>
      </x:c>
      <x:c r="U5" s="118" t="inlineStr">
        <x:is>
          <x:t xml:space="preserve">ARTI</x:t>
        </x:is>
      </x:c>
      <x:c r="V5" s="118" t="inlineStr">
        <x:is>
          <x:t xml:space="preserve">ARTI</x:t>
        </x:is>
      </x:c>
      <x:c r="W5" s="118" t="inlineStr">
        <x:is>
          <x:t xml:space="preserve">Interest not stated — confirm from image.</x:t>
        </x:is>
      </x:c>
      <x:c r="X5" s="118" t="inlineStr">
        <x:is>
          <x:t xml:space="preserve">ARTI</x:t>
        </x:is>
      </x:c>
      <x:c r="Y5" s="118" t="inlineStr">
        <x:is>
          <x:t xml:space="preserve">Interest not stated — confirm from image.</x:t>
        </x:is>
      </x:c>
      <x:c r="Z5" s="118" t="inlineStr">
        <x:is>
          <x:t xml:space="preserve">Interest not stated — confirm from image.</x:t>
        </x:is>
      </x:c>
      <x:c r="AA5" s="118" t="inlineStr">
        <x:is>
          <x:t xml:space="preserve">ARTI</x:t>
        </x:is>
      </x:c>
      <x:c r="AB5" s="118" t="inlineStr">
        <x:is>
          <x:t xml:space="preserve">ARTI</x:t>
        </x:is>
      </x:c>
      <x:c r="AC5" s="118" t="inlineStr">
        <x:is>
          <x:t xml:space="preserve">ARTI</x:t>
        </x:is>
      </x:c>
      <x:c r="AD5" s="118" t="inlineStr">
        <x:is>
          <x:t xml:space="preserve">Interest not stated — confirm from image.</x:t>
        </x:is>
      </x:c>
      <x:c r="AE5" s="118" t="inlineStr">
        <x:is>
          <x:t xml:space="preserve">Interest not stated — confirm from image.</x:t>
        </x:is>
      </x:c>
      <x:c r="AF5" s="118" t="inlineStr">
        <x:is>
          <x:t xml:space="preserve">Interest not stated — confirm from image.</x:t>
        </x:is>
      </x:c>
      <x:c r="AG5" s="118" t="inlineStr">
        <x:is>
          <x:t xml:space="preserve">ARTI</x:t>
        </x:is>
      </x:c>
      <x:c r="AH5" s="118" t="inlineStr">
        <x:is>
          <x:t xml:space="preserve">ARTI</x:t>
        </x:is>
      </x:c>
      <x:c r="AI5" s="118" t="inlineStr">
        <x:is>
          <x:t xml:space="preserve">Interest not stated — confirm from image.</x:t>
        </x:is>
      </x:c>
      <x:c r="AJ5" s="118" t="inlineStr">
        <x:is>
          <x:t xml:space="preserve">ARTI</x:t>
        </x:is>
      </x:c>
      <x:c r="AK5" s="118" t="inlineStr">
        <x:is>
          <x:t xml:space="preserve">Interest not stated — confirm from image.</x:t>
        </x:is>
      </x:c>
      <x:c r="AL5" s="118" t="inlineStr">
        <x:is>
          <x:t xml:space="preserve">ARTI</x:t>
        </x:is>
      </x:c>
      <x:c r="AM5" s="118" t="inlineStr">
        <x:is>
          <x:t xml:space="preserve">1758.332 NMA</x:t>
        </x:is>
      </x:c>
      <x:c r="AN5" s="118" t="inlineStr">
        <x:is>
          <x:t xml:space="preserve">ARTI</x:t>
        </x:is>
      </x:c>
      <x:c r="AO5" s="118" t="inlineStr">
        <x:is>
          <x:t xml:space="preserve">Interest not stated — confirm from image.</x:t>
        </x:is>
      </x:c>
      <x:c r="AP5" s="96" t="inlineStr">
        <x:is>
          <x:t xml:space="preserve">Interest not stated — confirm from image.</x:t>
        </x:is>
      </x:c>
      <x:c r="AQ5" s="96" t="inlineStr">
        <x:is>
          <x:t xml:space="preserve">ARTI</x:t>
        </x:is>
      </x:c>
      <x:c r="AR5" s="96" t="inlineStr">
        <x:is>
          <x:t xml:space="preserve">ARTI</x:t>
        </x:is>
      </x:c>
      <x:c r="AS5" s="96" t="inlineStr">
        <x:is>
          <x:t xml:space="preserve">ARTI</x:t>
        </x:is>
      </x:c>
      <x:c r="AT5" s="96" t="inlineStr">
        <x:is>
          <x:t xml:space="preserve">Interest not stated — confirm from image.</x:t>
        </x:is>
      </x:c>
      <x:c r="AU5" s="96" t="inlineStr">
        <x:is>
          <x:t xml:space="preserve">ARTI</x:t>
        </x:is>
      </x:c>
      <x:c r="AV5" s="96" t="inlineStr">
        <x:is>
          <x:t xml:space="preserve">ARTI</x:t>
        </x:is>
      </x:c>
      <x:c r="AW5" s="96" t="n"/>
      <x:c r="AX5" s="96" t="n"/>
      <x:c r="AY5" s="96" t="n"/>
      <x:c r="AZ5" s="96" t="n"/>
      <x:c r="BA5" s="96" t="n"/>
      <x:c r="BB5" s="96" t="n"/>
      <x:c r="BC5" s="96" t="n"/>
      <x:c r="BD5" s="96" t="n"/>
      <x:c r="BE5" s="96" t="n"/>
      <x:c r="BF5" s="96" t="n"/>
      <x:c r="BG5" s="96" t="n"/>
      <x:c r="BH5" s="96" t="n"/>
      <x:c r="BI5" s="96" t="n"/>
      <x:c r="BJ5" s="96" t="n"/>
      <x:c r="BK5" s="96" t="n"/>
      <x:c r="BL5" s="96" t="n"/>
      <x:c r="BM5" s="96" t="n"/>
      <x:c r="BN5" s="96" t="n"/>
      <x:c r="BO5" s="96" t="n"/>
      <x:c r="BP5" s="96" t="n"/>
      <x:c r="BQ5" s="96" t="n"/>
      <x:c r="BR5" s="96" t="n"/>
      <x:c r="BS5" s="96" t="n"/>
      <x:c r="BT5" s="96" t="n"/>
      <x:c r="BU5" s="96" t="n"/>
      <x:c r="BV5" s="96" t="n"/>
      <x:c r="BW5" s="96" t="n"/>
      <x:c r="BX5" s="96" t="n"/>
      <x:c r="BY5" s="96" t="n"/>
      <x:c r="BZ5" s="96" t="n"/>
      <x:c r="CA5" s="96" t="n"/>
      <x:c r="CB5" s="96" t="n"/>
      <x:c r="CC5" s="96" t="n"/>
      <x:c r="CD5" s="96" t="n"/>
      <x:c r="CE5" s="96" t="n"/>
      <x:c r="CF5" s="96" t="n"/>
      <x:c r="CG5" s="96" t="n"/>
      <x:c r="CH5" s="96" t="n"/>
      <x:c r="CI5" s="96" t="n"/>
      <x:c r="CJ5" s="96" t="n"/>
      <x:c r="CK5" s="96" t="n"/>
      <x:c r="CL5" s="96" t="n"/>
      <x:c r="CM5" s="96" t="n"/>
      <x:c r="CN5" s="96" t="n"/>
      <x:c r="CO5" s="96" t="n"/>
      <x:c r="CP5" s="96" t="n"/>
      <x:c r="CQ5" s="96" t="n"/>
      <x:c r="CR5" s="96" t="n"/>
      <x:c r="CS5" s="96" t="n"/>
      <x:c r="CT5" s="96" t="n"/>
      <x:c r="CU5" s="96" t="n"/>
      <x:c r="CV5" s="96" t="n"/>
      <x:c r="CW5" s="96" t="n"/>
      <x:c r="CX5" s="96" t="n"/>
      <x:c r="CY5" s="96" t="n"/>
      <x:c r="CZ5" s="96" t="n"/>
      <x:c r="DA5" s="96" t="n"/>
      <x:c r="DB5" s="96" t="n"/>
      <x:c r="DC5" s="96" t="n"/>
      <x:c r="DD5" s="96" t="n"/>
      <x:c r="DE5" s="96" t="n"/>
      <x:c r="DF5" s="96" t="n"/>
      <x:c r="DG5" s="96" t="n"/>
      <x:c r="DH5" s="96" t="n"/>
      <x:c r="DI5" s="96" t="n"/>
      <x:c r="DJ5" s="96" t="n"/>
      <x:c r="DK5" s="96" t="n"/>
      <x:c r="DL5" s="96" t="n"/>
      <x:c r="DM5" s="96" t="n"/>
      <x:c r="DN5" s="96" t="n"/>
      <x:c r="DO5" s="96" t="n"/>
      <x:c r="DP5" s="96" t="n"/>
      <x:c r="DQ5" s="96" t="n"/>
      <x:c r="DR5" s="96" t="n"/>
      <x:c r="DS5" s="96" t="n"/>
      <x:c r="DT5" s="96" t="n"/>
      <x:c r="DU5" s="96" t="n"/>
      <x:c r="DV5" s="96" t="n"/>
      <x:c r="DW5" s="96" t="n"/>
      <x:c r="DX5" s="96" t="n"/>
      <x:c r="DY5" s="96" t="n"/>
      <x:c r="DZ5" s="96" t="n"/>
      <x:c r="EA5" s="96" t="n"/>
      <x:c r="EB5" s="96" t="n"/>
      <x:c r="EC5" s="96" t="n"/>
      <x:c r="ED5" s="96" t="n"/>
      <x:c r="EE5" s="96" t="n"/>
      <x:c r="EF5" s="96" t="n"/>
      <x:c r="EG5" s="96" t="n"/>
      <x:c r="EH5" s="96" t="n"/>
      <x:c r="EI5" s="96" t="n"/>
      <x:c r="EJ5" s="96" t="n"/>
      <x:c r="EK5" s="96" t="n"/>
      <x:c r="EL5" s="96" t="n"/>
      <x:c r="EM5" s="96" t="n"/>
      <x:c r="EN5" s="96" t="n"/>
      <x:c r="EO5" s="96" t="n"/>
      <x:c r="EP5" s="96" t="n"/>
      <x:c r="EQ5" s="96" t="n"/>
      <x:c r="ER5" s="96" t="n"/>
      <x:c r="ES5" s="96" t="n"/>
      <x:c r="ET5" s="96" t="n"/>
      <x:c r="EU5" s="96" t="n"/>
      <x:c r="EV5" s="96" t="n"/>
      <x:c r="EW5" s="96" t="n"/>
      <x:c r="EX5" s="96" t="n"/>
      <x:c r="EY5" s="96" t="n"/>
      <x:c r="EZ5" s="96" t="n"/>
      <x:c r="FA5" s="96" t="n"/>
      <x:c r="FB5" s="96" t="n"/>
      <x:c r="FC5" s="96" t="n"/>
      <x:c r="FD5" s="96" t="n"/>
      <x:c r="FE5" s="96" t="n"/>
      <x:c r="FF5" s="96" t="n"/>
      <x:c r="FG5" s="96" t="n"/>
      <x:c r="FH5" s="96" t="n"/>
      <x:c r="FI5" s="96" t="n"/>
      <x:c r="FJ5" s="96" t="n"/>
      <x:c r="FK5" s="96" t="n"/>
      <x:c r="FL5" s="96" t="n"/>
      <x:c r="FM5" s="96" t="n"/>
      <x:c r="FN5" s="96" t="n"/>
      <x:c r="FO5" s="96" t="n"/>
      <x:c r="FP5" s="96" t="n"/>
      <x:c r="FQ5" s="96" t="n"/>
      <x:c r="FR5" s="96" t="n"/>
      <x:c r="FS5" s="96" t="n"/>
      <x:c r="FT5" s="96" t="n"/>
      <x:c r="FU5" s="96" t="n"/>
      <x:c r="FV5" s="96" t="n"/>
      <x:c r="FW5" s="96" t="n"/>
      <x:c r="FX5" s="96" t="n"/>
      <x:c r="FY5" s="59" t="n"/>
      <x:c r="FZ5" s="59" t="n"/>
      <x:c r="GA5" s="59" t="n"/>
    </x:row>
    <x:row r="6" s="55" customFormat="1" ht="14.25" customHeight="1">
      <x:c r="A6" s="629" t="n"/>
      <x:c r="B6" s="630" t="inlineStr">
        <x:is>
          <x:t xml:space="preserve">BASE OGL</x:t>
        </x:is>
      </x:c>
      <x:c r="C6" s="631" t="n">
        <x:v>32.8</x:v>
      </x:c>
      <x:c r="D6" s="632" t="inlineStr">
        <x:is>
          <x:t xml:space="preserve">Tract 8</x:t>
        </x:is>
      </x:c>
      <x:c r="E6" s="631" t="n">
        <x:f>SUBTOTAL(9,E9:E203)</x:f>
        <x:v>1</x:v>
      </x:c>
      <x:c r="F6" s="633" t="inlineStr">
        <x:is>
          <x:t xml:space="preserve">SURFACE</x:t>
        </x:is>
      </x:c>
      <x:c r="G6" s="64" t="n"/>
      <x:c r="H6" s="64" t="str">
        <x:f>IF(H7=0,"","RECHECK")</x:f>
      </x:c>
      <x:c r="I6" s="64" t="n"/>
      <x:c r="J6" s="64" t="n"/>
      <x:c r="K6" s="64" t="str">
        <x:f>IF(K7=0,"","RECHECK")</x:f>
      </x:c>
      <x:c r="L6" s="64" t="n"/>
      <x:c r="M6" s="64" t="str">
        <x:f>IF(M7=0,"","RECHECK")</x:f>
      </x:c>
      <x:c r="N6" s="64" t="str">
        <x:f>IF(N7=0,"","RECHECK")</x:f>
      </x:c>
      <x:c r="O6" s="64" t="str">
        <x:f>IF(O7=0,"","RECHECK")</x:f>
      </x:c>
      <x:c r="P6" s="64" t="str">
        <x:f>IF(P7=0,"","RECHECK")</x:f>
      </x:c>
      <x:c r="Q6" s="64" t="n"/>
      <x:c r="R6" s="98" t="str">
        <x:f>IF(R7=0,"","RECHECK")</x:f>
      </x:c>
      <x:c r="S6" s="98" t="n"/>
      <x:c r="T6" s="64" t="str">
        <x:f>IF(T7=0,"","RECHECK")</x:f>
      </x:c>
      <x:c r="U6" s="64" t="str">
        <x:f>IF(U7=0,"","RECHECK")</x:f>
      </x:c>
      <x:c r="V6" s="64" t="str">
        <x:f>IF(V7=0,"","RECHECK")</x:f>
      </x:c>
      <x:c r="W6" s="64" t="str">
        <x:f>IF(W7=0,"","RECHECK")</x:f>
      </x:c>
      <x:c r="X6" s="64" t="str">
        <x:f>IF(X7=0,"","RECHECK")</x:f>
      </x:c>
      <x:c r="Y6" s="64" t="str">
        <x:f>IF(Y7=0,"","RECHECK")</x:f>
      </x:c>
      <x:c r="Z6" s="64" t="str">
        <x:f>IF(Z7=0,"","RECHECK")</x:f>
      </x:c>
      <x:c r="AA6" s="64" t="str">
        <x:f>IF(AA7=0,"","RECHECK")</x:f>
      </x:c>
      <x:c r="AB6" s="64" t="str">
        <x:f>IF(AB7=0,"","RECHECK")</x:f>
      </x:c>
      <x:c r="AC6" s="64" t="str">
        <x:f>IF(AC7=0,"","RECHECK")</x:f>
      </x:c>
      <x:c r="AD6" s="64" t="str">
        <x:f>IF(AD7=0,"","RECHECK")</x:f>
      </x:c>
      <x:c r="AE6" s="98" t="str">
        <x:f>IF(AE7=0,"","RECHECK")</x:f>
      </x:c>
      <x:c r="AF6" s="98" t="str">
        <x:f>IF(AF7=0,"","RECHECK")</x:f>
      </x:c>
      <x:c r="AG6" s="98" t="n"/>
      <x:c r="AH6" s="98" t="n"/>
      <x:c r="AI6" s="98" t="str">
        <x:f>IF(AI7=0,"","RECHECK")</x:f>
      </x:c>
      <x:c r="AJ6" s="98" t="str">
        <x:f>IF(AJ7=0,"","RECHECK")</x:f>
      </x:c>
      <x:c r="AK6" s="98" t="str">
        <x:f>IF(AK7=0,"","RECHECK")</x:f>
      </x:c>
      <x:c r="AL6" s="64" t="str">
        <x:f>IF(AL7=0,"","RECHECK")</x:f>
      </x:c>
      <x:c r="AM6" s="98" t="str">
        <x:f>IF(AM7=0,"","RECHECK")</x:f>
      </x:c>
      <x:c r="AN6" s="64" t="str">
        <x:f>IF(AN7=0,"","RECHECK")</x:f>
      </x:c>
      <x:c r="AO6" s="98" t="str">
        <x:f>IF(AO7=0,"","RECHECK")</x:f>
      </x:c>
      <x:c r="AP6" s="64" t="str">
        <x:f>IF(AP7=0,"","RECHECK")</x:f>
      </x:c>
      <x:c r="AQ6" s="64" t="str">
        <x:f>IF(AQ7=0,"","RECHECK")</x:f>
      </x:c>
      <x:c r="AR6" s="64" t="str">
        <x:f>IF(AR7=0,"","RECHECK")</x:f>
      </x:c>
      <x:c r="AS6" s="64" t="str">
        <x:f>IF(AS7=0,"","RECHECK")</x:f>
      </x:c>
      <x:c r="AT6" s="64" t="str">
        <x:f>IF(AT7=0,"","RECHECK")</x:f>
      </x:c>
      <x:c r="AU6" s="64" t="str">
        <x:f>IF(AU7=0,"","RECHECK")</x:f>
      </x:c>
      <x:c r="AV6" s="64" t="str">
        <x:f>IF(AV7=0,"","RECHECK")</x:f>
      </x:c>
      <x:c r="AW6" s="64" t="str">
        <x:f>IF(AW7=0,"","RECHECK")</x:f>
      </x:c>
      <x:c r="AX6" s="64" t="str">
        <x:f>IF(AX7=0,"","RECHECK")</x:f>
      </x:c>
      <x:c r="AY6" s="64" t="str">
        <x:f>IF(AY7=0,"","RECHECK")</x:f>
      </x:c>
      <x:c r="AZ6" s="64" t="str">
        <x:f>IF(AZ7=0,"","RECHECK")</x:f>
      </x:c>
      <x:c r="BA6" s="64" t="str">
        <x:f>IF(BA7=0,"","RECHECK")</x:f>
      </x:c>
      <x:c r="BB6" s="64" t="str">
        <x:f>IF(BB7=0,"","RECHECK")</x:f>
      </x:c>
      <x:c r="BC6" s="64" t="str">
        <x:f>IF(BC7=0,"","RECHECK")</x:f>
      </x:c>
      <x:c r="BD6" s="64" t="str">
        <x:f>IF(BD7=0,"","RECHECK")</x:f>
      </x:c>
      <x:c r="BE6" s="64" t="str">
        <x:f>IF(BE7=0,"","RECHECK")</x:f>
      </x:c>
      <x:c r="BF6" s="64" t="str">
        <x:f>IF(BF7=0,"","RECHECK")</x:f>
      </x:c>
      <x:c r="BG6" s="64" t="str">
        <x:f>IF(BG7=0,"","RECHECK")</x:f>
      </x:c>
      <x:c r="BH6" s="64" t="str">
        <x:f>IF(BH7=0,"","RECHECK")</x:f>
      </x:c>
      <x:c r="BI6" s="64" t="str">
        <x:f>IF(BI7=0,"","RECHECK")</x:f>
      </x:c>
      <x:c r="BJ6" s="64" t="str">
        <x:f>IF(BJ7=0,"","RECHECK")</x:f>
      </x:c>
      <x:c r="BK6" s="64" t="str">
        <x:f>IF(BK7=0,"","RECHECK")</x:f>
      </x:c>
      <x:c r="BL6" s="64" t="str">
        <x:f>IF(BL7=0,"","RECHECK")</x:f>
      </x:c>
      <x:c r="BM6" s="64" t="str">
        <x:f>IF(BM7=0,"","RECHECK")</x:f>
      </x:c>
      <x:c r="BN6" s="64" t="str">
        <x:f>IF(BN7=0,"","RECHECK")</x:f>
      </x:c>
      <x:c r="BO6" s="64" t="str">
        <x:f>IF(BO7=0,"","RECHECK")</x:f>
      </x:c>
      <x:c r="BP6" s="64" t="str">
        <x:f>IF(BP7=0,"","RECHECK")</x:f>
      </x:c>
      <x:c r="BQ6" s="64" t="str">
        <x:f>IF(BQ7=0,"","RECHECK")</x:f>
      </x:c>
      <x:c r="BR6" s="64" t="str">
        <x:f>IF(BR7=0,"","RECHECK")</x:f>
      </x:c>
      <x:c r="BS6" s="64" t="str">
        <x:f>IF(BS7=0,"","RECHECK")</x:f>
      </x:c>
      <x:c r="BT6" s="64" t="str">
        <x:f>IF(BT7=0,"","RECHECK")</x:f>
      </x:c>
      <x:c r="BU6" s="64" t="str">
        <x:f>IF(BU7=0,"","RECHECK")</x:f>
      </x:c>
      <x:c r="BV6" s="64" t="str">
        <x:f>IF(BV7=0,"","RECHECK")</x:f>
      </x:c>
      <x:c r="BW6" s="64" t="str">
        <x:f>IF(BW7=0,"","RECHECK")</x:f>
      </x:c>
      <x:c r="BX6" s="64" t="str">
        <x:f>IF(BX7=0,"","RECHECK")</x:f>
      </x:c>
      <x:c r="BY6" s="64" t="str">
        <x:f>IF(BY7=0,"","RECHECK")</x:f>
      </x:c>
      <x:c r="BZ6" s="64" t="str">
        <x:f>IF(BZ7=0,"","RECHECK")</x:f>
      </x:c>
      <x:c r="CA6" s="64" t="str">
        <x:f>IF(CA7=0,"","RECHECK")</x:f>
      </x:c>
      <x:c r="CB6" s="64" t="str">
        <x:f>IF(CB7=0,"","RECHECK")</x:f>
      </x:c>
      <x:c r="CC6" s="64" t="str">
        <x:f>IF(CC7=0,"","RECHECK")</x:f>
      </x:c>
      <x:c r="CD6" s="64" t="str">
        <x:f>IF(CD7=0,"","RECHECK")</x:f>
      </x:c>
      <x:c r="CE6" s="64" t="str">
        <x:f>IF(CE7=0,"","RECHECK")</x:f>
      </x:c>
      <x:c r="CF6" s="64" t="str">
        <x:f>IF(CF7=0,"","RECHECK")</x:f>
      </x:c>
      <x:c r="CG6" s="64" t="str">
        <x:f>IF(CG7=0,"","RECHECK")</x:f>
      </x:c>
      <x:c r="CH6" s="64" t="str">
        <x:f>IF(CH7=0,"","RECHECK")</x:f>
      </x:c>
      <x:c r="CI6" s="64" t="str">
        <x:f>IF(CI7=0,"","RECHECK")</x:f>
      </x:c>
      <x:c r="CJ6" s="64" t="str">
        <x:f>IF(CJ7=0,"","RECHECK")</x:f>
      </x:c>
      <x:c r="CK6" s="64" t="str">
        <x:f>IF(CK7=0,"","RECHECK")</x:f>
      </x:c>
      <x:c r="CL6" s="64" t="str">
        <x:f>IF(CL7=0,"","RECHECK")</x:f>
      </x:c>
      <x:c r="CM6" s="64" t="str">
        <x:f>IF(CM7=0,"","RECHECK")</x:f>
      </x:c>
      <x:c r="CN6" s="64" t="str">
        <x:f>IF(CN7=0,"","RECHECK")</x:f>
      </x:c>
      <x:c r="CO6" s="64" t="str">
        <x:f>IF(CO7=0,"","RECHECK")</x:f>
      </x:c>
      <x:c r="CP6" s="64" t="str">
        <x:f>IF(CP7=0,"","RECHECK")</x:f>
      </x:c>
      <x:c r="CQ6" s="64" t="str">
        <x:f>IF(CQ7=0,"","RECHECK")</x:f>
      </x:c>
      <x:c r="CR6" s="64" t="str">
        <x:f>IF(CR7=0,"","RECHECK")</x:f>
      </x:c>
      <x:c r="CS6" s="64" t="str">
        <x:f>IF(CS7=0,"","RECHECK")</x:f>
      </x:c>
      <x:c r="CT6" s="64" t="str">
        <x:f>IF(CT7=0,"","RECHECK")</x:f>
      </x:c>
      <x:c r="CU6" s="64" t="str">
        <x:f>IF(CU7=0,"","RECHECK")</x:f>
      </x:c>
      <x:c r="CV6" s="64" t="str">
        <x:f>IF(CV7=0,"","RECHECK")</x:f>
      </x:c>
      <x:c r="CW6" s="64" t="str">
        <x:f>IF(CW7=0,"","RECHECK")</x:f>
      </x:c>
      <x:c r="CX6" s="64" t="str">
        <x:f>IF(CX7=0,"","RECHECK")</x:f>
      </x:c>
      <x:c r="CY6" s="64" t="str">
        <x:f>IF(CY7=0,"","RECHECK")</x:f>
      </x:c>
      <x:c r="CZ6" s="64" t="str">
        <x:f>IF(CZ7=0,"","RECHECK")</x:f>
      </x:c>
      <x:c r="DA6" s="64" t="str">
        <x:f>IF(DA7=0,"","RECHECK")</x:f>
      </x:c>
      <x:c r="DB6" s="64" t="str">
        <x:f>IF(DB7=0,"","RECHECK")</x:f>
      </x:c>
      <x:c r="DC6" s="64" t="str">
        <x:f>IF(DC7=0,"","RECHECK")</x:f>
      </x:c>
      <x:c r="DD6" s="64" t="str">
        <x:f>IF(DD7=0,"","RECHECK")</x:f>
      </x:c>
      <x:c r="DE6" s="64" t="str">
        <x:f>IF(DE7=0,"","RECHECK")</x:f>
      </x:c>
      <x:c r="DF6" s="64" t="str">
        <x:f>IF(DF7=0,"","RECHECK")</x:f>
      </x:c>
      <x:c r="DG6" s="64" t="str">
        <x:f>IF(DG7=0,"","RECHECK")</x:f>
      </x:c>
      <x:c r="DH6" s="64" t="str">
        <x:f>IF(DH7=0,"","RECHECK")</x:f>
      </x:c>
      <x:c r="DI6" s="64" t="str">
        <x:f>IF(DI7=0,"","RECHECK")</x:f>
      </x:c>
      <x:c r="DJ6" s="64" t="str">
        <x:f>IF(DJ7=0,"","RECHECK")</x:f>
      </x:c>
      <x:c r="DK6" s="64" t="str">
        <x:f>IF(DK7=0,"","RECHECK")</x:f>
      </x:c>
      <x:c r="DL6" s="64" t="str">
        <x:f>IF(DL7=0,"","RECHECK")</x:f>
      </x:c>
      <x:c r="DM6" s="64" t="str">
        <x:f>IF(DM7=0,"","RECHECK")</x:f>
      </x:c>
      <x:c r="DN6" s="64" t="str">
        <x:f>IF(DN7=0,"","RECHECK")</x:f>
      </x:c>
      <x:c r="DO6" s="64" t="str">
        <x:f>IF(DO7=0,"","RECHECK")</x:f>
      </x:c>
      <x:c r="DP6" s="64" t="str">
        <x:f>IF(DP7=0,"","RECHECK")</x:f>
      </x:c>
      <x:c r="DQ6" s="64" t="str">
        <x:f>IF(DQ7=0,"","RECHECK")</x:f>
      </x:c>
      <x:c r="DR6" s="64" t="str">
        <x:f>IF(DR7=0,"","RECHECK")</x:f>
      </x:c>
      <x:c r="DS6" s="64" t="str">
        <x:f>IF(DS7=0,"","RECHECK")</x:f>
      </x:c>
      <x:c r="DT6" s="64" t="str">
        <x:f>IF(DT7=0,"","RECHECK")</x:f>
      </x:c>
      <x:c r="DU6" s="64" t="str">
        <x:f>IF(DU7=0,"","RECHECK")</x:f>
      </x:c>
      <x:c r="DV6" s="64" t="str">
        <x:f>IF(DV7=0,"","RECHECK")</x:f>
      </x:c>
      <x:c r="DW6" s="64" t="str">
        <x:f>IF(DW7=0,"","RECHECK")</x:f>
      </x:c>
      <x:c r="DX6" s="64" t="str">
        <x:f>IF(DX7=0,"","RECHECK")</x:f>
      </x:c>
      <x:c r="DY6" s="64" t="str">
        <x:f>IF(DY7=0,"","RECHECK")</x:f>
      </x:c>
      <x:c r="DZ6" s="64" t="str">
        <x:f>IF(DZ7=0,"","RECHECK")</x:f>
      </x:c>
      <x:c r="EA6" s="64" t="str">
        <x:f>IF(EA7=0,"","RECHECK")</x:f>
      </x:c>
      <x:c r="EB6" s="64" t="str">
        <x:f>IF(EB7=0,"","RECHECK")</x:f>
      </x:c>
      <x:c r="EC6" s="64" t="str">
        <x:f>IF(EC7=0,"","RECHECK")</x:f>
      </x:c>
      <x:c r="ED6" s="64" t="str">
        <x:f>IF(ED7=0,"","RECHECK")</x:f>
      </x:c>
      <x:c r="EE6" s="64" t="str">
        <x:f>IF(EE7=0,"","RECHECK")</x:f>
      </x:c>
      <x:c r="EF6" s="64" t="str">
        <x:f>IF(EF7=0,"","RECHECK")</x:f>
      </x:c>
      <x:c r="EG6" s="64" t="str">
        <x:f>IF(EG7=0,"","RECHECK")</x:f>
      </x:c>
      <x:c r="EH6" s="64" t="str">
        <x:f>IF(EH7=0,"","RECHECK")</x:f>
      </x:c>
      <x:c r="EI6" s="64" t="str">
        <x:f>IF(EI7=0,"","RECHECK")</x:f>
      </x:c>
      <x:c r="EJ6" s="64" t="str">
        <x:f>IF(EJ7=0,"","RECHECK")</x:f>
      </x:c>
      <x:c r="EK6" s="64" t="str">
        <x:f>IF(EK7=0,"","RECHECK")</x:f>
      </x:c>
      <x:c r="EL6" s="64" t="str">
        <x:f>IF(EL7=0,"","RECHECK")</x:f>
      </x:c>
      <x:c r="EM6" s="64" t="str">
        <x:f>IF(EM7=0,"","RECHECK")</x:f>
      </x:c>
      <x:c r="EN6" s="64" t="str">
        <x:f>IF(EN7=0,"","RECHECK")</x:f>
      </x:c>
      <x:c r="EO6" s="64" t="str">
        <x:f>IF(EO7=0,"","RECHECK")</x:f>
      </x:c>
      <x:c r="EP6" s="64" t="str">
        <x:f>IF(EP7=0,"","RECHECK")</x:f>
      </x:c>
      <x:c r="EQ6" s="64" t="str">
        <x:f>IF(EQ7=0,"","RECHECK")</x:f>
      </x:c>
      <x:c r="ER6" s="64" t="str">
        <x:f>IF(ER7=0,"","RECHECK")</x:f>
      </x:c>
      <x:c r="ES6" s="64" t="str">
        <x:f>IF(ES7=0,"","RECHECK")</x:f>
      </x:c>
      <x:c r="ET6" s="64" t="str">
        <x:f>IF(ET7=0,"","RECHECK")</x:f>
      </x:c>
      <x:c r="EU6" s="64" t="str">
        <x:f>IF(EU7=0,"","RECHECK")</x:f>
      </x:c>
      <x:c r="EV6" s="64" t="str">
        <x:f>IF(EV7=0,"","RECHECK")</x:f>
      </x:c>
      <x:c r="EW6" s="64" t="str">
        <x:f>IF(EW7=0,"","RECHECK")</x:f>
      </x:c>
      <x:c r="EX6" s="64" t="str">
        <x:f>IF(EX7=0,"","RECHECK")</x:f>
      </x:c>
      <x:c r="EY6" s="64" t="str">
        <x:f>IF(EY7=0,"","RECHECK")</x:f>
      </x:c>
      <x:c r="EZ6" s="64" t="str">
        <x:f>IF(EZ7=0,"","RECHECK")</x:f>
      </x:c>
      <x:c r="FA6" s="64" t="str">
        <x:f>IF(FA7=0,"","RECHECK")</x:f>
      </x:c>
      <x:c r="FB6" s="64" t="str">
        <x:f>IF(FB7=0,"","RECHECK")</x:f>
      </x:c>
      <x:c r="FC6" s="64" t="str">
        <x:f>IF(FC7=0,"","RECHECK")</x:f>
      </x:c>
      <x:c r="FD6" s="64" t="str">
        <x:f>IF(FD7=0,"","RECHECK")</x:f>
      </x:c>
      <x:c r="FE6" s="64" t="str">
        <x:f>IF(FE7=0,"","RECHECK")</x:f>
      </x:c>
      <x:c r="FF6" s="64" t="str">
        <x:f>IF(FF7=0,"","RECHECK")</x:f>
      </x:c>
      <x:c r="FG6" s="64" t="str">
        <x:f>IF(FG7=0,"","RECHECK")</x:f>
      </x:c>
      <x:c r="FH6" s="64" t="str">
        <x:f>IF(FH7=0,"","RECHECK")</x:f>
      </x:c>
      <x:c r="FI6" s="64" t="str">
        <x:f>IF(FI7=0,"","RECHECK")</x:f>
      </x:c>
      <x:c r="FJ6" s="64" t="str">
        <x:f>IF(FJ7=0,"","RECHECK")</x:f>
      </x:c>
      <x:c r="FK6" s="64" t="str">
        <x:f>IF(FK7=0,"","RECHECK")</x:f>
      </x:c>
      <x:c r="FL6" s="64" t="str">
        <x:f>IF(FL7=0,"","RECHECK")</x:f>
      </x:c>
      <x:c r="FM6" s="64" t="str">
        <x:f>IF(FM7=0,"","RECHECK")</x:f>
      </x:c>
      <x:c r="FN6" s="64" t="str">
        <x:f>IF(FN7=0,"","RECHECK")</x:f>
      </x:c>
      <x:c r="FO6" s="64" t="str">
        <x:f>IF(FO7=0,"","RECHECK")</x:f>
      </x:c>
      <x:c r="FP6" s="64" t="str">
        <x:f>IF(FP7=0,"","RECHECK")</x:f>
      </x:c>
      <x:c r="FQ6" s="64" t="str">
        <x:f>IF(FQ7=0,"","RECHECK")</x:f>
      </x:c>
      <x:c r="FR6" s="64" t="str">
        <x:f>IF(FR7=0,"","RECHECK")</x:f>
      </x:c>
      <x:c r="FS6" s="64" t="str">
        <x:f>IF(FS7=0,"","RECHECK")</x:f>
      </x:c>
      <x:c r="FT6" s="64" t="str">
        <x:f>IF(FT7=0,"","RECHECK")</x:f>
      </x:c>
      <x:c r="FU6" s="64" t="str">
        <x:f>IF(FU7=0,"","RECHECK")</x:f>
      </x:c>
      <x:c r="FV6" s="64" t="str">
        <x:f>IF(FV7=0,"","RECHECK")</x:f>
      </x:c>
      <x:c r="FW6" s="64" t="str">
        <x:f>IF(FW7=0,"","RECHECK")</x:f>
      </x:c>
      <x:c r="FX6" s="64" t="str">
        <x:f>IF(FX7=0,"","RECHECK")</x:f>
      </x:c>
      <x:c r="FY6" s="64" t="str">
        <x:f>IF(FY7=0,"","RECHECK")</x:f>
      </x:c>
      <x:c r="FZ6" s="64" t="str">
        <x:f>IF(FZ7=0,"","RECHECK")</x:f>
      </x:c>
      <x:c r="GA6" s="64" t="str">
        <x:f>IF(GA7=0,"","RECHECK")</x:f>
      </x:c>
    </x:row>
    <x:row r="7" s="53" customFormat="1" ht="14.25" customHeight="1">
      <x:c r="A7" s="54" t="n"/>
      <x:c r="B7" s="593" t="n"/>
      <x:c r="C7" s="634" t="n"/>
      <x:c r="D7" s="634" t="n"/>
      <x:c r="E7" s="634" t="n"/>
      <x:c r="F7" s="635" t="n"/>
      <x:c r="G7" s="636" t="n">
        <x:f>SUBTOTAL(9,G10:G204)</x:f>
        <x:v>1</x:v>
      </x:c>
      <x:c r="H7" s="637" t="n">
        <x:f>SUBTOTAL(9,H10:H204)</x:f>
        <x:v>0</x:v>
      </x:c>
      <x:c r="I7" s="637" t="n">
        <x:f>SUBTOTAL(9,I10:I204)</x:f>
        <x:v>0</x:v>
      </x:c>
      <x:c r="J7" s="637" t="n">
        <x:f>SUBTOTAL(9,J10:J204)</x:f>
        <x:v>0</x:v>
      </x:c>
      <x:c r="K7" s="637" t="n">
        <x:f>SUBTOTAL(9,K10:K204)</x:f>
        <x:v>0</x:v>
      </x:c>
      <x:c r="L7" s="637" t="n">
        <x:f>SUBTOTAL(9,L10:L204)</x:f>
        <x:v>0</x:v>
      </x:c>
      <x:c r="M7" s="637" t="n">
        <x:f>SUBTOTAL(9,M10:M204)</x:f>
        <x:v>0</x:v>
      </x:c>
      <x:c r="N7" s="637" t="n">
        <x:f>SUBTOTAL(9,N10:N204)</x:f>
        <x:v>0</x:v>
      </x:c>
      <x:c r="O7" s="637" t="n">
        <x:f>SUBTOTAL(9,O10:O204)</x:f>
        <x:v>0</x:v>
      </x:c>
      <x:c r="P7" s="637" t="n">
        <x:f>SUBTOTAL(9,P10:P204)</x:f>
        <x:v>0</x:v>
      </x:c>
      <x:c r="Q7" s="637" t="n">
        <x:f>SUBTOTAL(9,Q10:Q204)</x:f>
        <x:v>0</x:v>
      </x:c>
      <x:c r="R7" s="638" t="n">
        <x:f>SUBTOTAL(9,R10:R204)</x:f>
        <x:v>0</x:v>
      </x:c>
      <x:c r="S7" s="638" t="n">
        <x:f>SUBTOTAL(9,S10:S204)</x:f>
        <x:v>0</x:v>
      </x:c>
      <x:c r="T7" s="637" t="n">
        <x:f>SUBTOTAL(9,T10:T204)</x:f>
        <x:v>0</x:v>
      </x:c>
      <x:c r="U7" s="637" t="n">
        <x:f>SUBTOTAL(9,U10:U204)</x:f>
        <x:v>0</x:v>
      </x:c>
      <x:c r="V7" s="637" t="n">
        <x:f>SUBTOTAL(9,V10:V204)</x:f>
        <x:v>0</x:v>
      </x:c>
      <x:c r="W7" s="637" t="n">
        <x:f>SUBTOTAL(9,W10:W204)</x:f>
        <x:v>0</x:v>
      </x:c>
      <x:c r="X7" s="637" t="n">
        <x:f>SUBTOTAL(9,X10:X204)</x:f>
        <x:v>0</x:v>
      </x:c>
      <x:c r="Y7" s="637" t="n">
        <x:f>SUBTOTAL(9,Y10:Y204)</x:f>
        <x:v>0</x:v>
      </x:c>
      <x:c r="Z7" s="637" t="n">
        <x:f>SUBTOTAL(9,Z10:Z204)</x:f>
        <x:v>0</x:v>
      </x:c>
      <x:c r="AA7" s="637" t="n">
        <x:f>SUBTOTAL(9,AA10:AA204)</x:f>
        <x:v>0</x:v>
      </x:c>
      <x:c r="AB7" s="637" t="n">
        <x:f>SUBTOTAL(9,AB10:AB204)</x:f>
        <x:v>0</x:v>
      </x:c>
      <x:c r="AC7" s="637" t="n">
        <x:f>SUBTOTAL(9,AC10:AC204)</x:f>
        <x:v>0</x:v>
      </x:c>
      <x:c r="AD7" s="637" t="n">
        <x:f>SUBTOTAL(9,AD10:AD204)</x:f>
        <x:v>0</x:v>
      </x:c>
      <x:c r="AE7" s="638" t="n">
        <x:f>SUBTOTAL(9,AE10:AE204)</x:f>
        <x:v>0</x:v>
      </x:c>
      <x:c r="AF7" s="638" t="n">
        <x:f>SUBTOTAL(9,AF10:AF204)</x:f>
        <x:v>0</x:v>
      </x:c>
      <x:c r="AG7" s="638" t="n">
        <x:f>SUBTOTAL(9,AG10:AG204)</x:f>
        <x:v>0</x:v>
      </x:c>
      <x:c r="AH7" s="638" t="n">
        <x:f>SUBTOTAL(9,AH10:AH204)</x:f>
        <x:v>0</x:v>
      </x:c>
      <x:c r="AI7" s="638" t="n">
        <x:f>SUBTOTAL(9,AI10:AI204)</x:f>
        <x:v>0</x:v>
      </x:c>
      <x:c r="AJ7" s="638" t="n">
        <x:f>SUBTOTAL(9,AJ10:AJ204)</x:f>
        <x:v>0</x:v>
      </x:c>
      <x:c r="AK7" s="638" t="n">
        <x:f>SUBTOTAL(9,AK10:AK204)</x:f>
        <x:v>0</x:v>
      </x:c>
      <x:c r="AL7" s="637" t="n">
        <x:f>SUBTOTAL(9,AL10:AL204)</x:f>
        <x:v>0</x:v>
      </x:c>
      <x:c r="AM7" s="638" t="n">
        <x:f>SUBTOTAL(9,AM10:AM204)</x:f>
        <x:v>0</x:v>
      </x:c>
      <x:c r="AN7" s="637" t="n">
        <x:f>SUBTOTAL(9,AN10:AN204)</x:f>
        <x:v>0</x:v>
      </x:c>
      <x:c r="AO7" s="638" t="n">
        <x:f>SUBTOTAL(9,AO10:AO204)</x:f>
        <x:v>0</x:v>
      </x:c>
      <x:c r="AP7" s="637" t="n">
        <x:f>SUBTOTAL(9,AP10:AP204)</x:f>
        <x:v>0</x:v>
      </x:c>
      <x:c r="AQ7" s="637" t="n">
        <x:f>SUBTOTAL(9,AQ10:AQ204)</x:f>
        <x:v>0</x:v>
      </x:c>
      <x:c r="AR7" s="637" t="n">
        <x:f>SUBTOTAL(9,AR10:AR204)</x:f>
        <x:v>0</x:v>
      </x:c>
      <x:c r="AS7" s="637" t="n">
        <x:f>SUBTOTAL(9,AS10:AS204)</x:f>
        <x:v>0</x:v>
      </x:c>
      <x:c r="AT7" s="637" t="n">
        <x:f>SUBTOTAL(9,AT10:AT204)</x:f>
        <x:v>0</x:v>
      </x:c>
      <x:c r="AU7" s="637" t="n">
        <x:f>SUBTOTAL(9,AU10:AU204)</x:f>
        <x:v>0</x:v>
      </x:c>
      <x:c r="AV7" s="637" t="n">
        <x:f>SUBTOTAL(9,AV10:AV204)</x:f>
        <x:v>0</x:v>
      </x:c>
      <x:c r="AW7" s="637" t="n">
        <x:f>SUBTOTAL(9,AW10:AW204)</x:f>
        <x:v>0</x:v>
      </x:c>
      <x:c r="AX7" s="637" t="n">
        <x:f>SUBTOTAL(9,AX10:AX204)</x:f>
        <x:v>0</x:v>
      </x:c>
      <x:c r="AY7" s="637" t="n">
        <x:f>SUBTOTAL(9,AY10:AY204)</x:f>
        <x:v>0</x:v>
      </x:c>
      <x:c r="AZ7" s="637" t="n">
        <x:f>SUBTOTAL(9,AZ10:AZ204)</x:f>
        <x:v>0</x:v>
      </x:c>
      <x:c r="BA7" s="637" t="n">
        <x:f>SUBTOTAL(9,BA10:BA204)</x:f>
        <x:v>0</x:v>
      </x:c>
      <x:c r="BB7" s="637" t="n">
        <x:f>SUBTOTAL(9,BB10:BB204)</x:f>
        <x:v>0</x:v>
      </x:c>
      <x:c r="BC7" s="637" t="n">
        <x:f>SUBTOTAL(9,BC10:BC204)</x:f>
        <x:v>0</x:v>
      </x:c>
      <x:c r="BD7" s="637" t="n">
        <x:f>SUBTOTAL(9,BD10:BD204)</x:f>
        <x:v>0</x:v>
      </x:c>
      <x:c r="BE7" s="637" t="n">
        <x:f>SUBTOTAL(9,BE10:BE204)</x:f>
        <x:v>0</x:v>
      </x:c>
      <x:c r="BF7" s="637" t="n">
        <x:f>SUBTOTAL(9,BF10:BF204)</x:f>
        <x:v>0</x:v>
      </x:c>
      <x:c r="BG7" s="637" t="n">
        <x:f>SUBTOTAL(9,BG10:BG204)</x:f>
        <x:v>0</x:v>
      </x:c>
      <x:c r="BH7" s="637" t="n">
        <x:f>SUBTOTAL(9,BH10:BH204)</x:f>
        <x:v>0</x:v>
      </x:c>
      <x:c r="BI7" s="637" t="n">
        <x:f>SUBTOTAL(9,BI10:BI204)</x:f>
        <x:v>0</x:v>
      </x:c>
      <x:c r="BJ7" s="637" t="n">
        <x:f>SUBTOTAL(9,BJ10:BJ204)</x:f>
        <x:v>0</x:v>
      </x:c>
      <x:c r="BK7" s="637" t="n">
        <x:f>SUBTOTAL(9,BK10:BK204)</x:f>
        <x:v>0</x:v>
      </x:c>
      <x:c r="BL7" s="637" t="n">
        <x:f>SUBTOTAL(9,BL10:BL204)</x:f>
        <x:v>0</x:v>
      </x:c>
      <x:c r="BM7" s="637" t="n">
        <x:f>SUBTOTAL(9,BM10:BM204)</x:f>
        <x:v>0</x:v>
      </x:c>
      <x:c r="BN7" s="637" t="n">
        <x:f>SUBTOTAL(9,BN10:BN204)</x:f>
        <x:v>0</x:v>
      </x:c>
      <x:c r="BO7" s="637" t="n">
        <x:f>SUBTOTAL(9,BO10:BO204)</x:f>
        <x:v>0</x:v>
      </x:c>
      <x:c r="BP7" s="637" t="n">
        <x:f>SUBTOTAL(9,BP10:BP204)</x:f>
        <x:v>0</x:v>
      </x:c>
      <x:c r="BQ7" s="637" t="n">
        <x:f>SUBTOTAL(9,BQ10:BQ204)</x:f>
        <x:v>0</x:v>
      </x:c>
      <x:c r="BR7" s="637" t="n">
        <x:f>SUBTOTAL(9,BR10:BR204)</x:f>
        <x:v>0</x:v>
      </x:c>
      <x:c r="BS7" s="637" t="n">
        <x:f>SUBTOTAL(9,BS10:BS204)</x:f>
        <x:v>0</x:v>
      </x:c>
      <x:c r="BT7" s="637" t="n">
        <x:f>SUBTOTAL(9,BT10:BT204)</x:f>
        <x:v>0</x:v>
      </x:c>
      <x:c r="BU7" s="637" t="n">
        <x:f>SUBTOTAL(9,BU10:BU204)</x:f>
        <x:v>0</x:v>
      </x:c>
      <x:c r="BV7" s="637" t="n">
        <x:f>SUBTOTAL(9,BV10:BV204)</x:f>
        <x:v>0</x:v>
      </x:c>
      <x:c r="BW7" s="637" t="n">
        <x:f>SUBTOTAL(9,BW10:BW204)</x:f>
        <x:v>0</x:v>
      </x:c>
      <x:c r="BX7" s="637" t="n">
        <x:f>SUBTOTAL(9,BX10:BX204)</x:f>
        <x:v>0</x:v>
      </x:c>
      <x:c r="BY7" s="637" t="n">
        <x:f>SUBTOTAL(9,BY10:BY204)</x:f>
        <x:v>0</x:v>
      </x:c>
      <x:c r="BZ7" s="637" t="n">
        <x:f>SUBTOTAL(9,BZ10:BZ204)</x:f>
        <x:v>0</x:v>
      </x:c>
      <x:c r="CA7" s="637" t="n">
        <x:f>SUBTOTAL(9,CA10:CA204)</x:f>
        <x:v>0</x:v>
      </x:c>
      <x:c r="CB7" s="637" t="n">
        <x:f>SUBTOTAL(9,CB10:CB204)</x:f>
        <x:v>0</x:v>
      </x:c>
      <x:c r="CC7" s="637" t="n">
        <x:f>SUBTOTAL(9,CC10:CC204)</x:f>
        <x:v>0</x:v>
      </x:c>
      <x:c r="CD7" s="637" t="n">
        <x:f>SUBTOTAL(9,CD10:CD204)</x:f>
        <x:v>0</x:v>
      </x:c>
      <x:c r="CE7" s="637" t="n">
        <x:f>SUBTOTAL(9,CE10:CE204)</x:f>
        <x:v>0</x:v>
      </x:c>
      <x:c r="CF7" s="637" t="n">
        <x:f>SUBTOTAL(9,CF10:CF204)</x:f>
        <x:v>0</x:v>
      </x:c>
      <x:c r="CG7" s="637" t="n">
        <x:f>SUBTOTAL(9,CG10:CG204)</x:f>
        <x:v>0</x:v>
      </x:c>
      <x:c r="CH7" s="637" t="n">
        <x:f>SUBTOTAL(9,CH10:CH204)</x:f>
        <x:v>0</x:v>
      </x:c>
      <x:c r="CI7" s="637" t="n">
        <x:f>SUBTOTAL(9,CI10:CI204)</x:f>
        <x:v>0</x:v>
      </x:c>
      <x:c r="CJ7" s="637" t="n">
        <x:f>SUBTOTAL(9,CJ10:CJ204)</x:f>
        <x:v>0</x:v>
      </x:c>
      <x:c r="CK7" s="637" t="n">
        <x:f>SUBTOTAL(9,CK10:CK204)</x:f>
        <x:v>0</x:v>
      </x:c>
      <x:c r="CL7" s="637" t="n">
        <x:f>SUBTOTAL(9,CL10:CL204)</x:f>
        <x:v>0</x:v>
      </x:c>
      <x:c r="CM7" s="637" t="n">
        <x:f>SUBTOTAL(9,CM10:CM204)</x:f>
        <x:v>0</x:v>
      </x:c>
      <x:c r="CN7" s="637" t="n">
        <x:f>SUBTOTAL(9,CN10:CN204)</x:f>
        <x:v>0</x:v>
      </x:c>
      <x:c r="CO7" s="637" t="n">
        <x:f>SUBTOTAL(9,CO10:CO204)</x:f>
        <x:v>0</x:v>
      </x:c>
      <x:c r="CP7" s="637" t="n">
        <x:f>SUBTOTAL(9,CP10:CP204)</x:f>
        <x:v>0</x:v>
      </x:c>
      <x:c r="CQ7" s="637" t="n">
        <x:f>SUBTOTAL(9,CQ10:CQ204)</x:f>
        <x:v>0</x:v>
      </x:c>
      <x:c r="CR7" s="637" t="n">
        <x:f>SUBTOTAL(9,CR10:CR204)</x:f>
        <x:v>0</x:v>
      </x:c>
      <x:c r="CS7" s="637" t="n">
        <x:f>SUBTOTAL(9,CS10:CS204)</x:f>
        <x:v>0</x:v>
      </x:c>
      <x:c r="CT7" s="637" t="n">
        <x:f>SUBTOTAL(9,CT10:CT204)</x:f>
        <x:v>0</x:v>
      </x:c>
      <x:c r="CU7" s="637" t="n">
        <x:f>SUBTOTAL(9,CU10:CU204)</x:f>
        <x:v>0</x:v>
      </x:c>
      <x:c r="CV7" s="637" t="n">
        <x:f>SUBTOTAL(9,CV10:CV204)</x:f>
        <x:v>0</x:v>
      </x:c>
      <x:c r="CW7" s="637" t="n">
        <x:f>SUBTOTAL(9,CW10:CW204)</x:f>
        <x:v>0</x:v>
      </x:c>
      <x:c r="CX7" s="637" t="n">
        <x:f>SUBTOTAL(9,CX10:CX204)</x:f>
        <x:v>0</x:v>
      </x:c>
      <x:c r="CY7" s="637" t="n">
        <x:f>SUBTOTAL(9,CY10:CY204)</x:f>
        <x:v>0</x:v>
      </x:c>
      <x:c r="CZ7" s="637" t="n">
        <x:f>SUBTOTAL(9,CZ10:CZ204)</x:f>
        <x:v>0</x:v>
      </x:c>
      <x:c r="DA7" s="637" t="n">
        <x:f>SUBTOTAL(9,DA10:DA204)</x:f>
        <x:v>0</x:v>
      </x:c>
      <x:c r="DB7" s="637" t="n">
        <x:f>SUBTOTAL(9,DB10:DB204)</x:f>
        <x:v>0</x:v>
      </x:c>
      <x:c r="DC7" s="637" t="n">
        <x:f>SUBTOTAL(9,DC10:DC204)</x:f>
        <x:v>0</x:v>
      </x:c>
      <x:c r="DD7" s="637" t="n">
        <x:f>SUBTOTAL(9,DD10:DD204)</x:f>
        <x:v>0</x:v>
      </x:c>
      <x:c r="DE7" s="637" t="n">
        <x:f>SUBTOTAL(9,DE10:DE204)</x:f>
        <x:v>0</x:v>
      </x:c>
      <x:c r="DF7" s="637" t="n">
        <x:f>SUBTOTAL(9,DF10:DF204)</x:f>
        <x:v>0</x:v>
      </x:c>
      <x:c r="DG7" s="637" t="n">
        <x:f>SUBTOTAL(9,DG10:DG204)</x:f>
        <x:v>0</x:v>
      </x:c>
      <x:c r="DH7" s="637" t="n">
        <x:f>SUBTOTAL(9,DH10:DH204)</x:f>
        <x:v>0</x:v>
      </x:c>
      <x:c r="DI7" s="637" t="n">
        <x:f>SUBTOTAL(9,DI10:DI204)</x:f>
        <x:v>0</x:v>
      </x:c>
      <x:c r="DJ7" s="637" t="n">
        <x:f>SUBTOTAL(9,DJ10:DJ204)</x:f>
        <x:v>0</x:v>
      </x:c>
      <x:c r="DK7" s="637" t="n">
        <x:f>SUBTOTAL(9,DK10:DK204)</x:f>
        <x:v>0</x:v>
      </x:c>
      <x:c r="DL7" s="637" t="n">
        <x:f>SUBTOTAL(9,DL10:DL204)</x:f>
        <x:v>0</x:v>
      </x:c>
      <x:c r="DM7" s="637" t="n">
        <x:f>SUBTOTAL(9,DM10:DM204)</x:f>
        <x:v>0</x:v>
      </x:c>
      <x:c r="DN7" s="637" t="n">
        <x:f>SUBTOTAL(9,DN10:DN204)</x:f>
        <x:v>0</x:v>
      </x:c>
      <x:c r="DO7" s="637" t="n">
        <x:f>SUBTOTAL(9,DO10:DO204)</x:f>
        <x:v>0</x:v>
      </x:c>
      <x:c r="DP7" s="637" t="n">
        <x:f>SUBTOTAL(9,DP10:DP204)</x:f>
        <x:v>0</x:v>
      </x:c>
      <x:c r="DQ7" s="637" t="n">
        <x:f>SUBTOTAL(9,DQ10:DQ204)</x:f>
        <x:v>0</x:v>
      </x:c>
      <x:c r="DR7" s="637" t="n">
        <x:f>SUBTOTAL(9,DR10:DR204)</x:f>
        <x:v>0</x:v>
      </x:c>
      <x:c r="DS7" s="637" t="n">
        <x:f>SUBTOTAL(9,DS10:DS204)</x:f>
        <x:v>0</x:v>
      </x:c>
      <x:c r="DT7" s="637" t="n">
        <x:f>SUBTOTAL(9,DT10:DT204)</x:f>
        <x:v>0</x:v>
      </x:c>
      <x:c r="DU7" s="637" t="n">
        <x:f>SUBTOTAL(9,DU10:DU204)</x:f>
        <x:v>0</x:v>
      </x:c>
      <x:c r="DV7" s="637" t="n">
        <x:f>SUBTOTAL(9,DV10:DV204)</x:f>
        <x:v>0</x:v>
      </x:c>
      <x:c r="DW7" s="637" t="n">
        <x:f>SUBTOTAL(9,DW10:DW204)</x:f>
        <x:v>0</x:v>
      </x:c>
      <x:c r="DX7" s="637" t="n">
        <x:f>SUBTOTAL(9,DX10:DX204)</x:f>
        <x:v>0</x:v>
      </x:c>
      <x:c r="DY7" s="637" t="n">
        <x:f>SUBTOTAL(9,DY10:DY204)</x:f>
        <x:v>0</x:v>
      </x:c>
      <x:c r="DZ7" s="637" t="n">
        <x:f>SUBTOTAL(9,DZ10:DZ204)</x:f>
        <x:v>0</x:v>
      </x:c>
      <x:c r="EA7" s="637" t="n">
        <x:f>SUBTOTAL(9,EA10:EA204)</x:f>
        <x:v>0</x:v>
      </x:c>
      <x:c r="EB7" s="637" t="n">
        <x:f>SUBTOTAL(9,EB10:EB204)</x:f>
        <x:v>0</x:v>
      </x:c>
      <x:c r="EC7" s="637" t="n">
        <x:f>SUBTOTAL(9,EC10:EC204)</x:f>
        <x:v>0</x:v>
      </x:c>
      <x:c r="ED7" s="637" t="n">
        <x:f>SUBTOTAL(9,ED10:ED204)</x:f>
        <x:v>0</x:v>
      </x:c>
      <x:c r="EE7" s="637" t="n">
        <x:f>SUBTOTAL(9,EE10:EE204)</x:f>
        <x:v>0</x:v>
      </x:c>
      <x:c r="EF7" s="637" t="n">
        <x:f>SUBTOTAL(9,EF10:EF204)</x:f>
        <x:v>0</x:v>
      </x:c>
      <x:c r="EG7" s="637" t="n">
        <x:f>SUBTOTAL(9,EG10:EG204)</x:f>
        <x:v>0</x:v>
      </x:c>
      <x:c r="EH7" s="637" t="n">
        <x:f>SUBTOTAL(9,EH10:EH204)</x:f>
        <x:v>0</x:v>
      </x:c>
      <x:c r="EI7" s="637" t="n">
        <x:f>SUBTOTAL(9,EI10:EI204)</x:f>
        <x:v>0</x:v>
      </x:c>
      <x:c r="EJ7" s="637" t="n">
        <x:f>SUBTOTAL(9,EJ10:EJ204)</x:f>
        <x:v>0</x:v>
      </x:c>
      <x:c r="EK7" s="637" t="n">
        <x:f>SUBTOTAL(9,EK10:EK204)</x:f>
        <x:v>0</x:v>
      </x:c>
      <x:c r="EL7" s="637" t="n">
        <x:f>SUBTOTAL(9,EL10:EL204)</x:f>
        <x:v>0</x:v>
      </x:c>
      <x:c r="EM7" s="637" t="n">
        <x:f>SUBTOTAL(9,EM10:EM204)</x:f>
        <x:v>0</x:v>
      </x:c>
      <x:c r="EN7" s="637" t="n">
        <x:f>SUBTOTAL(9,EN10:EN204)</x:f>
        <x:v>0</x:v>
      </x:c>
      <x:c r="EO7" s="637" t="n">
        <x:f>SUBTOTAL(9,EO10:EO204)</x:f>
        <x:v>0</x:v>
      </x:c>
      <x:c r="EP7" s="637" t="n">
        <x:f>SUBTOTAL(9,EP10:EP204)</x:f>
        <x:v>0</x:v>
      </x:c>
      <x:c r="EQ7" s="637" t="n">
        <x:f>SUBTOTAL(9,EQ10:EQ204)</x:f>
        <x:v>0</x:v>
      </x:c>
      <x:c r="ER7" s="637" t="n">
        <x:f>SUBTOTAL(9,ER10:ER204)</x:f>
        <x:v>0</x:v>
      </x:c>
      <x:c r="ES7" s="637" t="n">
        <x:f>SUBTOTAL(9,ES10:ES204)</x:f>
        <x:v>0</x:v>
      </x:c>
      <x:c r="ET7" s="637" t="n">
        <x:f>SUBTOTAL(9,ET10:ET204)</x:f>
        <x:v>0</x:v>
      </x:c>
      <x:c r="EU7" s="637" t="n">
        <x:f>SUBTOTAL(9,EU10:EU204)</x:f>
        <x:v>0</x:v>
      </x:c>
      <x:c r="EV7" s="637" t="n">
        <x:f>SUBTOTAL(9,EV10:EV204)</x:f>
        <x:v>0</x:v>
      </x:c>
      <x:c r="EW7" s="637" t="n">
        <x:f>SUBTOTAL(9,EW10:EW204)</x:f>
        <x:v>0</x:v>
      </x:c>
      <x:c r="EX7" s="637" t="n">
        <x:f>SUBTOTAL(9,EX10:EX204)</x:f>
        <x:v>0</x:v>
      </x:c>
      <x:c r="EY7" s="637" t="n">
        <x:f>SUBTOTAL(9,EY10:EY204)</x:f>
        <x:v>0</x:v>
      </x:c>
      <x:c r="EZ7" s="637" t="n">
        <x:f>SUBTOTAL(9,EZ10:EZ204)</x:f>
        <x:v>0</x:v>
      </x:c>
      <x:c r="FA7" s="637" t="n">
        <x:f>SUBTOTAL(9,FA10:FA204)</x:f>
        <x:v>0</x:v>
      </x:c>
      <x:c r="FB7" s="637" t="n">
        <x:f>SUBTOTAL(9,FB10:FB204)</x:f>
        <x:v>0</x:v>
      </x:c>
      <x:c r="FC7" s="637" t="n">
        <x:f>SUBTOTAL(9,FC10:FC204)</x:f>
        <x:v>0</x:v>
      </x:c>
      <x:c r="FD7" s="637" t="n">
        <x:f>SUBTOTAL(9,FD10:FD204)</x:f>
        <x:v>0</x:v>
      </x:c>
      <x:c r="FE7" s="637" t="n">
        <x:f>SUBTOTAL(9,FE10:FE204)</x:f>
        <x:v>0</x:v>
      </x:c>
      <x:c r="FF7" s="637" t="n">
        <x:f>SUBTOTAL(9,FF10:FF204)</x:f>
        <x:v>0</x:v>
      </x:c>
      <x:c r="FG7" s="637" t="n">
        <x:f>SUBTOTAL(9,FG10:FG204)</x:f>
        <x:v>0</x:v>
      </x:c>
      <x:c r="FH7" s="637" t="n">
        <x:f>SUBTOTAL(9,FH10:FH204)</x:f>
        <x:v>0</x:v>
      </x:c>
      <x:c r="FI7" s="637" t="n">
        <x:f>SUBTOTAL(9,FI10:FI204)</x:f>
        <x:v>0</x:v>
      </x:c>
      <x:c r="FJ7" s="637" t="n">
        <x:f>SUBTOTAL(9,FJ10:FJ204)</x:f>
        <x:v>0</x:v>
      </x:c>
      <x:c r="FK7" s="637" t="n">
        <x:f>SUBTOTAL(9,FK10:FK204)</x:f>
        <x:v>0</x:v>
      </x:c>
      <x:c r="FL7" s="637" t="n">
        <x:f>SUBTOTAL(9,FL10:FL204)</x:f>
        <x:v>0</x:v>
      </x:c>
      <x:c r="FM7" s="637" t="n">
        <x:f>SUBTOTAL(9,FM10:FM204)</x:f>
        <x:v>0</x:v>
      </x:c>
      <x:c r="FN7" s="637" t="n">
        <x:f>SUBTOTAL(9,FN10:FN204)</x:f>
        <x:v>0</x:v>
      </x:c>
      <x:c r="FO7" s="637" t="n">
        <x:f>SUBTOTAL(9,FO10:FO204)</x:f>
        <x:v>0</x:v>
      </x:c>
      <x:c r="FP7" s="637" t="n">
        <x:f>SUBTOTAL(9,FP10:FP204)</x:f>
        <x:v>0</x:v>
      </x:c>
      <x:c r="FQ7" s="637" t="n">
        <x:f>SUBTOTAL(9,FQ10:FQ204)</x:f>
        <x:v>0</x:v>
      </x:c>
      <x:c r="FR7" s="637" t="n">
        <x:f>SUBTOTAL(9,FR10:FR204)</x:f>
        <x:v>0</x:v>
      </x:c>
      <x:c r="FS7" s="637" t="n">
        <x:f>SUBTOTAL(9,FS10:FS204)</x:f>
        <x:v>0</x:v>
      </x:c>
      <x:c r="FT7" s="637" t="n">
        <x:f>SUBTOTAL(9,FT10:FT204)</x:f>
        <x:v>0</x:v>
      </x:c>
      <x:c r="FU7" s="637" t="n">
        <x:f>SUBTOTAL(9,FU10:FU204)</x:f>
        <x:v>0</x:v>
      </x:c>
      <x:c r="FV7" s="637" t="n">
        <x:f>SUBTOTAL(9,FV10:FV204)</x:f>
        <x:v>0</x:v>
      </x:c>
      <x:c r="FW7" s="637" t="n">
        <x:f>SUBTOTAL(9,FW10:FW204)</x:f>
        <x:v>0</x:v>
      </x:c>
      <x:c r="FX7" s="637" t="n">
        <x:f>SUBTOTAL(9,FX10:FX204)</x:f>
        <x:v>0</x:v>
      </x:c>
      <x:c r="FY7" s="637" t="n">
        <x:f>SUBTOTAL(9,FY10:FY204)</x:f>
        <x:v>0</x:v>
      </x:c>
      <x:c r="FZ7" s="637" t="n">
        <x:f>SUBTOTAL(9,FZ10:FZ204)</x:f>
        <x:v>0</x:v>
      </x:c>
      <x:c r="GA7" s="637" t="n">
        <x:f>SUBTOTAL(9,GA10:GA204)</x:f>
        <x:v>0</x:v>
      </x:c>
    </x:row>
    <x:row r="8" s="26" customFormat="1" ht="14.25" customHeight="1">
      <x:c r="A8" s="52" t="inlineStr">
        <x:is>
          <x:t xml:space="preserve">NOTES</x:t>
        </x:is>
      </x:c>
      <x:c r="B8" s="639" t="n"/>
      <x:c r="C8" s="51" t="inlineStr">
        <x:is>
          <x:t xml:space="preserve">NET ACRES</x:t>
        </x:is>
      </x:c>
      <x:c r="D8" s="50" t="inlineStr">
        <x:is>
          <x:t xml:space="preserve">OWNERS</x:t>
        </x:is>
      </x:c>
      <x:c r="E8" s="49" t="inlineStr">
        <x:is>
          <x:t xml:space="preserve">TOTAL </x:t>
        </x:is>
      </x:c>
      <x:c r="F8" s="640" t="n"/>
      <x:c r="G8" s="641" t="n"/>
      <x:c r="H8" s="642" t="n"/>
      <x:c r="I8" s="642" t="n"/>
      <x:c r="J8" s="642" t="n"/>
      <x:c r="K8" s="642" t="n"/>
      <x:c r="L8" s="642" t="n"/>
      <x:c r="M8" s="642" t="n"/>
      <x:c r="N8" s="642" t="n"/>
      <x:c r="O8" s="642" t="n"/>
      <x:c r="P8" s="642" t="n"/>
      <x:c r="Q8" s="642" t="n"/>
      <x:c r="R8" s="642" t="n"/>
      <x:c r="S8" s="642" t="n"/>
      <x:c r="T8" s="642" t="n"/>
      <x:c r="U8" s="642" t="n"/>
      <x:c r="V8" s="642" t="n"/>
      <x:c r="W8" s="642" t="n"/>
      <x:c r="X8" s="642" t="n"/>
      <x:c r="Y8" s="642" t="n"/>
      <x:c r="Z8" s="642" t="n"/>
      <x:c r="AA8" s="642" t="n"/>
      <x:c r="AB8" s="642" t="n"/>
      <x:c r="AC8" s="642" t="n"/>
      <x:c r="AD8" s="642" t="n"/>
      <x:c r="AE8" s="642" t="n"/>
      <x:c r="AF8" s="642" t="n"/>
      <x:c r="AG8" s="642" t="n"/>
      <x:c r="AH8" s="642" t="n"/>
      <x:c r="AI8" s="642" t="n"/>
      <x:c r="AJ8" s="642" t="n"/>
      <x:c r="AK8" s="642" t="n"/>
      <x:c r="AL8" s="642" t="n"/>
      <x:c r="AM8" s="642" t="n"/>
      <x:c r="AN8" s="642" t="n"/>
      <x:c r="AO8" s="642" t="n"/>
      <x:c r="AP8" s="642" t="n"/>
      <x:c r="AQ8" s="642" t="n"/>
      <x:c r="AR8" s="642" t="n"/>
      <x:c r="AS8" s="642" t="n"/>
      <x:c r="AT8" s="642" t="n"/>
      <x:c r="AU8" s="642" t="n"/>
      <x:c r="AV8" s="642" t="n"/>
      <x:c r="AW8" s="642" t="n"/>
      <x:c r="AX8" s="642" t="n"/>
      <x:c r="AY8" s="642" t="n"/>
      <x:c r="AZ8" s="642" t="n"/>
      <x:c r="BA8" s="642" t="n"/>
      <x:c r="BB8" s="642" t="n"/>
      <x:c r="BC8" s="642" t="n"/>
      <x:c r="BD8" s="642" t="n"/>
      <x:c r="BE8" s="642" t="n"/>
      <x:c r="BF8" s="642" t="n"/>
      <x:c r="BG8" s="642" t="n"/>
      <x:c r="BH8" s="642" t="n"/>
      <x:c r="BI8" s="642" t="n"/>
      <x:c r="BJ8" s="642" t="n"/>
      <x:c r="BK8" s="642" t="n"/>
      <x:c r="BL8" s="642" t="n"/>
      <x:c r="BM8" s="642" t="n"/>
      <x:c r="BN8" s="642" t="n"/>
      <x:c r="BO8" s="642" t="n"/>
      <x:c r="BP8" s="642" t="n"/>
      <x:c r="BQ8" s="642" t="n"/>
      <x:c r="BR8" s="642" t="n"/>
      <x:c r="BS8" s="642" t="n"/>
      <x:c r="BT8" s="642" t="n"/>
      <x:c r="BU8" s="642" t="n"/>
      <x:c r="BV8" s="642" t="n"/>
      <x:c r="BW8" s="642" t="n"/>
      <x:c r="BX8" s="642" t="n"/>
      <x:c r="BY8" s="642" t="n"/>
      <x:c r="BZ8" s="642" t="n"/>
      <x:c r="CA8" s="642" t="n"/>
      <x:c r="CB8" s="642" t="n"/>
      <x:c r="CC8" s="642" t="n"/>
      <x:c r="CD8" s="642" t="n"/>
      <x:c r="CE8" s="642" t="n"/>
      <x:c r="CF8" s="642" t="n"/>
      <x:c r="CG8" s="642" t="n"/>
      <x:c r="CH8" s="642" t="n"/>
      <x:c r="CI8" s="642" t="n"/>
      <x:c r="CJ8" s="642" t="n"/>
      <x:c r="CK8" s="642" t="n"/>
      <x:c r="CL8" s="642" t="n"/>
      <x:c r="CM8" s="642" t="n"/>
      <x:c r="CN8" s="642" t="n"/>
      <x:c r="CO8" s="642" t="n"/>
      <x:c r="CP8" s="642" t="n"/>
      <x:c r="CQ8" s="642" t="n"/>
      <x:c r="CR8" s="642" t="n"/>
      <x:c r="CS8" s="642" t="n"/>
      <x:c r="CT8" s="642" t="n"/>
      <x:c r="CU8" s="642" t="n"/>
      <x:c r="CV8" s="642" t="n"/>
      <x:c r="CW8" s="642" t="n"/>
      <x:c r="CX8" s="642" t="n"/>
      <x:c r="CY8" s="642" t="n"/>
      <x:c r="CZ8" s="642" t="n"/>
      <x:c r="DA8" s="642" t="n"/>
      <x:c r="DB8" s="642" t="n"/>
      <x:c r="DC8" s="642" t="n"/>
      <x:c r="DD8" s="642" t="n"/>
      <x:c r="DE8" s="642" t="n"/>
      <x:c r="DF8" s="642" t="n"/>
      <x:c r="DG8" s="642" t="n"/>
      <x:c r="DH8" s="642" t="n"/>
      <x:c r="DI8" s="642" t="n"/>
      <x:c r="DJ8" s="642" t="n"/>
      <x:c r="DK8" s="642" t="n"/>
      <x:c r="DL8" s="642" t="n"/>
      <x:c r="DM8" s="642" t="n"/>
      <x:c r="DN8" s="642" t="n"/>
      <x:c r="DO8" s="642" t="n"/>
      <x:c r="DP8" s="642" t="n"/>
      <x:c r="DQ8" s="642" t="n"/>
      <x:c r="DR8" s="642" t="n"/>
      <x:c r="DS8" s="642" t="n"/>
      <x:c r="DT8" s="642" t="n"/>
      <x:c r="DU8" s="642" t="n"/>
      <x:c r="DV8" s="642" t="n"/>
      <x:c r="DW8" s="642" t="n"/>
      <x:c r="DX8" s="642" t="n"/>
      <x:c r="DY8" s="642" t="n"/>
      <x:c r="DZ8" s="642" t="n"/>
      <x:c r="EA8" s="642" t="n"/>
      <x:c r="EB8" s="642" t="n"/>
      <x:c r="EC8" s="642" t="n"/>
      <x:c r="ED8" s="642" t="n"/>
      <x:c r="EE8" s="642" t="n"/>
      <x:c r="EF8" s="642" t="n"/>
      <x:c r="EG8" s="642" t="n"/>
      <x:c r="EH8" s="642" t="n"/>
      <x:c r="EI8" s="642" t="n"/>
      <x:c r="EJ8" s="642" t="n"/>
      <x:c r="EK8" s="642" t="n"/>
      <x:c r="EL8" s="642" t="n"/>
      <x:c r="EM8" s="642" t="n"/>
      <x:c r="EN8" s="642" t="n"/>
      <x:c r="EO8" s="642" t="n"/>
      <x:c r="EP8" s="642" t="n"/>
      <x:c r="EQ8" s="642" t="n"/>
      <x:c r="ER8" s="642" t="n"/>
      <x:c r="ES8" s="642" t="n"/>
      <x:c r="ET8" s="642" t="n"/>
      <x:c r="EU8" s="642" t="n"/>
      <x:c r="EV8" s="642" t="n"/>
      <x:c r="EW8" s="642" t="n"/>
      <x:c r="EX8" s="642" t="n"/>
      <x:c r="EY8" s="642" t="n"/>
      <x:c r="EZ8" s="642" t="n"/>
      <x:c r="FA8" s="642" t="n"/>
      <x:c r="FB8" s="642" t="n"/>
      <x:c r="FC8" s="642" t="n"/>
      <x:c r="FD8" s="642" t="n"/>
      <x:c r="FE8" s="642" t="n"/>
      <x:c r="FF8" s="642" t="n"/>
      <x:c r="FG8" s="642" t="n"/>
      <x:c r="FH8" s="642" t="n"/>
      <x:c r="FI8" s="642" t="n"/>
      <x:c r="FJ8" s="642" t="n"/>
      <x:c r="FK8" s="642" t="n"/>
      <x:c r="FL8" s="642" t="n"/>
      <x:c r="FM8" s="642" t="n"/>
      <x:c r="FN8" s="642" t="n"/>
      <x:c r="FO8" s="642" t="n"/>
      <x:c r="FP8" s="642" t="n"/>
      <x:c r="FQ8" s="642" t="n"/>
      <x:c r="FR8" s="642" t="n"/>
      <x:c r="FS8" s="642" t="n"/>
      <x:c r="FT8" s="642" t="n"/>
      <x:c r="FU8" s="642" t="n"/>
      <x:c r="FV8" s="642" t="n"/>
      <x:c r="FW8" s="642" t="n"/>
      <x:c r="FX8" s="642" t="n"/>
      <x:c r="FY8" s="642" t="n"/>
      <x:c r="FZ8" s="642" t="n"/>
      <x:c r="GA8" s="642" t="n"/>
    </x:row>
    <x:row r="9" s="40" customFormat="1" ht="12.75" customHeight="1">
      <x:c r="A9" s="48" t="n"/>
      <x:c r="B9" s="47" t="n"/>
      <x:c r="C9" s="45" t="n"/>
      <x:c r="D9" s="46" t="n"/>
      <x:c r="E9" s="45" t="n"/>
      <x:c r="F9" s="44" t="n"/>
      <x:c r="G9" s="43" t="n"/>
      <x:c r="H9" s="41" t="n"/>
      <x:c r="I9" s="42" t="n"/>
      <x:c r="J9" s="41" t="n"/>
      <x:c r="K9" s="41" t="n"/>
      <x:c r="L9" s="41" t="n"/>
      <x:c r="M9" s="41" t="n"/>
      <x:c r="N9" s="41" t="n"/>
      <x:c r="O9" s="41" t="n"/>
      <x:c r="P9" s="41" t="n"/>
      <x:c r="Q9" s="41" t="n"/>
      <x:c r="R9" s="99" t="n"/>
      <x:c r="S9" s="99" t="n"/>
      <x:c r="T9" s="41" t="n"/>
      <x:c r="U9" s="41" t="n"/>
      <x:c r="V9" s="41" t="n"/>
      <x:c r="W9" s="41" t="n"/>
      <x:c r="X9" s="41" t="n"/>
      <x:c r="Y9" s="41" t="n"/>
      <x:c r="Z9" s="41" t="n"/>
      <x:c r="AA9" s="41" t="n"/>
      <x:c r="AB9" s="41" t="n"/>
      <x:c r="AC9" s="41" t="n"/>
      <x:c r="AD9" s="41" t="n"/>
      <x:c r="AE9" s="99" t="n"/>
      <x:c r="AF9" s="99" t="n"/>
      <x:c r="AG9" s="99" t="n"/>
      <x:c r="AH9" s="99" t="n"/>
      <x:c r="AI9" s="99" t="n"/>
      <x:c r="AJ9" s="99" t="n"/>
      <x:c r="AK9" s="99" t="n"/>
      <x:c r="AL9" s="41" t="n"/>
      <x:c r="AM9" s="99" t="n"/>
      <x:c r="AN9" s="41" t="n"/>
      <x:c r="AO9" s="99" t="n"/>
      <x:c r="AP9" s="41" t="n"/>
      <x:c r="AQ9" s="41" t="n"/>
      <x:c r="AR9" s="41" t="n"/>
      <x:c r="AS9" s="41" t="n"/>
      <x:c r="AT9" s="41" t="n"/>
      <x:c r="AU9" s="41" t="n"/>
      <x:c r="AV9" s="41" t="n"/>
      <x:c r="AW9" s="41" t="n"/>
      <x:c r="AX9" s="41" t="n"/>
      <x:c r="AY9" s="41" t="n"/>
      <x:c r="AZ9" s="41" t="n"/>
      <x:c r="BA9" s="41" t="n"/>
      <x:c r="BB9" s="41" t="n"/>
      <x:c r="BC9" s="41" t="n"/>
      <x:c r="BD9" s="41" t="n"/>
      <x:c r="BE9" s="41" t="n"/>
      <x:c r="BF9" s="41" t="n"/>
      <x:c r="BG9" s="41" t="n"/>
      <x:c r="BH9" s="41" t="n"/>
      <x:c r="BI9" s="41" t="n"/>
      <x:c r="BJ9" s="41" t="n"/>
      <x:c r="BK9" s="41" t="n"/>
      <x:c r="BL9" s="41" t="n"/>
      <x:c r="BM9" s="41" t="n"/>
      <x:c r="BN9" s="41" t="n"/>
      <x:c r="BO9" s="41" t="n"/>
      <x:c r="BP9" s="41" t="n"/>
      <x:c r="BQ9" s="41" t="n"/>
      <x:c r="BR9" s="41" t="n"/>
      <x:c r="BS9" s="41" t="n"/>
      <x:c r="BT9" s="41" t="n"/>
      <x:c r="BU9" s="41" t="n"/>
      <x:c r="BV9" s="41" t="n"/>
      <x:c r="BW9" s="41" t="n"/>
      <x:c r="BX9" s="41" t="n"/>
      <x:c r="BY9" s="41" t="n"/>
      <x:c r="BZ9" s="41" t="n"/>
      <x:c r="CA9" s="41" t="n"/>
      <x:c r="CB9" s="41" t="n"/>
      <x:c r="CC9" s="41" t="n"/>
      <x:c r="CD9" s="41" t="n"/>
      <x:c r="CE9" s="41" t="n"/>
      <x:c r="CF9" s="41" t="n"/>
      <x:c r="CG9" s="41" t="n"/>
      <x:c r="CH9" s="41" t="n"/>
      <x:c r="CI9" s="41" t="n"/>
      <x:c r="CJ9" s="41" t="n"/>
      <x:c r="CK9" s="41" t="n"/>
      <x:c r="CL9" s="41" t="n"/>
      <x:c r="CM9" s="41" t="n"/>
      <x:c r="CN9" s="41" t="n"/>
      <x:c r="CO9" s="41" t="n"/>
      <x:c r="CP9" s="41" t="n"/>
      <x:c r="CQ9" s="41" t="n"/>
      <x:c r="CR9" s="41" t="n"/>
      <x:c r="CS9" s="41" t="n"/>
      <x:c r="CT9" s="41" t="n"/>
      <x:c r="CU9" s="41" t="n"/>
      <x:c r="CV9" s="41" t="n"/>
      <x:c r="CW9" s="41" t="n"/>
      <x:c r="CX9" s="41" t="n"/>
      <x:c r="CY9" s="41" t="n"/>
      <x:c r="CZ9" s="41" t="n"/>
      <x:c r="DA9" s="41" t="n"/>
      <x:c r="DB9" s="41" t="n"/>
      <x:c r="DC9" s="41" t="n"/>
      <x:c r="DD9" s="41" t="n"/>
      <x:c r="DE9" s="41" t="n"/>
      <x:c r="DF9" s="41" t="n"/>
      <x:c r="DG9" s="41" t="n"/>
      <x:c r="DH9" s="41" t="n"/>
      <x:c r="DI9" s="41" t="n"/>
      <x:c r="DJ9" s="41" t="n"/>
      <x:c r="DK9" s="41" t="n"/>
      <x:c r="DL9" s="41" t="n"/>
      <x:c r="DM9" s="41" t="n"/>
      <x:c r="DN9" s="41" t="n"/>
      <x:c r="DO9" s="41" t="n"/>
      <x:c r="DP9" s="41" t="n"/>
      <x:c r="DQ9" s="41" t="n"/>
      <x:c r="DR9" s="41" t="n"/>
      <x:c r="DS9" s="41" t="n"/>
      <x:c r="DT9" s="41" t="n"/>
      <x:c r="DU9" s="41" t="n"/>
      <x:c r="DV9" s="41" t="n"/>
      <x:c r="DW9" s="41" t="n"/>
      <x:c r="DX9" s="41" t="n"/>
      <x:c r="DY9" s="41" t="n"/>
      <x:c r="DZ9" s="41" t="n"/>
      <x:c r="EA9" s="41" t="n"/>
      <x:c r="EB9" s="41" t="n"/>
      <x:c r="EC9" s="41" t="n"/>
      <x:c r="ED9" s="41" t="n"/>
      <x:c r="EE9" s="41" t="n"/>
      <x:c r="EF9" s="41" t="n"/>
      <x:c r="EG9" s="41" t="n"/>
      <x:c r="EH9" s="41" t="n"/>
      <x:c r="EI9" s="41" t="n"/>
      <x:c r="EJ9" s="41" t="n"/>
      <x:c r="EK9" s="41" t="n"/>
      <x:c r="EL9" s="41" t="n"/>
      <x:c r="EM9" s="41" t="n"/>
      <x:c r="EN9" s="41" t="n"/>
      <x:c r="EO9" s="41" t="n"/>
      <x:c r="EP9" s="41" t="n"/>
      <x:c r="EQ9" s="41" t="n"/>
      <x:c r="ER9" s="41" t="n"/>
      <x:c r="ES9" s="41" t="n"/>
      <x:c r="ET9" s="41" t="n"/>
      <x:c r="EU9" s="41" t="n"/>
      <x:c r="EV9" s="41" t="n"/>
      <x:c r="EW9" s="41" t="n"/>
      <x:c r="EX9" s="41" t="n"/>
      <x:c r="EY9" s="41" t="n"/>
      <x:c r="EZ9" s="41" t="n"/>
      <x:c r="FA9" s="41" t="n"/>
      <x:c r="FB9" s="41" t="n"/>
      <x:c r="FC9" s="41" t="n"/>
      <x:c r="FD9" s="41" t="n"/>
      <x:c r="FE9" s="41" t="n"/>
      <x:c r="FF9" s="41" t="n"/>
      <x:c r="FG9" s="41" t="n"/>
      <x:c r="FH9" s="41" t="n"/>
      <x:c r="FI9" s="41" t="n"/>
      <x:c r="FJ9" s="41" t="n"/>
      <x:c r="FK9" s="41" t="n"/>
      <x:c r="FL9" s="41" t="n"/>
      <x:c r="FM9" s="41" t="n"/>
      <x:c r="FN9" s="41" t="n"/>
      <x:c r="FO9" s="41" t="n"/>
      <x:c r="FP9" s="41" t="n"/>
      <x:c r="FQ9" s="41" t="n"/>
      <x:c r="FR9" s="41" t="n"/>
      <x:c r="FS9" s="41" t="n"/>
      <x:c r="FT9" s="41" t="n"/>
      <x:c r="FU9" s="41" t="n"/>
      <x:c r="FV9" s="41" t="n"/>
      <x:c r="FW9" s="41" t="n"/>
      <x:c r="FX9" s="41" t="n"/>
      <x:c r="FY9" s="41" t="n"/>
      <x:c r="FZ9" s="41" t="n"/>
      <x:c r="GA9" s="41" t="n"/>
    </x:row>
    <x:row r="10" s="27" customFormat="1">
      <x:c r="A10" s="38" t="n"/>
      <x:c r="B10" s="37" t="n"/>
      <x:c r="C10" s="36" t="n">
        <x:f>E10*D$5</x:f>
        <x:v>0</x:v>
      </x:c>
      <x:c r="D10" s="333" t="inlineStr">
        <x:is>
          <x:t xml:space="preserve">Elmo W. Kirk and Freeda Kirk</x:t>
        </x:is>
      </x:c>
      <x:c r="E10" s="36" t="n">
        <x:f>SUM(G10:HT10)</x:f>
        <x:v>0</x:v>
      </x:c>
      <x:c r="F10" s="306" t="n"/>
      <x:c r="G10" s="305" t="n">
        <x:v>1</x:v>
      </x:c>
      <x:c r="H10" s="304" t="n"/>
      <x:c r="I10" s="304" t="n"/>
      <x:c r="J10" s="304" t="n"/>
      <x:c r="K10" s="122" t="n"/>
      <x:c r="L10" s="121" t="n"/>
      <x:c r="M10" s="121" t="n"/>
      <x:c r="N10" s="121" t="n"/>
      <x:c r="O10" s="121" t="n"/>
      <x:c r="P10" s="121" t="n"/>
      <x:c r="Q10" s="121" t="n"/>
      <x:c r="R10" s="123" t="n"/>
      <x:c r="S10" s="123" t="n"/>
      <x:c r="T10" s="121" t="n">
        <x:v>-1</x:v>
      </x:c>
      <x:c r="U10" s="121" t="n"/>
      <x:c r="V10" s="121" t="n"/>
      <x:c r="W10" s="121" t="n"/>
      <x:c r="X10" s="121" t="n"/>
      <x:c r="Y10" s="121" t="n"/>
      <x:c r="Z10" s="121" t="n"/>
      <x:c r="AA10" s="121" t="n"/>
      <x:c r="AB10" s="121" t="n"/>
      <x:c r="AC10" s="121" t="n"/>
      <x:c r="AD10" s="121" t="n"/>
      <x:c r="AE10" s="123" t="n"/>
      <x:c r="AF10" s="123" t="n"/>
      <x:c r="AG10" s="123" t="n"/>
      <x:c r="AH10" s="123" t="n"/>
      <x:c r="AI10" s="123" t="n"/>
      <x:c r="AJ10" s="123" t="n"/>
      <x:c r="AK10" s="123" t="n"/>
      <x:c r="AL10" s="121" t="n"/>
      <x:c r="AM10" s="123" t="n"/>
      <x:c r="AN10" s="121" t="n"/>
      <x:c r="AO10" s="123" t="n"/>
      <x:c r="AP10" s="121" t="n"/>
      <x:c r="AQ10" s="121" t="n"/>
      <x:c r="AR10" s="28" t="n"/>
      <x:c r="AS10" s="28" t="n"/>
      <x:c r="AT10" s="28" t="n"/>
      <x:c r="AU10" s="28" t="n"/>
      <x:c r="AV10" s="28" t="n"/>
      <x:c r="AW10" s="28" t="n"/>
      <x:c r="AX10" s="28" t="n"/>
      <x:c r="AY10" s="28" t="n"/>
      <x:c r="AZ10" s="28" t="n"/>
      <x:c r="BA10" s="28" t="n"/>
      <x:c r="BB10" s="28" t="n"/>
      <x:c r="BC10" s="28" t="n"/>
      <x:c r="BD10" s="28" t="n"/>
      <x:c r="BE10" s="28" t="n"/>
      <x:c r="BF10" s="28" t="n"/>
      <x:c r="BG10" s="28" t="n"/>
      <x:c r="BH10" s="28" t="n"/>
      <x:c r="BI10" s="28" t="n"/>
      <x:c r="BJ10" s="28" t="n"/>
      <x:c r="BK10" s="28" t="n"/>
      <x:c r="BL10" s="28" t="n"/>
      <x:c r="BM10" s="28" t="n"/>
      <x:c r="BN10" s="28" t="n"/>
      <x:c r="BO10" s="28" t="n"/>
      <x:c r="BP10" s="28" t="n"/>
      <x:c r="BQ10" s="28" t="n"/>
      <x:c r="BR10" s="28" t="n"/>
      <x:c r="BS10" s="28" t="n"/>
      <x:c r="BT10" s="28" t="n"/>
      <x:c r="BU10" s="28" t="n"/>
      <x:c r="BV10" s="28" t="n"/>
      <x:c r="BW10" s="28" t="n"/>
      <x:c r="BX10" s="28" t="n"/>
      <x:c r="BY10" s="28" t="n"/>
      <x:c r="BZ10" s="28" t="n"/>
      <x:c r="CA10" s="28" t="n"/>
      <x:c r="CB10" s="28" t="n"/>
      <x:c r="CC10" s="28" t="n"/>
      <x:c r="CD10" s="28" t="n"/>
      <x:c r="CE10" s="28" t="n"/>
      <x:c r="CF10" s="28" t="n"/>
      <x:c r="CG10" s="28" t="n"/>
      <x:c r="CH10" s="28" t="n"/>
      <x:c r="CI10" s="28" t="n"/>
      <x:c r="CJ10" s="28" t="n"/>
      <x:c r="CK10" s="28" t="n"/>
      <x:c r="CL10" s="28" t="n"/>
      <x:c r="CM10" s="28" t="n"/>
      <x:c r="CN10" s="28" t="n"/>
      <x:c r="CO10" s="28" t="n"/>
      <x:c r="CP10" s="28" t="n"/>
      <x:c r="CQ10" s="28" t="n"/>
      <x:c r="CR10" s="28" t="n"/>
      <x:c r="CS10" s="28" t="n"/>
      <x:c r="CT10" s="28" t="n"/>
      <x:c r="CU10" s="28" t="n"/>
      <x:c r="CV10" s="28" t="n"/>
      <x:c r="CW10" s="28" t="n"/>
      <x:c r="CX10" s="28" t="n"/>
      <x:c r="CY10" s="28" t="n"/>
      <x:c r="CZ10" s="28" t="n"/>
      <x:c r="DA10" s="28" t="n"/>
      <x:c r="DB10" s="28" t="n"/>
      <x:c r="DC10" s="28" t="n"/>
      <x:c r="DD10" s="28" t="n"/>
      <x:c r="DE10" s="28" t="n"/>
      <x:c r="DF10" s="28" t="n"/>
      <x:c r="DG10" s="28" t="n"/>
      <x:c r="DH10" s="28" t="n"/>
      <x:c r="DI10" s="28" t="n"/>
      <x:c r="DJ10" s="28" t="n"/>
      <x:c r="DK10" s="28" t="n"/>
      <x:c r="DL10" s="28" t="n"/>
      <x:c r="DM10" s="28" t="n"/>
      <x:c r="DN10" s="28" t="n"/>
      <x:c r="DO10" s="28" t="n"/>
      <x:c r="DP10" s="28" t="n"/>
      <x:c r="DQ10" s="28" t="n"/>
      <x:c r="DR10" s="28" t="n"/>
      <x:c r="DS10" s="28" t="n"/>
      <x:c r="DT10" s="28" t="n"/>
      <x:c r="DU10" s="28" t="n"/>
      <x:c r="DV10" s="28" t="n"/>
      <x:c r="DW10" s="28" t="n"/>
      <x:c r="DX10" s="28" t="n"/>
      <x:c r="DY10" s="28" t="n"/>
      <x:c r="DZ10" s="28" t="n"/>
      <x:c r="EA10" s="28" t="n"/>
      <x:c r="EB10" s="28" t="n"/>
      <x:c r="EC10" s="28" t="n"/>
      <x:c r="ED10" s="28" t="n"/>
      <x:c r="EE10" s="28" t="n"/>
      <x:c r="EF10" s="28" t="n"/>
      <x:c r="EG10" s="28" t="n"/>
      <x:c r="EH10" s="28" t="n"/>
      <x:c r="EI10" s="28" t="n"/>
      <x:c r="EJ10" s="28" t="n"/>
      <x:c r="EK10" s="28" t="n"/>
      <x:c r="EL10" s="28" t="n"/>
      <x:c r="EM10" s="28" t="n"/>
      <x:c r="EN10" s="28" t="n"/>
      <x:c r="EO10" s="28" t="n"/>
      <x:c r="EP10" s="28" t="n"/>
      <x:c r="EQ10" s="28" t="n"/>
      <x:c r="ER10" s="28" t="n"/>
      <x:c r="ES10" s="28" t="n"/>
      <x:c r="ET10" s="28" t="n"/>
      <x:c r="EU10" s="28" t="n"/>
      <x:c r="EV10" s="28" t="n"/>
      <x:c r="EW10" s="28" t="n"/>
      <x:c r="EX10" s="28" t="n"/>
      <x:c r="EY10" s="28" t="n"/>
      <x:c r="EZ10" s="28" t="n"/>
      <x:c r="FA10" s="28" t="n"/>
      <x:c r="FB10" s="28" t="n"/>
      <x:c r="FC10" s="28" t="n"/>
      <x:c r="FD10" s="28" t="n"/>
      <x:c r="FE10" s="28" t="n"/>
      <x:c r="FF10" s="28" t="n"/>
      <x:c r="FG10" s="28" t="n"/>
      <x:c r="FH10" s="28" t="n"/>
      <x:c r="FI10" s="28" t="n"/>
      <x:c r="FJ10" s="28" t="n"/>
      <x:c r="FK10" s="28" t="n"/>
      <x:c r="FL10" s="28" t="n"/>
      <x:c r="FM10" s="28" t="n"/>
      <x:c r="FN10" s="28" t="n"/>
      <x:c r="FO10" s="28" t="n"/>
      <x:c r="FP10" s="28" t="n"/>
      <x:c r="FQ10" s="28" t="n"/>
      <x:c r="FR10" s="28" t="n"/>
      <x:c r="FS10" s="28" t="n"/>
      <x:c r="FT10" s="28" t="n"/>
      <x:c r="FU10" s="28" t="n"/>
      <x:c r="FV10" s="28" t="n"/>
      <x:c r="FW10" s="28" t="n"/>
      <x:c r="FX10" s="28" t="n"/>
      <x:c r="FY10" s="28" t="n"/>
      <x:c r="FZ10" s="28" t="n"/>
      <x:c r="GA10" s="28" t="n"/>
    </x:row>
    <x:row r="11" s="27" customFormat="1">
      <x:c r="A11" s="20" t="n"/>
      <x:c r="B11" s="37" t="n"/>
      <x:c r="C11" s="86" t="n">
        <x:f>E11*D$5</x:f>
        <x:v>0</x:v>
      </x:c>
      <x:c r="D11" s="307" t="inlineStr">
        <x:is>
          <x:t xml:space="preserve">Margie Kirk</x:t>
        </x:is>
      </x:c>
      <x:c r="E11" s="86" t="n">
        <x:f>SUM(G11:HT11)</x:f>
        <x:v>0</x:v>
      </x:c>
      <x:c r="F11" s="306" t="n"/>
      <x:c r="G11" s="305" t="n"/>
      <x:c r="H11" s="304" t="n"/>
      <x:c r="I11" s="304" t="n"/>
      <x:c r="J11" s="304" t="n"/>
      <x:c r="K11" s="122" t="n"/>
      <x:c r="L11" s="121" t="n"/>
      <x:c r="M11" s="121" t="n"/>
      <x:c r="N11" s="121" t="n"/>
      <x:c r="O11" s="121" t="n"/>
      <x:c r="P11" s="121" t="n"/>
      <x:c r="Q11" s="121" t="n"/>
      <x:c r="R11" s="123" t="n"/>
      <x:c r="S11" s="123" t="n"/>
      <x:c r="T11" s="121" t="n">
        <x:v>1</x:v>
      </x:c>
      <x:c r="U11" s="121" t="n">
        <x:v>-1</x:v>
      </x:c>
      <x:c r="V11" s="121" t="n"/>
      <x:c r="W11" s="121" t="n"/>
      <x:c r="X11" s="121" t="n"/>
      <x:c r="Y11" s="121" t="n"/>
      <x:c r="Z11" s="121" t="n"/>
      <x:c r="AA11" s="121" t="n"/>
      <x:c r="AB11" s="121" t="n"/>
      <x:c r="AC11" s="121" t="n"/>
      <x:c r="AD11" s="121" t="n"/>
      <x:c r="AE11" s="124" t="n"/>
      <x:c r="AF11" s="123" t="n"/>
      <x:c r="AG11" s="123" t="n"/>
      <x:c r="AH11" s="123" t="n"/>
      <x:c r="AI11" s="123" t="n"/>
      <x:c r="AJ11" s="123" t="n"/>
      <x:c r="AK11" s="123" t="n"/>
      <x:c r="AL11" s="121" t="n"/>
      <x:c r="AM11" s="123" t="n"/>
      <x:c r="AN11" s="121" t="n"/>
      <x:c r="AO11" s="123" t="n"/>
      <x:c r="AP11" s="121" t="n"/>
      <x:c r="AQ11" s="121" t="n"/>
      <x:c r="AR11" s="28" t="n"/>
      <x:c r="AS11" s="28" t="n"/>
      <x:c r="AT11" s="28" t="n"/>
      <x:c r="AU11" s="28" t="n"/>
      <x:c r="AV11" s="28" t="n"/>
      <x:c r="AW11" s="28" t="n"/>
      <x:c r="AX11" s="28" t="n"/>
      <x:c r="AY11" s="28" t="n"/>
      <x:c r="AZ11" s="28" t="n"/>
      <x:c r="BA11" s="28" t="n"/>
      <x:c r="BB11" s="28" t="n"/>
      <x:c r="BC11" s="28" t="n"/>
      <x:c r="BD11" s="28" t="n"/>
      <x:c r="BE11" s="28" t="n"/>
      <x:c r="BF11" s="28" t="n"/>
      <x:c r="BG11" s="28" t="n"/>
      <x:c r="BH11" s="28" t="n"/>
      <x:c r="BI11" s="28" t="n"/>
      <x:c r="BJ11" s="28" t="n"/>
      <x:c r="BK11" s="28" t="n"/>
      <x:c r="BL11" s="28" t="n"/>
      <x:c r="BM11" s="28" t="n"/>
      <x:c r="BN11" s="28" t="n"/>
      <x:c r="BO11" s="28" t="n"/>
      <x:c r="BP11" s="28" t="n"/>
      <x:c r="BQ11" s="28" t="n"/>
      <x:c r="BR11" s="28" t="n"/>
      <x:c r="BS11" s="28" t="n"/>
      <x:c r="BT11" s="28" t="n"/>
      <x:c r="BU11" s="28" t="n"/>
      <x:c r="BV11" s="28" t="n"/>
      <x:c r="BW11" s="28" t="n"/>
      <x:c r="BX11" s="28" t="n"/>
      <x:c r="BY11" s="28" t="n"/>
      <x:c r="BZ11" s="28" t="n"/>
      <x:c r="CA11" s="28" t="n"/>
      <x:c r="CB11" s="28" t="n"/>
      <x:c r="CC11" s="28" t="n"/>
      <x:c r="CD11" s="28" t="n"/>
      <x:c r="CE11" s="28" t="n"/>
      <x:c r="CF11" s="28" t="n"/>
      <x:c r="CG11" s="28" t="n"/>
      <x:c r="CH11" s="28" t="n"/>
      <x:c r="CI11" s="28" t="n"/>
      <x:c r="CJ11" s="28" t="n"/>
      <x:c r="CK11" s="28" t="n"/>
      <x:c r="CL11" s="28" t="n"/>
      <x:c r="CM11" s="28" t="n"/>
      <x:c r="CN11" s="28" t="n"/>
      <x:c r="CO11" s="28" t="n"/>
      <x:c r="CP11" s="28" t="n"/>
      <x:c r="CQ11" s="28" t="n"/>
      <x:c r="CR11" s="28" t="n"/>
      <x:c r="CS11" s="28" t="n"/>
      <x:c r="CT11" s="28" t="n"/>
      <x:c r="CU11" s="28" t="n"/>
      <x:c r="CV11" s="28" t="n"/>
      <x:c r="CW11" s="28" t="n"/>
      <x:c r="CX11" s="28" t="n"/>
      <x:c r="CY11" s="28" t="n"/>
      <x:c r="CZ11" s="28" t="n"/>
      <x:c r="DA11" s="28" t="n"/>
      <x:c r="DB11" s="28" t="n"/>
      <x:c r="DC11" s="28" t="n"/>
      <x:c r="DD11" s="28" t="n"/>
      <x:c r="DE11" s="28" t="n"/>
      <x:c r="DF11" s="28" t="n"/>
      <x:c r="DG11" s="28" t="n"/>
      <x:c r="DH11" s="28" t="n"/>
      <x:c r="DI11" s="28" t="n"/>
      <x:c r="DJ11" s="28" t="n"/>
      <x:c r="DK11" s="28" t="n"/>
      <x:c r="DL11" s="28" t="n"/>
      <x:c r="DM11" s="28" t="n"/>
      <x:c r="DN11" s="28" t="n"/>
      <x:c r="DO11" s="28" t="n"/>
      <x:c r="DP11" s="28" t="n"/>
      <x:c r="DQ11" s="28" t="n"/>
      <x:c r="DR11" s="28" t="n"/>
      <x:c r="DS11" s="28" t="n"/>
      <x:c r="DT11" s="28" t="n"/>
      <x:c r="DU11" s="28" t="n"/>
      <x:c r="DV11" s="28" t="n"/>
      <x:c r="DW11" s="28" t="n"/>
      <x:c r="DX11" s="28" t="n"/>
      <x:c r="DY11" s="28" t="n"/>
      <x:c r="DZ11" s="28" t="n"/>
      <x:c r="EA11" s="28" t="n"/>
      <x:c r="EB11" s="28" t="n"/>
      <x:c r="EC11" s="28" t="n"/>
      <x:c r="ED11" s="28" t="n"/>
      <x:c r="EE11" s="28" t="n"/>
      <x:c r="EF11" s="28" t="n"/>
      <x:c r="EG11" s="28" t="n"/>
      <x:c r="EH11" s="28" t="n"/>
      <x:c r="EI11" s="28" t="n"/>
      <x:c r="EJ11" s="28" t="n"/>
      <x:c r="EK11" s="28" t="n"/>
      <x:c r="EL11" s="28" t="n"/>
      <x:c r="EM11" s="28" t="n"/>
      <x:c r="EN11" s="28" t="n"/>
      <x:c r="EO11" s="28" t="n"/>
      <x:c r="EP11" s="28" t="n"/>
      <x:c r="EQ11" s="28" t="n"/>
      <x:c r="ER11" s="28" t="n"/>
      <x:c r="ES11" s="28" t="n"/>
      <x:c r="ET11" s="28" t="n"/>
      <x:c r="EU11" s="28" t="n"/>
      <x:c r="EV11" s="28" t="n"/>
      <x:c r="EW11" s="28" t="n"/>
      <x:c r="EX11" s="28" t="n"/>
      <x:c r="EY11" s="28" t="n"/>
      <x:c r="EZ11" s="28" t="n"/>
      <x:c r="FA11" s="28" t="n"/>
      <x:c r="FB11" s="28" t="n"/>
      <x:c r="FC11" s="28" t="n"/>
      <x:c r="FD11" s="28" t="n"/>
      <x:c r="FE11" s="28" t="n"/>
      <x:c r="FF11" s="28" t="n"/>
      <x:c r="FG11" s="28" t="n"/>
      <x:c r="FH11" s="28" t="n"/>
      <x:c r="FI11" s="28" t="n"/>
      <x:c r="FJ11" s="28" t="n"/>
      <x:c r="FK11" s="28" t="n"/>
      <x:c r="FL11" s="28" t="n"/>
      <x:c r="FM11" s="28" t="n"/>
      <x:c r="FN11" s="28" t="n"/>
      <x:c r="FO11" s="28" t="n"/>
      <x:c r="FP11" s="28" t="n"/>
      <x:c r="FQ11" s="28" t="n"/>
      <x:c r="FR11" s="28" t="n"/>
      <x:c r="FS11" s="28" t="n"/>
      <x:c r="FT11" s="28" t="n"/>
      <x:c r="FU11" s="28" t="n"/>
      <x:c r="FV11" s="28" t="n"/>
      <x:c r="FW11" s="28" t="n"/>
      <x:c r="FX11" s="28" t="n"/>
      <x:c r="FY11" s="28" t="n"/>
      <x:c r="FZ11" s="28" t="n"/>
      <x:c r="GA11" s="28" t="n"/>
    </x:row>
    <x:row r="12" s="27" customFormat="1">
      <x:c r="A12" s="20" t="n"/>
      <x:c r="B12" s="37" t="n"/>
      <x:c r="C12" s="86" t="n">
        <x:f>E12*D$5</x:f>
        <x:v>0</x:v>
      </x:c>
      <x:c r="D12" s="307" t="inlineStr">
        <x:is>
          <x:t xml:space="preserve">Gordon E. Kirk and Ella Pearl Kirk, HW, JTWROS</x:t>
        </x:is>
      </x:c>
      <x:c r="E12" s="86" t="n">
        <x:f>SUM(G12:HT12)</x:f>
        <x:v>0</x:v>
      </x:c>
      <x:c r="F12" s="306" t="n"/>
      <x:c r="G12" s="305" t="n"/>
      <x:c r="H12" s="304" t="n"/>
      <x:c r="I12" s="304" t="n"/>
      <x:c r="J12" s="304" t="n"/>
      <x:c r="K12" s="121" t="n"/>
      <x:c r="L12" s="121" t="n"/>
      <x:c r="M12" s="121" t="n"/>
      <x:c r="N12" s="121" t="n"/>
      <x:c r="O12" s="121" t="n"/>
      <x:c r="P12" s="121" t="n"/>
      <x:c r="Q12" s="121" t="n"/>
      <x:c r="R12" s="123" t="n"/>
      <x:c r="S12" s="123" t="n"/>
      <x:c r="T12" s="121" t="n"/>
      <x:c r="U12" s="121" t="n">
        <x:v>1</x:v>
      </x:c>
      <x:c r="V12" s="121" t="n"/>
      <x:c r="W12" s="121" t="n"/>
      <x:c r="X12" s="121" t="n"/>
      <x:c r="Y12" s="121" t="n"/>
      <x:c r="Z12" s="121" t="n"/>
      <x:c r="AA12" s="121" t="n"/>
      <x:c r="AB12" s="121" t="n">
        <x:v>-1</x:v>
      </x:c>
      <x:c r="AC12" s="121" t="n"/>
      <x:c r="AD12" s="121" t="n"/>
      <x:c r="AE12" s="124" t="n"/>
      <x:c r="AF12" s="123" t="n"/>
      <x:c r="AG12" s="123" t="n"/>
      <x:c r="AH12" s="123" t="n"/>
      <x:c r="AI12" s="123" t="n"/>
      <x:c r="AJ12" s="123" t="n"/>
      <x:c r="AK12" s="123" t="n"/>
      <x:c r="AL12" s="121" t="n"/>
      <x:c r="AM12" s="124" t="n"/>
      <x:c r="AN12" s="121" t="n"/>
      <x:c r="AO12" s="123" t="n"/>
      <x:c r="AP12" s="121" t="n"/>
      <x:c r="AQ12" s="121" t="n"/>
      <x:c r="AR12" s="28" t="n"/>
      <x:c r="AS12" s="28" t="n"/>
      <x:c r="AT12" s="28" t="n"/>
      <x:c r="AU12" s="28" t="n"/>
      <x:c r="AV12" s="28" t="n"/>
      <x:c r="AW12" s="28" t="n"/>
      <x:c r="AX12" s="28" t="n"/>
      <x:c r="AY12" s="28" t="n"/>
      <x:c r="AZ12" s="28" t="n"/>
      <x:c r="BA12" s="28" t="n"/>
      <x:c r="BB12" s="28" t="n"/>
      <x:c r="BC12" s="28" t="n"/>
      <x:c r="BD12" s="28" t="n"/>
      <x:c r="BE12" s="28" t="n"/>
      <x:c r="BF12" s="28" t="n"/>
      <x:c r="BG12" s="28" t="n"/>
      <x:c r="BH12" s="28" t="n"/>
      <x:c r="BI12" s="28" t="n"/>
      <x:c r="BJ12" s="28" t="n"/>
      <x:c r="BK12" s="28" t="n"/>
      <x:c r="BL12" s="28" t="n"/>
      <x:c r="BM12" s="28" t="n"/>
      <x:c r="BN12" s="28" t="n"/>
      <x:c r="BO12" s="28" t="n"/>
      <x:c r="BP12" s="28" t="n"/>
      <x:c r="BQ12" s="28" t="n"/>
      <x:c r="BR12" s="28" t="n"/>
      <x:c r="BS12" s="28" t="n"/>
      <x:c r="BT12" s="28" t="n"/>
      <x:c r="BU12" s="28" t="n"/>
      <x:c r="BV12" s="28" t="n"/>
      <x:c r="BW12" s="28" t="n"/>
      <x:c r="BX12" s="28" t="n"/>
      <x:c r="BY12" s="28" t="n"/>
      <x:c r="BZ12" s="28" t="n"/>
      <x:c r="CA12" s="28" t="n"/>
      <x:c r="CB12" s="28" t="n"/>
      <x:c r="CC12" s="28" t="n"/>
      <x:c r="CD12" s="28" t="n"/>
      <x:c r="CE12" s="28" t="n"/>
      <x:c r="CF12" s="28" t="n"/>
      <x:c r="CG12" s="28" t="n"/>
      <x:c r="CH12" s="28" t="n"/>
      <x:c r="CI12" s="28" t="n"/>
      <x:c r="CJ12" s="28" t="n"/>
      <x:c r="CK12" s="28" t="n"/>
      <x:c r="CL12" s="28" t="n"/>
      <x:c r="CM12" s="28" t="n"/>
      <x:c r="CN12" s="28" t="n"/>
      <x:c r="CO12" s="28" t="n"/>
      <x:c r="CP12" s="28" t="n"/>
      <x:c r="CQ12" s="28" t="n"/>
      <x:c r="CR12" s="28" t="n"/>
      <x:c r="CS12" s="28" t="n"/>
      <x:c r="CT12" s="28" t="n"/>
      <x:c r="CU12" s="28" t="n"/>
      <x:c r="CV12" s="28" t="n"/>
      <x:c r="CW12" s="28" t="n"/>
      <x:c r="CX12" s="28" t="n"/>
      <x:c r="CY12" s="28" t="n"/>
      <x:c r="CZ12" s="28" t="n"/>
      <x:c r="DA12" s="28" t="n"/>
      <x:c r="DB12" s="28" t="n"/>
      <x:c r="DC12" s="28" t="n"/>
      <x:c r="DD12" s="28" t="n"/>
      <x:c r="DE12" s="28" t="n"/>
      <x:c r="DF12" s="28" t="n"/>
      <x:c r="DG12" s="28" t="n"/>
      <x:c r="DH12" s="28" t="n"/>
      <x:c r="DI12" s="28" t="n"/>
      <x:c r="DJ12" s="28" t="n"/>
      <x:c r="DK12" s="28" t="n"/>
      <x:c r="DL12" s="28" t="n"/>
      <x:c r="DM12" s="28" t="n"/>
      <x:c r="DN12" s="28" t="n"/>
      <x:c r="DO12" s="28" t="n"/>
      <x:c r="DP12" s="28" t="n"/>
      <x:c r="DQ12" s="28" t="n"/>
      <x:c r="DR12" s="28" t="n"/>
      <x:c r="DS12" s="28" t="n"/>
      <x:c r="DT12" s="28" t="n"/>
      <x:c r="DU12" s="28" t="n"/>
      <x:c r="DV12" s="28" t="n"/>
      <x:c r="DW12" s="28" t="n"/>
      <x:c r="DX12" s="28" t="n"/>
      <x:c r="DY12" s="28" t="n"/>
      <x:c r="DZ12" s="28" t="n"/>
      <x:c r="EA12" s="28" t="n"/>
      <x:c r="EB12" s="28" t="n"/>
      <x:c r="EC12" s="28" t="n"/>
      <x:c r="ED12" s="28" t="n"/>
      <x:c r="EE12" s="28" t="n"/>
      <x:c r="EF12" s="28" t="n"/>
      <x:c r="EG12" s="28" t="n"/>
      <x:c r="EH12" s="28" t="n"/>
      <x:c r="EI12" s="28" t="n"/>
      <x:c r="EJ12" s="28" t="n"/>
      <x:c r="EK12" s="28" t="n"/>
      <x:c r="EL12" s="28" t="n"/>
      <x:c r="EM12" s="28" t="n"/>
      <x:c r="EN12" s="28" t="n"/>
      <x:c r="EO12" s="28" t="n"/>
      <x:c r="EP12" s="28" t="n"/>
      <x:c r="EQ12" s="28" t="n"/>
      <x:c r="ER12" s="28" t="n"/>
      <x:c r="ES12" s="28" t="n"/>
      <x:c r="ET12" s="28" t="n"/>
      <x:c r="EU12" s="28" t="n"/>
      <x:c r="EV12" s="28" t="n"/>
      <x:c r="EW12" s="28" t="n"/>
      <x:c r="EX12" s="28" t="n"/>
      <x:c r="EY12" s="28" t="n"/>
      <x:c r="EZ12" s="28" t="n"/>
      <x:c r="FA12" s="28" t="n"/>
      <x:c r="FB12" s="28" t="n"/>
      <x:c r="FC12" s="28" t="n"/>
      <x:c r="FD12" s="28" t="n"/>
      <x:c r="FE12" s="28" t="n"/>
      <x:c r="FF12" s="28" t="n"/>
      <x:c r="FG12" s="28" t="n"/>
      <x:c r="FH12" s="28" t="n"/>
      <x:c r="FI12" s="28" t="n"/>
      <x:c r="FJ12" s="28" t="n"/>
      <x:c r="FK12" s="28" t="n"/>
      <x:c r="FL12" s="28" t="n"/>
      <x:c r="FM12" s="28" t="n"/>
      <x:c r="FN12" s="28" t="n"/>
      <x:c r="FO12" s="28" t="n"/>
      <x:c r="FP12" s="28" t="n"/>
      <x:c r="FQ12" s="28" t="n"/>
      <x:c r="FR12" s="28" t="n"/>
      <x:c r="FS12" s="28" t="n"/>
      <x:c r="FT12" s="28" t="n"/>
      <x:c r="FU12" s="28" t="n"/>
      <x:c r="FV12" s="28" t="n"/>
      <x:c r="FW12" s="28" t="n"/>
      <x:c r="FX12" s="28" t="n"/>
      <x:c r="FY12" s="28" t="n"/>
      <x:c r="FZ12" s="28" t="n"/>
      <x:c r="GA12" s="28" t="n"/>
    </x:row>
    <x:row r="13" s="27" customFormat="1">
      <x:c r="A13" s="308" t="n"/>
      <x:c r="B13" s="382" t="n">
        <x:v>62</x:v>
      </x:c>
      <x:c r="C13" s="86" t="n">
        <x:f>E13*D$5</x:f>
        <x:v>32.8</x:v>
      </x:c>
      <x:c r="D13" s="307" t="inlineStr">
        <x:is>
          <x:t xml:space="preserve">Ella Pearl Kirk</x:t>
        </x:is>
      </x:c>
      <x:c r="E13" s="86" t="n">
        <x:f>SUM(G13:HT13)</x:f>
        <x:v>1</x:v>
      </x:c>
      <x:c r="F13" s="306" t="n"/>
      <x:c r="G13" s="305" t="n"/>
      <x:c r="H13" s="304" t="n"/>
      <x:c r="I13" s="304" t="n"/>
      <x:c r="J13" s="304" t="n"/>
      <x:c r="K13" s="121" t="n"/>
      <x:c r="L13" s="121" t="n"/>
      <x:c r="M13" s="121" t="n"/>
      <x:c r="N13" s="121" t="n"/>
      <x:c r="O13" s="121" t="n"/>
      <x:c r="P13" s="122" t="n"/>
      <x:c r="Q13" s="121" t="n"/>
      <x:c r="R13" s="123" t="n"/>
      <x:c r="S13" s="123" t="n"/>
      <x:c r="T13" s="121" t="n"/>
      <x:c r="U13" s="121" t="n"/>
      <x:c r="V13" s="121" t="n"/>
      <x:c r="W13" s="121" t="n"/>
      <x:c r="X13" s="121" t="n"/>
      <x:c r="Y13" s="121" t="n"/>
      <x:c r="Z13" s="121" t="n"/>
      <x:c r="AA13" s="121" t="n"/>
      <x:c r="AB13" s="121" t="n">
        <x:v>1</x:v>
      </x:c>
      <x:c r="AC13" s="121" t="n"/>
      <x:c r="AD13" s="121" t="n"/>
      <x:c r="AE13" s="123" t="n"/>
      <x:c r="AF13" s="123" t="n"/>
      <x:c r="AG13" s="124" t="n"/>
      <x:c r="AH13" s="123" t="n"/>
      <x:c r="AI13" s="123" t="n"/>
      <x:c r="AJ13" s="123" t="n"/>
      <x:c r="AK13" s="123" t="n"/>
      <x:c r="AL13" s="121" t="n"/>
      <x:c r="AM13" s="123" t="n"/>
      <x:c r="AN13" s="121" t="n"/>
      <x:c r="AO13" s="123" t="n"/>
      <x:c r="AP13" s="121" t="n"/>
      <x:c r="AQ13" s="121" t="n"/>
      <x:c r="AR13" s="28" t="n"/>
      <x:c r="AS13" s="28" t="n"/>
      <x:c r="AT13" s="28" t="n"/>
      <x:c r="AU13" s="28" t="n"/>
      <x:c r="AV13" s="28" t="n"/>
      <x:c r="AW13" s="28" t="n"/>
      <x:c r="AX13" s="28" t="n"/>
      <x:c r="AY13" s="28" t="n"/>
      <x:c r="AZ13" s="28" t="n"/>
      <x:c r="BA13" s="28" t="n"/>
      <x:c r="BB13" s="28" t="n"/>
      <x:c r="BC13" s="28" t="n"/>
      <x:c r="BD13" s="28" t="n"/>
      <x:c r="BE13" s="28" t="n"/>
      <x:c r="BF13" s="28" t="n"/>
      <x:c r="BG13" s="28" t="n"/>
      <x:c r="BH13" s="28" t="n"/>
      <x:c r="BI13" s="28" t="n"/>
      <x:c r="BJ13" s="28" t="n"/>
      <x:c r="BK13" s="28" t="n"/>
      <x:c r="BL13" s="28" t="n"/>
      <x:c r="BM13" s="28" t="n"/>
      <x:c r="BN13" s="28" t="n"/>
      <x:c r="BO13" s="28" t="n"/>
      <x:c r="BP13" s="28" t="n"/>
      <x:c r="BQ13" s="28" t="n"/>
      <x:c r="BR13" s="28" t="n"/>
      <x:c r="BS13" s="28" t="n"/>
      <x:c r="BT13" s="28" t="n"/>
      <x:c r="BU13" s="28" t="n"/>
      <x:c r="BV13" s="28" t="n"/>
      <x:c r="BW13" s="28" t="n"/>
      <x:c r="BX13" s="28" t="n"/>
      <x:c r="BY13" s="28" t="n"/>
      <x:c r="BZ13" s="28" t="n"/>
      <x:c r="CA13" s="28" t="n"/>
      <x:c r="CB13" s="28" t="n"/>
      <x:c r="CC13" s="28" t="n"/>
      <x:c r="CD13" s="28" t="n"/>
      <x:c r="CE13" s="28" t="n"/>
      <x:c r="CF13" s="28" t="n"/>
      <x:c r="CG13" s="28" t="n"/>
      <x:c r="CH13" s="28" t="n"/>
      <x:c r="CI13" s="28" t="n"/>
      <x:c r="CJ13" s="28" t="n"/>
      <x:c r="CK13" s="28" t="n"/>
      <x:c r="CL13" s="28" t="n"/>
      <x:c r="CM13" s="28" t="n"/>
      <x:c r="CN13" s="28" t="n"/>
      <x:c r="CO13" s="28" t="n"/>
      <x:c r="CP13" s="28" t="n"/>
      <x:c r="CQ13" s="28" t="n"/>
      <x:c r="CR13" s="28" t="n"/>
      <x:c r="CS13" s="28" t="n"/>
      <x:c r="CT13" s="28" t="n"/>
      <x:c r="CU13" s="28" t="n"/>
      <x:c r="CV13" s="28" t="n"/>
      <x:c r="CW13" s="28" t="n"/>
      <x:c r="CX13" s="28" t="n"/>
      <x:c r="CY13" s="28" t="n"/>
      <x:c r="CZ13" s="28" t="n"/>
      <x:c r="DA13" s="28" t="n"/>
      <x:c r="DB13" s="28" t="n"/>
      <x:c r="DC13" s="28" t="n"/>
      <x:c r="DD13" s="28" t="n"/>
      <x:c r="DE13" s="28" t="n"/>
      <x:c r="DF13" s="28" t="n"/>
      <x:c r="DG13" s="28" t="n"/>
      <x:c r="DH13" s="28" t="n"/>
      <x:c r="DI13" s="28" t="n"/>
      <x:c r="DJ13" s="28" t="n"/>
      <x:c r="DK13" s="28" t="n"/>
      <x:c r="DL13" s="28" t="n"/>
      <x:c r="DM13" s="28" t="n"/>
      <x:c r="DN13" s="28" t="n"/>
      <x:c r="DO13" s="28" t="n"/>
      <x:c r="DP13" s="28" t="n"/>
      <x:c r="DQ13" s="28" t="n"/>
      <x:c r="DR13" s="28" t="n"/>
      <x:c r="DS13" s="28" t="n"/>
      <x:c r="DT13" s="28" t="n"/>
      <x:c r="DU13" s="28" t="n"/>
      <x:c r="DV13" s="28" t="n"/>
      <x:c r="DW13" s="28" t="n"/>
      <x:c r="DX13" s="28" t="n"/>
      <x:c r="DY13" s="28" t="n"/>
      <x:c r="DZ13" s="28" t="n"/>
      <x:c r="EA13" s="28" t="n"/>
      <x:c r="EB13" s="28" t="n"/>
      <x:c r="EC13" s="28" t="n"/>
      <x:c r="ED13" s="28" t="n"/>
      <x:c r="EE13" s="28" t="n"/>
      <x:c r="EF13" s="28" t="n"/>
      <x:c r="EG13" s="28" t="n"/>
      <x:c r="EH13" s="28" t="n"/>
      <x:c r="EI13" s="28" t="n"/>
      <x:c r="EJ13" s="28" t="n"/>
      <x:c r="EK13" s="28" t="n"/>
      <x:c r="EL13" s="28" t="n"/>
      <x:c r="EM13" s="28" t="n"/>
      <x:c r="EN13" s="28" t="n"/>
      <x:c r="EO13" s="28" t="n"/>
      <x:c r="EP13" s="28" t="n"/>
      <x:c r="EQ13" s="28" t="n"/>
      <x:c r="ER13" s="28" t="n"/>
      <x:c r="ES13" s="28" t="n"/>
      <x:c r="ET13" s="28" t="n"/>
      <x:c r="EU13" s="28" t="n"/>
      <x:c r="EV13" s="28" t="n"/>
      <x:c r="EW13" s="28" t="n"/>
      <x:c r="EX13" s="28" t="n"/>
      <x:c r="EY13" s="28" t="n"/>
      <x:c r="EZ13" s="28" t="n"/>
      <x:c r="FA13" s="28" t="n"/>
      <x:c r="FB13" s="28" t="n"/>
      <x:c r="FC13" s="28" t="n"/>
      <x:c r="FD13" s="28" t="n"/>
      <x:c r="FE13" s="28" t="n"/>
      <x:c r="FF13" s="28" t="n"/>
      <x:c r="FG13" s="28" t="n"/>
      <x:c r="FH13" s="28" t="n"/>
      <x:c r="FI13" s="28" t="n"/>
      <x:c r="FJ13" s="28" t="n"/>
      <x:c r="FK13" s="28" t="n"/>
      <x:c r="FL13" s="28" t="n"/>
      <x:c r="FM13" s="28" t="n"/>
      <x:c r="FN13" s="28" t="n"/>
      <x:c r="FO13" s="28" t="n"/>
      <x:c r="FP13" s="28" t="n"/>
      <x:c r="FQ13" s="28" t="n"/>
      <x:c r="FR13" s="28" t="n"/>
      <x:c r="FS13" s="28" t="n"/>
      <x:c r="FT13" s="28" t="n"/>
      <x:c r="FU13" s="28" t="n"/>
      <x:c r="FV13" s="28" t="n"/>
      <x:c r="FW13" s="28" t="n"/>
      <x:c r="FX13" s="28" t="n"/>
      <x:c r="FY13" s="28" t="n"/>
      <x:c r="FZ13" s="28" t="n"/>
      <x:c r="GA13" s="28" t="n"/>
    </x:row>
    <x:row r="14" s="27" customFormat="1">
      <x:c r="B14" s="80" t="n"/>
      <x:c r="C14" s="36" t="n">
        <x:f>E14*D$5</x:f>
        <x:v>0</x:v>
      </x:c>
      <x:c r="D14" s="103" t="inlineStr">
        <x:is>
          <x:t xml:space="preserve">Herbert E. McGuire</x:t>
        </x:is>
      </x:c>
      <x:c r="E14" s="36" t="n">
        <x:f>SUM(G14:HT14)</x:f>
        <x:v>0</x:v>
      </x:c>
      <x:c r="F14" s="35" t="n"/>
      <x:c r="G14" s="121" t="n"/>
      <x:c r="H14" s="121" t="n"/>
      <x:c r="I14" s="122" t="n"/>
      <x:c r="J14" s="121" t="n"/>
      <x:c r="K14" s="121" t="n"/>
      <x:c r="L14" s="121" t="n"/>
      <x:c r="M14" s="121" t="n"/>
      <x:c r="N14" s="121" t="n"/>
      <x:c r="O14" s="121" t="n"/>
      <x:c r="P14" s="121" t="n"/>
      <x:c r="Q14" s="121" t="n"/>
      <x:c r="R14" s="123" t="n"/>
      <x:c r="S14" s="123" t="n"/>
      <x:c r="T14" s="121" t="n"/>
      <x:c r="U14" s="121" t="n"/>
      <x:c r="V14" s="121" t="n"/>
      <x:c r="W14" s="121" t="n"/>
      <x:c r="X14" s="121" t="n"/>
      <x:c r="Y14" s="121" t="n"/>
      <x:c r="Z14" s="121" t="n"/>
      <x:c r="AA14" s="121" t="n"/>
      <x:c r="AB14" s="121" t="n"/>
      <x:c r="AC14" s="121" t="n"/>
      <x:c r="AD14" s="121" t="n"/>
      <x:c r="AE14" s="123" t="n"/>
      <x:c r="AF14" s="123" t="n"/>
      <x:c r="AG14" s="124" t="n"/>
      <x:c r="AH14" s="122" t="n"/>
      <x:c r="AI14" s="122" t="n"/>
      <x:c r="AJ14" s="122" t="n"/>
      <x:c r="AK14" s="122" t="n"/>
      <x:c r="AL14" s="121" t="n"/>
      <x:c r="AM14" s="123" t="n"/>
      <x:c r="AN14" s="121" t="n"/>
      <x:c r="AO14" s="123" t="n"/>
      <x:c r="AP14" s="121" t="n"/>
      <x:c r="AQ14" s="121" t="n"/>
      <x:c r="AR14" s="28" t="n"/>
      <x:c r="AS14" s="28" t="n"/>
      <x:c r="AT14" s="28" t="n"/>
      <x:c r="AU14" s="28" t="n"/>
      <x:c r="AV14" s="28" t="n"/>
      <x:c r="AW14" s="28" t="n"/>
      <x:c r="AX14" s="28" t="n"/>
      <x:c r="AY14" s="28" t="n"/>
      <x:c r="AZ14" s="28" t="n"/>
      <x:c r="BA14" s="28" t="n"/>
      <x:c r="BB14" s="28" t="n"/>
      <x:c r="BC14" s="28" t="n"/>
      <x:c r="BD14" s="28" t="n"/>
      <x:c r="BE14" s="28" t="n"/>
      <x:c r="BF14" s="28" t="n"/>
      <x:c r="BG14" s="28" t="n"/>
      <x:c r="BH14" s="28" t="n"/>
      <x:c r="BI14" s="28" t="n"/>
      <x:c r="BJ14" s="28" t="n"/>
      <x:c r="BK14" s="28" t="n"/>
      <x:c r="BL14" s="28" t="n"/>
      <x:c r="BM14" s="28" t="n"/>
      <x:c r="BN14" s="28" t="n"/>
      <x:c r="BO14" s="28" t="n"/>
      <x:c r="BP14" s="28" t="n"/>
      <x:c r="BQ14" s="28" t="n"/>
      <x:c r="BR14" s="28" t="n"/>
      <x:c r="BS14" s="28" t="n"/>
      <x:c r="BT14" s="28" t="n"/>
      <x:c r="BU14" s="28" t="n"/>
      <x:c r="BV14" s="28" t="n"/>
      <x:c r="BW14" s="28" t="n"/>
      <x:c r="BX14" s="28" t="n"/>
      <x:c r="BY14" s="28" t="n"/>
      <x:c r="BZ14" s="28" t="n"/>
      <x:c r="CA14" s="28" t="n"/>
      <x:c r="CB14" s="28" t="n"/>
      <x:c r="CC14" s="28" t="n"/>
      <x:c r="CD14" s="28" t="n"/>
      <x:c r="CE14" s="28" t="n"/>
      <x:c r="CF14" s="28" t="n"/>
      <x:c r="CG14" s="28" t="n"/>
      <x:c r="CH14" s="28" t="n"/>
      <x:c r="CI14" s="28" t="n"/>
      <x:c r="CJ14" s="28" t="n"/>
      <x:c r="CK14" s="28" t="n"/>
      <x:c r="CL14" s="28" t="n"/>
      <x:c r="CM14" s="28" t="n"/>
      <x:c r="CN14" s="28" t="n"/>
      <x:c r="CO14" s="28" t="n"/>
      <x:c r="CP14" s="28" t="n"/>
      <x:c r="CQ14" s="28" t="n"/>
      <x:c r="CR14" s="28" t="n"/>
      <x:c r="CS14" s="28" t="n"/>
      <x:c r="CT14" s="28" t="n"/>
      <x:c r="CU14" s="28" t="n"/>
      <x:c r="CV14" s="28" t="n"/>
      <x:c r="CW14" s="28" t="n"/>
      <x:c r="CX14" s="28" t="n"/>
      <x:c r="CY14" s="28" t="n"/>
      <x:c r="CZ14" s="28" t="n"/>
      <x:c r="DA14" s="28" t="n"/>
      <x:c r="DB14" s="28" t="n"/>
      <x:c r="DC14" s="28" t="n"/>
      <x:c r="DD14" s="28" t="n"/>
      <x:c r="DE14" s="28" t="n"/>
      <x:c r="DF14" s="28" t="n"/>
      <x:c r="DG14" s="28" t="n"/>
      <x:c r="DH14" s="28" t="n"/>
      <x:c r="DI14" s="28" t="n"/>
      <x:c r="DJ14" s="28" t="n"/>
      <x:c r="DK14" s="28" t="n"/>
      <x:c r="DL14" s="28" t="n"/>
      <x:c r="DM14" s="28" t="n"/>
      <x:c r="DN14" s="28" t="n"/>
      <x:c r="DO14" s="28" t="n"/>
      <x:c r="DP14" s="28" t="n"/>
      <x:c r="DQ14" s="28" t="n"/>
      <x:c r="DR14" s="28" t="n"/>
      <x:c r="DS14" s="28" t="n"/>
      <x:c r="DT14" s="28" t="n"/>
      <x:c r="DU14" s="28" t="n"/>
      <x:c r="DV14" s="28" t="n"/>
      <x:c r="DW14" s="28" t="n"/>
      <x:c r="DX14" s="28" t="n"/>
      <x:c r="DY14" s="28" t="n"/>
      <x:c r="DZ14" s="28" t="n"/>
      <x:c r="EA14" s="28" t="n"/>
      <x:c r="EB14" s="28" t="n"/>
      <x:c r="EC14" s="28" t="n"/>
      <x:c r="ED14" s="28" t="n"/>
      <x:c r="EE14" s="28" t="n"/>
      <x:c r="EF14" s="28" t="n"/>
      <x:c r="EG14" s="28" t="n"/>
      <x:c r="EH14" s="28" t="n"/>
      <x:c r="EI14" s="28" t="n"/>
      <x:c r="EJ14" s="28" t="n"/>
      <x:c r="EK14" s="28" t="n"/>
      <x:c r="EL14" s="28" t="n"/>
      <x:c r="EM14" s="28" t="n"/>
      <x:c r="EN14" s="28" t="n"/>
      <x:c r="EO14" s="28" t="n"/>
      <x:c r="EP14" s="28" t="n"/>
      <x:c r="EQ14" s="28" t="n"/>
      <x:c r="ER14" s="28" t="n"/>
      <x:c r="ES14" s="28" t="n"/>
      <x:c r="ET14" s="28" t="n"/>
      <x:c r="EU14" s="28" t="n"/>
      <x:c r="EV14" s="28" t="n"/>
      <x:c r="EW14" s="28" t="n"/>
      <x:c r="EX14" s="28" t="n"/>
      <x:c r="EY14" s="28" t="n"/>
      <x:c r="EZ14" s="28" t="n"/>
      <x:c r="FA14" s="28" t="n"/>
      <x:c r="FB14" s="28" t="n"/>
      <x:c r="FC14" s="28" t="n"/>
      <x:c r="FD14" s="28" t="n"/>
      <x:c r="FE14" s="28" t="n"/>
      <x:c r="FF14" s="28" t="n"/>
      <x:c r="FG14" s="28" t="n"/>
      <x:c r="FH14" s="28" t="n"/>
      <x:c r="FI14" s="28" t="n"/>
      <x:c r="FJ14" s="28" t="n"/>
      <x:c r="FK14" s="28" t="n"/>
      <x:c r="FL14" s="28" t="n"/>
      <x:c r="FM14" s="28" t="n"/>
      <x:c r="FN14" s="28" t="n"/>
      <x:c r="FO14" s="28" t="n"/>
      <x:c r="FP14" s="28" t="n"/>
      <x:c r="FQ14" s="28" t="n"/>
      <x:c r="FR14" s="28" t="n"/>
      <x:c r="FS14" s="28" t="n"/>
      <x:c r="FT14" s="28" t="n"/>
      <x:c r="FU14" s="28" t="n"/>
      <x:c r="FV14" s="28" t="n"/>
      <x:c r="FW14" s="28" t="n"/>
      <x:c r="FX14" s="28" t="n"/>
      <x:c r="FY14" s="28" t="n"/>
      <x:c r="FZ14" s="28" t="n"/>
      <x:c r="GA14" s="28" t="n"/>
    </x:row>
    <x:row r="15" s="27" customFormat="1">
      <x:c r="A15" s="79" t="n"/>
      <x:c r="B15" s="79" t="n"/>
      <x:c r="C15" s="36" t="n">
        <x:f>E15*D$5</x:f>
        <x:v>0</x:v>
      </x:c>
      <x:c r="D15" s="103" t="inlineStr">
        <x:is>
          <x:t xml:space="preserve">United States of America</x:t>
        </x:is>
      </x:c>
      <x:c r="E15" s="36" t="n">
        <x:f>SUM(G15:HT15)</x:f>
        <x:v>0</x:v>
      </x:c>
      <x:c r="F15" s="35" t="n"/>
      <x:c r="G15" s="121" t="n"/>
      <x:c r="H15" s="121" t="n"/>
      <x:c r="I15" s="121" t="n"/>
      <x:c r="J15" s="121" t="n"/>
      <x:c r="K15" s="121" t="n"/>
      <x:c r="L15" s="121" t="n"/>
      <x:c r="M15" s="121" t="n"/>
      <x:c r="N15" s="121" t="n"/>
      <x:c r="O15" s="121" t="n"/>
      <x:c r="P15" s="121" t="n"/>
      <x:c r="Q15" s="121" t="n"/>
      <x:c r="R15" s="123" t="n"/>
      <x:c r="S15" s="123" t="n"/>
      <x:c r="T15" s="121" t="n"/>
      <x:c r="U15" s="121" t="n"/>
      <x:c r="V15" s="121" t="n"/>
      <x:c r="W15" s="121" t="n"/>
      <x:c r="X15" s="121" t="n"/>
      <x:c r="Y15" s="121" t="n"/>
      <x:c r="Z15" s="121" t="n"/>
      <x:c r="AA15" s="121" t="n"/>
      <x:c r="AB15" s="121" t="n"/>
      <x:c r="AC15" s="121" t="n"/>
      <x:c r="AD15" s="121" t="n"/>
      <x:c r="AE15" s="123" t="n"/>
      <x:c r="AF15" s="123" t="n"/>
      <x:c r="AG15" s="123" t="n"/>
      <x:c r="AH15" s="122" t="n"/>
      <x:c r="AI15" s="122" t="n"/>
      <x:c r="AJ15" s="122" t="n"/>
      <x:c r="AK15" s="122" t="n"/>
      <x:c r="AL15" s="121" t="n"/>
      <x:c r="AM15" s="123" t="n"/>
      <x:c r="AN15" s="121" t="n"/>
      <x:c r="AO15" s="123" t="n"/>
      <x:c r="AP15" s="121" t="n"/>
      <x:c r="AQ15" s="121" t="n"/>
      <x:c r="AR15" s="28" t="n"/>
      <x:c r="AS15" s="28" t="n"/>
      <x:c r="AT15" s="28" t="n"/>
      <x:c r="AU15" s="28" t="n"/>
      <x:c r="AV15" s="28" t="n"/>
      <x:c r="AW15" s="28" t="n"/>
      <x:c r="AX15" s="28" t="n"/>
      <x:c r="AY15" s="28" t="n"/>
      <x:c r="AZ15" s="28" t="n"/>
      <x:c r="BA15" s="28" t="n"/>
      <x:c r="BB15" s="28" t="n"/>
      <x:c r="BC15" s="28" t="n"/>
      <x:c r="BD15" s="28" t="n"/>
      <x:c r="BE15" s="28" t="n"/>
      <x:c r="BF15" s="28" t="n"/>
      <x:c r="BG15" s="28" t="n"/>
      <x:c r="BH15" s="28" t="n"/>
      <x:c r="BI15" s="28" t="n"/>
      <x:c r="BJ15" s="28" t="n"/>
      <x:c r="BK15" s="28" t="n"/>
      <x:c r="BL15" s="28" t="n"/>
      <x:c r="BM15" s="28" t="n"/>
      <x:c r="BN15" s="28" t="n"/>
      <x:c r="BO15" s="28" t="n"/>
      <x:c r="BP15" s="28" t="n"/>
      <x:c r="BQ15" s="28" t="n"/>
      <x:c r="BR15" s="28" t="n"/>
      <x:c r="BS15" s="28" t="n"/>
      <x:c r="BT15" s="28" t="n"/>
      <x:c r="BU15" s="28" t="n"/>
      <x:c r="BV15" s="28" t="n"/>
      <x:c r="BW15" s="28" t="n"/>
      <x:c r="BX15" s="28" t="n"/>
      <x:c r="BY15" s="28" t="n"/>
      <x:c r="BZ15" s="28" t="n"/>
      <x:c r="CA15" s="28" t="n"/>
      <x:c r="CB15" s="28" t="n"/>
      <x:c r="CC15" s="28" t="n"/>
      <x:c r="CD15" s="28" t="n"/>
      <x:c r="CE15" s="28" t="n"/>
      <x:c r="CF15" s="28" t="n"/>
      <x:c r="CG15" s="28" t="n"/>
      <x:c r="CH15" s="28" t="n"/>
      <x:c r="CI15" s="28" t="n"/>
      <x:c r="CJ15" s="28" t="n"/>
      <x:c r="CK15" s="28" t="n"/>
      <x:c r="CL15" s="28" t="n"/>
      <x:c r="CM15" s="28" t="n"/>
      <x:c r="CN15" s="28" t="n"/>
      <x:c r="CO15" s="28" t="n"/>
      <x:c r="CP15" s="28" t="n"/>
      <x:c r="CQ15" s="28" t="n"/>
      <x:c r="CR15" s="28" t="n"/>
      <x:c r="CS15" s="28" t="n"/>
      <x:c r="CT15" s="28" t="n"/>
      <x:c r="CU15" s="28" t="n"/>
      <x:c r="CV15" s="28" t="n"/>
      <x:c r="CW15" s="28" t="n"/>
      <x:c r="CX15" s="28" t="n"/>
      <x:c r="CY15" s="28" t="n"/>
      <x:c r="CZ15" s="28" t="n"/>
      <x:c r="DA15" s="28" t="n"/>
      <x:c r="DB15" s="28" t="n"/>
      <x:c r="DC15" s="28" t="n"/>
      <x:c r="DD15" s="28" t="n"/>
      <x:c r="DE15" s="28" t="n"/>
      <x:c r="DF15" s="28" t="n"/>
      <x:c r="DG15" s="28" t="n"/>
      <x:c r="DH15" s="28" t="n"/>
      <x:c r="DI15" s="28" t="n"/>
      <x:c r="DJ15" s="28" t="n"/>
      <x:c r="DK15" s="28" t="n"/>
      <x:c r="DL15" s="28" t="n"/>
      <x:c r="DM15" s="28" t="n"/>
      <x:c r="DN15" s="28" t="n"/>
      <x:c r="DO15" s="28" t="n"/>
      <x:c r="DP15" s="28" t="n"/>
      <x:c r="DQ15" s="28" t="n"/>
      <x:c r="DR15" s="28" t="n"/>
      <x:c r="DS15" s="28" t="n"/>
      <x:c r="DT15" s="28" t="n"/>
      <x:c r="DU15" s="28" t="n"/>
      <x:c r="DV15" s="28" t="n"/>
      <x:c r="DW15" s="28" t="n"/>
      <x:c r="DX15" s="28" t="n"/>
      <x:c r="DY15" s="28" t="n"/>
      <x:c r="DZ15" s="28" t="n"/>
      <x:c r="EA15" s="28" t="n"/>
      <x:c r="EB15" s="28" t="n"/>
      <x:c r="EC15" s="28" t="n"/>
      <x:c r="ED15" s="28" t="n"/>
      <x:c r="EE15" s="28" t="n"/>
      <x:c r="EF15" s="28" t="n"/>
      <x:c r="EG15" s="28" t="n"/>
      <x:c r="EH15" s="28" t="n"/>
      <x:c r="EI15" s="28" t="n"/>
      <x:c r="EJ15" s="28" t="n"/>
      <x:c r="EK15" s="28" t="n"/>
      <x:c r="EL15" s="28" t="n"/>
      <x:c r="EM15" s="28" t="n"/>
      <x:c r="EN15" s="28" t="n"/>
      <x:c r="EO15" s="28" t="n"/>
      <x:c r="EP15" s="28" t="n"/>
      <x:c r="EQ15" s="28" t="n"/>
      <x:c r="ER15" s="28" t="n"/>
      <x:c r="ES15" s="28" t="n"/>
      <x:c r="ET15" s="28" t="n"/>
      <x:c r="EU15" s="28" t="n"/>
      <x:c r="EV15" s="28" t="n"/>
      <x:c r="EW15" s="28" t="n"/>
      <x:c r="EX15" s="28" t="n"/>
      <x:c r="EY15" s="28" t="n"/>
      <x:c r="EZ15" s="28" t="n"/>
      <x:c r="FA15" s="28" t="n"/>
      <x:c r="FB15" s="28" t="n"/>
      <x:c r="FC15" s="28" t="n"/>
      <x:c r="FD15" s="28" t="n"/>
      <x:c r="FE15" s="28" t="n"/>
      <x:c r="FF15" s="28" t="n"/>
      <x:c r="FG15" s="28" t="n"/>
      <x:c r="FH15" s="28" t="n"/>
      <x:c r="FI15" s="28" t="n"/>
      <x:c r="FJ15" s="28" t="n"/>
      <x:c r="FK15" s="28" t="n"/>
      <x:c r="FL15" s="28" t="n"/>
      <x:c r="FM15" s="28" t="n"/>
      <x:c r="FN15" s="28" t="n"/>
      <x:c r="FO15" s="28" t="n"/>
      <x:c r="FP15" s="28" t="n"/>
      <x:c r="FQ15" s="28" t="n"/>
      <x:c r="FR15" s="28" t="n"/>
      <x:c r="FS15" s="28" t="n"/>
      <x:c r="FT15" s="28" t="n"/>
      <x:c r="FU15" s="28" t="n"/>
      <x:c r="FV15" s="28" t="n"/>
      <x:c r="FW15" s="28" t="n"/>
      <x:c r="FX15" s="28" t="n"/>
      <x:c r="FY15" s="28" t="n"/>
      <x:c r="FZ15" s="28" t="n"/>
      <x:c r="GA15" s="28" t="n"/>
    </x:row>
    <x:row r="16" s="27" customFormat="1">
      <x:c r="A16" s="38" t="n"/>
      <x:c r="B16" s="37" t="n"/>
      <x:c r="C16" s="36" t="n">
        <x:f>E16*D$5</x:f>
        <x:v>0</x:v>
      </x:c>
      <x:c r="D16" s="103" t="inlineStr">
        <x:is>
          <x:t xml:space="preserve">E. T. Gamble</x:t>
        </x:is>
      </x:c>
      <x:c r="E16" s="36" t="n">
        <x:f>SUM(G16:HT16)</x:f>
        <x:v>0</x:v>
      </x:c>
      <x:c r="F16" s="35" t="n"/>
      <x:c r="G16" s="121" t="n"/>
      <x:c r="H16" s="121" t="n"/>
      <x:c r="I16" s="122" t="n"/>
      <x:c r="J16" s="121" t="n"/>
      <x:c r="K16" s="121" t="n"/>
      <x:c r="L16" s="121" t="n"/>
      <x:c r="M16" s="121" t="n"/>
      <x:c r="N16" s="121" t="n"/>
      <x:c r="O16" s="121" t="n"/>
      <x:c r="P16" s="121" t="n"/>
      <x:c r="Q16" s="122" t="n"/>
      <x:c r="R16" s="123" t="n"/>
      <x:c r="S16" s="123" t="n"/>
      <x:c r="T16" s="121" t="n"/>
      <x:c r="U16" s="121" t="n"/>
      <x:c r="V16" s="121" t="n"/>
      <x:c r="W16" s="121" t="n"/>
      <x:c r="X16" s="121" t="n"/>
      <x:c r="Y16" s="121" t="n"/>
      <x:c r="Z16" s="121" t="n"/>
      <x:c r="AA16" s="121" t="n"/>
      <x:c r="AB16" s="122" t="n"/>
      <x:c r="AC16" s="121" t="n"/>
      <x:c r="AD16" s="121" t="n"/>
      <x:c r="AE16" s="123" t="n"/>
      <x:c r="AF16" s="123" t="n"/>
      <x:c r="AG16" s="123" t="n"/>
      <x:c r="AH16" s="122" t="n"/>
      <x:c r="AI16" s="122" t="n"/>
      <x:c r="AJ16" s="122" t="n"/>
      <x:c r="AK16" s="122" t="n"/>
      <x:c r="AL16" s="121" t="n"/>
      <x:c r="AM16" s="123" t="n"/>
      <x:c r="AN16" s="121" t="n"/>
      <x:c r="AO16" s="123" t="n"/>
      <x:c r="AP16" s="121" t="n"/>
      <x:c r="AQ16" s="121" t="n"/>
      <x:c r="AR16" s="28" t="n"/>
      <x:c r="AS16" s="28" t="n"/>
      <x:c r="AT16" s="28" t="n"/>
      <x:c r="AU16" s="28" t="n"/>
      <x:c r="AV16" s="28" t="n"/>
      <x:c r="AW16" s="28" t="n"/>
      <x:c r="AX16" s="28" t="n"/>
      <x:c r="AY16" s="28" t="n"/>
      <x:c r="AZ16" s="28" t="n"/>
      <x:c r="BA16" s="28" t="n"/>
      <x:c r="BB16" s="28" t="n"/>
      <x:c r="BC16" s="28" t="n"/>
      <x:c r="BD16" s="28" t="n"/>
      <x:c r="BE16" s="28" t="n"/>
      <x:c r="BF16" s="28" t="n"/>
      <x:c r="BG16" s="28" t="n"/>
      <x:c r="BH16" s="28" t="n"/>
      <x:c r="BI16" s="28" t="n"/>
      <x:c r="BJ16" s="28" t="n"/>
      <x:c r="BK16" s="28" t="n"/>
      <x:c r="BL16" s="28" t="n"/>
      <x:c r="BM16" s="28" t="n"/>
      <x:c r="BN16" s="28" t="n"/>
      <x:c r="BO16" s="28" t="n"/>
      <x:c r="BP16" s="28" t="n"/>
      <x:c r="BQ16" s="28" t="n"/>
      <x:c r="BR16" s="28" t="n"/>
      <x:c r="BS16" s="28" t="n"/>
      <x:c r="BT16" s="28" t="n"/>
      <x:c r="BU16" s="28" t="n"/>
      <x:c r="BV16" s="28" t="n"/>
      <x:c r="BW16" s="28" t="n"/>
      <x:c r="BX16" s="28" t="n"/>
      <x:c r="BY16" s="28" t="n"/>
      <x:c r="BZ16" s="28" t="n"/>
      <x:c r="CA16" s="28" t="n"/>
      <x:c r="CB16" s="28" t="n"/>
      <x:c r="CC16" s="28" t="n"/>
      <x:c r="CD16" s="28" t="n"/>
      <x:c r="CE16" s="28" t="n"/>
      <x:c r="CF16" s="28" t="n"/>
      <x:c r="CG16" s="28" t="n"/>
      <x:c r="CH16" s="28" t="n"/>
      <x:c r="CI16" s="28" t="n"/>
      <x:c r="CJ16" s="28" t="n"/>
      <x:c r="CK16" s="28" t="n"/>
      <x:c r="CL16" s="28" t="n"/>
      <x:c r="CM16" s="28" t="n"/>
      <x:c r="CN16" s="28" t="n"/>
      <x:c r="CO16" s="28" t="n"/>
      <x:c r="CP16" s="28" t="n"/>
      <x:c r="CQ16" s="28" t="n"/>
      <x:c r="CR16" s="28" t="n"/>
      <x:c r="CS16" s="28" t="n"/>
      <x:c r="CT16" s="28" t="n"/>
      <x:c r="CU16" s="28" t="n"/>
      <x:c r="CV16" s="28" t="n"/>
      <x:c r="CW16" s="28" t="n"/>
      <x:c r="CX16" s="28" t="n"/>
      <x:c r="CY16" s="28" t="n"/>
      <x:c r="CZ16" s="28" t="n"/>
      <x:c r="DA16" s="28" t="n"/>
      <x:c r="DB16" s="28" t="n"/>
      <x:c r="DC16" s="28" t="n"/>
      <x:c r="DD16" s="28" t="n"/>
      <x:c r="DE16" s="28" t="n"/>
      <x:c r="DF16" s="28" t="n"/>
      <x:c r="DG16" s="28" t="n"/>
      <x:c r="DH16" s="28" t="n"/>
      <x:c r="DI16" s="28" t="n"/>
      <x:c r="DJ16" s="28" t="n"/>
      <x:c r="DK16" s="28" t="n"/>
      <x:c r="DL16" s="28" t="n"/>
      <x:c r="DM16" s="28" t="n"/>
      <x:c r="DN16" s="28" t="n"/>
      <x:c r="DO16" s="28" t="n"/>
      <x:c r="DP16" s="28" t="n"/>
      <x:c r="DQ16" s="28" t="n"/>
      <x:c r="DR16" s="28" t="n"/>
      <x:c r="DS16" s="28" t="n"/>
      <x:c r="DT16" s="28" t="n"/>
      <x:c r="DU16" s="28" t="n"/>
      <x:c r="DV16" s="28" t="n"/>
      <x:c r="DW16" s="28" t="n"/>
      <x:c r="DX16" s="28" t="n"/>
      <x:c r="DY16" s="28" t="n"/>
      <x:c r="DZ16" s="28" t="n"/>
      <x:c r="EA16" s="28" t="n"/>
      <x:c r="EB16" s="28" t="n"/>
      <x:c r="EC16" s="28" t="n"/>
      <x:c r="ED16" s="28" t="n"/>
      <x:c r="EE16" s="28" t="n"/>
      <x:c r="EF16" s="28" t="n"/>
      <x:c r="EG16" s="28" t="n"/>
      <x:c r="EH16" s="28" t="n"/>
      <x:c r="EI16" s="28" t="n"/>
      <x:c r="EJ16" s="28" t="n"/>
      <x:c r="EK16" s="28" t="n"/>
      <x:c r="EL16" s="28" t="n"/>
      <x:c r="EM16" s="28" t="n"/>
      <x:c r="EN16" s="28" t="n"/>
      <x:c r="EO16" s="28" t="n"/>
      <x:c r="EP16" s="28" t="n"/>
      <x:c r="EQ16" s="28" t="n"/>
      <x:c r="ER16" s="28" t="n"/>
      <x:c r="ES16" s="28" t="n"/>
      <x:c r="ET16" s="28" t="n"/>
      <x:c r="EU16" s="28" t="n"/>
      <x:c r="EV16" s="28" t="n"/>
      <x:c r="EW16" s="28" t="n"/>
      <x:c r="EX16" s="28" t="n"/>
      <x:c r="EY16" s="28" t="n"/>
      <x:c r="EZ16" s="28" t="n"/>
      <x:c r="FA16" s="28" t="n"/>
      <x:c r="FB16" s="28" t="n"/>
      <x:c r="FC16" s="28" t="n"/>
      <x:c r="FD16" s="28" t="n"/>
      <x:c r="FE16" s="28" t="n"/>
      <x:c r="FF16" s="28" t="n"/>
      <x:c r="FG16" s="28" t="n"/>
      <x:c r="FH16" s="28" t="n"/>
      <x:c r="FI16" s="28" t="n"/>
      <x:c r="FJ16" s="28" t="n"/>
      <x:c r="FK16" s="28" t="n"/>
      <x:c r="FL16" s="28" t="n"/>
      <x:c r="FM16" s="28" t="n"/>
      <x:c r="FN16" s="28" t="n"/>
      <x:c r="FO16" s="28" t="n"/>
      <x:c r="FP16" s="28" t="n"/>
      <x:c r="FQ16" s="28" t="n"/>
      <x:c r="FR16" s="28" t="n"/>
      <x:c r="FS16" s="28" t="n"/>
      <x:c r="FT16" s="28" t="n"/>
      <x:c r="FU16" s="28" t="n"/>
      <x:c r="FV16" s="28" t="n"/>
      <x:c r="FW16" s="28" t="n"/>
      <x:c r="FX16" s="28" t="n"/>
      <x:c r="FY16" s="28" t="n"/>
      <x:c r="FZ16" s="28" t="n"/>
      <x:c r="GA16" s="28" t="n"/>
    </x:row>
    <x:row r="17" s="27" customFormat="1">
      <x:c r="A17" s="38" t="n"/>
      <x:c r="B17" s="37" t="n"/>
      <x:c r="C17" s="36" t="n">
        <x:f>E17*D$5</x:f>
        <x:v>0</x:v>
      </x:c>
      <x:c r="D17" s="103" t="inlineStr">
        <x:is>
          <x:t xml:space="preserve">Leo Aulbert</x:t>
        </x:is>
      </x:c>
      <x:c r="E17" s="36" t="n">
        <x:f>SUM(G17:HT17)</x:f>
        <x:v>0</x:v>
      </x:c>
      <x:c r="F17" s="35" t="n"/>
      <x:c r="G17" s="121" t="n"/>
      <x:c r="H17" s="121" t="n"/>
      <x:c r="I17" s="122" t="n"/>
      <x:c r="J17" s="121" t="n"/>
      <x:c r="K17" s="121" t="n"/>
      <x:c r="L17" s="121" t="n"/>
      <x:c r="M17" s="121" t="n"/>
      <x:c r="N17" s="121" t="n"/>
      <x:c r="O17" s="121" t="n"/>
      <x:c r="P17" s="121" t="n"/>
      <x:c r="Q17" s="121" t="n"/>
      <x:c r="R17" s="123" t="n"/>
      <x:c r="S17" s="123" t="n"/>
      <x:c r="T17" s="121" t="n"/>
      <x:c r="U17" s="121" t="n"/>
      <x:c r="V17" s="121" t="n"/>
      <x:c r="W17" s="121" t="n"/>
      <x:c r="X17" s="121" t="n"/>
      <x:c r="Y17" s="121" t="n"/>
      <x:c r="Z17" s="121" t="n"/>
      <x:c r="AA17" s="121" t="n"/>
      <x:c r="AB17" s="121" t="n"/>
      <x:c r="AC17" s="121" t="n"/>
      <x:c r="AD17" s="121" t="n"/>
      <x:c r="AE17" s="123" t="n"/>
      <x:c r="AF17" s="123" t="n"/>
      <x:c r="AG17" s="123" t="n"/>
      <x:c r="AH17" s="122" t="n"/>
      <x:c r="AI17" s="122" t="n"/>
      <x:c r="AJ17" s="122" t="n"/>
      <x:c r="AK17" s="122" t="n"/>
      <x:c r="AL17" s="121" t="n"/>
      <x:c r="AM17" s="123" t="n"/>
      <x:c r="AN17" s="121" t="n"/>
      <x:c r="AO17" s="123" t="n"/>
      <x:c r="AP17" s="121" t="n"/>
      <x:c r="AQ17" s="121" t="n"/>
      <x:c r="AR17" s="28" t="n"/>
      <x:c r="AS17" s="28" t="n"/>
      <x:c r="AT17" s="28" t="n"/>
      <x:c r="AU17" s="28" t="n"/>
      <x:c r="AV17" s="28" t="n"/>
      <x:c r="AW17" s="28" t="n"/>
      <x:c r="AX17" s="28" t="n"/>
      <x:c r="AY17" s="28" t="n"/>
      <x:c r="AZ17" s="28" t="n"/>
      <x:c r="BA17" s="28" t="n"/>
      <x:c r="BB17" s="28" t="n"/>
      <x:c r="BC17" s="28" t="n"/>
      <x:c r="BD17" s="28" t="n"/>
      <x:c r="BE17" s="28" t="n"/>
      <x:c r="BF17" s="28" t="n"/>
      <x:c r="BG17" s="28" t="n"/>
      <x:c r="BH17" s="28" t="n"/>
      <x:c r="BI17" s="28" t="n"/>
      <x:c r="BJ17" s="28" t="n"/>
      <x:c r="BK17" s="28" t="n"/>
      <x:c r="BL17" s="28" t="n"/>
      <x:c r="BM17" s="28" t="n"/>
      <x:c r="BN17" s="28" t="n"/>
      <x:c r="BO17" s="28" t="n"/>
      <x:c r="BP17" s="28" t="n"/>
      <x:c r="BQ17" s="28" t="n"/>
      <x:c r="BR17" s="28" t="n"/>
      <x:c r="BS17" s="28" t="n"/>
      <x:c r="BT17" s="28" t="n"/>
      <x:c r="BU17" s="28" t="n"/>
      <x:c r="BV17" s="28" t="n"/>
      <x:c r="BW17" s="28" t="n"/>
      <x:c r="BX17" s="28" t="n"/>
      <x:c r="BY17" s="28" t="n"/>
      <x:c r="BZ17" s="28" t="n"/>
      <x:c r="CA17" s="28" t="n"/>
      <x:c r="CB17" s="28" t="n"/>
      <x:c r="CC17" s="28" t="n"/>
      <x:c r="CD17" s="28" t="n"/>
      <x:c r="CE17" s="28" t="n"/>
      <x:c r="CF17" s="28" t="n"/>
      <x:c r="CG17" s="28" t="n"/>
      <x:c r="CH17" s="28" t="n"/>
      <x:c r="CI17" s="28" t="n"/>
      <x:c r="CJ17" s="28" t="n"/>
      <x:c r="CK17" s="28" t="n"/>
      <x:c r="CL17" s="28" t="n"/>
      <x:c r="CM17" s="28" t="n"/>
      <x:c r="CN17" s="28" t="n"/>
      <x:c r="CO17" s="28" t="n"/>
      <x:c r="CP17" s="28" t="n"/>
      <x:c r="CQ17" s="28" t="n"/>
      <x:c r="CR17" s="28" t="n"/>
      <x:c r="CS17" s="28" t="n"/>
      <x:c r="CT17" s="28" t="n"/>
      <x:c r="CU17" s="28" t="n"/>
      <x:c r="CV17" s="28" t="n"/>
      <x:c r="CW17" s="28" t="n"/>
      <x:c r="CX17" s="28" t="n"/>
      <x:c r="CY17" s="28" t="n"/>
      <x:c r="CZ17" s="28" t="n"/>
      <x:c r="DA17" s="28" t="n"/>
      <x:c r="DB17" s="28" t="n"/>
      <x:c r="DC17" s="28" t="n"/>
      <x:c r="DD17" s="28" t="n"/>
      <x:c r="DE17" s="28" t="n"/>
      <x:c r="DF17" s="28" t="n"/>
      <x:c r="DG17" s="28" t="n"/>
      <x:c r="DH17" s="28" t="n"/>
      <x:c r="DI17" s="28" t="n"/>
      <x:c r="DJ17" s="28" t="n"/>
      <x:c r="DK17" s="28" t="n"/>
      <x:c r="DL17" s="28" t="n"/>
      <x:c r="DM17" s="28" t="n"/>
      <x:c r="DN17" s="28" t="n"/>
      <x:c r="DO17" s="28" t="n"/>
      <x:c r="DP17" s="28" t="n"/>
      <x:c r="DQ17" s="28" t="n"/>
      <x:c r="DR17" s="28" t="n"/>
      <x:c r="DS17" s="28" t="n"/>
      <x:c r="DT17" s="28" t="n"/>
      <x:c r="DU17" s="28" t="n"/>
      <x:c r="DV17" s="28" t="n"/>
      <x:c r="DW17" s="28" t="n"/>
      <x:c r="DX17" s="28" t="n"/>
      <x:c r="DY17" s="28" t="n"/>
      <x:c r="DZ17" s="28" t="n"/>
      <x:c r="EA17" s="28" t="n"/>
      <x:c r="EB17" s="28" t="n"/>
      <x:c r="EC17" s="28" t="n"/>
      <x:c r="ED17" s="28" t="n"/>
      <x:c r="EE17" s="28" t="n"/>
      <x:c r="EF17" s="28" t="n"/>
      <x:c r="EG17" s="28" t="n"/>
      <x:c r="EH17" s="28" t="n"/>
      <x:c r="EI17" s="28" t="n"/>
      <x:c r="EJ17" s="28" t="n"/>
      <x:c r="EK17" s="28" t="n"/>
      <x:c r="EL17" s="28" t="n"/>
      <x:c r="EM17" s="28" t="n"/>
      <x:c r="EN17" s="28" t="n"/>
      <x:c r="EO17" s="28" t="n"/>
      <x:c r="EP17" s="28" t="n"/>
      <x:c r="EQ17" s="28" t="n"/>
      <x:c r="ER17" s="28" t="n"/>
      <x:c r="ES17" s="28" t="n"/>
      <x:c r="ET17" s="28" t="n"/>
      <x:c r="EU17" s="28" t="n"/>
      <x:c r="EV17" s="28" t="n"/>
      <x:c r="EW17" s="28" t="n"/>
      <x:c r="EX17" s="28" t="n"/>
      <x:c r="EY17" s="28" t="n"/>
      <x:c r="EZ17" s="28" t="n"/>
      <x:c r="FA17" s="28" t="n"/>
      <x:c r="FB17" s="28" t="n"/>
      <x:c r="FC17" s="28" t="n"/>
      <x:c r="FD17" s="28" t="n"/>
      <x:c r="FE17" s="28" t="n"/>
      <x:c r="FF17" s="28" t="n"/>
      <x:c r="FG17" s="28" t="n"/>
      <x:c r="FH17" s="28" t="n"/>
      <x:c r="FI17" s="28" t="n"/>
      <x:c r="FJ17" s="28" t="n"/>
      <x:c r="FK17" s="28" t="n"/>
      <x:c r="FL17" s="28" t="n"/>
      <x:c r="FM17" s="28" t="n"/>
      <x:c r="FN17" s="28" t="n"/>
      <x:c r="FO17" s="28" t="n"/>
      <x:c r="FP17" s="28" t="n"/>
      <x:c r="FQ17" s="28" t="n"/>
      <x:c r="FR17" s="28" t="n"/>
      <x:c r="FS17" s="28" t="n"/>
      <x:c r="FT17" s="28" t="n"/>
      <x:c r="FU17" s="28" t="n"/>
      <x:c r="FV17" s="28" t="n"/>
      <x:c r="FW17" s="28" t="n"/>
      <x:c r="FX17" s="28" t="n"/>
      <x:c r="FY17" s="28" t="n"/>
      <x:c r="FZ17" s="28" t="n"/>
      <x:c r="GA17" s="28" t="n"/>
    </x:row>
    <x:row r="18" s="27" customFormat="1">
      <x:c r="A18" s="38" t="n"/>
      <x:c r="B18" s="39" t="n"/>
      <x:c r="C18" s="36" t="n">
        <x:f>E18*D$5</x:f>
        <x:v>0</x:v>
      </x:c>
      <x:c r="D18" s="103" t="inlineStr">
        <x:is>
          <x:t xml:space="preserve">Mark Hambrook, (Widower)</x:t>
        </x:is>
      </x:c>
      <x:c r="E18" s="36" t="n">
        <x:f>SUM(G18:HT18)</x:f>
        <x:v>0</x:v>
      </x:c>
      <x:c r="F18" s="35" t="n"/>
      <x:c r="G18" s="121" t="n"/>
      <x:c r="H18" s="121" t="n"/>
      <x:c r="I18" s="121" t="n"/>
      <x:c r="J18" s="121" t="n"/>
      <x:c r="K18" s="121" t="n"/>
      <x:c r="L18" s="121" t="n"/>
      <x:c r="M18" s="121" t="n"/>
      <x:c r="N18" s="121" t="n"/>
      <x:c r="O18" s="121" t="n"/>
      <x:c r="P18" s="122" t="n"/>
      <x:c r="Q18" s="128" t="n"/>
      <x:c r="R18" s="124" t="n"/>
      <x:c r="S18" s="123" t="n"/>
      <x:c r="T18" s="129" t="n"/>
      <x:c r="U18" s="121" t="n"/>
      <x:c r="V18" s="121" t="n"/>
      <x:c r="W18" s="121" t="n"/>
      <x:c r="X18" s="121" t="n"/>
      <x:c r="Y18" s="121" t="n"/>
      <x:c r="Z18" s="121" t="n"/>
      <x:c r="AA18" s="121" t="n"/>
      <x:c r="AB18" s="121" t="n"/>
      <x:c r="AC18" s="121" t="n"/>
      <x:c r="AD18" s="121" t="n"/>
      <x:c r="AE18" s="123" t="n"/>
      <x:c r="AF18" s="123" t="n"/>
      <x:c r="AG18" s="123" t="n"/>
      <x:c r="AH18" s="122" t="n"/>
      <x:c r="AI18" s="122" t="n"/>
      <x:c r="AJ18" s="122" t="n"/>
      <x:c r="AK18" s="122" t="n"/>
      <x:c r="AL18" s="121" t="n"/>
      <x:c r="AM18" s="124" t="n"/>
      <x:c r="AN18" s="121" t="n"/>
      <x:c r="AO18" s="123" t="n"/>
      <x:c r="AP18" s="121" t="n"/>
      <x:c r="AQ18" s="121" t="n"/>
      <x:c r="AR18" s="28" t="n"/>
      <x:c r="AS18" s="28" t="n"/>
      <x:c r="AT18" s="28" t="n"/>
      <x:c r="AU18" s="28" t="n"/>
      <x:c r="AV18" s="28" t="n"/>
      <x:c r="AW18" s="28" t="n"/>
      <x:c r="AX18" s="28" t="n"/>
      <x:c r="AY18" s="28" t="n"/>
      <x:c r="AZ18" s="28" t="n"/>
      <x:c r="BA18" s="28" t="n"/>
      <x:c r="BB18" s="28" t="n"/>
      <x:c r="BC18" s="28" t="n"/>
      <x:c r="BD18" s="28" t="n"/>
      <x:c r="BE18" s="28" t="n"/>
      <x:c r="BF18" s="28" t="n"/>
      <x:c r="BG18" s="28" t="n"/>
      <x:c r="BH18" s="28" t="n"/>
      <x:c r="BI18" s="28" t="n"/>
      <x:c r="BJ18" s="28" t="n"/>
      <x:c r="BK18" s="28" t="n"/>
      <x:c r="BL18" s="28" t="n"/>
      <x:c r="BM18" s="28" t="n"/>
      <x:c r="BN18" s="28" t="n"/>
      <x:c r="BO18" s="28" t="n"/>
      <x:c r="BP18" s="28" t="n"/>
      <x:c r="BQ18" s="28" t="n"/>
      <x:c r="BR18" s="28" t="n"/>
      <x:c r="BS18" s="28" t="n"/>
      <x:c r="BT18" s="28" t="n"/>
      <x:c r="BU18" s="28" t="n"/>
      <x:c r="BV18" s="28" t="n"/>
      <x:c r="BW18" s="28" t="n"/>
      <x:c r="BX18" s="28" t="n"/>
      <x:c r="BY18" s="28" t="n"/>
      <x:c r="BZ18" s="28" t="n"/>
      <x:c r="CA18" s="28" t="n"/>
      <x:c r="CB18" s="28" t="n"/>
      <x:c r="CC18" s="28" t="n"/>
      <x:c r="CD18" s="28" t="n"/>
      <x:c r="CE18" s="28" t="n"/>
      <x:c r="CF18" s="28" t="n"/>
      <x:c r="CG18" s="28" t="n"/>
      <x:c r="CH18" s="28" t="n"/>
      <x:c r="CI18" s="28" t="n"/>
      <x:c r="CJ18" s="28" t="n"/>
      <x:c r="CK18" s="28" t="n"/>
      <x:c r="CL18" s="28" t="n"/>
      <x:c r="CM18" s="28" t="n"/>
      <x:c r="CN18" s="28" t="n"/>
      <x:c r="CO18" s="28" t="n"/>
      <x:c r="CP18" s="28" t="n"/>
      <x:c r="CQ18" s="28" t="n"/>
      <x:c r="CR18" s="28" t="n"/>
      <x:c r="CS18" s="28" t="n"/>
      <x:c r="CT18" s="28" t="n"/>
      <x:c r="CU18" s="28" t="n"/>
      <x:c r="CV18" s="28" t="n"/>
      <x:c r="CW18" s="28" t="n"/>
      <x:c r="CX18" s="28" t="n"/>
      <x:c r="CY18" s="28" t="n"/>
      <x:c r="CZ18" s="28" t="n"/>
      <x:c r="DA18" s="28" t="n"/>
      <x:c r="DB18" s="28" t="n"/>
      <x:c r="DC18" s="28" t="n"/>
      <x:c r="DD18" s="28" t="n"/>
      <x:c r="DE18" s="28" t="n"/>
      <x:c r="DF18" s="28" t="n"/>
      <x:c r="DG18" s="28" t="n"/>
      <x:c r="DH18" s="28" t="n"/>
      <x:c r="DI18" s="28" t="n"/>
      <x:c r="DJ18" s="28" t="n"/>
      <x:c r="DK18" s="28" t="n"/>
      <x:c r="DL18" s="28" t="n"/>
      <x:c r="DM18" s="28" t="n"/>
      <x:c r="DN18" s="28" t="n"/>
      <x:c r="DO18" s="28" t="n"/>
      <x:c r="DP18" s="28" t="n"/>
      <x:c r="DQ18" s="28" t="n"/>
      <x:c r="DR18" s="28" t="n"/>
      <x:c r="DS18" s="28" t="n"/>
      <x:c r="DT18" s="28" t="n"/>
      <x:c r="DU18" s="28" t="n"/>
      <x:c r="DV18" s="28" t="n"/>
      <x:c r="DW18" s="28" t="n"/>
      <x:c r="DX18" s="28" t="n"/>
      <x:c r="DY18" s="28" t="n"/>
      <x:c r="DZ18" s="28" t="n"/>
      <x:c r="EA18" s="28" t="n"/>
      <x:c r="EB18" s="28" t="n"/>
      <x:c r="EC18" s="28" t="n"/>
      <x:c r="ED18" s="28" t="n"/>
      <x:c r="EE18" s="28" t="n"/>
      <x:c r="EF18" s="28" t="n"/>
      <x:c r="EG18" s="28" t="n"/>
      <x:c r="EH18" s="28" t="n"/>
      <x:c r="EI18" s="28" t="n"/>
      <x:c r="EJ18" s="28" t="n"/>
      <x:c r="EK18" s="28" t="n"/>
      <x:c r="EL18" s="28" t="n"/>
      <x:c r="EM18" s="28" t="n"/>
      <x:c r="EN18" s="28" t="n"/>
      <x:c r="EO18" s="28" t="n"/>
      <x:c r="EP18" s="28" t="n"/>
      <x:c r="EQ18" s="28" t="n"/>
      <x:c r="ER18" s="28" t="n"/>
      <x:c r="ES18" s="28" t="n"/>
      <x:c r="ET18" s="28" t="n"/>
      <x:c r="EU18" s="28" t="n"/>
      <x:c r="EV18" s="28" t="n"/>
      <x:c r="EW18" s="28" t="n"/>
      <x:c r="EX18" s="28" t="n"/>
      <x:c r="EY18" s="28" t="n"/>
      <x:c r="EZ18" s="28" t="n"/>
      <x:c r="FA18" s="28" t="n"/>
      <x:c r="FB18" s="28" t="n"/>
      <x:c r="FC18" s="28" t="n"/>
      <x:c r="FD18" s="28" t="n"/>
      <x:c r="FE18" s="28" t="n"/>
      <x:c r="FF18" s="28" t="n"/>
      <x:c r="FG18" s="28" t="n"/>
      <x:c r="FH18" s="28" t="n"/>
      <x:c r="FI18" s="28" t="n"/>
      <x:c r="FJ18" s="28" t="n"/>
      <x:c r="FK18" s="28" t="n"/>
      <x:c r="FL18" s="28" t="n"/>
      <x:c r="FM18" s="28" t="n"/>
      <x:c r="FN18" s="28" t="n"/>
      <x:c r="FO18" s="28" t="n"/>
      <x:c r="FP18" s="28" t="n"/>
      <x:c r="FQ18" s="28" t="n"/>
      <x:c r="FR18" s="28" t="n"/>
      <x:c r="FS18" s="28" t="n"/>
      <x:c r="FT18" s="28" t="n"/>
      <x:c r="FU18" s="28" t="n"/>
      <x:c r="FV18" s="28" t="n"/>
      <x:c r="FW18" s="28" t="n"/>
      <x:c r="FX18" s="28" t="n"/>
      <x:c r="FY18" s="28" t="n"/>
      <x:c r="FZ18" s="28" t="n"/>
      <x:c r="GA18" s="28" t="n"/>
    </x:row>
    <x:row r="19" s="27" customFormat="1">
      <x:c r="A19" s="38" t="n"/>
      <x:c r="B19" s="39" t="n"/>
      <x:c r="C19" s="36" t="n">
        <x:f>E19*D$5</x:f>
        <x:v>0</x:v>
      </x:c>
      <x:c r="D19" s="104" t="inlineStr">
        <x:is>
          <x:t xml:space="preserve">Panhandle Co-operative Royalty Company</x:t>
        </x:is>
      </x:c>
      <x:c r="E19" s="36" t="n">
        <x:f>SUM(G19:HT19)</x:f>
        <x:v>0</x:v>
      </x:c>
      <x:c r="F19" s="35" t="n"/>
      <x:c r="G19" s="121" t="n"/>
      <x:c r="H19" s="121" t="n"/>
      <x:c r="I19" s="121" t="n"/>
      <x:c r="J19" s="121" t="n"/>
      <x:c r="K19" s="121" t="n"/>
      <x:c r="L19" s="121" t="n"/>
      <x:c r="M19" s="121" t="n"/>
      <x:c r="N19" s="121" t="n"/>
      <x:c r="O19" s="121" t="n"/>
      <x:c r="P19" s="122" t="n"/>
      <x:c r="Q19" s="128" t="n"/>
      <x:c r="R19" s="128" t="n"/>
      <x:c r="S19" s="123" t="n"/>
      <x:c r="T19" s="129" t="n"/>
      <x:c r="U19" s="121" t="n"/>
      <x:c r="V19" s="121" t="n"/>
      <x:c r="W19" s="121" t="n"/>
      <x:c r="X19" s="121" t="n"/>
      <x:c r="Y19" s="121" t="n"/>
      <x:c r="Z19" s="121" t="n"/>
      <x:c r="AA19" s="121" t="n"/>
      <x:c r="AB19" s="121" t="n"/>
      <x:c r="AC19" s="121" t="n"/>
      <x:c r="AD19" s="121" t="n"/>
      <x:c r="AE19" s="123" t="n"/>
      <x:c r="AF19" s="123" t="n"/>
      <x:c r="AG19" s="123" t="n"/>
      <x:c r="AH19" s="122" t="n"/>
      <x:c r="AI19" s="122" t="n"/>
      <x:c r="AJ19" s="122" t="n"/>
      <x:c r="AK19" s="122" t="n"/>
      <x:c r="AL19" s="121" t="n"/>
      <x:c r="AM19" s="123" t="n"/>
      <x:c r="AN19" s="121" t="n"/>
      <x:c r="AO19" s="123" t="n"/>
      <x:c r="AP19" s="121" t="n"/>
      <x:c r="AQ19" s="121" t="n"/>
      <x:c r="AR19" s="28" t="n"/>
      <x:c r="AS19" s="28" t="n"/>
      <x:c r="AT19" s="28" t="n"/>
      <x:c r="AU19" s="28" t="n"/>
      <x:c r="AV19" s="28" t="n"/>
      <x:c r="AW19" s="28" t="n"/>
      <x:c r="AX19" s="28" t="n"/>
      <x:c r="AY19" s="28" t="n"/>
      <x:c r="AZ19" s="28" t="n"/>
      <x:c r="BA19" s="28" t="n"/>
      <x:c r="BB19" s="28" t="n"/>
      <x:c r="BC19" s="28" t="n"/>
      <x:c r="BD19" s="28" t="n"/>
      <x:c r="BE19" s="28" t="n"/>
      <x:c r="BF19" s="28" t="n"/>
      <x:c r="BG19" s="28" t="n"/>
      <x:c r="BH19" s="28" t="n"/>
      <x:c r="BI19" s="28" t="n"/>
      <x:c r="BJ19" s="28" t="n"/>
      <x:c r="BK19" s="28" t="n"/>
      <x:c r="BL19" s="28" t="n"/>
      <x:c r="BM19" s="28" t="n"/>
      <x:c r="BN19" s="28" t="n"/>
      <x:c r="BO19" s="28" t="n"/>
      <x:c r="BP19" s="28" t="n"/>
      <x:c r="BQ19" s="28" t="n"/>
      <x:c r="BR19" s="28" t="n"/>
      <x:c r="BS19" s="28" t="n"/>
      <x:c r="BT19" s="28" t="n"/>
      <x:c r="BU19" s="28" t="n"/>
      <x:c r="BV19" s="28" t="n"/>
      <x:c r="BW19" s="28" t="n"/>
      <x:c r="BX19" s="28" t="n"/>
      <x:c r="BY19" s="28" t="n"/>
      <x:c r="BZ19" s="28" t="n"/>
      <x:c r="CA19" s="28" t="n"/>
      <x:c r="CB19" s="28" t="n"/>
      <x:c r="CC19" s="28" t="n"/>
      <x:c r="CD19" s="28" t="n"/>
      <x:c r="CE19" s="28" t="n"/>
      <x:c r="CF19" s="28" t="n"/>
      <x:c r="CG19" s="28" t="n"/>
      <x:c r="CH19" s="28" t="n"/>
      <x:c r="CI19" s="28" t="n"/>
      <x:c r="CJ19" s="28" t="n"/>
      <x:c r="CK19" s="28" t="n"/>
      <x:c r="CL19" s="28" t="n"/>
      <x:c r="CM19" s="28" t="n"/>
      <x:c r="CN19" s="28" t="n"/>
      <x:c r="CO19" s="28" t="n"/>
      <x:c r="CP19" s="28" t="n"/>
      <x:c r="CQ19" s="28" t="n"/>
      <x:c r="CR19" s="28" t="n"/>
      <x:c r="CS19" s="28" t="n"/>
      <x:c r="CT19" s="28" t="n"/>
      <x:c r="CU19" s="28" t="n"/>
      <x:c r="CV19" s="28" t="n"/>
      <x:c r="CW19" s="28" t="n"/>
      <x:c r="CX19" s="28" t="n"/>
      <x:c r="CY19" s="28" t="n"/>
      <x:c r="CZ19" s="28" t="n"/>
      <x:c r="DA19" s="28" t="n"/>
      <x:c r="DB19" s="28" t="n"/>
      <x:c r="DC19" s="28" t="n"/>
      <x:c r="DD19" s="28" t="n"/>
      <x:c r="DE19" s="28" t="n"/>
      <x:c r="DF19" s="28" t="n"/>
      <x:c r="DG19" s="28" t="n"/>
      <x:c r="DH19" s="28" t="n"/>
      <x:c r="DI19" s="28" t="n"/>
      <x:c r="DJ19" s="28" t="n"/>
      <x:c r="DK19" s="28" t="n"/>
      <x:c r="DL19" s="28" t="n"/>
      <x:c r="DM19" s="28" t="n"/>
      <x:c r="DN19" s="28" t="n"/>
      <x:c r="DO19" s="28" t="n"/>
      <x:c r="DP19" s="28" t="n"/>
      <x:c r="DQ19" s="28" t="n"/>
      <x:c r="DR19" s="28" t="n"/>
      <x:c r="DS19" s="28" t="n"/>
      <x:c r="DT19" s="28" t="n"/>
      <x:c r="DU19" s="28" t="n"/>
      <x:c r="DV19" s="28" t="n"/>
      <x:c r="DW19" s="28" t="n"/>
      <x:c r="DX19" s="28" t="n"/>
      <x:c r="DY19" s="28" t="n"/>
      <x:c r="DZ19" s="28" t="n"/>
      <x:c r="EA19" s="28" t="n"/>
      <x:c r="EB19" s="28" t="n"/>
      <x:c r="EC19" s="28" t="n"/>
      <x:c r="ED19" s="28" t="n"/>
      <x:c r="EE19" s="28" t="n"/>
      <x:c r="EF19" s="28" t="n"/>
      <x:c r="EG19" s="28" t="n"/>
      <x:c r="EH19" s="28" t="n"/>
      <x:c r="EI19" s="28" t="n"/>
      <x:c r="EJ19" s="28" t="n"/>
      <x:c r="EK19" s="28" t="n"/>
      <x:c r="EL19" s="28" t="n"/>
      <x:c r="EM19" s="28" t="n"/>
      <x:c r="EN19" s="28" t="n"/>
      <x:c r="EO19" s="28" t="n"/>
      <x:c r="EP19" s="28" t="n"/>
      <x:c r="EQ19" s="28" t="n"/>
      <x:c r="ER19" s="28" t="n"/>
      <x:c r="ES19" s="28" t="n"/>
      <x:c r="ET19" s="28" t="n"/>
      <x:c r="EU19" s="28" t="n"/>
      <x:c r="EV19" s="28" t="n"/>
      <x:c r="EW19" s="28" t="n"/>
      <x:c r="EX19" s="28" t="n"/>
      <x:c r="EY19" s="28" t="n"/>
      <x:c r="EZ19" s="28" t="n"/>
      <x:c r="FA19" s="28" t="n"/>
      <x:c r="FB19" s="28" t="n"/>
      <x:c r="FC19" s="28" t="n"/>
      <x:c r="FD19" s="28" t="n"/>
      <x:c r="FE19" s="28" t="n"/>
      <x:c r="FF19" s="28" t="n"/>
      <x:c r="FG19" s="28" t="n"/>
      <x:c r="FH19" s="28" t="n"/>
      <x:c r="FI19" s="28" t="n"/>
      <x:c r="FJ19" s="28" t="n"/>
      <x:c r="FK19" s="28" t="n"/>
      <x:c r="FL19" s="28" t="n"/>
      <x:c r="FM19" s="28" t="n"/>
      <x:c r="FN19" s="28" t="n"/>
      <x:c r="FO19" s="28" t="n"/>
      <x:c r="FP19" s="28" t="n"/>
      <x:c r="FQ19" s="28" t="n"/>
      <x:c r="FR19" s="28" t="n"/>
      <x:c r="FS19" s="28" t="n"/>
      <x:c r="FT19" s="28" t="n"/>
      <x:c r="FU19" s="28" t="n"/>
      <x:c r="FV19" s="28" t="n"/>
      <x:c r="FW19" s="28" t="n"/>
      <x:c r="FX19" s="28" t="n"/>
      <x:c r="FY19" s="28" t="n"/>
      <x:c r="FZ19" s="28" t="n"/>
      <x:c r="GA19" s="28" t="n"/>
    </x:row>
    <x:row r="20" s="27" customFormat="1">
      <x:c r="A20" s="38" t="n"/>
      <x:c r="B20" s="39" t="n"/>
      <x:c r="C20" s="86" t="n">
        <x:f>E20*D$5</x:f>
        <x:v>0</x:v>
      </x:c>
      <x:c r="D20" s="104" t="inlineStr">
        <x:is>
          <x:t xml:space="preserve">Marvin G. Mitchell and Carrie Lou Mitchell, HW, JTWROS</x:t>
        </x:is>
      </x:c>
      <x:c r="E20" s="86" t="n">
        <x:f>SUM(G20:HT20)</x:f>
        <x:v>0</x:v>
      </x:c>
      <x:c r="F20" s="35" t="n"/>
      <x:c r="G20" s="121" t="n"/>
      <x:c r="H20" s="121" t="n"/>
      <x:c r="I20" s="122" t="n"/>
      <x:c r="J20" s="121" t="n"/>
      <x:c r="K20" s="121" t="n"/>
      <x:c r="L20" s="121" t="n"/>
      <x:c r="M20" s="121" t="n"/>
      <x:c r="N20" s="121" t="n"/>
      <x:c r="O20" s="121" t="n"/>
      <x:c r="P20" s="122" t="n"/>
      <x:c r="Q20" s="128" t="n"/>
      <x:c r="R20" s="128" t="n"/>
      <x:c r="S20" s="123" t="n"/>
      <x:c r="T20" s="129" t="n"/>
      <x:c r="U20" s="121" t="n"/>
      <x:c r="V20" s="121" t="n"/>
      <x:c r="W20" s="121" t="n"/>
      <x:c r="X20" s="121" t="n"/>
      <x:c r="Y20" s="121" t="n"/>
      <x:c r="Z20" s="121" t="n"/>
      <x:c r="AA20" s="121" t="n"/>
      <x:c r="AB20" s="121" t="n"/>
      <x:c r="AC20" s="121" t="n"/>
      <x:c r="AD20" s="121" t="n"/>
      <x:c r="AE20" s="123" t="n"/>
      <x:c r="AF20" s="123" t="n"/>
      <x:c r="AG20" s="123" t="n"/>
      <x:c r="AH20" s="123" t="n"/>
      <x:c r="AI20" s="123" t="n"/>
      <x:c r="AJ20" s="123" t="n"/>
      <x:c r="AK20" s="123" t="n"/>
      <x:c r="AL20" s="121" t="n"/>
      <x:c r="AM20" s="123" t="n"/>
      <x:c r="AN20" s="121" t="n"/>
      <x:c r="AO20" s="123" t="n"/>
      <x:c r="AP20" s="121" t="n"/>
      <x:c r="AQ20" s="121" t="n"/>
      <x:c r="AR20" s="28" t="n"/>
      <x:c r="AS20" s="28" t="n"/>
      <x:c r="AT20" s="28" t="n"/>
      <x:c r="AU20" s="28" t="n"/>
      <x:c r="AV20" s="28" t="n"/>
      <x:c r="AW20" s="28" t="n"/>
      <x:c r="AX20" s="28" t="n"/>
      <x:c r="AY20" s="28" t="n"/>
      <x:c r="AZ20" s="28" t="n"/>
      <x:c r="BA20" s="28" t="n"/>
      <x:c r="BB20" s="28" t="n"/>
      <x:c r="BC20" s="28" t="n"/>
      <x:c r="BD20" s="28" t="n"/>
      <x:c r="BE20" s="28" t="n"/>
      <x:c r="BF20" s="28" t="n"/>
      <x:c r="BG20" s="28" t="n"/>
      <x:c r="BH20" s="28" t="n"/>
      <x:c r="BI20" s="28" t="n"/>
      <x:c r="BJ20" s="28" t="n"/>
      <x:c r="BK20" s="28" t="n"/>
      <x:c r="BL20" s="28" t="n"/>
      <x:c r="BM20" s="28" t="n"/>
      <x:c r="BN20" s="28" t="n"/>
      <x:c r="BO20" s="28" t="n"/>
      <x:c r="BP20" s="28" t="n"/>
      <x:c r="BQ20" s="28" t="n"/>
      <x:c r="BR20" s="28" t="n"/>
      <x:c r="BS20" s="28" t="n"/>
      <x:c r="BT20" s="28" t="n"/>
      <x:c r="BU20" s="28" t="n"/>
      <x:c r="BV20" s="28" t="n"/>
      <x:c r="BW20" s="28" t="n"/>
      <x:c r="BX20" s="28" t="n"/>
      <x:c r="BY20" s="28" t="n"/>
      <x:c r="BZ20" s="28" t="n"/>
      <x:c r="CA20" s="28" t="n"/>
      <x:c r="CB20" s="28" t="n"/>
      <x:c r="CC20" s="28" t="n"/>
      <x:c r="CD20" s="28" t="n"/>
      <x:c r="CE20" s="28" t="n"/>
      <x:c r="CF20" s="28" t="n"/>
      <x:c r="CG20" s="28" t="n"/>
      <x:c r="CH20" s="28" t="n"/>
      <x:c r="CI20" s="28" t="n"/>
      <x:c r="CJ20" s="28" t="n"/>
      <x:c r="CK20" s="28" t="n"/>
      <x:c r="CL20" s="28" t="n"/>
      <x:c r="CM20" s="28" t="n"/>
      <x:c r="CN20" s="28" t="n"/>
      <x:c r="CO20" s="28" t="n"/>
      <x:c r="CP20" s="28" t="n"/>
      <x:c r="CQ20" s="28" t="n"/>
      <x:c r="CR20" s="28" t="n"/>
      <x:c r="CS20" s="28" t="n"/>
      <x:c r="CT20" s="28" t="n"/>
      <x:c r="CU20" s="28" t="n"/>
      <x:c r="CV20" s="28" t="n"/>
      <x:c r="CW20" s="28" t="n"/>
      <x:c r="CX20" s="28" t="n"/>
      <x:c r="CY20" s="28" t="n"/>
      <x:c r="CZ20" s="28" t="n"/>
      <x:c r="DA20" s="28" t="n"/>
      <x:c r="DB20" s="28" t="n"/>
      <x:c r="DC20" s="28" t="n"/>
      <x:c r="DD20" s="28" t="n"/>
      <x:c r="DE20" s="28" t="n"/>
      <x:c r="DF20" s="28" t="n"/>
      <x:c r="DG20" s="28" t="n"/>
      <x:c r="DH20" s="28" t="n"/>
      <x:c r="DI20" s="28" t="n"/>
      <x:c r="DJ20" s="28" t="n"/>
      <x:c r="DK20" s="28" t="n"/>
      <x:c r="DL20" s="28" t="n"/>
      <x:c r="DM20" s="28" t="n"/>
      <x:c r="DN20" s="28" t="n"/>
      <x:c r="DO20" s="28" t="n"/>
      <x:c r="DP20" s="28" t="n"/>
      <x:c r="DQ20" s="28" t="n"/>
      <x:c r="DR20" s="28" t="n"/>
      <x:c r="DS20" s="28" t="n"/>
      <x:c r="DT20" s="28" t="n"/>
      <x:c r="DU20" s="28" t="n"/>
      <x:c r="DV20" s="28" t="n"/>
      <x:c r="DW20" s="28" t="n"/>
      <x:c r="DX20" s="28" t="n"/>
      <x:c r="DY20" s="28" t="n"/>
      <x:c r="DZ20" s="28" t="n"/>
      <x:c r="EA20" s="28" t="n"/>
      <x:c r="EB20" s="28" t="n"/>
      <x:c r="EC20" s="28" t="n"/>
      <x:c r="ED20" s="28" t="n"/>
      <x:c r="EE20" s="28" t="n"/>
      <x:c r="EF20" s="28" t="n"/>
      <x:c r="EG20" s="28" t="n"/>
      <x:c r="EH20" s="28" t="n"/>
      <x:c r="EI20" s="28" t="n"/>
      <x:c r="EJ20" s="28" t="n"/>
      <x:c r="EK20" s="28" t="n"/>
      <x:c r="EL20" s="28" t="n"/>
      <x:c r="EM20" s="28" t="n"/>
      <x:c r="EN20" s="28" t="n"/>
      <x:c r="EO20" s="28" t="n"/>
      <x:c r="EP20" s="28" t="n"/>
      <x:c r="EQ20" s="28" t="n"/>
      <x:c r="ER20" s="28" t="n"/>
      <x:c r="ES20" s="28" t="n"/>
      <x:c r="ET20" s="28" t="n"/>
      <x:c r="EU20" s="28" t="n"/>
      <x:c r="EV20" s="28" t="n"/>
      <x:c r="EW20" s="28" t="n"/>
      <x:c r="EX20" s="28" t="n"/>
      <x:c r="EY20" s="28" t="n"/>
      <x:c r="EZ20" s="28" t="n"/>
      <x:c r="FA20" s="28" t="n"/>
      <x:c r="FB20" s="28" t="n"/>
      <x:c r="FC20" s="28" t="n"/>
      <x:c r="FD20" s="28" t="n"/>
      <x:c r="FE20" s="28" t="n"/>
      <x:c r="FF20" s="28" t="n"/>
      <x:c r="FG20" s="28" t="n"/>
      <x:c r="FH20" s="28" t="n"/>
      <x:c r="FI20" s="28" t="n"/>
      <x:c r="FJ20" s="28" t="n"/>
      <x:c r="FK20" s="28" t="n"/>
      <x:c r="FL20" s="28" t="n"/>
      <x:c r="FM20" s="28" t="n"/>
      <x:c r="FN20" s="28" t="n"/>
      <x:c r="FO20" s="28" t="n"/>
      <x:c r="FP20" s="28" t="n"/>
      <x:c r="FQ20" s="28" t="n"/>
      <x:c r="FR20" s="28" t="n"/>
      <x:c r="FS20" s="28" t="n"/>
      <x:c r="FT20" s="28" t="n"/>
      <x:c r="FU20" s="28" t="n"/>
      <x:c r="FV20" s="28" t="n"/>
      <x:c r="FW20" s="28" t="n"/>
      <x:c r="FX20" s="28" t="n"/>
      <x:c r="FY20" s="28" t="n"/>
      <x:c r="FZ20" s="28" t="n"/>
      <x:c r="GA20" s="28" t="n"/>
    </x:row>
    <x:row r="21" s="27" customFormat="1">
      <x:c r="A21" s="38" t="n"/>
      <x:c r="B21" s="37" t="n"/>
      <x:c r="C21" s="36" t="n">
        <x:f>E21*D$5</x:f>
        <x:v>0</x:v>
      </x:c>
      <x:c r="D21" s="103" t="inlineStr">
        <x:is>
          <x:t xml:space="preserve">A. H. Douglas</x:t>
        </x:is>
      </x:c>
      <x:c r="E21" s="36" t="n">
        <x:f>SUM(G21:HT21)</x:f>
        <x:v>0</x:v>
      </x:c>
      <x:c r="F21" s="35" t="n"/>
      <x:c r="G21" s="121" t="n"/>
      <x:c r="H21" s="121" t="n"/>
      <x:c r="I21" s="121" t="n"/>
      <x:c r="J21" s="121" t="n"/>
      <x:c r="K21" s="121" t="n"/>
      <x:c r="L21" s="121" t="n"/>
      <x:c r="M21" s="121" t="n"/>
      <x:c r="N21" s="121" t="n"/>
      <x:c r="O21" s="121" t="n"/>
      <x:c r="P21" s="121" t="n"/>
      <x:c r="Q21" s="128" t="n"/>
      <x:c r="R21" s="128" t="n"/>
      <x:c r="S21" s="123" t="n"/>
      <x:c r="T21" s="129" t="n"/>
      <x:c r="U21" s="121" t="n"/>
      <x:c r="V21" s="121" t="n"/>
      <x:c r="W21" s="121" t="n"/>
      <x:c r="X21" s="121" t="n"/>
      <x:c r="Y21" s="121" t="n"/>
      <x:c r="Z21" s="121" t="n"/>
      <x:c r="AA21" s="121" t="n"/>
      <x:c r="AB21" s="121" t="n"/>
      <x:c r="AC21" s="121" t="n"/>
      <x:c r="AD21" s="121" t="n"/>
      <x:c r="AE21" s="123" t="n"/>
      <x:c r="AF21" s="123" t="n"/>
      <x:c r="AG21" s="123" t="n"/>
      <x:c r="AH21" s="123" t="n"/>
      <x:c r="AI21" s="123" t="n"/>
      <x:c r="AJ21" s="123" t="n"/>
      <x:c r="AK21" s="123" t="n"/>
      <x:c r="AL21" s="121" t="n"/>
      <x:c r="AM21" s="123" t="n"/>
      <x:c r="AN21" s="122" t="n"/>
      <x:c r="AO21" s="123" t="n"/>
      <x:c r="AP21" s="121" t="n"/>
      <x:c r="AQ21" s="121" t="n"/>
      <x:c r="AR21" s="28" t="n"/>
      <x:c r="AS21" s="28" t="n"/>
      <x:c r="AT21" s="28" t="n"/>
      <x:c r="AU21" s="28" t="n"/>
      <x:c r="AV21" s="28" t="n"/>
      <x:c r="AW21" s="28" t="n"/>
      <x:c r="AX21" s="28" t="n"/>
      <x:c r="AY21" s="28" t="n"/>
      <x:c r="AZ21" s="28" t="n"/>
      <x:c r="BA21" s="28" t="n"/>
      <x:c r="BB21" s="28" t="n"/>
      <x:c r="BC21" s="28" t="n"/>
      <x:c r="BD21" s="28" t="n"/>
      <x:c r="BE21" s="28" t="n"/>
      <x:c r="BF21" s="28" t="n"/>
      <x:c r="BG21" s="28" t="n"/>
      <x:c r="BH21" s="28" t="n"/>
      <x:c r="BI21" s="28" t="n"/>
      <x:c r="BJ21" s="28" t="n"/>
      <x:c r="BK21" s="28" t="n"/>
      <x:c r="BL21" s="28" t="n"/>
      <x:c r="BM21" s="28" t="n"/>
      <x:c r="BN21" s="28" t="n"/>
      <x:c r="BO21" s="28" t="n"/>
      <x:c r="BP21" s="28" t="n"/>
      <x:c r="BQ21" s="28" t="n"/>
      <x:c r="BR21" s="28" t="n"/>
      <x:c r="BS21" s="28" t="n"/>
      <x:c r="BT21" s="28" t="n"/>
      <x:c r="BU21" s="28" t="n"/>
      <x:c r="BV21" s="28" t="n"/>
      <x:c r="BW21" s="28" t="n"/>
      <x:c r="BX21" s="28" t="n"/>
      <x:c r="BY21" s="28" t="n"/>
      <x:c r="BZ21" s="28" t="n"/>
      <x:c r="CA21" s="28" t="n"/>
      <x:c r="CB21" s="28" t="n"/>
      <x:c r="CC21" s="28" t="n"/>
      <x:c r="CD21" s="28" t="n"/>
      <x:c r="CE21" s="28" t="n"/>
      <x:c r="CF21" s="28" t="n"/>
      <x:c r="CG21" s="28" t="n"/>
      <x:c r="CH21" s="28" t="n"/>
      <x:c r="CI21" s="28" t="n"/>
      <x:c r="CJ21" s="28" t="n"/>
      <x:c r="CK21" s="28" t="n"/>
      <x:c r="CL21" s="28" t="n"/>
      <x:c r="CM21" s="28" t="n"/>
      <x:c r="CN21" s="28" t="n"/>
      <x:c r="CO21" s="28" t="n"/>
      <x:c r="CP21" s="28" t="n"/>
      <x:c r="CQ21" s="28" t="n"/>
      <x:c r="CR21" s="28" t="n"/>
      <x:c r="CS21" s="28" t="n"/>
      <x:c r="CT21" s="28" t="n"/>
      <x:c r="CU21" s="28" t="n"/>
      <x:c r="CV21" s="28" t="n"/>
      <x:c r="CW21" s="28" t="n"/>
      <x:c r="CX21" s="28" t="n"/>
      <x:c r="CY21" s="28" t="n"/>
      <x:c r="CZ21" s="28" t="n"/>
      <x:c r="DA21" s="28" t="n"/>
      <x:c r="DB21" s="28" t="n"/>
      <x:c r="DC21" s="28" t="n"/>
      <x:c r="DD21" s="28" t="n"/>
      <x:c r="DE21" s="28" t="n"/>
      <x:c r="DF21" s="28" t="n"/>
      <x:c r="DG21" s="28" t="n"/>
      <x:c r="DH21" s="28" t="n"/>
      <x:c r="DI21" s="28" t="n"/>
      <x:c r="DJ21" s="28" t="n"/>
      <x:c r="DK21" s="28" t="n"/>
      <x:c r="DL21" s="28" t="n"/>
      <x:c r="DM21" s="28" t="n"/>
      <x:c r="DN21" s="28" t="n"/>
      <x:c r="DO21" s="28" t="n"/>
      <x:c r="DP21" s="28" t="n"/>
      <x:c r="DQ21" s="28" t="n"/>
      <x:c r="DR21" s="28" t="n"/>
      <x:c r="DS21" s="28" t="n"/>
      <x:c r="DT21" s="28" t="n"/>
      <x:c r="DU21" s="28" t="n"/>
      <x:c r="DV21" s="28" t="n"/>
      <x:c r="DW21" s="28" t="n"/>
      <x:c r="DX21" s="28" t="n"/>
      <x:c r="DY21" s="28" t="n"/>
      <x:c r="DZ21" s="28" t="n"/>
      <x:c r="EA21" s="28" t="n"/>
      <x:c r="EB21" s="28" t="n"/>
      <x:c r="EC21" s="28" t="n"/>
      <x:c r="ED21" s="28" t="n"/>
      <x:c r="EE21" s="28" t="n"/>
      <x:c r="EF21" s="28" t="n"/>
      <x:c r="EG21" s="28" t="n"/>
      <x:c r="EH21" s="28" t="n"/>
      <x:c r="EI21" s="28" t="n"/>
      <x:c r="EJ21" s="28" t="n"/>
      <x:c r="EK21" s="28" t="n"/>
      <x:c r="EL21" s="28" t="n"/>
      <x:c r="EM21" s="28" t="n"/>
      <x:c r="EN21" s="28" t="n"/>
      <x:c r="EO21" s="28" t="n"/>
      <x:c r="EP21" s="28" t="n"/>
      <x:c r="EQ21" s="28" t="n"/>
      <x:c r="ER21" s="28" t="n"/>
      <x:c r="ES21" s="28" t="n"/>
      <x:c r="ET21" s="28" t="n"/>
      <x:c r="EU21" s="28" t="n"/>
      <x:c r="EV21" s="28" t="n"/>
      <x:c r="EW21" s="28" t="n"/>
      <x:c r="EX21" s="28" t="n"/>
      <x:c r="EY21" s="28" t="n"/>
      <x:c r="EZ21" s="28" t="n"/>
      <x:c r="FA21" s="28" t="n"/>
      <x:c r="FB21" s="28" t="n"/>
      <x:c r="FC21" s="28" t="n"/>
      <x:c r="FD21" s="28" t="n"/>
      <x:c r="FE21" s="28" t="n"/>
      <x:c r="FF21" s="28" t="n"/>
      <x:c r="FG21" s="28" t="n"/>
      <x:c r="FH21" s="28" t="n"/>
      <x:c r="FI21" s="28" t="n"/>
      <x:c r="FJ21" s="28" t="n"/>
      <x:c r="FK21" s="28" t="n"/>
      <x:c r="FL21" s="28" t="n"/>
      <x:c r="FM21" s="28" t="n"/>
      <x:c r="FN21" s="28" t="n"/>
      <x:c r="FO21" s="28" t="n"/>
      <x:c r="FP21" s="28" t="n"/>
      <x:c r="FQ21" s="28" t="n"/>
      <x:c r="FR21" s="28" t="n"/>
      <x:c r="FS21" s="28" t="n"/>
      <x:c r="FT21" s="28" t="n"/>
      <x:c r="FU21" s="28" t="n"/>
      <x:c r="FV21" s="28" t="n"/>
      <x:c r="FW21" s="28" t="n"/>
      <x:c r="FX21" s="28" t="n"/>
      <x:c r="FY21" s="28" t="n"/>
      <x:c r="FZ21" s="28" t="n"/>
      <x:c r="GA21" s="28" t="n"/>
    </x:row>
    <x:row r="22" s="27" customFormat="1">
      <x:c r="A22" s="38" t="n"/>
      <x:c r="B22" s="37" t="n"/>
      <x:c r="C22" s="86" t="n">
        <x:f>E22*D$5</x:f>
        <x:v>0</x:v>
      </x:c>
      <x:c r="D22" s="103" t="inlineStr">
        <x:is>
          <x:t xml:space="preserve">Elvin J. Ridling and Dorothy Jean Ridling, HW</x:t>
        </x:is>
      </x:c>
      <x:c r="E22" s="86" t="n">
        <x:f>SUM(G22:HT22)</x:f>
        <x:v>0</x:v>
      </x:c>
      <x:c r="F22" s="35" t="n"/>
      <x:c r="G22" s="121" t="n"/>
      <x:c r="H22" s="121" t="n"/>
      <x:c r="I22" s="121" t="n"/>
      <x:c r="J22" s="121" t="n"/>
      <x:c r="K22" s="121" t="n"/>
      <x:c r="L22" s="121" t="n"/>
      <x:c r="M22" s="121" t="n"/>
      <x:c r="N22" s="121" t="n"/>
      <x:c r="O22" s="121" t="n"/>
      <x:c r="P22" s="121" t="n"/>
      <x:c r="Q22" s="128" t="n"/>
      <x:c r="R22" s="128" t="n"/>
      <x:c r="S22" s="123" t="n"/>
      <x:c r="T22" s="129" t="n"/>
      <x:c r="U22" s="121" t="n"/>
      <x:c r="V22" s="121" t="n"/>
      <x:c r="W22" s="121" t="n"/>
      <x:c r="X22" s="121" t="n"/>
      <x:c r="Y22" s="121" t="n"/>
      <x:c r="Z22" s="121" t="n"/>
      <x:c r="AA22" s="121" t="n"/>
      <x:c r="AB22" s="121" t="n"/>
      <x:c r="AC22" s="121" t="n"/>
      <x:c r="AD22" s="121" t="n"/>
      <x:c r="AE22" s="123" t="n"/>
      <x:c r="AF22" s="123" t="n"/>
      <x:c r="AG22" s="123" t="n"/>
      <x:c r="AH22" s="123" t="n"/>
      <x:c r="AI22" s="123" t="n"/>
      <x:c r="AJ22" s="123" t="n"/>
      <x:c r="AK22" s="123" t="n"/>
      <x:c r="AL22" s="121" t="n"/>
      <x:c r="AM22" s="123" t="n"/>
      <x:c r="AN22" s="122" t="n"/>
      <x:c r="AO22" s="123" t="n"/>
      <x:c r="AP22" s="121" t="n"/>
      <x:c r="AQ22" s="121" t="n"/>
      <x:c r="AR22" s="28" t="n"/>
      <x:c r="AS22" s="28" t="n"/>
      <x:c r="AT22" s="28" t="n"/>
      <x:c r="AU22" s="28" t="n"/>
      <x:c r="AV22" s="28" t="n"/>
      <x:c r="AW22" s="28" t="n"/>
      <x:c r="AX22" s="28" t="n"/>
      <x:c r="AY22" s="28" t="n"/>
      <x:c r="AZ22" s="28" t="n"/>
      <x:c r="BA22" s="28" t="n"/>
      <x:c r="BB22" s="28" t="n"/>
      <x:c r="BC22" s="28" t="n"/>
      <x:c r="BD22" s="28" t="n"/>
      <x:c r="BE22" s="28" t="n"/>
      <x:c r="BF22" s="28" t="n"/>
      <x:c r="BG22" s="28" t="n"/>
      <x:c r="BH22" s="28" t="n"/>
      <x:c r="BI22" s="28" t="n"/>
      <x:c r="BJ22" s="28" t="n"/>
      <x:c r="BK22" s="28" t="n"/>
      <x:c r="BL22" s="28" t="n"/>
      <x:c r="BM22" s="28" t="n"/>
      <x:c r="BN22" s="28" t="n"/>
      <x:c r="BO22" s="28" t="n"/>
      <x:c r="BP22" s="28" t="n"/>
      <x:c r="BQ22" s="28" t="n"/>
      <x:c r="BR22" s="28" t="n"/>
      <x:c r="BS22" s="28" t="n"/>
      <x:c r="BT22" s="28" t="n"/>
      <x:c r="BU22" s="28" t="n"/>
      <x:c r="BV22" s="28" t="n"/>
      <x:c r="BW22" s="28" t="n"/>
      <x:c r="BX22" s="28" t="n"/>
      <x:c r="BY22" s="28" t="n"/>
      <x:c r="BZ22" s="28" t="n"/>
      <x:c r="CA22" s="28" t="n"/>
      <x:c r="CB22" s="28" t="n"/>
      <x:c r="CC22" s="28" t="n"/>
      <x:c r="CD22" s="28" t="n"/>
      <x:c r="CE22" s="28" t="n"/>
      <x:c r="CF22" s="28" t="n"/>
      <x:c r="CG22" s="28" t="n"/>
      <x:c r="CH22" s="28" t="n"/>
      <x:c r="CI22" s="28" t="n"/>
      <x:c r="CJ22" s="28" t="n"/>
      <x:c r="CK22" s="28" t="n"/>
      <x:c r="CL22" s="28" t="n"/>
      <x:c r="CM22" s="28" t="n"/>
      <x:c r="CN22" s="28" t="n"/>
      <x:c r="CO22" s="28" t="n"/>
      <x:c r="CP22" s="28" t="n"/>
      <x:c r="CQ22" s="28" t="n"/>
      <x:c r="CR22" s="28" t="n"/>
      <x:c r="CS22" s="28" t="n"/>
      <x:c r="CT22" s="28" t="n"/>
      <x:c r="CU22" s="28" t="n"/>
      <x:c r="CV22" s="28" t="n"/>
      <x:c r="CW22" s="28" t="n"/>
      <x:c r="CX22" s="28" t="n"/>
      <x:c r="CY22" s="28" t="n"/>
      <x:c r="CZ22" s="28" t="n"/>
      <x:c r="DA22" s="28" t="n"/>
      <x:c r="DB22" s="28" t="n"/>
      <x:c r="DC22" s="28" t="n"/>
      <x:c r="DD22" s="28" t="n"/>
      <x:c r="DE22" s="28" t="n"/>
      <x:c r="DF22" s="28" t="n"/>
      <x:c r="DG22" s="28" t="n"/>
      <x:c r="DH22" s="28" t="n"/>
      <x:c r="DI22" s="28" t="n"/>
      <x:c r="DJ22" s="28" t="n"/>
      <x:c r="DK22" s="28" t="n"/>
      <x:c r="DL22" s="28" t="n"/>
      <x:c r="DM22" s="28" t="n"/>
      <x:c r="DN22" s="28" t="n"/>
      <x:c r="DO22" s="28" t="n"/>
      <x:c r="DP22" s="28" t="n"/>
      <x:c r="DQ22" s="28" t="n"/>
      <x:c r="DR22" s="28" t="n"/>
      <x:c r="DS22" s="28" t="n"/>
      <x:c r="DT22" s="28" t="n"/>
      <x:c r="DU22" s="28" t="n"/>
      <x:c r="DV22" s="28" t="n"/>
      <x:c r="DW22" s="28" t="n"/>
      <x:c r="DX22" s="28" t="n"/>
      <x:c r="DY22" s="28" t="n"/>
      <x:c r="DZ22" s="28" t="n"/>
      <x:c r="EA22" s="28" t="n"/>
      <x:c r="EB22" s="28" t="n"/>
      <x:c r="EC22" s="28" t="n"/>
      <x:c r="ED22" s="28" t="n"/>
      <x:c r="EE22" s="28" t="n"/>
      <x:c r="EF22" s="28" t="n"/>
      <x:c r="EG22" s="28" t="n"/>
      <x:c r="EH22" s="28" t="n"/>
      <x:c r="EI22" s="28" t="n"/>
      <x:c r="EJ22" s="28" t="n"/>
      <x:c r="EK22" s="28" t="n"/>
      <x:c r="EL22" s="28" t="n"/>
      <x:c r="EM22" s="28" t="n"/>
      <x:c r="EN22" s="28" t="n"/>
      <x:c r="EO22" s="28" t="n"/>
      <x:c r="EP22" s="28" t="n"/>
      <x:c r="EQ22" s="28" t="n"/>
      <x:c r="ER22" s="28" t="n"/>
      <x:c r="ES22" s="28" t="n"/>
      <x:c r="ET22" s="28" t="n"/>
      <x:c r="EU22" s="28" t="n"/>
      <x:c r="EV22" s="28" t="n"/>
      <x:c r="EW22" s="28" t="n"/>
      <x:c r="EX22" s="28" t="n"/>
      <x:c r="EY22" s="28" t="n"/>
      <x:c r="EZ22" s="28" t="n"/>
      <x:c r="FA22" s="28" t="n"/>
      <x:c r="FB22" s="28" t="n"/>
      <x:c r="FC22" s="28" t="n"/>
      <x:c r="FD22" s="28" t="n"/>
      <x:c r="FE22" s="28" t="n"/>
      <x:c r="FF22" s="28" t="n"/>
      <x:c r="FG22" s="28" t="n"/>
      <x:c r="FH22" s="28" t="n"/>
      <x:c r="FI22" s="28" t="n"/>
      <x:c r="FJ22" s="28" t="n"/>
      <x:c r="FK22" s="28" t="n"/>
      <x:c r="FL22" s="28" t="n"/>
      <x:c r="FM22" s="28" t="n"/>
      <x:c r="FN22" s="28" t="n"/>
      <x:c r="FO22" s="28" t="n"/>
      <x:c r="FP22" s="28" t="n"/>
      <x:c r="FQ22" s="28" t="n"/>
      <x:c r="FR22" s="28" t="n"/>
      <x:c r="FS22" s="28" t="n"/>
      <x:c r="FT22" s="28" t="n"/>
      <x:c r="FU22" s="28" t="n"/>
      <x:c r="FV22" s="28" t="n"/>
      <x:c r="FW22" s="28" t="n"/>
      <x:c r="FX22" s="28" t="n"/>
      <x:c r="FY22" s="28" t="n"/>
      <x:c r="FZ22" s="28" t="n"/>
      <x:c r="GA22" s="28" t="n"/>
    </x:row>
    <x:row r="23" s="27" customFormat="1">
      <x:c r="A23" s="125" t="n"/>
      <x:c r="B23" s="39" t="n"/>
      <x:c r="C23" s="86" t="n">
        <x:f>E23*D$5</x:f>
        <x:v>0</x:v>
      </x:c>
      <x:c r="D23" s="4" t="inlineStr">
        <x:is>
          <x:t xml:space="preserve">W. L. Ayers and Hazel Ayers, HW</x:t>
        </x:is>
      </x:c>
      <x:c r="E23" s="86" t="n">
        <x:f>SUM(G23:HT23)</x:f>
        <x:v>0</x:v>
      </x:c>
      <x:c r="F23" s="35" t="n"/>
      <x:c r="G23" s="121" t="n"/>
      <x:c r="H23" s="121" t="n"/>
      <x:c r="I23" s="121" t="n"/>
      <x:c r="J23" s="121" t="n"/>
      <x:c r="K23" s="121" t="n"/>
      <x:c r="L23" s="121" t="n"/>
      <x:c r="M23" s="121" t="n"/>
      <x:c r="N23" s="121" t="n"/>
      <x:c r="O23" s="121" t="n"/>
      <x:c r="P23" s="121" t="n"/>
      <x:c r="Q23" s="121" t="n"/>
      <x:c r="R23" s="124" t="n"/>
      <x:c r="S23" s="123" t="n"/>
      <x:c r="T23" s="121" t="n"/>
      <x:c r="U23" s="129" t="n"/>
      <x:c r="V23" s="121" t="n"/>
      <x:c r="W23" s="121" t="n"/>
      <x:c r="X23" s="121" t="n"/>
      <x:c r="Y23" s="121" t="n"/>
      <x:c r="Z23" s="121" t="n"/>
      <x:c r="AA23" s="121" t="n"/>
      <x:c r="AB23" s="121" t="n"/>
      <x:c r="AC23" s="121" t="n"/>
      <x:c r="AD23" s="121" t="n"/>
      <x:c r="AE23" s="123" t="n"/>
      <x:c r="AF23" s="123" t="n"/>
      <x:c r="AG23" s="123" t="n"/>
      <x:c r="AH23" s="123" t="n"/>
      <x:c r="AI23" s="123" t="n"/>
      <x:c r="AJ23" s="123" t="n"/>
      <x:c r="AK23" s="123" t="n"/>
      <x:c r="AL23" s="121" t="n"/>
      <x:c r="AM23" s="123" t="n"/>
      <x:c r="AN23" s="122" t="n"/>
      <x:c r="AO23" s="123" t="n"/>
      <x:c r="AP23" s="121" t="n"/>
      <x:c r="AQ23" s="121" t="n"/>
      <x:c r="AR23" s="28" t="n"/>
      <x:c r="AS23" s="28" t="n"/>
      <x:c r="AT23" s="28" t="n"/>
      <x:c r="AU23" s="28" t="n"/>
      <x:c r="AV23" s="28" t="n"/>
      <x:c r="AW23" s="28" t="n"/>
      <x:c r="AX23" s="28" t="n"/>
      <x:c r="AY23" s="28" t="n"/>
      <x:c r="AZ23" s="28" t="n"/>
      <x:c r="BA23" s="28" t="n"/>
      <x:c r="BB23" s="28" t="n"/>
      <x:c r="BC23" s="28" t="n"/>
      <x:c r="BD23" s="28" t="n"/>
      <x:c r="BE23" s="28" t="n"/>
      <x:c r="BF23" s="28" t="n"/>
      <x:c r="BG23" s="28" t="n"/>
      <x:c r="BH23" s="28" t="n"/>
      <x:c r="BI23" s="28" t="n"/>
      <x:c r="BJ23" s="28" t="n"/>
      <x:c r="BK23" s="28" t="n"/>
      <x:c r="BL23" s="28" t="n"/>
      <x:c r="BM23" s="28" t="n"/>
      <x:c r="BN23" s="28" t="n"/>
      <x:c r="BO23" s="28" t="n"/>
      <x:c r="BP23" s="28" t="n"/>
      <x:c r="BQ23" s="28" t="n"/>
      <x:c r="BR23" s="28" t="n"/>
      <x:c r="BS23" s="28" t="n"/>
      <x:c r="BT23" s="28" t="n"/>
      <x:c r="BU23" s="28" t="n"/>
      <x:c r="BV23" s="28" t="n"/>
      <x:c r="BW23" s="28" t="n"/>
      <x:c r="BX23" s="28" t="n"/>
      <x:c r="BY23" s="28" t="n"/>
      <x:c r="BZ23" s="28" t="n"/>
      <x:c r="CA23" s="28" t="n"/>
      <x:c r="CB23" s="28" t="n"/>
      <x:c r="CC23" s="28" t="n"/>
      <x:c r="CD23" s="28" t="n"/>
      <x:c r="CE23" s="28" t="n"/>
      <x:c r="CF23" s="28" t="n"/>
      <x:c r="CG23" s="28" t="n"/>
      <x:c r="CH23" s="28" t="n"/>
      <x:c r="CI23" s="28" t="n"/>
      <x:c r="CJ23" s="28" t="n"/>
      <x:c r="CK23" s="28" t="n"/>
      <x:c r="CL23" s="28" t="n"/>
      <x:c r="CM23" s="28" t="n"/>
      <x:c r="CN23" s="28" t="n"/>
      <x:c r="CO23" s="28" t="n"/>
      <x:c r="CP23" s="28" t="n"/>
      <x:c r="CQ23" s="28" t="n"/>
      <x:c r="CR23" s="28" t="n"/>
      <x:c r="CS23" s="28" t="n"/>
      <x:c r="CT23" s="28" t="n"/>
      <x:c r="CU23" s="28" t="n"/>
      <x:c r="CV23" s="28" t="n"/>
      <x:c r="CW23" s="28" t="n"/>
      <x:c r="CX23" s="28" t="n"/>
      <x:c r="CY23" s="28" t="n"/>
      <x:c r="CZ23" s="28" t="n"/>
      <x:c r="DA23" s="28" t="n"/>
      <x:c r="DB23" s="28" t="n"/>
      <x:c r="DC23" s="28" t="n"/>
      <x:c r="DD23" s="28" t="n"/>
      <x:c r="DE23" s="28" t="n"/>
      <x:c r="DF23" s="28" t="n"/>
      <x:c r="DG23" s="28" t="n"/>
      <x:c r="DH23" s="28" t="n"/>
      <x:c r="DI23" s="28" t="n"/>
      <x:c r="DJ23" s="28" t="n"/>
      <x:c r="DK23" s="28" t="n"/>
      <x:c r="DL23" s="28" t="n"/>
      <x:c r="DM23" s="28" t="n"/>
      <x:c r="DN23" s="28" t="n"/>
      <x:c r="DO23" s="28" t="n"/>
      <x:c r="DP23" s="28" t="n"/>
      <x:c r="DQ23" s="28" t="n"/>
      <x:c r="DR23" s="28" t="n"/>
      <x:c r="DS23" s="28" t="n"/>
      <x:c r="DT23" s="28" t="n"/>
      <x:c r="DU23" s="28" t="n"/>
      <x:c r="DV23" s="28" t="n"/>
      <x:c r="DW23" s="28" t="n"/>
      <x:c r="DX23" s="28" t="n"/>
      <x:c r="DY23" s="28" t="n"/>
      <x:c r="DZ23" s="28" t="n"/>
      <x:c r="EA23" s="28" t="n"/>
      <x:c r="EB23" s="28" t="n"/>
      <x:c r="EC23" s="28" t="n"/>
      <x:c r="ED23" s="28" t="n"/>
      <x:c r="EE23" s="28" t="n"/>
      <x:c r="EF23" s="28" t="n"/>
      <x:c r="EG23" s="28" t="n"/>
      <x:c r="EH23" s="28" t="n"/>
      <x:c r="EI23" s="28" t="n"/>
      <x:c r="EJ23" s="28" t="n"/>
      <x:c r="EK23" s="28" t="n"/>
      <x:c r="EL23" s="28" t="n"/>
      <x:c r="EM23" s="28" t="n"/>
      <x:c r="EN23" s="28" t="n"/>
      <x:c r="EO23" s="28" t="n"/>
      <x:c r="EP23" s="28" t="n"/>
      <x:c r="EQ23" s="28" t="n"/>
      <x:c r="ER23" s="28" t="n"/>
      <x:c r="ES23" s="28" t="n"/>
      <x:c r="ET23" s="28" t="n"/>
      <x:c r="EU23" s="28" t="n"/>
      <x:c r="EV23" s="28" t="n"/>
      <x:c r="EW23" s="28" t="n"/>
      <x:c r="EX23" s="28" t="n"/>
      <x:c r="EY23" s="28" t="n"/>
      <x:c r="EZ23" s="28" t="n"/>
      <x:c r="FA23" s="28" t="n"/>
      <x:c r="FB23" s="28" t="n"/>
      <x:c r="FC23" s="28" t="n"/>
      <x:c r="FD23" s="28" t="n"/>
      <x:c r="FE23" s="28" t="n"/>
      <x:c r="FF23" s="28" t="n"/>
      <x:c r="FG23" s="28" t="n"/>
      <x:c r="FH23" s="28" t="n"/>
      <x:c r="FI23" s="28" t="n"/>
      <x:c r="FJ23" s="28" t="n"/>
      <x:c r="FK23" s="28" t="n"/>
      <x:c r="FL23" s="28" t="n"/>
      <x:c r="FM23" s="28" t="n"/>
      <x:c r="FN23" s="28" t="n"/>
      <x:c r="FO23" s="28" t="n"/>
      <x:c r="FP23" s="28" t="n"/>
      <x:c r="FQ23" s="28" t="n"/>
      <x:c r="FR23" s="28" t="n"/>
      <x:c r="FS23" s="28" t="n"/>
      <x:c r="FT23" s="28" t="n"/>
      <x:c r="FU23" s="28" t="n"/>
      <x:c r="FV23" s="28" t="n"/>
      <x:c r="FW23" s="28" t="n"/>
      <x:c r="FX23" s="28" t="n"/>
      <x:c r="FY23" s="28" t="n"/>
      <x:c r="FZ23" s="28" t="n"/>
      <x:c r="GA23" s="28" t="n"/>
    </x:row>
    <x:row r="24" s="27" customFormat="1">
      <x:c r="A24" s="125" t="n"/>
      <x:c r="B24" s="39" t="n"/>
      <x:c r="C24" s="86" t="n">
        <x:f>E24*D$5</x:f>
        <x:v>0</x:v>
      </x:c>
      <x:c r="D24" s="103" t="inlineStr">
        <x:is>
          <x:t xml:space="preserve">Robert O. Lister Jr.</x:t>
        </x:is>
      </x:c>
      <x:c r="E24" s="86" t="n">
        <x:f>SUM(G24:HT24)</x:f>
        <x:v>0</x:v>
      </x:c>
      <x:c r="F24" s="35" t="n"/>
      <x:c r="G24" s="121" t="n"/>
      <x:c r="H24" s="121" t="n"/>
      <x:c r="I24" s="121" t="n"/>
      <x:c r="J24" s="121" t="n"/>
      <x:c r="K24" s="121" t="n"/>
      <x:c r="L24" s="121" t="n"/>
      <x:c r="M24" s="121" t="n"/>
      <x:c r="N24" s="121" t="n"/>
      <x:c r="O24" s="121" t="n"/>
      <x:c r="P24" s="121" t="n"/>
      <x:c r="Q24" s="121" t="n"/>
      <x:c r="R24" s="124" t="n"/>
      <x:c r="S24" s="123" t="n"/>
      <x:c r="T24" s="121" t="n"/>
      <x:c r="U24" s="129" t="n"/>
      <x:c r="V24" s="121" t="n"/>
      <x:c r="W24" s="121" t="n"/>
      <x:c r="X24" s="121" t="n"/>
      <x:c r="Y24" s="121" t="n"/>
      <x:c r="Z24" s="121" t="n"/>
      <x:c r="AA24" s="121" t="n"/>
      <x:c r="AB24" s="121" t="n"/>
      <x:c r="AC24" s="121" t="n"/>
      <x:c r="AD24" s="121" t="n"/>
      <x:c r="AE24" s="123" t="n"/>
      <x:c r="AF24" s="123" t="n"/>
      <x:c r="AG24" s="123" t="n"/>
      <x:c r="AH24" s="123" t="n"/>
      <x:c r="AI24" s="123" t="n"/>
      <x:c r="AJ24" s="123" t="n"/>
      <x:c r="AK24" s="123" t="n"/>
      <x:c r="AL24" s="121" t="n"/>
      <x:c r="AM24" s="123" t="n"/>
      <x:c r="AN24" s="122" t="n"/>
      <x:c r="AO24" s="123" t="n"/>
      <x:c r="AP24" s="121" t="n"/>
      <x:c r="AQ24" s="121" t="n"/>
      <x:c r="AR24" s="28" t="n"/>
      <x:c r="AS24" s="28" t="n"/>
      <x:c r="AT24" s="28" t="n"/>
      <x:c r="AU24" s="28" t="n"/>
      <x:c r="AV24" s="28" t="n"/>
      <x:c r="AW24" s="28" t="n"/>
      <x:c r="AX24" s="28" t="n"/>
      <x:c r="AY24" s="28" t="n"/>
      <x:c r="AZ24" s="28" t="n"/>
      <x:c r="BA24" s="28" t="n"/>
      <x:c r="BB24" s="28" t="n"/>
      <x:c r="BC24" s="28" t="n"/>
      <x:c r="BD24" s="28" t="n"/>
      <x:c r="BE24" s="28" t="n"/>
      <x:c r="BF24" s="28" t="n"/>
      <x:c r="BG24" s="28" t="n"/>
      <x:c r="BH24" s="28" t="n"/>
      <x:c r="BI24" s="28" t="n"/>
      <x:c r="BJ24" s="28" t="n"/>
      <x:c r="BK24" s="28" t="n"/>
      <x:c r="BL24" s="28" t="n"/>
      <x:c r="BM24" s="28" t="n"/>
      <x:c r="BN24" s="28" t="n"/>
      <x:c r="BO24" s="28" t="n"/>
      <x:c r="BP24" s="28" t="n"/>
      <x:c r="BQ24" s="28" t="n"/>
      <x:c r="BR24" s="28" t="n"/>
      <x:c r="BS24" s="28" t="n"/>
      <x:c r="BT24" s="28" t="n"/>
      <x:c r="BU24" s="28" t="n"/>
      <x:c r="BV24" s="28" t="n"/>
      <x:c r="BW24" s="28" t="n"/>
      <x:c r="BX24" s="28" t="n"/>
      <x:c r="BY24" s="28" t="n"/>
      <x:c r="BZ24" s="28" t="n"/>
      <x:c r="CA24" s="28" t="n"/>
      <x:c r="CB24" s="28" t="n"/>
      <x:c r="CC24" s="28" t="n"/>
      <x:c r="CD24" s="28" t="n"/>
      <x:c r="CE24" s="28" t="n"/>
      <x:c r="CF24" s="28" t="n"/>
      <x:c r="CG24" s="28" t="n"/>
      <x:c r="CH24" s="28" t="n"/>
      <x:c r="CI24" s="28" t="n"/>
      <x:c r="CJ24" s="28" t="n"/>
      <x:c r="CK24" s="28" t="n"/>
      <x:c r="CL24" s="28" t="n"/>
      <x:c r="CM24" s="28" t="n"/>
      <x:c r="CN24" s="28" t="n"/>
      <x:c r="CO24" s="28" t="n"/>
      <x:c r="CP24" s="28" t="n"/>
      <x:c r="CQ24" s="28" t="n"/>
      <x:c r="CR24" s="28" t="n"/>
      <x:c r="CS24" s="28" t="n"/>
      <x:c r="CT24" s="28" t="n"/>
      <x:c r="CU24" s="28" t="n"/>
      <x:c r="CV24" s="28" t="n"/>
      <x:c r="CW24" s="28" t="n"/>
      <x:c r="CX24" s="28" t="n"/>
      <x:c r="CY24" s="28" t="n"/>
      <x:c r="CZ24" s="28" t="n"/>
      <x:c r="DA24" s="28" t="n"/>
      <x:c r="DB24" s="28" t="n"/>
      <x:c r="DC24" s="28" t="n"/>
      <x:c r="DD24" s="28" t="n"/>
      <x:c r="DE24" s="28" t="n"/>
      <x:c r="DF24" s="28" t="n"/>
      <x:c r="DG24" s="28" t="n"/>
      <x:c r="DH24" s="28" t="n"/>
      <x:c r="DI24" s="28" t="n"/>
      <x:c r="DJ24" s="28" t="n"/>
      <x:c r="DK24" s="28" t="n"/>
      <x:c r="DL24" s="28" t="n"/>
      <x:c r="DM24" s="28" t="n"/>
      <x:c r="DN24" s="28" t="n"/>
      <x:c r="DO24" s="28" t="n"/>
      <x:c r="DP24" s="28" t="n"/>
      <x:c r="DQ24" s="28" t="n"/>
      <x:c r="DR24" s="28" t="n"/>
      <x:c r="DS24" s="28" t="n"/>
      <x:c r="DT24" s="28" t="n"/>
      <x:c r="DU24" s="28" t="n"/>
      <x:c r="DV24" s="28" t="n"/>
      <x:c r="DW24" s="28" t="n"/>
      <x:c r="DX24" s="28" t="n"/>
      <x:c r="DY24" s="28" t="n"/>
      <x:c r="DZ24" s="28" t="n"/>
      <x:c r="EA24" s="28" t="n"/>
      <x:c r="EB24" s="28" t="n"/>
      <x:c r="EC24" s="28" t="n"/>
      <x:c r="ED24" s="28" t="n"/>
      <x:c r="EE24" s="28" t="n"/>
      <x:c r="EF24" s="28" t="n"/>
      <x:c r="EG24" s="28" t="n"/>
      <x:c r="EH24" s="28" t="n"/>
      <x:c r="EI24" s="28" t="n"/>
      <x:c r="EJ24" s="28" t="n"/>
      <x:c r="EK24" s="28" t="n"/>
      <x:c r="EL24" s="28" t="n"/>
      <x:c r="EM24" s="28" t="n"/>
      <x:c r="EN24" s="28" t="n"/>
      <x:c r="EO24" s="28" t="n"/>
      <x:c r="EP24" s="28" t="n"/>
      <x:c r="EQ24" s="28" t="n"/>
      <x:c r="ER24" s="28" t="n"/>
      <x:c r="ES24" s="28" t="n"/>
      <x:c r="ET24" s="28" t="n"/>
      <x:c r="EU24" s="28" t="n"/>
      <x:c r="EV24" s="28" t="n"/>
      <x:c r="EW24" s="28" t="n"/>
      <x:c r="EX24" s="28" t="n"/>
      <x:c r="EY24" s="28" t="n"/>
      <x:c r="EZ24" s="28" t="n"/>
      <x:c r="FA24" s="28" t="n"/>
      <x:c r="FB24" s="28" t="n"/>
      <x:c r="FC24" s="28" t="n"/>
      <x:c r="FD24" s="28" t="n"/>
      <x:c r="FE24" s="28" t="n"/>
      <x:c r="FF24" s="28" t="n"/>
      <x:c r="FG24" s="28" t="n"/>
      <x:c r="FH24" s="28" t="n"/>
      <x:c r="FI24" s="28" t="n"/>
      <x:c r="FJ24" s="28" t="n"/>
      <x:c r="FK24" s="28" t="n"/>
      <x:c r="FL24" s="28" t="n"/>
      <x:c r="FM24" s="28" t="n"/>
      <x:c r="FN24" s="28" t="n"/>
      <x:c r="FO24" s="28" t="n"/>
      <x:c r="FP24" s="28" t="n"/>
      <x:c r="FQ24" s="28" t="n"/>
      <x:c r="FR24" s="28" t="n"/>
      <x:c r="FS24" s="28" t="n"/>
      <x:c r="FT24" s="28" t="n"/>
      <x:c r="FU24" s="28" t="n"/>
      <x:c r="FV24" s="28" t="n"/>
      <x:c r="FW24" s="28" t="n"/>
      <x:c r="FX24" s="28" t="n"/>
      <x:c r="FY24" s="28" t="n"/>
      <x:c r="FZ24" s="28" t="n"/>
      <x:c r="GA24" s="28" t="n"/>
    </x:row>
    <x:row r="25" s="27" customFormat="1">
      <x:c r="A25" s="125" t="n"/>
      <x:c r="B25" s="39" t="n"/>
      <x:c r="C25" s="86" t="n">
        <x:f>E25*D$5</x:f>
        <x:v>0</x:v>
      </x:c>
      <x:c r="D25" s="104" t="inlineStr">
        <x:is>
          <x:t xml:space="preserve">Carrie Lou Mitchell</x:t>
        </x:is>
      </x:c>
      <x:c r="E25" s="86" t="n">
        <x:f>SUM(G25:HT25)</x:f>
        <x:v>0</x:v>
      </x:c>
      <x:c r="F25" s="35" t="n"/>
      <x:c r="G25" s="121" t="n"/>
      <x:c r="H25" s="121" t="n"/>
      <x:c r="I25" s="121" t="n"/>
      <x:c r="J25" s="121" t="n"/>
      <x:c r="K25" s="121" t="n"/>
      <x:c r="L25" s="121" t="n"/>
      <x:c r="M25" s="121" t="n"/>
      <x:c r="N25" s="121" t="n"/>
      <x:c r="O25" s="121" t="n"/>
      <x:c r="P25" s="121" t="n"/>
      <x:c r="Q25" s="121" t="n"/>
      <x:c r="R25" s="124" t="n"/>
      <x:c r="S25" s="123" t="n"/>
      <x:c r="T25" s="121" t="n"/>
      <x:c r="U25" s="121" t="n"/>
      <x:c r="V25" s="129" t="n"/>
      <x:c r="W25" s="121" t="n"/>
      <x:c r="X25" s="121" t="n"/>
      <x:c r="Y25" s="121" t="n"/>
      <x:c r="Z25" s="121" t="n"/>
      <x:c r="AA25" s="121" t="n"/>
      <x:c r="AB25" s="121" t="n"/>
      <x:c r="AC25" s="121" t="n"/>
      <x:c r="AD25" s="121" t="n"/>
      <x:c r="AE25" s="123" t="n"/>
      <x:c r="AF25" s="123" t="n"/>
      <x:c r="AG25" s="123" t="n"/>
      <x:c r="AH25" s="123" t="n"/>
      <x:c r="AI25" s="123" t="n"/>
      <x:c r="AJ25" s="6" t="n"/>
      <x:c r="AK25" s="123" t="n"/>
      <x:c r="AL25" s="121" t="n"/>
      <x:c r="AM25" s="123" t="n"/>
      <x:c r="AN25" s="121" t="n"/>
      <x:c r="AO25" s="123" t="n"/>
      <x:c r="AP25" s="121" t="n"/>
      <x:c r="AQ25" s="121" t="n"/>
      <x:c r="AR25" s="28" t="n"/>
      <x:c r="AS25" s="28" t="n"/>
      <x:c r="AT25" s="28" t="n"/>
      <x:c r="AU25" s="28" t="n"/>
      <x:c r="AV25" s="28" t="n"/>
      <x:c r="AW25" s="28" t="n"/>
      <x:c r="AX25" s="28" t="n"/>
      <x:c r="AY25" s="28" t="n"/>
      <x:c r="AZ25" s="28" t="n"/>
      <x:c r="BA25" s="28" t="n"/>
      <x:c r="BB25" s="28" t="n"/>
      <x:c r="BC25" s="28" t="n"/>
      <x:c r="BD25" s="28" t="n"/>
      <x:c r="BE25" s="28" t="n"/>
      <x:c r="BF25" s="28" t="n"/>
      <x:c r="BG25" s="28" t="n"/>
      <x:c r="BH25" s="28" t="n"/>
      <x:c r="BI25" s="28" t="n"/>
      <x:c r="BJ25" s="28" t="n"/>
      <x:c r="BK25" s="28" t="n"/>
      <x:c r="BL25" s="28" t="n"/>
      <x:c r="BM25" s="28" t="n"/>
      <x:c r="BN25" s="28" t="n"/>
      <x:c r="BO25" s="28" t="n"/>
      <x:c r="BP25" s="28" t="n"/>
      <x:c r="BQ25" s="28" t="n"/>
      <x:c r="BR25" s="28" t="n"/>
      <x:c r="BS25" s="28" t="n"/>
      <x:c r="BT25" s="28" t="n"/>
      <x:c r="BU25" s="28" t="n"/>
      <x:c r="BV25" s="28" t="n"/>
      <x:c r="BW25" s="28" t="n"/>
      <x:c r="BX25" s="28" t="n"/>
      <x:c r="BY25" s="28" t="n"/>
      <x:c r="BZ25" s="28" t="n"/>
      <x:c r="CA25" s="28" t="n"/>
      <x:c r="CB25" s="28" t="n"/>
      <x:c r="CC25" s="28" t="n"/>
      <x:c r="CD25" s="28" t="n"/>
      <x:c r="CE25" s="28" t="n"/>
      <x:c r="CF25" s="28" t="n"/>
      <x:c r="CG25" s="28" t="n"/>
      <x:c r="CH25" s="28" t="n"/>
      <x:c r="CI25" s="28" t="n"/>
      <x:c r="CJ25" s="28" t="n"/>
      <x:c r="CK25" s="28" t="n"/>
      <x:c r="CL25" s="28" t="n"/>
      <x:c r="CM25" s="28" t="n"/>
      <x:c r="CN25" s="28" t="n"/>
      <x:c r="CO25" s="28" t="n"/>
      <x:c r="CP25" s="28" t="n"/>
      <x:c r="CQ25" s="28" t="n"/>
      <x:c r="CR25" s="28" t="n"/>
      <x:c r="CS25" s="28" t="n"/>
      <x:c r="CT25" s="28" t="n"/>
      <x:c r="CU25" s="28" t="n"/>
      <x:c r="CV25" s="28" t="n"/>
      <x:c r="CW25" s="28" t="n"/>
      <x:c r="CX25" s="28" t="n"/>
      <x:c r="CY25" s="28" t="n"/>
      <x:c r="CZ25" s="28" t="n"/>
      <x:c r="DA25" s="28" t="n"/>
      <x:c r="DB25" s="28" t="n"/>
      <x:c r="DC25" s="28" t="n"/>
      <x:c r="DD25" s="28" t="n"/>
      <x:c r="DE25" s="28" t="n"/>
      <x:c r="DF25" s="28" t="n"/>
      <x:c r="DG25" s="28" t="n"/>
      <x:c r="DH25" s="28" t="n"/>
      <x:c r="DI25" s="28" t="n"/>
      <x:c r="DJ25" s="28" t="n"/>
      <x:c r="DK25" s="28" t="n"/>
      <x:c r="DL25" s="28" t="n"/>
      <x:c r="DM25" s="28" t="n"/>
      <x:c r="DN25" s="28" t="n"/>
      <x:c r="DO25" s="28" t="n"/>
      <x:c r="DP25" s="28" t="n"/>
      <x:c r="DQ25" s="28" t="n"/>
      <x:c r="DR25" s="28" t="n"/>
      <x:c r="DS25" s="28" t="n"/>
      <x:c r="DT25" s="28" t="n"/>
      <x:c r="DU25" s="28" t="n"/>
      <x:c r="DV25" s="28" t="n"/>
      <x:c r="DW25" s="28" t="n"/>
      <x:c r="DX25" s="28" t="n"/>
      <x:c r="DY25" s="28" t="n"/>
      <x:c r="DZ25" s="28" t="n"/>
      <x:c r="EA25" s="28" t="n"/>
      <x:c r="EB25" s="28" t="n"/>
      <x:c r="EC25" s="28" t="n"/>
      <x:c r="ED25" s="28" t="n"/>
      <x:c r="EE25" s="28" t="n"/>
      <x:c r="EF25" s="28" t="n"/>
      <x:c r="EG25" s="28" t="n"/>
      <x:c r="EH25" s="28" t="n"/>
      <x:c r="EI25" s="28" t="n"/>
      <x:c r="EJ25" s="28" t="n"/>
      <x:c r="EK25" s="28" t="n"/>
      <x:c r="EL25" s="28" t="n"/>
      <x:c r="EM25" s="28" t="n"/>
      <x:c r="EN25" s="28" t="n"/>
      <x:c r="EO25" s="28" t="n"/>
      <x:c r="EP25" s="28" t="n"/>
      <x:c r="EQ25" s="28" t="n"/>
      <x:c r="ER25" s="28" t="n"/>
      <x:c r="ES25" s="28" t="n"/>
      <x:c r="ET25" s="28" t="n"/>
      <x:c r="EU25" s="28" t="n"/>
      <x:c r="EV25" s="28" t="n"/>
      <x:c r="EW25" s="28" t="n"/>
      <x:c r="EX25" s="28" t="n"/>
      <x:c r="EY25" s="28" t="n"/>
      <x:c r="EZ25" s="28" t="n"/>
      <x:c r="FA25" s="28" t="n"/>
      <x:c r="FB25" s="28" t="n"/>
      <x:c r="FC25" s="28" t="n"/>
      <x:c r="FD25" s="28" t="n"/>
      <x:c r="FE25" s="28" t="n"/>
      <x:c r="FF25" s="28" t="n"/>
      <x:c r="FG25" s="28" t="n"/>
      <x:c r="FH25" s="28" t="n"/>
      <x:c r="FI25" s="28" t="n"/>
      <x:c r="FJ25" s="28" t="n"/>
      <x:c r="FK25" s="28" t="n"/>
      <x:c r="FL25" s="28" t="n"/>
      <x:c r="FM25" s="28" t="n"/>
      <x:c r="FN25" s="28" t="n"/>
      <x:c r="FO25" s="28" t="n"/>
      <x:c r="FP25" s="28" t="n"/>
      <x:c r="FQ25" s="28" t="n"/>
      <x:c r="FR25" s="28" t="n"/>
      <x:c r="FS25" s="28" t="n"/>
      <x:c r="FT25" s="28" t="n"/>
      <x:c r="FU25" s="28" t="n"/>
      <x:c r="FV25" s="28" t="n"/>
      <x:c r="FW25" s="28" t="n"/>
      <x:c r="FX25" s="28" t="n"/>
      <x:c r="FY25" s="28" t="n"/>
      <x:c r="FZ25" s="28" t="n"/>
      <x:c r="GA25" s="28" t="n"/>
    </x:row>
    <x:row r="26" s="27" customFormat="1">
      <x:c r="A26" s="125" t="n"/>
      <x:c r="B26" s="39" t="n"/>
      <x:c r="C26" s="86" t="n">
        <x:f>E26*D$5</x:f>
        <x:v>0</x:v>
      </x:c>
      <x:c r="D26" s="104" t="inlineStr">
        <x:is>
          <x:t xml:space="preserve">A. C. Campbell</x:t>
        </x:is>
      </x:c>
      <x:c r="E26" s="86" t="n">
        <x:f>SUM(G26:HT26)</x:f>
        <x:v>0</x:v>
      </x:c>
      <x:c r="F26" s="35" t="n"/>
      <x:c r="G26" s="121" t="n"/>
      <x:c r="H26" s="121" t="n"/>
      <x:c r="I26" s="121" t="n"/>
      <x:c r="J26" s="121" t="n"/>
      <x:c r="K26" s="121" t="n"/>
      <x:c r="L26" s="121" t="n"/>
      <x:c r="M26" s="121" t="n"/>
      <x:c r="N26" s="121" t="n"/>
      <x:c r="O26" s="121" t="n"/>
      <x:c r="P26" s="121" t="n"/>
      <x:c r="Q26" s="121" t="n"/>
      <x:c r="R26" s="123" t="n"/>
      <x:c r="S26" s="123" t="n"/>
      <x:c r="T26" s="121" t="n"/>
      <x:c r="U26" s="121" t="n"/>
      <x:c r="V26" s="129" t="n"/>
      <x:c r="W26" s="121" t="n"/>
      <x:c r="X26" s="121" t="n"/>
      <x:c r="Y26" s="121" t="n"/>
      <x:c r="Z26" s="121" t="n"/>
      <x:c r="AA26" s="121" t="n"/>
      <x:c r="AB26" s="121" t="n"/>
      <x:c r="AC26" s="121" t="n"/>
      <x:c r="AD26" s="121" t="n"/>
      <x:c r="AE26" s="123" t="n"/>
      <x:c r="AF26" s="123" t="n"/>
      <x:c r="AG26" s="123" t="n"/>
      <x:c r="AH26" s="123" t="n"/>
      <x:c r="AI26" s="123" t="n"/>
      <x:c r="AJ26" s="5" t="n"/>
      <x:c r="AK26" s="123" t="n"/>
      <x:c r="AL26" s="121" t="n"/>
      <x:c r="AM26" s="123" t="n"/>
      <x:c r="AN26" s="122" t="n"/>
      <x:c r="AO26" s="123" t="n"/>
      <x:c r="AP26" s="121" t="n"/>
      <x:c r="AQ26" s="121" t="n"/>
      <x:c r="AR26" s="28" t="n"/>
      <x:c r="AS26" s="28" t="n"/>
      <x:c r="AT26" s="28" t="n"/>
      <x:c r="AU26" s="28" t="n"/>
      <x:c r="AV26" s="28" t="n"/>
      <x:c r="AW26" s="28" t="n"/>
      <x:c r="AX26" s="28" t="n"/>
      <x:c r="AY26" s="28" t="n"/>
      <x:c r="AZ26" s="28" t="n"/>
      <x:c r="BA26" s="28" t="n"/>
      <x:c r="BB26" s="28" t="n"/>
      <x:c r="BC26" s="28" t="n"/>
      <x:c r="BD26" s="28" t="n"/>
      <x:c r="BE26" s="28" t="n"/>
      <x:c r="BF26" s="28" t="n"/>
      <x:c r="BG26" s="28" t="n"/>
      <x:c r="BH26" s="28" t="n"/>
      <x:c r="BI26" s="28" t="n"/>
      <x:c r="BJ26" s="28" t="n"/>
      <x:c r="BK26" s="28" t="n"/>
      <x:c r="BL26" s="28" t="n"/>
      <x:c r="BM26" s="28" t="n"/>
      <x:c r="BN26" s="28" t="n"/>
      <x:c r="BO26" s="28" t="n"/>
      <x:c r="BP26" s="28" t="n"/>
      <x:c r="BQ26" s="28" t="n"/>
      <x:c r="BR26" s="28" t="n"/>
      <x:c r="BS26" s="28" t="n"/>
      <x:c r="BT26" s="28" t="n"/>
      <x:c r="BU26" s="28" t="n"/>
      <x:c r="BV26" s="28" t="n"/>
      <x:c r="BW26" s="28" t="n"/>
      <x:c r="BX26" s="28" t="n"/>
      <x:c r="BY26" s="28" t="n"/>
      <x:c r="BZ26" s="28" t="n"/>
      <x:c r="CA26" s="28" t="n"/>
      <x:c r="CB26" s="28" t="n"/>
      <x:c r="CC26" s="28" t="n"/>
      <x:c r="CD26" s="28" t="n"/>
      <x:c r="CE26" s="28" t="n"/>
      <x:c r="CF26" s="28" t="n"/>
      <x:c r="CG26" s="28" t="n"/>
      <x:c r="CH26" s="28" t="n"/>
      <x:c r="CI26" s="28" t="n"/>
      <x:c r="CJ26" s="28" t="n"/>
      <x:c r="CK26" s="28" t="n"/>
      <x:c r="CL26" s="28" t="n"/>
      <x:c r="CM26" s="28" t="n"/>
      <x:c r="CN26" s="28" t="n"/>
      <x:c r="CO26" s="28" t="n"/>
      <x:c r="CP26" s="28" t="n"/>
      <x:c r="CQ26" s="28" t="n"/>
      <x:c r="CR26" s="28" t="n"/>
      <x:c r="CS26" s="28" t="n"/>
      <x:c r="CT26" s="28" t="n"/>
      <x:c r="CU26" s="28" t="n"/>
      <x:c r="CV26" s="28" t="n"/>
      <x:c r="CW26" s="28" t="n"/>
      <x:c r="CX26" s="28" t="n"/>
      <x:c r="CY26" s="28" t="n"/>
      <x:c r="CZ26" s="28" t="n"/>
      <x:c r="DA26" s="28" t="n"/>
      <x:c r="DB26" s="28" t="n"/>
      <x:c r="DC26" s="28" t="n"/>
      <x:c r="DD26" s="28" t="n"/>
      <x:c r="DE26" s="28" t="n"/>
      <x:c r="DF26" s="28" t="n"/>
      <x:c r="DG26" s="28" t="n"/>
      <x:c r="DH26" s="28" t="n"/>
      <x:c r="DI26" s="28" t="n"/>
      <x:c r="DJ26" s="28" t="n"/>
      <x:c r="DK26" s="28" t="n"/>
      <x:c r="DL26" s="28" t="n"/>
      <x:c r="DM26" s="28" t="n"/>
      <x:c r="DN26" s="28" t="n"/>
      <x:c r="DO26" s="28" t="n"/>
      <x:c r="DP26" s="28" t="n"/>
      <x:c r="DQ26" s="28" t="n"/>
      <x:c r="DR26" s="28" t="n"/>
      <x:c r="DS26" s="28" t="n"/>
      <x:c r="DT26" s="28" t="n"/>
      <x:c r="DU26" s="28" t="n"/>
      <x:c r="DV26" s="28" t="n"/>
      <x:c r="DW26" s="28" t="n"/>
      <x:c r="DX26" s="28" t="n"/>
      <x:c r="DY26" s="28" t="n"/>
      <x:c r="DZ26" s="28" t="n"/>
      <x:c r="EA26" s="28" t="n"/>
      <x:c r="EB26" s="28" t="n"/>
      <x:c r="EC26" s="28" t="n"/>
      <x:c r="ED26" s="28" t="n"/>
      <x:c r="EE26" s="28" t="n"/>
      <x:c r="EF26" s="28" t="n"/>
      <x:c r="EG26" s="28" t="n"/>
      <x:c r="EH26" s="28" t="n"/>
      <x:c r="EI26" s="28" t="n"/>
      <x:c r="EJ26" s="28" t="n"/>
      <x:c r="EK26" s="28" t="n"/>
      <x:c r="EL26" s="28" t="n"/>
      <x:c r="EM26" s="28" t="n"/>
      <x:c r="EN26" s="28" t="n"/>
      <x:c r="EO26" s="28" t="n"/>
      <x:c r="EP26" s="28" t="n"/>
      <x:c r="EQ26" s="28" t="n"/>
      <x:c r="ER26" s="28" t="n"/>
      <x:c r="ES26" s="28" t="n"/>
      <x:c r="ET26" s="28" t="n"/>
      <x:c r="EU26" s="28" t="n"/>
      <x:c r="EV26" s="28" t="n"/>
      <x:c r="EW26" s="28" t="n"/>
      <x:c r="EX26" s="28" t="n"/>
      <x:c r="EY26" s="28" t="n"/>
      <x:c r="EZ26" s="28" t="n"/>
      <x:c r="FA26" s="28" t="n"/>
      <x:c r="FB26" s="28" t="n"/>
      <x:c r="FC26" s="28" t="n"/>
      <x:c r="FD26" s="28" t="n"/>
      <x:c r="FE26" s="28" t="n"/>
      <x:c r="FF26" s="28" t="n"/>
      <x:c r="FG26" s="28" t="n"/>
      <x:c r="FH26" s="28" t="n"/>
      <x:c r="FI26" s="28" t="n"/>
      <x:c r="FJ26" s="28" t="n"/>
      <x:c r="FK26" s="28" t="n"/>
      <x:c r="FL26" s="28" t="n"/>
      <x:c r="FM26" s="28" t="n"/>
      <x:c r="FN26" s="28" t="n"/>
      <x:c r="FO26" s="28" t="n"/>
      <x:c r="FP26" s="28" t="n"/>
      <x:c r="FQ26" s="28" t="n"/>
      <x:c r="FR26" s="28" t="n"/>
      <x:c r="FS26" s="28" t="n"/>
      <x:c r="FT26" s="28" t="n"/>
      <x:c r="FU26" s="28" t="n"/>
      <x:c r="FV26" s="28" t="n"/>
      <x:c r="FW26" s="28" t="n"/>
      <x:c r="FX26" s="28" t="n"/>
      <x:c r="FY26" s="28" t="n"/>
      <x:c r="FZ26" s="28" t="n"/>
      <x:c r="GA26" s="28" t="n"/>
    </x:row>
    <x:row r="27" s="27" customFormat="1">
      <x:c r="A27" s="125" t="n"/>
      <x:c r="B27" s="39" t="n"/>
      <x:c r="C27" s="36" t="n">
        <x:f>E27*D$5</x:f>
        <x:v>0</x:v>
      </x:c>
      <x:c r="D27" s="523" t="inlineStr">
        <x:is>
          <x:t xml:space="preserve">J. W. Klopfenstein</x:t>
        </x:is>
      </x:c>
      <x:c r="E27" s="36" t="n">
        <x:f>SUM(G27:HT27)</x:f>
        <x:v>0</x:v>
      </x:c>
      <x:c r="F27" s="35" t="n"/>
      <x:c r="G27" s="121" t="n"/>
      <x:c r="H27" s="121" t="n"/>
      <x:c r="I27" s="121" t="n"/>
      <x:c r="J27" s="121" t="n"/>
      <x:c r="K27" s="121" t="n"/>
      <x:c r="L27" s="121" t="n"/>
      <x:c r="M27" s="121" t="n"/>
      <x:c r="N27" s="6" t="n"/>
      <x:c r="O27" s="121" t="n"/>
      <x:c r="P27" s="121" t="n"/>
      <x:c r="Q27" s="121" t="n"/>
      <x:c r="R27" s="123" t="n"/>
      <x:c r="S27" s="123" t="n"/>
      <x:c r="T27" s="121" t="n"/>
      <x:c r="U27" s="121" t="n"/>
      <x:c r="V27" s="121" t="n"/>
      <x:c r="W27" s="129" t="n"/>
      <x:c r="X27" s="121" t="n"/>
      <x:c r="Y27" s="121" t="n"/>
      <x:c r="Z27" s="121" t="n"/>
      <x:c r="AA27" s="121" t="n"/>
      <x:c r="AB27" s="121" t="n"/>
      <x:c r="AC27" s="121" t="n"/>
      <x:c r="AD27" s="121" t="n"/>
      <x:c r="AE27" s="123" t="n"/>
      <x:c r="AF27" s="123" t="n"/>
      <x:c r="AG27" s="123" t="n"/>
      <x:c r="AH27" s="123" t="n"/>
      <x:c r="AI27" s="123" t="n"/>
      <x:c r="AJ27" s="5" t="n"/>
      <x:c r="AK27" s="123" t="n"/>
      <x:c r="AL27" s="121" t="n"/>
      <x:c r="AM27" s="123" t="n"/>
      <x:c r="AN27" s="121" t="n"/>
      <x:c r="AO27" s="123" t="n"/>
      <x:c r="AP27" s="121" t="n"/>
      <x:c r="AQ27" s="121" t="n"/>
      <x:c r="AR27" s="28" t="n"/>
      <x:c r="AS27" s="28" t="n"/>
      <x:c r="AT27" s="28" t="n"/>
    </x:row>
    <x:row r="28" s="27" customFormat="1">
      <x:c r="A28" s="125" t="n"/>
      <x:c r="B28" s="39" t="n"/>
      <x:c r="C28" s="36" t="n">
        <x:f>E28*D$5</x:f>
        <x:v>0</x:v>
      </x:c>
      <x:c r="D28" s="4" t="inlineStr">
        <x:is>
          <x:t xml:space="preserve">Marvin Mitchell Williams</x:t>
        </x:is>
      </x:c>
      <x:c r="E28" s="36" t="n">
        <x:f>SUM(G28:HT28)</x:f>
        <x:v>0</x:v>
      </x:c>
      <x:c r="F28" s="35" t="n"/>
      <x:c r="G28" s="121" t="n"/>
      <x:c r="H28" s="121" t="n"/>
      <x:c r="I28" s="121" t="n"/>
      <x:c r="J28" s="121" t="n"/>
      <x:c r="K28" s="121" t="n"/>
      <x:c r="L28" s="121" t="n"/>
      <x:c r="M28" s="121" t="n"/>
      <x:c r="N28" s="5" t="n"/>
      <x:c r="O28" s="121" t="n"/>
      <x:c r="P28" s="121" t="n"/>
      <x:c r="Q28" s="121" t="n"/>
      <x:c r="R28" s="123" t="n"/>
      <x:c r="S28" s="123" t="n"/>
      <x:c r="T28" s="121" t="n"/>
      <x:c r="U28" s="121" t="n"/>
      <x:c r="V28" s="121" t="n"/>
      <x:c r="W28" s="129" t="n"/>
      <x:c r="X28" s="121" t="n"/>
      <x:c r="Y28" s="121" t="n"/>
      <x:c r="Z28" s="121" t="n"/>
      <x:c r="AA28" s="121" t="n"/>
      <x:c r="AB28" s="121" t="n"/>
      <x:c r="AC28" s="121" t="n"/>
      <x:c r="AD28" s="121" t="n"/>
      <x:c r="AE28" s="123" t="n"/>
      <x:c r="AF28" s="123" t="n"/>
      <x:c r="AG28" s="123" t="n"/>
      <x:c r="AH28" s="123" t="n"/>
      <x:c r="AI28" s="123" t="n"/>
      <x:c r="AJ28" s="5" t="n"/>
      <x:c r="AK28" s="123" t="n"/>
      <x:c r="AL28" s="121" t="n"/>
      <x:c r="AM28" s="123" t="n"/>
      <x:c r="AN28" s="121" t="n"/>
      <x:c r="AO28" s="123" t="n"/>
      <x:c r="AP28" s="121" t="n"/>
      <x:c r="AQ28" s="121" t="n"/>
      <x:c r="AR28" s="28" t="n"/>
      <x:c r="AS28" s="28" t="n"/>
      <x:c r="AT28" s="28" t="n"/>
    </x:row>
    <x:row r="29" s="27" customFormat="1" ht="24" customHeight="1">
      <x:c r="A29" s="125" t="n"/>
      <x:c r="B29" s="39" t="n"/>
      <x:c r="C29" s="86" t="n">
        <x:f>E29*D$5</x:f>
        <x:v>0</x:v>
      </x:c>
      <x:c r="D29" s="4" t="inlineStr">
        <x:is>
          <x:t xml:space="preserve">Kiowa County Court, RE: In the Matter of the Estate of Carrie Lou Mitchell, Deceased</x:t>
        </x:is>
      </x:c>
      <x:c r="E29" s="86" t="n">
        <x:f>SUM(G29:HT29)</x:f>
        <x:v>0</x:v>
      </x:c>
      <x:c r="F29" s="35" t="n"/>
      <x:c r="G29" s="121" t="n"/>
      <x:c r="H29" s="121" t="n"/>
      <x:c r="I29" s="121" t="n"/>
      <x:c r="J29" s="121" t="n"/>
      <x:c r="K29" s="121" t="n"/>
      <x:c r="L29" s="121" t="n"/>
      <x:c r="M29" s="121" t="n"/>
      <x:c r="N29" s="5" t="n"/>
      <x:c r="O29" s="121" t="n"/>
      <x:c r="P29" s="121" t="n"/>
      <x:c r="Q29" s="121" t="n"/>
      <x:c r="R29" s="123" t="n"/>
      <x:c r="S29" s="123" t="n"/>
      <x:c r="T29" s="121" t="n"/>
      <x:c r="U29" s="121" t="n"/>
      <x:c r="V29" s="121" t="n"/>
      <x:c r="W29" s="129" t="n"/>
      <x:c r="X29" s="121" t="n"/>
      <x:c r="Y29" s="121" t="n"/>
      <x:c r="Z29" s="121" t="n"/>
      <x:c r="AA29" s="121" t="n"/>
      <x:c r="AB29" s="121" t="n"/>
      <x:c r="AC29" s="121" t="n"/>
      <x:c r="AD29" s="121" t="n"/>
      <x:c r="AE29" s="123" t="n"/>
      <x:c r="AF29" s="123" t="n"/>
      <x:c r="AG29" s="123" t="n"/>
      <x:c r="AH29" s="123" t="n"/>
      <x:c r="AI29" s="123" t="n"/>
      <x:c r="AJ29" s="5" t="n"/>
      <x:c r="AK29" s="123" t="n"/>
      <x:c r="AL29" s="121" t="n"/>
      <x:c r="AM29" s="123" t="n"/>
      <x:c r="AN29" s="121" t="n"/>
      <x:c r="AO29" s="123" t="n"/>
      <x:c r="AP29" s="121" t="n"/>
      <x:c r="AQ29" s="121" t="n"/>
      <x:c r="AR29" s="28" t="n"/>
      <x:c r="AS29" s="28" t="n"/>
      <x:c r="AT29" s="28" t="n"/>
    </x:row>
    <x:row r="30" s="27" customFormat="1">
      <x:c r="A30" s="125" t="n"/>
      <x:c r="B30" s="39" t="n"/>
      <x:c r="C30" s="36" t="n">
        <x:f>E30*D$5</x:f>
        <x:v>0</x:v>
      </x:c>
      <x:c r="D30" s="103" t="inlineStr">
        <x:is>
          <x:t xml:space="preserve">Gena Williams</x:t>
        </x:is>
      </x:c>
      <x:c r="E30" s="36" t="n">
        <x:f>SUM(G30:HT30)</x:f>
        <x:v>0</x:v>
      </x:c>
      <x:c r="F30" s="35" t="n"/>
      <x:c r="G30" s="121" t="n"/>
      <x:c r="H30" s="121" t="n"/>
      <x:c r="I30" s="121" t="n"/>
      <x:c r="J30" s="121" t="n"/>
      <x:c r="K30" s="121" t="n"/>
      <x:c r="L30" s="121" t="n"/>
      <x:c r="M30" s="121" t="n"/>
      <x:c r="N30" s="117" t="n"/>
      <x:c r="O30" s="121" t="n"/>
      <x:c r="P30" s="121" t="n"/>
      <x:c r="Q30" s="121" t="n"/>
      <x:c r="R30" s="123" t="n"/>
      <x:c r="S30" s="123" t="n"/>
      <x:c r="T30" s="121" t="n"/>
      <x:c r="U30" s="121" t="n"/>
      <x:c r="V30" s="121" t="n"/>
      <x:c r="W30" s="121" t="n"/>
      <x:c r="X30" s="129" t="n"/>
      <x:c r="Y30" s="129" t="n"/>
      <x:c r="Z30" s="129" t="n"/>
      <x:c r="AA30" s="129" t="n"/>
      <x:c r="AB30" s="129" t="n"/>
      <x:c r="AC30" s="121" t="n"/>
      <x:c r="AD30" s="121" t="n"/>
      <x:c r="AE30" s="123" t="n"/>
      <x:c r="AF30" s="123" t="n"/>
      <x:c r="AG30" s="123" t="n"/>
      <x:c r="AH30" s="123" t="n"/>
      <x:c r="AI30" s="123" t="n"/>
      <x:c r="AJ30" s="118" t="n"/>
      <x:c r="AK30" s="123" t="n"/>
      <x:c r="AL30" s="121" t="n"/>
      <x:c r="AM30" s="123" t="n"/>
      <x:c r="AN30" s="121" t="n"/>
      <x:c r="AO30" s="123" t="n"/>
      <x:c r="AP30" s="121" t="n"/>
      <x:c r="AQ30" s="121" t="n"/>
      <x:c r="AR30" s="28" t="n"/>
      <x:c r="AS30" s="28" t="n"/>
      <x:c r="AT30" s="28" t="n"/>
    </x:row>
    <x:row r="31" s="27" customFormat="1">
      <x:c r="A31" s="125" t="n"/>
      <x:c r="B31" s="39" t="n"/>
      <x:c r="C31" s="86" t="n">
        <x:f>E31*D$5</x:f>
        <x:v>0</x:v>
      </x:c>
      <x:c r="D31" s="103" t="inlineStr">
        <x:is>
          <x:t xml:space="preserve">Carrie Leeann Williams</x:t>
        </x:is>
      </x:c>
      <x:c r="E31" s="86" t="n">
        <x:f>SUM(G31:HT31)</x:f>
        <x:v>0</x:v>
      </x:c>
      <x:c r="F31" s="35" t="n"/>
      <x:c r="G31" s="121" t="n"/>
      <x:c r="H31" s="121" t="n"/>
      <x:c r="I31" s="121" t="n"/>
      <x:c r="J31" s="121" t="n"/>
      <x:c r="K31" s="121" t="n"/>
      <x:c r="L31" s="121" t="n"/>
      <x:c r="M31" s="121" t="n"/>
      <x:c r="N31" s="117" t="n"/>
      <x:c r="O31" s="121" t="n"/>
      <x:c r="P31" s="121" t="n"/>
      <x:c r="Q31" s="121" t="n"/>
      <x:c r="R31" s="123" t="n"/>
      <x:c r="S31" s="123" t="n"/>
      <x:c r="T31" s="121" t="n"/>
      <x:c r="U31" s="121" t="n"/>
      <x:c r="V31" s="121" t="n"/>
      <x:c r="W31" s="121" t="n"/>
      <x:c r="X31" s="129" t="n"/>
      <x:c r="Y31" s="129" t="n"/>
      <x:c r="Z31" s="121" t="n"/>
      <x:c r="AA31" s="121" t="n"/>
      <x:c r="AB31" s="121" t="n"/>
      <x:c r="AC31" s="121" t="n"/>
      <x:c r="AD31" s="121" t="n"/>
      <x:c r="AE31" s="123" t="n"/>
      <x:c r="AF31" s="123" t="n"/>
      <x:c r="AG31" s="123" t="n"/>
      <x:c r="AH31" s="123" t="n"/>
      <x:c r="AI31" s="123" t="n"/>
      <x:c r="AJ31" s="118" t="n"/>
      <x:c r="AK31" s="123" t="n"/>
      <x:c r="AL31" s="121" t="n"/>
      <x:c r="AM31" s="123" t="n"/>
      <x:c r="AN31" s="121" t="n"/>
      <x:c r="AO31" s="123" t="n"/>
      <x:c r="AP31" s="121" t="n"/>
      <x:c r="AQ31" s="121" t="n"/>
      <x:c r="AR31" s="28" t="n"/>
      <x:c r="AS31" s="28" t="n"/>
      <x:c r="AT31" s="28" t="n"/>
    </x:row>
    <x:row r="32" s="27" customFormat="1">
      <x:c r="A32" s="125" t="n"/>
      <x:c r="B32" s="39" t="n"/>
      <x:c r="C32" s="86" t="n">
        <x:f>E32*D$5</x:f>
        <x:v>0</x:v>
      </x:c>
      <x:c r="D32" s="103" t="inlineStr">
        <x:is>
          <x:t xml:space="preserve">Nancy Susan Mitchell</x:t>
        </x:is>
      </x:c>
      <x:c r="E32" s="86" t="n">
        <x:f>SUM(G32:HT32)</x:f>
        <x:v>0</x:v>
      </x:c>
      <x:c r="F32" s="35" t="n"/>
      <x:c r="G32" s="121" t="n"/>
      <x:c r="H32" s="121" t="n"/>
      <x:c r="I32" s="121" t="n"/>
      <x:c r="J32" s="121" t="n"/>
      <x:c r="K32" s="121" t="n"/>
      <x:c r="L32" s="121" t="n"/>
      <x:c r="M32" s="121" t="n"/>
      <x:c r="N32" s="117" t="n"/>
      <x:c r="O32" s="121" t="n"/>
      <x:c r="P32" s="121" t="n"/>
      <x:c r="Q32" s="121" t="n"/>
      <x:c r="R32" s="123" t="n"/>
      <x:c r="S32" s="123" t="n"/>
      <x:c r="T32" s="121" t="n"/>
      <x:c r="U32" s="121" t="n"/>
      <x:c r="V32" s="121" t="n"/>
      <x:c r="W32" s="121" t="n"/>
      <x:c r="X32" s="129" t="n"/>
      <x:c r="Y32" s="121" t="n"/>
      <x:c r="Z32" s="129" t="n"/>
      <x:c r="AA32" s="121" t="n"/>
      <x:c r="AB32" s="121" t="n"/>
      <x:c r="AC32" s="121" t="n"/>
      <x:c r="AD32" s="121" t="n"/>
      <x:c r="AE32" s="123" t="n"/>
      <x:c r="AF32" s="123" t="n"/>
      <x:c r="AG32" s="123" t="n"/>
      <x:c r="AH32" s="123" t="n"/>
      <x:c r="AI32" s="123" t="n"/>
      <x:c r="AJ32" s="118" t="n"/>
      <x:c r="AK32" s="123" t="n"/>
      <x:c r="AL32" s="121" t="n"/>
      <x:c r="AM32" s="123" t="n"/>
      <x:c r="AN32" s="121" t="n"/>
      <x:c r="AO32" s="123" t="n"/>
      <x:c r="AP32" s="121" t="n"/>
      <x:c r="AQ32" s="121" t="n"/>
      <x:c r="AR32" s="28" t="n"/>
      <x:c r="AS32" s="28" t="n"/>
      <x:c r="AT32" s="28" t="n"/>
    </x:row>
    <x:row r="33" s="27" customFormat="1" ht="24" customHeight="1">
      <x:c r="A33" s="125" t="n"/>
      <x:c r="B33" s="39" t="n"/>
      <x:c r="C33" s="36" t="n">
        <x:f>E33*D$5</x:f>
        <x:v>0</x:v>
      </x:c>
      <x:c r="D33" s="103" t="inlineStr">
        <x:is>
          <x:t xml:space="preserve">Beckham County Court, RE: In the Matter of the Estate of Lillie Campbell, Deceased</x:t>
        </x:is>
      </x:c>
      <x:c r="E33" s="36" t="n">
        <x:f>SUM(G33:HT33)</x:f>
        <x:v>0</x:v>
      </x:c>
      <x:c r="F33" s="35" t="n"/>
      <x:c r="G33" s="121" t="n"/>
      <x:c r="H33" s="121" t="n"/>
      <x:c r="I33" s="121" t="n"/>
      <x:c r="J33" s="121" t="n"/>
      <x:c r="K33" s="121" t="n"/>
      <x:c r="L33" s="121" t="n"/>
      <x:c r="M33" s="121" t="n"/>
      <x:c r="N33" s="121" t="n"/>
      <x:c r="O33" s="121" t="n"/>
      <x:c r="P33" s="121" t="n"/>
      <x:c r="Q33" s="121" t="n"/>
      <x:c r="R33" s="123" t="n"/>
      <x:c r="S33" s="123" t="n"/>
      <x:c r="T33" s="121" t="n"/>
      <x:c r="U33" s="121" t="n"/>
      <x:c r="V33" s="121" t="n"/>
      <x:c r="W33" s="121" t="n"/>
      <x:c r="X33" s="129" t="n"/>
      <x:c r="Y33" s="121" t="n"/>
      <x:c r="Z33" s="121" t="n"/>
      <x:c r="AA33" s="129" t="n"/>
      <x:c r="AB33" s="121" t="n"/>
      <x:c r="AC33" s="121" t="n"/>
      <x:c r="AD33" s="121" t="n"/>
      <x:c r="AE33" s="123" t="n"/>
      <x:c r="AF33" s="123" t="n"/>
      <x:c r="AG33" s="123" t="n"/>
      <x:c r="AH33" s="123" t="n"/>
      <x:c r="AI33" s="123" t="n"/>
      <x:c r="AJ33" s="123" t="n"/>
      <x:c r="AK33" s="123" t="n"/>
      <x:c r="AL33" s="121" t="n"/>
      <x:c r="AM33" s="123" t="n"/>
      <x:c r="AN33" s="121" t="n"/>
      <x:c r="AO33" s="123" t="n"/>
      <x:c r="AP33" s="121" t="n"/>
      <x:c r="AQ33" s="121" t="n"/>
      <x:c r="AR33" s="28" t="n"/>
      <x:c r="AS33" s="28" t="n"/>
      <x:c r="AT33" s="28" t="n"/>
    </x:row>
    <x:row r="34" s="27" customFormat="1">
      <x:c r="A34" s="125" t="n"/>
      <x:c r="B34" s="39" t="n"/>
      <x:c r="C34" s="36" t="n">
        <x:f>E34*D$5</x:f>
        <x:v>0</x:v>
      </x:c>
      <x:c r="D34" s="103" t="inlineStr">
        <x:is>
          <x:t xml:space="preserve">Virgil Hambrook</x:t>
        </x:is>
      </x:c>
      <x:c r="E34" s="36" t="n">
        <x:f>SUM(G34:HT34)</x:f>
        <x:v>0</x:v>
      </x:c>
      <x:c r="F34" s="35" t="n"/>
      <x:c r="G34" s="121" t="n"/>
      <x:c r="H34" s="121" t="n"/>
      <x:c r="I34" s="121" t="n"/>
      <x:c r="J34" s="121" t="n"/>
      <x:c r="K34" s="121" t="n"/>
      <x:c r="L34" s="121" t="n"/>
      <x:c r="M34" s="121" t="n"/>
      <x:c r="N34" s="121" t="n"/>
      <x:c r="O34" s="121" t="n"/>
      <x:c r="P34" s="121" t="n"/>
      <x:c r="Q34" s="121" t="n"/>
      <x:c r="R34" s="123" t="n"/>
      <x:c r="S34" s="123" t="n"/>
      <x:c r="T34" s="121" t="n"/>
      <x:c r="U34" s="121" t="n"/>
      <x:c r="V34" s="121" t="n"/>
      <x:c r="W34" s="121" t="n"/>
      <x:c r="X34" s="129" t="n"/>
      <x:c r="Y34" s="121" t="n"/>
      <x:c r="Z34" s="121" t="n"/>
      <x:c r="AA34" s="121" t="n"/>
      <x:c r="AB34" s="129" t="n"/>
      <x:c r="AC34" s="121" t="n"/>
      <x:c r="AD34" s="121" t="n"/>
      <x:c r="AE34" s="121" t="n"/>
      <x:c r="AF34" s="123" t="n"/>
      <x:c r="AG34" s="123" t="n"/>
      <x:c r="AH34" s="123" t="n"/>
      <x:c r="AI34" s="123" t="n"/>
      <x:c r="AJ34" s="123" t="n"/>
      <x:c r="AK34" s="123" t="n"/>
      <x:c r="AL34" s="121" t="n"/>
      <x:c r="AM34" s="123" t="n"/>
      <x:c r="AN34" s="121" t="n"/>
      <x:c r="AO34" s="123" t="n"/>
      <x:c r="AP34" s="121" t="n"/>
      <x:c r="AQ34" s="121" t="n"/>
      <x:c r="AR34" s="28" t="n"/>
      <x:c r="AS34" s="28" t="n"/>
      <x:c r="AT34" s="28" t="n"/>
    </x:row>
    <x:row r="35" s="27" customFormat="1">
      <x:c r="A35" s="125" t="n"/>
      <x:c r="B35" s="39" t="n"/>
      <x:c r="C35" s="36" t="n">
        <x:f>E35*D$5</x:f>
        <x:v>0</x:v>
      </x:c>
      <x:c r="D35" s="103" t="inlineStr">
        <x:is>
          <x:t xml:space="preserve">Letty Atha</x:t>
        </x:is>
      </x:c>
      <x:c r="E35" s="36" t="n">
        <x:f>SUM(G35:HT35)</x:f>
        <x:v>0</x:v>
      </x:c>
      <x:c r="F35" s="35" t="n"/>
      <x:c r="G35" s="121" t="n"/>
      <x:c r="H35" s="121" t="n"/>
      <x:c r="I35" s="121" t="n"/>
      <x:c r="J35" s="121" t="n"/>
      <x:c r="K35" s="121" t="n"/>
      <x:c r="L35" s="121" t="n"/>
      <x:c r="M35" s="121" t="n"/>
      <x:c r="N35" s="121" t="n"/>
      <x:c r="O35" s="121" t="n"/>
      <x:c r="P35" s="121" t="n"/>
      <x:c r="Q35" s="121" t="n"/>
      <x:c r="R35" s="123" t="n"/>
      <x:c r="S35" s="123" t="n"/>
      <x:c r="T35" s="121" t="n"/>
      <x:c r="U35" s="121" t="n"/>
      <x:c r="V35" s="121" t="n"/>
      <x:c r="W35" s="121" t="n"/>
      <x:c r="X35" s="129" t="n"/>
      <x:c r="Y35" s="121" t="n"/>
      <x:c r="Z35" s="121" t="n"/>
      <x:c r="AA35" s="121" t="n"/>
      <x:c r="AB35" s="121" t="n"/>
      <x:c r="AC35" s="121" t="n"/>
      <x:c r="AD35" s="121" t="n"/>
      <x:c r="AE35" s="121" t="n"/>
      <x:c r="AF35" s="123" t="n"/>
      <x:c r="AG35" s="123" t="n"/>
      <x:c r="AH35" s="123" t="n"/>
      <x:c r="AI35" s="123" t="n"/>
      <x:c r="AJ35" s="123" t="n"/>
      <x:c r="AK35" s="123" t="n"/>
      <x:c r="AL35" s="121" t="n"/>
      <x:c r="AM35" s="121" t="n"/>
      <x:c r="AN35" s="121" t="n"/>
      <x:c r="AO35" s="123" t="n"/>
      <x:c r="AP35" s="121" t="n"/>
      <x:c r="AQ35" s="121" t="n"/>
      <x:c r="AR35" s="28" t="n"/>
      <x:c r="AS35" s="28" t="n"/>
      <x:c r="AT35" s="28" t="n"/>
    </x:row>
    <x:row r="36" s="27" customFormat="1">
      <x:c r="A36" s="125" t="n"/>
      <x:c r="B36" s="39" t="n"/>
      <x:c r="C36" s="36" t="n">
        <x:f>E36*D$5</x:f>
        <x:v>0</x:v>
      </x:c>
      <x:c r="D36" s="103" t="inlineStr">
        <x:is>
          <x:t xml:space="preserve">Charles O. Burckhalter</x:t>
        </x:is>
      </x:c>
      <x:c r="E36" s="36" t="n">
        <x:f>SUM(G36:HT36)</x:f>
        <x:v>0</x:v>
      </x:c>
      <x:c r="F36" s="35" t="n"/>
      <x:c r="G36" s="121" t="n"/>
      <x:c r="H36" s="121" t="n"/>
      <x:c r="I36" s="121" t="n"/>
      <x:c r="J36" s="121" t="n"/>
      <x:c r="K36" s="121" t="n"/>
      <x:c r="L36" s="121" t="n"/>
      <x:c r="M36" s="121" t="n"/>
      <x:c r="N36" s="121" t="n"/>
      <x:c r="O36" s="121" t="n"/>
      <x:c r="P36" s="121" t="n"/>
      <x:c r="Q36" s="121" t="n"/>
      <x:c r="R36" s="123" t="n"/>
      <x:c r="S36" s="123" t="n"/>
      <x:c r="T36" s="121" t="n"/>
      <x:c r="U36" s="121" t="n"/>
      <x:c r="V36" s="121" t="n"/>
      <x:c r="W36" s="121" t="n"/>
      <x:c r="X36" s="121" t="n"/>
      <x:c r="Y36" s="121" t="n"/>
      <x:c r="Z36" s="121" t="n"/>
      <x:c r="AA36" s="121" t="n"/>
      <x:c r="AB36" s="121" t="n"/>
      <x:c r="AC36" s="121" t="n"/>
      <x:c r="AD36" s="121" t="n"/>
      <x:c r="AE36" s="121" t="n"/>
      <x:c r="AF36" s="123" t="n"/>
      <x:c r="AG36" s="124" t="n"/>
      <x:c r="AH36" s="123" t="n"/>
      <x:c r="AI36" s="123" t="n"/>
      <x:c r="AJ36" s="123" t="n"/>
      <x:c r="AK36" s="123" t="n"/>
      <x:c r="AL36" s="121" t="n"/>
      <x:c r="AM36" s="123" t="n"/>
      <x:c r="AN36" s="121" t="n"/>
      <x:c r="AO36" s="124" t="n"/>
      <x:c r="AP36" s="121" t="n"/>
      <x:c r="AQ36" s="121" t="n"/>
      <x:c r="AR36" s="28" t="n"/>
      <x:c r="AS36" s="28" t="n"/>
      <x:c r="AT36" s="28" t="n"/>
    </x:row>
    <x:row r="37" s="27" customFormat="1" ht="24" customHeight="1">
      <x:c r="A37" s="125" t="n"/>
      <x:c r="B37" s="39" t="n"/>
      <x:c r="C37" s="86" t="n">
        <x:f>E37*D$5</x:f>
        <x:v>0</x:v>
      </x:c>
      <x:c r="D37" s="103" t="inlineStr">
        <x:is>
          <x:t xml:space="preserve">Charles O. Burckhalter, Trustee of the Burckhalter Family Trust dated July 9, 1990</x:t>
        </x:is>
      </x:c>
      <x:c r="E37" s="86" t="n">
        <x:f>SUM(G37:HY37)</x:f>
        <x:v>0</x:v>
      </x:c>
      <x:c r="F37" s="35" t="n"/>
      <x:c r="G37" s="121" t="n"/>
      <x:c r="H37" s="121" t="n"/>
      <x:c r="I37" s="122" t="n"/>
      <x:c r="J37" s="121" t="n"/>
      <x:c r="K37" s="122" t="n"/>
      <x:c r="L37" s="122" t="n"/>
      <x:c r="M37" s="123" t="n"/>
      <x:c r="N37" s="123" t="n"/>
      <x:c r="O37" s="123" t="n"/>
      <x:c r="P37" s="123" t="n"/>
      <x:c r="Q37" s="123" t="n"/>
      <x:c r="R37" s="123" t="n"/>
      <x:c r="S37" s="123" t="n"/>
      <x:c r="T37" s="123" t="n"/>
      <x:c r="U37" s="123" t="n"/>
      <x:c r="V37" s="123" t="n"/>
      <x:c r="W37" s="123" t="n"/>
      <x:c r="X37" s="123" t="n"/>
      <x:c r="Y37" s="123" t="n"/>
      <x:c r="Z37" s="121" t="n"/>
      <x:c r="AA37" s="123" t="n"/>
      <x:c r="AB37" s="123" t="n"/>
      <x:c r="AC37" s="123" t="n"/>
      <x:c r="AD37" s="123" t="n"/>
      <x:c r="AE37" s="121" t="n"/>
      <x:c r="AF37" s="123" t="n"/>
      <x:c r="AG37" s="124" t="n"/>
      <x:c r="AH37" s="124" t="n"/>
      <x:c r="AI37" s="124" t="n"/>
      <x:c r="AJ37" s="123" t="n"/>
      <x:c r="AK37" s="123" t="n"/>
      <x:c r="AL37" s="123" t="n"/>
      <x:c r="AM37" s="121" t="n"/>
      <x:c r="AN37" s="123" t="n"/>
      <x:c r="AO37" s="123" t="n"/>
      <x:c r="AP37" s="123" t="n"/>
      <x:c r="AQ37" s="123" t="n"/>
      <x:c r="AR37" s="100" t="n"/>
      <x:c r="AS37" s="100" t="n"/>
      <x:c r="AT37" s="100" t="n"/>
      <x:c r="AU37" s="100" t="n"/>
      <x:c r="AV37" s="100" t="n"/>
      <x:c r="AW37" s="100" t="n"/>
      <x:c r="AX37" s="100" t="n"/>
      <x:c r="AY37" s="100" t="n"/>
      <x:c r="AZ37" s="100" t="n"/>
      <x:c r="BA37" s="100" t="n"/>
      <x:c r="BB37" s="100" t="n"/>
      <x:c r="BC37" s="100" t="n"/>
      <x:c r="BD37" s="100" t="n"/>
      <x:c r="BE37" s="100" t="n"/>
      <x:c r="BF37" s="100" t="n"/>
      <x:c r="BG37" s="100" t="n"/>
      <x:c r="BH37" s="100" t="n"/>
      <x:c r="BI37" s="100" t="n"/>
      <x:c r="BJ37" s="100" t="n"/>
      <x:c r="BK37" s="100" t="n"/>
      <x:c r="BL37" s="100" t="n"/>
      <x:c r="BM37" s="100" t="n"/>
      <x:c r="BN37" s="100" t="n"/>
      <x:c r="BO37" s="100" t="n"/>
      <x:c r="BP37" s="100" t="n"/>
      <x:c r="BQ37" s="100" t="n"/>
      <x:c r="BR37" s="100" t="n"/>
      <x:c r="BS37" s="100" t="n"/>
      <x:c r="BT37" s="100" t="n"/>
      <x:c r="BU37" s="100" t="n"/>
      <x:c r="BV37" s="100" t="n"/>
      <x:c r="BW37" s="100" t="n"/>
      <x:c r="BX37" s="100" t="n"/>
      <x:c r="BY37" s="100" t="n"/>
      <x:c r="BZ37" s="100" t="n"/>
      <x:c r="CA37" s="100" t="n"/>
      <x:c r="CB37" s="100" t="n"/>
      <x:c r="CC37" s="100" t="n"/>
      <x:c r="CD37" s="100" t="n"/>
      <x:c r="CE37" s="100" t="n"/>
      <x:c r="CF37" s="100" t="n"/>
      <x:c r="CG37" s="100" t="n"/>
      <x:c r="CH37" s="100" t="n"/>
      <x:c r="CI37" s="100" t="n"/>
      <x:c r="CJ37" s="100" t="n"/>
      <x:c r="CK37" s="100" t="n"/>
      <x:c r="CL37" s="100" t="n"/>
      <x:c r="CM37" s="100" t="n"/>
      <x:c r="CN37" s="100" t="n"/>
      <x:c r="CO37" s="100" t="n"/>
      <x:c r="CP37" s="100" t="n"/>
      <x:c r="CQ37" s="100" t="n"/>
      <x:c r="CR37" s="100" t="n"/>
      <x:c r="CS37" s="100" t="n"/>
      <x:c r="CT37" s="100" t="n"/>
      <x:c r="CU37" s="100" t="n"/>
      <x:c r="CV37" s="100" t="n"/>
      <x:c r="CW37" s="100" t="n"/>
      <x:c r="CX37" s="100" t="n"/>
      <x:c r="CY37" s="100" t="n"/>
      <x:c r="CZ37" s="100" t="n"/>
      <x:c r="DA37" s="100" t="n"/>
      <x:c r="DB37" s="100" t="n"/>
      <x:c r="DC37" s="100" t="n"/>
      <x:c r="DD37" s="100" t="n"/>
      <x:c r="DE37" s="100" t="n"/>
      <x:c r="DF37" s="100" t="n"/>
      <x:c r="DG37" s="100" t="n"/>
      <x:c r="DH37" s="100" t="n"/>
      <x:c r="DI37" s="100" t="n"/>
      <x:c r="DJ37" s="100" t="n"/>
      <x:c r="DK37" s="100" t="n"/>
      <x:c r="DL37" s="100" t="n"/>
      <x:c r="DM37" s="100" t="n"/>
      <x:c r="DN37" s="100" t="n"/>
      <x:c r="DO37" s="100" t="n"/>
      <x:c r="DP37" s="100" t="n"/>
      <x:c r="DQ37" s="100" t="n"/>
      <x:c r="DR37" s="100" t="n"/>
      <x:c r="DS37" s="100" t="n"/>
      <x:c r="DT37" s="100" t="n"/>
      <x:c r="DU37" s="100" t="n"/>
      <x:c r="DV37" s="100" t="n"/>
      <x:c r="DW37" s="100" t="n"/>
      <x:c r="DX37" s="100" t="n"/>
      <x:c r="DY37" s="100" t="n"/>
      <x:c r="DZ37" s="100" t="n"/>
      <x:c r="EA37" s="100" t="n"/>
      <x:c r="EB37" s="100" t="n"/>
      <x:c r="EC37" s="100" t="n"/>
      <x:c r="ED37" s="100" t="n"/>
      <x:c r="EE37" s="100" t="n"/>
      <x:c r="EF37" s="100" t="n"/>
      <x:c r="EG37" s="100" t="n"/>
      <x:c r="EH37" s="100" t="n"/>
      <x:c r="EI37" s="100" t="n"/>
      <x:c r="EJ37" s="100" t="n"/>
      <x:c r="EK37" s="100" t="n"/>
      <x:c r="EL37" s="100" t="n"/>
      <x:c r="EM37" s="100" t="n"/>
      <x:c r="EN37" s="100" t="n"/>
      <x:c r="EO37" s="100" t="n"/>
      <x:c r="EP37" s="100" t="n"/>
      <x:c r="EQ37" s="100" t="n"/>
      <x:c r="ER37" s="100" t="n"/>
      <x:c r="ES37" s="100" t="n"/>
      <x:c r="ET37" s="100" t="n"/>
      <x:c r="EU37" s="100" t="n"/>
      <x:c r="EV37" s="100" t="n"/>
      <x:c r="EW37" s="100" t="n"/>
      <x:c r="EX37" s="100" t="n"/>
      <x:c r="EY37" s="100" t="n"/>
      <x:c r="EZ37" s="100" t="n"/>
      <x:c r="FA37" s="100" t="n"/>
      <x:c r="FB37" s="100" t="n"/>
      <x:c r="FC37" s="100" t="n"/>
      <x:c r="FD37" s="100" t="n"/>
      <x:c r="FE37" s="100" t="n"/>
      <x:c r="FF37" s="100" t="n"/>
      <x:c r="FG37" s="100" t="n"/>
      <x:c r="FH37" s="100" t="n"/>
      <x:c r="FI37" s="100" t="n"/>
      <x:c r="FJ37" s="100" t="n"/>
      <x:c r="FK37" s="100" t="n"/>
      <x:c r="FL37" s="100" t="n"/>
      <x:c r="FM37" s="100" t="n"/>
      <x:c r="FN37" s="100" t="n"/>
      <x:c r="FO37" s="100" t="n"/>
      <x:c r="FP37" s="100" t="n"/>
      <x:c r="FQ37" s="100" t="n"/>
      <x:c r="FR37" s="100" t="n"/>
      <x:c r="FS37" s="100" t="n"/>
      <x:c r="FT37" s="100" t="n"/>
      <x:c r="FU37" s="100" t="n"/>
      <x:c r="FV37" s="100" t="n"/>
      <x:c r="FW37" s="100" t="n"/>
      <x:c r="FX37" s="100" t="n"/>
      <x:c r="FY37" s="100" t="n"/>
      <x:c r="FZ37" s="100" t="n"/>
      <x:c r="GA37" s="100" t="n"/>
      <x:c r="GB37" s="100" t="n"/>
      <x:c r="GC37" s="100" t="n"/>
      <x:c r="GD37" s="100" t="n"/>
      <x:c r="GE37" s="100" t="n"/>
      <x:c r="GF37" s="100" t="n"/>
    </x:row>
    <x:row r="38" s="27" customFormat="1">
      <x:c r="A38" s="125" t="n"/>
      <x:c r="B38" s="39" t="n"/>
      <x:c r="C38" s="36" t="n">
        <x:f>E38*D$5</x:f>
        <x:v>0</x:v>
      </x:c>
      <x:c r="D38" s="4" t="inlineStr">
        <x:is>
          <x:t xml:space="preserve">Charles R. Atha, a/k/a Charles Atha and Letty Atha, HW</x:t>
        </x:is>
      </x:c>
      <x:c r="E38" s="36" t="n">
        <x:f>SUM(G38:HT38)</x:f>
        <x:v>0</x:v>
      </x:c>
      <x:c r="F38" s="35" t="n"/>
      <x:c r="G38" s="121" t="n"/>
      <x:c r="H38" s="121" t="n"/>
      <x:c r="I38" s="121" t="n"/>
      <x:c r="J38" s="121" t="n"/>
      <x:c r="K38" s="121" t="n"/>
      <x:c r="L38" s="121" t="n"/>
      <x:c r="M38" s="121" t="n"/>
      <x:c r="N38" s="121" t="n"/>
      <x:c r="O38" s="121" t="n"/>
      <x:c r="P38" s="121" t="n"/>
      <x:c r="Q38" s="121" t="n"/>
      <x:c r="R38" s="123" t="n"/>
      <x:c r="S38" s="123" t="n"/>
      <x:c r="T38" s="121" t="n"/>
      <x:c r="U38" s="121" t="n"/>
      <x:c r="V38" s="121" t="n"/>
      <x:c r="W38" s="121" t="n"/>
      <x:c r="X38" s="121" t="n"/>
      <x:c r="Y38" s="121" t="n"/>
      <x:c r="Z38" s="121" t="n"/>
      <x:c r="AA38" s="121" t="n"/>
      <x:c r="AB38" s="121" t="n"/>
      <x:c r="AC38" s="121" t="n"/>
      <x:c r="AD38" s="121" t="n"/>
      <x:c r="AE38" s="121" t="n"/>
      <x:c r="AF38" s="123" t="n"/>
      <x:c r="AG38" s="124" t="n"/>
      <x:c r="AH38" s="124" t="n"/>
      <x:c r="AI38" s="123" t="n"/>
      <x:c r="AJ38" s="123" t="n"/>
      <x:c r="AK38" s="124" t="n"/>
      <x:c r="AL38" s="121" t="n"/>
      <x:c r="AM38" s="121" t="n"/>
      <x:c r="AN38" s="121" t="n"/>
      <x:c r="AO38" s="124" t="n"/>
      <x:c r="AP38" s="121" t="n"/>
      <x:c r="AQ38" s="121" t="n"/>
      <x:c r="AR38" s="28" t="n"/>
      <x:c r="AS38" s="28" t="n"/>
      <x:c r="AT38" s="28" t="n"/>
    </x:row>
    <x:row r="39" s="27" customFormat="1" ht="24" customHeight="1">
      <x:c r="A39" s="125" t="n"/>
      <x:c r="B39" s="39" t="n"/>
      <x:c r="C39" s="36" t="n">
        <x:f>E39*D$5</x:f>
        <x:v>0</x:v>
      </x:c>
      <x:c r="D39" s="103" t="inlineStr">
        <x:is>
          <x:t xml:space="preserve">Charles R. Atha, a/k/a Charles Atha and Letty Atha, HW, JTWROS</x:t>
        </x:is>
      </x:c>
      <x:c r="E39" s="36" t="n">
        <x:f>SUM(G39:HH39)</x:f>
        <x:v>0</x:v>
      </x:c>
      <x:c r="F39" s="35" t="n"/>
      <x:c r="G39" s="121" t="n"/>
      <x:c r="H39" s="122" t="n"/>
      <x:c r="I39" s="122" t="n"/>
      <x:c r="J39" s="122" t="n"/>
      <x:c r="K39" s="122" t="n"/>
      <x:c r="L39" s="122" t="n"/>
      <x:c r="M39" s="123" t="n"/>
      <x:c r="N39" s="123" t="n"/>
      <x:c r="O39" s="123" t="n"/>
      <x:c r="P39" s="123" t="n"/>
      <x:c r="Q39" s="123" t="n"/>
      <x:c r="R39" s="123" t="n"/>
      <x:c r="S39" s="123" t="n"/>
      <x:c r="T39" s="123" t="n"/>
      <x:c r="U39" s="123" t="n"/>
      <x:c r="V39" s="123" t="n"/>
      <x:c r="W39" s="123" t="n"/>
      <x:c r="X39" s="123" t="n"/>
      <x:c r="Y39" s="123" t="n"/>
      <x:c r="Z39" s="123" t="n"/>
      <x:c r="AA39" s="123" t="n"/>
      <x:c r="AB39" s="123" t="n"/>
      <x:c r="AC39" s="123" t="n"/>
      <x:c r="AD39" s="123" t="n"/>
      <x:c r="AE39" s="123" t="n"/>
      <x:c r="AF39" s="123" t="n"/>
      <x:c r="AG39" s="124" t="n"/>
      <x:c r="AH39" s="124" t="n"/>
      <x:c r="AI39" s="124" t="n"/>
      <x:c r="AJ39" s="123" t="n"/>
      <x:c r="AK39" s="123" t="n"/>
      <x:c r="AL39" s="123" t="n"/>
      <x:c r="AM39" s="123" t="n"/>
      <x:c r="AN39" s="123" t="n"/>
      <x:c r="AO39" s="123" t="n"/>
      <x:c r="AP39" s="123" t="n"/>
      <x:c r="AQ39" s="123" t="n"/>
      <x:c r="AR39" s="100" t="n"/>
      <x:c r="AS39" s="100" t="n"/>
      <x:c r="AT39" s="100" t="n"/>
      <x:c r="AU39" s="100" t="n"/>
      <x:c r="AV39" s="100" t="n"/>
      <x:c r="AW39" s="100" t="n"/>
      <x:c r="AX39" s="100" t="n"/>
      <x:c r="AY39" s="100" t="n"/>
      <x:c r="AZ39" s="100" t="n"/>
      <x:c r="BA39" s="100" t="n"/>
      <x:c r="BB39" s="100" t="n"/>
      <x:c r="BC39" s="100" t="n"/>
      <x:c r="BD39" s="100" t="n"/>
      <x:c r="BE39" s="100" t="n"/>
      <x:c r="BF39" s="100" t="n"/>
      <x:c r="BG39" s="100" t="n"/>
      <x:c r="BH39" s="100" t="n"/>
      <x:c r="BI39" s="100" t="n"/>
      <x:c r="BJ39" s="100" t="n"/>
      <x:c r="BK39" s="100" t="n"/>
      <x:c r="BL39" s="100" t="n"/>
      <x:c r="BM39" s="100" t="n"/>
      <x:c r="BN39" s="100" t="n"/>
      <x:c r="BO39" s="100" t="n"/>
      <x:c r="BP39" s="100" t="n"/>
      <x:c r="BQ39" s="100" t="n"/>
      <x:c r="BR39" s="100" t="n"/>
      <x:c r="BS39" s="100" t="n"/>
      <x:c r="BT39" s="100" t="n"/>
      <x:c r="BU39" s="100" t="n"/>
      <x:c r="BV39" s="100" t="n"/>
      <x:c r="BW39" s="100" t="n"/>
      <x:c r="BX39" s="100" t="n"/>
      <x:c r="BY39" s="100" t="n"/>
      <x:c r="BZ39" s="100" t="n"/>
      <x:c r="CA39" s="100" t="n"/>
      <x:c r="CB39" s="100" t="n"/>
      <x:c r="CC39" s="100" t="n"/>
      <x:c r="CD39" s="100" t="n"/>
      <x:c r="CE39" s="100" t="n"/>
      <x:c r="CF39" s="100" t="n"/>
      <x:c r="CG39" s="100" t="n"/>
      <x:c r="CH39" s="100" t="n"/>
      <x:c r="CI39" s="100" t="n"/>
      <x:c r="CJ39" s="100" t="n"/>
      <x:c r="CK39" s="100" t="n"/>
      <x:c r="CL39" s="100" t="n"/>
      <x:c r="CM39" s="100" t="n"/>
      <x:c r="CN39" s="100" t="n"/>
      <x:c r="CO39" s="100" t="n"/>
      <x:c r="CP39" s="100" t="n"/>
      <x:c r="CQ39" s="100" t="n"/>
      <x:c r="CR39" s="100" t="n"/>
      <x:c r="CS39" s="100" t="n"/>
      <x:c r="CT39" s="100" t="n"/>
      <x:c r="CU39" s="100" t="n"/>
      <x:c r="CV39" s="100" t="n"/>
      <x:c r="CW39" s="100" t="n"/>
      <x:c r="CX39" s="100" t="n"/>
      <x:c r="CY39" s="100" t="n"/>
      <x:c r="CZ39" s="100" t="n"/>
      <x:c r="DA39" s="100" t="n"/>
      <x:c r="DB39" s="100" t="n"/>
      <x:c r="DC39" s="100" t="n"/>
      <x:c r="DD39" s="100" t="n"/>
      <x:c r="DE39" s="100" t="n"/>
      <x:c r="DF39" s="100" t="n"/>
      <x:c r="DG39" s="100" t="n"/>
      <x:c r="DH39" s="100" t="n"/>
      <x:c r="DI39" s="100" t="n"/>
      <x:c r="DJ39" s="100" t="n"/>
      <x:c r="DK39" s="100" t="n"/>
      <x:c r="DL39" s="100" t="n"/>
      <x:c r="DM39" s="100" t="n"/>
      <x:c r="DN39" s="100" t="n"/>
      <x:c r="DO39" s="100" t="n"/>
      <x:c r="DP39" s="100" t="n"/>
      <x:c r="DQ39" s="100" t="n"/>
      <x:c r="DR39" s="100" t="n"/>
      <x:c r="DS39" s="100" t="n"/>
      <x:c r="DT39" s="100" t="n"/>
      <x:c r="DU39" s="100" t="n"/>
      <x:c r="DV39" s="100" t="n"/>
      <x:c r="DW39" s="100" t="n"/>
      <x:c r="DX39" s="100" t="n"/>
      <x:c r="DY39" s="100" t="n"/>
      <x:c r="DZ39" s="100" t="n"/>
      <x:c r="EA39" s="100" t="n"/>
      <x:c r="EB39" s="100" t="n"/>
      <x:c r="EC39" s="100" t="n"/>
      <x:c r="ED39" s="100" t="n"/>
      <x:c r="EE39" s="100" t="n"/>
      <x:c r="EF39" s="100" t="n"/>
      <x:c r="EG39" s="100" t="n"/>
      <x:c r="EH39" s="100" t="n"/>
      <x:c r="EI39" s="100" t="n"/>
      <x:c r="EJ39" s="100" t="n"/>
      <x:c r="EK39" s="100" t="n"/>
      <x:c r="EL39" s="100" t="n"/>
      <x:c r="EM39" s="100" t="n"/>
      <x:c r="EN39" s="100" t="n"/>
      <x:c r="EO39" s="100" t="n"/>
      <x:c r="EP39" s="100" t="n"/>
      <x:c r="EQ39" s="100" t="n"/>
      <x:c r="ER39" s="100" t="n"/>
      <x:c r="ES39" s="100" t="n"/>
      <x:c r="ET39" s="100" t="n"/>
      <x:c r="EU39" s="100" t="n"/>
      <x:c r="EV39" s="100" t="n"/>
      <x:c r="EW39" s="100" t="n"/>
      <x:c r="EX39" s="100" t="n"/>
      <x:c r="EY39" s="100" t="n"/>
      <x:c r="EZ39" s="100" t="n"/>
      <x:c r="FA39" s="100" t="n"/>
      <x:c r="FB39" s="100" t="n"/>
      <x:c r="FC39" s="100" t="n"/>
      <x:c r="FD39" s="100" t="n"/>
      <x:c r="FE39" s="100" t="n"/>
      <x:c r="FF39" s="100" t="n"/>
      <x:c r="FG39" s="100" t="n"/>
      <x:c r="FH39" s="100" t="n"/>
      <x:c r="FI39" s="100" t="n"/>
      <x:c r="FJ39" s="100" t="n"/>
      <x:c r="FK39" s="100" t="n"/>
      <x:c r="FL39" s="100" t="n"/>
      <x:c r="FM39" s="100" t="n"/>
      <x:c r="FN39" s="100" t="n"/>
      <x:c r="FO39" s="100" t="n"/>
    </x:row>
    <x:row r="40" s="27" customFormat="1" ht="24" customHeight="1">
      <x:c r="A40" s="125" t="n"/>
      <x:c r="B40" s="39" t="n"/>
      <x:c r="C40" s="86" t="n">
        <x:f>E40*D$5</x:f>
        <x:v>0</x:v>
      </x:c>
      <x:c r="D40" s="103" t="inlineStr">
        <x:is>
          <x:t xml:space="preserve">Roger Mills County Court RE: In the Matter of the Estate of Letty Jane Atha, Deceased</x:t>
        </x:is>
      </x:c>
      <x:c r="E40" s="86" t="n">
        <x:f>SUM(G40:HH40)</x:f>
        <x:v>0</x:v>
      </x:c>
      <x:c r="F40" s="35" t="n"/>
      <x:c r="G40" s="121" t="n"/>
      <x:c r="H40" s="122" t="n"/>
      <x:c r="I40" s="122" t="n"/>
      <x:c r="J40" s="122" t="n"/>
      <x:c r="K40" s="122" t="n"/>
      <x:c r="L40" s="122" t="n"/>
      <x:c r="M40" s="123" t="n"/>
      <x:c r="N40" s="123" t="n"/>
      <x:c r="O40" s="123" t="n"/>
      <x:c r="P40" s="123" t="n"/>
      <x:c r="Q40" s="123" t="n"/>
      <x:c r="R40" s="123" t="n"/>
      <x:c r="S40" s="123" t="n"/>
      <x:c r="T40" s="123" t="n"/>
      <x:c r="U40" s="123" t="n"/>
      <x:c r="V40" s="123" t="n"/>
      <x:c r="W40" s="123" t="n"/>
      <x:c r="X40" s="123" t="n"/>
      <x:c r="Y40" s="123" t="n"/>
      <x:c r="Z40" s="123" t="n"/>
      <x:c r="AA40" s="123" t="n"/>
      <x:c r="AB40" s="123" t="n"/>
      <x:c r="AC40" s="123" t="n"/>
      <x:c r="AD40" s="123" t="n"/>
      <x:c r="AE40" s="123" t="n"/>
      <x:c r="AF40" s="123" t="n"/>
      <x:c r="AG40" s="123" t="n"/>
      <x:c r="AH40" s="124" t="n"/>
      <x:c r="AI40" s="123" t="n"/>
      <x:c r="AJ40" s="123" t="n"/>
      <x:c r="AK40" s="124" t="n"/>
      <x:c r="AL40" s="123" t="n"/>
      <x:c r="AM40" s="123" t="n"/>
      <x:c r="AN40" s="123" t="n"/>
      <x:c r="AO40" s="123" t="n"/>
      <x:c r="AP40" s="123" t="n"/>
      <x:c r="AQ40" s="123" t="n"/>
      <x:c r="AR40" s="100" t="n"/>
      <x:c r="AS40" s="100" t="n"/>
      <x:c r="AT40" s="100" t="n"/>
      <x:c r="AU40" s="100" t="n"/>
      <x:c r="AV40" s="100" t="n"/>
      <x:c r="AW40" s="100" t="n"/>
      <x:c r="AX40" s="100" t="n"/>
      <x:c r="AY40" s="100" t="n"/>
      <x:c r="AZ40" s="100" t="n"/>
      <x:c r="BA40" s="100" t="n"/>
      <x:c r="BB40" s="100" t="n"/>
      <x:c r="BC40" s="100" t="n"/>
      <x:c r="BD40" s="100" t="n"/>
      <x:c r="BE40" s="100" t="n"/>
      <x:c r="BF40" s="100" t="n"/>
      <x:c r="BG40" s="100" t="n"/>
      <x:c r="BH40" s="100" t="n"/>
      <x:c r="BI40" s="100" t="n"/>
      <x:c r="BJ40" s="100" t="n"/>
      <x:c r="BK40" s="100" t="n"/>
      <x:c r="BL40" s="100" t="n"/>
      <x:c r="BM40" s="100" t="n"/>
      <x:c r="BN40" s="100" t="n"/>
      <x:c r="BO40" s="100" t="n"/>
      <x:c r="BP40" s="100" t="n"/>
      <x:c r="BQ40" s="100" t="n"/>
      <x:c r="BR40" s="100" t="n"/>
      <x:c r="BS40" s="100" t="n"/>
      <x:c r="BT40" s="100" t="n"/>
      <x:c r="BU40" s="100" t="n"/>
      <x:c r="BV40" s="100" t="n"/>
      <x:c r="BW40" s="100" t="n"/>
      <x:c r="BX40" s="100" t="n"/>
      <x:c r="BY40" s="100" t="n"/>
      <x:c r="BZ40" s="100" t="n"/>
      <x:c r="CA40" s="100" t="n"/>
      <x:c r="CB40" s="100" t="n"/>
      <x:c r="CC40" s="100" t="n"/>
      <x:c r="CD40" s="100" t="n"/>
      <x:c r="CE40" s="100" t="n"/>
      <x:c r="CF40" s="100" t="n"/>
      <x:c r="CG40" s="100" t="n"/>
      <x:c r="CH40" s="100" t="n"/>
      <x:c r="CI40" s="100" t="n"/>
      <x:c r="CJ40" s="100" t="n"/>
      <x:c r="CK40" s="100" t="n"/>
      <x:c r="CL40" s="100" t="n"/>
      <x:c r="CM40" s="100" t="n"/>
      <x:c r="CN40" s="100" t="n"/>
      <x:c r="CO40" s="100" t="n"/>
      <x:c r="CP40" s="100" t="n"/>
      <x:c r="CQ40" s="100" t="n"/>
      <x:c r="CR40" s="100" t="n"/>
      <x:c r="CS40" s="100" t="n"/>
      <x:c r="CT40" s="100" t="n"/>
      <x:c r="CU40" s="100" t="n"/>
      <x:c r="CV40" s="100" t="n"/>
      <x:c r="CW40" s="100" t="n"/>
      <x:c r="CX40" s="100" t="n"/>
      <x:c r="CY40" s="100" t="n"/>
      <x:c r="CZ40" s="100" t="n"/>
      <x:c r="DA40" s="100" t="n"/>
      <x:c r="DB40" s="100" t="n"/>
      <x:c r="DC40" s="100" t="n"/>
      <x:c r="DD40" s="100" t="n"/>
      <x:c r="DE40" s="100" t="n"/>
      <x:c r="DF40" s="100" t="n"/>
      <x:c r="DG40" s="100" t="n"/>
      <x:c r="DH40" s="100" t="n"/>
      <x:c r="DI40" s="100" t="n"/>
      <x:c r="DJ40" s="100" t="n"/>
      <x:c r="DK40" s="100" t="n"/>
      <x:c r="DL40" s="100" t="n"/>
      <x:c r="DM40" s="100" t="n"/>
      <x:c r="DN40" s="100" t="n"/>
      <x:c r="DO40" s="100" t="n"/>
      <x:c r="DP40" s="100" t="n"/>
      <x:c r="DQ40" s="100" t="n"/>
      <x:c r="DR40" s="100" t="n"/>
      <x:c r="DS40" s="100" t="n"/>
      <x:c r="DT40" s="100" t="n"/>
      <x:c r="DU40" s="100" t="n"/>
      <x:c r="DV40" s="100" t="n"/>
      <x:c r="DW40" s="100" t="n"/>
      <x:c r="DX40" s="100" t="n"/>
      <x:c r="DY40" s="100" t="n"/>
      <x:c r="DZ40" s="100" t="n"/>
      <x:c r="EA40" s="100" t="n"/>
      <x:c r="EB40" s="100" t="n"/>
      <x:c r="EC40" s="100" t="n"/>
      <x:c r="ED40" s="100" t="n"/>
      <x:c r="EE40" s="100" t="n"/>
      <x:c r="EF40" s="100" t="n"/>
      <x:c r="EG40" s="100" t="n"/>
      <x:c r="EH40" s="100" t="n"/>
      <x:c r="EI40" s="100" t="n"/>
      <x:c r="EJ40" s="100" t="n"/>
      <x:c r="EK40" s="100" t="n"/>
      <x:c r="EL40" s="100" t="n"/>
      <x:c r="EM40" s="100" t="n"/>
      <x:c r="EN40" s="100" t="n"/>
      <x:c r="EO40" s="100" t="n"/>
      <x:c r="EP40" s="100" t="n"/>
      <x:c r="EQ40" s="100" t="n"/>
      <x:c r="ER40" s="100" t="n"/>
      <x:c r="ES40" s="100" t="n"/>
      <x:c r="ET40" s="100" t="n"/>
      <x:c r="EU40" s="100" t="n"/>
      <x:c r="EV40" s="100" t="n"/>
      <x:c r="EW40" s="100" t="n"/>
      <x:c r="EX40" s="100" t="n"/>
      <x:c r="EY40" s="100" t="n"/>
      <x:c r="EZ40" s="100" t="n"/>
      <x:c r="FA40" s="100" t="n"/>
      <x:c r="FB40" s="100" t="n"/>
      <x:c r="FC40" s="100" t="n"/>
      <x:c r="FD40" s="100" t="n"/>
      <x:c r="FE40" s="100" t="n"/>
      <x:c r="FF40" s="100" t="n"/>
      <x:c r="FG40" s="100" t="n"/>
      <x:c r="FH40" s="100" t="n"/>
      <x:c r="FI40" s="100" t="n"/>
      <x:c r="FJ40" s="100" t="n"/>
      <x:c r="FK40" s="100" t="n"/>
      <x:c r="FL40" s="100" t="n"/>
      <x:c r="FM40" s="100" t="n"/>
      <x:c r="FN40" s="100" t="n"/>
      <x:c r="FO40" s="100" t="n"/>
    </x:row>
    <x:row r="41" s="27" customFormat="1">
      <x:c r="A41" s="125" t="n"/>
      <x:c r="B41" s="39" t="n"/>
      <x:c r="C41" s="36" t="n">
        <x:f>E41*D$5</x:f>
        <x:v>0</x:v>
      </x:c>
      <x:c r="D41" s="4" t="inlineStr">
        <x:is>
          <x:t xml:space="preserve">Charles Allen Atha</x:t>
        </x:is>
      </x:c>
      <x:c r="E41" s="36" t="n">
        <x:f>SUM(G41:HH41)</x:f>
        <x:v>0</x:v>
      </x:c>
      <x:c r="F41" s="35" t="n"/>
      <x:c r="G41" s="121" t="n"/>
      <x:c r="H41" s="122" t="n"/>
      <x:c r="I41" s="122" t="n"/>
      <x:c r="J41" s="122" t="n"/>
      <x:c r="K41" s="122" t="n"/>
      <x:c r="L41" s="122" t="n"/>
      <x:c r="M41" s="123" t="n"/>
      <x:c r="N41" s="123" t="n"/>
      <x:c r="O41" s="123" t="n"/>
      <x:c r="P41" s="123" t="n"/>
      <x:c r="Q41" s="123" t="n"/>
      <x:c r="R41" s="123" t="n"/>
      <x:c r="S41" s="123" t="n"/>
      <x:c r="T41" s="123" t="n"/>
      <x:c r="U41" s="123" t="n"/>
      <x:c r="V41" s="123" t="n"/>
      <x:c r="W41" s="123" t="n"/>
      <x:c r="X41" s="123" t="n"/>
      <x:c r="Y41" s="123" t="n"/>
      <x:c r="Z41" s="123" t="n"/>
      <x:c r="AA41" s="123" t="n"/>
      <x:c r="AB41" s="123" t="n"/>
      <x:c r="AC41" s="123" t="n"/>
      <x:c r="AD41" s="123" t="n"/>
      <x:c r="AE41" s="123" t="n"/>
      <x:c r="AF41" s="123" t="n"/>
      <x:c r="AG41" s="123" t="n"/>
      <x:c r="AH41" s="123" t="n"/>
      <x:c r="AI41" s="124" t="n"/>
      <x:c r="AJ41" s="124" t="n"/>
      <x:c r="AK41" s="123" t="n"/>
      <x:c r="AL41" s="123" t="n"/>
      <x:c r="AM41" s="123" t="n"/>
      <x:c r="AN41" s="123" t="n"/>
      <x:c r="AO41" s="123" t="n"/>
      <x:c r="AP41" s="123" t="n"/>
      <x:c r="AQ41" s="123" t="n"/>
      <x:c r="AR41" s="100" t="n"/>
      <x:c r="AS41" s="100" t="n"/>
      <x:c r="AT41" s="100" t="n"/>
      <x:c r="AU41" s="100" t="n"/>
      <x:c r="AV41" s="100" t="n"/>
      <x:c r="AW41" s="100" t="n"/>
      <x:c r="AX41" s="100" t="n"/>
      <x:c r="AY41" s="100" t="n"/>
      <x:c r="AZ41" s="100" t="n"/>
      <x:c r="BA41" s="100" t="n"/>
      <x:c r="BB41" s="100" t="n"/>
      <x:c r="BC41" s="100" t="n"/>
      <x:c r="BD41" s="100" t="n"/>
      <x:c r="BE41" s="100" t="n"/>
      <x:c r="BF41" s="100" t="n"/>
      <x:c r="BG41" s="100" t="n"/>
      <x:c r="BH41" s="100" t="n"/>
      <x:c r="BI41" s="100" t="n"/>
      <x:c r="BJ41" s="100" t="n"/>
      <x:c r="BK41" s="100" t="n"/>
      <x:c r="BL41" s="100" t="n"/>
      <x:c r="BM41" s="100" t="n"/>
      <x:c r="BN41" s="100" t="n"/>
      <x:c r="BO41" s="100" t="n"/>
      <x:c r="BP41" s="100" t="n"/>
      <x:c r="BQ41" s="100" t="n"/>
      <x:c r="BR41" s="100" t="n"/>
      <x:c r="BS41" s="100" t="n"/>
      <x:c r="BT41" s="100" t="n"/>
      <x:c r="BU41" s="100" t="n"/>
      <x:c r="BV41" s="100" t="n"/>
      <x:c r="BW41" s="100" t="n"/>
      <x:c r="BX41" s="100" t="n"/>
      <x:c r="BY41" s="100" t="n"/>
      <x:c r="BZ41" s="100" t="n"/>
      <x:c r="CA41" s="100" t="n"/>
      <x:c r="CB41" s="100" t="n"/>
      <x:c r="CC41" s="100" t="n"/>
      <x:c r="CD41" s="100" t="n"/>
      <x:c r="CE41" s="100" t="n"/>
      <x:c r="CF41" s="100" t="n"/>
      <x:c r="CG41" s="100" t="n"/>
      <x:c r="CH41" s="100" t="n"/>
      <x:c r="CI41" s="100" t="n"/>
      <x:c r="CJ41" s="100" t="n"/>
      <x:c r="CK41" s="100" t="n"/>
      <x:c r="CL41" s="100" t="n"/>
      <x:c r="CM41" s="100" t="n"/>
      <x:c r="CN41" s="100" t="n"/>
      <x:c r="CO41" s="100" t="n"/>
      <x:c r="CP41" s="100" t="n"/>
      <x:c r="CQ41" s="100" t="n"/>
      <x:c r="CR41" s="100" t="n"/>
      <x:c r="CS41" s="100" t="n"/>
      <x:c r="CT41" s="100" t="n"/>
      <x:c r="CU41" s="100" t="n"/>
      <x:c r="CV41" s="100" t="n"/>
      <x:c r="CW41" s="100" t="n"/>
      <x:c r="CX41" s="100" t="n"/>
      <x:c r="CY41" s="100" t="n"/>
      <x:c r="CZ41" s="100" t="n"/>
      <x:c r="DA41" s="100" t="n"/>
      <x:c r="DB41" s="100" t="n"/>
      <x:c r="DC41" s="100" t="n"/>
      <x:c r="DD41" s="100" t="n"/>
      <x:c r="DE41" s="100" t="n"/>
      <x:c r="DF41" s="100" t="n"/>
      <x:c r="DG41" s="100" t="n"/>
      <x:c r="DH41" s="100" t="n"/>
      <x:c r="DI41" s="100" t="n"/>
      <x:c r="DJ41" s="100" t="n"/>
      <x:c r="DK41" s="100" t="n"/>
      <x:c r="DL41" s="100" t="n"/>
      <x:c r="DM41" s="100" t="n"/>
      <x:c r="DN41" s="100" t="n"/>
      <x:c r="DO41" s="100" t="n"/>
      <x:c r="DP41" s="100" t="n"/>
      <x:c r="DQ41" s="100" t="n"/>
      <x:c r="DR41" s="100" t="n"/>
      <x:c r="DS41" s="100" t="n"/>
      <x:c r="DT41" s="100" t="n"/>
      <x:c r="DU41" s="100" t="n"/>
      <x:c r="DV41" s="100" t="n"/>
      <x:c r="DW41" s="100" t="n"/>
      <x:c r="DX41" s="100" t="n"/>
      <x:c r="DY41" s="100" t="n"/>
      <x:c r="DZ41" s="100" t="n"/>
      <x:c r="EA41" s="100" t="n"/>
      <x:c r="EB41" s="100" t="n"/>
      <x:c r="EC41" s="100" t="n"/>
      <x:c r="ED41" s="100" t="n"/>
      <x:c r="EE41" s="100" t="n"/>
      <x:c r="EF41" s="100" t="n"/>
      <x:c r="EG41" s="100" t="n"/>
      <x:c r="EH41" s="100" t="n"/>
      <x:c r="EI41" s="100" t="n"/>
      <x:c r="EJ41" s="100" t="n"/>
      <x:c r="EK41" s="100" t="n"/>
      <x:c r="EL41" s="100" t="n"/>
      <x:c r="EM41" s="100" t="n"/>
      <x:c r="EN41" s="100" t="n"/>
      <x:c r="EO41" s="100" t="n"/>
      <x:c r="EP41" s="100" t="n"/>
      <x:c r="EQ41" s="100" t="n"/>
      <x:c r="ER41" s="100" t="n"/>
      <x:c r="ES41" s="100" t="n"/>
      <x:c r="ET41" s="100" t="n"/>
      <x:c r="EU41" s="100" t="n"/>
      <x:c r="EV41" s="100" t="n"/>
      <x:c r="EW41" s="100" t="n"/>
      <x:c r="EX41" s="100" t="n"/>
      <x:c r="EY41" s="100" t="n"/>
      <x:c r="EZ41" s="100" t="n"/>
      <x:c r="FA41" s="100" t="n"/>
      <x:c r="FB41" s="100" t="n"/>
      <x:c r="FC41" s="100" t="n"/>
      <x:c r="FD41" s="100" t="n"/>
      <x:c r="FE41" s="100" t="n"/>
      <x:c r="FF41" s="100" t="n"/>
      <x:c r="FG41" s="100" t="n"/>
      <x:c r="FH41" s="100" t="n"/>
      <x:c r="FI41" s="100" t="n"/>
      <x:c r="FJ41" s="100" t="n"/>
      <x:c r="FK41" s="100" t="n"/>
      <x:c r="FL41" s="100" t="n"/>
      <x:c r="FM41" s="100" t="n"/>
      <x:c r="FN41" s="100" t="n"/>
      <x:c r="FO41" s="100" t="n"/>
    </x:row>
    <x:row r="42" s="27" customFormat="1">
      <x:c r="A42" s="125" t="n"/>
      <x:c r="B42" s="39" t="n"/>
      <x:c r="C42" s="86" t="n">
        <x:f>E42*D$5</x:f>
        <x:v>0</x:v>
      </x:c>
      <x:c r="D42" s="523" t="inlineStr">
        <x:is>
          <x:t xml:space="preserve">Arrowhead Resources, Inc.</x:t>
        </x:is>
      </x:c>
      <x:c r="E42" s="86" t="n">
        <x:f>SUM(G42:HH42)</x:f>
        <x:v>0</x:v>
      </x:c>
      <x:c r="F42" s="35" t="n"/>
      <x:c r="G42" s="121" t="n"/>
      <x:c r="H42" s="122" t="n"/>
      <x:c r="I42" s="122" t="n"/>
      <x:c r="J42" s="122" t="n"/>
      <x:c r="K42" s="122" t="n"/>
      <x:c r="L42" s="122" t="n"/>
      <x:c r="M42" s="123" t="n"/>
      <x:c r="N42" s="123" t="n"/>
      <x:c r="O42" s="123" t="n"/>
      <x:c r="P42" s="123" t="n"/>
      <x:c r="Q42" s="123" t="n"/>
      <x:c r="R42" s="123" t="n"/>
      <x:c r="S42" s="123" t="n"/>
      <x:c r="T42" s="124" t="n"/>
      <x:c r="U42" s="124" t="n"/>
      <x:c r="V42" s="123" t="n"/>
      <x:c r="W42" s="123" t="n"/>
      <x:c r="X42" s="123" t="n"/>
      <x:c r="Y42" s="123" t="n"/>
      <x:c r="Z42" s="123" t="n"/>
      <x:c r="AA42" s="123" t="n"/>
      <x:c r="AB42" s="123" t="n"/>
      <x:c r="AC42" s="123" t="n"/>
      <x:c r="AD42" s="123" t="n"/>
      <x:c r="AE42" s="123" t="n"/>
      <x:c r="AF42" s="123" t="n"/>
      <x:c r="AG42" s="123" t="n"/>
      <x:c r="AH42" s="123" t="n"/>
      <x:c r="AI42" s="123" t="n"/>
      <x:c r="AJ42" s="123" t="n"/>
      <x:c r="AK42" s="124" t="n"/>
      <x:c r="AL42" s="123" t="n"/>
      <x:c r="AM42" s="123" t="n"/>
      <x:c r="AN42" s="123" t="n"/>
      <x:c r="AO42" s="123" t="n"/>
      <x:c r="AP42" s="123" t="n"/>
      <x:c r="AQ42" s="123" t="n"/>
      <x:c r="AR42" s="100" t="n"/>
      <x:c r="AS42" s="100" t="n"/>
      <x:c r="AT42" s="100" t="n"/>
      <x:c r="AU42" s="100" t="n"/>
      <x:c r="AV42" s="100" t="n"/>
      <x:c r="AW42" s="100" t="n"/>
      <x:c r="AX42" s="100" t="n"/>
      <x:c r="AY42" s="100" t="n"/>
      <x:c r="AZ42" s="100" t="n"/>
      <x:c r="BA42" s="100" t="n"/>
      <x:c r="BB42" s="100" t="n"/>
      <x:c r="BC42" s="100" t="n"/>
      <x:c r="BD42" s="100" t="n"/>
      <x:c r="BE42" s="100" t="n"/>
      <x:c r="BF42" s="100" t="n"/>
      <x:c r="BG42" s="100" t="n"/>
      <x:c r="BH42" s="100" t="n"/>
      <x:c r="BI42" s="100" t="n"/>
      <x:c r="BJ42" s="100" t="n"/>
      <x:c r="BK42" s="100" t="n"/>
      <x:c r="BL42" s="100" t="n"/>
      <x:c r="BM42" s="100" t="n"/>
      <x:c r="BN42" s="100" t="n"/>
      <x:c r="BO42" s="100" t="n"/>
      <x:c r="BP42" s="100" t="n"/>
      <x:c r="BQ42" s="100" t="n"/>
      <x:c r="BR42" s="100" t="n"/>
      <x:c r="BS42" s="100" t="n"/>
      <x:c r="BT42" s="100" t="n"/>
      <x:c r="BU42" s="100" t="n"/>
      <x:c r="BV42" s="100" t="n"/>
      <x:c r="BW42" s="100" t="n"/>
      <x:c r="BX42" s="100" t="n"/>
      <x:c r="BY42" s="100" t="n"/>
      <x:c r="BZ42" s="100" t="n"/>
      <x:c r="CA42" s="100" t="n"/>
      <x:c r="CB42" s="100" t="n"/>
      <x:c r="CC42" s="100" t="n"/>
      <x:c r="CD42" s="100" t="n"/>
      <x:c r="CE42" s="100" t="n"/>
      <x:c r="CF42" s="100" t="n"/>
      <x:c r="CG42" s="100" t="n"/>
      <x:c r="CH42" s="100" t="n"/>
      <x:c r="CI42" s="100" t="n"/>
      <x:c r="CJ42" s="100" t="n"/>
      <x:c r="CK42" s="100" t="n"/>
      <x:c r="CL42" s="100" t="n"/>
      <x:c r="CM42" s="100" t="n"/>
      <x:c r="CN42" s="100" t="n"/>
      <x:c r="CO42" s="100" t="n"/>
      <x:c r="CP42" s="100" t="n"/>
      <x:c r="CQ42" s="100" t="n"/>
      <x:c r="CR42" s="100" t="n"/>
      <x:c r="CS42" s="100" t="n"/>
      <x:c r="CT42" s="100" t="n"/>
      <x:c r="CU42" s="100" t="n"/>
      <x:c r="CV42" s="100" t="n"/>
      <x:c r="CW42" s="100" t="n"/>
      <x:c r="CX42" s="100" t="n"/>
      <x:c r="CY42" s="100" t="n"/>
      <x:c r="CZ42" s="100" t="n"/>
      <x:c r="DA42" s="100" t="n"/>
      <x:c r="DB42" s="100" t="n"/>
      <x:c r="DC42" s="100" t="n"/>
      <x:c r="DD42" s="100" t="n"/>
      <x:c r="DE42" s="100" t="n"/>
      <x:c r="DF42" s="100" t="n"/>
      <x:c r="DG42" s="100" t="n"/>
      <x:c r="DH42" s="100" t="n"/>
      <x:c r="DI42" s="100" t="n"/>
      <x:c r="DJ42" s="100" t="n"/>
      <x:c r="DK42" s="100" t="n"/>
      <x:c r="DL42" s="100" t="n"/>
      <x:c r="DM42" s="100" t="n"/>
      <x:c r="DN42" s="100" t="n"/>
      <x:c r="DO42" s="100" t="n"/>
      <x:c r="DP42" s="100" t="n"/>
      <x:c r="DQ42" s="100" t="n"/>
      <x:c r="DR42" s="100" t="n"/>
      <x:c r="DS42" s="100" t="n"/>
      <x:c r="DT42" s="100" t="n"/>
      <x:c r="DU42" s="100" t="n"/>
      <x:c r="DV42" s="100" t="n"/>
      <x:c r="DW42" s="100" t="n"/>
      <x:c r="DX42" s="100" t="n"/>
      <x:c r="DY42" s="100" t="n"/>
      <x:c r="DZ42" s="100" t="n"/>
      <x:c r="EA42" s="100" t="n"/>
      <x:c r="EB42" s="100" t="n"/>
      <x:c r="EC42" s="100" t="n"/>
      <x:c r="ED42" s="100" t="n"/>
      <x:c r="EE42" s="100" t="n"/>
      <x:c r="EF42" s="100" t="n"/>
      <x:c r="EG42" s="100" t="n"/>
      <x:c r="EH42" s="100" t="n"/>
      <x:c r="EI42" s="100" t="n"/>
      <x:c r="EJ42" s="100" t="n"/>
      <x:c r="EK42" s="100" t="n"/>
      <x:c r="EL42" s="100" t="n"/>
      <x:c r="EM42" s="100" t="n"/>
      <x:c r="EN42" s="100" t="n"/>
      <x:c r="EO42" s="100" t="n"/>
      <x:c r="EP42" s="100" t="n"/>
      <x:c r="EQ42" s="100" t="n"/>
      <x:c r="ER42" s="100" t="n"/>
      <x:c r="ES42" s="100" t="n"/>
      <x:c r="ET42" s="100" t="n"/>
      <x:c r="EU42" s="100" t="n"/>
      <x:c r="EV42" s="100" t="n"/>
      <x:c r="EW42" s="100" t="n"/>
      <x:c r="EX42" s="100" t="n"/>
      <x:c r="EY42" s="100" t="n"/>
      <x:c r="EZ42" s="100" t="n"/>
      <x:c r="FA42" s="100" t="n"/>
      <x:c r="FB42" s="100" t="n"/>
      <x:c r="FC42" s="100" t="n"/>
      <x:c r="FD42" s="100" t="n"/>
      <x:c r="FE42" s="100" t="n"/>
      <x:c r="FF42" s="100" t="n"/>
      <x:c r="FG42" s="100" t="n"/>
      <x:c r="FH42" s="100" t="n"/>
      <x:c r="FI42" s="100" t="n"/>
      <x:c r="FJ42" s="100" t="n"/>
      <x:c r="FK42" s="100" t="n"/>
      <x:c r="FL42" s="100" t="n"/>
      <x:c r="FM42" s="100" t="n"/>
      <x:c r="FN42" s="100" t="n"/>
      <x:c r="FO42" s="100" t="n"/>
    </x:row>
    <x:row r="43" s="27" customFormat="1" ht="24" customHeight="1">
      <x:c r="A43" s="125" t="n"/>
      <x:c r="B43" s="39" t="n"/>
      <x:c r="C43" s="86" t="n">
        <x:f>E43*D$5</x:f>
        <x:v>0</x:v>
      </x:c>
      <x:c r="D43" s="523" t="inlineStr">
        <x:is>
          <x:t xml:space="preserve">Sandra York, aka Sandra Lorraine York, aka Sandra Lorrain York, Individually and as heir of Virgil Hambrook</x:t>
        </x:is>
      </x:c>
      <x:c r="E43" s="86" t="n">
        <x:f>SUM(G43:HH43)</x:f>
        <x:v>0</x:v>
      </x:c>
      <x:c r="F43" s="35" t="n"/>
      <x:c r="G43" s="121" t="n"/>
      <x:c r="H43" s="122" t="n"/>
      <x:c r="I43" s="122" t="n"/>
      <x:c r="J43" s="122" t="n"/>
      <x:c r="K43" s="122" t="n"/>
      <x:c r="L43" s="122" t="n"/>
      <x:c r="M43" s="123" t="n"/>
      <x:c r="N43" s="123" t="n"/>
      <x:c r="O43" s="123" t="n"/>
      <x:c r="P43" s="124" t="n"/>
      <x:c r="Q43" s="123" t="n"/>
      <x:c r="R43" s="123" t="n"/>
      <x:c r="S43" s="123" t="n"/>
      <x:c r="T43" s="123" t="n"/>
      <x:c r="U43" s="123" t="n"/>
      <x:c r="V43" s="123" t="n"/>
      <x:c r="W43" s="123" t="n"/>
      <x:c r="X43" s="123" t="n"/>
      <x:c r="Y43" s="123" t="n"/>
      <x:c r="Z43" s="123" t="n"/>
      <x:c r="AA43" s="123" t="n"/>
      <x:c r="AB43" s="123" t="n"/>
      <x:c r="AC43" s="123" t="n"/>
      <x:c r="AD43" s="123" t="n"/>
      <x:c r="AE43" s="123" t="n"/>
      <x:c r="AF43" s="123" t="n"/>
      <x:c r="AG43" s="123" t="n"/>
      <x:c r="AH43" s="123" t="n"/>
      <x:c r="AI43" s="123" t="n"/>
      <x:c r="AJ43" s="123" t="n"/>
      <x:c r="AK43" s="124" t="n"/>
      <x:c r="AL43" s="123" t="n"/>
      <x:c r="AM43" s="123" t="n"/>
      <x:c r="AN43" s="123" t="n"/>
      <x:c r="AO43" s="123" t="n"/>
      <x:c r="AP43" s="123" t="n"/>
      <x:c r="AQ43" s="123" t="n"/>
      <x:c r="AR43" s="100" t="n"/>
      <x:c r="AS43" s="100" t="n"/>
      <x:c r="AT43" s="100" t="n"/>
      <x:c r="AU43" s="100" t="n"/>
      <x:c r="AV43" s="100" t="n"/>
      <x:c r="AW43" s="100" t="n"/>
      <x:c r="AX43" s="100" t="n"/>
      <x:c r="AY43" s="100" t="n"/>
      <x:c r="AZ43" s="100" t="n"/>
      <x:c r="BA43" s="100" t="n"/>
      <x:c r="BB43" s="100" t="n"/>
      <x:c r="BC43" s="100" t="n"/>
      <x:c r="BD43" s="100" t="n"/>
      <x:c r="BE43" s="100" t="n"/>
      <x:c r="BF43" s="100" t="n"/>
      <x:c r="BG43" s="100" t="n"/>
      <x:c r="BH43" s="100" t="n"/>
      <x:c r="BI43" s="100" t="n"/>
      <x:c r="BJ43" s="100" t="n"/>
      <x:c r="BK43" s="100" t="n"/>
      <x:c r="BL43" s="100" t="n"/>
      <x:c r="BM43" s="100" t="n"/>
      <x:c r="BN43" s="100" t="n"/>
      <x:c r="BO43" s="100" t="n"/>
      <x:c r="BP43" s="100" t="n"/>
      <x:c r="BQ43" s="100" t="n"/>
      <x:c r="BR43" s="100" t="n"/>
      <x:c r="BS43" s="100" t="n"/>
      <x:c r="BT43" s="100" t="n"/>
      <x:c r="BU43" s="100" t="n"/>
      <x:c r="BV43" s="100" t="n"/>
      <x:c r="BW43" s="100" t="n"/>
      <x:c r="BX43" s="100" t="n"/>
      <x:c r="BY43" s="100" t="n"/>
      <x:c r="BZ43" s="100" t="n"/>
      <x:c r="CA43" s="100" t="n"/>
      <x:c r="CB43" s="100" t="n"/>
      <x:c r="CC43" s="100" t="n"/>
      <x:c r="CD43" s="100" t="n"/>
      <x:c r="CE43" s="100" t="n"/>
      <x:c r="CF43" s="100" t="n"/>
      <x:c r="CG43" s="100" t="n"/>
      <x:c r="CH43" s="100" t="n"/>
      <x:c r="CI43" s="100" t="n"/>
      <x:c r="CJ43" s="100" t="n"/>
      <x:c r="CK43" s="100" t="n"/>
      <x:c r="CL43" s="100" t="n"/>
      <x:c r="CM43" s="100" t="n"/>
      <x:c r="CN43" s="100" t="n"/>
      <x:c r="CO43" s="100" t="n"/>
      <x:c r="CP43" s="100" t="n"/>
      <x:c r="CQ43" s="100" t="n"/>
      <x:c r="CR43" s="100" t="n"/>
      <x:c r="CS43" s="100" t="n"/>
      <x:c r="CT43" s="100" t="n"/>
      <x:c r="CU43" s="100" t="n"/>
      <x:c r="CV43" s="100" t="n"/>
      <x:c r="CW43" s="100" t="n"/>
      <x:c r="CX43" s="100" t="n"/>
      <x:c r="CY43" s="100" t="n"/>
      <x:c r="CZ43" s="100" t="n"/>
      <x:c r="DA43" s="100" t="n"/>
      <x:c r="DB43" s="100" t="n"/>
      <x:c r="DC43" s="100" t="n"/>
      <x:c r="DD43" s="100" t="n"/>
      <x:c r="DE43" s="100" t="n"/>
      <x:c r="DF43" s="100" t="n"/>
      <x:c r="DG43" s="100" t="n"/>
      <x:c r="DH43" s="100" t="n"/>
      <x:c r="DI43" s="100" t="n"/>
      <x:c r="DJ43" s="100" t="n"/>
      <x:c r="DK43" s="100" t="n"/>
      <x:c r="DL43" s="100" t="n"/>
      <x:c r="DM43" s="100" t="n"/>
      <x:c r="DN43" s="100" t="n"/>
      <x:c r="DO43" s="100" t="n"/>
      <x:c r="DP43" s="100" t="n"/>
      <x:c r="DQ43" s="100" t="n"/>
      <x:c r="DR43" s="100" t="n"/>
      <x:c r="DS43" s="100" t="n"/>
      <x:c r="DT43" s="100" t="n"/>
      <x:c r="DU43" s="100" t="n"/>
      <x:c r="DV43" s="100" t="n"/>
      <x:c r="DW43" s="100" t="n"/>
      <x:c r="DX43" s="100" t="n"/>
      <x:c r="DY43" s="100" t="n"/>
      <x:c r="DZ43" s="100" t="n"/>
      <x:c r="EA43" s="100" t="n"/>
      <x:c r="EB43" s="100" t="n"/>
      <x:c r="EC43" s="100" t="n"/>
      <x:c r="ED43" s="100" t="n"/>
      <x:c r="EE43" s="100" t="n"/>
      <x:c r="EF43" s="100" t="n"/>
      <x:c r="EG43" s="100" t="n"/>
      <x:c r="EH43" s="100" t="n"/>
      <x:c r="EI43" s="100" t="n"/>
      <x:c r="EJ43" s="100" t="n"/>
      <x:c r="EK43" s="100" t="n"/>
      <x:c r="EL43" s="100" t="n"/>
      <x:c r="EM43" s="100" t="n"/>
      <x:c r="EN43" s="100" t="n"/>
      <x:c r="EO43" s="100" t="n"/>
      <x:c r="EP43" s="100" t="n"/>
      <x:c r="EQ43" s="100" t="n"/>
      <x:c r="ER43" s="100" t="n"/>
      <x:c r="ES43" s="100" t="n"/>
      <x:c r="ET43" s="100" t="n"/>
      <x:c r="EU43" s="100" t="n"/>
      <x:c r="EV43" s="100" t="n"/>
      <x:c r="EW43" s="100" t="n"/>
      <x:c r="EX43" s="100" t="n"/>
      <x:c r="EY43" s="100" t="n"/>
      <x:c r="EZ43" s="100" t="n"/>
      <x:c r="FA43" s="100" t="n"/>
      <x:c r="FB43" s="100" t="n"/>
      <x:c r="FC43" s="100" t="n"/>
      <x:c r="FD43" s="100" t="n"/>
      <x:c r="FE43" s="100" t="n"/>
      <x:c r="FF43" s="100" t="n"/>
      <x:c r="FG43" s="100" t="n"/>
      <x:c r="FH43" s="100" t="n"/>
      <x:c r="FI43" s="100" t="n"/>
      <x:c r="FJ43" s="100" t="n"/>
      <x:c r="FK43" s="100" t="n"/>
      <x:c r="FL43" s="100" t="n"/>
      <x:c r="FM43" s="100" t="n"/>
      <x:c r="FN43" s="100" t="n"/>
      <x:c r="FO43" s="100" t="n"/>
    </x:row>
    <x:row r="44" s="27" customFormat="1" ht="12" customHeight="1">
      <x:c r="A44" s="125" t="n"/>
      <x:c r="B44" s="39" t="n"/>
      <x:c r="C44" s="86" t="n">
        <x:f>E44*D$5</x:f>
        <x:v>0</x:v>
      </x:c>
      <x:c r="D44" s="4" t="inlineStr">
        <x:is>
          <x:t xml:space="preserve">Roger Mills County Court RE: In the Matter of the Estate of Virgil Mark Hambrook, Deceased</x:t>
        </x:is>
      </x:c>
      <x:c r="E44" s="86" t="n">
        <x:f>SUM(G44:HT44)</x:f>
        <x:v>0</x:v>
      </x:c>
      <x:c r="F44" s="35" t="n"/>
      <x:c r="G44" s="121" t="n"/>
      <x:c r="H44" s="121" t="n"/>
      <x:c r="I44" s="121" t="n"/>
      <x:c r="J44" s="121" t="n"/>
      <x:c r="K44" s="121" t="n"/>
      <x:c r="L44" s="121" t="n"/>
      <x:c r="M44" s="121" t="n"/>
      <x:c r="N44" s="121" t="n"/>
      <x:c r="O44" s="121" t="n"/>
      <x:c r="P44" s="121" t="n"/>
      <x:c r="Q44" s="121" t="n"/>
      <x:c r="R44" s="123" t="n"/>
      <x:c r="S44" s="123" t="n"/>
      <x:c r="T44" s="121" t="n"/>
      <x:c r="U44" s="121" t="n"/>
      <x:c r="V44" s="121" t="n"/>
      <x:c r="W44" s="121" t="n"/>
      <x:c r="X44" s="121" t="n"/>
      <x:c r="Y44" s="121" t="n"/>
      <x:c r="Z44" s="121" t="n"/>
      <x:c r="AA44" s="121" t="n"/>
      <x:c r="AB44" s="121" t="n"/>
      <x:c r="AC44" s="121" t="n"/>
      <x:c r="AD44" s="121" t="n"/>
      <x:c r="AE44" s="123" t="n"/>
      <x:c r="AF44" s="123" t="n"/>
      <x:c r="AG44" s="123" t="n"/>
      <x:c r="AH44" s="123" t="n"/>
      <x:c r="AI44" s="124" t="n"/>
      <x:c r="AJ44" s="124" t="n"/>
      <x:c r="AK44" s="123" t="n"/>
      <x:c r="AL44" s="121" t="n"/>
      <x:c r="AM44" s="123" t="n"/>
      <x:c r="AN44" s="121" t="n"/>
      <x:c r="AO44" s="123" t="n"/>
      <x:c r="AP44" s="121" t="n"/>
      <x:c r="AQ44" s="121" t="n"/>
      <x:c r="AR44" s="28" t="n"/>
      <x:c r="AS44" s="28" t="n"/>
      <x:c r="AT44" s="28" t="n"/>
    </x:row>
    <x:row r="45" s="27" customFormat="1" ht="24" customHeight="1">
      <x:c r="A45" s="125" t="n"/>
      <x:c r="B45" s="39" t="n"/>
      <x:c r="C45" s="86" t="n">
        <x:f>E45*D$5</x:f>
        <x:v>0</x:v>
      </x:c>
      <x:c r="D45" s="523" t="inlineStr">
        <x:is>
          <x:t xml:space="preserve">Sandra York, a/k/a Sandra Lorraine York, a/k/a Sandra Lorrain York</x:t>
        </x:is>
      </x:c>
      <x:c r="E45" s="86" t="n">
        <x:f>SUM(G45:HP45)</x:f>
        <x:v>0</x:v>
      </x:c>
      <x:c r="F45" s="35" t="n"/>
      <x:c r="G45" s="121" t="n"/>
      <x:c r="H45" s="123" t="n"/>
      <x:c r="I45" s="123" t="n"/>
      <x:c r="J45" s="123" t="n"/>
      <x:c r="K45" s="123" t="n"/>
      <x:c r="L45" s="123" t="n"/>
      <x:c r="M45" s="123" t="n"/>
      <x:c r="N45" s="124" t="n"/>
      <x:c r="O45" s="124" t="n"/>
      <x:c r="P45" s="123" t="n"/>
      <x:c r="Q45" s="123" t="n"/>
      <x:c r="R45" s="123" t="n"/>
      <x:c r="S45" s="123" t="n"/>
      <x:c r="T45" s="123" t="n"/>
      <x:c r="U45" s="123" t="n"/>
      <x:c r="V45" s="123" t="n"/>
      <x:c r="W45" s="123" t="n"/>
      <x:c r="X45" s="123" t="n"/>
      <x:c r="Y45" s="123" t="n"/>
      <x:c r="Z45" s="123" t="n"/>
      <x:c r="AA45" s="123" t="n"/>
      <x:c r="AB45" s="123" t="n"/>
      <x:c r="AC45" s="121" t="n"/>
      <x:c r="AD45" s="123" t="n"/>
      <x:c r="AE45" s="123" t="n"/>
      <x:c r="AF45" s="123" t="n"/>
      <x:c r="AG45" s="123" t="n"/>
      <x:c r="AH45" s="123" t="n"/>
      <x:c r="AI45" s="123" t="n"/>
      <x:c r="AJ45" s="123" t="n"/>
      <x:c r="AK45" s="124" t="n"/>
      <x:c r="AL45" s="123" t="n"/>
      <x:c r="AM45" s="121" t="n"/>
      <x:c r="AN45" s="123" t="n"/>
      <x:c r="AO45" s="123" t="n"/>
      <x:c r="AP45" s="123" t="n"/>
      <x:c r="AQ45" s="123" t="n"/>
      <x:c r="AR45" s="100" t="n"/>
      <x:c r="AS45" s="100" t="n"/>
      <x:c r="AT45" s="100" t="n"/>
      <x:c r="AU45" s="100" t="n"/>
      <x:c r="AV45" s="100" t="n"/>
      <x:c r="AW45" s="100" t="n"/>
      <x:c r="AX45" s="100" t="n"/>
      <x:c r="AY45" s="100" t="n"/>
      <x:c r="AZ45" s="100" t="n"/>
      <x:c r="BA45" s="100" t="n"/>
      <x:c r="BB45" s="100" t="n"/>
      <x:c r="BC45" s="100" t="n"/>
      <x:c r="BD45" s="100" t="n"/>
      <x:c r="BE45" s="100" t="n"/>
      <x:c r="BF45" s="100" t="n"/>
      <x:c r="BG45" s="100" t="n"/>
      <x:c r="BH45" s="100" t="n"/>
      <x:c r="BI45" s="100" t="n"/>
      <x:c r="BJ45" s="100" t="n"/>
      <x:c r="BK45" s="100" t="n"/>
      <x:c r="BL45" s="100" t="n"/>
      <x:c r="BM45" s="100" t="n"/>
      <x:c r="BN45" s="100" t="n"/>
      <x:c r="BO45" s="100" t="n"/>
      <x:c r="BP45" s="100" t="n"/>
      <x:c r="BQ45" s="100" t="n"/>
      <x:c r="BR45" s="100" t="n"/>
      <x:c r="BS45" s="100" t="n"/>
      <x:c r="BT45" s="100" t="n"/>
      <x:c r="BU45" s="100" t="n"/>
      <x:c r="BV45" s="100" t="n"/>
      <x:c r="BW45" s="100" t="n"/>
      <x:c r="BX45" s="100" t="n"/>
      <x:c r="BY45" s="100" t="n"/>
      <x:c r="BZ45" s="100" t="n"/>
      <x:c r="CA45" s="100" t="n"/>
      <x:c r="CB45" s="100" t="n"/>
      <x:c r="CC45" s="100" t="n"/>
      <x:c r="CD45" s="100" t="n"/>
      <x:c r="CE45" s="100" t="n"/>
      <x:c r="CF45" s="100" t="n"/>
      <x:c r="CG45" s="100" t="n"/>
      <x:c r="CH45" s="100" t="n"/>
      <x:c r="CI45" s="100" t="n"/>
      <x:c r="CJ45" s="100" t="n"/>
      <x:c r="CK45" s="100" t="n"/>
      <x:c r="CL45" s="100" t="n"/>
      <x:c r="CM45" s="100" t="n"/>
      <x:c r="CN45" s="100" t="n"/>
      <x:c r="CO45" s="100" t="n"/>
      <x:c r="CP45" s="100" t="n"/>
      <x:c r="CQ45" s="100" t="n"/>
      <x:c r="CR45" s="100" t="n"/>
      <x:c r="CS45" s="100" t="n"/>
      <x:c r="CT45" s="100" t="n"/>
      <x:c r="CU45" s="100" t="n"/>
      <x:c r="CV45" s="100" t="n"/>
      <x:c r="CW45" s="100" t="n"/>
      <x:c r="CX45" s="100" t="n"/>
      <x:c r="CY45" s="100" t="n"/>
      <x:c r="CZ45" s="100" t="n"/>
      <x:c r="DA45" s="100" t="n"/>
      <x:c r="DB45" s="100" t="n"/>
      <x:c r="DC45" s="100" t="n"/>
      <x:c r="DD45" s="100" t="n"/>
      <x:c r="DE45" s="100" t="n"/>
      <x:c r="DF45" s="100" t="n"/>
      <x:c r="DG45" s="100" t="n"/>
      <x:c r="DH45" s="100" t="n"/>
      <x:c r="DI45" s="100" t="n"/>
      <x:c r="DJ45" s="100" t="n"/>
      <x:c r="DK45" s="100" t="n"/>
      <x:c r="DL45" s="100" t="n"/>
      <x:c r="DM45" s="100" t="n"/>
      <x:c r="DN45" s="100" t="n"/>
      <x:c r="DO45" s="100" t="n"/>
      <x:c r="DP45" s="100" t="n"/>
      <x:c r="DQ45" s="100" t="n"/>
      <x:c r="DR45" s="100" t="n"/>
      <x:c r="DS45" s="100" t="n"/>
      <x:c r="DT45" s="100" t="n"/>
      <x:c r="DU45" s="100" t="n"/>
      <x:c r="DV45" s="100" t="n"/>
      <x:c r="DW45" s="100" t="n"/>
      <x:c r="DX45" s="100" t="n"/>
      <x:c r="DY45" s="100" t="n"/>
      <x:c r="DZ45" s="100" t="n"/>
      <x:c r="EA45" s="100" t="n"/>
      <x:c r="EB45" s="100" t="n"/>
      <x:c r="EC45" s="100" t="n"/>
      <x:c r="ED45" s="100" t="n"/>
      <x:c r="EE45" s="100" t="n"/>
      <x:c r="EF45" s="100" t="n"/>
      <x:c r="EG45" s="100" t="n"/>
      <x:c r="EH45" s="100" t="n"/>
      <x:c r="EI45" s="100" t="n"/>
      <x:c r="EJ45" s="100" t="n"/>
      <x:c r="EK45" s="100" t="n"/>
      <x:c r="EL45" s="100" t="n"/>
      <x:c r="EM45" s="100" t="n"/>
      <x:c r="EN45" s="100" t="n"/>
      <x:c r="EO45" s="100" t="n"/>
      <x:c r="EP45" s="100" t="n"/>
      <x:c r="EQ45" s="100" t="n"/>
      <x:c r="ER45" s="100" t="n"/>
      <x:c r="ES45" s="100" t="n"/>
      <x:c r="ET45" s="100" t="n"/>
      <x:c r="EU45" s="100" t="n"/>
      <x:c r="EV45" s="100" t="n"/>
      <x:c r="EW45" s="100" t="n"/>
      <x:c r="EX45" s="100" t="n"/>
      <x:c r="EY45" s="100" t="n"/>
      <x:c r="EZ45" s="100" t="n"/>
      <x:c r="FA45" s="100" t="n"/>
      <x:c r="FB45" s="100" t="n"/>
      <x:c r="FC45" s="100" t="n"/>
      <x:c r="FD45" s="100" t="n"/>
      <x:c r="FE45" s="100" t="n"/>
      <x:c r="FF45" s="100" t="n"/>
      <x:c r="FG45" s="100" t="n"/>
      <x:c r="FH45" s="100" t="n"/>
      <x:c r="FI45" s="100" t="n"/>
      <x:c r="FJ45" s="100" t="n"/>
      <x:c r="FK45" s="100" t="n"/>
      <x:c r="FL45" s="100" t="n"/>
      <x:c r="FM45" s="100" t="n"/>
      <x:c r="FN45" s="100" t="n"/>
      <x:c r="FO45" s="100" t="n"/>
      <x:c r="FP45" s="100" t="n"/>
      <x:c r="FQ45" s="100" t="n"/>
      <x:c r="FR45" s="100" t="n"/>
      <x:c r="FS45" s="100" t="n"/>
      <x:c r="FT45" s="100" t="n"/>
      <x:c r="FU45" s="100" t="n"/>
      <x:c r="FV45" s="100" t="n"/>
      <x:c r="FW45" s="100" t="n"/>
    </x:row>
    <x:row r="46" s="27" customFormat="1">
      <x:c r="A46" s="125" t="n"/>
      <x:c r="B46" s="39" t="n"/>
      <x:c r="C46" s="86" t="n">
        <x:f>E46*D$5</x:f>
        <x:v>0</x:v>
      </x:c>
      <x:c r="D46" s="4" t="inlineStr">
        <x:is>
          <x:t xml:space="preserve">Koala Pordution Company</x:t>
        </x:is>
      </x:c>
      <x:c r="E46" s="86" t="n">
        <x:f>SUM(G46:HT46)</x:f>
        <x:v>0</x:v>
      </x:c>
      <x:c r="F46" s="35" t="n"/>
      <x:c r="G46" s="121" t="n"/>
      <x:c r="H46" s="121" t="n"/>
      <x:c r="I46" s="121" t="n"/>
      <x:c r="J46" s="121" t="n"/>
      <x:c r="K46" s="121" t="n"/>
      <x:c r="L46" s="121" t="n"/>
      <x:c r="M46" s="121" t="n"/>
      <x:c r="N46" s="121" t="n"/>
      <x:c r="O46" s="121" t="n"/>
      <x:c r="P46" s="121" t="n"/>
      <x:c r="Q46" s="121" t="n"/>
      <x:c r="R46" s="123" t="n"/>
      <x:c r="S46" s="123" t="n"/>
      <x:c r="T46" s="121" t="n"/>
      <x:c r="U46" s="121" t="n"/>
      <x:c r="V46" s="121" t="n"/>
      <x:c r="W46" s="121" t="n"/>
      <x:c r="X46" s="121" t="n"/>
      <x:c r="Y46" s="121" t="n"/>
      <x:c r="Z46" s="121" t="n"/>
      <x:c r="AA46" s="121" t="n"/>
      <x:c r="AB46" s="121" t="n"/>
      <x:c r="AC46" s="121" t="n"/>
      <x:c r="AD46" s="121" t="n"/>
      <x:c r="AE46" s="123" t="n"/>
      <x:c r="AF46" s="123" t="n"/>
      <x:c r="AG46" s="123" t="n"/>
      <x:c r="AH46" s="123" t="n"/>
      <x:c r="AI46" s="123" t="n"/>
      <x:c r="AJ46" s="123" t="n"/>
      <x:c r="AK46" s="124" t="n"/>
      <x:c r="AL46" s="121" t="n"/>
      <x:c r="AM46" s="123" t="n"/>
      <x:c r="AN46" s="129" t="n"/>
      <x:c r="AO46" s="123" t="n"/>
      <x:c r="AP46" s="121" t="n"/>
      <x:c r="AQ46" s="121" t="n"/>
      <x:c r="AR46" s="28" t="n"/>
      <x:c r="AS46" s="28" t="n"/>
      <x:c r="AT46" s="28" t="n"/>
    </x:row>
    <x:row r="47" s="27" customFormat="1">
      <x:c r="A47" s="125" t="n"/>
      <x:c r="B47" s="39" t="n"/>
      <x:c r="C47" s="86" t="n">
        <x:f>E47*D$5</x:f>
        <x:v>0</x:v>
      </x:c>
      <x:c r="D47" s="523" t="inlineStr">
        <x:is>
          <x:t xml:space="preserve">Chisholm Royalty Partners</x:t>
        </x:is>
      </x:c>
      <x:c r="E47" s="86" t="n">
        <x:f>SUM(G47:HT47)</x:f>
        <x:v>0</x:v>
      </x:c>
      <x:c r="F47" s="35" t="n"/>
      <x:c r="G47" s="121" t="n"/>
      <x:c r="H47" s="121" t="n"/>
      <x:c r="I47" s="121" t="n"/>
      <x:c r="J47" s="121" t="n"/>
      <x:c r="K47" s="121" t="n"/>
      <x:c r="L47" s="121" t="n"/>
      <x:c r="M47" s="121" t="n"/>
      <x:c r="N47" s="121" t="n"/>
      <x:c r="O47" s="121" t="n"/>
      <x:c r="P47" s="121" t="n"/>
      <x:c r="Q47" s="121" t="n"/>
      <x:c r="R47" s="123" t="n"/>
      <x:c r="S47" s="123" t="n"/>
      <x:c r="T47" s="121" t="n"/>
      <x:c r="U47" s="121" t="n"/>
      <x:c r="V47" s="121" t="n"/>
      <x:c r="W47" s="121" t="n"/>
      <x:c r="X47" s="121" t="n"/>
      <x:c r="Y47" s="121" t="n"/>
      <x:c r="Z47" s="121" t="n"/>
      <x:c r="AA47" s="121" t="n"/>
      <x:c r="AB47" s="121" t="n"/>
      <x:c r="AC47" s="121" t="n"/>
      <x:c r="AD47" s="121" t="n"/>
      <x:c r="AE47" s="123" t="n"/>
      <x:c r="AF47" s="123" t="n"/>
      <x:c r="AG47" s="123" t="n"/>
      <x:c r="AH47" s="123" t="n"/>
      <x:c r="AI47" s="123" t="n"/>
      <x:c r="AJ47" s="123" t="n"/>
      <x:c r="AK47" s="123" t="n"/>
      <x:c r="AL47" s="121" t="n"/>
      <x:c r="AM47" s="123" t="n"/>
      <x:c r="AN47" s="129" t="n"/>
      <x:c r="AO47" s="124" t="n"/>
      <x:c r="AP47" s="121" t="n"/>
      <x:c r="AQ47" s="121" t="n"/>
      <x:c r="AR47" s="28" t="n"/>
      <x:c r="AS47" s="28" t="n"/>
      <x:c r="AT47" s="28" t="n"/>
    </x:row>
    <x:row r="48" s="27" customFormat="1">
      <x:c r="A48" s="125" t="n"/>
      <x:c r="B48" s="39" t="n"/>
      <x:c r="C48" s="36" t="n">
        <x:f>E48*D$5</x:f>
        <x:v>0</x:v>
      </x:c>
      <x:c r="D48" s="4" t="inlineStr">
        <x:is>
          <x:t xml:space="preserve">Floyd W. Atha and Nancy D. Atha, HW</x:t>
        </x:is>
      </x:c>
      <x:c r="E48" s="36" t="n">
        <x:f>SUM(G48:HT48)</x:f>
        <x:v>0</x:v>
      </x:c>
      <x:c r="F48" s="35" t="n"/>
      <x:c r="G48" s="121" t="n"/>
      <x:c r="H48" s="121" t="n"/>
      <x:c r="I48" s="121" t="n"/>
      <x:c r="J48" s="121" t="n"/>
      <x:c r="K48" s="121" t="n"/>
      <x:c r="L48" s="121" t="n"/>
      <x:c r="M48" s="121" t="n"/>
      <x:c r="N48" s="121" t="n"/>
      <x:c r="O48" s="121" t="n"/>
      <x:c r="P48" s="121" t="n"/>
      <x:c r="Q48" s="121" t="n"/>
      <x:c r="R48" s="123" t="n"/>
      <x:c r="S48" s="123" t="n"/>
      <x:c r="T48" s="121" t="n"/>
      <x:c r="U48" s="121" t="n"/>
      <x:c r="V48" s="121" t="n"/>
      <x:c r="W48" s="121" t="n"/>
      <x:c r="X48" s="121" t="n"/>
      <x:c r="Y48" s="121" t="n"/>
      <x:c r="Z48" s="121" t="n"/>
      <x:c r="AA48" s="121" t="n"/>
      <x:c r="AB48" s="121" t="n"/>
      <x:c r="AC48" s="121" t="n"/>
      <x:c r="AD48" s="121" t="n"/>
      <x:c r="AE48" s="123" t="n"/>
      <x:c r="AF48" s="123" t="n"/>
      <x:c r="AG48" s="123" t="n"/>
      <x:c r="AH48" s="123" t="n"/>
      <x:c r="AI48" s="123" t="n"/>
      <x:c r="AJ48" s="123" t="n"/>
      <x:c r="AK48" s="123" t="n"/>
      <x:c r="AL48" s="121" t="n"/>
      <x:c r="AM48" s="123" t="n"/>
      <x:c r="AN48" s="129" t="n"/>
      <x:c r="AO48" s="124" t="n"/>
      <x:c r="AP48" s="121" t="n"/>
      <x:c r="AQ48" s="121" t="n"/>
      <x:c r="AR48" s="28" t="n"/>
      <x:c r="AS48" s="28" t="n"/>
      <x:c r="AT48" s="28" t="n"/>
    </x:row>
    <x:row r="49" s="27" customFormat="1" ht="24" customHeight="1">
      <x:c r="A49" s="125" t="n"/>
      <x:c r="B49" s="39" t="n"/>
      <x:c r="C49" s="86" t="n">
        <x:f>E49*D$5</x:f>
        <x:v>0</x:v>
      </x:c>
      <x:c r="D49" s="523" t="inlineStr">
        <x:is>
          <x:t xml:space="preserve">loyd Atha and Nancy Atha, Co-Trustees of the Floyd Atha and Nancy Atha Revocable Trust Dated March 21st, 2007</x:t>
        </x:is>
      </x:c>
      <x:c r="E49" s="36" t="n">
        <x:f>SUM(G49:HT49)</x:f>
        <x:v>0</x:v>
      </x:c>
      <x:c r="F49" s="35" t="n"/>
      <x:c r="G49" s="121" t="n"/>
      <x:c r="H49" s="121" t="n"/>
      <x:c r="I49" s="121" t="n"/>
      <x:c r="J49" s="121" t="n"/>
      <x:c r="K49" s="121" t="n"/>
      <x:c r="L49" s="121" t="n"/>
      <x:c r="M49" s="121" t="n"/>
      <x:c r="N49" s="121" t="n"/>
      <x:c r="O49" s="121" t="n"/>
      <x:c r="P49" s="121" t="n"/>
      <x:c r="Q49" s="121" t="n"/>
      <x:c r="R49" s="123" t="n"/>
      <x:c r="S49" s="123" t="n"/>
      <x:c r="T49" s="121" t="n"/>
      <x:c r="U49" s="121" t="n"/>
      <x:c r="V49" s="121" t="n"/>
      <x:c r="W49" s="121" t="n"/>
      <x:c r="X49" s="121" t="n"/>
      <x:c r="Y49" s="121" t="n"/>
      <x:c r="Z49" s="121" t="n"/>
      <x:c r="AA49" s="121" t="n"/>
      <x:c r="AB49" s="121" t="n"/>
      <x:c r="AC49" s="121" t="n"/>
      <x:c r="AD49" s="121" t="n"/>
      <x:c r="AE49" s="123" t="n"/>
      <x:c r="AF49" s="123" t="n"/>
      <x:c r="AG49" s="123" t="n"/>
      <x:c r="AH49" s="123" t="n"/>
      <x:c r="AI49" s="123" t="n"/>
      <x:c r="AJ49" s="123" t="n"/>
      <x:c r="AK49" s="123" t="n"/>
      <x:c r="AL49" s="121" t="n"/>
      <x:c r="AM49" s="123" t="n"/>
      <x:c r="AN49" s="121" t="n"/>
      <x:c r="AO49" s="124" t="n"/>
      <x:c r="AP49" s="121" t="n"/>
      <x:c r="AQ49" s="121" t="n"/>
      <x:c r="AR49" s="28" t="n"/>
      <x:c r="AS49" s="28" t="n"/>
      <x:c r="AT49" s="28" t="n"/>
    </x:row>
    <x:row r="50" s="27" customFormat="1">
      <x:c r="A50" s="38" t="n"/>
      <x:c r="B50" s="37" t="n"/>
      <x:c r="C50" s="36" t="n">
        <x:f>E50*D$5</x:f>
        <x:v>0</x:v>
      </x:c>
      <x:c r="D50" s="4" t="inlineStr">
        <x:is>
          <x:t xml:space="preserve">Fleshman Agency</x:t>
        </x:is>
      </x:c>
      <x:c r="E50" s="36" t="n">
        <x:f>SUM(G50:HT50)</x:f>
        <x:v>0</x:v>
      </x:c>
      <x:c r="G50" s="122" t="n"/>
      <x:c r="H50" s="121" t="n"/>
      <x:c r="I50" s="121" t="n"/>
      <x:c r="J50" s="121" t="n"/>
      <x:c r="K50" s="121" t="n"/>
      <x:c r="L50" s="121" t="n"/>
      <x:c r="M50" s="121" t="n"/>
      <x:c r="N50" s="121" t="n"/>
      <x:c r="O50" s="121" t="n"/>
      <x:c r="P50" s="121" t="n"/>
      <x:c r="Q50" s="121" t="n"/>
      <x:c r="R50" s="123" t="n"/>
      <x:c r="S50" s="123" t="n"/>
      <x:c r="T50" s="121" t="n"/>
      <x:c r="U50" s="121" t="n"/>
      <x:c r="V50" s="121" t="n"/>
      <x:c r="W50" s="121" t="n"/>
      <x:c r="X50" s="121" t="n"/>
      <x:c r="Y50" s="121" t="n"/>
      <x:c r="Z50" s="121" t="n"/>
      <x:c r="AA50" s="121" t="n"/>
      <x:c r="AB50" s="121" t="n"/>
      <x:c r="AC50" s="122" t="n"/>
      <x:c r="AD50" s="121" t="n"/>
      <x:c r="AE50" s="123" t="n"/>
      <x:c r="AF50" s="123" t="n"/>
      <x:c r="AG50" s="123" t="n"/>
      <x:c r="AH50" s="123" t="n"/>
      <x:c r="AI50" s="123" t="n"/>
      <x:c r="AJ50" s="123" t="n"/>
      <x:c r="AK50" s="123" t="n"/>
      <x:c r="AL50" s="121" t="n"/>
      <x:c r="AM50" s="123" t="n"/>
      <x:c r="AN50" s="121" t="n"/>
      <x:c r="AO50" s="123" t="n"/>
      <x:c r="AP50" s="121" t="n"/>
      <x:c r="AQ50" s="121" t="n"/>
      <x:c r="AR50" s="28" t="n"/>
      <x:c r="AS50" s="28" t="n"/>
      <x:c r="AT50" s="28" t="n"/>
    </x:row>
    <x:row r="51" s="27" customFormat="1">
      <x:c r="A51" s="38" t="n"/>
      <x:c r="B51" s="37" t="n"/>
      <x:c r="C51" s="36" t="n">
        <x:f>E51*D$5</x:f>
        <x:v>0</x:v>
      </x:c>
      <x:c r="D51" s="4" t="inlineStr">
        <x:is>
          <x:t xml:space="preserve">Mekusukey Oil Company, LLC</x:t>
        </x:is>
      </x:c>
      <x:c r="E51" s="36" t="n">
        <x:f>SUM(G51:HT51)</x:f>
        <x:v>0</x:v>
      </x:c>
      <x:c r="G51" s="122" t="n"/>
      <x:c r="H51" s="121" t="n"/>
      <x:c r="I51" s="121" t="n"/>
      <x:c r="J51" s="121" t="n"/>
      <x:c r="K51" s="121" t="n"/>
      <x:c r="L51" s="121" t="n"/>
      <x:c r="M51" s="121" t="n"/>
      <x:c r="N51" s="121" t="n"/>
      <x:c r="O51" s="121" t="n"/>
      <x:c r="P51" s="121" t="n"/>
      <x:c r="Q51" s="121" t="n"/>
      <x:c r="R51" s="123" t="n"/>
      <x:c r="S51" s="123" t="n"/>
      <x:c r="T51" s="121" t="n"/>
      <x:c r="U51" s="121" t="n"/>
      <x:c r="V51" s="121" t="n"/>
      <x:c r="W51" s="121" t="n"/>
      <x:c r="X51" s="121" t="n"/>
      <x:c r="Y51" s="121" t="n"/>
      <x:c r="Z51" s="121" t="n"/>
      <x:c r="AA51" s="121" t="n"/>
      <x:c r="AB51" s="121" t="n"/>
      <x:c r="AC51" s="121" t="n"/>
      <x:c r="AD51" s="121" t="n"/>
      <x:c r="AE51" s="123" t="n"/>
      <x:c r="AF51" s="123" t="n"/>
      <x:c r="AG51" s="123" t="n"/>
      <x:c r="AH51" s="123" t="n"/>
      <x:c r="AI51" s="123" t="n"/>
      <x:c r="AJ51" s="123" t="n"/>
      <x:c r="AK51" s="123" t="n"/>
      <x:c r="AL51" s="121" t="n"/>
      <x:c r="AM51" s="123" t="n"/>
      <x:c r="AN51" s="121" t="n"/>
      <x:c r="AO51" s="123" t="n"/>
      <x:c r="AP51" s="121" t="n"/>
      <x:c r="AQ51" s="121" t="n"/>
      <x:c r="AR51" s="28" t="n"/>
      <x:c r="AS51" s="28" t="n"/>
      <x:c r="AT51" s="28" t="n"/>
    </x:row>
    <x:row r="52" s="27" customFormat="1" ht="36" customHeight="1">
      <x:c r="A52" s="38" t="n"/>
      <x:c r="B52" s="37" t="n"/>
      <x:c r="C52" s="86" t="n">
        <x:f>E52*D$5</x:f>
        <x:v>0</x:v>
      </x:c>
      <x:c r="D52" s="4" t="inlineStr">
        <x:is>
          <x:t xml:space="preserve">Kiowa County Court, RE: In the Matter of the Probate of The Last Will and Testament of Nancy Mitchell WILLIAMS, Deceased</x:t>
        </x:is>
      </x:c>
      <x:c r="E52" s="86" t="n">
        <x:f>SUM(G52:HT52)</x:f>
        <x:v>0</x:v>
      </x:c>
      <x:c r="G52" s="122" t="n"/>
      <x:c r="H52" s="121" t="n"/>
      <x:c r="I52" s="121" t="n"/>
      <x:c r="J52" s="121" t="n"/>
      <x:c r="K52" s="121" t="n"/>
      <x:c r="L52" s="121" t="n"/>
      <x:c r="M52" s="121" t="n"/>
      <x:c r="N52" s="121" t="n"/>
      <x:c r="O52" s="121" t="n"/>
      <x:c r="P52" s="121" t="n"/>
      <x:c r="Q52" s="121" t="n"/>
      <x:c r="R52" s="123" t="n"/>
      <x:c r="S52" s="123" t="n"/>
      <x:c r="T52" s="121" t="n"/>
      <x:c r="U52" s="121" t="n"/>
      <x:c r="V52" s="121" t="n"/>
      <x:c r="W52" s="121" t="n"/>
      <x:c r="X52" s="121" t="n"/>
      <x:c r="Y52" s="121" t="n"/>
      <x:c r="Z52" s="121" t="n"/>
      <x:c r="AA52" s="121" t="n"/>
      <x:c r="AB52" s="121" t="n"/>
      <x:c r="AC52" s="121" t="n"/>
      <x:c r="AD52" s="121" t="n"/>
      <x:c r="AE52" s="123" t="n"/>
      <x:c r="AF52" s="123" t="n"/>
      <x:c r="AG52" s="123" t="n"/>
      <x:c r="AH52" s="123" t="n"/>
      <x:c r="AI52" s="123" t="n"/>
      <x:c r="AJ52" s="123" t="n"/>
      <x:c r="AK52" s="123" t="n"/>
      <x:c r="AL52" s="121" t="n"/>
      <x:c r="AM52" s="123" t="n"/>
      <x:c r="AN52" s="121" t="n"/>
      <x:c r="AO52" s="123" t="n"/>
      <x:c r="AP52" s="121" t="n"/>
      <x:c r="AQ52" s="121" t="n"/>
      <x:c r="AR52" s="28" t="n"/>
      <x:c r="AS52" s="28" t="n"/>
      <x:c r="AT52" s="28" t="n"/>
    </x:row>
    <x:row r="53" s="27" customFormat="1">
      <x:c r="A53" s="38" t="n"/>
      <x:c r="B53" s="37" t="n"/>
      <x:c r="C53" s="86" t="n">
        <x:f>E53*D$5</x:f>
        <x:v>0</x:v>
      </x:c>
      <x:c r="D53" s="4" t="inlineStr">
        <x:is>
          <x:t xml:space="preserve">Gene G. Williams</x:t>
        </x:is>
      </x:c>
      <x:c r="E53" s="86" t="n">
        <x:f>SUM(G53:HT53)</x:f>
        <x:v>0</x:v>
      </x:c>
      <x:c r="G53" s="122" t="n"/>
      <x:c r="H53" s="121" t="n"/>
      <x:c r="I53" s="121" t="n"/>
      <x:c r="J53" s="121" t="n"/>
      <x:c r="K53" s="121" t="n"/>
      <x:c r="L53" s="121" t="n"/>
      <x:c r="M53" s="121" t="n"/>
      <x:c r="N53" s="121" t="n"/>
      <x:c r="O53" s="121" t="n"/>
      <x:c r="P53" s="121" t="n"/>
      <x:c r="Q53" s="121" t="n"/>
      <x:c r="R53" s="123" t="n"/>
      <x:c r="S53" s="123" t="n"/>
      <x:c r="T53" s="121" t="n"/>
      <x:c r="U53" s="121" t="n"/>
      <x:c r="V53" s="121" t="n"/>
      <x:c r="W53" s="121" t="n"/>
      <x:c r="X53" s="121" t="n"/>
      <x:c r="Y53" s="121" t="n"/>
      <x:c r="Z53" s="121" t="n"/>
      <x:c r="AA53" s="121" t="n"/>
      <x:c r="AB53" s="121" t="n"/>
      <x:c r="AC53" s="121" t="n"/>
      <x:c r="AD53" s="121" t="n"/>
      <x:c r="AE53" s="123" t="n"/>
      <x:c r="AF53" s="123" t="n"/>
      <x:c r="AG53" s="123" t="n"/>
      <x:c r="AH53" s="123" t="n"/>
      <x:c r="AI53" s="123" t="n"/>
      <x:c r="AJ53" s="123" t="n"/>
      <x:c r="AK53" s="123" t="n"/>
      <x:c r="AL53" s="121" t="n"/>
      <x:c r="AM53" s="123" t="n"/>
      <x:c r="AN53" s="121" t="n"/>
      <x:c r="AO53" s="123" t="n"/>
      <x:c r="AP53" s="121" t="n"/>
      <x:c r="AQ53" s="121" t="n"/>
      <x:c r="AR53" s="28" t="n"/>
      <x:c r="AS53" s="28" t="n"/>
      <x:c r="AT53" s="28" t="n"/>
    </x:row>
    <x:row r="54" s="27" customFormat="1" ht="12.949999809265137" customHeight="1">
      <x:c r="A54" s="38" t="n"/>
      <x:c r="B54" s="37" t="n"/>
      <x:c r="C54" s="36" t="n">
        <x:f>E54*D$5</x:f>
        <x:v>0</x:v>
      </x:c>
      <x:c r="D54" s="4" t="inlineStr">
        <x:is>
          <x:t xml:space="preserve">Roger Mills County Court RE: In the Matter of the Estate of Audy C. Campbella/k/a A.C. CAMPBELL, Deceased</x:t>
        </x:is>
      </x:c>
      <x:c r="E54" s="36" t="n">
        <x:f>SUM(G54:HT54)</x:f>
        <x:v>0</x:v>
      </x:c>
      <x:c r="G54" s="122" t="n"/>
      <x:c r="H54" s="121" t="n"/>
      <x:c r="I54" s="121" t="n"/>
      <x:c r="J54" s="121" t="n"/>
      <x:c r="K54" s="121" t="n"/>
      <x:c r="L54" s="121" t="n"/>
      <x:c r="M54" s="121" t="n"/>
      <x:c r="N54" s="121" t="n"/>
      <x:c r="O54" s="121" t="n"/>
      <x:c r="P54" s="121" t="n"/>
      <x:c r="Q54" s="121" t="n"/>
      <x:c r="R54" s="123" t="n"/>
      <x:c r="S54" s="123" t="n"/>
      <x:c r="T54" s="121" t="n"/>
      <x:c r="U54" s="121" t="n"/>
      <x:c r="V54" s="121" t="n"/>
      <x:c r="W54" s="121" t="n"/>
      <x:c r="X54" s="121" t="n"/>
      <x:c r="Y54" s="121" t="n"/>
      <x:c r="Z54" s="121" t="n"/>
      <x:c r="AA54" s="121" t="n"/>
      <x:c r="AB54" s="121" t="n"/>
      <x:c r="AC54" s="121" t="n"/>
      <x:c r="AD54" s="121" t="n"/>
      <x:c r="AE54" s="123" t="n"/>
      <x:c r="AF54" s="123" t="n"/>
      <x:c r="AG54" s="123" t="n"/>
      <x:c r="AH54" s="123" t="n"/>
      <x:c r="AI54" s="123" t="n"/>
      <x:c r="AJ54" s="123" t="n"/>
      <x:c r="AK54" s="123" t="n"/>
      <x:c r="AL54" s="121" t="n"/>
      <x:c r="AM54" s="123" t="n"/>
      <x:c r="AN54" s="121" t="n"/>
      <x:c r="AO54" s="123" t="n"/>
      <x:c r="AP54" s="121" t="n"/>
      <x:c r="AQ54" s="121" t="n"/>
      <x:c r="AR54" s="28" t="n"/>
      <x:c r="AS54" s="28" t="n"/>
      <x:c r="AT54" s="28" t="n"/>
    </x:row>
    <x:row r="55" s="27" customFormat="1" ht="14.100000381469727" customHeight="1">
      <x:c r="A55" s="38" t="n"/>
      <x:c r="B55" s="37" t="n"/>
      <x:c r="C55" s="36" t="n">
        <x:f>E55*D$5</x:f>
        <x:v>0</x:v>
      </x:c>
      <x:c r="D55" s="4" t="inlineStr">
        <x:is>
          <x:t xml:space="preserve">Janis F. Campbell</x:t>
        </x:is>
      </x:c>
      <x:c r="E55" s="36" t="n">
        <x:f>SUM(G55:HT55)</x:f>
        <x:v>0</x:v>
      </x:c>
      <x:c r="G55" s="122" t="n"/>
      <x:c r="H55" s="121" t="n"/>
      <x:c r="I55" s="121" t="n"/>
      <x:c r="J55" s="121" t="n"/>
      <x:c r="K55" s="121" t="n"/>
      <x:c r="L55" s="121" t="n"/>
      <x:c r="M55" s="121" t="n"/>
      <x:c r="N55" s="121" t="n"/>
      <x:c r="O55" s="121" t="n"/>
      <x:c r="P55" s="121" t="n"/>
      <x:c r="Q55" s="121" t="n"/>
      <x:c r="R55" s="123" t="n"/>
      <x:c r="S55" s="123" t="n"/>
      <x:c r="T55" s="121" t="n"/>
      <x:c r="U55" s="121" t="n"/>
      <x:c r="V55" s="121" t="n"/>
      <x:c r="W55" s="121" t="n"/>
      <x:c r="X55" s="121" t="n"/>
      <x:c r="Y55" s="121" t="n"/>
      <x:c r="Z55" s="121" t="n"/>
      <x:c r="AA55" s="121" t="n"/>
      <x:c r="AB55" s="121" t="n"/>
      <x:c r="AC55" s="121" t="n"/>
      <x:c r="AD55" s="121" t="n"/>
      <x:c r="AE55" s="123" t="n"/>
      <x:c r="AF55" s="123" t="n"/>
      <x:c r="AG55" s="123" t="n"/>
      <x:c r="AH55" s="123" t="n"/>
      <x:c r="AI55" s="123" t="n"/>
      <x:c r="AJ55" s="123" t="n"/>
      <x:c r="AK55" s="123" t="n"/>
      <x:c r="AL55" s="121" t="n"/>
      <x:c r="AM55" s="123" t="n"/>
      <x:c r="AN55" s="121" t="n"/>
      <x:c r="AO55" s="124" t="n"/>
      <x:c r="AP55" s="121" t="n"/>
      <x:c r="AQ55" s="121" t="n"/>
      <x:c r="AR55" s="28" t="n"/>
      <x:c r="AS55" s="28" t="n"/>
      <x:c r="AT55" s="28" t="n"/>
    </x:row>
    <x:row r="56" s="27" customFormat="1" ht="17.450000762939453" customHeight="1">
      <x:c r="A56" s="38" t="n"/>
      <x:c r="B56" s="37" t="n"/>
      <x:c r="C56" s="36" t="n">
        <x:f>E56*D$5</x:f>
        <x:v>0</x:v>
      </x:c>
      <x:c r="D56" s="87" t="inlineStr">
        <x:is>
          <x:t xml:space="preserve">The Audy and Janis Campbell Family Trust</x:t>
        </x:is>
      </x:c>
      <x:c r="E56" s="36" t="n">
        <x:f>SUM(G56:HT56)</x:f>
        <x:v>0</x:v>
      </x:c>
      <x:c r="H56" s="28" t="n"/>
      <x:c r="I56" s="28" t="n"/>
      <x:c r="J56" s="28" t="n"/>
      <x:c r="K56" s="28" t="n"/>
      <x:c r="L56" s="28" t="n"/>
      <x:c r="M56" s="28" t="n"/>
      <x:c r="N56" s="28" t="n"/>
      <x:c r="O56" s="28" t="n"/>
      <x:c r="P56" s="28" t="n"/>
      <x:c r="Q56" s="28" t="n"/>
      <x:c r="R56" s="100" t="n"/>
      <x:c r="S56" s="100" t="n"/>
      <x:c r="T56" s="28" t="n"/>
      <x:c r="U56" s="28" t="n"/>
      <x:c r="V56" s="28" t="n"/>
      <x:c r="W56" s="28" t="n"/>
      <x:c r="X56" s="28" t="n"/>
      <x:c r="Y56" s="28" t="n"/>
      <x:c r="Z56" s="28" t="n"/>
      <x:c r="AA56" s="28" t="n"/>
      <x:c r="AB56" s="28" t="n"/>
      <x:c r="AC56" s="28" t="n"/>
      <x:c r="AD56" s="28" t="n"/>
      <x:c r="AE56" s="100" t="n"/>
      <x:c r="AF56" s="100" t="n"/>
      <x:c r="AG56" s="100" t="n"/>
      <x:c r="AH56" s="100" t="n"/>
      <x:c r="AI56" s="100" t="n"/>
      <x:c r="AJ56" s="100" t="n"/>
      <x:c r="AK56" s="100" t="n"/>
      <x:c r="AL56" s="28" t="n"/>
      <x:c r="AM56" s="100" t="n"/>
      <x:c r="AN56" s="28" t="n"/>
      <x:c r="AO56" s="123" t="n"/>
      <x:c r="AP56" s="28" t="n"/>
      <x:c r="AQ56" s="28" t="n"/>
      <x:c r="AR56" s="28" t="n"/>
      <x:c r="AS56" s="28" t="n"/>
      <x:c r="AT56" s="28" t="n"/>
    </x:row>
    <x:row r="57" s="27" customFormat="1" ht="17.450000762939453" customHeight="1">
      <x:c r="A57" s="38" t="n"/>
      <x:c r="B57" s="37" t="n"/>
      <x:c r="C57" s="36" t="n">
        <x:f>E57*D$5</x:f>
        <x:v>0</x:v>
      </x:c>
      <x:c r="D57" s="89" t="inlineStr">
        <x:is>
          <x:t xml:space="preserve">Eleanore Wheeler aka Eleanor Wheeler, single</x:t>
        </x:is>
      </x:c>
      <x:c r="E57" s="36" t="n">
        <x:f>SUM(G57:HT57)</x:f>
        <x:v>0</x:v>
      </x:c>
      <x:c r="H57" s="28" t="n"/>
      <x:c r="I57" s="28" t="n"/>
      <x:c r="J57" s="28" t="n"/>
      <x:c r="K57" s="28" t="n"/>
      <x:c r="L57" s="28" t="n"/>
      <x:c r="M57" s="28" t="n"/>
      <x:c r="N57" s="28" t="n"/>
      <x:c r="O57" s="28" t="n"/>
      <x:c r="P57" s="28" t="n"/>
      <x:c r="Q57" s="28" t="n"/>
      <x:c r="R57" s="100" t="n"/>
      <x:c r="S57" s="100" t="n"/>
      <x:c r="T57" s="28" t="n"/>
      <x:c r="U57" s="28" t="n"/>
      <x:c r="V57" s="28" t="n"/>
      <x:c r="W57" s="28" t="n"/>
      <x:c r="X57" s="28" t="n"/>
      <x:c r="Y57" s="28" t="n"/>
      <x:c r="Z57" s="28" t="n"/>
      <x:c r="AA57" s="28" t="n"/>
      <x:c r="AB57" s="28" t="n"/>
      <x:c r="AC57" s="28" t="n"/>
      <x:c r="AD57" s="28" t="n"/>
      <x:c r="AE57" s="100" t="n"/>
      <x:c r="AF57" s="100" t="n"/>
      <x:c r="AG57" s="100" t="n"/>
      <x:c r="AH57" s="100" t="n"/>
      <x:c r="AI57" s="100" t="n"/>
      <x:c r="AJ57" s="100" t="n"/>
      <x:c r="AK57" s="100" t="n"/>
      <x:c r="AL57" s="28" t="n"/>
      <x:c r="AM57" s="100" t="n"/>
      <x:c r="AN57" s="28" t="n"/>
      <x:c r="AO57" s="123" t="n"/>
      <x:c r="AP57" s="28" t="n"/>
      <x:c r="AQ57" s="28" t="n"/>
      <x:c r="AR57" s="28" t="n"/>
      <x:c r="AS57" s="28" t="n"/>
      <x:c r="AT57" s="28" t="n"/>
    </x:row>
    <x:row r="58" s="27" customFormat="1" ht="17.450000762939453" customHeight="1">
      <x:c r="A58" s="38" t="n"/>
      <x:c r="B58" s="37" t="n"/>
      <x:c r="C58" s="36" t="n">
        <x:f>E58*D$5</x:f>
        <x:v>0</x:v>
      </x:c>
      <x:c r="D58" s="87" t="inlineStr">
        <x:is>
          <x:t xml:space="preserve">Eleanore Wheeler and Shirley Wheeler, mother and daughter, JTWROS</x:t>
        </x:is>
      </x:c>
      <x:c r="E58" s="36" t="n">
        <x:f>SUM(G58:HT58)</x:f>
        <x:v>0</x:v>
      </x:c>
      <x:c r="H58" s="28" t="n"/>
      <x:c r="I58" s="28" t="n"/>
      <x:c r="J58" s="28" t="n"/>
      <x:c r="K58" s="28" t="n"/>
      <x:c r="L58" s="28" t="n"/>
      <x:c r="M58" s="28" t="n"/>
      <x:c r="N58" s="28" t="n"/>
      <x:c r="O58" s="28" t="n"/>
      <x:c r="P58" s="28" t="n"/>
      <x:c r="Q58" s="28" t="n"/>
      <x:c r="R58" s="100" t="n"/>
      <x:c r="S58" s="100" t="n"/>
      <x:c r="T58" s="28" t="n"/>
      <x:c r="U58" s="28" t="n"/>
      <x:c r="V58" s="28" t="n"/>
      <x:c r="W58" s="28" t="n"/>
      <x:c r="X58" s="28" t="n"/>
      <x:c r="Y58" s="28" t="n"/>
      <x:c r="Z58" s="28" t="n"/>
      <x:c r="AA58" s="28" t="n"/>
      <x:c r="AB58" s="28" t="n"/>
      <x:c r="AC58" s="28" t="n"/>
      <x:c r="AD58" s="28" t="n"/>
      <x:c r="AE58" s="100" t="n"/>
      <x:c r="AF58" s="100" t="n"/>
      <x:c r="AG58" s="100" t="n"/>
      <x:c r="AH58" s="100" t="n"/>
      <x:c r="AI58" s="100" t="n"/>
      <x:c r="AJ58" s="100" t="n"/>
      <x:c r="AK58" s="100" t="n"/>
      <x:c r="AL58" s="28" t="n"/>
      <x:c r="AM58" s="100" t="n"/>
      <x:c r="AN58" s="28" t="n"/>
      <x:c r="AO58" s="123" t="n"/>
      <x:c r="AP58" s="28" t="n"/>
      <x:c r="AQ58" s="28" t="n"/>
      <x:c r="AR58" s="28" t="n"/>
      <x:c r="AS58" s="28" t="n"/>
      <x:c r="AT58" s="28" t="n"/>
    </x:row>
    <x:row r="59" s="27" customFormat="1" ht="17.450000762939453" customHeight="1">
      <x:c r="A59" s="38" t="n"/>
      <x:c r="B59" s="37" t="n"/>
      <x:c r="C59" s="36" t="n">
        <x:f>E59*D$5</x:f>
        <x:v>0</x:v>
      </x:c>
      <x:c r="D59" s="87" t="inlineStr">
        <x:is>
          <x:t xml:space="preserve">Clint Roy Kirk</x:t>
        </x:is>
      </x:c>
      <x:c r="E59" s="36" t="n">
        <x:f>SUM(G59:HT59)</x:f>
        <x:v>0</x:v>
      </x:c>
      <x:c r="H59" s="28" t="n"/>
      <x:c r="I59" s="28" t="n"/>
      <x:c r="J59" s="28" t="n"/>
      <x:c r="K59" s="28" t="n"/>
      <x:c r="L59" s="28" t="n"/>
      <x:c r="M59" s="28" t="n"/>
      <x:c r="N59" s="28" t="n"/>
      <x:c r="O59" s="28" t="n"/>
      <x:c r="P59" s="28" t="n"/>
      <x:c r="Q59" s="28" t="n"/>
      <x:c r="R59" s="100" t="n"/>
      <x:c r="S59" s="100" t="n"/>
      <x:c r="T59" s="28" t="n"/>
      <x:c r="U59" s="28" t="n"/>
      <x:c r="V59" s="28" t="n"/>
      <x:c r="W59" s="28" t="n"/>
      <x:c r="X59" s="28" t="n"/>
      <x:c r="Y59" s="28" t="n"/>
      <x:c r="Z59" s="28" t="n"/>
      <x:c r="AA59" s="28" t="n"/>
      <x:c r="AB59" s="28" t="n"/>
      <x:c r="AC59" s="28" t="n"/>
      <x:c r="AD59" s="28" t="n"/>
      <x:c r="AE59" s="100" t="n"/>
      <x:c r="AF59" s="100" t="n"/>
      <x:c r="AG59" s="100" t="n"/>
      <x:c r="AH59" s="100" t="n"/>
      <x:c r="AI59" s="100" t="n"/>
      <x:c r="AJ59" s="100" t="n"/>
      <x:c r="AK59" s="100" t="n"/>
      <x:c r="AL59" s="28" t="n"/>
      <x:c r="AM59" s="100" t="n"/>
      <x:c r="AN59" s="28" t="n"/>
      <x:c r="AO59" s="123" t="n"/>
      <x:c r="AP59" s="28" t="n"/>
      <x:c r="AQ59" s="28" t="n"/>
      <x:c r="AR59" s="28" t="n"/>
      <x:c r="AS59" s="28" t="n"/>
      <x:c r="AT59" s="28" t="n"/>
    </x:row>
    <x:row r="60" s="27" customFormat="1" ht="16.5" customHeight="1">
      <x:c r="A60" s="38" t="n"/>
      <x:c r="B60" s="37" t="n"/>
      <x:c r="C60" s="36" t="n">
        <x:f>E60*D$5</x:f>
        <x:v>0</x:v>
      </x:c>
      <x:c r="D60" s="87" t="inlineStr">
        <x:is>
          <x:t xml:space="preserve">J and A Minerals, LLC</x:t>
        </x:is>
      </x:c>
      <x:c r="E60" s="36" t="n">
        <x:f>SUM(G60:HT60)</x:f>
        <x:v>0</x:v>
      </x:c>
      <x:c r="H60" s="28" t="n"/>
      <x:c r="I60" s="28" t="n"/>
      <x:c r="J60" s="28" t="n"/>
      <x:c r="K60" s="28" t="n"/>
      <x:c r="L60" s="28" t="n"/>
      <x:c r="M60" s="28" t="n"/>
      <x:c r="N60" s="28" t="n"/>
      <x:c r="O60" s="28" t="n"/>
      <x:c r="P60" s="28" t="n"/>
      <x:c r="Q60" s="28" t="n"/>
      <x:c r="R60" s="100" t="n"/>
      <x:c r="S60" s="100" t="n"/>
      <x:c r="T60" s="28" t="n"/>
      <x:c r="U60" s="28" t="n"/>
      <x:c r="V60" s="28" t="n"/>
      <x:c r="W60" s="28" t="n"/>
      <x:c r="X60" s="28" t="n"/>
      <x:c r="Y60" s="28" t="n"/>
      <x:c r="Z60" s="28" t="n"/>
      <x:c r="AA60" s="28" t="n"/>
      <x:c r="AB60" s="28" t="n"/>
      <x:c r="AC60" s="28" t="n"/>
      <x:c r="AD60" s="28" t="n"/>
      <x:c r="AE60" s="100" t="n"/>
      <x:c r="AF60" s="100" t="n"/>
      <x:c r="AG60" s="100" t="n"/>
      <x:c r="AH60" s="100" t="n"/>
      <x:c r="AI60" s="100" t="n"/>
      <x:c r="AJ60" s="100" t="n"/>
      <x:c r="AK60" s="100" t="n"/>
      <x:c r="AL60" s="28" t="n"/>
      <x:c r="AM60" s="100" t="n"/>
      <x:c r="AN60" s="28" t="n"/>
      <x:c r="AO60" s="123" t="n"/>
      <x:c r="AP60" s="28" t="n"/>
      <x:c r="AQ60" s="28" t="n"/>
      <x:c r="AR60" s="28" t="n"/>
      <x:c r="AS60" s="28" t="n"/>
      <x:c r="AT60" s="28" t="n"/>
    </x:row>
    <x:row r="61" s="27" customFormat="1">
      <x:c r="A61" s="38" t="n"/>
      <x:c r="B61" s="37" t="n"/>
      <x:c r="C61" s="36" t="n">
        <x:f>E61*D$5</x:f>
        <x:v>0</x:v>
      </x:c>
      <x:c r="D61" s="4" t="inlineStr">
        <x:is>
          <x:t xml:space="preserve">Pine Tree Energy Partners, LLC</x:t>
        </x:is>
      </x:c>
      <x:c r="E61" s="36" t="n">
        <x:f>SUM(G61:HT61)</x:f>
        <x:v>0</x:v>
      </x:c>
      <x:c r="H61" s="28" t="n"/>
      <x:c r="I61" s="28" t="n"/>
      <x:c r="J61" s="28" t="n"/>
      <x:c r="K61" s="28" t="n"/>
      <x:c r="L61" s="28" t="n"/>
      <x:c r="M61" s="28" t="n"/>
      <x:c r="N61" s="28" t="n"/>
      <x:c r="O61" s="28" t="n"/>
      <x:c r="P61" s="28" t="n"/>
      <x:c r="Q61" s="28" t="n"/>
      <x:c r="R61" s="100" t="n"/>
      <x:c r="S61" s="100" t="n"/>
      <x:c r="T61" s="28" t="n"/>
      <x:c r="U61" s="28" t="n"/>
      <x:c r="V61" s="28" t="n"/>
      <x:c r="W61" s="28" t="n"/>
      <x:c r="X61" s="28" t="n"/>
      <x:c r="Y61" s="28" t="n"/>
      <x:c r="Z61" s="28" t="n"/>
      <x:c r="AA61" s="28" t="n"/>
      <x:c r="AB61" s="28" t="n"/>
      <x:c r="AC61" s="28" t="n"/>
      <x:c r="AD61" s="28" t="n"/>
      <x:c r="AE61" s="100" t="n"/>
      <x:c r="AF61" s="100" t="n"/>
      <x:c r="AG61" s="100" t="n"/>
      <x:c r="AH61" s="100" t="n"/>
      <x:c r="AI61" s="100" t="n"/>
      <x:c r="AJ61" s="100" t="n"/>
      <x:c r="AK61" s="100" t="n"/>
      <x:c r="AL61" s="28" t="n"/>
      <x:c r="AM61" s="100" t="n"/>
      <x:c r="AN61" s="28" t="n"/>
      <x:c r="AO61" s="123" t="n"/>
      <x:c r="AP61" s="28" t="n"/>
      <x:c r="AQ61" s="28" t="n"/>
      <x:c r="AR61" s="28" t="n"/>
      <x:c r="AS61" s="28" t="n"/>
      <x:c r="AT61" s="28" t="n"/>
    </x:row>
    <x:row r="62" s="27" customFormat="1">
      <x:c r="A62" s="38" t="n"/>
      <x:c r="B62" s="37" t="n"/>
      <x:c r="C62" s="86" t="n">
        <x:f>E62*D$5</x:f>
        <x:v>0</x:v>
      </x:c>
      <x:c r="D62" s="523" t="n"/>
      <x:c r="E62" s="86" t="n">
        <x:f>SUM(G62:HT62)</x:f>
        <x:v>0</x:v>
      </x:c>
      <x:c r="H62" s="28" t="n"/>
      <x:c r="I62" s="28" t="n"/>
      <x:c r="J62" s="28" t="n"/>
      <x:c r="K62" s="28" t="n"/>
      <x:c r="L62" s="28" t="n"/>
      <x:c r="M62" s="28" t="n"/>
      <x:c r="N62" s="28" t="n"/>
      <x:c r="O62" s="28" t="n"/>
      <x:c r="P62" s="28" t="n"/>
      <x:c r="Q62" s="28" t="n"/>
      <x:c r="R62" s="100" t="n"/>
      <x:c r="S62" s="100" t="n"/>
      <x:c r="T62" s="28" t="n"/>
      <x:c r="U62" s="28" t="n"/>
      <x:c r="V62" s="28" t="n"/>
      <x:c r="W62" s="28" t="n"/>
      <x:c r="X62" s="28" t="n"/>
      <x:c r="Y62" s="28" t="n"/>
      <x:c r="Z62" s="28" t="n"/>
      <x:c r="AA62" s="28" t="n"/>
      <x:c r="AB62" s="28" t="n"/>
      <x:c r="AC62" s="28" t="n"/>
      <x:c r="AD62" s="28" t="n"/>
      <x:c r="AE62" s="100" t="n"/>
      <x:c r="AF62" s="100" t="n"/>
      <x:c r="AG62" s="100" t="n"/>
      <x:c r="AH62" s="100" t="n"/>
      <x:c r="AI62" s="100" t="n"/>
      <x:c r="AJ62" s="100" t="n"/>
      <x:c r="AK62" s="100" t="n"/>
      <x:c r="AL62" s="28" t="n"/>
      <x:c r="AM62" s="100" t="n"/>
      <x:c r="AN62" s="28" t="n"/>
      <x:c r="AO62" s="123" t="n"/>
      <x:c r="AP62" s="28" t="n"/>
      <x:c r="AQ62" s="28" t="n"/>
      <x:c r="AR62" s="28" t="n"/>
      <x:c r="AS62" s="28" t="n"/>
      <x:c r="AT62" s="28" t="n"/>
    </x:row>
    <x:row r="63" s="27" customFormat="1" ht="48" customHeight="1">
      <x:c r="A63" s="38" t="n"/>
      <x:c r="B63" s="37" t="n"/>
      <x:c r="C63" s="86" t="n">
        <x:f>E63*D$5</x:f>
        <x:v>0</x:v>
      </x:c>
      <x:c r="D63" s="523" t="inlineStr">
        <x:is>
          <x:t xml:space="preserve">PARENT-CHAIN (TRACT 5) SEVERANCE COLUMNS — documentation only; no interest booked against this strip (allocation unresolved of record; see Title Tract 8 note and Runsheet)</x:t>
        </x:is>
      </x:c>
      <x:c r="E63" s="86" t="n">
        <x:f>SUM(G63:HT63)</x:f>
        <x:v>0</x:v>
      </x:c>
      <x:c r="H63" s="28" t="n"/>
      <x:c r="I63" s="28" t="n"/>
      <x:c r="J63" s="28" t="n"/>
      <x:c r="K63" s="28" t="n"/>
      <x:c r="L63" s="28" t="n"/>
      <x:c r="M63" s="28" t="n"/>
      <x:c r="N63" s="28" t="n"/>
      <x:c r="O63" s="28" t="n"/>
      <x:c r="P63" s="28" t="n"/>
      <x:c r="Q63" s="28" t="n"/>
      <x:c r="R63" s="100" t="n"/>
      <x:c r="S63" s="100" t="n"/>
      <x:c r="T63" s="28" t="n"/>
      <x:c r="U63" s="28" t="n"/>
      <x:c r="V63" s="28" t="n"/>
      <x:c r="W63" s="28" t="n"/>
      <x:c r="X63" s="28" t="n"/>
      <x:c r="Y63" s="28" t="n"/>
      <x:c r="Z63" s="28" t="n"/>
      <x:c r="AA63" s="28" t="n"/>
      <x:c r="AB63" s="28" t="n"/>
      <x:c r="AC63" s="28" t="n"/>
      <x:c r="AD63" s="28" t="n"/>
      <x:c r="AE63" s="100" t="n"/>
      <x:c r="AF63" s="100" t="n"/>
      <x:c r="AG63" s="100" t="n"/>
      <x:c r="AH63" s="100" t="n"/>
      <x:c r="AI63" s="100" t="n"/>
      <x:c r="AJ63" s="100" t="n"/>
      <x:c r="AK63" s="100" t="n"/>
      <x:c r="AL63" s="28" t="n"/>
      <x:c r="AM63" s="100" t="n"/>
      <x:c r="AN63" s="28" t="n"/>
      <x:c r="AO63" s="123" t="n"/>
      <x:c r="AP63" s="28" t="n"/>
      <x:c r="AQ63" s="28" t="n"/>
      <x:c r="AR63" s="28" t="n"/>
      <x:c r="AS63" s="28" t="n"/>
      <x:c r="AT63" s="28" t="n"/>
    </x:row>
    <x:row r="64" s="27" customFormat="1">
      <x:c r="A64" s="38" t="n"/>
      <x:c r="B64" s="37" t="n"/>
      <x:c r="C64" s="36" t="n">
        <x:f>E64*D$5</x:f>
        <x:v>0</x:v>
      </x:c>
      <x:c r="D64" s="4" t="n"/>
      <x:c r="E64" s="36" t="n">
        <x:f>SUM(G64:HT64)</x:f>
        <x:v>0</x:v>
      </x:c>
      <x:c r="I64" s="28" t="n"/>
      <x:c r="J64" s="28" t="n"/>
      <x:c r="L64" s="28" t="n"/>
      <x:c r="M64" s="28" t="n"/>
      <x:c r="N64" s="28" t="n"/>
      <x:c r="O64" s="28" t="n"/>
      <x:c r="P64" s="28" t="n"/>
      <x:c r="Q64" s="28" t="n"/>
      <x:c r="R64" s="100" t="n"/>
      <x:c r="S64" s="100" t="n"/>
      <x:c r="T64" s="28" t="n"/>
      <x:c r="U64" s="28" t="n"/>
      <x:c r="V64" s="28" t="n"/>
      <x:c r="W64" s="28" t="n"/>
      <x:c r="X64" s="28" t="n"/>
      <x:c r="Y64" s="28" t="n"/>
      <x:c r="Z64" s="28" t="n"/>
      <x:c r="AA64" s="28" t="n"/>
      <x:c r="AB64" s="28" t="n"/>
      <x:c r="AC64" s="28" t="n"/>
      <x:c r="AD64" s="28" t="n"/>
      <x:c r="AE64" s="100" t="n"/>
      <x:c r="AF64" s="100" t="n"/>
      <x:c r="AG64" s="100" t="n"/>
      <x:c r="AH64" s="100" t="n"/>
      <x:c r="AI64" s="100" t="n"/>
      <x:c r="AJ64" s="100" t="n"/>
      <x:c r="AK64" s="100" t="n"/>
      <x:c r="AL64" s="28" t="n"/>
      <x:c r="AM64" s="100" t="n"/>
      <x:c r="AN64" s="28" t="n"/>
      <x:c r="AO64" s="123" t="n"/>
      <x:c r="AP64" s="28" t="n"/>
      <x:c r="AQ64" s="28" t="n"/>
      <x:c r="AR64" s="28" t="n"/>
      <x:c r="AS64" s="28" t="n"/>
      <x:c r="AT64" s="28" t="n"/>
    </x:row>
    <x:row r="65" s="27" customFormat="1">
      <x:c r="A65" s="38" t="n"/>
      <x:c r="B65" s="37" t="n"/>
      <x:c r="C65" s="86" t="n">
        <x:f>E65*D$5</x:f>
        <x:v>0</x:v>
      </x:c>
      <x:c r="D65" s="523" t="n"/>
      <x:c r="E65" s="86" t="n">
        <x:f>SUM(G65:HT65)</x:f>
        <x:v>0</x:v>
      </x:c>
      <x:c r="I65" s="28" t="n"/>
      <x:c r="J65" s="28" t="n"/>
      <x:c r="M65" s="28" t="n"/>
      <x:c r="N65" s="28" t="n"/>
      <x:c r="O65" s="28" t="n"/>
      <x:c r="P65" s="28" t="n"/>
      <x:c r="Q65" s="28" t="n"/>
      <x:c r="R65" s="100" t="n"/>
      <x:c r="S65" s="100" t="n"/>
      <x:c r="T65" s="28" t="n"/>
      <x:c r="U65" s="28" t="n"/>
      <x:c r="V65" s="28" t="n"/>
      <x:c r="W65" s="28" t="n"/>
      <x:c r="X65" s="28" t="n"/>
      <x:c r="Y65" s="28" t="n"/>
      <x:c r="Z65" s="28" t="n"/>
      <x:c r="AA65" s="28" t="n"/>
      <x:c r="AB65" s="28" t="n"/>
      <x:c r="AC65" s="28" t="n"/>
      <x:c r="AD65" s="28" t="n"/>
      <x:c r="AE65" s="100" t="n"/>
      <x:c r="AF65" s="100" t="n"/>
      <x:c r="AG65" s="100" t="n"/>
      <x:c r="AH65" s="100" t="n"/>
      <x:c r="AI65" s="100" t="n"/>
      <x:c r="AJ65" s="100" t="n"/>
      <x:c r="AK65" s="100" t="n"/>
      <x:c r="AL65" s="28" t="n"/>
      <x:c r="AM65" s="100" t="n"/>
      <x:c r="AN65" s="28" t="n"/>
      <x:c r="AO65" s="123" t="n"/>
      <x:c r="AP65" s="28" t="n"/>
      <x:c r="AQ65" s="28" t="n"/>
      <x:c r="AR65" s="28" t="n"/>
      <x:c r="AS65" s="28" t="n"/>
      <x:c r="AT65" s="28" t="n"/>
    </x:row>
    <x:row r="66" s="27" customFormat="1">
      <x:c r="A66" s="38" t="n"/>
      <x:c r="B66" s="37" t="n"/>
      <x:c r="C66" s="86" t="n">
        <x:f>E66*D$5</x:f>
        <x:v>0</x:v>
      </x:c>
      <x:c r="D66" s="523" t="n"/>
      <x:c r="E66" s="86" t="n">
        <x:f>SUM(G66:HT66)</x:f>
        <x:v>0</x:v>
      </x:c>
      <x:c r="I66" s="28" t="n"/>
      <x:c r="J66" s="28" t="n"/>
      <x:c r="M66" s="28" t="n"/>
      <x:c r="N66" s="28" t="n"/>
      <x:c r="O66" s="28" t="n"/>
      <x:c r="P66" s="28" t="n"/>
      <x:c r="Q66" s="28" t="n"/>
      <x:c r="R66" s="100" t="n"/>
      <x:c r="S66" s="100" t="n"/>
      <x:c r="T66" s="28" t="n"/>
      <x:c r="U66" s="28" t="n"/>
      <x:c r="V66" s="28" t="n"/>
      <x:c r="W66" s="28" t="n"/>
      <x:c r="X66" s="28" t="n"/>
      <x:c r="Y66" s="28" t="n"/>
      <x:c r="Z66" s="28" t="n"/>
      <x:c r="AA66" s="28" t="n"/>
      <x:c r="AB66" s="28" t="n"/>
      <x:c r="AC66" s="28" t="n"/>
      <x:c r="AD66" s="28" t="n"/>
      <x:c r="AE66" s="100" t="n"/>
      <x:c r="AF66" s="100" t="n"/>
      <x:c r="AG66" s="100" t="n"/>
      <x:c r="AH66" s="101" t="n"/>
      <x:c r="AI66" s="101" t="n"/>
      <x:c r="AJ66" s="100" t="n"/>
      <x:c r="AK66" s="100" t="n"/>
      <x:c r="AL66" s="28" t="n"/>
      <x:c r="AM66" s="100" t="n"/>
      <x:c r="AN66" s="28" t="n"/>
      <x:c r="AO66" s="123" t="n"/>
      <x:c r="AP66" s="28" t="n"/>
      <x:c r="AQ66" s="28" t="n"/>
      <x:c r="AR66" s="28" t="n"/>
      <x:c r="AS66" s="28" t="n"/>
      <x:c r="AT66" s="28" t="n"/>
    </x:row>
    <x:row r="67" s="27" customFormat="1">
      <x:c r="A67" s="38" t="n"/>
      <x:c r="B67" s="37" t="n"/>
      <x:c r="C67" s="36" t="n">
        <x:f>E67*D$5</x:f>
        <x:v>0</x:v>
      </x:c>
      <x:c r="D67" s="4" t="n"/>
      <x:c r="E67" s="36" t="n">
        <x:f>SUM(G67:HT67)</x:f>
        <x:v>0</x:v>
      </x:c>
      <x:c r="H67" s="28" t="n"/>
      <x:c r="I67" s="28" t="n"/>
      <x:c r="J67" s="28" t="n"/>
      <x:c r="K67" s="28" t="n"/>
      <x:c r="L67" s="28" t="n"/>
      <x:c r="M67" s="28" t="n"/>
      <x:c r="N67" s="28" t="n"/>
      <x:c r="O67" s="28" t="n"/>
      <x:c r="P67" s="28" t="n"/>
      <x:c r="Q67" s="28" t="n"/>
      <x:c r="R67" s="100" t="n"/>
      <x:c r="S67" s="100" t="n"/>
      <x:c r="T67" s="28" t="n"/>
      <x:c r="U67" s="28" t="n"/>
      <x:c r="V67" s="28" t="n"/>
      <x:c r="W67" s="28" t="n"/>
      <x:c r="X67" s="28" t="n"/>
      <x:c r="Y67" s="28" t="n"/>
      <x:c r="Z67" s="28" t="n"/>
      <x:c r="AA67" s="28" t="n"/>
      <x:c r="AB67" s="28" t="n"/>
      <x:c r="AC67" s="28" t="n"/>
      <x:c r="AD67" s="28" t="n"/>
      <x:c r="AE67" s="100" t="n"/>
      <x:c r="AF67" s="100" t="n"/>
      <x:c r="AG67" s="100" t="n"/>
      <x:c r="AH67" s="101" t="n"/>
      <x:c r="AI67" s="100" t="n"/>
      <x:c r="AJ67" s="100" t="n"/>
      <x:c r="AK67" s="101" t="n"/>
      <x:c r="AL67" s="28" t="n"/>
      <x:c r="AM67" s="100" t="n"/>
      <x:c r="AN67" s="28" t="n"/>
      <x:c r="AO67" s="123" t="n"/>
      <x:c r="AP67" s="28" t="n"/>
      <x:c r="AQ67" s="28" t="n"/>
      <x:c r="AR67" s="28" t="n"/>
      <x:c r="AS67" s="28" t="n"/>
      <x:c r="AT67" s="28" t="n"/>
    </x:row>
    <x:row r="68" s="27" customFormat="1">
      <x:c r="A68" s="38" t="n"/>
      <x:c r="B68" s="37" t="n"/>
      <x:c r="C68" s="36" t="n">
        <x:f>E68*D$5</x:f>
        <x:v>0</x:v>
      </x:c>
      <x:c r="D68" s="4" t="n"/>
      <x:c r="E68" s="36" t="n">
        <x:f>SUM(G68:HT68)</x:f>
        <x:v>0</x:v>
      </x:c>
      <x:c r="H68" s="28" t="n"/>
      <x:c r="I68" s="28" t="n"/>
      <x:c r="J68" s="28" t="n"/>
      <x:c r="K68" s="28" t="n"/>
      <x:c r="L68" s="28" t="n"/>
      <x:c r="M68" s="28" t="n"/>
      <x:c r="N68" s="28" t="n"/>
      <x:c r="O68" s="28" t="n"/>
      <x:c r="P68" s="28" t="n"/>
      <x:c r="Q68" s="28" t="n"/>
      <x:c r="R68" s="100" t="n"/>
      <x:c r="S68" s="100" t="n"/>
      <x:c r="T68" s="28" t="n"/>
      <x:c r="U68" s="28" t="n"/>
      <x:c r="V68" s="28" t="n"/>
      <x:c r="W68" s="28" t="n"/>
      <x:c r="X68" s="28" t="n"/>
      <x:c r="Y68" s="28" t="n"/>
      <x:c r="Z68" s="28" t="n"/>
      <x:c r="AA68" s="28" t="n"/>
      <x:c r="AB68" s="28" t="n"/>
      <x:c r="AC68" s="28" t="n"/>
      <x:c r="AD68" s="28" t="n"/>
      <x:c r="AE68" s="100" t="n"/>
      <x:c r="AF68" s="100" t="n"/>
      <x:c r="AG68" s="100" t="n"/>
      <x:c r="AH68" s="100" t="n"/>
      <x:c r="AI68" s="101" t="n"/>
      <x:c r="AJ68" s="101" t="n"/>
      <x:c r="AK68" s="100" t="n"/>
      <x:c r="AL68" s="28" t="n"/>
      <x:c r="AM68" s="100" t="n"/>
      <x:c r="AN68" s="28" t="n"/>
      <x:c r="AO68" s="124" t="n"/>
      <x:c r="AP68" s="28" t="n"/>
      <x:c r="AQ68" s="28" t="n"/>
      <x:c r="AR68" s="28" t="n"/>
      <x:c r="AS68" s="28" t="n"/>
      <x:c r="AT68" s="28" t="n"/>
    </x:row>
    <x:row r="69" s="27" customFormat="1">
      <x:c r="A69" s="38" t="n"/>
      <x:c r="B69" s="37" t="n"/>
      <x:c r="C69" s="36" t="n">
        <x:f>E69*D$5</x:f>
        <x:v>0</x:v>
      </x:c>
      <x:c r="D69" s="4" t="n"/>
      <x:c r="E69" s="36" t="n">
        <x:f>SUM(G69:HT69)</x:f>
        <x:v>0</x:v>
      </x:c>
      <x:c r="H69" s="28" t="n"/>
      <x:c r="I69" s="28" t="n"/>
      <x:c r="J69" s="28" t="n"/>
      <x:c r="K69" s="28" t="n"/>
      <x:c r="L69" s="28" t="n"/>
      <x:c r="M69" s="28" t="n"/>
      <x:c r="N69" s="28" t="n"/>
      <x:c r="O69" s="28" t="n"/>
      <x:c r="P69" s="28" t="n"/>
      <x:c r="Q69" s="28" t="n"/>
      <x:c r="R69" s="100" t="n"/>
      <x:c r="S69" s="100" t="n"/>
      <x:c r="T69" s="28" t="n"/>
      <x:c r="U69" s="28" t="n"/>
      <x:c r="V69" s="28" t="n"/>
      <x:c r="W69" s="28" t="n"/>
      <x:c r="X69" s="28" t="n"/>
      <x:c r="Y69" s="28" t="n"/>
      <x:c r="Z69" s="28" t="n"/>
      <x:c r="AA69" s="28" t="n"/>
      <x:c r="AB69" s="28" t="n"/>
      <x:c r="AC69" s="28" t="n"/>
      <x:c r="AD69" s="28" t="n"/>
      <x:c r="AE69" s="100" t="n"/>
      <x:c r="AF69" s="100" t="n"/>
      <x:c r="AG69" s="100" t="n"/>
      <x:c r="AH69" s="100" t="n"/>
      <x:c r="AI69" s="100" t="n"/>
      <x:c r="AJ69" s="100" t="n"/>
      <x:c r="AK69" s="101" t="n"/>
      <x:c r="AL69" s="28" t="n"/>
      <x:c r="AM69" s="100" t="n"/>
      <x:c r="AN69" s="28" t="n"/>
      <x:c r="AO69" s="123" t="n"/>
      <x:c r="AP69" s="28" t="n"/>
      <x:c r="AQ69" s="28" t="n"/>
      <x:c r="AR69" s="28" t="n"/>
      <x:c r="AS69" s="28" t="n"/>
      <x:c r="AT69" s="28" t="n"/>
    </x:row>
    <x:row r="70" s="27" customFormat="1">
      <x:c r="A70" s="38" t="n"/>
      <x:c r="B70" s="37" t="n"/>
      <x:c r="C70" s="36" t="n">
        <x:f>E70*D$5</x:f>
        <x:v>0</x:v>
      </x:c>
      <x:c r="D70" s="89" t="n"/>
      <x:c r="E70" s="36" t="n">
        <x:f>SUM(G70:HT70)</x:f>
        <x:v>0</x:v>
      </x:c>
      <x:c r="H70" s="28" t="n"/>
      <x:c r="I70" s="28" t="n"/>
      <x:c r="J70" s="28" t="n"/>
      <x:c r="K70" s="28" t="n"/>
      <x:c r="L70" s="28" t="n"/>
      <x:c r="M70" s="28" t="n"/>
      <x:c r="N70" s="28" t="n"/>
      <x:c r="O70" s="28" t="n"/>
      <x:c r="P70" s="28" t="n"/>
      <x:c r="Q70" s="28" t="n"/>
      <x:c r="R70" s="100" t="n"/>
      <x:c r="S70" s="100" t="n"/>
      <x:c r="T70" s="28" t="n"/>
      <x:c r="U70" s="28" t="n"/>
      <x:c r="V70" s="28" t="n"/>
      <x:c r="W70" s="28" t="n"/>
      <x:c r="X70" s="28" t="n"/>
      <x:c r="Y70" s="28" t="n"/>
      <x:c r="Z70" s="28" t="n"/>
      <x:c r="AA70" s="28" t="n"/>
      <x:c r="AB70" s="28" t="n"/>
      <x:c r="AC70" s="28" t="n"/>
      <x:c r="AD70" s="28" t="n"/>
      <x:c r="AE70" s="100" t="n"/>
      <x:c r="AF70" s="100" t="n"/>
      <x:c r="AG70" s="100" t="n"/>
      <x:c r="AH70" s="100" t="n"/>
      <x:c r="AI70" s="100" t="n"/>
      <x:c r="AJ70" s="100" t="n"/>
      <x:c r="AK70" s="101" t="n"/>
      <x:c r="AL70" s="28" t="n"/>
      <x:c r="AM70" s="100" t="n"/>
      <x:c r="AN70" s="28" t="n"/>
      <x:c r="AO70" s="123" t="n"/>
      <x:c r="AP70" s="28" t="n"/>
      <x:c r="AQ70" s="28" t="n"/>
      <x:c r="AR70" s="28" t="n"/>
      <x:c r="AS70" s="28" t="n"/>
      <x:c r="AT70" s="28" t="n"/>
    </x:row>
    <x:row r="71" s="27" customFormat="1">
      <x:c r="A71" s="38" t="n"/>
      <x:c r="B71" s="37" t="n"/>
      <x:c r="C71" s="36" t="n">
        <x:f>E71*D$5</x:f>
        <x:v>0</x:v>
      </x:c>
      <x:c r="D71" s="66" t="n"/>
      <x:c r="E71" s="36" t="n">
        <x:f>SUM(G71:HT71)</x:f>
        <x:v>0</x:v>
      </x:c>
      <x:c r="H71" s="28" t="n"/>
      <x:c r="I71" s="28" t="n"/>
      <x:c r="J71" s="28" t="n"/>
      <x:c r="K71" s="28" t="n"/>
      <x:c r="L71" s="28" t="n"/>
      <x:c r="M71" s="28" t="n"/>
      <x:c r="N71" s="28" t="n"/>
      <x:c r="O71" s="28" t="n"/>
      <x:c r="P71" s="28" t="n"/>
      <x:c r="Q71" s="28" t="n"/>
      <x:c r="R71" s="100" t="n"/>
      <x:c r="S71" s="100" t="n"/>
      <x:c r="T71" s="28" t="n"/>
      <x:c r="U71" s="28" t="n"/>
      <x:c r="V71" s="28" t="n"/>
      <x:c r="W71" s="28" t="n"/>
      <x:c r="X71" s="28" t="n"/>
      <x:c r="Y71" s="28" t="n"/>
      <x:c r="Z71" s="28" t="n"/>
      <x:c r="AA71" s="28" t="n"/>
      <x:c r="AB71" s="28" t="n"/>
      <x:c r="AC71" s="28" t="n"/>
      <x:c r="AD71" s="28" t="n"/>
      <x:c r="AE71" s="100" t="n"/>
      <x:c r="AF71" s="100" t="n"/>
      <x:c r="AG71" s="100" t="n"/>
      <x:c r="AH71" s="100" t="n"/>
      <x:c r="AI71" s="100" t="n"/>
      <x:c r="AJ71" s="100" t="n"/>
      <x:c r="AK71" s="101" t="n"/>
      <x:c r="AL71" s="28" t="n"/>
      <x:c r="AM71" s="100" t="n"/>
      <x:c r="AN71" s="28" t="n"/>
      <x:c r="AO71" s="123" t="n"/>
      <x:c r="AP71" s="28" t="n"/>
      <x:c r="AQ71" s="28" t="n"/>
      <x:c r="AR71" s="28" t="n"/>
      <x:c r="AS71" s="28" t="n"/>
      <x:c r="AT71" s="28" t="n"/>
    </x:row>
    <x:row r="72" s="27" customFormat="1">
      <x:c r="A72" s="38" t="n"/>
      <x:c r="B72" s="37" t="n"/>
      <x:c r="C72" s="36" t="n">
        <x:f>E72*D$5</x:f>
        <x:v>0</x:v>
      </x:c>
      <x:c r="D72" s="66" t="n"/>
      <x:c r="E72" s="36" t="n">
        <x:f>SUM(G72:HT72)</x:f>
        <x:v>0</x:v>
      </x:c>
      <x:c r="H72" s="28" t="n"/>
      <x:c r="I72" s="28" t="n"/>
      <x:c r="J72" s="28" t="n"/>
      <x:c r="K72" s="28" t="n"/>
      <x:c r="L72" s="28" t="n"/>
      <x:c r="M72" s="28" t="n"/>
      <x:c r="N72" s="28" t="n"/>
      <x:c r="O72" s="28" t="n"/>
      <x:c r="P72" s="28" t="n"/>
      <x:c r="Q72" s="28" t="n"/>
      <x:c r="R72" s="100" t="n"/>
      <x:c r="S72" s="100" t="n"/>
      <x:c r="T72" s="28" t="n"/>
      <x:c r="U72" s="28" t="n"/>
      <x:c r="V72" s="28" t="n"/>
      <x:c r="W72" s="28" t="n"/>
      <x:c r="X72" s="28" t="n"/>
      <x:c r="Y72" s="28" t="n"/>
      <x:c r="Z72" s="28" t="n"/>
      <x:c r="AA72" s="28" t="n"/>
      <x:c r="AB72" s="28" t="n"/>
      <x:c r="AC72" s="28" t="n"/>
      <x:c r="AD72" s="28" t="n"/>
      <x:c r="AE72" s="100" t="n"/>
      <x:c r="AF72" s="100" t="n"/>
      <x:c r="AG72" s="100" t="n"/>
      <x:c r="AH72" s="100" t="n"/>
      <x:c r="AI72" s="100" t="n"/>
      <x:c r="AJ72" s="100" t="n"/>
      <x:c r="AK72" s="101" t="n"/>
      <x:c r="AL72" s="28" t="n"/>
      <x:c r="AM72" s="100" t="n"/>
      <x:c r="AN72" s="28" t="n"/>
      <x:c r="AO72" s="123" t="n"/>
      <x:c r="AP72" s="28" t="n"/>
      <x:c r="AQ72" s="28" t="n"/>
      <x:c r="AR72" s="28" t="n"/>
      <x:c r="AS72" s="28" t="n"/>
      <x:c r="AT72" s="28" t="n"/>
    </x:row>
    <x:row r="73" s="27" customFormat="1">
      <x:c r="A73" s="38" t="n"/>
      <x:c r="B73" s="37" t="n"/>
      <x:c r="C73" s="86" t="n">
        <x:f>E73*D$5</x:f>
        <x:v>0</x:v>
      </x:c>
      <x:c r="D73" s="66" t="n"/>
      <x:c r="E73" s="86" t="n">
        <x:f>SUM(G73:HT73)</x:f>
        <x:v>0</x:v>
      </x:c>
      <x:c r="H73" s="28" t="n"/>
      <x:c r="I73" s="28" t="n"/>
      <x:c r="J73" s="28" t="n"/>
      <x:c r="K73" s="28" t="n"/>
      <x:c r="L73" s="28" t="n"/>
      <x:c r="M73" s="28" t="n"/>
      <x:c r="N73" s="28" t="n"/>
      <x:c r="O73" s="28" t="n"/>
      <x:c r="P73" s="28" t="n"/>
      <x:c r="Q73" s="28" t="n"/>
      <x:c r="R73" s="100" t="n"/>
      <x:c r="S73" s="100" t="n"/>
      <x:c r="T73" s="28" t="n"/>
      <x:c r="U73" s="28" t="n"/>
      <x:c r="V73" s="28" t="n"/>
      <x:c r="W73" s="28" t="n"/>
      <x:c r="X73" s="28" t="n"/>
      <x:c r="Y73" s="28" t="n"/>
      <x:c r="Z73" s="28" t="n"/>
      <x:c r="AA73" s="28" t="n"/>
      <x:c r="AB73" s="28" t="n"/>
      <x:c r="AC73" s="28" t="n"/>
      <x:c r="AD73" s="28" t="n"/>
      <x:c r="AE73" s="100" t="n"/>
      <x:c r="AF73" s="100" t="n"/>
      <x:c r="AG73" s="100" t="n"/>
      <x:c r="AH73" s="100" t="n"/>
      <x:c r="AI73" s="100" t="n"/>
      <x:c r="AJ73" s="100" t="n"/>
      <x:c r="AK73" s="100" t="n"/>
      <x:c r="AL73" s="28" t="n"/>
      <x:c r="AM73" s="100" t="n"/>
      <x:c r="AN73" s="28" t="n"/>
      <x:c r="AO73" s="123" t="n"/>
      <x:c r="AP73" s="28" t="n"/>
      <x:c r="AQ73" s="28" t="n"/>
      <x:c r="AR73" s="28" t="n"/>
      <x:c r="AS73" s="28" t="n"/>
      <x:c r="AT73" s="28" t="n"/>
    </x:row>
    <x:row r="74" s="27" customFormat="1">
      <x:c r="A74" s="38" t="n"/>
      <x:c r="B74" s="37" t="n"/>
      <x:c r="C74" s="86" t="n">
        <x:f>E74*D$5</x:f>
        <x:v>0</x:v>
      </x:c>
      <x:c r="D74" s="66" t="n"/>
      <x:c r="E74" s="86" t="n">
        <x:f>SUM(G74:HT74)</x:f>
        <x:v>0</x:v>
      </x:c>
      <x:c r="H74" s="28" t="n"/>
      <x:c r="I74" s="28" t="n"/>
      <x:c r="J74" s="28" t="n"/>
      <x:c r="K74" s="28" t="n"/>
      <x:c r="L74" s="28" t="n"/>
      <x:c r="M74" s="28" t="n"/>
      <x:c r="N74" s="28" t="n"/>
      <x:c r="O74" s="28" t="n"/>
      <x:c r="P74" s="28" t="n"/>
      <x:c r="Q74" s="28" t="n"/>
      <x:c r="R74" s="100" t="n"/>
      <x:c r="S74" s="100" t="n"/>
      <x:c r="T74" s="28" t="n"/>
      <x:c r="U74" s="28" t="n"/>
      <x:c r="V74" s="28" t="n"/>
      <x:c r="W74" s="28" t="n"/>
      <x:c r="X74" s="28" t="n"/>
      <x:c r="Y74" s="28" t="n"/>
      <x:c r="Z74" s="28" t="n"/>
      <x:c r="AA74" s="28" t="n"/>
      <x:c r="AB74" s="28" t="n"/>
      <x:c r="AC74" s="28" t="n"/>
      <x:c r="AD74" s="28" t="n"/>
      <x:c r="AE74" s="100" t="n"/>
      <x:c r="AF74" s="100" t="n"/>
      <x:c r="AG74" s="100" t="n"/>
      <x:c r="AH74" s="100" t="n"/>
      <x:c r="AI74" s="100" t="n"/>
      <x:c r="AJ74" s="100" t="n"/>
      <x:c r="AK74" s="100" t="n"/>
      <x:c r="AL74" s="28" t="n"/>
      <x:c r="AM74" s="100" t="n"/>
      <x:c r="AN74" s="28" t="n"/>
      <x:c r="AO74" s="123" t="n"/>
      <x:c r="AP74" s="28" t="n"/>
      <x:c r="AQ74" s="28" t="n"/>
      <x:c r="AR74" s="28" t="n"/>
      <x:c r="AS74" s="28" t="n"/>
      <x:c r="AT74" s="28" t="n"/>
    </x:row>
    <x:row r="75" s="27" customFormat="1">
      <x:c r="A75" s="38" t="n"/>
      <x:c r="B75" s="37" t="n"/>
      <x:c r="C75" s="36" t="n">
        <x:f>E75*D$5</x:f>
        <x:v>0</x:v>
      </x:c>
      <x:c r="D75" s="66" t="n"/>
      <x:c r="E75" s="36" t="n">
        <x:f>SUM(G75:HT75)</x:f>
        <x:v>0</x:v>
      </x:c>
      <x:c r="H75" s="28" t="n"/>
      <x:c r="I75" s="28" t="n"/>
      <x:c r="J75" s="28" t="n"/>
      <x:c r="K75" s="28" t="n"/>
      <x:c r="L75" s="28" t="n"/>
      <x:c r="M75" s="28" t="n"/>
      <x:c r="N75" s="28" t="n"/>
      <x:c r="O75" s="28" t="n"/>
      <x:c r="P75" s="28" t="n"/>
      <x:c r="Q75" s="28" t="n"/>
      <x:c r="R75" s="100" t="n"/>
      <x:c r="S75" s="100" t="n"/>
      <x:c r="T75" s="28" t="n"/>
      <x:c r="U75" s="28" t="n"/>
      <x:c r="V75" s="28" t="n"/>
      <x:c r="W75" s="28" t="n"/>
      <x:c r="X75" s="28" t="n"/>
      <x:c r="Y75" s="28" t="n"/>
      <x:c r="Z75" s="28" t="n"/>
      <x:c r="AA75" s="28" t="n"/>
      <x:c r="AB75" s="28" t="n"/>
      <x:c r="AC75" s="28" t="n"/>
      <x:c r="AD75" s="28" t="n"/>
      <x:c r="AE75" s="100" t="n"/>
      <x:c r="AF75" s="100" t="n"/>
      <x:c r="AG75" s="100" t="n"/>
      <x:c r="AH75" s="100" t="n"/>
      <x:c r="AI75" s="100" t="n"/>
      <x:c r="AJ75" s="100" t="n"/>
      <x:c r="AK75" s="100" t="n"/>
      <x:c r="AL75" s="28" t="n"/>
      <x:c r="AM75" s="100" t="n"/>
      <x:c r="AN75" s="28" t="n"/>
      <x:c r="AO75" s="100" t="n"/>
      <x:c r="AP75" s="28" t="n"/>
      <x:c r="AQ75" s="28" t="n"/>
      <x:c r="AR75" s="28" t="n"/>
      <x:c r="AS75" s="28" t="n"/>
      <x:c r="AT75" s="28" t="n"/>
    </x:row>
    <x:row r="76" s="27" customFormat="1">
      <x:c r="A76" s="38" t="n"/>
      <x:c r="B76" s="37" t="n"/>
      <x:c r="C76" s="36" t="n">
        <x:f>E76*D$5</x:f>
        <x:v>0</x:v>
      </x:c>
      <x:c r="D76" s="66" t="n"/>
      <x:c r="E76" s="36" t="n">
        <x:f>SUM(G76:HT76)</x:f>
        <x:v>0</x:v>
      </x:c>
      <x:c r="H76" s="28" t="n"/>
      <x:c r="I76" s="28" t="n"/>
      <x:c r="J76" s="28" t="n"/>
      <x:c r="K76" s="28" t="n"/>
      <x:c r="L76" s="28" t="n"/>
      <x:c r="M76" s="28" t="n"/>
      <x:c r="N76" s="28" t="n"/>
      <x:c r="O76" s="28" t="n"/>
      <x:c r="P76" s="28" t="n"/>
      <x:c r="Q76" s="28" t="n"/>
      <x:c r="R76" s="100" t="n"/>
      <x:c r="S76" s="100" t="n"/>
      <x:c r="T76" s="28" t="n"/>
      <x:c r="U76" s="28" t="n"/>
      <x:c r="V76" s="28" t="n"/>
      <x:c r="W76" s="28" t="n"/>
      <x:c r="X76" s="28" t="n"/>
      <x:c r="Y76" s="28" t="n"/>
      <x:c r="Z76" s="28" t="n"/>
      <x:c r="AA76" s="28" t="n"/>
      <x:c r="AB76" s="28" t="n"/>
      <x:c r="AC76" s="28" t="n"/>
      <x:c r="AD76" s="28" t="n"/>
      <x:c r="AE76" s="100" t="n"/>
      <x:c r="AF76" s="100" t="n"/>
      <x:c r="AG76" s="100" t="n"/>
      <x:c r="AH76" s="100" t="n"/>
      <x:c r="AI76" s="100" t="n"/>
      <x:c r="AJ76" s="100" t="n"/>
      <x:c r="AK76" s="100" t="n"/>
      <x:c r="AL76" s="28" t="n"/>
      <x:c r="AM76" s="100" t="n"/>
      <x:c r="AN76" s="28" t="n"/>
      <x:c r="AO76" s="100" t="n"/>
      <x:c r="AP76" s="28" t="n"/>
      <x:c r="AQ76" s="28" t="n"/>
      <x:c r="AR76" s="28" t="n"/>
      <x:c r="AS76" s="28" t="n"/>
      <x:c r="AT76" s="28" t="n"/>
    </x:row>
    <x:row r="77" s="27" customFormat="1">
      <x:c r="A77" s="38" t="n"/>
      <x:c r="B77" s="37" t="n"/>
      <x:c r="C77" s="36" t="n">
        <x:f>E77*D$5</x:f>
        <x:v>0</x:v>
      </x:c>
      <x:c r="D77" s="88" t="n"/>
      <x:c r="E77" s="36" t="n">
        <x:f>SUM(G77:HT77)</x:f>
        <x:v>0</x:v>
      </x:c>
      <x:c r="H77" s="28" t="n"/>
      <x:c r="I77" s="28" t="n"/>
      <x:c r="J77" s="28" t="n"/>
      <x:c r="K77" s="28" t="n"/>
      <x:c r="L77" s="28" t="n"/>
      <x:c r="M77" s="28" t="n"/>
      <x:c r="N77" s="28" t="n"/>
      <x:c r="O77" s="28" t="n"/>
      <x:c r="P77" s="28" t="n"/>
      <x:c r="Q77" s="28" t="n"/>
      <x:c r="R77" s="100" t="n"/>
      <x:c r="S77" s="100" t="n"/>
      <x:c r="T77" s="28" t="n"/>
      <x:c r="U77" s="28" t="n"/>
      <x:c r="V77" s="28" t="n"/>
      <x:c r="W77" s="28" t="n"/>
      <x:c r="X77" s="28" t="n"/>
      <x:c r="Y77" s="28" t="n"/>
      <x:c r="Z77" s="28" t="n"/>
      <x:c r="AA77" s="28" t="n"/>
      <x:c r="AB77" s="28" t="n"/>
      <x:c r="AC77" s="28" t="n"/>
      <x:c r="AD77" s="28" t="n"/>
      <x:c r="AE77" s="100" t="n"/>
      <x:c r="AF77" s="100" t="n"/>
      <x:c r="AG77" s="100" t="n"/>
      <x:c r="AH77" s="100" t="n"/>
      <x:c r="AI77" s="100" t="n"/>
      <x:c r="AJ77" s="100" t="n"/>
      <x:c r="AK77" s="100" t="n"/>
      <x:c r="AL77" s="28" t="n"/>
      <x:c r="AM77" s="100" t="n"/>
      <x:c r="AN77" s="28" t="n"/>
      <x:c r="AO77" s="100" t="n"/>
      <x:c r="AP77" s="28" t="n"/>
      <x:c r="AQ77" s="28" t="n"/>
      <x:c r="AR77" s="28" t="n"/>
      <x:c r="AS77" s="28" t="n"/>
      <x:c r="AT77" s="28" t="n"/>
    </x:row>
    <x:row r="78" s="27" customFormat="1">
      <x:c r="A78" s="38" t="n"/>
      <x:c r="B78" s="37" t="n"/>
      <x:c r="C78" s="36" t="n">
        <x:f>E78*D$5</x:f>
        <x:v>0</x:v>
      </x:c>
      <x:c r="D78" s="66" t="n"/>
      <x:c r="E78" s="36" t="n">
        <x:f>SUM(G78:HT78)</x:f>
        <x:v>0</x:v>
      </x:c>
      <x:c r="H78" s="28" t="n"/>
      <x:c r="I78" s="28" t="n"/>
      <x:c r="J78" s="28" t="n"/>
      <x:c r="K78" s="28" t="n"/>
      <x:c r="L78" s="28" t="n"/>
      <x:c r="M78" s="28" t="n"/>
      <x:c r="N78" s="28" t="n"/>
      <x:c r="O78" s="28" t="n"/>
      <x:c r="P78" s="28" t="n"/>
      <x:c r="Q78" s="28" t="n"/>
      <x:c r="R78" s="100" t="n"/>
      <x:c r="S78" s="100" t="n"/>
      <x:c r="T78" s="28" t="n"/>
      <x:c r="U78" s="28" t="n"/>
      <x:c r="V78" s="28" t="n"/>
      <x:c r="W78" s="28" t="n"/>
      <x:c r="X78" s="28" t="n"/>
      <x:c r="Y78" s="28" t="n"/>
      <x:c r="Z78" s="28" t="n"/>
      <x:c r="AA78" s="28" t="n"/>
      <x:c r="AB78" s="28" t="n"/>
      <x:c r="AC78" s="28" t="n"/>
      <x:c r="AD78" s="28" t="n"/>
      <x:c r="AE78" s="100" t="n"/>
      <x:c r="AF78" s="100" t="n"/>
      <x:c r="AG78" s="100" t="n"/>
      <x:c r="AH78" s="100" t="n"/>
      <x:c r="AI78" s="100" t="n"/>
      <x:c r="AJ78" s="100" t="n"/>
      <x:c r="AK78" s="100" t="n"/>
      <x:c r="AL78" s="28" t="n"/>
      <x:c r="AM78" s="100" t="n"/>
      <x:c r="AN78" s="28" t="n"/>
      <x:c r="AO78" s="100" t="n"/>
      <x:c r="AP78" s="28" t="n"/>
      <x:c r="AQ78" s="28" t="n"/>
      <x:c r="AR78" s="28" t="n"/>
      <x:c r="AS78" s="28" t="n"/>
      <x:c r="AT78" s="28" t="n"/>
    </x:row>
    <x:row r="79" s="27" customFormat="1">
      <x:c r="A79" s="38" t="n"/>
      <x:c r="B79" s="37" t="n"/>
      <x:c r="C79" s="86" t="n">
        <x:f>E79*D$5</x:f>
        <x:v>0</x:v>
      </x:c>
      <x:c r="D79" s="523" t="n"/>
      <x:c r="E79" s="86" t="n">
        <x:f>SUM(G79:HT79)</x:f>
        <x:v>0</x:v>
      </x:c>
      <x:c r="H79" s="28" t="n"/>
      <x:c r="I79" s="28" t="n"/>
      <x:c r="J79" s="28" t="n"/>
      <x:c r="K79" s="28" t="n"/>
      <x:c r="L79" s="28" t="n"/>
      <x:c r="M79" s="28" t="n"/>
      <x:c r="N79" s="28" t="n"/>
      <x:c r="O79" s="28" t="n"/>
      <x:c r="P79" s="28" t="n"/>
      <x:c r="Q79" s="28" t="n"/>
      <x:c r="R79" s="100" t="n"/>
      <x:c r="S79" s="100" t="n"/>
      <x:c r="T79" s="28" t="n"/>
      <x:c r="U79" s="28" t="n"/>
      <x:c r="V79" s="28" t="n"/>
      <x:c r="W79" s="28" t="n"/>
      <x:c r="X79" s="28" t="n"/>
      <x:c r="Y79" s="28" t="n"/>
      <x:c r="Z79" s="28" t="n"/>
      <x:c r="AA79" s="28" t="n"/>
      <x:c r="AB79" s="28" t="n"/>
      <x:c r="AC79" s="28" t="n"/>
      <x:c r="AD79" s="28" t="n"/>
      <x:c r="AE79" s="100" t="n"/>
      <x:c r="AF79" s="100" t="n"/>
      <x:c r="AG79" s="100" t="n"/>
      <x:c r="AH79" s="100" t="n"/>
      <x:c r="AI79" s="100" t="n"/>
      <x:c r="AJ79" s="100" t="n"/>
      <x:c r="AK79" s="100" t="n"/>
      <x:c r="AL79" s="28" t="n"/>
      <x:c r="AM79" s="100" t="n"/>
      <x:c r="AN79" s="28" t="n"/>
      <x:c r="AO79" s="100" t="n"/>
      <x:c r="AP79" s="28" t="n"/>
      <x:c r="AQ79" s="28" t="n"/>
      <x:c r="AR79" s="28" t="n"/>
      <x:c r="AS79" s="28" t="n"/>
      <x:c r="AT79" s="28" t="n"/>
    </x:row>
    <x:row r="80" s="27" customFormat="1">
      <x:c r="A80" s="38" t="n"/>
      <x:c r="B80" s="37" t="n"/>
      <x:c r="C80" s="36" t="n">
        <x:f>E80*D$5</x:f>
        <x:v>0</x:v>
      </x:c>
      <x:c r="D80" s="66" t="n"/>
      <x:c r="E80" s="36" t="n">
        <x:f>SUM(G80:HT80)</x:f>
        <x:v>0</x:v>
      </x:c>
      <x:c r="H80" s="28" t="n"/>
      <x:c r="I80" s="28" t="n"/>
      <x:c r="J80" s="28" t="n"/>
      <x:c r="K80" s="28" t="n"/>
      <x:c r="L80" s="28" t="n"/>
      <x:c r="M80" s="28" t="n"/>
      <x:c r="N80" s="28" t="n"/>
      <x:c r="O80" s="28" t="n"/>
      <x:c r="P80" s="28" t="n"/>
      <x:c r="Q80" s="28" t="n"/>
      <x:c r="R80" s="100" t="n"/>
      <x:c r="S80" s="100" t="n"/>
      <x:c r="T80" s="28" t="n"/>
      <x:c r="U80" s="28" t="n"/>
      <x:c r="V80" s="28" t="n"/>
      <x:c r="W80" s="28" t="n"/>
      <x:c r="X80" s="28" t="n"/>
      <x:c r="Y80" s="28" t="n"/>
      <x:c r="Z80" s="28" t="n"/>
      <x:c r="AA80" s="28" t="n"/>
      <x:c r="AB80" s="28" t="n"/>
      <x:c r="AC80" s="28" t="n"/>
      <x:c r="AD80" s="28" t="n"/>
      <x:c r="AE80" s="100" t="n"/>
      <x:c r="AF80" s="100" t="n"/>
      <x:c r="AG80" s="100" t="n"/>
      <x:c r="AH80" s="100" t="n"/>
      <x:c r="AI80" s="100" t="n"/>
      <x:c r="AJ80" s="100" t="n"/>
      <x:c r="AK80" s="100" t="n"/>
      <x:c r="AL80" s="28" t="n"/>
      <x:c r="AM80" s="100" t="n"/>
      <x:c r="AN80" s="28" t="n"/>
      <x:c r="AO80" s="100" t="n"/>
      <x:c r="AP80" s="28" t="n"/>
      <x:c r="AQ80" s="28" t="n"/>
      <x:c r="AR80" s="28" t="n"/>
      <x:c r="AS80" s="28" t="n"/>
      <x:c r="AT80" s="28" t="n"/>
    </x:row>
    <x:row r="81" s="27" customFormat="1">
      <x:c r="A81" s="38" t="n"/>
      <x:c r="B81" s="37" t="n"/>
      <x:c r="C81" s="86" t="n">
        <x:f>E81*D$5</x:f>
        <x:v>0</x:v>
      </x:c>
      <x:c r="D81" s="523" t="n"/>
      <x:c r="E81" s="86" t="n">
        <x:f>SUM(G81:HT81)</x:f>
        <x:v>0</x:v>
      </x:c>
      <x:c r="H81" s="28" t="n"/>
      <x:c r="I81" s="28" t="n"/>
      <x:c r="J81" s="28" t="n"/>
      <x:c r="K81" s="28" t="n"/>
      <x:c r="L81" s="28" t="n"/>
      <x:c r="M81" s="28" t="n"/>
      <x:c r="N81" s="28" t="n"/>
      <x:c r="O81" s="28" t="n"/>
      <x:c r="P81" s="28" t="n"/>
      <x:c r="Q81" s="28" t="n"/>
      <x:c r="R81" s="100" t="n"/>
      <x:c r="S81" s="100" t="n"/>
      <x:c r="T81" s="28" t="n"/>
      <x:c r="U81" s="28" t="n"/>
      <x:c r="V81" s="28" t="n"/>
      <x:c r="W81" s="28" t="n"/>
      <x:c r="X81" s="28" t="n"/>
      <x:c r="Y81" s="28" t="n"/>
      <x:c r="Z81" s="28" t="n"/>
      <x:c r="AA81" s="28" t="n"/>
      <x:c r="AB81" s="28" t="n"/>
      <x:c r="AC81" s="28" t="n"/>
      <x:c r="AD81" s="28" t="n"/>
      <x:c r="AE81" s="100" t="n"/>
      <x:c r="AF81" s="100" t="n"/>
      <x:c r="AG81" s="100" t="n"/>
      <x:c r="AH81" s="100" t="n"/>
      <x:c r="AI81" s="100" t="n"/>
      <x:c r="AJ81" s="100" t="n"/>
      <x:c r="AK81" s="100" t="n"/>
      <x:c r="AL81" s="28" t="n"/>
      <x:c r="AM81" s="100" t="n"/>
      <x:c r="AN81" s="28" t="n"/>
      <x:c r="AO81" s="100" t="n"/>
      <x:c r="AP81" s="28" t="n"/>
      <x:c r="AQ81" s="28" t="n"/>
      <x:c r="AR81" s="28" t="n"/>
      <x:c r="AS81" s="28" t="n"/>
      <x:c r="AT81" s="28" t="n"/>
    </x:row>
    <x:row r="82" s="27" customFormat="1">
      <x:c r="A82" s="38" t="n"/>
      <x:c r="B82" s="37" t="n"/>
      <x:c r="C82" s="36" t="n">
        <x:f>E82*D$5</x:f>
        <x:v>0</x:v>
      </x:c>
      <x:c r="D82" s="66" t="n"/>
      <x:c r="E82" s="36" t="n">
        <x:f>SUM(G82:HT82)</x:f>
        <x:v>0</x:v>
      </x:c>
      <x:c r="H82" s="28" t="n"/>
      <x:c r="I82" s="28" t="n"/>
      <x:c r="J82" s="28" t="n"/>
      <x:c r="K82" s="28" t="n"/>
      <x:c r="L82" s="28" t="n"/>
      <x:c r="M82" s="28" t="n"/>
      <x:c r="N82" s="28" t="n"/>
      <x:c r="O82" s="28" t="n"/>
      <x:c r="P82" s="28" t="n"/>
      <x:c r="Q82" s="28" t="n"/>
      <x:c r="R82" s="100" t="n"/>
      <x:c r="S82" s="100" t="n"/>
      <x:c r="T82" s="28" t="n"/>
      <x:c r="U82" s="28" t="n"/>
      <x:c r="V82" s="28" t="n"/>
      <x:c r="W82" s="28" t="n"/>
      <x:c r="X82" s="28" t="n"/>
      <x:c r="Y82" s="28" t="n"/>
      <x:c r="Z82" s="28" t="n"/>
      <x:c r="AA82" s="28" t="n"/>
      <x:c r="AB82" s="28" t="n"/>
      <x:c r="AC82" s="28" t="n"/>
      <x:c r="AD82" s="28" t="n"/>
      <x:c r="AE82" s="100" t="n"/>
      <x:c r="AF82" s="100" t="n"/>
      <x:c r="AG82" s="100" t="n"/>
      <x:c r="AH82" s="100" t="n"/>
      <x:c r="AI82" s="100" t="n"/>
      <x:c r="AJ82" s="100" t="n"/>
      <x:c r="AK82" s="100" t="n"/>
      <x:c r="AL82" s="28" t="n"/>
      <x:c r="AM82" s="100" t="n"/>
      <x:c r="AN82" s="28" t="n"/>
      <x:c r="AO82" s="100" t="n"/>
      <x:c r="AP82" s="28" t="n"/>
      <x:c r="AQ82" s="28" t="n"/>
      <x:c r="AR82" s="28" t="n"/>
      <x:c r="AS82" s="28" t="n"/>
      <x:c r="AT82" s="28" t="n"/>
    </x:row>
    <x:row r="83" s="27" customFormat="1">
      <x:c r="A83" s="38" t="n"/>
      <x:c r="B83" s="37" t="n"/>
      <x:c r="C83" s="86" t="n">
        <x:f>E83*D$5</x:f>
        <x:v>0</x:v>
      </x:c>
      <x:c r="D83" s="523" t="n"/>
      <x:c r="E83" s="86" t="n">
        <x:f>SUM(G83:HT83)</x:f>
        <x:v>0</x:v>
      </x:c>
      <x:c r="H83" s="28" t="n"/>
      <x:c r="I83" s="28" t="n"/>
      <x:c r="J83" s="28" t="n"/>
      <x:c r="K83" s="28" t="n"/>
      <x:c r="L83" s="28" t="n"/>
      <x:c r="M83" s="28" t="n"/>
      <x:c r="N83" s="28" t="n"/>
      <x:c r="O83" s="28" t="n"/>
      <x:c r="P83" s="28" t="n"/>
      <x:c r="Q83" s="28" t="n"/>
      <x:c r="R83" s="100" t="n"/>
      <x:c r="S83" s="100" t="n"/>
      <x:c r="T83" s="28" t="n"/>
      <x:c r="U83" s="28" t="n"/>
      <x:c r="V83" s="28" t="n"/>
      <x:c r="W83" s="28" t="n"/>
      <x:c r="X83" s="28" t="n"/>
      <x:c r="Y83" s="28" t="n"/>
      <x:c r="Z83" s="28" t="n"/>
      <x:c r="AA83" s="28" t="n"/>
      <x:c r="AB83" s="28" t="n"/>
      <x:c r="AC83" s="28" t="n"/>
      <x:c r="AD83" s="28" t="n"/>
      <x:c r="AE83" s="100" t="n"/>
      <x:c r="AF83" s="100" t="n"/>
      <x:c r="AG83" s="100" t="n"/>
      <x:c r="AH83" s="100" t="n"/>
      <x:c r="AI83" s="100" t="n"/>
      <x:c r="AJ83" s="100" t="n"/>
      <x:c r="AK83" s="100" t="n"/>
      <x:c r="AL83" s="28" t="n"/>
      <x:c r="AM83" s="100" t="n"/>
      <x:c r="AN83" s="28" t="n"/>
      <x:c r="AO83" s="100" t="n"/>
      <x:c r="AP83" s="28" t="n"/>
      <x:c r="AQ83" s="28" t="n"/>
      <x:c r="AR83" s="28" t="n"/>
      <x:c r="AS83" s="28" t="n"/>
      <x:c r="AT83" s="28" t="n"/>
    </x:row>
    <x:row r="84" s="27" customFormat="1">
      <x:c r="A84" s="38" t="n"/>
      <x:c r="B84" s="37" t="n"/>
      <x:c r="C84" s="36" t="n">
        <x:f>E84*D$5</x:f>
        <x:v>0</x:v>
      </x:c>
      <x:c r="D84" s="66" t="n"/>
      <x:c r="E84" s="36" t="n">
        <x:f>SUM(G84:HT84)</x:f>
        <x:v>0</x:v>
      </x:c>
      <x:c r="H84" s="28" t="n"/>
      <x:c r="I84" s="28" t="n"/>
      <x:c r="J84" s="28" t="n"/>
      <x:c r="K84" s="28" t="n"/>
      <x:c r="L84" s="28" t="n"/>
      <x:c r="M84" s="28" t="n"/>
      <x:c r="N84" s="28" t="n"/>
      <x:c r="O84" s="28" t="n"/>
      <x:c r="P84" s="28" t="n"/>
      <x:c r="Q84" s="28" t="n"/>
      <x:c r="R84" s="100" t="n"/>
      <x:c r="S84" s="100" t="n"/>
      <x:c r="T84" s="28" t="n"/>
      <x:c r="U84" s="28" t="n"/>
      <x:c r="V84" s="28" t="n"/>
      <x:c r="W84" s="28" t="n"/>
      <x:c r="X84" s="28" t="n"/>
      <x:c r="Y84" s="28" t="n"/>
      <x:c r="Z84" s="28" t="n"/>
      <x:c r="AA84" s="28" t="n"/>
      <x:c r="AB84" s="28" t="n"/>
      <x:c r="AC84" s="28" t="n"/>
      <x:c r="AD84" s="28" t="n"/>
      <x:c r="AE84" s="100" t="n"/>
      <x:c r="AF84" s="100" t="n"/>
      <x:c r="AG84" s="100" t="n"/>
      <x:c r="AH84" s="100" t="n"/>
      <x:c r="AI84" s="100" t="n"/>
      <x:c r="AJ84" s="100" t="n"/>
      <x:c r="AK84" s="100" t="n"/>
      <x:c r="AL84" s="28" t="n"/>
      <x:c r="AM84" s="100" t="n"/>
      <x:c r="AN84" s="28" t="n"/>
      <x:c r="AO84" s="100" t="n"/>
      <x:c r="AP84" s="28" t="n"/>
      <x:c r="AQ84" s="28" t="n"/>
      <x:c r="AR84" s="28" t="n"/>
      <x:c r="AS84" s="28" t="n"/>
      <x:c r="AT84" s="28" t="n"/>
    </x:row>
    <x:row r="85" s="27" customFormat="1">
      <x:c r="A85" s="38" t="n"/>
      <x:c r="B85" s="37" t="n"/>
      <x:c r="C85" s="36" t="n">
        <x:f>E85*D$5</x:f>
        <x:v>0</x:v>
      </x:c>
      <x:c r="D85" s="66" t="n"/>
      <x:c r="E85" s="36" t="n">
        <x:f>SUM(G85:HT85)</x:f>
        <x:v>0</x:v>
      </x:c>
      <x:c r="H85" s="28" t="n"/>
      <x:c r="I85" s="28" t="n"/>
      <x:c r="J85" s="28" t="n"/>
      <x:c r="K85" s="28" t="n"/>
      <x:c r="L85" s="28" t="n"/>
      <x:c r="M85" s="28" t="n"/>
      <x:c r="N85" s="28" t="n"/>
      <x:c r="O85" s="28" t="n"/>
      <x:c r="P85" s="28" t="n"/>
      <x:c r="Q85" s="28" t="n"/>
      <x:c r="R85" s="100" t="n"/>
      <x:c r="S85" s="100" t="n"/>
      <x:c r="T85" s="28" t="n"/>
      <x:c r="U85" s="28" t="n"/>
      <x:c r="V85" s="28" t="n"/>
      <x:c r="W85" s="28" t="n"/>
      <x:c r="X85" s="28" t="n"/>
      <x:c r="Y85" s="28" t="n"/>
      <x:c r="Z85" s="28" t="n"/>
      <x:c r="AA85" s="28" t="n"/>
      <x:c r="AB85" s="28" t="n"/>
      <x:c r="AC85" s="28" t="n"/>
      <x:c r="AD85" s="28" t="n"/>
      <x:c r="AE85" s="100" t="n"/>
      <x:c r="AF85" s="100" t="n"/>
      <x:c r="AG85" s="100" t="n"/>
      <x:c r="AH85" s="100" t="n"/>
      <x:c r="AI85" s="100" t="n"/>
      <x:c r="AJ85" s="100" t="n"/>
      <x:c r="AK85" s="100" t="n"/>
      <x:c r="AL85" s="28" t="n"/>
      <x:c r="AM85" s="100" t="n"/>
      <x:c r="AN85" s="28" t="n"/>
      <x:c r="AO85" s="100" t="n"/>
      <x:c r="AP85" s="28" t="n"/>
      <x:c r="AQ85" s="28" t="n"/>
      <x:c r="AR85" s="28" t="n"/>
      <x:c r="AS85" s="28" t="n"/>
      <x:c r="AT85" s="28" t="n"/>
    </x:row>
    <x:row r="86" s="27" customFormat="1">
      <x:c r="A86" s="38" t="n"/>
      <x:c r="B86" s="37" t="n"/>
      <x:c r="C86" s="36" t="n">
        <x:f>E86*D$5</x:f>
        <x:v>0</x:v>
      </x:c>
      <x:c r="D86" s="66" t="n"/>
      <x:c r="E86" s="36" t="n">
        <x:f>SUM(G86:HT86)</x:f>
        <x:v>0</x:v>
      </x:c>
      <x:c r="H86" s="28" t="n"/>
      <x:c r="I86" s="28" t="n"/>
      <x:c r="J86" s="28" t="n"/>
      <x:c r="K86" s="28" t="n"/>
      <x:c r="L86" s="28" t="n"/>
      <x:c r="M86" s="28" t="n"/>
      <x:c r="N86" s="28" t="n"/>
      <x:c r="O86" s="28" t="n"/>
      <x:c r="P86" s="28" t="n"/>
      <x:c r="Q86" s="28" t="n"/>
      <x:c r="R86" s="100" t="n"/>
      <x:c r="S86" s="100" t="n"/>
      <x:c r="T86" s="28" t="n"/>
      <x:c r="U86" s="28" t="n"/>
      <x:c r="V86" s="28" t="n"/>
      <x:c r="W86" s="28" t="n"/>
      <x:c r="X86" s="28" t="n"/>
      <x:c r="Y86" s="28" t="n"/>
      <x:c r="Z86" s="28" t="n"/>
      <x:c r="AA86" s="28" t="n"/>
      <x:c r="AB86" s="28" t="n"/>
      <x:c r="AC86" s="28" t="n"/>
      <x:c r="AD86" s="28" t="n"/>
      <x:c r="AE86" s="100" t="n"/>
      <x:c r="AF86" s="100" t="n"/>
      <x:c r="AG86" s="100" t="n"/>
      <x:c r="AH86" s="100" t="n"/>
      <x:c r="AI86" s="100" t="n"/>
      <x:c r="AJ86" s="100" t="n"/>
      <x:c r="AK86" s="100" t="n"/>
      <x:c r="AL86" s="28" t="n"/>
      <x:c r="AM86" s="100" t="n"/>
      <x:c r="AN86" s="28" t="n"/>
      <x:c r="AO86" s="100" t="n"/>
      <x:c r="AP86" s="28" t="n"/>
      <x:c r="AQ86" s="28" t="n"/>
      <x:c r="AR86" s="28" t="n"/>
      <x:c r="AS86" s="28" t="n"/>
      <x:c r="AT86" s="28" t="n"/>
    </x:row>
    <x:row r="87" s="27" customFormat="1">
      <x:c r="A87" s="38" t="n"/>
      <x:c r="B87" s="37" t="n"/>
      <x:c r="C87" s="36" t="n">
        <x:f>E87*D$5</x:f>
        <x:v>0</x:v>
      </x:c>
      <x:c r="D87" s="66" t="n"/>
      <x:c r="E87" s="36" t="n">
        <x:f>SUM(G87:HT87)</x:f>
        <x:v>0</x:v>
      </x:c>
      <x:c r="R87" s="100" t="n"/>
      <x:c r="S87" s="100" t="n"/>
      <x:c r="AE87" s="100" t="n"/>
      <x:c r="AF87" s="100" t="n"/>
      <x:c r="AG87" s="100" t="n"/>
      <x:c r="AH87" s="100" t="n"/>
      <x:c r="AI87" s="100" t="n"/>
      <x:c r="AJ87" s="100" t="n"/>
      <x:c r="AK87" s="100" t="n"/>
      <x:c r="AM87" s="100" t="n"/>
      <x:c r="AO87" s="100" t="n"/>
    </x:row>
    <x:row r="88" s="27" customFormat="1">
      <x:c r="A88" s="38" t="n"/>
      <x:c r="B88" s="37" t="n"/>
      <x:c r="C88" s="86" t="n">
        <x:f>E88*D$5</x:f>
        <x:v>0</x:v>
      </x:c>
      <x:c r="D88" s="523" t="n"/>
      <x:c r="E88" s="86" t="n">
        <x:f>SUM(G88:HT88)</x:f>
        <x:v>0</x:v>
      </x:c>
      <x:c r="R88" s="100" t="n"/>
      <x:c r="S88" s="100" t="n"/>
      <x:c r="AE88" s="100" t="n"/>
      <x:c r="AF88" s="100" t="n"/>
      <x:c r="AG88" s="100" t="n"/>
      <x:c r="AH88" s="100" t="n"/>
      <x:c r="AI88" s="100" t="n"/>
      <x:c r="AJ88" s="100" t="n"/>
      <x:c r="AK88" s="100" t="n"/>
      <x:c r="AM88" s="100" t="n"/>
      <x:c r="AO88" s="100" t="n"/>
    </x:row>
    <x:row r="89" s="27" customFormat="1">
      <x:c r="A89" s="38" t="n"/>
      <x:c r="B89" s="37" t="n"/>
      <x:c r="C89" s="36" t="n">
        <x:f>E89*D$5</x:f>
        <x:v>0</x:v>
      </x:c>
      <x:c r="D89" s="66" t="n"/>
      <x:c r="E89" s="36" t="n">
        <x:f>SUM(G89:HT89)</x:f>
        <x:v>0</x:v>
      </x:c>
      <x:c r="R89" s="100" t="n"/>
      <x:c r="S89" s="100" t="n"/>
      <x:c r="AE89" s="100" t="n"/>
      <x:c r="AF89" s="100" t="n"/>
      <x:c r="AG89" s="100" t="n"/>
      <x:c r="AH89" s="100" t="n"/>
      <x:c r="AI89" s="100" t="n"/>
      <x:c r="AJ89" s="100" t="n"/>
      <x:c r="AK89" s="100" t="n"/>
      <x:c r="AM89" s="100" t="n"/>
      <x:c r="AO89" s="100" t="n"/>
    </x:row>
    <x:row r="90" s="27" customFormat="1">
      <x:c r="A90" s="38" t="n"/>
      <x:c r="B90" s="37" t="n"/>
      <x:c r="C90" s="36" t="n">
        <x:f>E90*D$5</x:f>
        <x:v>0</x:v>
      </x:c>
      <x:c r="D90" s="66" t="n"/>
      <x:c r="E90" s="86" t="n">
        <x:f>SUM(G90:HT90)</x:f>
        <x:v>0</x:v>
      </x:c>
      <x:c r="R90" s="100" t="n"/>
      <x:c r="S90" s="100" t="n"/>
      <x:c r="AE90" s="100" t="n"/>
      <x:c r="AF90" s="100" t="n"/>
      <x:c r="AG90" s="100" t="n"/>
      <x:c r="AH90" s="100" t="n"/>
      <x:c r="AI90" s="100" t="n"/>
      <x:c r="AJ90" s="100" t="n"/>
      <x:c r="AK90" s="100" t="n"/>
      <x:c r="AM90" s="100" t="n"/>
      <x:c r="AO90" s="100" t="n"/>
    </x:row>
    <x:row r="91" s="27" customFormat="1">
      <x:c r="A91" s="38" t="n"/>
      <x:c r="B91" s="37" t="n"/>
      <x:c r="C91" s="86" t="n">
        <x:f>E91*D$5</x:f>
        <x:v>0</x:v>
      </x:c>
      <x:c r="D91" s="66" t="n"/>
      <x:c r="E91" s="86" t="n">
        <x:f>SUM(G91:HT91)</x:f>
        <x:v>0</x:v>
      </x:c>
      <x:c r="R91" s="100" t="n"/>
      <x:c r="S91" s="100" t="n"/>
      <x:c r="AE91" s="100" t="n"/>
      <x:c r="AF91" s="100" t="n"/>
      <x:c r="AG91" s="100" t="n"/>
      <x:c r="AH91" s="100" t="n"/>
      <x:c r="AI91" s="100" t="n"/>
      <x:c r="AJ91" s="100" t="n"/>
      <x:c r="AK91" s="100" t="n"/>
      <x:c r="AM91" s="100" t="n"/>
      <x:c r="AO91" s="100" t="n"/>
    </x:row>
    <x:row r="92" s="27" customFormat="1">
      <x:c r="A92" s="38" t="n"/>
      <x:c r="B92" s="37" t="n"/>
      <x:c r="C92" s="36" t="n">
        <x:f>E92*D$5</x:f>
        <x:v>0</x:v>
      </x:c>
      <x:c r="D92" s="66" t="n"/>
      <x:c r="E92" s="86" t="n">
        <x:f>SUM(G92:HT92)</x:f>
        <x:v>0</x:v>
      </x:c>
      <x:c r="R92" s="100" t="n"/>
      <x:c r="S92" s="100" t="n"/>
      <x:c r="AE92" s="100" t="n"/>
      <x:c r="AF92" s="100" t="n"/>
      <x:c r="AG92" s="100" t="n"/>
      <x:c r="AH92" s="100" t="n"/>
      <x:c r="AI92" s="100" t="n"/>
      <x:c r="AJ92" s="100" t="n"/>
      <x:c r="AK92" s="100" t="n"/>
      <x:c r="AM92" s="100" t="n"/>
      <x:c r="AO92" s="100" t="n"/>
    </x:row>
    <x:row r="93" s="27" customFormat="1">
      <x:c r="A93" s="38" t="n"/>
      <x:c r="B93" s="37" t="n"/>
      <x:c r="C93" s="86" t="n">
        <x:f>E93*D$5</x:f>
        <x:v>0</x:v>
      </x:c>
      <x:c r="D93" s="66" t="n"/>
      <x:c r="E93" s="86" t="n">
        <x:f>SUM(G93:HT93)</x:f>
        <x:v>0</x:v>
      </x:c>
      <x:c r="R93" s="100" t="n"/>
      <x:c r="S93" s="100" t="n"/>
      <x:c r="AE93" s="100" t="n"/>
      <x:c r="AF93" s="100" t="n"/>
      <x:c r="AG93" s="100" t="n"/>
      <x:c r="AH93" s="100" t="n"/>
      <x:c r="AI93" s="100" t="n"/>
      <x:c r="AJ93" s="100" t="n"/>
      <x:c r="AK93" s="100" t="n"/>
      <x:c r="AM93" s="100" t="n"/>
      <x:c r="AO93" s="100" t="n"/>
    </x:row>
    <x:row r="94" s="27" customFormat="1">
      <x:c r="A94" s="38" t="n"/>
      <x:c r="B94" s="37" t="n"/>
      <x:c r="C94" s="36" t="n">
        <x:f>E94*D$5</x:f>
        <x:v>0</x:v>
      </x:c>
      <x:c r="D94" s="66" t="n"/>
      <x:c r="E94" s="86" t="n">
        <x:f>SUM(G94:HT94)</x:f>
        <x:v>0</x:v>
      </x:c>
      <x:c r="R94" s="100" t="n"/>
      <x:c r="S94" s="100" t="n"/>
      <x:c r="AE94" s="100" t="n"/>
      <x:c r="AF94" s="100" t="n"/>
      <x:c r="AG94" s="100" t="n"/>
      <x:c r="AH94" s="100" t="n"/>
      <x:c r="AI94" s="100" t="n"/>
      <x:c r="AJ94" s="100" t="n"/>
      <x:c r="AK94" s="100" t="n"/>
      <x:c r="AM94" s="100" t="n"/>
      <x:c r="AO94" s="100" t="n"/>
    </x:row>
    <x:row r="95" s="27" customFormat="1">
      <x:c r="A95" s="38" t="n"/>
      <x:c r="B95" s="37" t="n"/>
      <x:c r="C95" s="86" t="n">
        <x:f>E95*D$5</x:f>
        <x:v>0</x:v>
      </x:c>
      <x:c r="D95" s="66" t="n"/>
      <x:c r="E95" s="86" t="n">
        <x:f>SUM(G95:HT95)</x:f>
        <x:v>0</x:v>
      </x:c>
      <x:c r="R95" s="100" t="n"/>
      <x:c r="S95" s="100" t="n"/>
      <x:c r="AE95" s="100" t="n"/>
      <x:c r="AF95" s="100" t="n"/>
      <x:c r="AG95" s="100" t="n"/>
      <x:c r="AH95" s="100" t="n"/>
      <x:c r="AI95" s="100" t="n"/>
      <x:c r="AJ95" s="100" t="n"/>
      <x:c r="AK95" s="100" t="n"/>
      <x:c r="AM95" s="100" t="n"/>
      <x:c r="AO95" s="100" t="n"/>
    </x:row>
    <x:row r="96" s="27" customFormat="1">
      <x:c r="A96" s="38" t="n"/>
      <x:c r="B96" s="37" t="n"/>
      <x:c r="C96" s="36" t="n">
        <x:f>E96*D$5</x:f>
        <x:v>0</x:v>
      </x:c>
      <x:c r="D96" s="66" t="n"/>
      <x:c r="E96" s="36" t="n">
        <x:f>SUM(G96:HT96)</x:f>
        <x:v>0</x:v>
      </x:c>
      <x:c r="R96" s="100" t="n"/>
      <x:c r="S96" s="100" t="n"/>
      <x:c r="AE96" s="100" t="n"/>
      <x:c r="AF96" s="100" t="n"/>
      <x:c r="AG96" s="100" t="n"/>
      <x:c r="AH96" s="100" t="n"/>
      <x:c r="AI96" s="100" t="n"/>
      <x:c r="AJ96" s="100" t="n"/>
      <x:c r="AK96" s="100" t="n"/>
      <x:c r="AM96" s="100" t="n"/>
      <x:c r="AO96" s="100" t="n"/>
    </x:row>
    <x:row r="97" s="27" customFormat="1">
      <x:c r="A97" s="38" t="n"/>
      <x:c r="B97" s="37" t="n"/>
      <x:c r="C97" s="36" t="n">
        <x:f>E97*D$5</x:f>
        <x:v>0</x:v>
      </x:c>
      <x:c r="D97" s="66" t="n"/>
      <x:c r="E97" s="36" t="n">
        <x:f>SUM(G97:HT97)</x:f>
        <x:v>0</x:v>
      </x:c>
      <x:c r="R97" s="100" t="n"/>
      <x:c r="S97" s="100" t="n"/>
      <x:c r="AE97" s="100" t="n"/>
      <x:c r="AF97" s="100" t="n"/>
      <x:c r="AG97" s="100" t="n"/>
      <x:c r="AH97" s="100" t="n"/>
      <x:c r="AI97" s="100" t="n"/>
      <x:c r="AJ97" s="100" t="n"/>
      <x:c r="AK97" s="100" t="n"/>
      <x:c r="AM97" s="100" t="n"/>
      <x:c r="AO97" s="100" t="n"/>
    </x:row>
    <x:row r="98" s="27" customFormat="1">
      <x:c r="A98" s="38" t="n"/>
      <x:c r="B98" s="37" t="n"/>
      <x:c r="C98" s="36" t="n">
        <x:f>E98*D$5</x:f>
        <x:v>0</x:v>
      </x:c>
      <x:c r="D98" s="66" t="n"/>
      <x:c r="E98" s="36" t="n">
        <x:f>SUM(G98:HT98)</x:f>
        <x:v>0</x:v>
      </x:c>
      <x:c r="R98" s="100" t="n"/>
      <x:c r="S98" s="100" t="n"/>
      <x:c r="AE98" s="100" t="n"/>
      <x:c r="AF98" s="100" t="n"/>
      <x:c r="AG98" s="100" t="n"/>
      <x:c r="AH98" s="100" t="n"/>
      <x:c r="AI98" s="100" t="n"/>
      <x:c r="AJ98" s="100" t="n"/>
      <x:c r="AK98" s="100" t="n"/>
      <x:c r="AM98" s="100" t="n"/>
      <x:c r="AO98" s="100" t="n"/>
    </x:row>
    <x:row r="99" s="27" customFormat="1">
      <x:c r="A99" s="38" t="n"/>
      <x:c r="B99" s="37" t="n"/>
      <x:c r="C99" s="36" t="n">
        <x:f>E99*D$5</x:f>
        <x:v>0</x:v>
      </x:c>
      <x:c r="D99" s="523" t="n"/>
      <x:c r="E99" s="36" t="n">
        <x:f>SUM(G99:HT99)</x:f>
        <x:v>0</x:v>
      </x:c>
      <x:c r="R99" s="100" t="n"/>
      <x:c r="S99" s="100" t="n"/>
      <x:c r="AE99" s="100" t="n"/>
      <x:c r="AF99" s="100" t="n"/>
      <x:c r="AG99" s="100" t="n"/>
      <x:c r="AH99" s="100" t="n"/>
      <x:c r="AI99" s="100" t="n"/>
      <x:c r="AJ99" s="100" t="n"/>
      <x:c r="AK99" s="100" t="n"/>
      <x:c r="AM99" s="100" t="n"/>
      <x:c r="AO99" s="100" t="n"/>
    </x:row>
    <x:row r="100" s="27" customFormat="1">
      <x:c r="A100" s="38" t="n"/>
      <x:c r="B100" s="37" t="n"/>
      <x:c r="C100" s="36" t="n">
        <x:f>E100*D$5</x:f>
        <x:v>0</x:v>
      </x:c>
      <x:c r="D100" s="523" t="n"/>
      <x:c r="E100" s="36" t="n">
        <x:f>SUM(G100:HT100)</x:f>
        <x:v>0</x:v>
      </x:c>
      <x:c r="R100" s="100" t="n"/>
      <x:c r="S100" s="100" t="n"/>
      <x:c r="AE100" s="100" t="n"/>
      <x:c r="AF100" s="100" t="n"/>
      <x:c r="AG100" s="100" t="n"/>
      <x:c r="AH100" s="100" t="n"/>
      <x:c r="AI100" s="100" t="n"/>
      <x:c r="AJ100" s="100" t="n"/>
      <x:c r="AK100" s="100" t="n"/>
      <x:c r="AM100" s="100" t="n"/>
      <x:c r="AO100" s="100" t="n"/>
    </x:row>
    <x:row r="101" s="27" customFormat="1">
      <x:c r="A101" s="38" t="n"/>
      <x:c r="B101" s="37" t="n"/>
      <x:c r="C101" s="36" t="n">
        <x:f>E101*D$5</x:f>
        <x:v>0</x:v>
      </x:c>
      <x:c r="D101" s="20" t="n"/>
      <x:c r="E101" s="36" t="n">
        <x:f>SUM(G101:HT101)</x:f>
        <x:v>0</x:v>
      </x:c>
      <x:c r="R101" s="100" t="n"/>
      <x:c r="S101" s="100" t="n"/>
      <x:c r="AE101" s="100" t="n"/>
      <x:c r="AF101" s="100" t="n"/>
      <x:c r="AG101" s="100" t="n"/>
      <x:c r="AH101" s="100" t="n"/>
      <x:c r="AI101" s="100" t="n"/>
      <x:c r="AJ101" s="100" t="n"/>
      <x:c r="AK101" s="100" t="n"/>
      <x:c r="AM101" s="100" t="n"/>
      <x:c r="AO101" s="100" t="n"/>
    </x:row>
    <x:row r="102" s="27" customFormat="1">
      <x:c r="A102" s="38" t="n"/>
      <x:c r="B102" s="37" t="n"/>
      <x:c r="C102" s="36" t="n">
        <x:f>E102*D$5</x:f>
        <x:v>0</x:v>
      </x:c>
      <x:c r="D102" s="20" t="n"/>
      <x:c r="E102" s="36" t="n">
        <x:f>SUM(G102:HT102)</x:f>
        <x:v>0</x:v>
      </x:c>
      <x:c r="R102" s="100" t="n"/>
      <x:c r="S102" s="100" t="n"/>
      <x:c r="AE102" s="100" t="n"/>
      <x:c r="AF102" s="100" t="n"/>
      <x:c r="AG102" s="100" t="n"/>
      <x:c r="AH102" s="100" t="n"/>
      <x:c r="AI102" s="100" t="n"/>
      <x:c r="AJ102" s="100" t="n"/>
      <x:c r="AK102" s="100" t="n"/>
      <x:c r="AM102" s="100" t="n"/>
      <x:c r="AO102" s="100" t="n"/>
    </x:row>
    <x:row r="103" s="27" customFormat="1">
      <x:c r="A103" s="38" t="n"/>
      <x:c r="B103" s="37" t="n"/>
      <x:c r="C103" s="36" t="n">
        <x:f>E103*D$5</x:f>
        <x:v>0</x:v>
      </x:c>
      <x:c r="D103" s="20" t="n"/>
      <x:c r="E103" s="36" t="n">
        <x:f>SUM(G103:HT103)</x:f>
        <x:v>0</x:v>
      </x:c>
      <x:c r="R103" s="100" t="n"/>
      <x:c r="S103" s="100" t="n"/>
      <x:c r="AE103" s="100" t="n"/>
      <x:c r="AF103" s="100" t="n"/>
      <x:c r="AG103" s="100" t="n"/>
      <x:c r="AH103" s="100" t="n"/>
      <x:c r="AI103" s="100" t="n"/>
      <x:c r="AJ103" s="100" t="n"/>
      <x:c r="AK103" s="100" t="n"/>
      <x:c r="AM103" s="100" t="n"/>
      <x:c r="AO103" s="100" t="n"/>
    </x:row>
    <x:row r="104" s="27" customFormat="1">
      <x:c r="A104" s="38" t="n"/>
      <x:c r="B104" s="37" t="n"/>
      <x:c r="C104" s="36" t="n">
        <x:f>E104*D$5</x:f>
        <x:v>0</x:v>
      </x:c>
      <x:c r="D104" s="20" t="n"/>
      <x:c r="E104" s="36" t="n">
        <x:f>SUM(G104:HT104)</x:f>
        <x:v>0</x:v>
      </x:c>
      <x:c r="R104" s="100" t="n"/>
      <x:c r="S104" s="100" t="n"/>
      <x:c r="AE104" s="100" t="n"/>
      <x:c r="AF104" s="100" t="n"/>
      <x:c r="AG104" s="100" t="n"/>
      <x:c r="AH104" s="100" t="n"/>
      <x:c r="AI104" s="100" t="n"/>
      <x:c r="AJ104" s="100" t="n"/>
      <x:c r="AK104" s="100" t="n"/>
      <x:c r="AM104" s="100" t="n"/>
      <x:c r="AO104" s="100" t="n"/>
    </x:row>
    <x:row r="105" s="27" customFormat="1">
      <x:c r="A105" s="38" t="n"/>
      <x:c r="B105" s="37" t="n"/>
      <x:c r="C105" s="36" t="n">
        <x:f>E105*D$5</x:f>
        <x:v>0</x:v>
      </x:c>
      <x:c r="D105" s="20" t="n"/>
      <x:c r="E105" s="36" t="n">
        <x:f>SUM(G105:HT105)</x:f>
        <x:v>0</x:v>
      </x:c>
      <x:c r="R105" s="100" t="n"/>
      <x:c r="S105" s="100" t="n"/>
      <x:c r="AE105" s="100" t="n"/>
      <x:c r="AF105" s="100" t="n"/>
      <x:c r="AG105" s="100" t="n"/>
      <x:c r="AH105" s="100" t="n"/>
      <x:c r="AI105" s="100" t="n"/>
      <x:c r="AJ105" s="100" t="n"/>
      <x:c r="AK105" s="100" t="n"/>
      <x:c r="AM105" s="100" t="n"/>
      <x:c r="AO105" s="100" t="n"/>
    </x:row>
    <x:row r="106" s="27" customFormat="1">
      <x:c r="A106" s="38" t="n"/>
      <x:c r="B106" s="37" t="n"/>
      <x:c r="C106" s="36" t="n">
        <x:f>E106*D$5</x:f>
        <x:v>0</x:v>
      </x:c>
      <x:c r="D106" s="20" t="n"/>
      <x:c r="E106" s="36" t="n">
        <x:f>SUM(G106:HT106)</x:f>
        <x:v>0</x:v>
      </x:c>
      <x:c r="R106" s="100" t="n"/>
      <x:c r="S106" s="100" t="n"/>
      <x:c r="AE106" s="100" t="n"/>
      <x:c r="AF106" s="100" t="n"/>
      <x:c r="AG106" s="100" t="n"/>
      <x:c r="AH106" s="100" t="n"/>
      <x:c r="AI106" s="100" t="n"/>
      <x:c r="AJ106" s="100" t="n"/>
      <x:c r="AK106" s="100" t="n"/>
      <x:c r="AM106" s="100" t="n"/>
      <x:c r="AO106" s="100" t="n"/>
    </x:row>
    <x:row r="107" s="27" customFormat="1">
      <x:c r="A107" s="38" t="n"/>
      <x:c r="B107" s="37" t="n"/>
      <x:c r="C107" s="36" t="n">
        <x:f>E107*D$5</x:f>
        <x:v>0</x:v>
      </x:c>
      <x:c r="D107" s="20" t="n"/>
      <x:c r="E107" s="36" t="n">
        <x:f>SUM(G107:HT107)</x:f>
        <x:v>0</x:v>
      </x:c>
      <x:c r="R107" s="100" t="n"/>
      <x:c r="S107" s="100" t="n"/>
      <x:c r="AE107" s="100" t="n"/>
      <x:c r="AF107" s="100" t="n"/>
      <x:c r="AG107" s="100" t="n"/>
      <x:c r="AH107" s="100" t="n"/>
      <x:c r="AI107" s="100" t="n"/>
      <x:c r="AJ107" s="100" t="n"/>
      <x:c r="AK107" s="100" t="n"/>
      <x:c r="AM107" s="100" t="n"/>
      <x:c r="AO107" s="100" t="n"/>
    </x:row>
    <x:row r="108" s="27" customFormat="1">
      <x:c r="A108" s="38" t="n"/>
      <x:c r="B108" s="37" t="n"/>
      <x:c r="C108" s="36" t="n">
        <x:f>E108*D$5</x:f>
        <x:v>0</x:v>
      </x:c>
      <x:c r="D108" s="20" t="n"/>
      <x:c r="E108" s="36" t="n">
        <x:f>SUM(G108:HT108)</x:f>
        <x:v>0</x:v>
      </x:c>
      <x:c r="R108" s="100" t="n"/>
      <x:c r="S108" s="100" t="n"/>
      <x:c r="AE108" s="100" t="n"/>
      <x:c r="AF108" s="100" t="n"/>
      <x:c r="AG108" s="100" t="n"/>
      <x:c r="AH108" s="100" t="n"/>
      <x:c r="AI108" s="100" t="n"/>
      <x:c r="AJ108" s="100" t="n"/>
      <x:c r="AK108" s="100" t="n"/>
      <x:c r="AM108" s="100" t="n"/>
      <x:c r="AO108" s="100" t="n"/>
    </x:row>
    <x:row r="109" s="27" customFormat="1">
      <x:c r="A109" s="38" t="n"/>
      <x:c r="B109" s="37" t="n"/>
      <x:c r="C109" s="36" t="n">
        <x:f>E109*D$5</x:f>
        <x:v>0</x:v>
      </x:c>
      <x:c r="D109" s="20" t="n"/>
      <x:c r="E109" s="36" t="n">
        <x:f>SUM(G109:HT109)</x:f>
        <x:v>0</x:v>
      </x:c>
      <x:c r="R109" s="100" t="n"/>
      <x:c r="S109" s="100" t="n"/>
      <x:c r="AE109" s="100" t="n"/>
      <x:c r="AF109" s="100" t="n"/>
      <x:c r="AG109" s="100" t="n"/>
      <x:c r="AH109" s="100" t="n"/>
      <x:c r="AI109" s="100" t="n"/>
      <x:c r="AJ109" s="100" t="n"/>
      <x:c r="AK109" s="100" t="n"/>
      <x:c r="AM109" s="100" t="n"/>
      <x:c r="AO109" s="100" t="n"/>
    </x:row>
    <x:row r="110" s="27" customFormat="1">
      <x:c r="A110" s="38" t="n"/>
      <x:c r="B110" s="37" t="n"/>
      <x:c r="C110" s="36" t="n">
        <x:f>E110*D$5</x:f>
        <x:v>0</x:v>
      </x:c>
      <x:c r="D110" s="20" t="n"/>
      <x:c r="E110" s="36" t="n">
        <x:f>SUM(G110:HT110)</x:f>
        <x:v>0</x:v>
      </x:c>
      <x:c r="R110" s="100" t="n"/>
      <x:c r="S110" s="100" t="n"/>
      <x:c r="AE110" s="100" t="n"/>
      <x:c r="AF110" s="100" t="n"/>
      <x:c r="AG110" s="100" t="n"/>
      <x:c r="AH110" s="100" t="n"/>
      <x:c r="AI110" s="100" t="n"/>
      <x:c r="AJ110" s="100" t="n"/>
      <x:c r="AK110" s="100" t="n"/>
      <x:c r="AM110" s="100" t="n"/>
      <x:c r="AO110" s="100" t="n"/>
    </x:row>
    <x:row r="111" s="27" customFormat="1">
      <x:c r="A111" s="38" t="n"/>
      <x:c r="B111" s="37" t="n"/>
      <x:c r="C111" s="36" t="n">
        <x:f>E111*D$5</x:f>
        <x:v>0</x:v>
      </x:c>
      <x:c r="D111" s="20" t="n"/>
      <x:c r="E111" s="36" t="n">
        <x:f>SUM(G111:HT111)</x:f>
        <x:v>0</x:v>
      </x:c>
      <x:c r="R111" s="100" t="n"/>
      <x:c r="S111" s="100" t="n"/>
      <x:c r="AE111" s="100" t="n"/>
      <x:c r="AF111" s="100" t="n"/>
      <x:c r="AG111" s="100" t="n"/>
      <x:c r="AH111" s="100" t="n"/>
      <x:c r="AI111" s="100" t="n"/>
      <x:c r="AJ111" s="100" t="n"/>
      <x:c r="AK111" s="100" t="n"/>
      <x:c r="AM111" s="100" t="n"/>
      <x:c r="AO111" s="100" t="n"/>
    </x:row>
    <x:row r="112" s="27" customFormat="1">
      <x:c r="A112" s="38" t="n"/>
      <x:c r="B112" s="37" t="n"/>
      <x:c r="C112" s="36" t="n">
        <x:f>E112*D$5</x:f>
        <x:v>0</x:v>
      </x:c>
      <x:c r="D112" s="20" t="n"/>
      <x:c r="E112" s="36" t="n">
        <x:f>SUM(G112:HT112)</x:f>
        <x:v>0</x:v>
      </x:c>
      <x:c r="R112" s="100" t="n"/>
      <x:c r="S112" s="100" t="n"/>
      <x:c r="AE112" s="100" t="n"/>
      <x:c r="AF112" s="100" t="n"/>
      <x:c r="AG112" s="100" t="n"/>
      <x:c r="AH112" s="100" t="n"/>
      <x:c r="AI112" s="100" t="n"/>
      <x:c r="AJ112" s="100" t="n"/>
      <x:c r="AK112" s="100" t="n"/>
      <x:c r="AM112" s="100" t="n"/>
      <x:c r="AO112" s="100" t="n"/>
    </x:row>
    <x:row r="113" s="27" customFormat="1">
      <x:c r="A113" s="38" t="n"/>
      <x:c r="B113" s="37" t="n"/>
      <x:c r="C113" s="36" t="n">
        <x:f>E113*D$5</x:f>
        <x:v>0</x:v>
      </x:c>
      <x:c r="D113" s="20" t="n"/>
      <x:c r="E113" s="36" t="n">
        <x:f>SUM(G113:HT113)</x:f>
        <x:v>0</x:v>
      </x:c>
      <x:c r="R113" s="100" t="n"/>
      <x:c r="S113" s="100" t="n"/>
      <x:c r="AE113" s="100" t="n"/>
      <x:c r="AF113" s="100" t="n"/>
      <x:c r="AG113" s="100" t="n"/>
      <x:c r="AH113" s="100" t="n"/>
      <x:c r="AI113" s="100" t="n"/>
      <x:c r="AJ113" s="100" t="n"/>
      <x:c r="AK113" s="100" t="n"/>
      <x:c r="AM113" s="100" t="n"/>
      <x:c r="AO113" s="100" t="n"/>
    </x:row>
    <x:row r="114" s="27" customFormat="1">
      <x:c r="A114" s="38" t="n"/>
      <x:c r="B114" s="37" t="n"/>
      <x:c r="C114" s="36" t="n">
        <x:f>E114*D$5</x:f>
        <x:v>0</x:v>
      </x:c>
      <x:c r="D114" s="20" t="n"/>
      <x:c r="E114" s="36" t="n">
        <x:f>SUM(G114:HT114)</x:f>
        <x:v>0</x:v>
      </x:c>
      <x:c r="R114" s="100" t="n"/>
      <x:c r="S114" s="100" t="n"/>
      <x:c r="AE114" s="100" t="n"/>
      <x:c r="AF114" s="100" t="n"/>
      <x:c r="AG114" s="100" t="n"/>
      <x:c r="AH114" s="100" t="n"/>
      <x:c r="AI114" s="100" t="n"/>
      <x:c r="AJ114" s="100" t="n"/>
      <x:c r="AK114" s="100" t="n"/>
      <x:c r="AM114" s="100" t="n"/>
      <x:c r="AO114" s="100" t="n"/>
    </x:row>
    <x:row r="115" s="27" customFormat="1">
      <x:c r="A115" s="38" t="n"/>
      <x:c r="B115" s="37" t="n"/>
      <x:c r="C115" s="36" t="n">
        <x:f>E115*D$5</x:f>
        <x:v>0</x:v>
      </x:c>
      <x:c r="D115" s="20" t="n"/>
      <x:c r="E115" s="36" t="n">
        <x:f>SUM(G115:HT115)</x:f>
        <x:v>0</x:v>
      </x:c>
      <x:c r="R115" s="100" t="n"/>
      <x:c r="S115" s="100" t="n"/>
      <x:c r="AE115" s="100" t="n"/>
      <x:c r="AF115" s="100" t="n"/>
      <x:c r="AG115" s="100" t="n"/>
      <x:c r="AH115" s="100" t="n"/>
      <x:c r="AI115" s="100" t="n"/>
      <x:c r="AJ115" s="100" t="n"/>
      <x:c r="AK115" s="100" t="n"/>
      <x:c r="AM115" s="100" t="n"/>
      <x:c r="AO115" s="100" t="n"/>
    </x:row>
    <x:row r="116" s="27" customFormat="1">
      <x:c r="A116" s="38" t="n"/>
      <x:c r="B116" s="37" t="n"/>
      <x:c r="C116" s="36" t="n">
        <x:f>E116*D$5</x:f>
        <x:v>0</x:v>
      </x:c>
      <x:c r="D116" s="20" t="n"/>
      <x:c r="E116" s="36" t="n">
        <x:f>SUM(G116:HT116)</x:f>
        <x:v>0</x:v>
      </x:c>
      <x:c r="R116" s="100" t="n"/>
      <x:c r="S116" s="100" t="n"/>
      <x:c r="AE116" s="100" t="n"/>
      <x:c r="AF116" s="100" t="n"/>
      <x:c r="AG116" s="100" t="n"/>
      <x:c r="AH116" s="100" t="n"/>
      <x:c r="AI116" s="100" t="n"/>
      <x:c r="AJ116" s="100" t="n"/>
      <x:c r="AK116" s="100" t="n"/>
      <x:c r="AM116" s="100" t="n"/>
      <x:c r="AO116" s="100" t="n"/>
    </x:row>
    <x:row r="117" s="27" customFormat="1">
      <x:c r="A117" s="38" t="n"/>
      <x:c r="B117" s="37" t="n"/>
      <x:c r="C117" s="36" t="n">
        <x:f>E117*D$5</x:f>
        <x:v>0</x:v>
      </x:c>
      <x:c r="D117" s="20" t="n"/>
      <x:c r="E117" s="36" t="n">
        <x:f>SUM(G117:HT117)</x:f>
        <x:v>0</x:v>
      </x:c>
      <x:c r="R117" s="100" t="n"/>
      <x:c r="S117" s="100" t="n"/>
      <x:c r="AE117" s="100" t="n"/>
      <x:c r="AF117" s="100" t="n"/>
      <x:c r="AG117" s="100" t="n"/>
      <x:c r="AH117" s="100" t="n"/>
      <x:c r="AI117" s="100" t="n"/>
      <x:c r="AJ117" s="100" t="n"/>
      <x:c r="AK117" s="100" t="n"/>
      <x:c r="AM117" s="100" t="n"/>
      <x:c r="AO117" s="100" t="n"/>
    </x:row>
    <x:row r="118" s="27" customFormat="1">
      <x:c r="A118" s="38" t="n"/>
      <x:c r="B118" s="37" t="n"/>
      <x:c r="C118" s="36" t="n">
        <x:f>E118*D$5</x:f>
        <x:v>0</x:v>
      </x:c>
      <x:c r="D118" s="20" t="n"/>
      <x:c r="E118" s="36" t="n">
        <x:f>SUM(G118:HT118)</x:f>
        <x:v>0</x:v>
      </x:c>
      <x:c r="R118" s="100" t="n"/>
      <x:c r="S118" s="100" t="n"/>
      <x:c r="AE118" s="100" t="n"/>
      <x:c r="AF118" s="100" t="n"/>
      <x:c r="AG118" s="100" t="n"/>
      <x:c r="AH118" s="100" t="n"/>
      <x:c r="AI118" s="100" t="n"/>
      <x:c r="AJ118" s="100" t="n"/>
      <x:c r="AK118" s="100" t="n"/>
      <x:c r="AM118" s="100" t="n"/>
      <x:c r="AO118" s="100" t="n"/>
    </x:row>
    <x:row r="119" s="27" customFormat="1">
      <x:c r="A119" s="38" t="n"/>
      <x:c r="B119" s="37" t="n"/>
      <x:c r="C119" s="36" t="n">
        <x:f>E119*D$5</x:f>
        <x:v>0</x:v>
      </x:c>
      <x:c r="D119" s="20" t="n"/>
      <x:c r="E119" s="36" t="n">
        <x:f>SUM(G119:HT119)</x:f>
        <x:v>0</x:v>
      </x:c>
      <x:c r="R119" s="100" t="n"/>
      <x:c r="S119" s="100" t="n"/>
      <x:c r="AE119" s="100" t="n"/>
      <x:c r="AF119" s="100" t="n"/>
      <x:c r="AG119" s="100" t="n"/>
      <x:c r="AH119" s="100" t="n"/>
      <x:c r="AI119" s="100" t="n"/>
      <x:c r="AJ119" s="100" t="n"/>
      <x:c r="AK119" s="100" t="n"/>
      <x:c r="AM119" s="100" t="n"/>
      <x:c r="AO119" s="100" t="n"/>
    </x:row>
    <x:row r="120" s="27" customFormat="1">
      <x:c r="A120" s="38" t="n"/>
      <x:c r="B120" s="37" t="n"/>
      <x:c r="C120" s="36" t="n">
        <x:f>E120*D$5</x:f>
        <x:v>0</x:v>
      </x:c>
      <x:c r="D120" s="20" t="n"/>
      <x:c r="E120" s="36" t="n">
        <x:f>SUM(G120:HT120)</x:f>
        <x:v>0</x:v>
      </x:c>
      <x:c r="R120" s="100" t="n"/>
      <x:c r="S120" s="100" t="n"/>
      <x:c r="AE120" s="100" t="n"/>
      <x:c r="AF120" s="100" t="n"/>
      <x:c r="AG120" s="100" t="n"/>
      <x:c r="AH120" s="100" t="n"/>
      <x:c r="AI120" s="100" t="n"/>
      <x:c r="AJ120" s="100" t="n"/>
      <x:c r="AK120" s="100" t="n"/>
      <x:c r="AM120" s="100" t="n"/>
      <x:c r="AO120" s="100" t="n"/>
    </x:row>
    <x:row r="121" s="27" customFormat="1">
      <x:c r="A121" s="38" t="n"/>
      <x:c r="B121" s="37" t="n"/>
      <x:c r="C121" s="36" t="n">
        <x:f>E121*D$5</x:f>
        <x:v>0</x:v>
      </x:c>
      <x:c r="D121" s="20" t="n"/>
      <x:c r="E121" s="36" t="n">
        <x:f>SUM(G121:HT121)</x:f>
        <x:v>0</x:v>
      </x:c>
      <x:c r="R121" s="100" t="n"/>
      <x:c r="S121" s="100" t="n"/>
      <x:c r="AE121" s="100" t="n"/>
      <x:c r="AF121" s="100" t="n"/>
      <x:c r="AG121" s="100" t="n"/>
      <x:c r="AH121" s="100" t="n"/>
      <x:c r="AI121" s="100" t="n"/>
      <x:c r="AJ121" s="100" t="n"/>
      <x:c r="AK121" s="100" t="n"/>
      <x:c r="AM121" s="100" t="n"/>
      <x:c r="AO121" s="100" t="n"/>
    </x:row>
    <x:row r="122" s="27" customFormat="1">
      <x:c r="A122" s="38" t="n"/>
      <x:c r="B122" s="37" t="n"/>
      <x:c r="C122" s="36" t="n">
        <x:f>E122*D$5</x:f>
        <x:v>0</x:v>
      </x:c>
      <x:c r="D122" s="20" t="n"/>
      <x:c r="E122" s="36" t="n">
        <x:f>SUM(G122:HT122)</x:f>
        <x:v>0</x:v>
      </x:c>
      <x:c r="R122" s="100" t="n"/>
      <x:c r="S122" s="100" t="n"/>
      <x:c r="AE122" s="100" t="n"/>
      <x:c r="AF122" s="100" t="n"/>
      <x:c r="AG122" s="100" t="n"/>
      <x:c r="AH122" s="100" t="n"/>
      <x:c r="AI122" s="100" t="n"/>
      <x:c r="AJ122" s="100" t="n"/>
      <x:c r="AK122" s="100" t="n"/>
      <x:c r="AM122" s="100" t="n"/>
      <x:c r="AO122" s="100" t="n"/>
    </x:row>
    <x:row r="123" s="27" customFormat="1">
      <x:c r="A123" s="38" t="n"/>
      <x:c r="B123" s="37" t="n"/>
      <x:c r="C123" s="36" t="n">
        <x:f>E123*D$5</x:f>
        <x:v>0</x:v>
      </x:c>
      <x:c r="D123" s="20" t="n"/>
      <x:c r="E123" s="36" t="n">
        <x:f>SUM(G123:HT123)</x:f>
        <x:v>0</x:v>
      </x:c>
      <x:c r="R123" s="100" t="n"/>
      <x:c r="S123" s="100" t="n"/>
      <x:c r="AE123" s="100" t="n"/>
      <x:c r="AF123" s="100" t="n"/>
      <x:c r="AG123" s="100" t="n"/>
      <x:c r="AH123" s="100" t="n"/>
      <x:c r="AI123" s="100" t="n"/>
      <x:c r="AJ123" s="100" t="n"/>
      <x:c r="AK123" s="100" t="n"/>
      <x:c r="AM123" s="100" t="n"/>
      <x:c r="AO123" s="100" t="n"/>
    </x:row>
    <x:row r="124" s="27" customFormat="1">
      <x:c r="A124" s="38" t="n"/>
      <x:c r="B124" s="37" t="n"/>
      <x:c r="C124" s="36" t="n">
        <x:f>E124*D$5</x:f>
        <x:v>0</x:v>
      </x:c>
      <x:c r="D124" s="20" t="n"/>
      <x:c r="E124" s="36" t="n">
        <x:f>SUM(G124:HT124)</x:f>
        <x:v>0</x:v>
      </x:c>
      <x:c r="R124" s="100" t="n"/>
      <x:c r="S124" s="100" t="n"/>
      <x:c r="AE124" s="100" t="n"/>
      <x:c r="AF124" s="100" t="n"/>
      <x:c r="AG124" s="100" t="n"/>
      <x:c r="AH124" s="100" t="n"/>
      <x:c r="AI124" s="100" t="n"/>
      <x:c r="AJ124" s="100" t="n"/>
      <x:c r="AK124" s="100" t="n"/>
      <x:c r="AM124" s="100" t="n"/>
      <x:c r="AO124" s="100" t="n"/>
    </x:row>
    <x:row r="125" s="27" customFormat="1">
      <x:c r="A125" s="38" t="n"/>
      <x:c r="B125" s="37" t="n"/>
      <x:c r="C125" s="36" t="n">
        <x:f>E125*D$5</x:f>
        <x:v>0</x:v>
      </x:c>
      <x:c r="D125" s="20" t="n"/>
      <x:c r="E125" s="36" t="n">
        <x:f>SUM(G125:HT125)</x:f>
        <x:v>0</x:v>
      </x:c>
      <x:c r="R125" s="100" t="n"/>
      <x:c r="S125" s="100" t="n"/>
      <x:c r="AE125" s="100" t="n"/>
      <x:c r="AF125" s="100" t="n"/>
      <x:c r="AG125" s="100" t="n"/>
      <x:c r="AH125" s="100" t="n"/>
      <x:c r="AI125" s="100" t="n"/>
      <x:c r="AJ125" s="100" t="n"/>
      <x:c r="AK125" s="100" t="n"/>
      <x:c r="AM125" s="100" t="n"/>
      <x:c r="AO125" s="100" t="n"/>
    </x:row>
    <x:row r="126" s="27" customFormat="1">
      <x:c r="A126" s="38" t="n"/>
      <x:c r="B126" s="37" t="n"/>
      <x:c r="C126" s="36" t="n">
        <x:f>E126*D$5</x:f>
        <x:v>0</x:v>
      </x:c>
      <x:c r="D126" s="20" t="n"/>
      <x:c r="E126" s="36" t="n">
        <x:f>SUM(G126:HT126)</x:f>
        <x:v>0</x:v>
      </x:c>
      <x:c r="R126" s="100" t="n"/>
      <x:c r="S126" s="100" t="n"/>
      <x:c r="AE126" s="100" t="n"/>
      <x:c r="AF126" s="100" t="n"/>
      <x:c r="AG126" s="100" t="n"/>
      <x:c r="AH126" s="100" t="n"/>
      <x:c r="AI126" s="100" t="n"/>
      <x:c r="AJ126" s="100" t="n"/>
      <x:c r="AK126" s="100" t="n"/>
      <x:c r="AM126" s="100" t="n"/>
      <x:c r="AO126" s="100" t="n"/>
    </x:row>
    <x:row r="127" s="27" customFormat="1">
      <x:c r="A127" s="38" t="n"/>
      <x:c r="B127" s="37" t="n"/>
      <x:c r="C127" s="36" t="n">
        <x:f>E127*D$5</x:f>
        <x:v>0</x:v>
      </x:c>
      <x:c r="D127" s="20" t="n"/>
      <x:c r="E127" s="36" t="n">
        <x:f>SUM(G127:HT127)</x:f>
        <x:v>0</x:v>
      </x:c>
      <x:c r="R127" s="100" t="n"/>
      <x:c r="S127" s="100" t="n"/>
      <x:c r="AE127" s="100" t="n"/>
      <x:c r="AF127" s="100" t="n"/>
      <x:c r="AG127" s="100" t="n"/>
      <x:c r="AH127" s="100" t="n"/>
      <x:c r="AI127" s="100" t="n"/>
      <x:c r="AJ127" s="100" t="n"/>
      <x:c r="AK127" s="100" t="n"/>
      <x:c r="AM127" s="100" t="n"/>
      <x:c r="AO127" s="100" t="n"/>
    </x:row>
    <x:row r="128" s="27" customFormat="1">
      <x:c r="A128" s="38" t="n"/>
      <x:c r="B128" s="37" t="n"/>
      <x:c r="C128" s="36" t="n">
        <x:f>E128*D$5</x:f>
        <x:v>0</x:v>
      </x:c>
      <x:c r="D128" s="20" t="n"/>
      <x:c r="E128" s="36" t="n">
        <x:f>SUM(G128:HT128)</x:f>
        <x:v>0</x:v>
      </x:c>
      <x:c r="R128" s="100" t="n"/>
      <x:c r="S128" s="100" t="n"/>
      <x:c r="AE128" s="100" t="n"/>
      <x:c r="AF128" s="100" t="n"/>
      <x:c r="AG128" s="100" t="n"/>
      <x:c r="AH128" s="100" t="n"/>
      <x:c r="AI128" s="100" t="n"/>
      <x:c r="AJ128" s="100" t="n"/>
      <x:c r="AK128" s="100" t="n"/>
      <x:c r="AM128" s="100" t="n"/>
      <x:c r="AO128" s="100" t="n"/>
    </x:row>
    <x:row r="129" s="27" customFormat="1">
      <x:c r="A129" s="38" t="n"/>
      <x:c r="B129" s="37" t="n"/>
      <x:c r="C129" s="36" t="n">
        <x:f>E129*D$5</x:f>
        <x:v>0</x:v>
      </x:c>
      <x:c r="D129" s="20" t="n"/>
      <x:c r="E129" s="36" t="n">
        <x:f>SUM(G129:HT129)</x:f>
        <x:v>0</x:v>
      </x:c>
      <x:c r="R129" s="100" t="n"/>
      <x:c r="S129" s="100" t="n"/>
      <x:c r="AE129" s="100" t="n"/>
      <x:c r="AF129" s="100" t="n"/>
      <x:c r="AG129" s="100" t="n"/>
      <x:c r="AH129" s="100" t="n"/>
      <x:c r="AI129" s="100" t="n"/>
      <x:c r="AJ129" s="100" t="n"/>
      <x:c r="AK129" s="100" t="n"/>
      <x:c r="AM129" s="100" t="n"/>
      <x:c r="AO129" s="100" t="n"/>
    </x:row>
    <x:row r="130" s="27" customFormat="1">
      <x:c r="A130" s="38" t="n"/>
      <x:c r="B130" s="37" t="n"/>
      <x:c r="C130" s="36" t="n">
        <x:f>E130*D$5</x:f>
        <x:v>0</x:v>
      </x:c>
      <x:c r="D130" s="20" t="n"/>
      <x:c r="E130" s="36" t="n">
        <x:f>SUM(G130:HT130)</x:f>
        <x:v>0</x:v>
      </x:c>
      <x:c r="R130" s="100" t="n"/>
      <x:c r="S130" s="100" t="n"/>
      <x:c r="AE130" s="100" t="n"/>
      <x:c r="AF130" s="100" t="n"/>
      <x:c r="AG130" s="100" t="n"/>
      <x:c r="AH130" s="100" t="n"/>
      <x:c r="AI130" s="100" t="n"/>
      <x:c r="AJ130" s="100" t="n"/>
      <x:c r="AK130" s="100" t="n"/>
      <x:c r="AM130" s="100" t="n"/>
      <x:c r="AO130" s="100" t="n"/>
    </x:row>
    <x:row r="131" s="27" customFormat="1">
      <x:c r="A131" s="38" t="n"/>
      <x:c r="B131" s="37" t="n"/>
      <x:c r="C131" s="36" t="n">
        <x:f>E131*D$5</x:f>
        <x:v>0</x:v>
      </x:c>
      <x:c r="D131" s="20" t="n"/>
      <x:c r="E131" s="36" t="n">
        <x:f>SUM(G131:HT131)</x:f>
        <x:v>0</x:v>
      </x:c>
      <x:c r="R131" s="100" t="n"/>
      <x:c r="S131" s="100" t="n"/>
      <x:c r="AE131" s="100" t="n"/>
      <x:c r="AF131" s="100" t="n"/>
      <x:c r="AG131" s="100" t="n"/>
      <x:c r="AH131" s="100" t="n"/>
      <x:c r="AI131" s="100" t="n"/>
      <x:c r="AJ131" s="100" t="n"/>
      <x:c r="AK131" s="100" t="n"/>
      <x:c r="AM131" s="100" t="n"/>
      <x:c r="AO131" s="100" t="n"/>
    </x:row>
    <x:row r="132" s="27" customFormat="1">
      <x:c r="A132" s="38" t="n"/>
      <x:c r="B132" s="37" t="n"/>
      <x:c r="C132" s="36" t="n">
        <x:f>E132*D$5</x:f>
        <x:v>0</x:v>
      </x:c>
      <x:c r="D132" s="20" t="n"/>
      <x:c r="E132" s="36" t="n">
        <x:f>SUM(G132:HT132)</x:f>
        <x:v>0</x:v>
      </x:c>
      <x:c r="R132" s="100" t="n"/>
      <x:c r="S132" s="100" t="n"/>
      <x:c r="AE132" s="100" t="n"/>
      <x:c r="AF132" s="100" t="n"/>
      <x:c r="AG132" s="100" t="n"/>
      <x:c r="AH132" s="100" t="n"/>
      <x:c r="AI132" s="100" t="n"/>
      <x:c r="AJ132" s="100" t="n"/>
      <x:c r="AK132" s="100" t="n"/>
      <x:c r="AM132" s="100" t="n"/>
      <x:c r="AO132" s="100" t="n"/>
    </x:row>
    <x:row r="133" s="27" customFormat="1">
      <x:c r="A133" s="38" t="n"/>
      <x:c r="B133" s="37" t="n"/>
      <x:c r="C133" s="36" t="n">
        <x:f>E133*D$5</x:f>
        <x:v>0</x:v>
      </x:c>
      <x:c r="D133" s="20" t="n"/>
      <x:c r="E133" s="36" t="n">
        <x:f>SUM(G133:HT133)</x:f>
        <x:v>0</x:v>
      </x:c>
      <x:c r="R133" s="100" t="n"/>
      <x:c r="S133" s="100" t="n"/>
      <x:c r="AE133" s="100" t="n"/>
      <x:c r="AF133" s="100" t="n"/>
      <x:c r="AG133" s="100" t="n"/>
      <x:c r="AH133" s="100" t="n"/>
      <x:c r="AI133" s="100" t="n"/>
      <x:c r="AJ133" s="100" t="n"/>
      <x:c r="AK133" s="100" t="n"/>
      <x:c r="AM133" s="100" t="n"/>
      <x:c r="AO133" s="100" t="n"/>
    </x:row>
    <x:row r="134" s="27" customFormat="1">
      <x:c r="A134" s="38" t="n"/>
      <x:c r="B134" s="37" t="n"/>
      <x:c r="C134" s="36" t="n">
        <x:f>E134*D$5</x:f>
        <x:v>0</x:v>
      </x:c>
      <x:c r="D134" s="20" t="n"/>
      <x:c r="E134" s="36" t="n">
        <x:f>SUM(G134:HT134)</x:f>
        <x:v>0</x:v>
      </x:c>
      <x:c r="R134" s="100" t="n"/>
      <x:c r="S134" s="100" t="n"/>
      <x:c r="AE134" s="100" t="n"/>
      <x:c r="AF134" s="100" t="n"/>
      <x:c r="AG134" s="100" t="n"/>
      <x:c r="AH134" s="100" t="n"/>
      <x:c r="AI134" s="100" t="n"/>
      <x:c r="AJ134" s="100" t="n"/>
      <x:c r="AK134" s="100" t="n"/>
      <x:c r="AM134" s="100" t="n"/>
      <x:c r="AO134" s="100" t="n"/>
    </x:row>
    <x:row r="135" s="27" customFormat="1">
      <x:c r="A135" s="38" t="n"/>
      <x:c r="B135" s="37" t="n"/>
      <x:c r="C135" s="36" t="n">
        <x:f>E135*D$5</x:f>
        <x:v>0</x:v>
      </x:c>
      <x:c r="D135" s="20" t="n"/>
      <x:c r="E135" s="36" t="n">
        <x:f>SUM(G135:HT135)</x:f>
        <x:v>0</x:v>
      </x:c>
      <x:c r="R135" s="100" t="n"/>
      <x:c r="S135" s="100" t="n"/>
      <x:c r="AE135" s="100" t="n"/>
      <x:c r="AF135" s="100" t="n"/>
      <x:c r="AG135" s="100" t="n"/>
      <x:c r="AH135" s="100" t="n"/>
      <x:c r="AI135" s="100" t="n"/>
      <x:c r="AJ135" s="100" t="n"/>
      <x:c r="AK135" s="100" t="n"/>
      <x:c r="AM135" s="100" t="n"/>
      <x:c r="AO135" s="100" t="n"/>
    </x:row>
    <x:row r="136" s="27" customFormat="1">
      <x:c r="A136" s="38" t="n"/>
      <x:c r="B136" s="37" t="n"/>
      <x:c r="C136" s="36" t="n">
        <x:f>E136*D$5</x:f>
        <x:v>0</x:v>
      </x:c>
      <x:c r="D136" s="20" t="n"/>
      <x:c r="E136" s="36" t="n">
        <x:f>SUM(G136:HT136)</x:f>
        <x:v>0</x:v>
      </x:c>
      <x:c r="R136" s="100" t="n"/>
      <x:c r="S136" s="100" t="n"/>
      <x:c r="AE136" s="100" t="n"/>
      <x:c r="AF136" s="100" t="n"/>
      <x:c r="AG136" s="100" t="n"/>
      <x:c r="AH136" s="100" t="n"/>
      <x:c r="AI136" s="100" t="n"/>
      <x:c r="AJ136" s="100" t="n"/>
      <x:c r="AK136" s="100" t="n"/>
      <x:c r="AM136" s="100" t="n"/>
      <x:c r="AO136" s="100" t="n"/>
    </x:row>
    <x:row r="137" s="27" customFormat="1">
      <x:c r="A137" s="38" t="n"/>
      <x:c r="B137" s="37" t="n"/>
      <x:c r="C137" s="36" t="n">
        <x:f>E137*D$5</x:f>
        <x:v>0</x:v>
      </x:c>
      <x:c r="D137" s="20" t="n"/>
      <x:c r="E137" s="36" t="n">
        <x:f>SUM(G137:HT137)</x:f>
        <x:v>0</x:v>
      </x:c>
      <x:c r="R137" s="100" t="n"/>
      <x:c r="S137" s="100" t="n"/>
      <x:c r="AE137" s="100" t="n"/>
      <x:c r="AF137" s="100" t="n"/>
      <x:c r="AG137" s="100" t="n"/>
      <x:c r="AH137" s="100" t="n"/>
      <x:c r="AI137" s="100" t="n"/>
      <x:c r="AJ137" s="100" t="n"/>
      <x:c r="AK137" s="100" t="n"/>
      <x:c r="AM137" s="100" t="n"/>
      <x:c r="AO137" s="100" t="n"/>
    </x:row>
    <x:row r="138" s="27" customFormat="1">
      <x:c r="A138" s="38" t="n"/>
      <x:c r="B138" s="37" t="n"/>
      <x:c r="C138" s="36" t="n">
        <x:f>E138*D$5</x:f>
        <x:v>0</x:v>
      </x:c>
      <x:c r="D138" s="20" t="n"/>
      <x:c r="E138" s="36" t="n">
        <x:f>SUM(G138:HT138)</x:f>
        <x:v>0</x:v>
      </x:c>
      <x:c r="R138" s="100" t="n"/>
      <x:c r="S138" s="100" t="n"/>
      <x:c r="AE138" s="100" t="n"/>
      <x:c r="AF138" s="100" t="n"/>
      <x:c r="AG138" s="100" t="n"/>
      <x:c r="AH138" s="100" t="n"/>
      <x:c r="AI138" s="100" t="n"/>
      <x:c r="AJ138" s="100" t="n"/>
      <x:c r="AK138" s="100" t="n"/>
      <x:c r="AM138" s="100" t="n"/>
      <x:c r="AO138" s="100" t="n"/>
    </x:row>
    <x:row r="139" s="27" customFormat="1">
      <x:c r="A139" s="38" t="n"/>
      <x:c r="B139" s="37" t="n"/>
      <x:c r="C139" s="36" t="n">
        <x:f>E139*D$5</x:f>
        <x:v>0</x:v>
      </x:c>
      <x:c r="D139" s="20" t="n"/>
      <x:c r="E139" s="36" t="n">
        <x:f>SUM(G139:HT139)</x:f>
        <x:v>0</x:v>
      </x:c>
      <x:c r="R139" s="100" t="n"/>
      <x:c r="S139" s="100" t="n"/>
      <x:c r="AE139" s="100" t="n"/>
      <x:c r="AF139" s="100" t="n"/>
      <x:c r="AG139" s="100" t="n"/>
      <x:c r="AH139" s="100" t="n"/>
      <x:c r="AI139" s="100" t="n"/>
      <x:c r="AJ139" s="100" t="n"/>
      <x:c r="AK139" s="100" t="n"/>
      <x:c r="AM139" s="100" t="n"/>
      <x:c r="AO139" s="100" t="n"/>
    </x:row>
    <x:row r="140" s="27" customFormat="1">
      <x:c r="A140" s="38" t="n"/>
      <x:c r="B140" s="37" t="n"/>
      <x:c r="C140" s="36" t="n">
        <x:f>E140*D$5</x:f>
        <x:v>0</x:v>
      </x:c>
      <x:c r="D140" s="20" t="n"/>
      <x:c r="E140" s="36" t="n">
        <x:f>SUM(G140:HT140)</x:f>
        <x:v>0</x:v>
      </x:c>
      <x:c r="R140" s="100" t="n"/>
      <x:c r="S140" s="100" t="n"/>
      <x:c r="AE140" s="100" t="n"/>
      <x:c r="AF140" s="100" t="n"/>
      <x:c r="AG140" s="100" t="n"/>
      <x:c r="AH140" s="100" t="n"/>
      <x:c r="AI140" s="100" t="n"/>
      <x:c r="AJ140" s="100" t="n"/>
      <x:c r="AK140" s="100" t="n"/>
      <x:c r="AM140" s="100" t="n"/>
      <x:c r="AO140" s="100" t="n"/>
    </x:row>
    <x:row r="141" s="27" customFormat="1">
      <x:c r="A141" s="38" t="n"/>
      <x:c r="B141" s="37" t="n"/>
      <x:c r="C141" s="36" t="n">
        <x:f>E141*D$5</x:f>
        <x:v>0</x:v>
      </x:c>
      <x:c r="D141" s="20" t="n"/>
      <x:c r="E141" s="36" t="n">
        <x:f>SUM(G141:HT141)</x:f>
        <x:v>0</x:v>
      </x:c>
      <x:c r="R141" s="100" t="n"/>
      <x:c r="S141" s="100" t="n"/>
      <x:c r="AE141" s="100" t="n"/>
      <x:c r="AF141" s="100" t="n"/>
      <x:c r="AG141" s="100" t="n"/>
      <x:c r="AH141" s="100" t="n"/>
      <x:c r="AI141" s="100" t="n"/>
      <x:c r="AJ141" s="100" t="n"/>
      <x:c r="AK141" s="100" t="n"/>
      <x:c r="AM141" s="100" t="n"/>
      <x:c r="AO141" s="100" t="n"/>
    </x:row>
    <x:row r="142" s="27" customFormat="1">
      <x:c r="A142" s="38" t="n"/>
      <x:c r="B142" s="37" t="n"/>
      <x:c r="C142" s="36" t="n">
        <x:f>E142*D$5</x:f>
        <x:v>0</x:v>
      </x:c>
      <x:c r="D142" s="20" t="n"/>
      <x:c r="E142" s="36" t="n">
        <x:f>SUM(G142:HT142)</x:f>
        <x:v>0</x:v>
      </x:c>
      <x:c r="R142" s="100" t="n"/>
      <x:c r="S142" s="100" t="n"/>
      <x:c r="AE142" s="100" t="n"/>
      <x:c r="AF142" s="100" t="n"/>
      <x:c r="AG142" s="100" t="n"/>
      <x:c r="AH142" s="100" t="n"/>
      <x:c r="AI142" s="100" t="n"/>
      <x:c r="AJ142" s="100" t="n"/>
      <x:c r="AK142" s="100" t="n"/>
      <x:c r="AM142" s="100" t="n"/>
      <x:c r="AO142" s="100" t="n"/>
    </x:row>
    <x:row r="143" s="27" customFormat="1">
      <x:c r="A143" s="38" t="n"/>
      <x:c r="B143" s="37" t="n"/>
      <x:c r="C143" s="36" t="n">
        <x:f>E143*D$5</x:f>
        <x:v>0</x:v>
      </x:c>
      <x:c r="D143" s="20" t="n"/>
      <x:c r="E143" s="36" t="n">
        <x:f>SUM(G143:HT143)</x:f>
        <x:v>0</x:v>
      </x:c>
      <x:c r="R143" s="100" t="n"/>
      <x:c r="S143" s="100" t="n"/>
      <x:c r="AE143" s="100" t="n"/>
      <x:c r="AF143" s="100" t="n"/>
      <x:c r="AG143" s="100" t="n"/>
      <x:c r="AH143" s="100" t="n"/>
      <x:c r="AI143" s="100" t="n"/>
      <x:c r="AJ143" s="100" t="n"/>
      <x:c r="AK143" s="100" t="n"/>
      <x:c r="AM143" s="100" t="n"/>
      <x:c r="AO143" s="100" t="n"/>
    </x:row>
    <x:row r="144" s="27" customFormat="1">
      <x:c r="A144" s="38" t="n"/>
      <x:c r="B144" s="37" t="n"/>
      <x:c r="C144" s="36" t="n">
        <x:f>E144*D$5</x:f>
        <x:v>0</x:v>
      </x:c>
      <x:c r="D144" s="20" t="n"/>
      <x:c r="E144" s="36" t="n">
        <x:f>SUM(G144:HT144)</x:f>
        <x:v>0</x:v>
      </x:c>
      <x:c r="R144" s="100" t="n"/>
      <x:c r="S144" s="100" t="n"/>
      <x:c r="AE144" s="100" t="n"/>
      <x:c r="AF144" s="100" t="n"/>
      <x:c r="AG144" s="100" t="n"/>
      <x:c r="AH144" s="100" t="n"/>
      <x:c r="AI144" s="100" t="n"/>
      <x:c r="AJ144" s="100" t="n"/>
      <x:c r="AK144" s="100" t="n"/>
      <x:c r="AM144" s="100" t="n"/>
      <x:c r="AO144" s="100" t="n"/>
    </x:row>
    <x:row r="145" s="27" customFormat="1">
      <x:c r="A145" s="38" t="n"/>
      <x:c r="B145" s="37" t="n"/>
      <x:c r="C145" s="36" t="n">
        <x:f>E145*D$5</x:f>
        <x:v>0</x:v>
      </x:c>
      <x:c r="D145" s="20" t="n"/>
      <x:c r="E145" s="36" t="n">
        <x:f>SUM(G145:HT145)</x:f>
        <x:v>0</x:v>
      </x:c>
      <x:c r="R145" s="100" t="n"/>
      <x:c r="S145" s="100" t="n"/>
      <x:c r="AE145" s="100" t="n"/>
      <x:c r="AF145" s="100" t="n"/>
      <x:c r="AG145" s="100" t="n"/>
      <x:c r="AH145" s="100" t="n"/>
      <x:c r="AI145" s="100" t="n"/>
      <x:c r="AJ145" s="100" t="n"/>
      <x:c r="AK145" s="100" t="n"/>
      <x:c r="AM145" s="100" t="n"/>
      <x:c r="AO145" s="100" t="n"/>
    </x:row>
    <x:row r="146" s="27" customFormat="1">
      <x:c r="A146" s="38" t="n"/>
      <x:c r="B146" s="37" t="n"/>
      <x:c r="C146" s="36" t="n">
        <x:f>E146*D$5</x:f>
        <x:v>0</x:v>
      </x:c>
      <x:c r="D146" s="20" t="n"/>
      <x:c r="E146" s="36" t="n">
        <x:f>SUM(G146:HT146)</x:f>
        <x:v>0</x:v>
      </x:c>
      <x:c r="R146" s="100" t="n"/>
      <x:c r="S146" s="100" t="n"/>
      <x:c r="AE146" s="100" t="n"/>
      <x:c r="AF146" s="100" t="n"/>
      <x:c r="AG146" s="100" t="n"/>
      <x:c r="AH146" s="100" t="n"/>
      <x:c r="AI146" s="100" t="n"/>
      <x:c r="AJ146" s="100" t="n"/>
      <x:c r="AK146" s="100" t="n"/>
      <x:c r="AM146" s="100" t="n"/>
      <x:c r="AO146" s="100" t="n"/>
    </x:row>
    <x:row r="147" s="27" customFormat="1">
      <x:c r="A147" s="38" t="n"/>
      <x:c r="B147" s="37" t="n"/>
      <x:c r="C147" s="36" t="n">
        <x:f>E147*D$5</x:f>
        <x:v>0</x:v>
      </x:c>
      <x:c r="D147" s="20" t="n"/>
      <x:c r="E147" s="36" t="n">
        <x:f>SUM(G147:HT147)</x:f>
        <x:v>0</x:v>
      </x:c>
      <x:c r="R147" s="100" t="n"/>
      <x:c r="S147" s="100" t="n"/>
      <x:c r="AE147" s="100" t="n"/>
      <x:c r="AF147" s="100" t="n"/>
      <x:c r="AG147" s="100" t="n"/>
      <x:c r="AH147" s="100" t="n"/>
      <x:c r="AI147" s="100" t="n"/>
      <x:c r="AJ147" s="100" t="n"/>
      <x:c r="AK147" s="100" t="n"/>
      <x:c r="AM147" s="100" t="n"/>
      <x:c r="AO147" s="100" t="n"/>
    </x:row>
    <x:row r="148" s="27" customFormat="1">
      <x:c r="A148" s="38" t="n"/>
      <x:c r="B148" s="37" t="n"/>
      <x:c r="C148" s="36" t="n">
        <x:f>E148*D$5</x:f>
        <x:v>0</x:v>
      </x:c>
      <x:c r="D148" s="20" t="n"/>
      <x:c r="E148" s="36" t="n">
        <x:f>SUM(G148:HT148)</x:f>
        <x:v>0</x:v>
      </x:c>
      <x:c r="R148" s="100" t="n"/>
      <x:c r="S148" s="100" t="n"/>
      <x:c r="AE148" s="100" t="n"/>
      <x:c r="AF148" s="100" t="n"/>
      <x:c r="AG148" s="100" t="n"/>
      <x:c r="AH148" s="100" t="n"/>
      <x:c r="AI148" s="100" t="n"/>
      <x:c r="AJ148" s="100" t="n"/>
      <x:c r="AK148" s="100" t="n"/>
      <x:c r="AM148" s="100" t="n"/>
      <x:c r="AO148" s="100" t="n"/>
    </x:row>
    <x:row r="149" s="27" customFormat="1">
      <x:c r="A149" s="38" t="n"/>
      <x:c r="B149" s="37" t="n"/>
      <x:c r="C149" s="36" t="n">
        <x:f>E149*D$5</x:f>
        <x:v>0</x:v>
      </x:c>
      <x:c r="D149" s="20" t="n"/>
      <x:c r="E149" s="36" t="n">
        <x:f>SUM(G149:HT149)</x:f>
        <x:v>0</x:v>
      </x:c>
      <x:c r="R149" s="100" t="n"/>
      <x:c r="S149" s="100" t="n"/>
      <x:c r="AE149" s="100" t="n"/>
      <x:c r="AF149" s="100" t="n"/>
      <x:c r="AG149" s="100" t="n"/>
      <x:c r="AH149" s="100" t="n"/>
      <x:c r="AI149" s="100" t="n"/>
      <x:c r="AJ149" s="100" t="n"/>
      <x:c r="AK149" s="100" t="n"/>
      <x:c r="AM149" s="100" t="n"/>
      <x:c r="AO149" s="100" t="n"/>
    </x:row>
    <x:row r="150" s="27" customFormat="1">
      <x:c r="A150" s="38" t="n"/>
      <x:c r="B150" s="37" t="n"/>
      <x:c r="C150" s="36" t="n">
        <x:f>E150*D$5</x:f>
        <x:v>0</x:v>
      </x:c>
      <x:c r="D150" s="20" t="n"/>
      <x:c r="E150" s="36" t="n">
        <x:f>SUM(G150:HT150)</x:f>
        <x:v>0</x:v>
      </x:c>
      <x:c r="R150" s="100" t="n"/>
      <x:c r="S150" s="100" t="n"/>
      <x:c r="AE150" s="100" t="n"/>
      <x:c r="AF150" s="100" t="n"/>
      <x:c r="AG150" s="100" t="n"/>
      <x:c r="AH150" s="100" t="n"/>
      <x:c r="AI150" s="100" t="n"/>
      <x:c r="AJ150" s="100" t="n"/>
      <x:c r="AK150" s="100" t="n"/>
      <x:c r="AM150" s="100" t="n"/>
      <x:c r="AO150" s="100" t="n"/>
    </x:row>
    <x:row r="151" s="27" customFormat="1">
      <x:c r="A151" s="38" t="n"/>
      <x:c r="B151" s="37" t="n"/>
      <x:c r="C151" s="36" t="n">
        <x:f>E151*D$5</x:f>
        <x:v>0</x:v>
      </x:c>
      <x:c r="D151" s="20" t="n"/>
      <x:c r="E151" s="36" t="n">
        <x:f>SUM(G151:HT151)</x:f>
        <x:v>0</x:v>
      </x:c>
      <x:c r="R151" s="100" t="n"/>
      <x:c r="S151" s="100" t="n"/>
      <x:c r="AE151" s="100" t="n"/>
      <x:c r="AF151" s="100" t="n"/>
      <x:c r="AG151" s="100" t="n"/>
      <x:c r="AH151" s="100" t="n"/>
      <x:c r="AI151" s="100" t="n"/>
      <x:c r="AJ151" s="100" t="n"/>
      <x:c r="AK151" s="100" t="n"/>
      <x:c r="AM151" s="100" t="n"/>
      <x:c r="AO151" s="100" t="n"/>
    </x:row>
    <x:row r="152" s="27" customFormat="1">
      <x:c r="A152" s="38" t="n"/>
      <x:c r="B152" s="37" t="n"/>
      <x:c r="C152" s="36" t="n">
        <x:f>E152*D$5</x:f>
        <x:v>0</x:v>
      </x:c>
      <x:c r="D152" s="20" t="n"/>
      <x:c r="E152" s="36" t="n">
        <x:f>SUM(G152:HT152)</x:f>
        <x:v>0</x:v>
      </x:c>
      <x:c r="R152" s="100" t="n"/>
      <x:c r="S152" s="100" t="n"/>
      <x:c r="AE152" s="100" t="n"/>
      <x:c r="AF152" s="100" t="n"/>
      <x:c r="AG152" s="100" t="n"/>
      <x:c r="AH152" s="100" t="n"/>
      <x:c r="AI152" s="100" t="n"/>
      <x:c r="AJ152" s="100" t="n"/>
      <x:c r="AK152" s="100" t="n"/>
      <x:c r="AM152" s="100" t="n"/>
      <x:c r="AO152" s="100" t="n"/>
    </x:row>
    <x:row r="153" s="27" customFormat="1">
      <x:c r="A153" s="38" t="n"/>
      <x:c r="B153" s="37" t="n"/>
      <x:c r="C153" s="36" t="n">
        <x:f>E153*D$5</x:f>
        <x:v>0</x:v>
      </x:c>
      <x:c r="D153" s="20" t="n"/>
      <x:c r="E153" s="36" t="n">
        <x:f>SUM(G153:HT153)</x:f>
        <x:v>0</x:v>
      </x:c>
      <x:c r="R153" s="100" t="n"/>
      <x:c r="S153" s="100" t="n"/>
      <x:c r="AE153" s="100" t="n"/>
      <x:c r="AF153" s="100" t="n"/>
      <x:c r="AG153" s="100" t="n"/>
      <x:c r="AH153" s="100" t="n"/>
      <x:c r="AI153" s="100" t="n"/>
      <x:c r="AJ153" s="100" t="n"/>
      <x:c r="AK153" s="100" t="n"/>
      <x:c r="AM153" s="100" t="n"/>
      <x:c r="AO153" s="100" t="n"/>
    </x:row>
    <x:row r="154" s="27" customFormat="1">
      <x:c r="A154" s="38" t="n"/>
      <x:c r="B154" s="37" t="n"/>
      <x:c r="C154" s="36" t="n">
        <x:f>E154*D$5</x:f>
        <x:v>0</x:v>
      </x:c>
      <x:c r="D154" s="20" t="n"/>
      <x:c r="E154" s="36" t="n">
        <x:f>SUM(G154:HT154)</x:f>
        <x:v>0</x:v>
      </x:c>
      <x:c r="R154" s="100" t="n"/>
      <x:c r="S154" s="100" t="n"/>
      <x:c r="AE154" s="100" t="n"/>
      <x:c r="AF154" s="100" t="n"/>
      <x:c r="AG154" s="100" t="n"/>
      <x:c r="AH154" s="100" t="n"/>
      <x:c r="AI154" s="100" t="n"/>
      <x:c r="AJ154" s="100" t="n"/>
      <x:c r="AK154" s="100" t="n"/>
      <x:c r="AM154" s="100" t="n"/>
      <x:c r="AO154" s="100" t="n"/>
    </x:row>
    <x:row r="155" s="27" customFormat="1">
      <x:c r="A155" s="38" t="n"/>
      <x:c r="B155" s="37" t="n"/>
      <x:c r="C155" s="36" t="n">
        <x:f>E155*D$5</x:f>
        <x:v>0</x:v>
      </x:c>
      <x:c r="D155" s="20" t="n"/>
      <x:c r="E155" s="36" t="n">
        <x:f>SUM(G155:HT155)</x:f>
        <x:v>0</x:v>
      </x:c>
      <x:c r="R155" s="100" t="n"/>
      <x:c r="S155" s="100" t="n"/>
      <x:c r="AE155" s="100" t="n"/>
      <x:c r="AF155" s="100" t="n"/>
      <x:c r="AG155" s="100" t="n"/>
      <x:c r="AH155" s="100" t="n"/>
      <x:c r="AI155" s="100" t="n"/>
      <x:c r="AJ155" s="100" t="n"/>
      <x:c r="AK155" s="100" t="n"/>
      <x:c r="AM155" s="100" t="n"/>
      <x:c r="AO155" s="100" t="n"/>
    </x:row>
    <x:row r="156" s="27" customFormat="1">
      <x:c r="A156" s="38" t="n"/>
      <x:c r="B156" s="37" t="n"/>
      <x:c r="C156" s="36" t="n">
        <x:f>E156*D$5</x:f>
        <x:v>0</x:v>
      </x:c>
      <x:c r="D156" s="20" t="n"/>
      <x:c r="E156" s="36" t="n">
        <x:f>SUM(G156:HT156)</x:f>
        <x:v>0</x:v>
      </x:c>
      <x:c r="R156" s="100" t="n"/>
      <x:c r="S156" s="100" t="n"/>
      <x:c r="AE156" s="100" t="n"/>
      <x:c r="AF156" s="100" t="n"/>
      <x:c r="AG156" s="100" t="n"/>
      <x:c r="AH156" s="100" t="n"/>
      <x:c r="AI156" s="100" t="n"/>
      <x:c r="AJ156" s="100" t="n"/>
      <x:c r="AK156" s="100" t="n"/>
      <x:c r="AM156" s="100" t="n"/>
      <x:c r="AO156" s="100" t="n"/>
    </x:row>
    <x:row r="157" s="27" customFormat="1">
      <x:c r="A157" s="38" t="n"/>
      <x:c r="B157" s="37" t="n"/>
      <x:c r="C157" s="36" t="n">
        <x:f>E157*D$5</x:f>
        <x:v>0</x:v>
      </x:c>
      <x:c r="D157" s="20" t="n"/>
      <x:c r="E157" s="36" t="n">
        <x:f>SUM(G157:HT157)</x:f>
        <x:v>0</x:v>
      </x:c>
      <x:c r="R157" s="100" t="n"/>
      <x:c r="S157" s="100" t="n"/>
      <x:c r="AE157" s="100" t="n"/>
      <x:c r="AF157" s="100" t="n"/>
      <x:c r="AG157" s="100" t="n"/>
      <x:c r="AH157" s="100" t="n"/>
      <x:c r="AI157" s="100" t="n"/>
      <x:c r="AJ157" s="100" t="n"/>
      <x:c r="AK157" s="100" t="n"/>
      <x:c r="AM157" s="100" t="n"/>
      <x:c r="AO157" s="100" t="n"/>
    </x:row>
    <x:row r="158" s="27" customFormat="1">
      <x:c r="A158" s="38" t="n"/>
      <x:c r="B158" s="37" t="n"/>
      <x:c r="C158" s="36" t="n">
        <x:f>E158*D$5</x:f>
        <x:v>0</x:v>
      </x:c>
      <x:c r="D158" s="20" t="n"/>
      <x:c r="E158" s="36" t="n">
        <x:f>SUM(G158:HT158)</x:f>
        <x:v>0</x:v>
      </x:c>
      <x:c r="R158" s="100" t="n"/>
      <x:c r="S158" s="100" t="n"/>
      <x:c r="AE158" s="100" t="n"/>
      <x:c r="AF158" s="100" t="n"/>
      <x:c r="AG158" s="100" t="n"/>
      <x:c r="AH158" s="100" t="n"/>
      <x:c r="AI158" s="100" t="n"/>
      <x:c r="AJ158" s="100" t="n"/>
      <x:c r="AK158" s="100" t="n"/>
      <x:c r="AM158" s="100" t="n"/>
      <x:c r="AO158" s="100" t="n"/>
    </x:row>
    <x:row r="159" s="27" customFormat="1">
      <x:c r="A159" s="38" t="n"/>
      <x:c r="B159" s="37" t="n"/>
      <x:c r="C159" s="36" t="n">
        <x:f>E159*D$5</x:f>
        <x:v>0</x:v>
      </x:c>
      <x:c r="D159" s="20" t="n"/>
      <x:c r="E159" s="36" t="n">
        <x:f>SUM(G159:HT159)</x:f>
        <x:v>0</x:v>
      </x:c>
      <x:c r="R159" s="100" t="n"/>
      <x:c r="S159" s="100" t="n"/>
      <x:c r="AE159" s="100" t="n"/>
      <x:c r="AF159" s="100" t="n"/>
      <x:c r="AG159" s="100" t="n"/>
      <x:c r="AH159" s="100" t="n"/>
      <x:c r="AI159" s="100" t="n"/>
      <x:c r="AJ159" s="100" t="n"/>
      <x:c r="AK159" s="100" t="n"/>
      <x:c r="AM159" s="100" t="n"/>
      <x:c r="AO159" s="100" t="n"/>
    </x:row>
    <x:row r="160" s="27" customFormat="1">
      <x:c r="A160" s="38" t="n"/>
      <x:c r="B160" s="37" t="n"/>
      <x:c r="C160" s="36" t="n">
        <x:f>E160*D$5</x:f>
        <x:v>0</x:v>
      </x:c>
      <x:c r="D160" s="20" t="n"/>
      <x:c r="E160" s="36" t="n">
        <x:f>SUM(G160:HT160)</x:f>
        <x:v>0</x:v>
      </x:c>
      <x:c r="R160" s="100" t="n"/>
      <x:c r="S160" s="100" t="n"/>
      <x:c r="AE160" s="100" t="n"/>
      <x:c r="AF160" s="100" t="n"/>
      <x:c r="AG160" s="100" t="n"/>
      <x:c r="AH160" s="100" t="n"/>
      <x:c r="AI160" s="100" t="n"/>
      <x:c r="AJ160" s="100" t="n"/>
      <x:c r="AK160" s="100" t="n"/>
      <x:c r="AM160" s="100" t="n"/>
      <x:c r="AO160" s="100" t="n"/>
    </x:row>
    <x:row r="161" s="27" customFormat="1">
      <x:c r="A161" s="38" t="n"/>
      <x:c r="B161" s="37" t="n"/>
      <x:c r="C161" s="36" t="n">
        <x:f>E161*D$5</x:f>
        <x:v>0</x:v>
      </x:c>
      <x:c r="D161" s="20" t="n"/>
      <x:c r="E161" s="36" t="n">
        <x:f>SUM(G161:HT161)</x:f>
        <x:v>0</x:v>
      </x:c>
      <x:c r="R161" s="100" t="n"/>
      <x:c r="S161" s="100" t="n"/>
      <x:c r="AE161" s="100" t="n"/>
      <x:c r="AF161" s="100" t="n"/>
      <x:c r="AG161" s="100" t="n"/>
      <x:c r="AH161" s="100" t="n"/>
      <x:c r="AI161" s="100" t="n"/>
      <x:c r="AJ161" s="100" t="n"/>
      <x:c r="AK161" s="100" t="n"/>
      <x:c r="AM161" s="100" t="n"/>
      <x:c r="AO161" s="100" t="n"/>
    </x:row>
    <x:row r="162" s="27" customFormat="1">
      <x:c r="A162" s="38" t="n"/>
      <x:c r="B162" s="37" t="n"/>
      <x:c r="C162" s="36" t="n">
        <x:f>E162*D$5</x:f>
        <x:v>0</x:v>
      </x:c>
      <x:c r="D162" s="20" t="n"/>
      <x:c r="E162" s="36" t="n">
        <x:f>SUM(G162:HT162)</x:f>
        <x:v>0</x:v>
      </x:c>
      <x:c r="R162" s="100" t="n"/>
      <x:c r="S162" s="100" t="n"/>
      <x:c r="AE162" s="100" t="n"/>
      <x:c r="AF162" s="100" t="n"/>
      <x:c r="AG162" s="100" t="n"/>
      <x:c r="AH162" s="100" t="n"/>
      <x:c r="AI162" s="100" t="n"/>
      <x:c r="AJ162" s="100" t="n"/>
      <x:c r="AK162" s="100" t="n"/>
      <x:c r="AM162" s="100" t="n"/>
      <x:c r="AO162" s="100" t="n"/>
    </x:row>
    <x:row r="163" s="27" customFormat="1">
      <x:c r="A163" s="38" t="n"/>
      <x:c r="B163" s="37" t="n"/>
      <x:c r="C163" s="36" t="n">
        <x:f>E163*D$5</x:f>
        <x:v>0</x:v>
      </x:c>
      <x:c r="D163" s="20" t="n"/>
      <x:c r="E163" s="36" t="n">
        <x:f>SUM(G163:HT163)</x:f>
        <x:v>0</x:v>
      </x:c>
      <x:c r="R163" s="100" t="n"/>
      <x:c r="S163" s="100" t="n"/>
      <x:c r="AE163" s="100" t="n"/>
      <x:c r="AF163" s="100" t="n"/>
      <x:c r="AG163" s="100" t="n"/>
      <x:c r="AH163" s="100" t="n"/>
      <x:c r="AI163" s="100" t="n"/>
      <x:c r="AJ163" s="100" t="n"/>
      <x:c r="AK163" s="100" t="n"/>
      <x:c r="AM163" s="100" t="n"/>
      <x:c r="AO163" s="100" t="n"/>
    </x:row>
    <x:row r="164" s="27" customFormat="1">
      <x:c r="A164" s="38" t="n"/>
      <x:c r="B164" s="37" t="n"/>
      <x:c r="C164" s="36" t="n">
        <x:f>E164*D$5</x:f>
        <x:v>0</x:v>
      </x:c>
      <x:c r="D164" s="20" t="n"/>
      <x:c r="E164" s="36" t="n">
        <x:f>SUM(G164:HT164)</x:f>
        <x:v>0</x:v>
      </x:c>
      <x:c r="R164" s="100" t="n"/>
      <x:c r="S164" s="100" t="n"/>
      <x:c r="AE164" s="100" t="n"/>
      <x:c r="AF164" s="100" t="n"/>
      <x:c r="AG164" s="100" t="n"/>
      <x:c r="AH164" s="100" t="n"/>
      <x:c r="AI164" s="100" t="n"/>
      <x:c r="AJ164" s="100" t="n"/>
      <x:c r="AK164" s="100" t="n"/>
      <x:c r="AM164" s="100" t="n"/>
      <x:c r="AO164" s="100" t="n"/>
    </x:row>
    <x:row r="165" s="27" customFormat="1">
      <x:c r="A165" s="38" t="n"/>
      <x:c r="B165" s="37" t="n"/>
      <x:c r="C165" s="36" t="n">
        <x:f>E165*D$5</x:f>
        <x:v>0</x:v>
      </x:c>
      <x:c r="D165" s="20" t="n"/>
      <x:c r="E165" s="36" t="n">
        <x:f>SUM(G165:HT165)</x:f>
        <x:v>0</x:v>
      </x:c>
      <x:c r="R165" s="100" t="n"/>
      <x:c r="S165" s="100" t="n"/>
      <x:c r="AE165" s="100" t="n"/>
      <x:c r="AF165" s="100" t="n"/>
      <x:c r="AG165" s="100" t="n"/>
      <x:c r="AH165" s="100" t="n"/>
      <x:c r="AI165" s="100" t="n"/>
      <x:c r="AJ165" s="100" t="n"/>
      <x:c r="AK165" s="100" t="n"/>
      <x:c r="AM165" s="100" t="n"/>
      <x:c r="AO165" s="100" t="n"/>
    </x:row>
    <x:row r="166" s="27" customFormat="1">
      <x:c r="A166" s="38" t="n"/>
      <x:c r="B166" s="37" t="n"/>
      <x:c r="C166" s="36" t="n">
        <x:f>E166*D$5</x:f>
        <x:v>0</x:v>
      </x:c>
      <x:c r="D166" s="20" t="n"/>
      <x:c r="E166" s="36" t="n">
        <x:f>SUM(G166:HT166)</x:f>
        <x:v>0</x:v>
      </x:c>
      <x:c r="R166" s="100" t="n"/>
      <x:c r="S166" s="100" t="n"/>
      <x:c r="AE166" s="100" t="n"/>
      <x:c r="AF166" s="100" t="n"/>
      <x:c r="AG166" s="100" t="n"/>
      <x:c r="AH166" s="100" t="n"/>
      <x:c r="AI166" s="100" t="n"/>
      <x:c r="AJ166" s="100" t="n"/>
      <x:c r="AK166" s="100" t="n"/>
      <x:c r="AM166" s="100" t="n"/>
      <x:c r="AO166" s="100" t="n"/>
    </x:row>
    <x:row r="167" s="27" customFormat="1">
      <x:c r="A167" s="38" t="n"/>
      <x:c r="B167" s="37" t="n"/>
      <x:c r="C167" s="36" t="n">
        <x:f>E167*D$5</x:f>
        <x:v>0</x:v>
      </x:c>
      <x:c r="D167" s="20" t="n"/>
      <x:c r="E167" s="36" t="n">
        <x:f>SUM(G167:HT167)</x:f>
        <x:v>0</x:v>
      </x:c>
      <x:c r="R167" s="100" t="n"/>
      <x:c r="S167" s="100" t="n"/>
      <x:c r="AE167" s="100" t="n"/>
      <x:c r="AF167" s="100" t="n"/>
      <x:c r="AG167" s="100" t="n"/>
      <x:c r="AH167" s="100" t="n"/>
      <x:c r="AI167" s="100" t="n"/>
      <x:c r="AJ167" s="100" t="n"/>
      <x:c r="AK167" s="100" t="n"/>
      <x:c r="AM167" s="100" t="n"/>
      <x:c r="AO167" s="100" t="n"/>
    </x:row>
    <x:row r="168" s="27" customFormat="1">
      <x:c r="A168" s="38" t="n"/>
      <x:c r="B168" s="37" t="n"/>
      <x:c r="C168" s="36" t="n">
        <x:f>E168*D$5</x:f>
        <x:v>0</x:v>
      </x:c>
      <x:c r="D168" s="20" t="n"/>
      <x:c r="E168" s="36" t="n">
        <x:f>SUM(G168:HT168)</x:f>
        <x:v>0</x:v>
      </x:c>
      <x:c r="R168" s="100" t="n"/>
      <x:c r="S168" s="100" t="n"/>
      <x:c r="AE168" s="100" t="n"/>
      <x:c r="AF168" s="100" t="n"/>
      <x:c r="AG168" s="100" t="n"/>
      <x:c r="AH168" s="100" t="n"/>
      <x:c r="AI168" s="100" t="n"/>
      <x:c r="AJ168" s="100" t="n"/>
      <x:c r="AK168" s="100" t="n"/>
      <x:c r="AM168" s="100" t="n"/>
      <x:c r="AO168" s="100" t="n"/>
    </x:row>
    <x:row r="169" s="27" customFormat="1">
      <x:c r="A169" s="38" t="n"/>
      <x:c r="B169" s="37" t="n"/>
      <x:c r="C169" s="36" t="n">
        <x:f>E169*D$5</x:f>
        <x:v>0</x:v>
      </x:c>
      <x:c r="D169" s="20" t="n"/>
      <x:c r="E169" s="36" t="n">
        <x:f>SUM(G169:HT169)</x:f>
        <x:v>0</x:v>
      </x:c>
      <x:c r="R169" s="100" t="n"/>
      <x:c r="S169" s="100" t="n"/>
      <x:c r="AE169" s="100" t="n"/>
      <x:c r="AF169" s="100" t="n"/>
      <x:c r="AG169" s="100" t="n"/>
      <x:c r="AH169" s="100" t="n"/>
      <x:c r="AI169" s="100" t="n"/>
      <x:c r="AJ169" s="100" t="n"/>
      <x:c r="AK169" s="100" t="n"/>
      <x:c r="AM169" s="100" t="n"/>
      <x:c r="AO169" s="100" t="n"/>
    </x:row>
    <x:row r="170" s="27" customFormat="1">
      <x:c r="A170" s="38" t="n"/>
      <x:c r="B170" s="37" t="n"/>
      <x:c r="C170" s="36" t="n">
        <x:f>E170*D$5</x:f>
        <x:v>0</x:v>
      </x:c>
      <x:c r="D170" s="20" t="n"/>
      <x:c r="E170" s="36" t="n">
        <x:f>SUM(G170:HT170)</x:f>
        <x:v>0</x:v>
      </x:c>
      <x:c r="R170" s="100" t="n"/>
      <x:c r="S170" s="100" t="n"/>
      <x:c r="AE170" s="100" t="n"/>
      <x:c r="AF170" s="100" t="n"/>
      <x:c r="AG170" s="100" t="n"/>
      <x:c r="AH170" s="100" t="n"/>
      <x:c r="AI170" s="100" t="n"/>
      <x:c r="AJ170" s="100" t="n"/>
      <x:c r="AK170" s="100" t="n"/>
      <x:c r="AM170" s="100" t="n"/>
      <x:c r="AO170" s="100" t="n"/>
    </x:row>
    <x:row r="171" s="27" customFormat="1">
      <x:c r="A171" s="38" t="n"/>
      <x:c r="B171" s="37" t="n"/>
      <x:c r="C171" s="36" t="n">
        <x:f>E171*D$5</x:f>
        <x:v>0</x:v>
      </x:c>
      <x:c r="D171" s="20" t="n"/>
      <x:c r="E171" s="36" t="n">
        <x:f>SUM(G171:HT171)</x:f>
        <x:v>0</x:v>
      </x:c>
      <x:c r="R171" s="100" t="n"/>
      <x:c r="S171" s="100" t="n"/>
      <x:c r="AE171" s="100" t="n"/>
      <x:c r="AF171" s="100" t="n"/>
      <x:c r="AG171" s="100" t="n"/>
      <x:c r="AH171" s="100" t="n"/>
      <x:c r="AI171" s="100" t="n"/>
      <x:c r="AJ171" s="100" t="n"/>
      <x:c r="AK171" s="100" t="n"/>
      <x:c r="AM171" s="100" t="n"/>
      <x:c r="AO171" s="100" t="n"/>
    </x:row>
    <x:row r="172" s="27" customFormat="1">
      <x:c r="A172" s="38" t="n"/>
      <x:c r="B172" s="37" t="n"/>
      <x:c r="C172" s="36" t="n">
        <x:f>E172*D$5</x:f>
        <x:v>0</x:v>
      </x:c>
      <x:c r="D172" s="20" t="n"/>
      <x:c r="E172" s="36" t="n">
        <x:f>SUM(G172:HT172)</x:f>
        <x:v>0</x:v>
      </x:c>
      <x:c r="R172" s="100" t="n"/>
      <x:c r="S172" s="100" t="n"/>
      <x:c r="AE172" s="100" t="n"/>
      <x:c r="AF172" s="100" t="n"/>
      <x:c r="AG172" s="100" t="n"/>
      <x:c r="AH172" s="100" t="n"/>
      <x:c r="AI172" s="100" t="n"/>
      <x:c r="AJ172" s="100" t="n"/>
      <x:c r="AK172" s="100" t="n"/>
      <x:c r="AM172" s="100" t="n"/>
      <x:c r="AO172" s="100" t="n"/>
    </x:row>
    <x:row r="173" s="27" customFormat="1">
      <x:c r="A173" s="38" t="n"/>
      <x:c r="B173" s="37" t="n"/>
      <x:c r="C173" s="36" t="n">
        <x:f>E173*D$5</x:f>
        <x:v>0</x:v>
      </x:c>
      <x:c r="D173" s="20" t="n"/>
      <x:c r="E173" s="36" t="n">
        <x:f>SUM(G173:HT173)</x:f>
        <x:v>0</x:v>
      </x:c>
      <x:c r="R173" s="100" t="n"/>
      <x:c r="S173" s="100" t="n"/>
      <x:c r="AE173" s="100" t="n"/>
      <x:c r="AF173" s="100" t="n"/>
      <x:c r="AG173" s="100" t="n"/>
      <x:c r="AH173" s="100" t="n"/>
      <x:c r="AI173" s="100" t="n"/>
      <x:c r="AJ173" s="100" t="n"/>
      <x:c r="AK173" s="100" t="n"/>
      <x:c r="AM173" s="100" t="n"/>
      <x:c r="AO173" s="100" t="n"/>
    </x:row>
    <x:row r="174" s="27" customFormat="1">
      <x:c r="A174" s="38" t="n"/>
      <x:c r="B174" s="37" t="n"/>
      <x:c r="C174" s="36" t="n">
        <x:f>E174*D$5</x:f>
        <x:v>0</x:v>
      </x:c>
      <x:c r="D174" s="20" t="n"/>
      <x:c r="E174" s="36" t="n">
        <x:f>SUM(G174:HT174)</x:f>
        <x:v>0</x:v>
      </x:c>
      <x:c r="R174" s="100" t="n"/>
      <x:c r="S174" s="100" t="n"/>
      <x:c r="AE174" s="100" t="n"/>
      <x:c r="AF174" s="100" t="n"/>
      <x:c r="AG174" s="100" t="n"/>
      <x:c r="AH174" s="100" t="n"/>
      <x:c r="AI174" s="100" t="n"/>
      <x:c r="AJ174" s="100" t="n"/>
      <x:c r="AK174" s="100" t="n"/>
      <x:c r="AM174" s="100" t="n"/>
      <x:c r="AO174" s="100" t="n"/>
    </x:row>
    <x:row r="175" s="27" customFormat="1">
      <x:c r="A175" s="38" t="n"/>
      <x:c r="B175" s="37" t="n"/>
      <x:c r="C175" s="36" t="n">
        <x:f>E175*D$5</x:f>
        <x:v>0</x:v>
      </x:c>
      <x:c r="D175" s="20" t="n"/>
      <x:c r="E175" s="36" t="n">
        <x:f>SUM(G175:HT175)</x:f>
        <x:v>0</x:v>
      </x:c>
      <x:c r="R175" s="100" t="n"/>
      <x:c r="S175" s="100" t="n"/>
      <x:c r="AE175" s="100" t="n"/>
      <x:c r="AF175" s="100" t="n"/>
      <x:c r="AG175" s="100" t="n"/>
      <x:c r="AH175" s="100" t="n"/>
      <x:c r="AI175" s="100" t="n"/>
      <x:c r="AJ175" s="100" t="n"/>
      <x:c r="AK175" s="100" t="n"/>
      <x:c r="AM175" s="100" t="n"/>
      <x:c r="AO175" s="100" t="n"/>
    </x:row>
    <x:row r="176" s="27" customFormat="1">
      <x:c r="A176" s="38" t="n"/>
      <x:c r="B176" s="37" t="n"/>
      <x:c r="C176" s="36" t="n">
        <x:f>E176*D$5</x:f>
        <x:v>0</x:v>
      </x:c>
      <x:c r="D176" s="20" t="n"/>
      <x:c r="E176" s="36" t="n">
        <x:f>SUM(G176:HT176)</x:f>
        <x:v>0</x:v>
      </x:c>
      <x:c r="R176" s="100" t="n"/>
      <x:c r="S176" s="100" t="n"/>
      <x:c r="AE176" s="100" t="n"/>
      <x:c r="AF176" s="100" t="n"/>
      <x:c r="AG176" s="100" t="n"/>
      <x:c r="AH176" s="100" t="n"/>
      <x:c r="AI176" s="100" t="n"/>
      <x:c r="AJ176" s="100" t="n"/>
      <x:c r="AK176" s="100" t="n"/>
      <x:c r="AM176" s="100" t="n"/>
      <x:c r="AO176" s="100" t="n"/>
    </x:row>
    <x:row r="177" s="27" customFormat="1">
      <x:c r="A177" s="38" t="n"/>
      <x:c r="B177" s="37" t="n"/>
      <x:c r="C177" s="36" t="n">
        <x:f>E177*D$5</x:f>
        <x:v>0</x:v>
      </x:c>
      <x:c r="D177" s="20" t="n"/>
      <x:c r="E177" s="36" t="n">
        <x:f>SUM(G177:HT177)</x:f>
        <x:v>0</x:v>
      </x:c>
      <x:c r="R177" s="100" t="n"/>
      <x:c r="S177" s="100" t="n"/>
      <x:c r="AE177" s="100" t="n"/>
      <x:c r="AF177" s="100" t="n"/>
      <x:c r="AG177" s="100" t="n"/>
      <x:c r="AH177" s="100" t="n"/>
      <x:c r="AI177" s="100" t="n"/>
      <x:c r="AJ177" s="100" t="n"/>
      <x:c r="AK177" s="100" t="n"/>
      <x:c r="AM177" s="100" t="n"/>
      <x:c r="AO177" s="100" t="n"/>
    </x:row>
    <x:row r="178" s="27" customFormat="1">
      <x:c r="A178" s="38" t="n"/>
      <x:c r="B178" s="37" t="n"/>
      <x:c r="C178" s="36" t="n">
        <x:f>E178*D$5</x:f>
        <x:v>0</x:v>
      </x:c>
      <x:c r="D178" s="20" t="n"/>
      <x:c r="E178" s="36" t="n">
        <x:f>SUM(G178:HT178)</x:f>
        <x:v>0</x:v>
      </x:c>
      <x:c r="R178" s="100" t="n"/>
      <x:c r="S178" s="100" t="n"/>
      <x:c r="AE178" s="100" t="n"/>
      <x:c r="AF178" s="100" t="n"/>
      <x:c r="AG178" s="100" t="n"/>
      <x:c r="AH178" s="100" t="n"/>
      <x:c r="AI178" s="100" t="n"/>
      <x:c r="AJ178" s="100" t="n"/>
      <x:c r="AK178" s="100" t="n"/>
      <x:c r="AM178" s="100" t="n"/>
      <x:c r="AO178" s="100" t="n"/>
    </x:row>
    <x:row r="179" s="27" customFormat="1">
      <x:c r="A179" s="38" t="n"/>
      <x:c r="B179" s="37" t="n"/>
      <x:c r="C179" s="36" t="n">
        <x:f>E179*D$5</x:f>
        <x:v>0</x:v>
      </x:c>
      <x:c r="D179" s="20" t="n"/>
      <x:c r="E179" s="36" t="n">
        <x:f>SUM(G179:HT179)</x:f>
        <x:v>0</x:v>
      </x:c>
      <x:c r="R179" s="100" t="n"/>
      <x:c r="S179" s="100" t="n"/>
      <x:c r="AE179" s="100" t="n"/>
      <x:c r="AF179" s="100" t="n"/>
      <x:c r="AG179" s="100" t="n"/>
      <x:c r="AH179" s="100" t="n"/>
      <x:c r="AI179" s="100" t="n"/>
      <x:c r="AJ179" s="100" t="n"/>
      <x:c r="AK179" s="100" t="n"/>
      <x:c r="AM179" s="100" t="n"/>
      <x:c r="AO179" s="100" t="n"/>
    </x:row>
    <x:row r="180" s="27" customFormat="1">
      <x:c r="A180" s="38" t="n"/>
      <x:c r="B180" s="37" t="n"/>
      <x:c r="C180" s="36" t="n">
        <x:f>E180*D$5</x:f>
        <x:v>0</x:v>
      </x:c>
      <x:c r="D180" s="20" t="n"/>
      <x:c r="E180" s="36" t="n">
        <x:f>SUM(G180:HT180)</x:f>
        <x:v>0</x:v>
      </x:c>
      <x:c r="R180" s="100" t="n"/>
      <x:c r="S180" s="100" t="n"/>
      <x:c r="AE180" s="100" t="n"/>
      <x:c r="AF180" s="100" t="n"/>
      <x:c r="AG180" s="100" t="n"/>
      <x:c r="AH180" s="100" t="n"/>
      <x:c r="AI180" s="100" t="n"/>
      <x:c r="AJ180" s="100" t="n"/>
      <x:c r="AK180" s="100" t="n"/>
      <x:c r="AM180" s="100" t="n"/>
      <x:c r="AO180" s="100" t="n"/>
    </x:row>
    <x:row r="181" s="27" customFormat="1">
      <x:c r="A181" s="38" t="n"/>
      <x:c r="B181" s="37" t="n"/>
      <x:c r="C181" s="36" t="n">
        <x:f>E181*D$5</x:f>
        <x:v>0</x:v>
      </x:c>
      <x:c r="D181" s="20" t="n"/>
      <x:c r="E181" s="36" t="n">
        <x:f>SUM(G181:HT181)</x:f>
        <x:v>0</x:v>
      </x:c>
      <x:c r="R181" s="100" t="n"/>
      <x:c r="S181" s="100" t="n"/>
      <x:c r="AE181" s="100" t="n"/>
      <x:c r="AF181" s="100" t="n"/>
      <x:c r="AG181" s="100" t="n"/>
      <x:c r="AH181" s="100" t="n"/>
      <x:c r="AI181" s="100" t="n"/>
      <x:c r="AJ181" s="100" t="n"/>
      <x:c r="AK181" s="100" t="n"/>
      <x:c r="AM181" s="100" t="n"/>
      <x:c r="AO181" s="100" t="n"/>
    </x:row>
    <x:row r="182" s="27" customFormat="1">
      <x:c r="A182" s="38" t="n"/>
      <x:c r="B182" s="37" t="n"/>
      <x:c r="C182" s="36" t="n">
        <x:f>E182*D$5</x:f>
        <x:v>0</x:v>
      </x:c>
      <x:c r="D182" s="20" t="n"/>
      <x:c r="E182" s="36" t="n">
        <x:f>SUM(G182:HT182)</x:f>
        <x:v>0</x:v>
      </x:c>
      <x:c r="R182" s="100" t="n"/>
      <x:c r="S182" s="100" t="n"/>
      <x:c r="AE182" s="100" t="n"/>
      <x:c r="AF182" s="100" t="n"/>
      <x:c r="AG182" s="100" t="n"/>
      <x:c r="AH182" s="100" t="n"/>
      <x:c r="AI182" s="100" t="n"/>
      <x:c r="AJ182" s="100" t="n"/>
      <x:c r="AK182" s="100" t="n"/>
      <x:c r="AM182" s="100" t="n"/>
      <x:c r="AO182" s="100" t="n"/>
    </x:row>
    <x:row r="183" s="27" customFormat="1">
      <x:c r="A183" s="38" t="n"/>
      <x:c r="B183" s="37" t="n"/>
      <x:c r="C183" s="36" t="n">
        <x:f>E183*D$5</x:f>
        <x:v>0</x:v>
      </x:c>
      <x:c r="D183" s="20" t="n"/>
      <x:c r="E183" s="36" t="n">
        <x:f>SUM(G183:HT183)</x:f>
        <x:v>0</x:v>
      </x:c>
      <x:c r="R183" s="100" t="n"/>
      <x:c r="S183" s="100" t="n"/>
      <x:c r="AE183" s="100" t="n"/>
      <x:c r="AF183" s="100" t="n"/>
      <x:c r="AG183" s="100" t="n"/>
      <x:c r="AH183" s="100" t="n"/>
      <x:c r="AI183" s="100" t="n"/>
      <x:c r="AJ183" s="100" t="n"/>
      <x:c r="AK183" s="100" t="n"/>
      <x:c r="AM183" s="100" t="n"/>
      <x:c r="AO183" s="100" t="n"/>
    </x:row>
    <x:row r="184" s="27" customFormat="1">
      <x:c r="A184" s="38" t="n"/>
      <x:c r="B184" s="37" t="n"/>
      <x:c r="C184" s="36" t="n">
        <x:f>E184*D$5</x:f>
        <x:v>0</x:v>
      </x:c>
      <x:c r="D184" s="20" t="n"/>
      <x:c r="E184" s="36" t="n">
        <x:f>SUM(G184:HT184)</x:f>
        <x:v>0</x:v>
      </x:c>
      <x:c r="R184" s="100" t="n"/>
      <x:c r="S184" s="100" t="n"/>
      <x:c r="AE184" s="100" t="n"/>
      <x:c r="AF184" s="100" t="n"/>
      <x:c r="AG184" s="100" t="n"/>
      <x:c r="AH184" s="100" t="n"/>
      <x:c r="AI184" s="100" t="n"/>
      <x:c r="AJ184" s="100" t="n"/>
      <x:c r="AK184" s="100" t="n"/>
      <x:c r="AM184" s="100" t="n"/>
      <x:c r="AO184" s="100" t="n"/>
    </x:row>
    <x:row r="185" s="27" customFormat="1">
      <x:c r="A185" s="38" t="n"/>
      <x:c r="B185" s="37" t="n"/>
      <x:c r="C185" s="36" t="n">
        <x:f>E185*D$5</x:f>
        <x:v>0</x:v>
      </x:c>
      <x:c r="D185" s="20" t="n"/>
      <x:c r="E185" s="36" t="n">
        <x:f>SUM(G185:HT185)</x:f>
        <x:v>0</x:v>
      </x:c>
      <x:c r="R185" s="100" t="n"/>
      <x:c r="S185" s="100" t="n"/>
      <x:c r="AE185" s="100" t="n"/>
      <x:c r="AF185" s="100" t="n"/>
      <x:c r="AG185" s="100" t="n"/>
      <x:c r="AH185" s="100" t="n"/>
      <x:c r="AI185" s="100" t="n"/>
      <x:c r="AJ185" s="100" t="n"/>
      <x:c r="AK185" s="100" t="n"/>
      <x:c r="AM185" s="100" t="n"/>
      <x:c r="AO185" s="100" t="n"/>
    </x:row>
    <x:row r="186" s="27" customFormat="1">
      <x:c r="A186" s="38" t="n"/>
      <x:c r="B186" s="37" t="n"/>
      <x:c r="C186" s="36" t="n">
        <x:f>E186*D$5</x:f>
        <x:v>0</x:v>
      </x:c>
      <x:c r="D186" s="20" t="n"/>
      <x:c r="E186" s="36" t="n">
        <x:f>SUM(G186:HT186)</x:f>
        <x:v>0</x:v>
      </x:c>
      <x:c r="R186" s="100" t="n"/>
      <x:c r="S186" s="100" t="n"/>
      <x:c r="AE186" s="100" t="n"/>
      <x:c r="AF186" s="100" t="n"/>
      <x:c r="AG186" s="100" t="n"/>
      <x:c r="AH186" s="100" t="n"/>
      <x:c r="AI186" s="100" t="n"/>
      <x:c r="AJ186" s="100" t="n"/>
      <x:c r="AK186" s="100" t="n"/>
      <x:c r="AM186" s="100" t="n"/>
      <x:c r="AO186" s="100" t="n"/>
    </x:row>
    <x:row r="187" s="27" customFormat="1">
      <x:c r="A187" s="38" t="n"/>
      <x:c r="B187" s="37" t="n"/>
      <x:c r="C187" s="36" t="n">
        <x:f>E187*D$5</x:f>
        <x:v>0</x:v>
      </x:c>
      <x:c r="D187" s="20" t="n"/>
      <x:c r="E187" s="36" t="n">
        <x:f>SUM(G187:HT187)</x:f>
        <x:v>0</x:v>
      </x:c>
      <x:c r="R187" s="100" t="n"/>
      <x:c r="S187" s="100" t="n"/>
      <x:c r="AE187" s="100" t="n"/>
      <x:c r="AF187" s="100" t="n"/>
      <x:c r="AG187" s="100" t="n"/>
      <x:c r="AH187" s="100" t="n"/>
      <x:c r="AI187" s="100" t="n"/>
      <x:c r="AJ187" s="100" t="n"/>
      <x:c r="AK187" s="100" t="n"/>
      <x:c r="AM187" s="100" t="n"/>
      <x:c r="AO187" s="100" t="n"/>
    </x:row>
    <x:row r="188" s="27" customFormat="1">
      <x:c r="A188" s="38" t="n"/>
      <x:c r="B188" s="37" t="n"/>
      <x:c r="C188" s="36" t="n">
        <x:f>E188*D$5</x:f>
        <x:v>0</x:v>
      </x:c>
      <x:c r="D188" s="20" t="n"/>
      <x:c r="E188" s="36" t="n">
        <x:f>SUM(G188:HT188)</x:f>
        <x:v>0</x:v>
      </x:c>
      <x:c r="R188" s="100" t="n"/>
      <x:c r="S188" s="100" t="n"/>
      <x:c r="AE188" s="100" t="n"/>
      <x:c r="AF188" s="100" t="n"/>
      <x:c r="AG188" s="100" t="n"/>
      <x:c r="AH188" s="100" t="n"/>
      <x:c r="AI188" s="100" t="n"/>
      <x:c r="AJ188" s="100" t="n"/>
      <x:c r="AK188" s="100" t="n"/>
      <x:c r="AM188" s="100" t="n"/>
      <x:c r="AO188" s="100" t="n"/>
    </x:row>
    <x:row r="189" s="27" customFormat="1">
      <x:c r="A189" s="38" t="n"/>
      <x:c r="B189" s="37" t="n"/>
      <x:c r="C189" s="36" t="n">
        <x:f>E189*D$5</x:f>
        <x:v>0</x:v>
      </x:c>
      <x:c r="D189" s="20" t="n"/>
      <x:c r="E189" s="36" t="n">
        <x:f>SUM(G189:HT189)</x:f>
        <x:v>0</x:v>
      </x:c>
      <x:c r="R189" s="100" t="n"/>
      <x:c r="S189" s="100" t="n"/>
      <x:c r="AE189" s="100" t="n"/>
      <x:c r="AF189" s="100" t="n"/>
      <x:c r="AG189" s="100" t="n"/>
      <x:c r="AH189" s="100" t="n"/>
      <x:c r="AI189" s="100" t="n"/>
      <x:c r="AJ189" s="100" t="n"/>
      <x:c r="AK189" s="100" t="n"/>
      <x:c r="AM189" s="100" t="n"/>
      <x:c r="AO189" s="100" t="n"/>
    </x:row>
    <x:row r="190" s="27" customFormat="1">
      <x:c r="A190" s="38" t="n"/>
      <x:c r="B190" s="37" t="n"/>
      <x:c r="C190" s="36" t="n">
        <x:f>E190*D$5</x:f>
        <x:v>0</x:v>
      </x:c>
      <x:c r="D190" s="20" t="n"/>
      <x:c r="E190" s="36" t="n">
        <x:f>SUM(G190:HT190)</x:f>
        <x:v>0</x:v>
      </x:c>
      <x:c r="R190" s="100" t="n"/>
      <x:c r="S190" s="100" t="n"/>
      <x:c r="AE190" s="100" t="n"/>
      <x:c r="AF190" s="100" t="n"/>
      <x:c r="AG190" s="100" t="n"/>
      <x:c r="AH190" s="100" t="n"/>
      <x:c r="AI190" s="100" t="n"/>
      <x:c r="AJ190" s="100" t="n"/>
      <x:c r="AK190" s="100" t="n"/>
      <x:c r="AM190" s="100" t="n"/>
      <x:c r="AO190" s="100" t="n"/>
    </x:row>
    <x:row r="191" s="27" customFormat="1">
      <x:c r="A191" s="38" t="n"/>
      <x:c r="B191" s="37" t="n"/>
      <x:c r="C191" s="36" t="n">
        <x:f>E191*D$5</x:f>
        <x:v>0</x:v>
      </x:c>
      <x:c r="D191" s="20" t="n"/>
      <x:c r="E191" s="36" t="n">
        <x:f>SUM(G191:HT191)</x:f>
        <x:v>0</x:v>
      </x:c>
      <x:c r="R191" s="100" t="n"/>
      <x:c r="S191" s="100" t="n"/>
      <x:c r="AE191" s="100" t="n"/>
      <x:c r="AF191" s="100" t="n"/>
      <x:c r="AG191" s="100" t="n"/>
      <x:c r="AH191" s="100" t="n"/>
      <x:c r="AI191" s="100" t="n"/>
      <x:c r="AJ191" s="100" t="n"/>
      <x:c r="AK191" s="100" t="n"/>
      <x:c r="AM191" s="100" t="n"/>
      <x:c r="AO191" s="100" t="n"/>
    </x:row>
    <x:row r="192" s="27" customFormat="1">
      <x:c r="A192" s="38" t="n"/>
      <x:c r="B192" s="37" t="n"/>
      <x:c r="C192" s="36" t="n">
        <x:f>E192*D$5</x:f>
        <x:v>0</x:v>
      </x:c>
      <x:c r="D192" s="20" t="n"/>
      <x:c r="E192" s="36" t="n">
        <x:f>SUM(G192:HT192)</x:f>
        <x:v>0</x:v>
      </x:c>
      <x:c r="R192" s="100" t="n"/>
      <x:c r="S192" s="100" t="n"/>
      <x:c r="AE192" s="100" t="n"/>
      <x:c r="AF192" s="100" t="n"/>
      <x:c r="AG192" s="100" t="n"/>
      <x:c r="AH192" s="100" t="n"/>
      <x:c r="AI192" s="100" t="n"/>
      <x:c r="AJ192" s="100" t="n"/>
      <x:c r="AK192" s="100" t="n"/>
      <x:c r="AM192" s="100" t="n"/>
      <x:c r="AO192" s="100" t="n"/>
    </x:row>
    <x:row r="193" s="27" customFormat="1">
      <x:c r="A193" s="38" t="n"/>
      <x:c r="B193" s="37" t="n"/>
      <x:c r="C193" s="36" t="n">
        <x:f>E193*D$5</x:f>
        <x:v>0</x:v>
      </x:c>
      <x:c r="D193" s="20" t="n"/>
      <x:c r="E193" s="36" t="n">
        <x:f>SUM(G193:HT193)</x:f>
        <x:v>0</x:v>
      </x:c>
      <x:c r="R193" s="100" t="n"/>
      <x:c r="S193" s="100" t="n"/>
      <x:c r="AE193" s="100" t="n"/>
      <x:c r="AF193" s="100" t="n"/>
      <x:c r="AG193" s="100" t="n"/>
      <x:c r="AH193" s="100" t="n"/>
      <x:c r="AI193" s="100" t="n"/>
      <x:c r="AJ193" s="100" t="n"/>
      <x:c r="AK193" s="100" t="n"/>
      <x:c r="AM193" s="100" t="n"/>
      <x:c r="AO193" s="100" t="n"/>
    </x:row>
    <x:row r="194" s="27" customFormat="1">
      <x:c r="A194" s="38" t="n"/>
      <x:c r="B194" s="37" t="n"/>
      <x:c r="C194" s="36" t="n">
        <x:f>E194*D$5</x:f>
        <x:v>0</x:v>
      </x:c>
      <x:c r="D194" s="20" t="n"/>
      <x:c r="E194" s="36" t="n">
        <x:f>SUM(G194:HT194)</x:f>
        <x:v>0</x:v>
      </x:c>
      <x:c r="R194" s="100" t="n"/>
      <x:c r="S194" s="100" t="n"/>
      <x:c r="AE194" s="100" t="n"/>
      <x:c r="AF194" s="100" t="n"/>
      <x:c r="AG194" s="100" t="n"/>
      <x:c r="AH194" s="100" t="n"/>
      <x:c r="AI194" s="100" t="n"/>
      <x:c r="AJ194" s="100" t="n"/>
      <x:c r="AK194" s="100" t="n"/>
      <x:c r="AM194" s="100" t="n"/>
      <x:c r="AO194" s="100" t="n"/>
    </x:row>
    <x:row r="195" s="27" customFormat="1">
      <x:c r="A195" s="38" t="n"/>
      <x:c r="B195" s="37" t="n"/>
      <x:c r="C195" s="36" t="n">
        <x:f>E195*D$5</x:f>
        <x:v>0</x:v>
      </x:c>
      <x:c r="D195" s="20" t="n"/>
      <x:c r="E195" s="36" t="n">
        <x:f>SUM(G195:HT195)</x:f>
        <x:v>0</x:v>
      </x:c>
      <x:c r="R195" s="100" t="n"/>
      <x:c r="S195" s="100" t="n"/>
      <x:c r="AE195" s="100" t="n"/>
      <x:c r="AF195" s="100" t="n"/>
      <x:c r="AG195" s="100" t="n"/>
      <x:c r="AH195" s="100" t="n"/>
      <x:c r="AI195" s="100" t="n"/>
      <x:c r="AJ195" s="100" t="n"/>
      <x:c r="AK195" s="100" t="n"/>
      <x:c r="AM195" s="100" t="n"/>
      <x:c r="AO195" s="100" t="n"/>
    </x:row>
    <x:row r="196" s="27" customFormat="1">
      <x:c r="A196" s="38" t="n"/>
      <x:c r="B196" s="37" t="n"/>
      <x:c r="C196" s="36" t="n">
        <x:f>E196*D$5</x:f>
        <x:v>0</x:v>
      </x:c>
      <x:c r="D196" s="20" t="n"/>
      <x:c r="E196" s="36" t="n">
        <x:f>SUM(G196:HT196)</x:f>
        <x:v>0</x:v>
      </x:c>
      <x:c r="R196" s="100" t="n"/>
      <x:c r="S196" s="100" t="n"/>
      <x:c r="AE196" s="100" t="n"/>
      <x:c r="AF196" s="100" t="n"/>
      <x:c r="AG196" s="100" t="n"/>
      <x:c r="AH196" s="100" t="n"/>
      <x:c r="AI196" s="100" t="n"/>
      <x:c r="AJ196" s="100" t="n"/>
      <x:c r="AK196" s="100" t="n"/>
      <x:c r="AM196" s="100" t="n"/>
      <x:c r="AO196" s="100" t="n"/>
    </x:row>
    <x:row r="197" s="27" customFormat="1">
      <x:c r="A197" s="38" t="n"/>
      <x:c r="B197" s="37" t="n"/>
      <x:c r="C197" s="36" t="n">
        <x:f>E197*D$5</x:f>
        <x:v>0</x:v>
      </x:c>
      <x:c r="D197" s="20" t="n"/>
      <x:c r="E197" s="36" t="n">
        <x:f>SUM(G197:HT197)</x:f>
        <x:v>0</x:v>
      </x:c>
      <x:c r="R197" s="100" t="n"/>
      <x:c r="S197" s="100" t="n"/>
      <x:c r="AE197" s="100" t="n"/>
      <x:c r="AF197" s="100" t="n"/>
      <x:c r="AG197" s="100" t="n"/>
      <x:c r="AH197" s="100" t="n"/>
      <x:c r="AI197" s="100" t="n"/>
      <x:c r="AJ197" s="100" t="n"/>
      <x:c r="AK197" s="100" t="n"/>
      <x:c r="AM197" s="100" t="n"/>
      <x:c r="AO197" s="100" t="n"/>
    </x:row>
    <x:row r="198" s="27" customFormat="1">
      <x:c r="A198" s="38" t="n"/>
      <x:c r="B198" s="37" t="n"/>
      <x:c r="C198" s="36" t="n">
        <x:f>E198*D$5</x:f>
        <x:v>0</x:v>
      </x:c>
      <x:c r="D198" s="20" t="n"/>
      <x:c r="E198" s="36" t="n">
        <x:f>SUM(G198:HT198)</x:f>
        <x:v>0</x:v>
      </x:c>
      <x:c r="R198" s="100" t="n"/>
      <x:c r="S198" s="100" t="n"/>
      <x:c r="AE198" s="100" t="n"/>
      <x:c r="AF198" s="100" t="n"/>
      <x:c r="AG198" s="100" t="n"/>
      <x:c r="AH198" s="100" t="n"/>
      <x:c r="AI198" s="100" t="n"/>
      <x:c r="AJ198" s="100" t="n"/>
      <x:c r="AK198" s="100" t="n"/>
      <x:c r="AM198" s="100" t="n"/>
      <x:c r="AO198" s="100" t="n"/>
    </x:row>
    <x:row r="199" s="27" customFormat="1">
      <x:c r="A199" s="38" t="n"/>
      <x:c r="B199" s="37" t="n"/>
      <x:c r="C199" s="36" t="n">
        <x:f>E199*D$5</x:f>
        <x:v>0</x:v>
      </x:c>
      <x:c r="D199" s="20" t="n"/>
      <x:c r="E199" s="36" t="n">
        <x:f>SUM(G199:HT199)</x:f>
        <x:v>0</x:v>
      </x:c>
      <x:c r="R199" s="100" t="n"/>
      <x:c r="S199" s="100" t="n"/>
      <x:c r="AE199" s="100" t="n"/>
      <x:c r="AF199" s="100" t="n"/>
      <x:c r="AG199" s="100" t="n"/>
      <x:c r="AH199" s="100" t="n"/>
      <x:c r="AI199" s="100" t="n"/>
      <x:c r="AJ199" s="100" t="n"/>
      <x:c r="AK199" s="100" t="n"/>
      <x:c r="AM199" s="100" t="n"/>
      <x:c r="AO199" s="100" t="n"/>
    </x:row>
    <x:row r="200" s="27" customFormat="1">
      <x:c r="A200" s="38" t="n"/>
      <x:c r="B200" s="37" t="n"/>
      <x:c r="C200" s="36" t="n">
        <x:f>E200*D$5</x:f>
        <x:v>0</x:v>
      </x:c>
      <x:c r="D200" s="20" t="n"/>
      <x:c r="E200" s="36" t="n">
        <x:f>SUM(G200:HT200)</x:f>
        <x:v>0</x:v>
      </x:c>
      <x:c r="R200" s="100" t="n"/>
      <x:c r="S200" s="100" t="n"/>
      <x:c r="AE200" s="100" t="n"/>
      <x:c r="AF200" s="100" t="n"/>
      <x:c r="AG200" s="100" t="n"/>
      <x:c r="AH200" s="100" t="n"/>
      <x:c r="AI200" s="100" t="n"/>
      <x:c r="AJ200" s="100" t="n"/>
      <x:c r="AK200" s="100" t="n"/>
      <x:c r="AM200" s="100" t="n"/>
      <x:c r="AO200" s="100" t="n"/>
    </x:row>
    <x:row r="201" s="27" customFormat="1">
      <x:c r="A201" s="38" t="n"/>
      <x:c r="B201" s="37" t="n"/>
      <x:c r="C201" s="36" t="n">
        <x:f>E201*D$5</x:f>
        <x:v>0</x:v>
      </x:c>
      <x:c r="D201" s="20" t="n"/>
      <x:c r="E201" s="36" t="n">
        <x:f>SUM(G201:HT201)</x:f>
        <x:v>0</x:v>
      </x:c>
      <x:c r="R201" s="100" t="n"/>
      <x:c r="S201" s="100" t="n"/>
      <x:c r="AE201" s="100" t="n"/>
      <x:c r="AF201" s="100" t="n"/>
      <x:c r="AG201" s="100" t="n"/>
      <x:c r="AH201" s="100" t="n"/>
      <x:c r="AI201" s="100" t="n"/>
      <x:c r="AJ201" s="100" t="n"/>
      <x:c r="AK201" s="100" t="n"/>
      <x:c r="AM201" s="100" t="n"/>
      <x:c r="AO201" s="100" t="n"/>
    </x:row>
    <x:row r="202" s="27" customFormat="1">
      <x:c r="A202" s="38" t="n"/>
      <x:c r="B202" s="37" t="n"/>
      <x:c r="C202" s="36" t="n">
        <x:f>E202*D$5</x:f>
        <x:v>0</x:v>
      </x:c>
      <x:c r="D202" s="20" t="n"/>
      <x:c r="E202" s="36" t="n">
        <x:f>SUM(G202:HT202)</x:f>
        <x:v>0</x:v>
      </x:c>
      <x:c r="R202" s="100" t="n"/>
      <x:c r="S202" s="100" t="n"/>
      <x:c r="AE202" s="100" t="n"/>
      <x:c r="AF202" s="100" t="n"/>
      <x:c r="AG202" s="100" t="n"/>
      <x:c r="AH202" s="100" t="n"/>
      <x:c r="AI202" s="100" t="n"/>
      <x:c r="AJ202" s="100" t="n"/>
      <x:c r="AK202" s="100" t="n"/>
      <x:c r="AM202" s="100" t="n"/>
      <x:c r="AO202" s="100" t="n"/>
    </x:row>
    <x:row r="203" s="27" customFormat="1">
      <x:c r="A203" s="38" t="n"/>
      <x:c r="B203" s="37" t="n"/>
      <x:c r="C203" s="36" t="n">
        <x:f>E203*D$5</x:f>
        <x:v>0</x:v>
      </x:c>
      <x:c r="D203" s="20" t="n"/>
      <x:c r="E203" s="36" t="n">
        <x:f>SUM(G203:HT203)</x:f>
        <x:v>0</x:v>
      </x:c>
      <x:c r="R203" s="100" t="n"/>
      <x:c r="S203" s="100" t="n"/>
      <x:c r="AE203" s="100" t="n"/>
      <x:c r="AF203" s="100" t="n"/>
      <x:c r="AG203" s="100" t="n"/>
      <x:c r="AH203" s="100" t="n"/>
      <x:c r="AI203" s="100" t="n"/>
      <x:c r="AJ203" s="100" t="n"/>
      <x:c r="AK203" s="100" t="n"/>
      <x:c r="AM203" s="102" t="n"/>
      <x:c r="AO203" s="100" t="n"/>
    </x:row>
    <x:row r="204" s="29" customFormat="1">
      <x:c r="A204" s="34" t="n"/>
      <x:c r="B204" s="33" t="n"/>
      <x:c r="C204" s="32" t="n"/>
      <x:c r="D204" s="31" t="n"/>
      <x:c r="E204" s="30" t="n"/>
      <x:c r="R204" s="100" t="n"/>
      <x:c r="S204" s="100" t="n"/>
      <x:c r="AE204" s="100" t="n"/>
      <x:c r="AF204" s="100" t="n"/>
      <x:c r="AG204" s="100" t="n"/>
      <x:c r="AH204" s="100" t="n"/>
      <x:c r="AI204" s="100" t="n"/>
      <x:c r="AJ204" s="100" t="n"/>
      <x:c r="AK204" s="100" t="n"/>
      <x:c r="AM204" s="95" t="n"/>
      <x:c r="AO204" s="100" t="n"/>
    </x:row>
    <x:row r="205" s="26" customFormat="1">
      <x:c r="A205" s="25" t="n"/>
      <x:c r="B205" s="24" t="n"/>
      <x:c r="C205" s="23" t="n"/>
      <x:c r="D205" s="22" t="n"/>
      <x:c r="E205" s="21" t="n"/>
      <x:c r="R205" s="100" t="n"/>
      <x:c r="S205" s="100" t="n"/>
      <x:c r="AE205" s="100" t="n"/>
      <x:c r="AF205" s="100" t="n"/>
      <x:c r="AG205" s="100" t="n"/>
      <x:c r="AH205" s="100" t="n"/>
      <x:c r="AI205" s="100" t="n"/>
      <x:c r="AJ205" s="100" t="n"/>
      <x:c r="AK205" s="100" t="n"/>
      <x:c r="AM205" s="95" t="n"/>
      <x:c r="AO205" s="100" t="n"/>
    </x:row>
    <x:row r="206">
      <x:c r="A206" s="25" t="n"/>
      <x:c r="B206" s="24" t="n"/>
      <x:c r="C206" s="23" t="n"/>
      <x:c r="D206" s="22" t="n"/>
      <x:c r="E206" s="21" t="n"/>
      <x:c r="R206" s="100" t="n"/>
      <x:c r="S206" s="100" t="n"/>
      <x:c r="AE206" s="100" t="n"/>
      <x:c r="AF206" s="100" t="n"/>
      <x:c r="AG206" s="100" t="n"/>
      <x:c r="AH206" s="102" t="n"/>
      <x:c r="AI206" s="102" t="n"/>
      <x:c r="AJ206" s="102" t="n"/>
      <x:c r="AK206" s="102" t="n"/>
      <x:c r="AO206" s="102" t="n"/>
    </x:row>
    <x:row r="207">
      <x:c r="R207" s="100" t="n"/>
      <x:c r="S207" s="100" t="n"/>
      <x:c r="AE207" s="102" t="n"/>
      <x:c r="AF207" s="100" t="n"/>
      <x:c r="AG207" s="100" t="n"/>
    </x:row>
    <x:row r="208">
      <x:c r="R208" s="102" t="n"/>
      <x:c r="S208" s="102" t="n"/>
      <x:c r="AF208" s="102" t="n"/>
      <x:c r="AG208" s="100" t="n"/>
    </x:row>
    <x:row r="209">
      <x:c r="AG209" s="100" t="n"/>
    </x:row>
    <x:row r="210">
      <x:c r="AG210" s="100" t="n"/>
    </x:row>
    <x:row r="211">
      <x:c r="AG211" s="100" t="n"/>
    </x:row>
    <x:row r="212">
      <x:c r="AG212" s="102" t="n"/>
    </x:row>
  </x:sheetData>
  <x:mergeCells>
    <x:mergeCell ref="CG7:CG8"/>
    <x:mergeCell ref="EX7:EX8"/>
    <x:mergeCell ref="EZ7:EZ8"/>
    <x:mergeCell ref="DH7:DH8"/>
    <x:mergeCell ref="BR7:BR8"/>
    <x:mergeCell ref="BA7:BA8"/>
    <x:mergeCell ref="BC7:BC8"/>
    <x:mergeCell ref="DT7:DT8"/>
    <x:mergeCell ref="M7:M8"/>
    <x:mergeCell ref="DV7:DV8"/>
    <x:mergeCell ref="FD7:FD8"/>
    <x:mergeCell ref="FV7:FV8"/>
    <x:mergeCell ref="BO7:BO8"/>
    <x:mergeCell ref="FX7:FX8"/>
    <x:mergeCell ref="CI7:CI8"/>
    <x:mergeCell ref="DS7:DS8"/>
    <x:mergeCell ref="E1:F1"/>
    <x:mergeCell ref="P7:P8"/>
    <x:mergeCell ref="AM7:AM8"/>
    <x:mergeCell ref="FF7:FF8"/>
    <x:mergeCell ref="CA7:CA8"/>
    <x:mergeCell ref="T7:T8"/>
    <x:mergeCell ref="V7:V8"/>
    <x:mergeCell ref="CM7:CM8"/>
    <x:mergeCell ref="AN7:AN8"/>
    <x:mergeCell ref="AP7:AP8"/>
    <x:mergeCell ref="AF7:AF8"/>
    <x:mergeCell ref="DG7:DG8"/>
    <x:mergeCell ref="EO7:EO8"/>
    <x:mergeCell ref="AH7:AH8"/>
    <x:mergeCell ref="EQ7:EQ8"/>
    <x:mergeCell ref="D2:D4"/>
    <x:mergeCell ref="FI7:FI8"/>
    <x:mergeCell ref="CJ7:CJ8"/>
    <x:mergeCell ref="BB7:BB8"/>
    <x:mergeCell ref="FA7:FA8"/>
    <x:mergeCell ref="BD7:BD8"/>
    <x:mergeCell ref="FC7:FC8"/>
    <x:mergeCell ref="EN7:EN8"/>
    <x:mergeCell ref="AT7:AT8"/>
    <x:mergeCell ref="DK7:DK8"/>
    <x:mergeCell ref="AV7:AV8"/>
    <x:mergeCell ref="CP7:CP8"/>
    <x:mergeCell ref="DM7:DM8"/>
    <x:mergeCell ref="C6:C7"/>
    <x:mergeCell ref="BF7:BF8"/>
    <x:mergeCell ref="FO7:FO8"/>
    <x:mergeCell ref="BH7:BH8"/>
    <x:mergeCell ref="E3:F3"/>
    <x:mergeCell ref="FQ7:FQ8"/>
    <x:mergeCell ref="DY7:DY8"/>
    <x:mergeCell ref="EA7:EA8"/>
    <x:mergeCell ref="DJ7:DJ8"/>
    <x:mergeCell ref="GA7:GA8"/>
    <x:mergeCell ref="BT7:BT8"/>
    <x:mergeCell ref="B3:C3"/>
    <x:mergeCell ref="A2:A6"/>
    <x:mergeCell ref="E5:F5"/>
    <x:mergeCell ref="G7:G8"/>
    <x:mergeCell ref="DP7:DP8"/>
    <x:mergeCell ref="I7:I8"/>
    <x:mergeCell ref="BI7:BI8"/>
    <x:mergeCell ref="S7:S8"/>
    <x:mergeCell ref="EB7:EB8"/>
    <x:mergeCell ref="U7:U8"/>
    <x:mergeCell ref="FL7:FL8"/>
    <x:mergeCell ref="W7:W8"/>
    <x:mergeCell ref="E4:F4"/>
    <x:mergeCell ref="BW7:BW8"/>
    <x:mergeCell ref="CT7:CT8"/>
    <x:mergeCell ref="B2:C2"/>
    <x:mergeCell ref="CF7:CF8"/>
    <x:mergeCell ref="EF7:EF8"/>
    <x:mergeCell ref="AI7:AI8"/>
    <x:mergeCell ref="Y7:Y8"/>
    <x:mergeCell ref="EH7:EH8"/>
    <x:mergeCell ref="CZ7:CZ8"/>
    <x:mergeCell ref="AA7:AA8"/>
    <x:mergeCell ref="CR7:CR8"/>
    <x:mergeCell ref="AS7:AS8"/>
    <x:mergeCell ref="CC7:CC8"/>
    <x:mergeCell ref="AU7:AU8"/>
    <x:mergeCell ref="ET7:ET8"/>
    <x:mergeCell ref="F6:F8"/>
    <x:mergeCell ref="EV7:EV8"/>
    <x:mergeCell ref="CW7:CW8"/>
    <x:mergeCell ref="FN7:FN8"/>
    <x:mergeCell ref="CO7:CO8"/>
    <x:mergeCell ref="FP7:FP8"/>
    <x:mergeCell ref="DI7:DI8"/>
    <x:mergeCell ref="AY7:AY8"/>
    <x:mergeCell ref="AD7:AD8"/>
    <x:mergeCell ref="CU7:CU8"/>
    <x:mergeCell ref="DR7:DR8"/>
    <x:mergeCell ref="FR7:FR8"/>
    <x:mergeCell ref="BK7:BK8"/>
    <x:mergeCell ref="FT7:FT8"/>
    <x:mergeCell ref="DO7:DO8"/>
    <x:mergeCell ref="BQ7:BQ8"/>
    <x:mergeCell ref="DA7:DA8"/>
    <x:mergeCell ref="L7:L8"/>
    <x:mergeCell ref="DU7:DU8"/>
    <x:mergeCell ref="N7:N8"/>
    <x:mergeCell ref="BN7:BN8"/>
    <x:mergeCell ref="BP7:BP8"/>
    <x:mergeCell ref="EG7:EG8"/>
    <x:mergeCell ref="BZ7:BZ8"/>
    <x:mergeCell ref="CB7:CB8"/>
    <x:mergeCell ref="R7:R8"/>
    <x:mergeCell ref="CE7:CE8"/>
    <x:mergeCell ref="AJ7:AJ8"/>
    <x:mergeCell ref="CK7:CK8"/>
    <x:mergeCell ref="AL7:AL8"/>
    <x:mergeCell ref="EK7:EK8"/>
    <x:mergeCell ref="DC7:DC8"/>
    <x:mergeCell ref="EM7:EM8"/>
    <x:mergeCell ref="CN7:CN8"/>
    <x:mergeCell ref="FE7:FE8"/>
    <x:mergeCell ref="AX7:AX8"/>
    <x:mergeCell ref="FG7:FG8"/>
    <x:mergeCell ref="EW7:EW8"/>
    <x:mergeCell ref="EY7:EY8"/>
    <x:mergeCell ref="DB7:DB8"/>
    <x:mergeCell ref="CL7:CL8"/>
    <x:mergeCell ref="AG7:AG8"/>
    <x:mergeCell ref="EP7:EP8"/>
    <x:mergeCell ref="FW7:FW8"/>
    <x:mergeCell ref="FB7:FB8"/>
    <x:mergeCell ref="FY7:FY8"/>
    <x:mergeCell ref="DL7:DL8"/>
    <x:mergeCell ref="DD7:DD8"/>
    <x:mergeCell ref="BV7:BV8"/>
    <x:mergeCell ref="BE7:BE8"/>
    <x:mergeCell ref="DF7:DF8"/>
    <x:mergeCell ref="BG7:BG8"/>
    <x:mergeCell ref="O7:O8"/>
    <x:mergeCell ref="DX7:DX8"/>
    <x:mergeCell ref="Q7:Q8"/>
    <x:mergeCell ref="FH7:FH8"/>
    <x:mergeCell ref="DZ7:DZ8"/>
    <x:mergeCell ref="FZ7:FZ8"/>
    <x:mergeCell ref="BS7:BS8"/>
    <x:mergeCell ref="EJ7:EJ8"/>
    <x:mergeCell ref="BU7:BU8"/>
    <x:mergeCell ref="DW7:DW8"/>
    <x:mergeCell ref="AR7:AR8"/>
    <x:mergeCell ref="B5:C5"/>
    <x:mergeCell ref="EI7:EI8"/>
    <x:mergeCell ref="ED7:ED8"/>
    <x:mergeCell ref="AO7:AO8"/>
    <x:mergeCell ref="D6:D7"/>
    <x:mergeCell ref="BY7:BY8"/>
    <x:mergeCell ref="AQ7:AQ8"/>
    <x:mergeCell ref="B6:B8"/>
    <x:mergeCell ref="B4:C4"/>
    <x:mergeCell ref="ER7:ER8"/>
    <x:mergeCell ref="CS7:CS8"/>
    <x:mergeCell ref="FJ7:FJ8"/>
    <x:mergeCell ref="DE7:DE8"/>
    <x:mergeCell ref="X7:X8"/>
    <x:mergeCell ref="Z7:Z8"/>
    <x:mergeCell ref="CQ7:CQ8"/>
    <x:mergeCell ref="ES7:ES8"/>
    <x:mergeCell ref="EU7:EU8"/>
    <x:mergeCell ref="BM7:BM8"/>
    <x:mergeCell ref="AZ7:AZ8"/>
    <x:mergeCell ref="H7:H8"/>
    <x:mergeCell ref="DQ7:DQ8"/>
    <x:mergeCell ref="J7:J8"/>
    <x:mergeCell ref="E6:E7"/>
    <x:mergeCell ref="BJ7:BJ8"/>
    <x:mergeCell ref="AB7:AB8"/>
    <x:mergeCell ref="FS7:FS8"/>
    <x:mergeCell ref="BL7:BL8"/>
    <x:mergeCell ref="FU7:FU8"/>
    <x:mergeCell ref="FK7:FK8"/>
    <x:mergeCell ref="EC7:EC8"/>
    <x:mergeCell ref="FM7:FM8"/>
    <x:mergeCell ref="EE7:EE8"/>
    <x:mergeCell ref="DN7:DN8"/>
    <x:mergeCell ref="CD7:CD8"/>
    <x:mergeCell ref="BX7:BX8"/>
    <x:mergeCell ref="E2:F2"/>
    <x:mergeCell ref="K7:K8"/>
    <x:mergeCell ref="CY7:CY8"/>
    <x:mergeCell ref="CX7:CX8"/>
    <x:mergeCell ref="CH7:CH8"/>
    <x:mergeCell ref="AK7:AK8"/>
    <x:mergeCell ref="AC7:AC8"/>
    <x:mergeCell ref="EL7:EL8"/>
    <x:mergeCell ref="AE7:AE8"/>
    <x:mergeCell ref="CV7:CV8"/>
    <x:mergeCell ref="AW7:AW8"/>
  </x:mergeCells>
  <x:pageMargins left="0.7" right="0.7" top="0.75" bottom="0.75" header="0.3" footer="0.3"/>
</x:worksheet>
</file>

<file path=xl/worksheets/sheet14.xml><?xml version="1.0" encoding="utf-8"?>
<x:worksheet xmlns:x="http://schemas.openxmlformats.org/spreadsheetml/2006/main">
  <x:sheetFormatPr baseColWidth="8" defaultColWidth="14.42578125" defaultRowHeight="12.75"/>
  <x:cols>
    <x:col min="1" max="1" width="8.140625" style="19" customWidth="1"/>
    <x:col min="2" max="2" width="6.85546875" style="18" customWidth="1"/>
    <x:col min="3" max="3" width="12.5703125" style="17" customWidth="1"/>
    <x:col min="4" max="4" width="51.42578125" style="16" customWidth="1"/>
    <x:col min="5" max="5" width="11.140625" style="15" customWidth="1"/>
    <x:col min="6" max="6" width="6.85546875" style="13" customWidth="1"/>
    <x:col min="7" max="17" width="13" style="13" customWidth="1"/>
    <x:col min="18" max="19" width="13" style="95" customWidth="1"/>
    <x:col min="20" max="30" width="13" style="13" customWidth="1"/>
    <x:col min="31" max="37" width="13" style="95" customWidth="1"/>
    <x:col min="38" max="38" width="13" style="13" customWidth="1"/>
    <x:col min="39" max="39" width="13" style="95" customWidth="1"/>
    <x:col min="40" max="40" width="13" style="13" customWidth="1"/>
    <x:col min="41" max="41" width="13" style="95" customWidth="1"/>
    <x:col min="42" max="183" width="13" style="13" customWidth="1"/>
    <x:col min="184" max="184" width="13" style="14" customWidth="1"/>
    <x:col min="185" max="187" width="13" style="13" customWidth="1"/>
    <x:col min="188" max="16384" width="14.42578125" style="13" customWidth="1"/>
  </x:cols>
  <x:sheetData>
    <x:row r="1" s="569" customFormat="1" ht="13.5" customHeight="1">
      <x:c r="E1" s="477" t="inlineStr">
        <x:is>
          <x:t xml:space="preserve">Instrument</x:t>
        </x:is>
      </x:c>
      <x:c r="F1" s="592" t="n"/>
      <x:c r="G1" s="63" t="inlineStr">
        <x:is>
          <x:t xml:space="preserve"/>
        </x:is>
      </x:c>
      <x:c r="H1" s="116" t="inlineStr">
        <x:is>
          <x:t xml:space="preserve">HSTD</x:t>
        </x:is>
      </x:c>
      <x:c r="I1" s="116" t="inlineStr">
        <x:is>
          <x:t xml:space="preserve">DEED</x:t>
        </x:is>
      </x:c>
      <x:c r="J1" s="116" t="inlineStr">
        <x:is>
          <x:t xml:space="preserve">PAT</x:t>
        </x:is>
      </x:c>
      <x:c r="K1" s="116" t="inlineStr">
        <x:is>
          <x:t xml:space="preserve">DEED</x:t>
        </x:is>
      </x:c>
      <x:c r="L1" s="116" t="inlineStr">
        <x:is>
          <x:t xml:space="preserve">DEED</x:t>
        </x:is>
      </x:c>
      <x:c r="M1" s="116" t="inlineStr">
        <x:is>
          <x:t xml:space="preserve">WD</x:t>
        </x:is>
      </x:c>
      <x:c r="N1" s="116" t="inlineStr">
        <x:is>
          <x:t xml:space="preserve">DEED</x:t>
        </x:is>
      </x:c>
      <x:c r="O1" s="116" t="inlineStr">
        <x:is>
          <x:t xml:space="preserve">WD</x:t>
        </x:is>
      </x:c>
      <x:c r="P1" s="116" t="inlineStr">
        <x:is>
          <x:t xml:space="preserve">WD</x:t>
        </x:is>
      </x:c>
      <x:c r="Q1" s="116" t="inlineStr">
        <x:is>
          <x:t xml:space="preserve">MD</x:t>
        </x:is>
      </x:c>
      <x:c r="R1" s="116" t="inlineStr">
        <x:is>
          <x:t xml:space="preserve">MD</x:t>
        </x:is>
      </x:c>
      <x:c r="S1" s="116" t="inlineStr">
        <x:is>
          <x:t xml:space="preserve">MD</x:t>
        </x:is>
      </x:c>
      <x:c r="T1" s="116" t="inlineStr">
        <x:is>
          <x:t xml:space="preserve">MD</x:t>
        </x:is>
      </x:c>
      <x:c r="U1" s="116" t="inlineStr">
        <x:is>
          <x:t xml:space="preserve">FD</x:t>
        </x:is>
      </x:c>
      <x:c r="V1" s="116" t="inlineStr">
        <x:is>
          <x:t xml:space="preserve">JTWD</x:t>
        </x:is>
      </x:c>
      <x:c r="W1" s="116" t="inlineStr">
        <x:is>
          <x:t xml:space="preserve">DEED</x:t>
        </x:is>
      </x:c>
      <x:c r="X1" s="116" t="inlineStr">
        <x:is>
          <x:t xml:space="preserve">MD</x:t>
        </x:is>
      </x:c>
      <x:c r="Y1" s="116" t="inlineStr">
        <x:is>
          <x:t xml:space="preserve">FD</x:t>
        </x:is>
      </x:c>
      <x:c r="Z1" s="116" t="inlineStr">
        <x:is>
          <x:t xml:space="preserve">MD</x:t>
        </x:is>
      </x:c>
      <x:c r="AA1" s="116" t="inlineStr">
        <x:is>
          <x:t xml:space="preserve">MD</x:t>
        </x:is>
      </x:c>
      <x:c r="AB1" s="116" t="inlineStr">
        <x:is>
          <x:t xml:space="preserve">MD</x:t>
        </x:is>
      </x:c>
      <x:c r="AC1" s="116" t="inlineStr">
        <x:is>
          <x:t xml:space="preserve">MD</x:t>
        </x:is>
      </x:c>
      <x:c r="AD1" s="116" t="inlineStr">
        <x:is>
          <x:t xml:space="preserve">DEC</x:t>
        </x:is>
      </x:c>
      <x:c r="AE1" s="116" t="inlineStr">
        <x:is>
          <x:t xml:space="preserve">MD</x:t>
        </x:is>
      </x:c>
      <x:c r="AF1" s="116" t="inlineStr">
        <x:is>
          <x:t xml:space="preserve">MD</x:t>
        </x:is>
      </x:c>
      <x:c r="AG1" s="116" t="inlineStr">
        <x:is>
          <x:t xml:space="preserve">MD</x:t>
        </x:is>
      </x:c>
      <x:c r="AH1" s="116" t="inlineStr">
        <x:is>
          <x:t xml:space="preserve">MD</x:t>
        </x:is>
      </x:c>
      <x:c r="AI1" s="116" t="inlineStr">
        <x:is>
          <x:t xml:space="preserve">MD</x:t>
        </x:is>
      </x:c>
      <x:c r="AJ1" s="116" t="inlineStr">
        <x:is>
          <x:t xml:space="preserve">MD</x:t>
        </x:is>
      </x:c>
      <x:c r="AK1" s="116" t="inlineStr">
        <x:is>
          <x:t xml:space="preserve">ORD</x:t>
        </x:is>
      </x:c>
      <x:c r="AL1" s="116" t="inlineStr">
        <x:is>
          <x:t xml:space="preserve">MD</x:t>
        </x:is>
      </x:c>
      <x:c r="AM1" s="116" t="inlineStr">
        <x:is>
          <x:t xml:space="preserve">MD</x:t>
        </x:is>
      </x:c>
      <x:c r="AN1" s="116" t="inlineStr">
        <x:is>
          <x:t xml:space="preserve">WD</x:t>
        </x:is>
      </x:c>
      <x:c r="AO1" s="116" t="inlineStr">
        <x:is>
          <x:t xml:space="preserve">MD</x:t>
        </x:is>
      </x:c>
      <x:c r="AP1" s="95" t="inlineStr">
        <x:is>
          <x:t xml:space="preserve">MD</x:t>
        </x:is>
      </x:c>
      <x:c r="AQ1" s="95" t="n"/>
      <x:c r="AR1" s="95" t="n"/>
      <x:c r="AS1" s="95" t="n"/>
      <x:c r="AT1" s="95" t="n"/>
      <x:c r="AU1" s="95" t="n"/>
      <x:c r="AV1" s="95" t="n"/>
      <x:c r="AW1" s="95" t="n"/>
      <x:c r="AX1" s="95" t="n"/>
      <x:c r="AY1" s="95" t="n"/>
      <x:c r="AZ1" s="95" t="n"/>
      <x:c r="BA1" s="95" t="n"/>
      <x:c r="BB1" s="95" t="n"/>
      <x:c r="BC1" s="95" t="n"/>
      <x:c r="BD1" s="95" t="n"/>
      <x:c r="BE1" s="95" t="n"/>
      <x:c r="BF1" s="95" t="n"/>
      <x:c r="BG1" s="95" t="n"/>
      <x:c r="BH1" s="95" t="n"/>
      <x:c r="BI1" s="95" t="n"/>
      <x:c r="BJ1" s="95" t="n"/>
      <x:c r="BK1" s="95" t="n"/>
      <x:c r="BL1" s="95" t="n"/>
      <x:c r="BM1" s="95" t="n"/>
      <x:c r="BN1" s="95" t="n"/>
      <x:c r="BO1" s="95" t="n"/>
      <x:c r="BP1" s="95" t="n"/>
      <x:c r="BQ1" s="95" t="n"/>
      <x:c r="BR1" s="95" t="n"/>
      <x:c r="BS1" s="95" t="n"/>
      <x:c r="BT1" s="95" t="n"/>
      <x:c r="BU1" s="95" t="n"/>
      <x:c r="BV1" s="95" t="n"/>
      <x:c r="BW1" s="95" t="n"/>
      <x:c r="BX1" s="95" t="n"/>
      <x:c r="BY1" s="95" t="n"/>
      <x:c r="BZ1" s="95" t="n"/>
      <x:c r="CA1" s="95" t="n"/>
      <x:c r="CB1" s="95" t="n"/>
      <x:c r="CC1" s="95" t="n"/>
      <x:c r="CD1" s="95" t="n"/>
      <x:c r="CE1" s="95" t="n"/>
      <x:c r="CF1" s="95" t="n"/>
      <x:c r="CG1" s="95" t="n"/>
      <x:c r="CH1" s="95" t="n"/>
      <x:c r="CI1" s="95" t="n"/>
      <x:c r="CJ1" s="95" t="n"/>
      <x:c r="CK1" s="95" t="n"/>
      <x:c r="CL1" s="95" t="n"/>
      <x:c r="CM1" s="95" t="n"/>
      <x:c r="CN1" s="95" t="n"/>
      <x:c r="CO1" s="95" t="n"/>
      <x:c r="CP1" s="95" t="n"/>
      <x:c r="CQ1" s="95" t="n"/>
      <x:c r="CR1" s="95" t="n"/>
      <x:c r="CS1" s="95" t="n"/>
      <x:c r="CT1" s="95" t="n"/>
      <x:c r="CU1" s="95" t="n"/>
      <x:c r="CV1" s="95" t="n"/>
      <x:c r="CW1" s="95" t="n"/>
      <x:c r="CX1" s="95" t="n"/>
      <x:c r="CY1" s="95" t="n"/>
      <x:c r="CZ1" s="95" t="n"/>
      <x:c r="DA1" s="95" t="n"/>
      <x:c r="DB1" s="95" t="n"/>
      <x:c r="DC1" s="95" t="n"/>
      <x:c r="DD1" s="95" t="n"/>
      <x:c r="DE1" s="95" t="n"/>
      <x:c r="DF1" s="95" t="n"/>
      <x:c r="DG1" s="95" t="n"/>
      <x:c r="DH1" s="95" t="n"/>
      <x:c r="DI1" s="95" t="n"/>
      <x:c r="DJ1" s="95" t="n"/>
      <x:c r="DK1" s="95" t="n"/>
      <x:c r="DL1" s="95" t="n"/>
      <x:c r="DM1" s="95" t="n"/>
      <x:c r="DN1" s="95" t="n"/>
      <x:c r="DO1" s="95" t="n"/>
      <x:c r="DP1" s="95" t="n"/>
      <x:c r="DQ1" s="95" t="n"/>
      <x:c r="DR1" s="95" t="n"/>
      <x:c r="DS1" s="95" t="n"/>
      <x:c r="DT1" s="95" t="n"/>
      <x:c r="DU1" s="95" t="n"/>
      <x:c r="DV1" s="95" t="n"/>
      <x:c r="DW1" s="95" t="n"/>
      <x:c r="DX1" s="95" t="n"/>
      <x:c r="DY1" s="95" t="n"/>
      <x:c r="DZ1" s="95" t="n"/>
      <x:c r="EA1" s="95" t="n"/>
      <x:c r="EB1" s="95" t="n"/>
      <x:c r="EC1" s="95" t="n"/>
      <x:c r="ED1" s="95" t="n"/>
      <x:c r="EE1" s="95" t="n"/>
      <x:c r="EF1" s="95" t="n"/>
      <x:c r="EG1" s="95" t="n"/>
      <x:c r="EH1" s="95" t="n"/>
      <x:c r="EI1" s="95" t="n"/>
      <x:c r="EJ1" s="95" t="n"/>
      <x:c r="EK1" s="95" t="n"/>
      <x:c r="EL1" s="95" t="n"/>
      <x:c r="EM1" s="95" t="n"/>
      <x:c r="EN1" s="95" t="n"/>
      <x:c r="EO1" s="95" t="n"/>
      <x:c r="EP1" s="95" t="n"/>
      <x:c r="EQ1" s="95" t="n"/>
      <x:c r="ER1" s="95" t="n"/>
      <x:c r="ES1" s="95" t="n"/>
      <x:c r="ET1" s="95" t="n"/>
      <x:c r="EU1" s="95" t="n"/>
      <x:c r="EV1" s="95" t="n"/>
      <x:c r="EW1" s="95" t="n"/>
      <x:c r="EX1" s="95" t="n"/>
      <x:c r="EY1" s="95" t="n"/>
      <x:c r="EZ1" s="95" t="n"/>
      <x:c r="FA1" s="95" t="n"/>
      <x:c r="FB1" s="95" t="n"/>
      <x:c r="FC1" s="95" t="n"/>
      <x:c r="FD1" s="95" t="n"/>
      <x:c r="FE1" s="95" t="n"/>
      <x:c r="FF1" s="95" t="n"/>
      <x:c r="FG1" s="95" t="n"/>
      <x:c r="FH1" s="95" t="n"/>
      <x:c r="FI1" s="95" t="n"/>
      <x:c r="FJ1" s="95" t="n"/>
      <x:c r="FK1" s="95" t="n"/>
      <x:c r="FL1" s="95" t="n"/>
      <x:c r="FM1" s="95" t="n"/>
      <x:c r="FN1" s="95" t="n"/>
      <x:c r="FO1" s="95" t="n"/>
      <x:c r="FP1" s="95" t="n"/>
      <x:c r="FQ1" s="95" t="n"/>
      <x:c r="FR1" s="95" t="n"/>
      <x:c r="FS1" s="95" t="n"/>
      <x:c r="FT1" s="95" t="n"/>
      <x:c r="FU1" s="95" t="n"/>
      <x:c r="FV1" s="95" t="n"/>
      <x:c r="FW1" s="95" t="n"/>
      <x:c r="FX1" s="95" t="n"/>
    </x:row>
    <x:row r="2" s="62" customFormat="1" ht="12.75" customHeight="1">
      <x:c r="A2" s="614" t="n">
        <x:v>9</x:v>
      </x:c>
      <x:c r="B2" s="615" t="inlineStr">
        <x:is>
          <x:t xml:space="preserve">TRACT</x:t>
        </x:is>
      </x:c>
      <x:c r="C2" s="593" t="n"/>
      <x:c r="D2" s="616" t="inlineStr">
        <x:is>
          <x:t xml:space="preserve">Lot 4, S/2 of Lot 3, S/2 NE/4 SW/4, less and except a tract of land described as: Beginning at the SE/corner of the SW/4; then North 946 feet; then West 2547.60 feet: then South 946 feet; then East 2547.60 feet to the point of beginning.of 31-12N-24W, containing 75.34 acres, more or less</x:t>
        </x:is>
      </x:c>
      <x:c r="E2" s="617" t="inlineStr">
        <x:is>
          <x:t xml:space="preserve">Image Number</x:t>
        </x:is>
      </x:c>
      <x:c r="F2" s="618" t="n"/>
      <x:c r="G2" s="63" t="n"/>
      <x:c r="H2" s="118" t="inlineStr">
        <x:is>
          <x:t xml:space="preserve">I-1907-002222</x:t>
        </x:is>
      </x:c>
      <x:c r="I2" s="118" t="inlineStr">
        <x:is>
          <x:t xml:space="preserve">1907-001545</x:t>
        </x:is>
      </x:c>
      <x:c r="J2" s="118" t="inlineStr">
        <x:is>
          <x:t xml:space="preserve">1931-001789</x:t>
        </x:is>
      </x:c>
      <x:c r="K2" s="118" t="inlineStr">
        <x:is>
          <x:t xml:space="preserve">1918-000943</x:t>
        </x:is>
      </x:c>
      <x:c r="L2" s="118" t="inlineStr">
        <x:is>
          <x:t xml:space="preserve">1925-000406</x:t>
        </x:is>
      </x:c>
      <x:c r="M2" s="118" t="inlineStr">
        <x:is>
          <x:t xml:space="preserve">1949-000809</x:t>
        </x:is>
      </x:c>
      <x:c r="N2" s="118" t="inlineStr">
        <x:is>
          <x:t xml:space="preserve">1949-003394</x:t>
        </x:is>
      </x:c>
      <x:c r="O2" s="118" t="inlineStr">
        <x:is>
          <x:t xml:space="preserve">1953-000493</x:t>
        </x:is>
      </x:c>
      <x:c r="P2" s="118" t="inlineStr">
        <x:is>
          <x:t xml:space="preserve">1953-000498</x:t>
        </x:is>
      </x:c>
      <x:c r="Q2" s="118" t="inlineStr">
        <x:is>
          <x:t xml:space="preserve">1962-001141</x:t>
        </x:is>
      </x:c>
      <x:c r="R2" s="118" t="inlineStr">
        <x:is>
          <x:t xml:space="preserve">1962-001145</x:t>
        </x:is>
      </x:c>
      <x:c r="S2" s="118" t="inlineStr">
        <x:is>
          <x:t xml:space="preserve">1962-001389</x:t>
        </x:is>
      </x:c>
      <x:c r="T2" s="118" t="inlineStr">
        <x:is>
          <x:t xml:space="preserve">1962-001390</x:t>
        </x:is>
      </x:c>
      <x:c r="U2" s="118" t="inlineStr">
        <x:is>
          <x:t xml:space="preserve">1967-002816</x:t>
        </x:is>
      </x:c>
      <x:c r="V2" s="118" t="inlineStr">
        <x:is>
          <x:t xml:space="preserve">1978-002589</x:t>
        </x:is>
      </x:c>
      <x:c r="W2" s="118" t="inlineStr">
        <x:is>
          <x:t xml:space="preserve">1990-004213</x:t>
        </x:is>
      </x:c>
      <x:c r="X2" s="118" t="inlineStr">
        <x:is>
          <x:t xml:space="preserve">1992-003373</x:t>
        </x:is>
      </x:c>
      <x:c r="Y2" s="118" t="inlineStr">
        <x:is>
          <x:t xml:space="preserve">1993-000918</x:t>
        </x:is>
      </x:c>
      <x:c r="Z2" s="118" t="inlineStr">
        <x:is>
          <x:t xml:space="preserve">2004-005738</x:t>
        </x:is>
      </x:c>
      <x:c r="AA2" s="118" t="inlineStr">
        <x:is>
          <x:t xml:space="preserve">2004-005739</x:t>
        </x:is>
      </x:c>
      <x:c r="AB2" s="118" t="inlineStr">
        <x:is>
          <x:t xml:space="preserve">2008-006536</x:t>
        </x:is>
      </x:c>
      <x:c r="AC2" s="118" t="inlineStr">
        <x:is>
          <x:t xml:space="preserve">2004-006577</x:t>
        </x:is>
      </x:c>
      <x:c r="AD2" s="118" t="inlineStr">
        <x:is>
          <x:t xml:space="preserve">2005-002196</x:t>
        </x:is>
      </x:c>
      <x:c r="AE2" s="118" t="inlineStr">
        <x:is>
          <x:t xml:space="preserve">2005-004793</x:t>
        </x:is>
      </x:c>
      <x:c r="AF2" s="118" t="inlineStr">
        <x:is>
          <x:t xml:space="preserve">2005-004044</x:t>
        </x:is>
      </x:c>
      <x:c r="AG2" s="118" t="inlineStr">
        <x:is>
          <x:t xml:space="preserve">2011-007826</x:t>
        </x:is>
      </x:c>
      <x:c r="AH2" s="118" t="inlineStr">
        <x:is>
          <x:t xml:space="preserve">2013-001724</x:t>
        </x:is>
      </x:c>
      <x:c r="AI2" s="118" t="inlineStr">
        <x:is>
          <x:t xml:space="preserve">2013-006585</x:t>
        </x:is>
      </x:c>
      <x:c r="AJ2" s="118" t="inlineStr">
        <x:is>
          <x:t xml:space="preserve">2015-002791</x:t>
        </x:is>
      </x:c>
      <x:c r="AK2" s="118" t="inlineStr">
        <x:is>
          <x:t xml:space="preserve">2026-002877</x:t>
        </x:is>
      </x:c>
      <x:c r="AL2" s="118" t="inlineStr">
        <x:is>
          <x:t xml:space="preserve">2020-001374</x:t>
        </x:is>
      </x:c>
      <x:c r="AM2" s="118" t="inlineStr">
        <x:is>
          <x:t xml:space="preserve">2025-001343</x:t>
        </x:is>
      </x:c>
      <x:c r="AN2" s="118" t="inlineStr">
        <x:is>
          <x:t xml:space="preserve">2025-003963</x:t>
        </x:is>
      </x:c>
      <x:c r="AO2" s="118" t="inlineStr">
        <x:is>
          <x:t xml:space="preserve">2026-000691</x:t>
        </x:is>
      </x:c>
      <x:c r="AP2" s="96" t="inlineStr">
        <x:is>
          <x:t xml:space="preserve">2026-001374</x:t>
        </x:is>
      </x:c>
      <x:c r="AQ2" s="96" t="n"/>
      <x:c r="AR2" s="96" t="n"/>
      <x:c r="AS2" s="96" t="n"/>
      <x:c r="AT2" s="96" t="n"/>
      <x:c r="AU2" s="96" t="n"/>
      <x:c r="AV2" s="96" t="n"/>
      <x:c r="AW2" s="96" t="n"/>
      <x:c r="AX2" s="96" t="n"/>
      <x:c r="AY2" s="96" t="n"/>
      <x:c r="AZ2" s="96" t="n"/>
      <x:c r="BA2" s="96" t="n"/>
      <x:c r="BB2" s="96" t="n"/>
      <x:c r="BC2" s="96" t="n"/>
      <x:c r="BD2" s="96" t="n"/>
      <x:c r="BE2" s="96" t="n"/>
      <x:c r="BF2" s="96" t="n"/>
      <x:c r="BG2" s="96" t="n"/>
      <x:c r="BH2" s="96" t="n"/>
      <x:c r="BI2" s="96" t="n"/>
      <x:c r="BJ2" s="96" t="n"/>
      <x:c r="BK2" s="96" t="n"/>
      <x:c r="BL2" s="96" t="n"/>
      <x:c r="BM2" s="96" t="n"/>
      <x:c r="BN2" s="96" t="n"/>
      <x:c r="BO2" s="96" t="n"/>
      <x:c r="BP2" s="96" t="n"/>
      <x:c r="BQ2" s="96" t="n"/>
      <x:c r="BR2" s="96" t="n"/>
      <x:c r="BS2" s="96" t="n"/>
      <x:c r="BT2" s="96" t="n"/>
      <x:c r="BU2" s="96" t="n"/>
      <x:c r="BV2" s="96" t="n"/>
      <x:c r="BW2" s="96" t="n"/>
      <x:c r="BX2" s="96" t="n"/>
      <x:c r="BY2" s="96" t="n"/>
      <x:c r="BZ2" s="96" t="n"/>
      <x:c r="CA2" s="96" t="n"/>
      <x:c r="CB2" s="96" t="n"/>
      <x:c r="CC2" s="96" t="n"/>
      <x:c r="CD2" s="96" t="n"/>
      <x:c r="CE2" s="96" t="n"/>
      <x:c r="CF2" s="96" t="n"/>
      <x:c r="CG2" s="96" t="n"/>
      <x:c r="CH2" s="96" t="n"/>
      <x:c r="CI2" s="96" t="n"/>
      <x:c r="CJ2" s="96" t="n"/>
      <x:c r="CK2" s="96" t="n"/>
      <x:c r="CL2" s="96" t="n"/>
      <x:c r="CM2" s="96" t="n"/>
      <x:c r="CN2" s="96" t="n"/>
      <x:c r="CO2" s="96" t="n"/>
      <x:c r="CP2" s="96" t="n"/>
      <x:c r="CQ2" s="96" t="n"/>
      <x:c r="CR2" s="96" t="n"/>
      <x:c r="CS2" s="96" t="n"/>
      <x:c r="CT2" s="96" t="n"/>
      <x:c r="CU2" s="96" t="n"/>
      <x:c r="CV2" s="96" t="n"/>
      <x:c r="CW2" s="96" t="n"/>
      <x:c r="CX2" s="96" t="n"/>
      <x:c r="CY2" s="96" t="n"/>
      <x:c r="CZ2" s="96" t="n"/>
      <x:c r="DA2" s="96" t="n"/>
      <x:c r="DB2" s="96" t="n"/>
      <x:c r="DC2" s="96" t="n"/>
      <x:c r="DD2" s="96" t="n"/>
      <x:c r="DE2" s="96" t="n"/>
      <x:c r="DF2" s="96" t="n"/>
      <x:c r="DG2" s="96" t="n"/>
      <x:c r="DH2" s="96" t="n"/>
      <x:c r="DI2" s="96" t="n"/>
      <x:c r="DJ2" s="96" t="n"/>
      <x:c r="DK2" s="96" t="n"/>
      <x:c r="DL2" s="96" t="n"/>
      <x:c r="DM2" s="96" t="n"/>
      <x:c r="DN2" s="96" t="n"/>
      <x:c r="DO2" s="96" t="n"/>
      <x:c r="DP2" s="96" t="n"/>
      <x:c r="DQ2" s="96" t="n"/>
      <x:c r="DR2" s="96" t="n"/>
      <x:c r="DS2" s="96" t="n"/>
      <x:c r="DT2" s="96" t="n"/>
      <x:c r="DU2" s="96" t="n"/>
      <x:c r="DV2" s="96" t="n"/>
      <x:c r="DW2" s="96" t="n"/>
      <x:c r="DX2" s="96" t="n"/>
      <x:c r="DY2" s="96" t="n"/>
      <x:c r="DZ2" s="96" t="n"/>
      <x:c r="EA2" s="96" t="n"/>
      <x:c r="EB2" s="96" t="n"/>
      <x:c r="EC2" s="96" t="n"/>
      <x:c r="ED2" s="96" t="n"/>
      <x:c r="EE2" s="96" t="n"/>
      <x:c r="EF2" s="96" t="n"/>
      <x:c r="EG2" s="96" t="n"/>
      <x:c r="EH2" s="96" t="n"/>
      <x:c r="EI2" s="96" t="n"/>
      <x:c r="EJ2" s="96" t="n"/>
      <x:c r="EK2" s="96" t="n"/>
      <x:c r="EL2" s="96" t="n"/>
      <x:c r="EM2" s="96" t="n"/>
      <x:c r="EN2" s="96" t="n"/>
      <x:c r="EO2" s="96" t="n"/>
      <x:c r="EP2" s="96" t="n"/>
      <x:c r="EQ2" s="96" t="n"/>
      <x:c r="ER2" s="96" t="n"/>
      <x:c r="ES2" s="96" t="n"/>
      <x:c r="ET2" s="96" t="n"/>
      <x:c r="EU2" s="96" t="n"/>
      <x:c r="EV2" s="96" t="n"/>
      <x:c r="EW2" s="96" t="n"/>
      <x:c r="EX2" s="96" t="n"/>
      <x:c r="EY2" s="96" t="n"/>
      <x:c r="EZ2" s="96" t="n"/>
      <x:c r="FA2" s="96" t="n"/>
      <x:c r="FB2" s="96" t="n"/>
      <x:c r="FC2" s="96" t="n"/>
      <x:c r="FD2" s="96" t="n"/>
      <x:c r="FE2" s="96" t="n"/>
      <x:c r="FF2" s="96" t="n"/>
      <x:c r="FG2" s="96" t="n"/>
      <x:c r="FH2" s="96" t="n"/>
      <x:c r="FI2" s="96" t="n"/>
      <x:c r="FJ2" s="96" t="n"/>
      <x:c r="FK2" s="96" t="n"/>
      <x:c r="FL2" s="96" t="n"/>
      <x:c r="FM2" s="96" t="n"/>
      <x:c r="FN2" s="96" t="n"/>
      <x:c r="FO2" s="96" t="n"/>
      <x:c r="FP2" s="96" t="n"/>
      <x:c r="FQ2" s="96" t="n"/>
      <x:c r="FR2" s="96" t="n"/>
      <x:c r="FS2" s="96" t="n"/>
      <x:c r="FT2" s="96" t="n"/>
      <x:c r="FU2" s="96" t="n"/>
      <x:c r="FV2" s="96" t="n"/>
      <x:c r="FW2" s="96" t="n"/>
      <x:c r="FX2" s="96" t="n"/>
      <x:c r="FY2" s="59" t="n"/>
      <x:c r="FZ2" s="59" t="n"/>
      <x:c r="GA2" s="59" t="n"/>
    </x:row>
    <x:row r="3" s="62" customFormat="1" ht="23.100000381469727" customHeight="1">
      <x:c r="A3" s="619" t="n"/>
      <x:c r="B3" s="620" t="inlineStr">
        <x:is>
          <x:t xml:space="preserve">DESCRIPTION</x:t>
        </x:is>
      </x:c>
      <x:c r="C3" s="593" t="n"/>
      <x:c r="D3" s="621" t="n"/>
      <x:c r="E3" s="622" t="inlineStr">
        <x:is>
          <x:t xml:space="preserve">Book / Page </x:t>
        </x:is>
      </x:c>
      <x:c r="F3" s="618" t="n"/>
      <x:c r="G3" s="63" t="n"/>
      <x:c r="H3" s="6" t="inlineStr">
        <x:is>
          <x:t xml:space="preserve">FR2/292</x:t>
        </x:is>
      </x:c>
      <x:c r="I3" s="6" t="inlineStr">
        <x:is>
          <x:t xml:space="preserve">D11/209</x:t>
        </x:is>
      </x:c>
      <x:c r="J3" s="6" t="inlineStr">
        <x:is>
          <x:t xml:space="preserve">PAT7/374</x:t>
        </x:is>
      </x:c>
      <x:c r="K3" s="6" t="inlineStr">
        <x:is>
          <x:t xml:space="preserve">D27/477</x:t>
        </x:is>
      </x:c>
      <x:c r="L3" s="6" t="inlineStr">
        <x:is>
          <x:t xml:space="preserve">D34/104</x:t>
        </x:is>
      </x:c>
      <x:c r="M3" s="6" t="inlineStr">
        <x:is>
          <x:t xml:space="preserve">D59/246</x:t>
        </x:is>
      </x:c>
      <x:c r="N3" s="6" t="inlineStr">
        <x:is>
          <x:t xml:space="preserve">QCD5/92</x:t>
        </x:is>
      </x:c>
      <x:c r="O3" s="6" t="inlineStr">
        <x:is>
          <x:t xml:space="preserve">D67/154</x:t>
        </x:is>
      </x:c>
      <x:c r="P3" s="6" t="inlineStr">
        <x:is>
          <x:t xml:space="preserve">D67/159</x:t>
        </x:is>
      </x:c>
      <x:c r="Q3" s="6" t="inlineStr">
        <x:is>
          <x:t xml:space="preserve">MIS47/164</x:t>
        </x:is>
      </x:c>
      <x:c r="R3" s="6" t="inlineStr">
        <x:is>
          <x:t xml:space="preserve">MIS47/169</x:t>
        </x:is>
      </x:c>
      <x:c r="S3" s="6" t="inlineStr">
        <x:is>
          <x:t xml:space="preserve">MIS47/558</x:t>
        </x:is>
      </x:c>
      <x:c r="T3" s="6" t="inlineStr">
        <x:is>
          <x:t xml:space="preserve">MIS47/559</x:t>
        </x:is>
      </x:c>
      <x:c r="U3" s="6" t="inlineStr">
        <x:is>
          <x:t xml:space="preserve">MIS86/33</x:t>
        </x:is>
      </x:c>
      <x:c r="V3" s="6" t="inlineStr">
        <x:is>
          <x:t xml:space="preserve">237/381</x:t>
        </x:is>
      </x:c>
      <x:c r="W3" s="6" t="inlineStr">
        <x:is>
          <x:t xml:space="preserve">1151/107</x:t>
        </x:is>
      </x:c>
      <x:c r="X3" s="6" t="inlineStr">
        <x:is>
          <x:t xml:space="preserve">1294/169</x:t>
        </x:is>
      </x:c>
      <x:c r="Y3" s="6" t="inlineStr">
        <x:is>
          <x:t xml:space="preserve">1324/22</x:t>
        </x:is>
      </x:c>
      <x:c r="Z3" s="6" t="inlineStr">
        <x:is>
          <x:t xml:space="preserve">1764/344</x:t>
        </x:is>
      </x:c>
      <x:c r="AA3" s="6" t="inlineStr">
        <x:is>
          <x:t xml:space="preserve">1764/345</x:t>
        </x:is>
      </x:c>
      <x:c r="AB3" s="118" t="inlineStr">
        <x:is>
          <x:t xml:space="preserve">1937/418</x:t>
        </x:is>
      </x:c>
      <x:c r="AC3" s="118" t="inlineStr">
        <x:is>
          <x:t xml:space="preserve">1768/339</x:t>
        </x:is>
      </x:c>
      <x:c r="AD3" s="6" t="inlineStr">
        <x:is>
          <x:t xml:space="preserve">1784/591</x:t>
        </x:is>
      </x:c>
      <x:c r="AE3" s="6" t="inlineStr">
        <x:is>
          <x:t xml:space="preserve">1797/463</x:t>
        </x:is>
      </x:c>
      <x:c r="AF3" s="6" t="inlineStr">
        <x:is>
          <x:t xml:space="preserve">1794/173</x:t>
        </x:is>
      </x:c>
      <x:c r="AG3" s="6" t="inlineStr">
        <x:is>
          <x:t xml:space="preserve">2104/537</x:t>
        </x:is>
      </x:c>
      <x:c r="AH3" s="6" t="inlineStr">
        <x:is>
          <x:t xml:space="preserve">2184/570</x:t>
        </x:is>
      </x:c>
      <x:c r="AI3" s="6" t="inlineStr">
        <x:is>
          <x:t xml:space="preserve">2224/382</x:t>
        </x:is>
      </x:c>
      <x:c r="AJ3" s="6" t="inlineStr">
        <x:is>
          <x:t xml:space="preserve">2309/236</x:t>
        </x:is>
      </x:c>
      <x:c r="AK3" s="6" t="inlineStr">
        <x:is>
          <x:t xml:space="preserve">2700/395</x:t>
        </x:is>
      </x:c>
      <x:c r="AL3" s="118" t="inlineStr">
        <x:is>
          <x:t xml:space="preserve">2450/598</x:t>
        </x:is>
      </x:c>
      <x:c r="AM3" s="5" t="inlineStr">
        <x:is>
          <x:t xml:space="preserve">2617/228</x:t>
        </x:is>
      </x:c>
      <x:c r="AN3" s="118" t="inlineStr">
        <x:is>
          <x:t xml:space="preserve">2638/58</x:t>
        </x:is>
      </x:c>
      <x:c r="AO3" s="118" t="inlineStr">
        <x:is>
          <x:t xml:space="preserve">2682/183</x:t>
        </x:is>
      </x:c>
      <x:c r="AP3" s="107" t="inlineStr">
        <x:is>
          <x:t xml:space="preserve">2688/409</x:t>
        </x:is>
      </x:c>
      <x:c r="AQ3" s="107" t="n"/>
      <x:c r="AR3" s="108" t="n"/>
      <x:c r="AS3" s="107" t="n"/>
      <x:c r="AT3" s="107" t="n"/>
      <x:c r="AU3" s="96" t="n"/>
      <x:c r="AV3" s="96" t="n"/>
      <x:c r="AW3" s="96" t="n"/>
      <x:c r="AX3" s="96" t="n"/>
      <x:c r="AY3" s="96" t="n"/>
      <x:c r="AZ3" s="96" t="n"/>
      <x:c r="BA3" s="96" t="n"/>
      <x:c r="BB3" s="96" t="n"/>
      <x:c r="BC3" s="96" t="n"/>
      <x:c r="BD3" s="96" t="n"/>
      <x:c r="BE3" s="96" t="n"/>
      <x:c r="BF3" s="96" t="n"/>
      <x:c r="BG3" s="96" t="n"/>
      <x:c r="BH3" s="96" t="n"/>
      <x:c r="BI3" s="96" t="n"/>
      <x:c r="BJ3" s="96" t="n"/>
      <x:c r="BK3" s="96" t="n"/>
      <x:c r="BL3" s="96" t="n"/>
      <x:c r="BM3" s="96" t="n"/>
      <x:c r="BN3" s="96" t="n"/>
      <x:c r="BO3" s="96" t="n"/>
      <x:c r="BP3" s="96" t="n"/>
      <x:c r="BQ3" s="96" t="n"/>
      <x:c r="BR3" s="96" t="n"/>
      <x:c r="BS3" s="96" t="n"/>
      <x:c r="BT3" s="96" t="n"/>
      <x:c r="BU3" s="96" t="n"/>
      <x:c r="BV3" s="96" t="n"/>
      <x:c r="BW3" s="96" t="n"/>
      <x:c r="BX3" s="96" t="n"/>
      <x:c r="BY3" s="96" t="n"/>
      <x:c r="BZ3" s="96" t="n"/>
      <x:c r="CA3" s="96" t="n"/>
      <x:c r="CB3" s="96" t="n"/>
      <x:c r="CC3" s="96" t="n"/>
      <x:c r="CD3" s="96" t="n"/>
      <x:c r="CE3" s="96" t="n"/>
      <x:c r="CF3" s="96" t="n"/>
      <x:c r="CG3" s="96" t="n"/>
      <x:c r="CH3" s="96" t="n"/>
      <x:c r="CI3" s="96" t="n"/>
      <x:c r="CJ3" s="96" t="n"/>
      <x:c r="CK3" s="96" t="n"/>
      <x:c r="CL3" s="96" t="n"/>
      <x:c r="CM3" s="96" t="n"/>
      <x:c r="CN3" s="96" t="n"/>
      <x:c r="CO3" s="96" t="n"/>
      <x:c r="CP3" s="96" t="n"/>
      <x:c r="CQ3" s="96" t="n"/>
      <x:c r="CR3" s="96" t="n"/>
      <x:c r="CS3" s="96" t="n"/>
      <x:c r="CT3" s="96" t="n"/>
      <x:c r="CU3" s="96" t="n"/>
      <x:c r="CV3" s="96" t="n"/>
      <x:c r="CW3" s="96" t="n"/>
      <x:c r="CX3" s="96" t="n"/>
      <x:c r="CY3" s="96" t="n"/>
      <x:c r="CZ3" s="96" t="n"/>
      <x:c r="DA3" s="96" t="n"/>
      <x:c r="DB3" s="96" t="n"/>
      <x:c r="DC3" s="96" t="n"/>
      <x:c r="DD3" s="96" t="n"/>
      <x:c r="DE3" s="96" t="n"/>
      <x:c r="DF3" s="96" t="n"/>
      <x:c r="DG3" s="96" t="n"/>
      <x:c r="DH3" s="96" t="n"/>
      <x:c r="DI3" s="96" t="n"/>
      <x:c r="DJ3" s="96" t="n"/>
      <x:c r="DK3" s="96" t="n"/>
      <x:c r="DL3" s="96" t="n"/>
      <x:c r="DM3" s="96" t="n"/>
      <x:c r="DN3" s="96" t="n"/>
      <x:c r="DO3" s="96" t="n"/>
      <x:c r="DP3" s="96" t="n"/>
      <x:c r="DQ3" s="96" t="n"/>
      <x:c r="DR3" s="96" t="n"/>
      <x:c r="DS3" s="96" t="n"/>
      <x:c r="DT3" s="96" t="n"/>
      <x:c r="DU3" s="96" t="n"/>
      <x:c r="DV3" s="96" t="n"/>
      <x:c r="DW3" s="96" t="n"/>
      <x:c r="DX3" s="96" t="n"/>
      <x:c r="DY3" s="96" t="n"/>
      <x:c r="DZ3" s="96" t="n"/>
      <x:c r="EA3" s="96" t="n"/>
      <x:c r="EB3" s="96" t="n"/>
      <x:c r="EC3" s="96" t="n"/>
      <x:c r="ED3" s="96" t="n"/>
      <x:c r="EE3" s="96" t="n"/>
      <x:c r="EF3" s="96" t="n"/>
      <x:c r="EG3" s="96" t="n"/>
      <x:c r="EH3" s="96" t="n"/>
      <x:c r="EI3" s="96" t="n"/>
      <x:c r="EJ3" s="96" t="n"/>
      <x:c r="EK3" s="96" t="n"/>
      <x:c r="EL3" s="96" t="n"/>
      <x:c r="EM3" s="96" t="n"/>
      <x:c r="EN3" s="96" t="n"/>
      <x:c r="EO3" s="96" t="n"/>
      <x:c r="EP3" s="96" t="n"/>
      <x:c r="EQ3" s="96" t="n"/>
      <x:c r="ER3" s="96" t="n"/>
      <x:c r="ES3" s="96" t="n"/>
      <x:c r="ET3" s="96" t="n"/>
      <x:c r="EU3" s="96" t="n"/>
      <x:c r="EV3" s="96" t="n"/>
      <x:c r="EW3" s="96" t="n"/>
      <x:c r="EX3" s="96" t="n"/>
      <x:c r="EY3" s="96" t="n"/>
      <x:c r="EZ3" s="96" t="n"/>
      <x:c r="FA3" s="96" t="n"/>
      <x:c r="FB3" s="96" t="n"/>
      <x:c r="FC3" s="96" t="n"/>
      <x:c r="FD3" s="96" t="n"/>
      <x:c r="FE3" s="96" t="n"/>
      <x:c r="FF3" s="96" t="n"/>
      <x:c r="FG3" s="96" t="n"/>
      <x:c r="FH3" s="96" t="n"/>
      <x:c r="FI3" s="96" t="n"/>
      <x:c r="FJ3" s="96" t="n"/>
      <x:c r="FK3" s="96" t="n"/>
      <x:c r="FL3" s="96" t="n"/>
      <x:c r="FM3" s="96" t="n"/>
      <x:c r="FN3" s="96" t="n"/>
      <x:c r="FO3" s="96" t="n"/>
      <x:c r="FP3" s="96" t="n"/>
      <x:c r="FQ3" s="96" t="n"/>
      <x:c r="FR3" s="96" t="n"/>
      <x:c r="FS3" s="96" t="n"/>
      <x:c r="FT3" s="96" t="n"/>
      <x:c r="FU3" s="96" t="n"/>
      <x:c r="FV3" s="96" t="n"/>
      <x:c r="FW3" s="96" t="n"/>
      <x:c r="FX3" s="96" t="n"/>
      <x:c r="FY3" s="59" t="n"/>
      <x:c r="FZ3" s="59" t="n"/>
      <x:c r="GA3" s="59" t="n"/>
    </x:row>
    <x:row r="4" s="62" customFormat="1" ht="12.75" customHeight="1">
      <x:c r="A4" s="619" t="n"/>
      <x:c r="B4" s="623" t="n"/>
      <x:c r="C4" s="593" t="n"/>
      <x:c r="D4" s="624" t="n"/>
      <x:c r="E4" s="491" t="inlineStr">
        <x:is>
          <x:t xml:space="preserve">Date </x:t>
        </x:is>
      </x:c>
      <x:c r="F4" s="618" t="n"/>
      <x:c r="G4" s="60" t="n"/>
      <x:c r="H4" s="5" t="n">
        <x:v>2733</x:v>
      </x:c>
      <x:c r="I4" s="5" t="n">
        <x:v>2754</x:v>
      </x:c>
      <x:c r="J4" s="5" t="n">
        <x:v>2917</x:v>
      </x:c>
      <x:c r="K4" s="5" t="n">
        <x:v>6568</x:v>
      </x:c>
      <x:c r="L4" s="5" t="n">
        <x:v>9137</x:v>
      </x:c>
      <x:c r="M4" s="5" t="n">
        <x:v>18015</x:v>
      </x:c>
      <x:c r="N4" s="5" t="n">
        <x:v>18056</x:v>
      </x:c>
      <x:c r="O4" s="5" t="n">
        <x:v>19396</x:v>
      </x:c>
      <x:c r="P4" s="5" t="n">
        <x:v>19414</x:v>
      </x:c>
      <x:c r="Q4" s="5" t="n">
        <x:v>22906</x:v>
      </x:c>
      <x:c r="R4" s="5" t="n">
        <x:v>22906</x:v>
      </x:c>
      <x:c r="S4" s="5" t="n">
        <x:v>22938</x:v>
      </x:c>
      <x:c r="T4" s="5" t="n">
        <x:v>22938</x:v>
      </x:c>
      <x:c r="U4" s="5" t="n">
        <x:v>24709</x:v>
      </x:c>
      <x:c r="V4" s="5" t="n">
        <x:v>28583</x:v>
      </x:c>
      <x:c r="W4" s="5" t="n">
        <x:v>33073</x:v>
      </x:c>
      <x:c r="X4" s="5" t="n">
        <x:v>33857</x:v>
      </x:c>
      <x:c r="Y4" s="5" t="n">
        <x:v>34032</x:v>
      </x:c>
      <x:c r="Z4" s="5" t="n">
        <x:v>38260</x:v>
      </x:c>
      <x:c r="AA4" s="5" t="n">
        <x:v>38267</x:v>
      </x:c>
      <x:c r="AB4" s="120" t="n">
        <x:v>38286</x:v>
      </x:c>
      <x:c r="AC4" s="120" t="n">
        <x:v>38292</x:v>
      </x:c>
      <x:c r="AD4" s="5" t="n">
        <x:v>38455</x:v>
      </x:c>
      <x:c r="AE4" s="5" t="n">
        <x:v>38473</x:v>
      </x:c>
      <x:c r="AF4" s="5" t="n">
        <x:v>38516</x:v>
      </x:c>
      <x:c r="AG4" s="5" t="n">
        <x:v>40855</x:v>
      </x:c>
      <x:c r="AH4" s="5" t="n">
        <x:v>41368</x:v>
      </x:c>
      <x:c r="AI4" s="5" t="n">
        <x:v>41486</x:v>
      </x:c>
      <x:c r="AJ4" s="5" t="n">
        <x:v>42242</x:v>
      </x:c>
      <x:c r="AK4" s="5" t="n">
        <x:v>43500</x:v>
      </x:c>
      <x:c r="AL4" s="120" t="n">
        <x:v>44071</x:v>
      </x:c>
      <x:c r="AM4" s="5" t="n">
        <x:v>45726</x:v>
      </x:c>
      <x:c r="AN4" s="120" t="n">
        <x:v>45726</x:v>
      </x:c>
      <x:c r="AO4" s="120" t="n">
        <x:v>45971</x:v>
      </x:c>
      <x:c r="AP4" s="108" t="n">
        <x:v>46084</x:v>
      </x:c>
      <x:c r="AQ4" s="108" t="n"/>
      <x:c r="AR4" s="108" t="n"/>
      <x:c r="AS4" s="108" t="n"/>
      <x:c r="AT4" s="108" t="n"/>
      <x:c r="AU4" s="97" t="n"/>
      <x:c r="AV4" s="97" t="n"/>
      <x:c r="AW4" s="97" t="n"/>
      <x:c r="AX4" s="97" t="n"/>
      <x:c r="AY4" s="97" t="n"/>
      <x:c r="AZ4" s="97" t="n"/>
      <x:c r="BA4" s="97" t="n"/>
      <x:c r="BB4" s="97" t="n"/>
      <x:c r="BC4" s="97" t="n"/>
      <x:c r="BD4" s="97" t="n"/>
      <x:c r="BE4" s="97" t="n"/>
      <x:c r="BF4" s="97" t="n"/>
      <x:c r="BG4" s="97" t="n"/>
      <x:c r="BH4" s="97" t="n"/>
      <x:c r="BI4" s="97" t="n"/>
      <x:c r="BJ4" s="97" t="n"/>
      <x:c r="BK4" s="97" t="n"/>
      <x:c r="BL4" s="97" t="n"/>
      <x:c r="BM4" s="97" t="n"/>
      <x:c r="BN4" s="97" t="n"/>
      <x:c r="BO4" s="97" t="n"/>
      <x:c r="BP4" s="97" t="n"/>
      <x:c r="BQ4" s="97" t="n"/>
      <x:c r="BR4" s="97" t="n"/>
      <x:c r="BS4" s="97" t="n"/>
      <x:c r="BT4" s="97" t="n"/>
      <x:c r="BU4" s="97" t="n"/>
      <x:c r="BV4" s="97" t="n"/>
      <x:c r="BW4" s="97" t="n"/>
      <x:c r="BX4" s="97" t="n"/>
      <x:c r="BY4" s="97" t="n"/>
      <x:c r="BZ4" s="97" t="n"/>
      <x:c r="CA4" s="97" t="n"/>
      <x:c r="CB4" s="97" t="n"/>
      <x:c r="CC4" s="97" t="n"/>
      <x:c r="CD4" s="97" t="n"/>
      <x:c r="CE4" s="97" t="n"/>
      <x:c r="CF4" s="97" t="n"/>
      <x:c r="CG4" s="97" t="n"/>
      <x:c r="CH4" s="97" t="n"/>
      <x:c r="CI4" s="97" t="n"/>
      <x:c r="CJ4" s="97" t="n"/>
      <x:c r="CK4" s="97" t="n"/>
      <x:c r="CL4" s="97" t="n"/>
      <x:c r="CM4" s="97" t="n"/>
      <x:c r="CN4" s="97" t="n"/>
      <x:c r="CO4" s="97" t="n"/>
      <x:c r="CP4" s="97" t="n"/>
      <x:c r="CQ4" s="97" t="n"/>
      <x:c r="CR4" s="97" t="n"/>
      <x:c r="CS4" s="97" t="n"/>
      <x:c r="CT4" s="97" t="n"/>
      <x:c r="CU4" s="97" t="n"/>
      <x:c r="CV4" s="97" t="n"/>
      <x:c r="CW4" s="97" t="n"/>
      <x:c r="CX4" s="97" t="n"/>
      <x:c r="CY4" s="97" t="n"/>
      <x:c r="CZ4" s="97" t="n"/>
      <x:c r="DA4" s="97" t="n"/>
      <x:c r="DB4" s="97" t="n"/>
      <x:c r="DC4" s="97" t="n"/>
      <x:c r="DD4" s="97" t="n"/>
      <x:c r="DE4" s="97" t="n"/>
      <x:c r="DF4" s="97" t="n"/>
      <x:c r="DG4" s="97" t="n"/>
      <x:c r="DH4" s="97" t="n"/>
      <x:c r="DI4" s="97" t="n"/>
      <x:c r="DJ4" s="97" t="n"/>
      <x:c r="DK4" s="97" t="n"/>
      <x:c r="DL4" s="97" t="n"/>
      <x:c r="DM4" s="97" t="n"/>
      <x:c r="DN4" s="97" t="n"/>
      <x:c r="DO4" s="97" t="n"/>
      <x:c r="DP4" s="97" t="n"/>
      <x:c r="DQ4" s="97" t="n"/>
      <x:c r="DR4" s="97" t="n"/>
      <x:c r="DS4" s="97" t="n"/>
      <x:c r="DT4" s="97" t="n"/>
      <x:c r="DU4" s="97" t="n"/>
      <x:c r="DV4" s="97" t="n"/>
      <x:c r="DW4" s="97" t="n"/>
      <x:c r="DX4" s="97" t="n"/>
      <x:c r="DY4" s="97" t="n"/>
      <x:c r="DZ4" s="97" t="n"/>
      <x:c r="EA4" s="97" t="n"/>
      <x:c r="EB4" s="97" t="n"/>
      <x:c r="EC4" s="97" t="n"/>
      <x:c r="ED4" s="97" t="n"/>
      <x:c r="EE4" s="97" t="n"/>
      <x:c r="EF4" s="97" t="n"/>
      <x:c r="EG4" s="97" t="n"/>
      <x:c r="EH4" s="97" t="n"/>
      <x:c r="EI4" s="97" t="n"/>
      <x:c r="EJ4" s="97" t="n"/>
      <x:c r="EK4" s="97" t="n"/>
      <x:c r="EL4" s="97" t="n"/>
      <x:c r="EM4" s="97" t="n"/>
      <x:c r="EN4" s="97" t="n"/>
      <x:c r="EO4" s="97" t="n"/>
      <x:c r="EP4" s="97" t="n"/>
      <x:c r="EQ4" s="97" t="n"/>
      <x:c r="ER4" s="97" t="n"/>
      <x:c r="ES4" s="97" t="n"/>
      <x:c r="ET4" s="97" t="n"/>
      <x:c r="EU4" s="97" t="n"/>
      <x:c r="EV4" s="97" t="n"/>
      <x:c r="EW4" s="97" t="n"/>
      <x:c r="EX4" s="97" t="n"/>
      <x:c r="EY4" s="97" t="n"/>
      <x:c r="EZ4" s="97" t="n"/>
      <x:c r="FA4" s="97" t="n"/>
      <x:c r="FB4" s="97" t="n"/>
      <x:c r="FC4" s="97" t="n"/>
      <x:c r="FD4" s="97" t="n"/>
      <x:c r="FE4" s="97" t="n"/>
      <x:c r="FF4" s="97" t="n"/>
      <x:c r="FG4" s="97" t="n"/>
      <x:c r="FH4" s="97" t="n"/>
      <x:c r="FI4" s="97" t="n"/>
      <x:c r="FJ4" s="97" t="n"/>
      <x:c r="FK4" s="97" t="n"/>
      <x:c r="FL4" s="97" t="n"/>
      <x:c r="FM4" s="97" t="n"/>
      <x:c r="FN4" s="97" t="n"/>
      <x:c r="FO4" s="97" t="n"/>
      <x:c r="FP4" s="97" t="n"/>
      <x:c r="FQ4" s="97" t="n"/>
      <x:c r="FR4" s="97" t="n"/>
      <x:c r="FS4" s="97" t="n"/>
      <x:c r="FT4" s="97" t="n"/>
      <x:c r="FU4" s="97" t="n"/>
      <x:c r="FV4" s="97" t="n"/>
      <x:c r="FW4" s="97" t="n"/>
      <x:c r="FX4" s="97" t="n"/>
      <x:c r="FY4" s="58" t="n"/>
      <x:c r="FZ4" s="58" t="n"/>
      <x:c r="GA4" s="58" t="n"/>
    </x:row>
    <x:row r="5" s="57" customFormat="1" ht="27.75" customHeight="1">
      <x:c r="A5" s="619" t="n"/>
      <x:c r="B5" s="625" t="inlineStr">
        <x:is>
          <x:t xml:space="preserve">TRACT ACRES</x:t>
        </x:is>
      </x:c>
      <x:c r="C5" s="626" t="n"/>
      <x:c r="D5" s="65" t="n">
        <x:v>75.34</x:v>
      </x:c>
      <x:c r="E5" s="627" t="inlineStr">
        <x:is>
          <x:t xml:space="preserve">Conveyance </x:t>
        </x:is>
      </x:c>
      <x:c r="F5" s="628" t="n"/>
      <x:c r="G5" s="60" t="n"/>
      <x:c r="H5" s="118" t="inlineStr">
        <x:is>
          <x:t xml:space="preserve">ROOT</x:t>
        </x:is>
      </x:c>
      <x:c r="I5" s="118" t="inlineStr">
        <x:is>
          <x:t xml:space="preserve">ARTI</x:t>
        </x:is>
      </x:c>
      <x:c r="J5" s="118" t="inlineStr">
        <x:is>
          <x:t xml:space="preserve">ARTI</x:t>
        </x:is>
      </x:c>
      <x:c r="K5" s="118" t="inlineStr">
        <x:is>
          <x:t xml:space="preserve">ARTI</x:t>
        </x:is>
      </x:c>
      <x:c r="L5" s="118" t="inlineStr">
        <x:is>
          <x:t xml:space="preserve">ARTI</x:t>
        </x:is>
      </x:c>
      <x:c r="M5" s="118" t="inlineStr">
        <x:is>
          <x:t xml:space="preserve">ARTI</x:t>
        </x:is>
      </x:c>
      <x:c r="N5" s="118" t="inlineStr">
        <x:is>
          <x:t xml:space="preserve">ARTI</x:t>
        </x:is>
      </x:c>
      <x:c r="O5" s="118" t="inlineStr">
        <x:is>
          <x:t xml:space="preserve">ARTI</x:t>
        </x:is>
      </x:c>
      <x:c r="P5" s="118" t="inlineStr">
        <x:is>
          <x:t xml:space="preserve">ARTI</x:t>
        </x:is>
      </x:c>
      <x:c r="Q5" s="118" t="inlineStr">
        <x:is>
          <x:t xml:space="preserve">ARTI</x:t>
        </x:is>
      </x:c>
      <x:c r="R5" s="118" t="inlineStr">
        <x:is>
          <x:t xml:space="preserve">ARTI</x:t>
        </x:is>
      </x:c>
      <x:c r="S5" s="118" t="inlineStr">
        <x:is>
          <x:t xml:space="preserve">ARTI</x:t>
        </x:is>
      </x:c>
      <x:c r="T5" s="118" t="inlineStr">
        <x:is>
          <x:t xml:space="preserve">ARTI</x:t>
        </x:is>
      </x:c>
      <x:c r="U5" s="118" t="inlineStr">
        <x:is>
          <x:t xml:space="preserve">ARTI</x:t>
        </x:is>
      </x:c>
      <x:c r="V5" s="118" t="inlineStr">
        <x:is>
          <x:t xml:space="preserve">ARTI</x:t>
        </x:is>
      </x:c>
      <x:c r="W5" s="118" t="inlineStr">
        <x:is>
          <x:t xml:space="preserve">ARTI</x:t>
        </x:is>
      </x:c>
      <x:c r="X5" s="118" t="inlineStr">
        <x:is>
          <x:t xml:space="preserve">ARTI</x:t>
        </x:is>
      </x:c>
      <x:c r="Y5" s="118" t="inlineStr">
        <x:is>
          <x:t xml:space="preserve">ARTI</x:t>
        </x:is>
      </x:c>
      <x:c r="Z5" s="118" t="inlineStr">
        <x:is>
          <x:t xml:space="preserve">ARTI</x:t>
        </x:is>
      </x:c>
      <x:c r="AA5" s="118" t="inlineStr">
        <x:is>
          <x:t xml:space="preserve">ARTI</x:t>
        </x:is>
      </x:c>
      <x:c r="AB5" s="118" t="inlineStr">
        <x:is>
          <x:t xml:space="preserve">ARTI</x:t>
        </x:is>
      </x:c>
      <x:c r="AC5" s="118" t="inlineStr">
        <x:is>
          <x:t xml:space="preserve">ARTI</x:t>
        </x:is>
      </x:c>
      <x:c r="AD5" s="118" t="inlineStr">
        <x:is>
          <x:t xml:space="preserve">ARTI</x:t>
        </x:is>
      </x:c>
      <x:c r="AE5" s="118" t="inlineStr">
        <x:is>
          <x:t xml:space="preserve">ARTI</x:t>
        </x:is>
      </x:c>
      <x:c r="AF5" s="118" t="inlineStr">
        <x:is>
          <x:t xml:space="preserve">ARTI</x:t>
        </x:is>
      </x:c>
      <x:c r="AG5" s="118" t="inlineStr">
        <x:is>
          <x:t xml:space="preserve">ARTI</x:t>
        </x:is>
      </x:c>
      <x:c r="AH5" s="118" t="inlineStr">
        <x:is>
          <x:t xml:space="preserve">ARTI</x:t>
        </x:is>
      </x:c>
      <x:c r="AI5" s="118" t="inlineStr">
        <x:is>
          <x:t xml:space="preserve">ARTI</x:t>
        </x:is>
      </x:c>
      <x:c r="AJ5" s="118" t="inlineStr">
        <x:is>
          <x:t xml:space="preserve">ARTI</x:t>
        </x:is>
      </x:c>
      <x:c r="AK5" s="118" t="inlineStr">
        <x:is>
          <x:t xml:space="preserve">ARTI</x:t>
        </x:is>
      </x:c>
      <x:c r="AL5" s="118" t="inlineStr">
        <x:is>
          <x:t xml:space="preserve">ARTI</x:t>
        </x:is>
      </x:c>
      <x:c r="AM5" s="118" t="inlineStr">
        <x:is>
          <x:t xml:space="preserve">ARTI</x:t>
        </x:is>
      </x:c>
      <x:c r="AN5" s="118" t="inlineStr">
        <x:is>
          <x:t xml:space="preserve">ARTI</x:t>
        </x:is>
      </x:c>
      <x:c r="AO5" s="118" t="inlineStr">
        <x:is>
          <x:t xml:space="preserve">ARTI</x:t>
        </x:is>
      </x:c>
      <x:c r="AP5" s="96" t="inlineStr">
        <x:is>
          <x:t xml:space="preserve">ARTI</x:t>
        </x:is>
      </x:c>
      <x:c r="AQ5" s="96" t="n"/>
      <x:c r="AR5" s="96" t="n"/>
      <x:c r="AS5" s="96" t="n"/>
      <x:c r="AT5" s="96" t="n"/>
      <x:c r="AU5" s="96" t="n"/>
      <x:c r="AV5" s="96" t="n"/>
      <x:c r="AW5" s="96" t="n"/>
      <x:c r="AX5" s="96" t="n"/>
      <x:c r="AY5" s="96" t="n"/>
      <x:c r="AZ5" s="96" t="n"/>
      <x:c r="BA5" s="96" t="n"/>
      <x:c r="BB5" s="96" t="n"/>
      <x:c r="BC5" s="96" t="n"/>
      <x:c r="BD5" s="96" t="n"/>
      <x:c r="BE5" s="96" t="n"/>
      <x:c r="BF5" s="96" t="n"/>
      <x:c r="BG5" s="96" t="n"/>
      <x:c r="BH5" s="96" t="n"/>
      <x:c r="BI5" s="96" t="n"/>
      <x:c r="BJ5" s="96" t="n"/>
      <x:c r="BK5" s="96" t="n"/>
      <x:c r="BL5" s="96" t="n"/>
      <x:c r="BM5" s="96" t="n"/>
      <x:c r="BN5" s="96" t="n"/>
      <x:c r="BO5" s="96" t="n"/>
      <x:c r="BP5" s="96" t="n"/>
      <x:c r="BQ5" s="96" t="n"/>
      <x:c r="BR5" s="96" t="n"/>
      <x:c r="BS5" s="96" t="n"/>
      <x:c r="BT5" s="96" t="n"/>
      <x:c r="BU5" s="96" t="n"/>
      <x:c r="BV5" s="96" t="n"/>
      <x:c r="BW5" s="96" t="n"/>
      <x:c r="BX5" s="96" t="n"/>
      <x:c r="BY5" s="96" t="n"/>
      <x:c r="BZ5" s="96" t="n"/>
      <x:c r="CA5" s="96" t="n"/>
      <x:c r="CB5" s="96" t="n"/>
      <x:c r="CC5" s="96" t="n"/>
      <x:c r="CD5" s="96" t="n"/>
      <x:c r="CE5" s="96" t="n"/>
      <x:c r="CF5" s="96" t="n"/>
      <x:c r="CG5" s="96" t="n"/>
      <x:c r="CH5" s="96" t="n"/>
      <x:c r="CI5" s="96" t="n"/>
      <x:c r="CJ5" s="96" t="n"/>
      <x:c r="CK5" s="96" t="n"/>
      <x:c r="CL5" s="96" t="n"/>
      <x:c r="CM5" s="96" t="n"/>
      <x:c r="CN5" s="96" t="n"/>
      <x:c r="CO5" s="96" t="n"/>
      <x:c r="CP5" s="96" t="n"/>
      <x:c r="CQ5" s="96" t="n"/>
      <x:c r="CR5" s="96" t="n"/>
      <x:c r="CS5" s="96" t="n"/>
      <x:c r="CT5" s="96" t="n"/>
      <x:c r="CU5" s="96" t="n"/>
      <x:c r="CV5" s="96" t="n"/>
      <x:c r="CW5" s="96" t="n"/>
      <x:c r="CX5" s="96" t="n"/>
      <x:c r="CY5" s="96" t="n"/>
      <x:c r="CZ5" s="96" t="n"/>
      <x:c r="DA5" s="96" t="n"/>
      <x:c r="DB5" s="96" t="n"/>
      <x:c r="DC5" s="96" t="n"/>
      <x:c r="DD5" s="96" t="n"/>
      <x:c r="DE5" s="96" t="n"/>
      <x:c r="DF5" s="96" t="n"/>
      <x:c r="DG5" s="96" t="n"/>
      <x:c r="DH5" s="96" t="n"/>
      <x:c r="DI5" s="96" t="n"/>
      <x:c r="DJ5" s="96" t="n"/>
      <x:c r="DK5" s="96" t="n"/>
      <x:c r="DL5" s="96" t="n"/>
      <x:c r="DM5" s="96" t="n"/>
      <x:c r="DN5" s="96" t="n"/>
      <x:c r="DO5" s="96" t="n"/>
      <x:c r="DP5" s="96" t="n"/>
      <x:c r="DQ5" s="96" t="n"/>
      <x:c r="DR5" s="96" t="n"/>
      <x:c r="DS5" s="96" t="n"/>
      <x:c r="DT5" s="96" t="n"/>
      <x:c r="DU5" s="96" t="n"/>
      <x:c r="DV5" s="96" t="n"/>
      <x:c r="DW5" s="96" t="n"/>
      <x:c r="DX5" s="96" t="n"/>
      <x:c r="DY5" s="96" t="n"/>
      <x:c r="DZ5" s="96" t="n"/>
      <x:c r="EA5" s="96" t="n"/>
      <x:c r="EB5" s="96" t="n"/>
      <x:c r="EC5" s="96" t="n"/>
      <x:c r="ED5" s="96" t="n"/>
      <x:c r="EE5" s="96" t="n"/>
      <x:c r="EF5" s="96" t="n"/>
      <x:c r="EG5" s="96" t="n"/>
      <x:c r="EH5" s="96" t="n"/>
      <x:c r="EI5" s="96" t="n"/>
      <x:c r="EJ5" s="96" t="n"/>
      <x:c r="EK5" s="96" t="n"/>
      <x:c r="EL5" s="96" t="n"/>
      <x:c r="EM5" s="96" t="n"/>
      <x:c r="EN5" s="96" t="n"/>
      <x:c r="EO5" s="96" t="n"/>
      <x:c r="EP5" s="96" t="n"/>
      <x:c r="EQ5" s="96" t="n"/>
      <x:c r="ER5" s="96" t="n"/>
      <x:c r="ES5" s="96" t="n"/>
      <x:c r="ET5" s="96" t="n"/>
      <x:c r="EU5" s="96" t="n"/>
      <x:c r="EV5" s="96" t="n"/>
      <x:c r="EW5" s="96" t="n"/>
      <x:c r="EX5" s="96" t="n"/>
      <x:c r="EY5" s="96" t="n"/>
      <x:c r="EZ5" s="96" t="n"/>
      <x:c r="FA5" s="96" t="n"/>
      <x:c r="FB5" s="96" t="n"/>
      <x:c r="FC5" s="96" t="n"/>
      <x:c r="FD5" s="96" t="n"/>
      <x:c r="FE5" s="96" t="n"/>
      <x:c r="FF5" s="96" t="n"/>
      <x:c r="FG5" s="96" t="n"/>
      <x:c r="FH5" s="96" t="n"/>
      <x:c r="FI5" s="96" t="n"/>
      <x:c r="FJ5" s="96" t="n"/>
      <x:c r="FK5" s="96" t="n"/>
      <x:c r="FL5" s="96" t="n"/>
      <x:c r="FM5" s="96" t="n"/>
      <x:c r="FN5" s="96" t="n"/>
      <x:c r="FO5" s="96" t="n"/>
      <x:c r="FP5" s="96" t="n"/>
      <x:c r="FQ5" s="96" t="n"/>
      <x:c r="FR5" s="96" t="n"/>
      <x:c r="FS5" s="96" t="n"/>
      <x:c r="FT5" s="96" t="n"/>
      <x:c r="FU5" s="96" t="n"/>
      <x:c r="FV5" s="96" t="n"/>
      <x:c r="FW5" s="96" t="n"/>
      <x:c r="FX5" s="96" t="n"/>
      <x:c r="FY5" s="59" t="n"/>
      <x:c r="FZ5" s="59" t="n"/>
      <x:c r="GA5" s="59" t="n"/>
    </x:row>
    <x:row r="6" s="55" customFormat="1" ht="14.25" customHeight="1">
      <x:c r="A6" s="629" t="n"/>
      <x:c r="B6" s="630" t="inlineStr">
        <x:is>
          <x:t xml:space="preserve">BASE OGL</x:t>
        </x:is>
      </x:c>
      <x:c r="C6" s="631" t="n">
        <x:v>75.34</x:v>
      </x:c>
      <x:c r="D6" s="632" t="inlineStr">
        <x:is>
          <x:t xml:space="preserve">Tract 9</x:t>
        </x:is>
      </x:c>
      <x:c r="E6" s="631" t="n">
        <x:f>SUBTOTAL(9,E9:E203)</x:f>
        <x:v>1</x:v>
      </x:c>
      <x:c r="F6" s="633" t="inlineStr">
        <x:is>
          <x:t xml:space="preserve">SURFACE</x:t>
        </x:is>
      </x:c>
      <x:c r="G6" s="64" t="n"/>
      <x:c r="H6" s="64" t="inlineStr">
        <x:is>
          <x:t xml:space="preserve"/>
        </x:is>
      </x:c>
      <x:c r="I6" s="64" t="inlineStr">
        <x:is>
          <x:t xml:space="preserve"/>
        </x:is>
      </x:c>
      <x:c r="J6" s="64" t="inlineStr">
        <x:is>
          <x:t xml:space="preserve"/>
        </x:is>
      </x:c>
      <x:c r="K6" s="64" t="inlineStr">
        <x:is>
          <x:t xml:space="preserve"/>
        </x:is>
      </x:c>
      <x:c r="L6" s="64" t="inlineStr">
        <x:is>
          <x:t xml:space="preserve"/>
        </x:is>
      </x:c>
      <x:c r="M6" s="64" t="inlineStr">
        <x:is>
          <x:t xml:space="preserve"/>
        </x:is>
      </x:c>
      <x:c r="N6" s="64" t="inlineStr">
        <x:is>
          <x:t xml:space="preserve"/>
        </x:is>
      </x:c>
      <x:c r="O6" s="64" t="inlineStr">
        <x:is>
          <x:t xml:space="preserve"/>
        </x:is>
      </x:c>
      <x:c r="P6" s="64" t="inlineStr">
        <x:is>
          <x:t xml:space="preserve"/>
        </x:is>
      </x:c>
      <x:c r="Q6" s="64" t="inlineStr">
        <x:is>
          <x:t xml:space="preserve"/>
        </x:is>
      </x:c>
      <x:c r="R6" s="98" t="inlineStr">
        <x:is>
          <x:t xml:space="preserve"/>
        </x:is>
      </x:c>
      <x:c r="S6" s="98" t="inlineStr">
        <x:is>
          <x:t xml:space="preserve"/>
        </x:is>
      </x:c>
      <x:c r="T6" s="64" t="inlineStr">
        <x:is>
          <x:t xml:space="preserve"/>
        </x:is>
      </x:c>
      <x:c r="U6" s="64" t="inlineStr">
        <x:is>
          <x:t xml:space="preserve"/>
        </x:is>
      </x:c>
      <x:c r="V6" s="64" t="inlineStr">
        <x:is>
          <x:t xml:space="preserve"/>
        </x:is>
      </x:c>
      <x:c r="W6" s="64" t="inlineStr">
        <x:is>
          <x:t xml:space="preserve"/>
        </x:is>
      </x:c>
      <x:c r="X6" s="64" t="inlineStr">
        <x:is>
          <x:t xml:space="preserve"/>
        </x:is>
      </x:c>
      <x:c r="Y6" s="64" t="inlineStr">
        <x:is>
          <x:t xml:space="preserve"/>
        </x:is>
      </x:c>
      <x:c r="Z6" s="64" t="inlineStr">
        <x:is>
          <x:t xml:space="preserve"/>
        </x:is>
      </x:c>
      <x:c r="AA6" s="64" t="inlineStr">
        <x:is>
          <x:t xml:space="preserve"/>
        </x:is>
      </x:c>
      <x:c r="AB6" s="64" t="inlineStr">
        <x:is>
          <x:t xml:space="preserve"/>
        </x:is>
      </x:c>
      <x:c r="AC6" s="64" t="inlineStr">
        <x:is>
          <x:t xml:space="preserve"/>
        </x:is>
      </x:c>
      <x:c r="AD6" s="64" t="inlineStr">
        <x:is>
          <x:t xml:space="preserve"/>
        </x:is>
      </x:c>
      <x:c r="AE6" s="98" t="inlineStr">
        <x:is>
          <x:t xml:space="preserve"/>
        </x:is>
      </x:c>
      <x:c r="AF6" s="98" t="inlineStr">
        <x:is>
          <x:t xml:space="preserve"/>
        </x:is>
      </x:c>
      <x:c r="AG6" s="98" t="inlineStr">
        <x:is>
          <x:t xml:space="preserve"/>
        </x:is>
      </x:c>
      <x:c r="AH6" s="98" t="inlineStr">
        <x:is>
          <x:t xml:space="preserve"/>
        </x:is>
      </x:c>
      <x:c r="AI6" s="98" t="inlineStr">
        <x:is>
          <x:t xml:space="preserve"/>
        </x:is>
      </x:c>
      <x:c r="AJ6" s="98" t="inlineStr">
        <x:is>
          <x:t xml:space="preserve"/>
        </x:is>
      </x:c>
      <x:c r="AK6" s="98" t="inlineStr">
        <x:is>
          <x:t xml:space="preserve"/>
        </x:is>
      </x:c>
      <x:c r="AL6" s="64" t="inlineStr">
        <x:is>
          <x:t xml:space="preserve"/>
        </x:is>
      </x:c>
      <x:c r="AM6" s="98" t="inlineStr">
        <x:is>
          <x:t xml:space="preserve"/>
        </x:is>
      </x:c>
      <x:c r="AN6" s="64" t="inlineStr">
        <x:is>
          <x:t xml:space="preserve"/>
        </x:is>
      </x:c>
      <x:c r="AO6" s="98" t="inlineStr">
        <x:is>
          <x:t xml:space="preserve"/>
        </x:is>
      </x:c>
      <x:c r="AP6" s="64" t="inlineStr">
        <x:is>
          <x:t xml:space="preserve"/>
        </x:is>
      </x:c>
      <x:c r="AQ6" s="64" t="n"/>
      <x:c r="AR6" s="64" t="n"/>
      <x:c r="AS6" s="64" t="n"/>
      <x:c r="AT6" s="64" t="n"/>
      <x:c r="AU6" s="64" t="n"/>
      <x:c r="AV6" s="64" t="n"/>
      <x:c r="AW6" s="64" t="n"/>
      <x:c r="AX6" s="64" t="n"/>
      <x:c r="AY6" s="64" t="n"/>
      <x:c r="AZ6" s="64" t="n"/>
      <x:c r="BA6" s="64" t="n"/>
      <x:c r="BB6" s="64" t="n"/>
      <x:c r="BC6" s="64" t="n"/>
      <x:c r="BD6" s="64" t="n"/>
      <x:c r="BE6" s="64" t="n"/>
      <x:c r="BF6" s="64" t="n"/>
      <x:c r="BG6" s="64" t="n"/>
      <x:c r="BH6" s="64" t="n"/>
      <x:c r="BI6" s="64" t="n"/>
      <x:c r="BJ6" s="64" t="n"/>
      <x:c r="BK6" s="64" t="n"/>
      <x:c r="BL6" s="64" t="n"/>
      <x:c r="BM6" s="64" t="n"/>
      <x:c r="BN6" s="64" t="n"/>
      <x:c r="BO6" s="64" t="n"/>
      <x:c r="BP6" s="64" t="n"/>
      <x:c r="BQ6" s="64" t="n"/>
      <x:c r="BR6" s="64" t="n"/>
      <x:c r="BS6" s="64" t="n"/>
      <x:c r="BT6" s="64" t="n"/>
      <x:c r="BU6" s="64" t="n"/>
      <x:c r="BV6" s="64" t="n"/>
      <x:c r="BW6" s="64" t="n"/>
      <x:c r="BX6" s="64" t="n"/>
      <x:c r="BY6" s="64" t="n"/>
      <x:c r="BZ6" s="64" t="n"/>
      <x:c r="CA6" s="64" t="n"/>
      <x:c r="CB6" s="64" t="n"/>
      <x:c r="CC6" s="64" t="n"/>
      <x:c r="CD6" s="64" t="n"/>
      <x:c r="CE6" s="64" t="n"/>
      <x:c r="CF6" s="64" t="n"/>
      <x:c r="CG6" s="64" t="n"/>
      <x:c r="CH6" s="64" t="n"/>
      <x:c r="CI6" s="64" t="n"/>
      <x:c r="CJ6" s="64" t="n"/>
      <x:c r="CK6" s="64" t="n"/>
      <x:c r="CL6" s="64" t="n"/>
      <x:c r="CM6" s="64" t="n"/>
      <x:c r="CN6" s="64" t="n"/>
      <x:c r="CO6" s="64" t="n"/>
      <x:c r="CP6" s="64" t="n"/>
      <x:c r="CQ6" s="64" t="n"/>
      <x:c r="CR6" s="64" t="n"/>
      <x:c r="CS6" s="64" t="n"/>
      <x:c r="CT6" s="64" t="n"/>
      <x:c r="CU6" s="64" t="n"/>
      <x:c r="CV6" s="64" t="n"/>
      <x:c r="CW6" s="64" t="n"/>
      <x:c r="CX6" s="64" t="n"/>
      <x:c r="CY6" s="64" t="n"/>
      <x:c r="CZ6" s="64" t="n"/>
      <x:c r="DA6" s="64" t="n"/>
      <x:c r="DB6" s="64" t="n"/>
      <x:c r="DC6" s="64" t="n"/>
      <x:c r="DD6" s="64" t="n"/>
      <x:c r="DE6" s="64" t="n"/>
      <x:c r="DF6" s="64" t="n"/>
      <x:c r="DG6" s="64" t="n"/>
      <x:c r="DH6" s="64" t="n"/>
      <x:c r="DI6" s="64" t="n"/>
      <x:c r="DJ6" s="64" t="n"/>
      <x:c r="DK6" s="64" t="n"/>
      <x:c r="DL6" s="64" t="n"/>
      <x:c r="DM6" s="64" t="n"/>
      <x:c r="DN6" s="64" t="n"/>
      <x:c r="DO6" s="64" t="n"/>
      <x:c r="DP6" s="64" t="n"/>
      <x:c r="DQ6" s="64" t="n"/>
      <x:c r="DR6" s="64" t="n"/>
      <x:c r="DS6" s="64" t="n"/>
      <x:c r="DT6" s="64" t="n"/>
      <x:c r="DU6" s="64" t="n"/>
      <x:c r="DV6" s="64" t="n"/>
      <x:c r="DW6" s="64" t="n"/>
      <x:c r="DX6" s="64" t="n"/>
      <x:c r="DY6" s="64" t="n"/>
      <x:c r="DZ6" s="64" t="n"/>
      <x:c r="EA6" s="64" t="n"/>
      <x:c r="EB6" s="64" t="n"/>
      <x:c r="EC6" s="64" t="n"/>
      <x:c r="ED6" s="64" t="n"/>
      <x:c r="EE6" s="64" t="n"/>
      <x:c r="EF6" s="64" t="n"/>
      <x:c r="EG6" s="64" t="n"/>
      <x:c r="EH6" s="64" t="n"/>
      <x:c r="EI6" s="64" t="n"/>
      <x:c r="EJ6" s="64" t="n"/>
      <x:c r="EK6" s="64" t="n"/>
      <x:c r="EL6" s="64" t="n"/>
      <x:c r="EM6" s="64" t="n"/>
      <x:c r="EN6" s="64" t="n"/>
      <x:c r="EO6" s="64" t="n"/>
      <x:c r="EP6" s="64" t="n"/>
      <x:c r="EQ6" s="64" t="n"/>
      <x:c r="ER6" s="64" t="n"/>
      <x:c r="ES6" s="64" t="n"/>
      <x:c r="ET6" s="64" t="n"/>
      <x:c r="EU6" s="64" t="n"/>
      <x:c r="EV6" s="64" t="n"/>
      <x:c r="EW6" s="64" t="n"/>
      <x:c r="EX6" s="64" t="n"/>
      <x:c r="EY6" s="64" t="n"/>
      <x:c r="EZ6" s="64" t="n"/>
      <x:c r="FA6" s="64" t="n"/>
      <x:c r="FB6" s="64" t="n"/>
      <x:c r="FC6" s="64" t="n"/>
      <x:c r="FD6" s="64" t="n"/>
      <x:c r="FE6" s="64" t="n"/>
      <x:c r="FF6" s="64" t="n"/>
      <x:c r="FG6" s="64" t="n"/>
      <x:c r="FH6" s="64" t="n"/>
      <x:c r="FI6" s="64" t="n"/>
      <x:c r="FJ6" s="64" t="n"/>
      <x:c r="FK6" s="64" t="n"/>
      <x:c r="FL6" s="64" t="n"/>
      <x:c r="FM6" s="64" t="n"/>
      <x:c r="FN6" s="64" t="n"/>
      <x:c r="FO6" s="64" t="n"/>
      <x:c r="FP6" s="64" t="n"/>
      <x:c r="FQ6" s="64" t="n"/>
      <x:c r="FR6" s="64" t="n"/>
      <x:c r="FS6" s="64" t="n"/>
      <x:c r="FT6" s="64" t="n"/>
      <x:c r="FU6" s="64" t="n"/>
      <x:c r="FV6" s="64" t="n"/>
      <x:c r="FW6" s="64" t="n"/>
      <x:c r="FX6" s="64" t="n"/>
      <x:c r="FY6" s="64" t="n"/>
      <x:c r="FZ6" s="64" t="n"/>
      <x:c r="GA6" s="64" t="n"/>
    </x:row>
    <x:row r="7" s="53" customFormat="1" ht="14.25" customHeight="1">
      <x:c r="A7" s="54" t="n"/>
      <x:c r="B7" s="593" t="n"/>
      <x:c r="C7" s="634" t="n"/>
      <x:c r="D7" s="634" t="n"/>
      <x:c r="E7" s="634" t="n"/>
      <x:c r="F7" s="635" t="n"/>
      <x:c r="G7" s="636" t="n">
        <x:f>SUBTOTAL(9,G10:G204)</x:f>
        <x:v>1</x:v>
      </x:c>
      <x:c r="H7" s="637" t="n">
        <x:f>SUBTOTAL(9,H10:H204)</x:f>
        <x:v>0</x:v>
      </x:c>
      <x:c r="I7" s="637" t="n">
        <x:f>SUBTOTAL(9,I10:I204)</x:f>
        <x:v>0</x:v>
      </x:c>
      <x:c r="J7" s="637" t="n">
        <x:f>SUBTOTAL(9,J10:J204)</x:f>
        <x:v>0</x:v>
      </x:c>
      <x:c r="K7" s="637" t="n">
        <x:f>SUBTOTAL(9,K10:K204)</x:f>
        <x:v>0</x:v>
      </x:c>
      <x:c r="L7" s="637" t="n">
        <x:f>SUBTOTAL(9,L10:L204)</x:f>
        <x:v>0</x:v>
      </x:c>
      <x:c r="M7" s="637" t="n">
        <x:f>SUBTOTAL(9,M10:M204)</x:f>
        <x:v>0</x:v>
      </x:c>
      <x:c r="N7" s="637" t="n">
        <x:f>SUBTOTAL(9,N10:N204)</x:f>
        <x:v>0</x:v>
      </x:c>
      <x:c r="O7" s="637" t="n">
        <x:f>SUBTOTAL(9,O10:O204)</x:f>
        <x:v>0</x:v>
      </x:c>
      <x:c r="P7" s="637" t="n">
        <x:f>SUBTOTAL(9,P10:P204)</x:f>
        <x:v>0</x:v>
      </x:c>
      <x:c r="Q7" s="637" t="n">
        <x:f>SUBTOTAL(9,Q10:Q204)</x:f>
        <x:v>0</x:v>
      </x:c>
      <x:c r="R7" s="638" t="n">
        <x:f>SUBTOTAL(9,R10:R204)</x:f>
        <x:v>0</x:v>
      </x:c>
      <x:c r="S7" s="638" t="n">
        <x:f>SUBTOTAL(9,S10:S204)</x:f>
        <x:v>0</x:v>
      </x:c>
      <x:c r="T7" s="637" t="n">
        <x:f>SUBTOTAL(9,T10:T204)</x:f>
        <x:v>0</x:v>
      </x:c>
      <x:c r="U7" s="637" t="n">
        <x:f>SUBTOTAL(9,U10:U204)</x:f>
        <x:v>0</x:v>
      </x:c>
      <x:c r="V7" s="637" t="n">
        <x:f>SUBTOTAL(9,V10:V204)</x:f>
        <x:v>0</x:v>
      </x:c>
      <x:c r="W7" s="637" t="n">
        <x:f>SUBTOTAL(9,W10:W204)</x:f>
        <x:v>0</x:v>
      </x:c>
      <x:c r="X7" s="637" t="n">
        <x:f>SUBTOTAL(9,X10:X204)</x:f>
        <x:v>0</x:v>
      </x:c>
      <x:c r="Y7" s="637" t="n">
        <x:f>SUBTOTAL(9,Y10:Y204)</x:f>
        <x:v>0</x:v>
      </x:c>
      <x:c r="Z7" s="637" t="n">
        <x:f>SUBTOTAL(9,Z10:Z204)</x:f>
        <x:v>0</x:v>
      </x:c>
      <x:c r="AA7" s="637" t="n">
        <x:f>SUBTOTAL(9,AA10:AA204)</x:f>
        <x:v>0</x:v>
      </x:c>
      <x:c r="AB7" s="637" t="n">
        <x:f>SUBTOTAL(9,AB10:AB204)</x:f>
        <x:v>0</x:v>
      </x:c>
      <x:c r="AC7" s="637" t="n">
        <x:f>SUBTOTAL(9,AC10:AC204)</x:f>
        <x:v>0</x:v>
      </x:c>
      <x:c r="AD7" s="637" t="n">
        <x:f>SUBTOTAL(9,AD10:AD204)</x:f>
        <x:v>0</x:v>
      </x:c>
      <x:c r="AE7" s="638" t="n">
        <x:f>SUBTOTAL(9,AE10:AE204)</x:f>
        <x:v>0</x:v>
      </x:c>
      <x:c r="AF7" s="638" t="n">
        <x:f>SUBTOTAL(9,AF10:AF204)</x:f>
        <x:v>0</x:v>
      </x:c>
      <x:c r="AG7" s="638" t="n">
        <x:f>SUBTOTAL(9,AG10:AG204)</x:f>
        <x:v>0</x:v>
      </x:c>
      <x:c r="AH7" s="638" t="n">
        <x:f>SUBTOTAL(9,AH10:AH204)</x:f>
        <x:v>0</x:v>
      </x:c>
      <x:c r="AI7" s="638" t="n">
        <x:f>SUBTOTAL(9,AI10:AI204)</x:f>
        <x:v>0</x:v>
      </x:c>
      <x:c r="AJ7" s="638" t="n">
        <x:f>SUBTOTAL(9,AJ10:AJ204)</x:f>
        <x:v>0</x:v>
      </x:c>
      <x:c r="AK7" s="638" t="n">
        <x:f>SUBTOTAL(9,AK10:AK204)</x:f>
        <x:v>0</x:v>
      </x:c>
      <x:c r="AL7" s="637" t="n">
        <x:f>SUBTOTAL(9,AL10:AL204)</x:f>
        <x:v>0</x:v>
      </x:c>
      <x:c r="AM7" s="638" t="n">
        <x:f>SUBTOTAL(9,AM10:AM204)</x:f>
        <x:v>0</x:v>
      </x:c>
      <x:c r="AN7" s="637" t="n">
        <x:f>SUBTOTAL(9,AN10:AN204)</x:f>
        <x:v>0</x:v>
      </x:c>
      <x:c r="AO7" s="638" t="n">
        <x:f>SUBTOTAL(9,AO10:AO204)</x:f>
        <x:v>0</x:v>
      </x:c>
      <x:c r="AP7" s="637" t="n">
        <x:f>SUBTOTAL(9,AP10:AP204)</x:f>
        <x:v>0</x:v>
      </x:c>
      <x:c r="AQ7" s="637" t="n">
        <x:f>SUBTOTAL(9,AQ10:AQ204)</x:f>
        <x:v>0</x:v>
      </x:c>
      <x:c r="AR7" s="637" t="n">
        <x:f>SUBTOTAL(9,AR10:AR204)</x:f>
        <x:v>0</x:v>
      </x:c>
      <x:c r="AS7" s="637" t="n">
        <x:f>SUBTOTAL(9,AS10:AS204)</x:f>
        <x:v>0</x:v>
      </x:c>
      <x:c r="AT7" s="637" t="n">
        <x:f>SUBTOTAL(9,AT10:AT204)</x:f>
        <x:v>0</x:v>
      </x:c>
      <x:c r="AU7" s="637" t="n">
        <x:f>SUBTOTAL(9,AU10:AU204)</x:f>
        <x:v>0</x:v>
      </x:c>
      <x:c r="AV7" s="637" t="n">
        <x:f>SUBTOTAL(9,AV10:AV204)</x:f>
        <x:v>0</x:v>
      </x:c>
      <x:c r="AW7" s="637" t="n">
        <x:f>SUBTOTAL(9,AW10:AW204)</x:f>
        <x:v>0</x:v>
      </x:c>
      <x:c r="AX7" s="637" t="n">
        <x:f>SUBTOTAL(9,AX10:AX204)</x:f>
        <x:v>0</x:v>
      </x:c>
      <x:c r="AY7" s="637" t="n">
        <x:f>SUBTOTAL(9,AY10:AY204)</x:f>
        <x:v>0</x:v>
      </x:c>
      <x:c r="AZ7" s="637" t="n">
        <x:f>SUBTOTAL(9,AZ10:AZ204)</x:f>
        <x:v>0</x:v>
      </x:c>
      <x:c r="BA7" s="637" t="n">
        <x:f>SUBTOTAL(9,BA10:BA204)</x:f>
        <x:v>0</x:v>
      </x:c>
      <x:c r="BB7" s="637" t="n">
        <x:f>SUBTOTAL(9,BB10:BB204)</x:f>
        <x:v>0</x:v>
      </x:c>
      <x:c r="BC7" s="637" t="n">
        <x:f>SUBTOTAL(9,BC10:BC204)</x:f>
        <x:v>0</x:v>
      </x:c>
      <x:c r="BD7" s="637" t="n">
        <x:f>SUBTOTAL(9,BD10:BD204)</x:f>
        <x:v>0</x:v>
      </x:c>
      <x:c r="BE7" s="637" t="n">
        <x:f>SUBTOTAL(9,BE10:BE204)</x:f>
        <x:v>0</x:v>
      </x:c>
      <x:c r="BF7" s="637" t="n">
        <x:f>SUBTOTAL(9,BF10:BF204)</x:f>
        <x:v>0</x:v>
      </x:c>
      <x:c r="BG7" s="637" t="n">
        <x:f>SUBTOTAL(9,BG10:BG204)</x:f>
        <x:v>0</x:v>
      </x:c>
      <x:c r="BH7" s="637" t="n">
        <x:f>SUBTOTAL(9,BH10:BH204)</x:f>
        <x:v>0</x:v>
      </x:c>
      <x:c r="BI7" s="637" t="n">
        <x:f>SUBTOTAL(9,BI10:BI204)</x:f>
        <x:v>0</x:v>
      </x:c>
      <x:c r="BJ7" s="637" t="n">
        <x:f>SUBTOTAL(9,BJ10:BJ204)</x:f>
        <x:v>0</x:v>
      </x:c>
      <x:c r="BK7" s="637" t="n">
        <x:f>SUBTOTAL(9,BK10:BK204)</x:f>
        <x:v>0</x:v>
      </x:c>
      <x:c r="BL7" s="637" t="n">
        <x:f>SUBTOTAL(9,BL10:BL204)</x:f>
        <x:v>0</x:v>
      </x:c>
      <x:c r="BM7" s="637" t="n">
        <x:f>SUBTOTAL(9,BM10:BM204)</x:f>
        <x:v>0</x:v>
      </x:c>
      <x:c r="BN7" s="637" t="n">
        <x:f>SUBTOTAL(9,BN10:BN204)</x:f>
        <x:v>0</x:v>
      </x:c>
      <x:c r="BO7" s="637" t="n">
        <x:f>SUBTOTAL(9,BO10:BO204)</x:f>
        <x:v>0</x:v>
      </x:c>
      <x:c r="BP7" s="637" t="n">
        <x:f>SUBTOTAL(9,BP10:BP204)</x:f>
        <x:v>0</x:v>
      </x:c>
      <x:c r="BQ7" s="637" t="n">
        <x:f>SUBTOTAL(9,BQ10:BQ204)</x:f>
        <x:v>0</x:v>
      </x:c>
      <x:c r="BR7" s="637" t="n">
        <x:f>SUBTOTAL(9,BR10:BR204)</x:f>
        <x:v>0</x:v>
      </x:c>
      <x:c r="BS7" s="637" t="n">
        <x:f>SUBTOTAL(9,BS10:BS204)</x:f>
        <x:v>0</x:v>
      </x:c>
      <x:c r="BT7" s="637" t="n">
        <x:f>SUBTOTAL(9,BT10:BT204)</x:f>
        <x:v>0</x:v>
      </x:c>
      <x:c r="BU7" s="637" t="n">
        <x:f>SUBTOTAL(9,BU10:BU204)</x:f>
        <x:v>0</x:v>
      </x:c>
      <x:c r="BV7" s="637" t="n">
        <x:f>SUBTOTAL(9,BV10:BV204)</x:f>
        <x:v>0</x:v>
      </x:c>
      <x:c r="BW7" s="637" t="n">
        <x:f>SUBTOTAL(9,BW10:BW204)</x:f>
        <x:v>0</x:v>
      </x:c>
      <x:c r="BX7" s="637" t="n">
        <x:f>SUBTOTAL(9,BX10:BX204)</x:f>
        <x:v>0</x:v>
      </x:c>
      <x:c r="BY7" s="637" t="n">
        <x:f>SUBTOTAL(9,BY10:BY204)</x:f>
        <x:v>0</x:v>
      </x:c>
      <x:c r="BZ7" s="637" t="n">
        <x:f>SUBTOTAL(9,BZ10:BZ204)</x:f>
        <x:v>0</x:v>
      </x:c>
      <x:c r="CA7" s="637" t="n">
        <x:f>SUBTOTAL(9,CA10:CA204)</x:f>
        <x:v>0</x:v>
      </x:c>
      <x:c r="CB7" s="637" t="n">
        <x:f>SUBTOTAL(9,CB10:CB204)</x:f>
        <x:v>0</x:v>
      </x:c>
      <x:c r="CC7" s="637" t="n">
        <x:f>SUBTOTAL(9,CC10:CC204)</x:f>
        <x:v>0</x:v>
      </x:c>
      <x:c r="CD7" s="637" t="n">
        <x:f>SUBTOTAL(9,CD10:CD204)</x:f>
        <x:v>0</x:v>
      </x:c>
      <x:c r="CE7" s="637" t="n">
        <x:f>SUBTOTAL(9,CE10:CE204)</x:f>
        <x:v>0</x:v>
      </x:c>
      <x:c r="CF7" s="637" t="n">
        <x:f>SUBTOTAL(9,CF10:CF204)</x:f>
        <x:v>0</x:v>
      </x:c>
      <x:c r="CG7" s="637" t="n">
        <x:f>SUBTOTAL(9,CG10:CG204)</x:f>
        <x:v>0</x:v>
      </x:c>
      <x:c r="CH7" s="637" t="n">
        <x:f>SUBTOTAL(9,CH10:CH204)</x:f>
        <x:v>0</x:v>
      </x:c>
      <x:c r="CI7" s="637" t="n">
        <x:f>SUBTOTAL(9,CI10:CI204)</x:f>
        <x:v>0</x:v>
      </x:c>
      <x:c r="CJ7" s="637" t="n">
        <x:f>SUBTOTAL(9,CJ10:CJ204)</x:f>
        <x:v>0</x:v>
      </x:c>
      <x:c r="CK7" s="637" t="n">
        <x:f>SUBTOTAL(9,CK10:CK204)</x:f>
        <x:v>0</x:v>
      </x:c>
      <x:c r="CL7" s="637" t="n">
        <x:f>SUBTOTAL(9,CL10:CL204)</x:f>
        <x:v>0</x:v>
      </x:c>
      <x:c r="CM7" s="637" t="n">
        <x:f>SUBTOTAL(9,CM10:CM204)</x:f>
        <x:v>0</x:v>
      </x:c>
      <x:c r="CN7" s="637" t="n">
        <x:f>SUBTOTAL(9,CN10:CN204)</x:f>
        <x:v>0</x:v>
      </x:c>
      <x:c r="CO7" s="637" t="n">
        <x:f>SUBTOTAL(9,CO10:CO204)</x:f>
        <x:v>0</x:v>
      </x:c>
      <x:c r="CP7" s="637" t="n">
        <x:f>SUBTOTAL(9,CP10:CP204)</x:f>
        <x:v>0</x:v>
      </x:c>
      <x:c r="CQ7" s="637" t="n">
        <x:f>SUBTOTAL(9,CQ10:CQ204)</x:f>
        <x:v>0</x:v>
      </x:c>
      <x:c r="CR7" s="637" t="n">
        <x:f>SUBTOTAL(9,CR10:CR204)</x:f>
        <x:v>0</x:v>
      </x:c>
      <x:c r="CS7" s="637" t="n">
        <x:f>SUBTOTAL(9,CS10:CS204)</x:f>
        <x:v>0</x:v>
      </x:c>
      <x:c r="CT7" s="637" t="n">
        <x:f>SUBTOTAL(9,CT10:CT204)</x:f>
        <x:v>0</x:v>
      </x:c>
      <x:c r="CU7" s="637" t="n">
        <x:f>SUBTOTAL(9,CU10:CU204)</x:f>
        <x:v>0</x:v>
      </x:c>
      <x:c r="CV7" s="637" t="n">
        <x:f>SUBTOTAL(9,CV10:CV204)</x:f>
        <x:v>0</x:v>
      </x:c>
      <x:c r="CW7" s="637" t="n">
        <x:f>SUBTOTAL(9,CW10:CW204)</x:f>
        <x:v>0</x:v>
      </x:c>
      <x:c r="CX7" s="637" t="n">
        <x:f>SUBTOTAL(9,CX10:CX204)</x:f>
        <x:v>0</x:v>
      </x:c>
      <x:c r="CY7" s="637" t="n">
        <x:f>SUBTOTAL(9,CY10:CY204)</x:f>
        <x:v>0</x:v>
      </x:c>
      <x:c r="CZ7" s="637" t="n">
        <x:f>SUBTOTAL(9,CZ10:CZ204)</x:f>
        <x:v>0</x:v>
      </x:c>
      <x:c r="DA7" s="637" t="n">
        <x:f>SUBTOTAL(9,DA10:DA204)</x:f>
        <x:v>0</x:v>
      </x:c>
      <x:c r="DB7" s="637" t="n">
        <x:f>SUBTOTAL(9,DB10:DB204)</x:f>
        <x:v>0</x:v>
      </x:c>
      <x:c r="DC7" s="637" t="n">
        <x:f>SUBTOTAL(9,DC10:DC204)</x:f>
        <x:v>0</x:v>
      </x:c>
      <x:c r="DD7" s="637" t="n">
        <x:f>SUBTOTAL(9,DD10:DD204)</x:f>
        <x:v>0</x:v>
      </x:c>
      <x:c r="DE7" s="637" t="n">
        <x:f>SUBTOTAL(9,DE10:DE204)</x:f>
        <x:v>0</x:v>
      </x:c>
      <x:c r="DF7" s="637" t="n">
        <x:f>SUBTOTAL(9,DF10:DF204)</x:f>
        <x:v>0</x:v>
      </x:c>
      <x:c r="DG7" s="637" t="n">
        <x:f>SUBTOTAL(9,DG10:DG204)</x:f>
        <x:v>0</x:v>
      </x:c>
      <x:c r="DH7" s="637" t="n">
        <x:f>SUBTOTAL(9,DH10:DH204)</x:f>
        <x:v>0</x:v>
      </x:c>
      <x:c r="DI7" s="637" t="n">
        <x:f>SUBTOTAL(9,DI10:DI204)</x:f>
        <x:v>0</x:v>
      </x:c>
      <x:c r="DJ7" s="637" t="n">
        <x:f>SUBTOTAL(9,DJ10:DJ204)</x:f>
        <x:v>0</x:v>
      </x:c>
      <x:c r="DK7" s="637" t="n">
        <x:f>SUBTOTAL(9,DK10:DK204)</x:f>
        <x:v>0</x:v>
      </x:c>
      <x:c r="DL7" s="637" t="n">
        <x:f>SUBTOTAL(9,DL10:DL204)</x:f>
        <x:v>0</x:v>
      </x:c>
      <x:c r="DM7" s="637" t="n">
        <x:f>SUBTOTAL(9,DM10:DM204)</x:f>
        <x:v>0</x:v>
      </x:c>
      <x:c r="DN7" s="637" t="n">
        <x:f>SUBTOTAL(9,DN10:DN204)</x:f>
        <x:v>0</x:v>
      </x:c>
      <x:c r="DO7" s="637" t="n">
        <x:f>SUBTOTAL(9,DO10:DO204)</x:f>
        <x:v>0</x:v>
      </x:c>
      <x:c r="DP7" s="637" t="n">
        <x:f>SUBTOTAL(9,DP10:DP204)</x:f>
        <x:v>0</x:v>
      </x:c>
      <x:c r="DQ7" s="637" t="n">
        <x:f>SUBTOTAL(9,DQ10:DQ204)</x:f>
        <x:v>0</x:v>
      </x:c>
      <x:c r="DR7" s="637" t="n">
        <x:f>SUBTOTAL(9,DR10:DR204)</x:f>
        <x:v>0</x:v>
      </x:c>
      <x:c r="DS7" s="637" t="n">
        <x:f>SUBTOTAL(9,DS10:DS204)</x:f>
        <x:v>0</x:v>
      </x:c>
      <x:c r="DT7" s="637" t="n">
        <x:f>SUBTOTAL(9,DT10:DT204)</x:f>
        <x:v>0</x:v>
      </x:c>
      <x:c r="DU7" s="637" t="n">
        <x:f>SUBTOTAL(9,DU10:DU204)</x:f>
        <x:v>0</x:v>
      </x:c>
      <x:c r="DV7" s="637" t="n">
        <x:f>SUBTOTAL(9,DV10:DV204)</x:f>
        <x:v>0</x:v>
      </x:c>
      <x:c r="DW7" s="637" t="n">
        <x:f>SUBTOTAL(9,DW10:DW204)</x:f>
        <x:v>0</x:v>
      </x:c>
      <x:c r="DX7" s="637" t="n">
        <x:f>SUBTOTAL(9,DX10:DX204)</x:f>
        <x:v>0</x:v>
      </x:c>
      <x:c r="DY7" s="637" t="n">
        <x:f>SUBTOTAL(9,DY10:DY204)</x:f>
        <x:v>0</x:v>
      </x:c>
      <x:c r="DZ7" s="637" t="n">
        <x:f>SUBTOTAL(9,DZ10:DZ204)</x:f>
        <x:v>0</x:v>
      </x:c>
      <x:c r="EA7" s="637" t="n">
        <x:f>SUBTOTAL(9,EA10:EA204)</x:f>
        <x:v>0</x:v>
      </x:c>
      <x:c r="EB7" s="637" t="n">
        <x:f>SUBTOTAL(9,EB10:EB204)</x:f>
        <x:v>0</x:v>
      </x:c>
      <x:c r="EC7" s="637" t="n">
        <x:f>SUBTOTAL(9,EC10:EC204)</x:f>
        <x:v>0</x:v>
      </x:c>
      <x:c r="ED7" s="637" t="n">
        <x:f>SUBTOTAL(9,ED10:ED204)</x:f>
        <x:v>0</x:v>
      </x:c>
      <x:c r="EE7" s="637" t="n">
        <x:f>SUBTOTAL(9,EE10:EE204)</x:f>
        <x:v>0</x:v>
      </x:c>
      <x:c r="EF7" s="637" t="n">
        <x:f>SUBTOTAL(9,EF10:EF204)</x:f>
        <x:v>0</x:v>
      </x:c>
      <x:c r="EG7" s="637" t="n">
        <x:f>SUBTOTAL(9,EG10:EG204)</x:f>
        <x:v>0</x:v>
      </x:c>
      <x:c r="EH7" s="637" t="n">
        <x:f>SUBTOTAL(9,EH10:EH204)</x:f>
        <x:v>0</x:v>
      </x:c>
      <x:c r="EI7" s="637" t="n">
        <x:f>SUBTOTAL(9,EI10:EI204)</x:f>
        <x:v>0</x:v>
      </x:c>
      <x:c r="EJ7" s="637" t="n">
        <x:f>SUBTOTAL(9,EJ10:EJ204)</x:f>
        <x:v>0</x:v>
      </x:c>
      <x:c r="EK7" s="637" t="n">
        <x:f>SUBTOTAL(9,EK10:EK204)</x:f>
        <x:v>0</x:v>
      </x:c>
      <x:c r="EL7" s="637" t="n">
        <x:f>SUBTOTAL(9,EL10:EL204)</x:f>
        <x:v>0</x:v>
      </x:c>
      <x:c r="EM7" s="637" t="n">
        <x:f>SUBTOTAL(9,EM10:EM204)</x:f>
        <x:v>0</x:v>
      </x:c>
      <x:c r="EN7" s="637" t="n">
        <x:f>SUBTOTAL(9,EN10:EN204)</x:f>
        <x:v>0</x:v>
      </x:c>
      <x:c r="EO7" s="637" t="n">
        <x:f>SUBTOTAL(9,EO10:EO204)</x:f>
        <x:v>0</x:v>
      </x:c>
      <x:c r="EP7" s="637" t="n">
        <x:f>SUBTOTAL(9,EP10:EP204)</x:f>
        <x:v>0</x:v>
      </x:c>
      <x:c r="EQ7" s="637" t="n">
        <x:f>SUBTOTAL(9,EQ10:EQ204)</x:f>
        <x:v>0</x:v>
      </x:c>
      <x:c r="ER7" s="637" t="n">
        <x:f>SUBTOTAL(9,ER10:ER204)</x:f>
        <x:v>0</x:v>
      </x:c>
      <x:c r="ES7" s="637" t="n">
        <x:f>SUBTOTAL(9,ES10:ES204)</x:f>
        <x:v>0</x:v>
      </x:c>
      <x:c r="ET7" s="637" t="n">
        <x:f>SUBTOTAL(9,ET10:ET204)</x:f>
        <x:v>0</x:v>
      </x:c>
      <x:c r="EU7" s="637" t="n">
        <x:f>SUBTOTAL(9,EU10:EU204)</x:f>
        <x:v>0</x:v>
      </x:c>
      <x:c r="EV7" s="637" t="n">
        <x:f>SUBTOTAL(9,EV10:EV204)</x:f>
        <x:v>0</x:v>
      </x:c>
      <x:c r="EW7" s="637" t="n">
        <x:f>SUBTOTAL(9,EW10:EW204)</x:f>
        <x:v>0</x:v>
      </x:c>
      <x:c r="EX7" s="637" t="n">
        <x:f>SUBTOTAL(9,EX10:EX204)</x:f>
        <x:v>0</x:v>
      </x:c>
      <x:c r="EY7" s="637" t="n">
        <x:f>SUBTOTAL(9,EY10:EY204)</x:f>
        <x:v>0</x:v>
      </x:c>
      <x:c r="EZ7" s="637" t="n">
        <x:f>SUBTOTAL(9,EZ10:EZ204)</x:f>
        <x:v>0</x:v>
      </x:c>
      <x:c r="FA7" s="637" t="n">
        <x:f>SUBTOTAL(9,FA10:FA204)</x:f>
        <x:v>0</x:v>
      </x:c>
      <x:c r="FB7" s="637" t="n">
        <x:f>SUBTOTAL(9,FB10:FB204)</x:f>
        <x:v>0</x:v>
      </x:c>
      <x:c r="FC7" s="637" t="n">
        <x:f>SUBTOTAL(9,FC10:FC204)</x:f>
        <x:v>0</x:v>
      </x:c>
      <x:c r="FD7" s="637" t="n">
        <x:f>SUBTOTAL(9,FD10:FD204)</x:f>
        <x:v>0</x:v>
      </x:c>
      <x:c r="FE7" s="637" t="n">
        <x:f>SUBTOTAL(9,FE10:FE204)</x:f>
        <x:v>0</x:v>
      </x:c>
      <x:c r="FF7" s="637" t="n">
        <x:f>SUBTOTAL(9,FF10:FF204)</x:f>
        <x:v>0</x:v>
      </x:c>
      <x:c r="FG7" s="637" t="n">
        <x:f>SUBTOTAL(9,FG10:FG204)</x:f>
        <x:v>0</x:v>
      </x:c>
      <x:c r="FH7" s="637" t="n">
        <x:f>SUBTOTAL(9,FH10:FH204)</x:f>
        <x:v>0</x:v>
      </x:c>
      <x:c r="FI7" s="637" t="n">
        <x:f>SUBTOTAL(9,FI10:FI204)</x:f>
        <x:v>0</x:v>
      </x:c>
      <x:c r="FJ7" s="637" t="n">
        <x:f>SUBTOTAL(9,FJ10:FJ204)</x:f>
        <x:v>0</x:v>
      </x:c>
      <x:c r="FK7" s="637" t="n">
        <x:f>SUBTOTAL(9,FK10:FK204)</x:f>
        <x:v>0</x:v>
      </x:c>
      <x:c r="FL7" s="637" t="n">
        <x:f>SUBTOTAL(9,FL10:FL204)</x:f>
        <x:v>0</x:v>
      </x:c>
      <x:c r="FM7" s="637" t="n">
        <x:f>SUBTOTAL(9,FM10:FM204)</x:f>
        <x:v>0</x:v>
      </x:c>
      <x:c r="FN7" s="637" t="n">
        <x:f>SUBTOTAL(9,FN10:FN204)</x:f>
        <x:v>0</x:v>
      </x:c>
      <x:c r="FO7" s="637" t="n">
        <x:f>SUBTOTAL(9,FO10:FO204)</x:f>
        <x:v>0</x:v>
      </x:c>
      <x:c r="FP7" s="637" t="n">
        <x:f>SUBTOTAL(9,FP10:FP204)</x:f>
        <x:v>0</x:v>
      </x:c>
      <x:c r="FQ7" s="637" t="n">
        <x:f>SUBTOTAL(9,FQ10:FQ204)</x:f>
        <x:v>0</x:v>
      </x:c>
      <x:c r="FR7" s="637" t="n">
        <x:f>SUBTOTAL(9,FR10:FR204)</x:f>
        <x:v>0</x:v>
      </x:c>
      <x:c r="FS7" s="637" t="n">
        <x:f>SUBTOTAL(9,FS10:FS204)</x:f>
        <x:v>0</x:v>
      </x:c>
      <x:c r="FT7" s="637" t="n">
        <x:f>SUBTOTAL(9,FT10:FT204)</x:f>
        <x:v>0</x:v>
      </x:c>
      <x:c r="FU7" s="637" t="n">
        <x:f>SUBTOTAL(9,FU10:FU204)</x:f>
        <x:v>0</x:v>
      </x:c>
      <x:c r="FV7" s="637" t="n">
        <x:f>SUBTOTAL(9,FV10:FV204)</x:f>
        <x:v>0</x:v>
      </x:c>
      <x:c r="FW7" s="637" t="n">
        <x:f>SUBTOTAL(9,FW10:FW204)</x:f>
        <x:v>0</x:v>
      </x:c>
      <x:c r="FX7" s="637" t="n">
        <x:f>SUBTOTAL(9,FX10:FX204)</x:f>
        <x:v>0</x:v>
      </x:c>
      <x:c r="FY7" s="637" t="n">
        <x:f>SUBTOTAL(9,FY10:FY204)</x:f>
        <x:v>0</x:v>
      </x:c>
      <x:c r="FZ7" s="637" t="n">
        <x:f>SUBTOTAL(9,FZ10:FZ204)</x:f>
        <x:v>0</x:v>
      </x:c>
      <x:c r="GA7" s="637" t="n">
        <x:f>SUBTOTAL(9,GA10:GA204)</x:f>
        <x:v>0</x:v>
      </x:c>
    </x:row>
    <x:row r="8" s="26" customFormat="1" ht="14.25" customHeight="1">
      <x:c r="A8" s="52" t="inlineStr">
        <x:is>
          <x:t xml:space="preserve">NOTES</x:t>
        </x:is>
      </x:c>
      <x:c r="B8" s="639" t="n"/>
      <x:c r="C8" s="51" t="inlineStr">
        <x:is>
          <x:t xml:space="preserve">NET ACRES</x:t>
        </x:is>
      </x:c>
      <x:c r="D8" s="50" t="inlineStr">
        <x:is>
          <x:t xml:space="preserve">OWNERS</x:t>
        </x:is>
      </x:c>
      <x:c r="E8" s="49" t="inlineStr">
        <x:is>
          <x:t xml:space="preserve">TOTAL </x:t>
        </x:is>
      </x:c>
      <x:c r="F8" s="640" t="n"/>
      <x:c r="G8" s="641" t="n"/>
      <x:c r="H8" s="642" t="n"/>
      <x:c r="I8" s="642" t="n"/>
      <x:c r="J8" s="642" t="n"/>
      <x:c r="K8" s="642" t="n"/>
      <x:c r="L8" s="642" t="n"/>
      <x:c r="M8" s="642" t="n"/>
      <x:c r="N8" s="642" t="n"/>
      <x:c r="O8" s="642" t="n"/>
      <x:c r="P8" s="642" t="n"/>
      <x:c r="Q8" s="642" t="n"/>
      <x:c r="R8" s="642" t="n"/>
      <x:c r="S8" s="642" t="n"/>
      <x:c r="T8" s="642" t="n"/>
      <x:c r="U8" s="642" t="n"/>
      <x:c r="V8" s="642" t="n"/>
      <x:c r="W8" s="642" t="n"/>
      <x:c r="X8" s="642" t="n"/>
      <x:c r="Y8" s="642" t="n"/>
      <x:c r="Z8" s="642" t="n"/>
      <x:c r="AA8" s="642" t="n"/>
      <x:c r="AB8" s="642" t="n"/>
      <x:c r="AC8" s="642" t="n"/>
      <x:c r="AD8" s="642" t="n"/>
      <x:c r="AE8" s="642" t="n"/>
      <x:c r="AF8" s="642" t="n"/>
      <x:c r="AG8" s="642" t="n"/>
      <x:c r="AH8" s="642" t="n"/>
      <x:c r="AI8" s="642" t="n"/>
      <x:c r="AJ8" s="642" t="n"/>
      <x:c r="AK8" s="642" t="n"/>
      <x:c r="AL8" s="642" t="n"/>
      <x:c r="AM8" s="642" t="n"/>
      <x:c r="AN8" s="642" t="n"/>
      <x:c r="AO8" s="642" t="n"/>
      <x:c r="AP8" s="642" t="n"/>
      <x:c r="AQ8" s="642" t="n"/>
      <x:c r="AR8" s="642" t="n"/>
      <x:c r="AS8" s="642" t="n"/>
      <x:c r="AT8" s="642" t="n"/>
      <x:c r="AU8" s="642" t="n"/>
      <x:c r="AV8" s="642" t="n"/>
      <x:c r="AW8" s="642" t="n"/>
      <x:c r="AX8" s="642" t="n"/>
      <x:c r="AY8" s="642" t="n"/>
      <x:c r="AZ8" s="642" t="n"/>
      <x:c r="BA8" s="642" t="n"/>
      <x:c r="BB8" s="642" t="n"/>
      <x:c r="BC8" s="642" t="n"/>
      <x:c r="BD8" s="642" t="n"/>
      <x:c r="BE8" s="642" t="n"/>
      <x:c r="BF8" s="642" t="n"/>
      <x:c r="BG8" s="642" t="n"/>
      <x:c r="BH8" s="642" t="n"/>
      <x:c r="BI8" s="642" t="n"/>
      <x:c r="BJ8" s="642" t="n"/>
      <x:c r="BK8" s="642" t="n"/>
      <x:c r="BL8" s="642" t="n"/>
      <x:c r="BM8" s="642" t="n"/>
      <x:c r="BN8" s="642" t="n"/>
      <x:c r="BO8" s="642" t="n"/>
      <x:c r="BP8" s="642" t="n"/>
      <x:c r="BQ8" s="642" t="n"/>
      <x:c r="BR8" s="642" t="n"/>
      <x:c r="BS8" s="642" t="n"/>
      <x:c r="BT8" s="642" t="n"/>
      <x:c r="BU8" s="642" t="n"/>
      <x:c r="BV8" s="642" t="n"/>
      <x:c r="BW8" s="642" t="n"/>
      <x:c r="BX8" s="642" t="n"/>
      <x:c r="BY8" s="642" t="n"/>
      <x:c r="BZ8" s="642" t="n"/>
      <x:c r="CA8" s="642" t="n"/>
      <x:c r="CB8" s="642" t="n"/>
      <x:c r="CC8" s="642" t="n"/>
      <x:c r="CD8" s="642" t="n"/>
      <x:c r="CE8" s="642" t="n"/>
      <x:c r="CF8" s="642" t="n"/>
      <x:c r="CG8" s="642" t="n"/>
      <x:c r="CH8" s="642" t="n"/>
      <x:c r="CI8" s="642" t="n"/>
      <x:c r="CJ8" s="642" t="n"/>
      <x:c r="CK8" s="642" t="n"/>
      <x:c r="CL8" s="642" t="n"/>
      <x:c r="CM8" s="642" t="n"/>
      <x:c r="CN8" s="642" t="n"/>
      <x:c r="CO8" s="642" t="n"/>
      <x:c r="CP8" s="642" t="n"/>
      <x:c r="CQ8" s="642" t="n"/>
      <x:c r="CR8" s="642" t="n"/>
      <x:c r="CS8" s="642" t="n"/>
      <x:c r="CT8" s="642" t="n"/>
      <x:c r="CU8" s="642" t="n"/>
      <x:c r="CV8" s="642" t="n"/>
      <x:c r="CW8" s="642" t="n"/>
      <x:c r="CX8" s="642" t="n"/>
      <x:c r="CY8" s="642" t="n"/>
      <x:c r="CZ8" s="642" t="n"/>
      <x:c r="DA8" s="642" t="n"/>
      <x:c r="DB8" s="642" t="n"/>
      <x:c r="DC8" s="642" t="n"/>
      <x:c r="DD8" s="642" t="n"/>
      <x:c r="DE8" s="642" t="n"/>
      <x:c r="DF8" s="642" t="n"/>
      <x:c r="DG8" s="642" t="n"/>
      <x:c r="DH8" s="642" t="n"/>
      <x:c r="DI8" s="642" t="n"/>
      <x:c r="DJ8" s="642" t="n"/>
      <x:c r="DK8" s="642" t="n"/>
      <x:c r="DL8" s="642" t="n"/>
      <x:c r="DM8" s="642" t="n"/>
      <x:c r="DN8" s="642" t="n"/>
      <x:c r="DO8" s="642" t="n"/>
      <x:c r="DP8" s="642" t="n"/>
      <x:c r="DQ8" s="642" t="n"/>
      <x:c r="DR8" s="642" t="n"/>
      <x:c r="DS8" s="642" t="n"/>
      <x:c r="DT8" s="642" t="n"/>
      <x:c r="DU8" s="642" t="n"/>
      <x:c r="DV8" s="642" t="n"/>
      <x:c r="DW8" s="642" t="n"/>
      <x:c r="DX8" s="642" t="n"/>
      <x:c r="DY8" s="642" t="n"/>
      <x:c r="DZ8" s="642" t="n"/>
      <x:c r="EA8" s="642" t="n"/>
      <x:c r="EB8" s="642" t="n"/>
      <x:c r="EC8" s="642" t="n"/>
      <x:c r="ED8" s="642" t="n"/>
      <x:c r="EE8" s="642" t="n"/>
      <x:c r="EF8" s="642" t="n"/>
      <x:c r="EG8" s="642" t="n"/>
      <x:c r="EH8" s="642" t="n"/>
      <x:c r="EI8" s="642" t="n"/>
      <x:c r="EJ8" s="642" t="n"/>
      <x:c r="EK8" s="642" t="n"/>
      <x:c r="EL8" s="642" t="n"/>
      <x:c r="EM8" s="642" t="n"/>
      <x:c r="EN8" s="642" t="n"/>
      <x:c r="EO8" s="642" t="n"/>
      <x:c r="EP8" s="642" t="n"/>
      <x:c r="EQ8" s="642" t="n"/>
      <x:c r="ER8" s="642" t="n"/>
      <x:c r="ES8" s="642" t="n"/>
      <x:c r="ET8" s="642" t="n"/>
      <x:c r="EU8" s="642" t="n"/>
      <x:c r="EV8" s="642" t="n"/>
      <x:c r="EW8" s="642" t="n"/>
      <x:c r="EX8" s="642" t="n"/>
      <x:c r="EY8" s="642" t="n"/>
      <x:c r="EZ8" s="642" t="n"/>
      <x:c r="FA8" s="642" t="n"/>
      <x:c r="FB8" s="642" t="n"/>
      <x:c r="FC8" s="642" t="n"/>
      <x:c r="FD8" s="642" t="n"/>
      <x:c r="FE8" s="642" t="n"/>
      <x:c r="FF8" s="642" t="n"/>
      <x:c r="FG8" s="642" t="n"/>
      <x:c r="FH8" s="642" t="n"/>
      <x:c r="FI8" s="642" t="n"/>
      <x:c r="FJ8" s="642" t="n"/>
      <x:c r="FK8" s="642" t="n"/>
      <x:c r="FL8" s="642" t="n"/>
      <x:c r="FM8" s="642" t="n"/>
      <x:c r="FN8" s="642" t="n"/>
      <x:c r="FO8" s="642" t="n"/>
      <x:c r="FP8" s="642" t="n"/>
      <x:c r="FQ8" s="642" t="n"/>
      <x:c r="FR8" s="642" t="n"/>
      <x:c r="FS8" s="642" t="n"/>
      <x:c r="FT8" s="642" t="n"/>
      <x:c r="FU8" s="642" t="n"/>
      <x:c r="FV8" s="642" t="n"/>
      <x:c r="FW8" s="642" t="n"/>
      <x:c r="FX8" s="642" t="n"/>
      <x:c r="FY8" s="642" t="n"/>
      <x:c r="FZ8" s="642" t="n"/>
      <x:c r="GA8" s="642" t="n"/>
    </x:row>
    <x:row r="9" s="40" customFormat="1" ht="12.75" customHeight="1">
      <x:c r="A9" s="48" t="n"/>
      <x:c r="B9" s="47" t="n"/>
      <x:c r="C9" s="45" t="n"/>
      <x:c r="D9" s="46" t="n"/>
      <x:c r="E9" s="45" t="n"/>
      <x:c r="F9" s="44" t="n"/>
      <x:c r="G9" s="43" t="n"/>
      <x:c r="H9" s="41" t="n"/>
      <x:c r="I9" s="42" t="n"/>
      <x:c r="J9" s="41" t="n"/>
      <x:c r="K9" s="41" t="n"/>
      <x:c r="L9" s="41" t="n"/>
      <x:c r="M9" s="41" t="n"/>
      <x:c r="N9" s="41" t="n"/>
      <x:c r="O9" s="41" t="n"/>
      <x:c r="P9" s="41" t="n"/>
      <x:c r="Q9" s="41" t="n"/>
      <x:c r="R9" s="99" t="n"/>
      <x:c r="S9" s="99" t="n"/>
      <x:c r="T9" s="41" t="n"/>
      <x:c r="U9" s="41" t="n"/>
      <x:c r="V9" s="41" t="n"/>
      <x:c r="W9" s="41" t="n"/>
      <x:c r="X9" s="41" t="n"/>
      <x:c r="Y9" s="41" t="n"/>
      <x:c r="Z9" s="41" t="n"/>
      <x:c r="AA9" s="41" t="n"/>
      <x:c r="AB9" s="41" t="n"/>
      <x:c r="AC9" s="41" t="n"/>
      <x:c r="AD9" s="41" t="n"/>
      <x:c r="AE9" s="99" t="n"/>
      <x:c r="AF9" s="99" t="n"/>
      <x:c r="AG9" s="99" t="n"/>
      <x:c r="AH9" s="99" t="n"/>
      <x:c r="AI9" s="99" t="n"/>
      <x:c r="AJ9" s="99" t="n"/>
      <x:c r="AK9" s="99" t="n"/>
      <x:c r="AL9" s="41" t="n"/>
      <x:c r="AM9" s="99" t="n"/>
      <x:c r="AN9" s="41" t="n"/>
      <x:c r="AO9" s="99" t="n"/>
      <x:c r="AP9" s="41" t="n"/>
      <x:c r="AQ9" s="41" t="n"/>
      <x:c r="AR9" s="41" t="n"/>
      <x:c r="AS9" s="41" t="n"/>
      <x:c r="AT9" s="41" t="n"/>
      <x:c r="AU9" s="41" t="n"/>
      <x:c r="AV9" s="41" t="n"/>
      <x:c r="AW9" s="41" t="n"/>
      <x:c r="AX9" s="41" t="n"/>
      <x:c r="AY9" s="41" t="n"/>
      <x:c r="AZ9" s="41" t="n"/>
      <x:c r="BA9" s="41" t="n"/>
      <x:c r="BB9" s="41" t="n"/>
      <x:c r="BC9" s="41" t="n"/>
      <x:c r="BD9" s="41" t="n"/>
      <x:c r="BE9" s="41" t="n"/>
      <x:c r="BF9" s="41" t="n"/>
      <x:c r="BG9" s="41" t="n"/>
      <x:c r="BH9" s="41" t="n"/>
      <x:c r="BI9" s="41" t="n"/>
      <x:c r="BJ9" s="41" t="n"/>
      <x:c r="BK9" s="41" t="n"/>
      <x:c r="BL9" s="41" t="n"/>
      <x:c r="BM9" s="41" t="n"/>
      <x:c r="BN9" s="41" t="n"/>
      <x:c r="BO9" s="41" t="n"/>
      <x:c r="BP9" s="41" t="n"/>
      <x:c r="BQ9" s="41" t="n"/>
      <x:c r="BR9" s="41" t="n"/>
      <x:c r="BS9" s="41" t="n"/>
      <x:c r="BT9" s="41" t="n"/>
      <x:c r="BU9" s="41" t="n"/>
      <x:c r="BV9" s="41" t="n"/>
      <x:c r="BW9" s="41" t="n"/>
      <x:c r="BX9" s="41" t="n"/>
      <x:c r="BY9" s="41" t="n"/>
      <x:c r="BZ9" s="41" t="n"/>
      <x:c r="CA9" s="41" t="n"/>
      <x:c r="CB9" s="41" t="n"/>
      <x:c r="CC9" s="41" t="n"/>
      <x:c r="CD9" s="41" t="n"/>
      <x:c r="CE9" s="41" t="n"/>
      <x:c r="CF9" s="41" t="n"/>
      <x:c r="CG9" s="41" t="n"/>
      <x:c r="CH9" s="41" t="n"/>
      <x:c r="CI9" s="41" t="n"/>
      <x:c r="CJ9" s="41" t="n"/>
      <x:c r="CK9" s="41" t="n"/>
      <x:c r="CL9" s="41" t="n"/>
      <x:c r="CM9" s="41" t="n"/>
      <x:c r="CN9" s="41" t="n"/>
      <x:c r="CO9" s="41" t="n"/>
      <x:c r="CP9" s="41" t="n"/>
      <x:c r="CQ9" s="41" t="n"/>
      <x:c r="CR9" s="41" t="n"/>
      <x:c r="CS9" s="41" t="n"/>
      <x:c r="CT9" s="41" t="n"/>
      <x:c r="CU9" s="41" t="n"/>
      <x:c r="CV9" s="41" t="n"/>
      <x:c r="CW9" s="41" t="n"/>
      <x:c r="CX9" s="41" t="n"/>
      <x:c r="CY9" s="41" t="n"/>
      <x:c r="CZ9" s="41" t="n"/>
      <x:c r="DA9" s="41" t="n"/>
      <x:c r="DB9" s="41" t="n"/>
      <x:c r="DC9" s="41" t="n"/>
      <x:c r="DD9" s="41" t="n"/>
      <x:c r="DE9" s="41" t="n"/>
      <x:c r="DF9" s="41" t="n"/>
      <x:c r="DG9" s="41" t="n"/>
      <x:c r="DH9" s="41" t="n"/>
      <x:c r="DI9" s="41" t="n"/>
      <x:c r="DJ9" s="41" t="n"/>
      <x:c r="DK9" s="41" t="n"/>
      <x:c r="DL9" s="41" t="n"/>
      <x:c r="DM9" s="41" t="n"/>
      <x:c r="DN9" s="41" t="n"/>
      <x:c r="DO9" s="41" t="n"/>
      <x:c r="DP9" s="41" t="n"/>
      <x:c r="DQ9" s="41" t="n"/>
      <x:c r="DR9" s="41" t="n"/>
      <x:c r="DS9" s="41" t="n"/>
      <x:c r="DT9" s="41" t="n"/>
      <x:c r="DU9" s="41" t="n"/>
      <x:c r="DV9" s="41" t="n"/>
      <x:c r="DW9" s="41" t="n"/>
      <x:c r="DX9" s="41" t="n"/>
      <x:c r="DY9" s="41" t="n"/>
      <x:c r="DZ9" s="41" t="n"/>
      <x:c r="EA9" s="41" t="n"/>
      <x:c r="EB9" s="41" t="n"/>
      <x:c r="EC9" s="41" t="n"/>
      <x:c r="ED9" s="41" t="n"/>
      <x:c r="EE9" s="41" t="n"/>
      <x:c r="EF9" s="41" t="n"/>
      <x:c r="EG9" s="41" t="n"/>
      <x:c r="EH9" s="41" t="n"/>
      <x:c r="EI9" s="41" t="n"/>
      <x:c r="EJ9" s="41" t="n"/>
      <x:c r="EK9" s="41" t="n"/>
      <x:c r="EL9" s="41" t="n"/>
      <x:c r="EM9" s="41" t="n"/>
      <x:c r="EN9" s="41" t="n"/>
      <x:c r="EO9" s="41" t="n"/>
      <x:c r="EP9" s="41" t="n"/>
      <x:c r="EQ9" s="41" t="n"/>
      <x:c r="ER9" s="41" t="n"/>
      <x:c r="ES9" s="41" t="n"/>
      <x:c r="ET9" s="41" t="n"/>
      <x:c r="EU9" s="41" t="n"/>
      <x:c r="EV9" s="41" t="n"/>
      <x:c r="EW9" s="41" t="n"/>
      <x:c r="EX9" s="41" t="n"/>
      <x:c r="EY9" s="41" t="n"/>
      <x:c r="EZ9" s="41" t="n"/>
      <x:c r="FA9" s="41" t="n"/>
      <x:c r="FB9" s="41" t="n"/>
      <x:c r="FC9" s="41" t="n"/>
      <x:c r="FD9" s="41" t="n"/>
      <x:c r="FE9" s="41" t="n"/>
      <x:c r="FF9" s="41" t="n"/>
      <x:c r="FG9" s="41" t="n"/>
      <x:c r="FH9" s="41" t="n"/>
      <x:c r="FI9" s="41" t="n"/>
      <x:c r="FJ9" s="41" t="n"/>
      <x:c r="FK9" s="41" t="n"/>
      <x:c r="FL9" s="41" t="n"/>
      <x:c r="FM9" s="41" t="n"/>
      <x:c r="FN9" s="41" t="n"/>
      <x:c r="FO9" s="41" t="n"/>
      <x:c r="FP9" s="41" t="n"/>
      <x:c r="FQ9" s="41" t="n"/>
      <x:c r="FR9" s="41" t="n"/>
      <x:c r="FS9" s="41" t="n"/>
      <x:c r="FT9" s="41" t="n"/>
      <x:c r="FU9" s="41" t="n"/>
      <x:c r="FV9" s="41" t="n"/>
      <x:c r="FW9" s="41" t="n"/>
      <x:c r="FX9" s="41" t="n"/>
      <x:c r="FY9" s="41" t="n"/>
      <x:c r="FZ9" s="41" t="n"/>
      <x:c r="GA9" s="41" t="n"/>
    </x:row>
    <x:row r="10" s="27" customFormat="1">
      <x:c r="A10" s="38" t="n"/>
      <x:c r="B10" s="37" t="n"/>
      <x:c r="C10" s="36" t="n">
        <x:f>E10*D$5</x:f>
        <x:v>0</x:v>
      </x:c>
      <x:c r="D10" s="103" t="inlineStr">
        <x:is>
          <x:t xml:space="preserve">United States of America</x:t>
        </x:is>
      </x:c>
      <x:c r="E10" s="36" t="n">
        <x:f>SUM(G10:HT10)</x:f>
        <x:v>0</x:v>
      </x:c>
      <x:c r="F10" s="35" t="inlineStr">
        <x:is>
          <x:t xml:space="preserve"/>
        </x:is>
      </x:c>
      <x:c r="G10" s="121" t="n">
        <x:v>1</x:v>
      </x:c>
      <x:c r="H10" s="122" t="n"/>
      <x:c r="I10" s="121" t="n"/>
      <x:c r="J10" s="122" t="n">
        <x:v>-1</x:v>
      </x:c>
      <x:c r="K10" s="121" t="n"/>
      <x:c r="L10" s="121" t="n"/>
      <x:c r="M10" s="121" t="n"/>
      <x:c r="N10" s="121" t="n"/>
      <x:c r="O10" s="121" t="n"/>
      <x:c r="P10" s="121" t="n"/>
      <x:c r="Q10" s="123" t="n"/>
      <x:c r="R10" s="123" t="n"/>
      <x:c r="S10" s="121" t="n"/>
      <x:c r="T10" s="121" t="n"/>
      <x:c r="U10" s="121" t="n"/>
      <x:c r="V10" s="121" t="n"/>
      <x:c r="W10" s="121" t="n"/>
      <x:c r="X10" s="121" t="n"/>
      <x:c r="Y10" s="121" t="n"/>
      <x:c r="Z10" s="121" t="n"/>
      <x:c r="AA10" s="121" t="n"/>
      <x:c r="AB10" s="121" t="n"/>
      <x:c r="AC10" s="121" t="n"/>
      <x:c r="AD10" s="123" t="n"/>
      <x:c r="AE10" s="123" t="n"/>
      <x:c r="AF10" s="123" t="n"/>
      <x:c r="AG10" s="123" t="n"/>
      <x:c r="AH10" s="123" t="n"/>
      <x:c r="AI10" s="123" t="n"/>
      <x:c r="AJ10" s="123" t="n"/>
      <x:c r="AK10" s="121" t="n"/>
      <x:c r="AL10" s="123" t="n"/>
      <x:c r="AM10" s="121" t="n"/>
      <x:c r="AN10" s="123" t="n"/>
      <x:c r="AO10" s="121" t="n"/>
      <x:c r="AP10" s="121" t="n"/>
      <x:c r="AQ10" s="28" t="n"/>
      <x:c r="AR10" s="28" t="n"/>
      <x:c r="AS10" s="28" t="n"/>
      <x:c r="AT10" s="28" t="n"/>
      <x:c r="AU10" s="28" t="n"/>
      <x:c r="AV10" s="28" t="n"/>
      <x:c r="AW10" s="28" t="n"/>
      <x:c r="AX10" s="28" t="n"/>
      <x:c r="AY10" s="28" t="n"/>
      <x:c r="AZ10" s="28" t="n"/>
      <x:c r="BA10" s="28" t="n"/>
      <x:c r="BB10" s="28" t="n"/>
      <x:c r="BC10" s="28" t="n"/>
      <x:c r="BD10" s="28" t="n"/>
      <x:c r="BE10" s="28" t="n"/>
      <x:c r="BF10" s="28" t="n"/>
      <x:c r="BG10" s="28" t="n"/>
      <x:c r="BH10" s="28" t="n"/>
      <x:c r="BI10" s="28" t="n"/>
      <x:c r="BJ10" s="28" t="n"/>
      <x:c r="BK10" s="28" t="n"/>
      <x:c r="BL10" s="28" t="n"/>
      <x:c r="BM10" s="28" t="n"/>
      <x:c r="BN10" s="28" t="n"/>
      <x:c r="BO10" s="28" t="n"/>
      <x:c r="BP10" s="28" t="n"/>
      <x:c r="BQ10" s="28" t="n"/>
      <x:c r="BR10" s="28" t="n"/>
      <x:c r="BS10" s="28" t="n"/>
      <x:c r="BT10" s="28" t="n"/>
      <x:c r="BU10" s="28" t="n"/>
      <x:c r="BV10" s="28" t="n"/>
      <x:c r="BW10" s="28" t="n"/>
      <x:c r="BX10" s="28" t="n"/>
      <x:c r="BY10" s="28" t="n"/>
      <x:c r="BZ10" s="28" t="n"/>
      <x:c r="CA10" s="28" t="n"/>
      <x:c r="CB10" s="28" t="n"/>
      <x:c r="CC10" s="28" t="n"/>
      <x:c r="CD10" s="28" t="n"/>
      <x:c r="CE10" s="28" t="n"/>
      <x:c r="CF10" s="28" t="n"/>
      <x:c r="CG10" s="28" t="n"/>
      <x:c r="CH10" s="28" t="n"/>
      <x:c r="CI10" s="28" t="n"/>
      <x:c r="CJ10" s="28" t="n"/>
      <x:c r="CK10" s="28" t="n"/>
      <x:c r="CL10" s="28" t="n"/>
      <x:c r="CM10" s="28" t="n"/>
      <x:c r="CN10" s="28" t="n"/>
      <x:c r="CO10" s="28" t="n"/>
      <x:c r="CP10" s="28" t="n"/>
      <x:c r="CQ10" s="28" t="n"/>
      <x:c r="CR10" s="28" t="n"/>
      <x:c r="CS10" s="28" t="n"/>
      <x:c r="CT10" s="28" t="n"/>
      <x:c r="CU10" s="28" t="n"/>
      <x:c r="CV10" s="28" t="n"/>
      <x:c r="CW10" s="28" t="n"/>
      <x:c r="CX10" s="28" t="n"/>
      <x:c r="CY10" s="28" t="n"/>
      <x:c r="CZ10" s="28" t="n"/>
      <x:c r="DA10" s="28" t="n"/>
      <x:c r="DB10" s="28" t="n"/>
      <x:c r="DC10" s="28" t="n"/>
      <x:c r="DD10" s="28" t="n"/>
      <x:c r="DE10" s="28" t="n"/>
      <x:c r="DF10" s="28" t="n"/>
      <x:c r="DG10" s="28" t="n"/>
      <x:c r="DH10" s="28" t="n"/>
      <x:c r="DI10" s="28" t="n"/>
      <x:c r="DJ10" s="28" t="n"/>
      <x:c r="DK10" s="28" t="n"/>
      <x:c r="DL10" s="28" t="n"/>
      <x:c r="DM10" s="28" t="n"/>
      <x:c r="DN10" s="28" t="n"/>
      <x:c r="DO10" s="28" t="n"/>
      <x:c r="DP10" s="28" t="n"/>
      <x:c r="DQ10" s="28" t="n"/>
      <x:c r="DR10" s="28" t="n"/>
      <x:c r="DS10" s="28" t="n"/>
      <x:c r="DT10" s="28" t="n"/>
      <x:c r="DU10" s="28" t="n"/>
      <x:c r="DV10" s="28" t="n"/>
      <x:c r="DW10" s="28" t="n"/>
      <x:c r="DX10" s="28" t="n"/>
      <x:c r="DY10" s="28" t="n"/>
      <x:c r="DZ10" s="28" t="n"/>
      <x:c r="EA10" s="28" t="n"/>
      <x:c r="EB10" s="28" t="n"/>
      <x:c r="EC10" s="28" t="n"/>
      <x:c r="ED10" s="28" t="n"/>
      <x:c r="EE10" s="28" t="n"/>
      <x:c r="EF10" s="28" t="n"/>
      <x:c r="EG10" s="28" t="n"/>
      <x:c r="EH10" s="28" t="n"/>
      <x:c r="EI10" s="28" t="n"/>
      <x:c r="EJ10" s="28" t="n"/>
      <x:c r="EK10" s="28" t="n"/>
      <x:c r="EL10" s="28" t="n"/>
      <x:c r="EM10" s="28" t="n"/>
      <x:c r="EN10" s="28" t="n"/>
      <x:c r="EO10" s="28" t="n"/>
      <x:c r="EP10" s="28" t="n"/>
      <x:c r="EQ10" s="28" t="n"/>
      <x:c r="ER10" s="28" t="n"/>
      <x:c r="ES10" s="28" t="n"/>
      <x:c r="ET10" s="28" t="n"/>
      <x:c r="EU10" s="28" t="n"/>
      <x:c r="EV10" s="28" t="n"/>
      <x:c r="EW10" s="28" t="n"/>
      <x:c r="EX10" s="28" t="n"/>
      <x:c r="EY10" s="28" t="n"/>
      <x:c r="EZ10" s="28" t="n"/>
      <x:c r="FA10" s="28" t="n"/>
      <x:c r="FB10" s="28" t="n"/>
      <x:c r="FC10" s="28" t="n"/>
      <x:c r="FD10" s="28" t="n"/>
      <x:c r="FE10" s="28" t="n"/>
      <x:c r="FF10" s="28" t="n"/>
      <x:c r="FG10" s="28" t="n"/>
      <x:c r="FH10" s="28" t="n"/>
      <x:c r="FI10" s="28" t="n"/>
      <x:c r="FJ10" s="28" t="n"/>
      <x:c r="FK10" s="28" t="n"/>
      <x:c r="FL10" s="28" t="n"/>
      <x:c r="FM10" s="28" t="n"/>
      <x:c r="FN10" s="28" t="n"/>
      <x:c r="FO10" s="28" t="n"/>
      <x:c r="FP10" s="28" t="n"/>
      <x:c r="FQ10" s="28" t="n"/>
      <x:c r="FR10" s="28" t="n"/>
      <x:c r="FS10" s="28" t="n"/>
      <x:c r="FT10" s="28" t="n"/>
      <x:c r="FU10" s="28" t="n"/>
      <x:c r="FV10" s="28" t="n"/>
      <x:c r="FW10" s="28" t="n"/>
      <x:c r="FX10" s="28" t="n"/>
      <x:c r="FY10" s="28" t="n"/>
      <x:c r="FZ10" s="28" t="n"/>
    </x:row>
    <x:row r="11" s="27" customFormat="1">
      <x:c r="A11" s="20" t="n"/>
      <x:c r="B11" s="37" t="n"/>
      <x:c r="C11" s="86" t="n">
        <x:f>E11*D$5</x:f>
        <x:v>-75.34</x:v>
      </x:c>
      <x:c r="D11" s="410" t="inlineStr">
        <x:is>
          <x:t xml:space="preserve">Herbert E. McGuire</x:t>
        </x:is>
      </x:c>
      <x:c r="E11" s="413" t="n">
        <x:f>SUM(G11:HT11)</x:f>
        <x:v>-1</x:v>
      </x:c>
      <x:c r="F11" s="35" t="inlineStr">
        <x:is>
          <x:t xml:space="preserve"/>
        </x:is>
      </x:c>
      <x:c r="G11" s="121" t="n"/>
      <x:c r="H11" s="121" t="n"/>
      <x:c r="I11" s="121" t="n">
        <x:v>-1</x:v>
      </x:c>
      <x:c r="J11" s="122" t="n">
        <x:v>1</x:v>
      </x:c>
      <x:c r="K11" s="121" t="n">
        <x:v>-1</x:v>
      </x:c>
      <x:c r="L11" s="121" t="n"/>
      <x:c r="M11" s="121" t="n"/>
      <x:c r="N11" s="121" t="n"/>
      <x:c r="O11" s="121" t="n"/>
      <x:c r="P11" s="121" t="n"/>
      <x:c r="Q11" s="123" t="n"/>
      <x:c r="R11" s="123" t="n"/>
      <x:c r="S11" s="121" t="n"/>
      <x:c r="T11" s="121" t="n"/>
      <x:c r="U11" s="121" t="n"/>
      <x:c r="V11" s="121" t="n"/>
      <x:c r="W11" s="121" t="n"/>
      <x:c r="X11" s="121" t="n"/>
      <x:c r="Y11" s="121" t="n"/>
      <x:c r="Z11" s="121" t="n"/>
      <x:c r="AA11" s="121" t="n"/>
      <x:c r="AB11" s="121" t="n"/>
      <x:c r="AC11" s="121" t="n"/>
      <x:c r="AD11" s="124" t="n"/>
      <x:c r="AE11" s="123" t="n"/>
      <x:c r="AF11" s="123" t="n"/>
      <x:c r="AG11" s="123" t="n"/>
      <x:c r="AH11" s="123" t="n"/>
      <x:c r="AI11" s="123" t="n"/>
      <x:c r="AJ11" s="123" t="n"/>
      <x:c r="AK11" s="121" t="n"/>
      <x:c r="AL11" s="123" t="n"/>
      <x:c r="AM11" s="121" t="n"/>
      <x:c r="AN11" s="123" t="n"/>
      <x:c r="AO11" s="121" t="n"/>
      <x:c r="AP11" s="121" t="n"/>
      <x:c r="AQ11" s="28" t="n"/>
      <x:c r="AR11" s="28" t="n"/>
      <x:c r="AS11" s="28" t="n"/>
      <x:c r="AT11" s="28" t="n"/>
      <x:c r="AU11" s="28" t="n"/>
      <x:c r="AV11" s="28" t="n"/>
      <x:c r="AW11" s="28" t="n"/>
      <x:c r="AX11" s="28" t="n"/>
      <x:c r="AY11" s="28" t="n"/>
      <x:c r="AZ11" s="28" t="n"/>
      <x:c r="BA11" s="28" t="n"/>
      <x:c r="BB11" s="28" t="n"/>
      <x:c r="BC11" s="28" t="n"/>
      <x:c r="BD11" s="28" t="n"/>
      <x:c r="BE11" s="28" t="n"/>
      <x:c r="BF11" s="28" t="n"/>
      <x:c r="BG11" s="28" t="n"/>
      <x:c r="BH11" s="28" t="n"/>
      <x:c r="BI11" s="28" t="n"/>
      <x:c r="BJ11" s="28" t="n"/>
      <x:c r="BK11" s="28" t="n"/>
      <x:c r="BL11" s="28" t="n"/>
      <x:c r="BM11" s="28" t="n"/>
      <x:c r="BN11" s="28" t="n"/>
      <x:c r="BO11" s="28" t="n"/>
      <x:c r="BP11" s="28" t="n"/>
      <x:c r="BQ11" s="28" t="n"/>
      <x:c r="BR11" s="28" t="n"/>
      <x:c r="BS11" s="28" t="n"/>
      <x:c r="BT11" s="28" t="n"/>
      <x:c r="BU11" s="28" t="n"/>
      <x:c r="BV11" s="28" t="n"/>
      <x:c r="BW11" s="28" t="n"/>
      <x:c r="BX11" s="28" t="n"/>
      <x:c r="BY11" s="28" t="n"/>
      <x:c r="BZ11" s="28" t="n"/>
      <x:c r="CA11" s="28" t="n"/>
      <x:c r="CB11" s="28" t="n"/>
      <x:c r="CC11" s="28" t="n"/>
      <x:c r="CD11" s="28" t="n"/>
      <x:c r="CE11" s="28" t="n"/>
      <x:c r="CF11" s="28" t="n"/>
      <x:c r="CG11" s="28" t="n"/>
      <x:c r="CH11" s="28" t="n"/>
      <x:c r="CI11" s="28" t="n"/>
      <x:c r="CJ11" s="28" t="n"/>
      <x:c r="CK11" s="28" t="n"/>
      <x:c r="CL11" s="28" t="n"/>
      <x:c r="CM11" s="28" t="n"/>
      <x:c r="CN11" s="28" t="n"/>
      <x:c r="CO11" s="28" t="n"/>
      <x:c r="CP11" s="28" t="n"/>
      <x:c r="CQ11" s="28" t="n"/>
      <x:c r="CR11" s="28" t="n"/>
      <x:c r="CS11" s="28" t="n"/>
      <x:c r="CT11" s="28" t="n"/>
      <x:c r="CU11" s="28" t="n"/>
      <x:c r="CV11" s="28" t="n"/>
      <x:c r="CW11" s="28" t="n"/>
      <x:c r="CX11" s="28" t="n"/>
      <x:c r="CY11" s="28" t="n"/>
      <x:c r="CZ11" s="28" t="n"/>
      <x:c r="DA11" s="28" t="n"/>
      <x:c r="DB11" s="28" t="n"/>
      <x:c r="DC11" s="28" t="n"/>
      <x:c r="DD11" s="28" t="n"/>
      <x:c r="DE11" s="28" t="n"/>
      <x:c r="DF11" s="28" t="n"/>
      <x:c r="DG11" s="28" t="n"/>
      <x:c r="DH11" s="28" t="n"/>
      <x:c r="DI11" s="28" t="n"/>
      <x:c r="DJ11" s="28" t="n"/>
      <x:c r="DK11" s="28" t="n"/>
      <x:c r="DL11" s="28" t="n"/>
      <x:c r="DM11" s="28" t="n"/>
      <x:c r="DN11" s="28" t="n"/>
      <x:c r="DO11" s="28" t="n"/>
      <x:c r="DP11" s="28" t="n"/>
      <x:c r="DQ11" s="28" t="n"/>
      <x:c r="DR11" s="28" t="n"/>
      <x:c r="DS11" s="28" t="n"/>
      <x:c r="DT11" s="28" t="n"/>
      <x:c r="DU11" s="28" t="n"/>
      <x:c r="DV11" s="28" t="n"/>
      <x:c r="DW11" s="28" t="n"/>
      <x:c r="DX11" s="28" t="n"/>
      <x:c r="DY11" s="28" t="n"/>
      <x:c r="DZ11" s="28" t="n"/>
      <x:c r="EA11" s="28" t="n"/>
      <x:c r="EB11" s="28" t="n"/>
      <x:c r="EC11" s="28" t="n"/>
      <x:c r="ED11" s="28" t="n"/>
      <x:c r="EE11" s="28" t="n"/>
      <x:c r="EF11" s="28" t="n"/>
      <x:c r="EG11" s="28" t="n"/>
      <x:c r="EH11" s="28" t="n"/>
      <x:c r="EI11" s="28" t="n"/>
      <x:c r="EJ11" s="28" t="n"/>
      <x:c r="EK11" s="28" t="n"/>
      <x:c r="EL11" s="28" t="n"/>
      <x:c r="EM11" s="28" t="n"/>
      <x:c r="EN11" s="28" t="n"/>
      <x:c r="EO11" s="28" t="n"/>
      <x:c r="EP11" s="28" t="n"/>
      <x:c r="EQ11" s="28" t="n"/>
      <x:c r="ER11" s="28" t="n"/>
      <x:c r="ES11" s="28" t="n"/>
      <x:c r="ET11" s="28" t="n"/>
      <x:c r="EU11" s="28" t="n"/>
      <x:c r="EV11" s="28" t="n"/>
      <x:c r="EW11" s="28" t="n"/>
      <x:c r="EX11" s="28" t="n"/>
      <x:c r="EY11" s="28" t="n"/>
      <x:c r="EZ11" s="28" t="n"/>
      <x:c r="FA11" s="28" t="n"/>
      <x:c r="FB11" s="28" t="n"/>
      <x:c r="FC11" s="28" t="n"/>
      <x:c r="FD11" s="28" t="n"/>
      <x:c r="FE11" s="28" t="n"/>
      <x:c r="FF11" s="28" t="n"/>
      <x:c r="FG11" s="28" t="n"/>
      <x:c r="FH11" s="28" t="n"/>
      <x:c r="FI11" s="28" t="n"/>
      <x:c r="FJ11" s="28" t="n"/>
      <x:c r="FK11" s="28" t="n"/>
      <x:c r="FL11" s="28" t="n"/>
      <x:c r="FM11" s="28" t="n"/>
      <x:c r="FN11" s="28" t="n"/>
      <x:c r="FO11" s="28" t="n"/>
      <x:c r="FP11" s="28" t="n"/>
      <x:c r="FQ11" s="28" t="n"/>
      <x:c r="FR11" s="28" t="n"/>
      <x:c r="FS11" s="28" t="n"/>
      <x:c r="FT11" s="28" t="n"/>
      <x:c r="FU11" s="28" t="n"/>
      <x:c r="FV11" s="28" t="n"/>
      <x:c r="FW11" s="28" t="n"/>
      <x:c r="FX11" s="28" t="n"/>
      <x:c r="FY11" s="28" t="n"/>
      <x:c r="FZ11" s="28" t="n"/>
    </x:row>
    <x:row r="12" s="27" customFormat="1">
      <x:c r="A12" s="20" t="n"/>
      <x:c r="B12" s="37" t="n"/>
      <x:c r="C12" s="86" t="n">
        <x:f>E12*D$5</x:f>
        <x:v>-75.34</x:v>
      </x:c>
      <x:c r="D12" s="410" t="inlineStr">
        <x:is>
          <x:t xml:space="preserve">Virgil Mark Hambrook</x:t>
        </x:is>
      </x:c>
      <x:c r="E12" s="413" t="n">
        <x:f>SUM(G12:HT12)</x:f>
        <x:v>-1</x:v>
      </x:c>
      <x:c r="F12" s="35" t="inlineStr">
        <x:is>
          <x:t xml:space="preserve"/>
        </x:is>
      </x:c>
      <x:c r="G12" s="121" t="n"/>
      <x:c r="H12" s="121" t="n"/>
      <x:c r="I12" s="121" t="n">
        <x:v>1</x:v>
      </x:c>
      <x:c r="J12" s="121" t="n"/>
      <x:c r="K12" s="121" t="n"/>
      <x:c r="L12" s="121" t="n"/>
      <x:c r="M12" s="121" t="n"/>
      <x:c r="N12" s="121" t="n"/>
      <x:c r="O12" s="121" t="n"/>
      <x:c r="P12" s="121" t="n"/>
      <x:c r="Q12" s="123" t="n"/>
      <x:c r="R12" s="123" t="n"/>
      <x:c r="S12" s="121" t="n"/>
      <x:c r="T12" s="121" t="n"/>
      <x:c r="U12" s="121" t="n"/>
      <x:c r="V12" s="121" t="n"/>
      <x:c r="W12" s="121" t="n"/>
      <x:c r="X12" s="121" t="n"/>
      <x:c r="Y12" s="121" t="n"/>
      <x:c r="Z12" s="121" t="n"/>
      <x:c r="AA12" s="121" t="n"/>
      <x:c r="AB12" s="121" t="n"/>
      <x:c r="AC12" s="121" t="n">
        <x:v>-1</x:v>
      </x:c>
      <x:c r="AD12" s="124" t="n">
        <x:v>-1</x:v>
      </x:c>
      <x:c r="AE12" s="123" t="n"/>
      <x:c r="AF12" s="123" t="n"/>
      <x:c r="AG12" s="123" t="n"/>
      <x:c r="AH12" s="123" t="n"/>
      <x:c r="AI12" s="123" t="n"/>
      <x:c r="AJ12" s="123" t="n"/>
      <x:c r="AK12" s="121" t="n"/>
      <x:c r="AL12" s="124" t="n"/>
      <x:c r="AM12" s="121" t="n"/>
      <x:c r="AN12" s="123" t="n"/>
      <x:c r="AO12" s="121" t="n"/>
      <x:c r="AP12" s="121" t="n"/>
      <x:c r="AQ12" s="28" t="n"/>
      <x:c r="AR12" s="28" t="n"/>
      <x:c r="AS12" s="28" t="n"/>
      <x:c r="AT12" s="28" t="n"/>
      <x:c r="AU12" s="28" t="n"/>
      <x:c r="AV12" s="28" t="n"/>
      <x:c r="AW12" s="28" t="n"/>
      <x:c r="AX12" s="28" t="n"/>
      <x:c r="AY12" s="28" t="n"/>
      <x:c r="AZ12" s="28" t="n"/>
      <x:c r="BA12" s="28" t="n"/>
      <x:c r="BB12" s="28" t="n"/>
      <x:c r="BC12" s="28" t="n"/>
      <x:c r="BD12" s="28" t="n"/>
      <x:c r="BE12" s="28" t="n"/>
      <x:c r="BF12" s="28" t="n"/>
      <x:c r="BG12" s="28" t="n"/>
      <x:c r="BH12" s="28" t="n"/>
      <x:c r="BI12" s="28" t="n"/>
      <x:c r="BJ12" s="28" t="n"/>
      <x:c r="BK12" s="28" t="n"/>
      <x:c r="BL12" s="28" t="n"/>
      <x:c r="BM12" s="28" t="n"/>
      <x:c r="BN12" s="28" t="n"/>
      <x:c r="BO12" s="28" t="n"/>
      <x:c r="BP12" s="28" t="n"/>
      <x:c r="BQ12" s="28" t="n"/>
      <x:c r="BR12" s="28" t="n"/>
      <x:c r="BS12" s="28" t="n"/>
      <x:c r="BT12" s="28" t="n"/>
      <x:c r="BU12" s="28" t="n"/>
      <x:c r="BV12" s="28" t="n"/>
      <x:c r="BW12" s="28" t="n"/>
      <x:c r="BX12" s="28" t="n"/>
      <x:c r="BY12" s="28" t="n"/>
      <x:c r="BZ12" s="28" t="n"/>
      <x:c r="CA12" s="28" t="n"/>
      <x:c r="CB12" s="28" t="n"/>
      <x:c r="CC12" s="28" t="n"/>
      <x:c r="CD12" s="28" t="n"/>
      <x:c r="CE12" s="28" t="n"/>
      <x:c r="CF12" s="28" t="n"/>
      <x:c r="CG12" s="28" t="n"/>
      <x:c r="CH12" s="28" t="n"/>
      <x:c r="CI12" s="28" t="n"/>
      <x:c r="CJ12" s="28" t="n"/>
      <x:c r="CK12" s="28" t="n"/>
      <x:c r="CL12" s="28" t="n"/>
      <x:c r="CM12" s="28" t="n"/>
      <x:c r="CN12" s="28" t="n"/>
      <x:c r="CO12" s="28" t="n"/>
      <x:c r="CP12" s="28" t="n"/>
      <x:c r="CQ12" s="28" t="n"/>
      <x:c r="CR12" s="28" t="n"/>
      <x:c r="CS12" s="28" t="n"/>
      <x:c r="CT12" s="28" t="n"/>
      <x:c r="CU12" s="28" t="n"/>
      <x:c r="CV12" s="28" t="n"/>
      <x:c r="CW12" s="28" t="n"/>
      <x:c r="CX12" s="28" t="n"/>
      <x:c r="CY12" s="28" t="n"/>
      <x:c r="CZ12" s="28" t="n"/>
      <x:c r="DA12" s="28" t="n"/>
      <x:c r="DB12" s="28" t="n"/>
      <x:c r="DC12" s="28" t="n"/>
      <x:c r="DD12" s="28" t="n"/>
      <x:c r="DE12" s="28" t="n"/>
      <x:c r="DF12" s="28" t="n"/>
      <x:c r="DG12" s="28" t="n"/>
      <x:c r="DH12" s="28" t="n"/>
      <x:c r="DI12" s="28" t="n"/>
      <x:c r="DJ12" s="28" t="n"/>
      <x:c r="DK12" s="28" t="n"/>
      <x:c r="DL12" s="28" t="n"/>
      <x:c r="DM12" s="28" t="n"/>
      <x:c r="DN12" s="28" t="n"/>
      <x:c r="DO12" s="28" t="n"/>
      <x:c r="DP12" s="28" t="n"/>
      <x:c r="DQ12" s="28" t="n"/>
      <x:c r="DR12" s="28" t="n"/>
      <x:c r="DS12" s="28" t="n"/>
      <x:c r="DT12" s="28" t="n"/>
      <x:c r="DU12" s="28" t="n"/>
      <x:c r="DV12" s="28" t="n"/>
      <x:c r="DW12" s="28" t="n"/>
      <x:c r="DX12" s="28" t="n"/>
      <x:c r="DY12" s="28" t="n"/>
      <x:c r="DZ12" s="28" t="n"/>
      <x:c r="EA12" s="28" t="n"/>
      <x:c r="EB12" s="28" t="n"/>
      <x:c r="EC12" s="28" t="n"/>
      <x:c r="ED12" s="28" t="n"/>
      <x:c r="EE12" s="28" t="n"/>
      <x:c r="EF12" s="28" t="n"/>
      <x:c r="EG12" s="28" t="n"/>
      <x:c r="EH12" s="28" t="n"/>
      <x:c r="EI12" s="28" t="n"/>
      <x:c r="EJ12" s="28" t="n"/>
      <x:c r="EK12" s="28" t="n"/>
      <x:c r="EL12" s="28" t="n"/>
      <x:c r="EM12" s="28" t="n"/>
      <x:c r="EN12" s="28" t="n"/>
      <x:c r="EO12" s="28" t="n"/>
      <x:c r="EP12" s="28" t="n"/>
      <x:c r="EQ12" s="28" t="n"/>
      <x:c r="ER12" s="28" t="n"/>
      <x:c r="ES12" s="28" t="n"/>
      <x:c r="ET12" s="28" t="n"/>
      <x:c r="EU12" s="28" t="n"/>
      <x:c r="EV12" s="28" t="n"/>
      <x:c r="EW12" s="28" t="n"/>
      <x:c r="EX12" s="28" t="n"/>
      <x:c r="EY12" s="28" t="n"/>
      <x:c r="EZ12" s="28" t="n"/>
      <x:c r="FA12" s="28" t="n"/>
      <x:c r="FB12" s="28" t="n"/>
      <x:c r="FC12" s="28" t="n"/>
      <x:c r="FD12" s="28" t="n"/>
      <x:c r="FE12" s="28" t="n"/>
      <x:c r="FF12" s="28" t="n"/>
      <x:c r="FG12" s="28" t="n"/>
      <x:c r="FH12" s="28" t="n"/>
      <x:c r="FI12" s="28" t="n"/>
      <x:c r="FJ12" s="28" t="n"/>
      <x:c r="FK12" s="28" t="n"/>
      <x:c r="FL12" s="28" t="n"/>
      <x:c r="FM12" s="28" t="n"/>
      <x:c r="FN12" s="28" t="n"/>
      <x:c r="FO12" s="28" t="n"/>
      <x:c r="FP12" s="28" t="n"/>
      <x:c r="FQ12" s="28" t="n"/>
      <x:c r="FR12" s="28" t="n"/>
      <x:c r="FS12" s="28" t="n"/>
      <x:c r="FT12" s="28" t="n"/>
      <x:c r="FU12" s="28" t="n"/>
      <x:c r="FV12" s="28" t="n"/>
      <x:c r="FW12" s="28" t="n"/>
      <x:c r="FX12" s="28" t="n"/>
      <x:c r="FY12" s="28" t="n"/>
      <x:c r="FZ12" s="28" t="n"/>
    </x:row>
    <x:row r="13" s="27" customFormat="1">
      <x:c r="A13" s="20" t="n"/>
      <x:c r="B13" s="37" t="n"/>
      <x:c r="C13" s="86" t="n">
        <x:f>E13*D$5</x:f>
        <x:v>0</x:v>
      </x:c>
      <x:c r="D13" s="103" t="inlineStr">
        <x:is>
          <x:t xml:space="preserve">E. T. Gamble</x:t>
        </x:is>
      </x:c>
      <x:c r="E13" s="86" t="n">
        <x:f>SUM(G13:HT13)</x:f>
        <x:v>0</x:v>
      </x:c>
      <x:c r="F13" s="35" t="inlineStr">
        <x:is>
          <x:t xml:space="preserve"/>
        </x:is>
      </x:c>
      <x:c r="G13" s="121" t="n"/>
      <x:c r="H13" s="121" t="n"/>
      <x:c r="I13" s="121" t="n"/>
      <x:c r="J13" s="121" t="n"/>
      <x:c r="K13" s="121" t="n">
        <x:v>1</x:v>
      </x:c>
      <x:c r="L13" s="121" t="n">
        <x:v>-1</x:v>
      </x:c>
      <x:c r="M13" s="121" t="n"/>
      <x:c r="N13" s="121" t="n"/>
      <x:c r="O13" s="122" t="n"/>
      <x:c r="P13" s="121" t="n"/>
      <x:c r="Q13" s="123" t="n"/>
      <x:c r="R13" s="123" t="n"/>
      <x:c r="S13" s="121" t="n"/>
      <x:c r="T13" s="121" t="n"/>
      <x:c r="U13" s="121" t="n"/>
      <x:c r="V13" s="121" t="n"/>
      <x:c r="W13" s="121" t="n"/>
      <x:c r="X13" s="121" t="n"/>
      <x:c r="Y13" s="121" t="n"/>
      <x:c r="Z13" s="121" t="n"/>
      <x:c r="AA13" s="121" t="n"/>
      <x:c r="AB13" s="121" t="n"/>
      <x:c r="AC13" s="121" t="n"/>
      <x:c r="AD13" s="123" t="n"/>
      <x:c r="AE13" s="123" t="n"/>
      <x:c r="AF13" s="124" t="n"/>
      <x:c r="AG13" s="123" t="n"/>
      <x:c r="AH13" s="123" t="n"/>
      <x:c r="AI13" s="123" t="n"/>
      <x:c r="AJ13" s="123" t="n"/>
      <x:c r="AK13" s="121" t="n"/>
      <x:c r="AL13" s="123" t="n"/>
      <x:c r="AM13" s="121" t="n"/>
      <x:c r="AN13" s="123" t="n"/>
      <x:c r="AO13" s="121" t="n"/>
      <x:c r="AP13" s="121" t="n"/>
      <x:c r="AQ13" s="28" t="n"/>
      <x:c r="AR13" s="28" t="n"/>
      <x:c r="AS13" s="28" t="n"/>
      <x:c r="AT13" s="28" t="n"/>
      <x:c r="AU13" s="28" t="n"/>
      <x:c r="AV13" s="28" t="n"/>
      <x:c r="AW13" s="28" t="n"/>
      <x:c r="AX13" s="28" t="n"/>
      <x:c r="AY13" s="28" t="n"/>
      <x:c r="AZ13" s="28" t="n"/>
      <x:c r="BA13" s="28" t="n"/>
      <x:c r="BB13" s="28" t="n"/>
      <x:c r="BC13" s="28" t="n"/>
      <x:c r="BD13" s="28" t="n"/>
      <x:c r="BE13" s="28" t="n"/>
      <x:c r="BF13" s="28" t="n"/>
      <x:c r="BG13" s="28" t="n"/>
      <x:c r="BH13" s="28" t="n"/>
      <x:c r="BI13" s="28" t="n"/>
      <x:c r="BJ13" s="28" t="n"/>
      <x:c r="BK13" s="28" t="n"/>
      <x:c r="BL13" s="28" t="n"/>
      <x:c r="BM13" s="28" t="n"/>
      <x:c r="BN13" s="28" t="n"/>
      <x:c r="BO13" s="28" t="n"/>
      <x:c r="BP13" s="28" t="n"/>
      <x:c r="BQ13" s="28" t="n"/>
      <x:c r="BR13" s="28" t="n"/>
      <x:c r="BS13" s="28" t="n"/>
      <x:c r="BT13" s="28" t="n"/>
      <x:c r="BU13" s="28" t="n"/>
      <x:c r="BV13" s="28" t="n"/>
      <x:c r="BW13" s="28" t="n"/>
      <x:c r="BX13" s="28" t="n"/>
      <x:c r="BY13" s="28" t="n"/>
      <x:c r="BZ13" s="28" t="n"/>
      <x:c r="CA13" s="28" t="n"/>
      <x:c r="CB13" s="28" t="n"/>
      <x:c r="CC13" s="28" t="n"/>
      <x:c r="CD13" s="28" t="n"/>
      <x:c r="CE13" s="28" t="n"/>
      <x:c r="CF13" s="28" t="n"/>
      <x:c r="CG13" s="28" t="n"/>
      <x:c r="CH13" s="28" t="n"/>
      <x:c r="CI13" s="28" t="n"/>
      <x:c r="CJ13" s="28" t="n"/>
      <x:c r="CK13" s="28" t="n"/>
      <x:c r="CL13" s="28" t="n"/>
      <x:c r="CM13" s="28" t="n"/>
      <x:c r="CN13" s="28" t="n"/>
      <x:c r="CO13" s="28" t="n"/>
      <x:c r="CP13" s="28" t="n"/>
      <x:c r="CQ13" s="28" t="n"/>
      <x:c r="CR13" s="28" t="n"/>
      <x:c r="CS13" s="28" t="n"/>
      <x:c r="CT13" s="28" t="n"/>
      <x:c r="CU13" s="28" t="n"/>
      <x:c r="CV13" s="28" t="n"/>
      <x:c r="CW13" s="28" t="n"/>
      <x:c r="CX13" s="28" t="n"/>
      <x:c r="CY13" s="28" t="n"/>
      <x:c r="CZ13" s="28" t="n"/>
      <x:c r="DA13" s="28" t="n"/>
      <x:c r="DB13" s="28" t="n"/>
      <x:c r="DC13" s="28" t="n"/>
      <x:c r="DD13" s="28" t="n"/>
      <x:c r="DE13" s="28" t="n"/>
      <x:c r="DF13" s="28" t="n"/>
      <x:c r="DG13" s="28" t="n"/>
      <x:c r="DH13" s="28" t="n"/>
      <x:c r="DI13" s="28" t="n"/>
      <x:c r="DJ13" s="28" t="n"/>
      <x:c r="DK13" s="28" t="n"/>
      <x:c r="DL13" s="28" t="n"/>
      <x:c r="DM13" s="28" t="n"/>
      <x:c r="DN13" s="28" t="n"/>
      <x:c r="DO13" s="28" t="n"/>
      <x:c r="DP13" s="28" t="n"/>
      <x:c r="DQ13" s="28" t="n"/>
      <x:c r="DR13" s="28" t="n"/>
      <x:c r="DS13" s="28" t="n"/>
      <x:c r="DT13" s="28" t="n"/>
      <x:c r="DU13" s="28" t="n"/>
      <x:c r="DV13" s="28" t="n"/>
      <x:c r="DW13" s="28" t="n"/>
      <x:c r="DX13" s="28" t="n"/>
      <x:c r="DY13" s="28" t="n"/>
      <x:c r="DZ13" s="28" t="n"/>
      <x:c r="EA13" s="28" t="n"/>
      <x:c r="EB13" s="28" t="n"/>
      <x:c r="EC13" s="28" t="n"/>
      <x:c r="ED13" s="28" t="n"/>
      <x:c r="EE13" s="28" t="n"/>
      <x:c r="EF13" s="28" t="n"/>
      <x:c r="EG13" s="28" t="n"/>
      <x:c r="EH13" s="28" t="n"/>
      <x:c r="EI13" s="28" t="n"/>
      <x:c r="EJ13" s="28" t="n"/>
      <x:c r="EK13" s="28" t="n"/>
      <x:c r="EL13" s="28" t="n"/>
      <x:c r="EM13" s="28" t="n"/>
      <x:c r="EN13" s="28" t="n"/>
      <x:c r="EO13" s="28" t="n"/>
      <x:c r="EP13" s="28" t="n"/>
      <x:c r="EQ13" s="28" t="n"/>
      <x:c r="ER13" s="28" t="n"/>
      <x:c r="ES13" s="28" t="n"/>
      <x:c r="ET13" s="28" t="n"/>
      <x:c r="EU13" s="28" t="n"/>
      <x:c r="EV13" s="28" t="n"/>
      <x:c r="EW13" s="28" t="n"/>
      <x:c r="EX13" s="28" t="n"/>
      <x:c r="EY13" s="28" t="n"/>
      <x:c r="EZ13" s="28" t="n"/>
      <x:c r="FA13" s="28" t="n"/>
      <x:c r="FB13" s="28" t="n"/>
      <x:c r="FC13" s="28" t="n"/>
      <x:c r="FD13" s="28" t="n"/>
      <x:c r="FE13" s="28" t="n"/>
      <x:c r="FF13" s="28" t="n"/>
      <x:c r="FG13" s="28" t="n"/>
      <x:c r="FH13" s="28" t="n"/>
      <x:c r="FI13" s="28" t="n"/>
      <x:c r="FJ13" s="28" t="n"/>
      <x:c r="FK13" s="28" t="n"/>
      <x:c r="FL13" s="28" t="n"/>
      <x:c r="FM13" s="28" t="n"/>
      <x:c r="FN13" s="28" t="n"/>
      <x:c r="FO13" s="28" t="n"/>
      <x:c r="FP13" s="28" t="n"/>
      <x:c r="FQ13" s="28" t="n"/>
      <x:c r="FR13" s="28" t="n"/>
      <x:c r="FS13" s="28" t="n"/>
      <x:c r="FT13" s="28" t="n"/>
      <x:c r="FU13" s="28" t="n"/>
      <x:c r="FV13" s="28" t="n"/>
      <x:c r="FW13" s="28" t="n"/>
      <x:c r="FX13" s="28" t="n"/>
      <x:c r="FY13" s="28" t="n"/>
      <x:c r="FZ13" s="28" t="n"/>
    </x:row>
    <x:row r="14" s="27" customFormat="1">
      <x:c r="B14" s="80" t="n"/>
      <x:c r="C14" s="36" t="n">
        <x:f>E14*D$5</x:f>
        <x:v>0</x:v>
      </x:c>
      <x:c r="D14" s="103" t="inlineStr">
        <x:is>
          <x:t xml:space="preserve">Lee Aulbert</x:t>
        </x:is>
      </x:c>
      <x:c r="E14" s="36" t="n">
        <x:f>SUM(G14:HT14)</x:f>
        <x:v>0</x:v>
      </x:c>
      <x:c r="F14" s="35" t="inlineStr">
        <x:is>
          <x:t xml:space="preserve"/>
        </x:is>
      </x:c>
      <x:c r="G14" s="121" t="n"/>
      <x:c r="H14" s="121" t="n"/>
      <x:c r="I14" s="121" t="n"/>
      <x:c r="J14" s="121" t="n"/>
      <x:c r="K14" s="121" t="n"/>
      <x:c r="L14" s="121" t="n">
        <x:v>1</x:v>
      </x:c>
      <x:c r="M14" s="121" t="n">
        <x:v>-1</x:v>
      </x:c>
      <x:c r="N14" s="121" t="n"/>
      <x:c r="O14" s="121" t="n"/>
      <x:c r="P14" s="121" t="n"/>
      <x:c r="Q14" s="123" t="n"/>
      <x:c r="R14" s="123" t="n"/>
      <x:c r="S14" s="121" t="n"/>
      <x:c r="T14" s="121" t="n"/>
      <x:c r="U14" s="121" t="n"/>
      <x:c r="V14" s="121" t="n"/>
      <x:c r="W14" s="121" t="n"/>
      <x:c r="X14" s="121" t="n"/>
      <x:c r="Y14" s="121" t="n"/>
      <x:c r="Z14" s="121" t="n"/>
      <x:c r="AA14" s="121" t="n"/>
      <x:c r="AB14" s="121" t="n"/>
      <x:c r="AC14" s="121" t="n"/>
      <x:c r="AD14" s="123" t="n"/>
      <x:c r="AE14" s="123" t="n"/>
      <x:c r="AF14" s="124" t="n"/>
      <x:c r="AG14" s="122" t="n"/>
      <x:c r="AH14" s="122" t="n"/>
      <x:c r="AI14" s="122" t="n"/>
      <x:c r="AJ14" s="122" t="n"/>
      <x:c r="AK14" s="121" t="n"/>
      <x:c r="AL14" s="123" t="n"/>
      <x:c r="AM14" s="121" t="n"/>
      <x:c r="AN14" s="123" t="n"/>
      <x:c r="AO14" s="121" t="n"/>
      <x:c r="AP14" s="121" t="n"/>
      <x:c r="AQ14" s="28" t="n"/>
      <x:c r="AR14" s="28" t="n"/>
      <x:c r="AS14" s="28" t="n"/>
      <x:c r="AT14" s="28" t="n"/>
      <x:c r="AU14" s="28" t="n"/>
      <x:c r="AV14" s="28" t="n"/>
      <x:c r="AW14" s="28" t="n"/>
      <x:c r="AX14" s="28" t="n"/>
      <x:c r="AY14" s="28" t="n"/>
      <x:c r="AZ14" s="28" t="n"/>
      <x:c r="BA14" s="28" t="n"/>
      <x:c r="BB14" s="28" t="n"/>
      <x:c r="BC14" s="28" t="n"/>
      <x:c r="BD14" s="28" t="n"/>
      <x:c r="BE14" s="28" t="n"/>
      <x:c r="BF14" s="28" t="n"/>
      <x:c r="BG14" s="28" t="n"/>
      <x:c r="BH14" s="28" t="n"/>
      <x:c r="BI14" s="28" t="n"/>
      <x:c r="BJ14" s="28" t="n"/>
      <x:c r="BK14" s="28" t="n"/>
      <x:c r="BL14" s="28" t="n"/>
      <x:c r="BM14" s="28" t="n"/>
      <x:c r="BN14" s="28" t="n"/>
      <x:c r="BO14" s="28" t="n"/>
      <x:c r="BP14" s="28" t="n"/>
      <x:c r="BQ14" s="28" t="n"/>
      <x:c r="BR14" s="28" t="n"/>
      <x:c r="BS14" s="28" t="n"/>
      <x:c r="BT14" s="28" t="n"/>
      <x:c r="BU14" s="28" t="n"/>
      <x:c r="BV14" s="28" t="n"/>
      <x:c r="BW14" s="28" t="n"/>
      <x:c r="BX14" s="28" t="n"/>
      <x:c r="BY14" s="28" t="n"/>
      <x:c r="BZ14" s="28" t="n"/>
      <x:c r="CA14" s="28" t="n"/>
      <x:c r="CB14" s="28" t="n"/>
      <x:c r="CC14" s="28" t="n"/>
      <x:c r="CD14" s="28" t="n"/>
      <x:c r="CE14" s="28" t="n"/>
      <x:c r="CF14" s="28" t="n"/>
      <x:c r="CG14" s="28" t="n"/>
      <x:c r="CH14" s="28" t="n"/>
      <x:c r="CI14" s="28" t="n"/>
      <x:c r="CJ14" s="28" t="n"/>
      <x:c r="CK14" s="28" t="n"/>
      <x:c r="CL14" s="28" t="n"/>
      <x:c r="CM14" s="28" t="n"/>
      <x:c r="CN14" s="28" t="n"/>
      <x:c r="CO14" s="28" t="n"/>
      <x:c r="CP14" s="28" t="n"/>
      <x:c r="CQ14" s="28" t="n"/>
      <x:c r="CR14" s="28" t="n"/>
      <x:c r="CS14" s="28" t="n"/>
      <x:c r="CT14" s="28" t="n"/>
      <x:c r="CU14" s="28" t="n"/>
      <x:c r="CV14" s="28" t="n"/>
      <x:c r="CW14" s="28" t="n"/>
      <x:c r="CX14" s="28" t="n"/>
      <x:c r="CY14" s="28" t="n"/>
      <x:c r="CZ14" s="28" t="n"/>
      <x:c r="DA14" s="28" t="n"/>
      <x:c r="DB14" s="28" t="n"/>
      <x:c r="DC14" s="28" t="n"/>
      <x:c r="DD14" s="28" t="n"/>
      <x:c r="DE14" s="28" t="n"/>
      <x:c r="DF14" s="28" t="n"/>
      <x:c r="DG14" s="28" t="n"/>
      <x:c r="DH14" s="28" t="n"/>
      <x:c r="DI14" s="28" t="n"/>
      <x:c r="DJ14" s="28" t="n"/>
      <x:c r="DK14" s="28" t="n"/>
      <x:c r="DL14" s="28" t="n"/>
      <x:c r="DM14" s="28" t="n"/>
      <x:c r="DN14" s="28" t="n"/>
      <x:c r="DO14" s="28" t="n"/>
      <x:c r="DP14" s="28" t="n"/>
      <x:c r="DQ14" s="28" t="n"/>
      <x:c r="DR14" s="28" t="n"/>
      <x:c r="DS14" s="28" t="n"/>
      <x:c r="DT14" s="28" t="n"/>
      <x:c r="DU14" s="28" t="n"/>
      <x:c r="DV14" s="28" t="n"/>
      <x:c r="DW14" s="28" t="n"/>
      <x:c r="DX14" s="28" t="n"/>
      <x:c r="DY14" s="28" t="n"/>
      <x:c r="DZ14" s="28" t="n"/>
      <x:c r="EA14" s="28" t="n"/>
      <x:c r="EB14" s="28" t="n"/>
      <x:c r="EC14" s="28" t="n"/>
      <x:c r="ED14" s="28" t="n"/>
      <x:c r="EE14" s="28" t="n"/>
      <x:c r="EF14" s="28" t="n"/>
      <x:c r="EG14" s="28" t="n"/>
      <x:c r="EH14" s="28" t="n"/>
      <x:c r="EI14" s="28" t="n"/>
      <x:c r="EJ14" s="28" t="n"/>
      <x:c r="EK14" s="28" t="n"/>
      <x:c r="EL14" s="28" t="n"/>
      <x:c r="EM14" s="28" t="n"/>
      <x:c r="EN14" s="28" t="n"/>
      <x:c r="EO14" s="28" t="n"/>
      <x:c r="EP14" s="28" t="n"/>
      <x:c r="EQ14" s="28" t="n"/>
      <x:c r="ER14" s="28" t="n"/>
      <x:c r="ES14" s="28" t="n"/>
      <x:c r="ET14" s="28" t="n"/>
      <x:c r="EU14" s="28" t="n"/>
      <x:c r="EV14" s="28" t="n"/>
      <x:c r="EW14" s="28" t="n"/>
      <x:c r="EX14" s="28" t="n"/>
      <x:c r="EY14" s="28" t="n"/>
      <x:c r="EZ14" s="28" t="n"/>
      <x:c r="FA14" s="28" t="n"/>
      <x:c r="FB14" s="28" t="n"/>
      <x:c r="FC14" s="28" t="n"/>
      <x:c r="FD14" s="28" t="n"/>
      <x:c r="FE14" s="28" t="n"/>
      <x:c r="FF14" s="28" t="n"/>
      <x:c r="FG14" s="28" t="n"/>
      <x:c r="FH14" s="28" t="n"/>
      <x:c r="FI14" s="28" t="n"/>
      <x:c r="FJ14" s="28" t="n"/>
      <x:c r="FK14" s="28" t="n"/>
      <x:c r="FL14" s="28" t="n"/>
      <x:c r="FM14" s="28" t="n"/>
      <x:c r="FN14" s="28" t="n"/>
      <x:c r="FO14" s="28" t="n"/>
      <x:c r="FP14" s="28" t="n"/>
      <x:c r="FQ14" s="28" t="n"/>
      <x:c r="FR14" s="28" t="n"/>
      <x:c r="FS14" s="28" t="n"/>
      <x:c r="FT14" s="28" t="n"/>
      <x:c r="FU14" s="28" t="n"/>
      <x:c r="FV14" s="28" t="n"/>
      <x:c r="FW14" s="28" t="n"/>
      <x:c r="FX14" s="28" t="n"/>
      <x:c r="FY14" s="28" t="n"/>
      <x:c r="FZ14" s="28" t="n"/>
    </x:row>
    <x:row r="15" s="27" customFormat="1">
      <x:c r="A15" s="79" t="n"/>
      <x:c r="B15" s="79" t="n"/>
      <x:c r="C15" s="36" t="n">
        <x:f>E15*D$5</x:f>
        <x:v>111.26595434</x:v>
      </x:c>
      <x:c r="D15" s="103" t="inlineStr">
        <x:is>
          <x:t xml:space="preserve">Marvin G. &amp; Carrie Lou Mitchell</x:t>
        </x:is>
      </x:c>
      <x:c r="E15" s="36" t="n">
        <x:f>SUM(G15:HT15)</x:f>
        <x:v>1.476851</x:v>
      </x:c>
      <x:c r="F15" s="35" t="inlineStr">
        <x:is>
          <x:t xml:space="preserve"/>
        </x:is>
      </x:c>
      <x:c r="G15" s="121" t="n"/>
      <x:c r="H15" s="121" t="n"/>
      <x:c r="I15" s="121" t="n"/>
      <x:c r="J15" s="121" t="n"/>
      <x:c r="K15" s="121" t="n"/>
      <x:c r="L15" s="121" t="n"/>
      <x:c r="M15" s="121" t="n">
        <x:v>1</x:v>
      </x:c>
      <x:c r="N15" s="121" t="n">
        <x:v>1</x:v>
      </x:c>
      <x:c r="O15" s="121" t="n">
        <x:v>1</x:v>
      </x:c>
      <x:c r="P15" s="121" t="n">
        <x:v>-1</x:v>
      </x:c>
      <x:c r="Q15" s="123" t="n"/>
      <x:c r="R15" s="123" t="n">
        <x:v>0.476851</x:v>
      </x:c>
      <x:c r="S15" s="121" t="n"/>
      <x:c r="T15" s="121" t="n"/>
      <x:c r="U15" s="121" t="n">
        <x:v>-1</x:v>
      </x:c>
      <x:c r="V15" s="121" t="n"/>
      <x:c r="W15" s="121" t="n"/>
      <x:c r="X15" s="121" t="n"/>
      <x:c r="Y15" s="121" t="n"/>
      <x:c r="Z15" s="121" t="n"/>
      <x:c r="AA15" s="121" t="n"/>
      <x:c r="AB15" s="121" t="n"/>
      <x:c r="AC15" s="121" t="n"/>
      <x:c r="AD15" s="123" t="n"/>
      <x:c r="AE15" s="123" t="n"/>
      <x:c r="AF15" s="123" t="n"/>
      <x:c r="AG15" s="122" t="n"/>
      <x:c r="AH15" s="122" t="n"/>
      <x:c r="AI15" s="122" t="n"/>
      <x:c r="AJ15" s="122" t="n"/>
      <x:c r="AK15" s="121" t="n"/>
      <x:c r="AL15" s="123" t="n"/>
      <x:c r="AM15" s="121" t="n"/>
      <x:c r="AN15" s="123" t="n"/>
      <x:c r="AO15" s="121" t="n"/>
      <x:c r="AP15" s="121" t="n"/>
      <x:c r="AQ15" s="28" t="n"/>
      <x:c r="AR15" s="28" t="n"/>
      <x:c r="AS15" s="28" t="n"/>
      <x:c r="AT15" s="28" t="n"/>
      <x:c r="AU15" s="28" t="n"/>
      <x:c r="AV15" s="28" t="n"/>
      <x:c r="AW15" s="28" t="n"/>
      <x:c r="AX15" s="28" t="n"/>
      <x:c r="AY15" s="28" t="n"/>
      <x:c r="AZ15" s="28" t="n"/>
      <x:c r="BA15" s="28" t="n"/>
      <x:c r="BB15" s="28" t="n"/>
      <x:c r="BC15" s="28" t="n"/>
      <x:c r="BD15" s="28" t="n"/>
      <x:c r="BE15" s="28" t="n"/>
      <x:c r="BF15" s="28" t="n"/>
      <x:c r="BG15" s="28" t="n"/>
      <x:c r="BH15" s="28" t="n"/>
      <x:c r="BI15" s="28" t="n"/>
      <x:c r="BJ15" s="28" t="n"/>
      <x:c r="BK15" s="28" t="n"/>
      <x:c r="BL15" s="28" t="n"/>
      <x:c r="BM15" s="28" t="n"/>
      <x:c r="BN15" s="28" t="n"/>
      <x:c r="BO15" s="28" t="n"/>
      <x:c r="BP15" s="28" t="n"/>
      <x:c r="BQ15" s="28" t="n"/>
      <x:c r="BR15" s="28" t="n"/>
      <x:c r="BS15" s="28" t="n"/>
      <x:c r="BT15" s="28" t="n"/>
      <x:c r="BU15" s="28" t="n"/>
      <x:c r="BV15" s="28" t="n"/>
      <x:c r="BW15" s="28" t="n"/>
      <x:c r="BX15" s="28" t="n"/>
      <x:c r="BY15" s="28" t="n"/>
      <x:c r="BZ15" s="28" t="n"/>
      <x:c r="CA15" s="28" t="n"/>
      <x:c r="CB15" s="28" t="n"/>
      <x:c r="CC15" s="28" t="n"/>
      <x:c r="CD15" s="28" t="n"/>
      <x:c r="CE15" s="28" t="n"/>
      <x:c r="CF15" s="28" t="n"/>
      <x:c r="CG15" s="28" t="n"/>
      <x:c r="CH15" s="28" t="n"/>
      <x:c r="CI15" s="28" t="n"/>
      <x:c r="CJ15" s="28" t="n"/>
      <x:c r="CK15" s="28" t="n"/>
      <x:c r="CL15" s="28" t="n"/>
      <x:c r="CM15" s="28" t="n"/>
      <x:c r="CN15" s="28" t="n"/>
      <x:c r="CO15" s="28" t="n"/>
      <x:c r="CP15" s="28" t="n"/>
      <x:c r="CQ15" s="28" t="n"/>
      <x:c r="CR15" s="28" t="n"/>
      <x:c r="CS15" s="28" t="n"/>
      <x:c r="CT15" s="28" t="n"/>
      <x:c r="CU15" s="28" t="n"/>
      <x:c r="CV15" s="28" t="n"/>
      <x:c r="CW15" s="28" t="n"/>
      <x:c r="CX15" s="28" t="n"/>
      <x:c r="CY15" s="28" t="n"/>
      <x:c r="CZ15" s="28" t="n"/>
      <x:c r="DA15" s="28" t="n"/>
      <x:c r="DB15" s="28" t="n"/>
      <x:c r="DC15" s="28" t="n"/>
      <x:c r="DD15" s="28" t="n"/>
      <x:c r="DE15" s="28" t="n"/>
      <x:c r="DF15" s="28" t="n"/>
      <x:c r="DG15" s="28" t="n"/>
      <x:c r="DH15" s="28" t="n"/>
      <x:c r="DI15" s="28" t="n"/>
      <x:c r="DJ15" s="28" t="n"/>
      <x:c r="DK15" s="28" t="n"/>
      <x:c r="DL15" s="28" t="n"/>
      <x:c r="DM15" s="28" t="n"/>
      <x:c r="DN15" s="28" t="n"/>
      <x:c r="DO15" s="28" t="n"/>
      <x:c r="DP15" s="28" t="n"/>
      <x:c r="DQ15" s="28" t="n"/>
      <x:c r="DR15" s="28" t="n"/>
      <x:c r="DS15" s="28" t="n"/>
      <x:c r="DT15" s="28" t="n"/>
      <x:c r="DU15" s="28" t="n"/>
      <x:c r="DV15" s="28" t="n"/>
      <x:c r="DW15" s="28" t="n"/>
      <x:c r="DX15" s="28" t="n"/>
      <x:c r="DY15" s="28" t="n"/>
      <x:c r="DZ15" s="28" t="n"/>
      <x:c r="EA15" s="28" t="n"/>
      <x:c r="EB15" s="28" t="n"/>
      <x:c r="EC15" s="28" t="n"/>
      <x:c r="ED15" s="28" t="n"/>
      <x:c r="EE15" s="28" t="n"/>
      <x:c r="EF15" s="28" t="n"/>
      <x:c r="EG15" s="28" t="n"/>
      <x:c r="EH15" s="28" t="n"/>
      <x:c r="EI15" s="28" t="n"/>
      <x:c r="EJ15" s="28" t="n"/>
      <x:c r="EK15" s="28" t="n"/>
      <x:c r="EL15" s="28" t="n"/>
      <x:c r="EM15" s="28" t="n"/>
      <x:c r="EN15" s="28" t="n"/>
      <x:c r="EO15" s="28" t="n"/>
      <x:c r="EP15" s="28" t="n"/>
      <x:c r="EQ15" s="28" t="n"/>
      <x:c r="ER15" s="28" t="n"/>
      <x:c r="ES15" s="28" t="n"/>
      <x:c r="ET15" s="28" t="n"/>
      <x:c r="EU15" s="28" t="n"/>
      <x:c r="EV15" s="28" t="n"/>
      <x:c r="EW15" s="28" t="n"/>
      <x:c r="EX15" s="28" t="n"/>
      <x:c r="EY15" s="28" t="n"/>
      <x:c r="EZ15" s="28" t="n"/>
      <x:c r="FA15" s="28" t="n"/>
      <x:c r="FB15" s="28" t="n"/>
      <x:c r="FC15" s="28" t="n"/>
      <x:c r="FD15" s="28" t="n"/>
      <x:c r="FE15" s="28" t="n"/>
      <x:c r="FF15" s="28" t="n"/>
      <x:c r="FG15" s="28" t="n"/>
      <x:c r="FH15" s="28" t="n"/>
      <x:c r="FI15" s="28" t="n"/>
      <x:c r="FJ15" s="28" t="n"/>
      <x:c r="FK15" s="28" t="n"/>
      <x:c r="FL15" s="28" t="n"/>
      <x:c r="FM15" s="28" t="n"/>
      <x:c r="FN15" s="28" t="n"/>
      <x:c r="FO15" s="28" t="n"/>
      <x:c r="FP15" s="28" t="n"/>
      <x:c r="FQ15" s="28" t="n"/>
      <x:c r="FR15" s="28" t="n"/>
      <x:c r="FS15" s="28" t="n"/>
      <x:c r="FT15" s="28" t="n"/>
      <x:c r="FU15" s="28" t="n"/>
      <x:c r="FV15" s="28" t="n"/>
      <x:c r="FW15" s="28" t="n"/>
      <x:c r="FX15" s="28" t="n"/>
      <x:c r="FY15" s="28" t="n"/>
      <x:c r="FZ15" s="28" t="n"/>
    </x:row>
    <x:row r="16" s="27" customFormat="1">
      <x:c r="A16" s="38" t="n"/>
      <x:c r="B16" s="37" t="n"/>
      <x:c r="C16" s="36" t="n">
        <x:f>E16*D$5</x:f>
        <x:v>-75.34</x:v>
      </x:c>
      <x:c r="D16" s="410" t="inlineStr">
        <x:is>
          <x:t xml:space="preserve">A. H. Douglas</x:t>
        </x:is>
      </x:c>
      <x:c r="E16" s="411" t="n">
        <x:f>SUM(G16:HT16)</x:f>
        <x:v>-1</x:v>
      </x:c>
      <x:c r="F16" s="35" t="inlineStr">
        <x:is>
          <x:t xml:space="preserve"/>
        </x:is>
      </x:c>
      <x:c r="G16" s="121" t="n"/>
      <x:c r="H16" s="121" t="n"/>
      <x:c r="I16" s="121" t="n"/>
      <x:c r="J16" s="121" t="n"/>
      <x:c r="K16" s="121" t="n"/>
      <x:c r="L16" s="121" t="n"/>
      <x:c r="M16" s="121" t="n"/>
      <x:c r="N16" s="121" t="n">
        <x:v>-1</x:v>
      </x:c>
      <x:c r="O16" s="121" t="n"/>
      <x:c r="P16" s="122" t="n"/>
      <x:c r="Q16" s="123" t="n"/>
      <x:c r="R16" s="123" t="n"/>
      <x:c r="S16" s="121" t="n"/>
      <x:c r="T16" s="121" t="n"/>
      <x:c r="U16" s="121" t="n"/>
      <x:c r="V16" s="121" t="n"/>
      <x:c r="W16" s="121" t="n"/>
      <x:c r="X16" s="121" t="n"/>
      <x:c r="Y16" s="121" t="n"/>
      <x:c r="Z16" s="121" t="n"/>
      <x:c r="AA16" s="122" t="n"/>
      <x:c r="AB16" s="121" t="n"/>
      <x:c r="AC16" s="121" t="n"/>
      <x:c r="AD16" s="123" t="n"/>
      <x:c r="AE16" s="123" t="n"/>
      <x:c r="AF16" s="123" t="n"/>
      <x:c r="AG16" s="122" t="n"/>
      <x:c r="AH16" s="122" t="n"/>
      <x:c r="AI16" s="122" t="n"/>
      <x:c r="AJ16" s="122" t="n"/>
      <x:c r="AK16" s="121" t="n"/>
      <x:c r="AL16" s="123" t="n"/>
      <x:c r="AM16" s="121" t="n"/>
      <x:c r="AN16" s="123" t="n"/>
      <x:c r="AO16" s="121" t="n"/>
      <x:c r="AP16" s="121" t="n"/>
      <x:c r="AQ16" s="28" t="n"/>
      <x:c r="AR16" s="28" t="n"/>
      <x:c r="AS16" s="28" t="n"/>
      <x:c r="AT16" s="28" t="n"/>
      <x:c r="AU16" s="28" t="n"/>
      <x:c r="AV16" s="28" t="n"/>
      <x:c r="AW16" s="28" t="n"/>
      <x:c r="AX16" s="28" t="n"/>
      <x:c r="AY16" s="28" t="n"/>
      <x:c r="AZ16" s="28" t="n"/>
      <x:c r="BA16" s="28" t="n"/>
      <x:c r="BB16" s="28" t="n"/>
      <x:c r="BC16" s="28" t="n"/>
      <x:c r="BD16" s="28" t="n"/>
      <x:c r="BE16" s="28" t="n"/>
      <x:c r="BF16" s="28" t="n"/>
      <x:c r="BG16" s="28" t="n"/>
      <x:c r="BH16" s="28" t="n"/>
      <x:c r="BI16" s="28" t="n"/>
      <x:c r="BJ16" s="28" t="n"/>
      <x:c r="BK16" s="28" t="n"/>
      <x:c r="BL16" s="28" t="n"/>
      <x:c r="BM16" s="28" t="n"/>
      <x:c r="BN16" s="28" t="n"/>
      <x:c r="BO16" s="28" t="n"/>
      <x:c r="BP16" s="28" t="n"/>
      <x:c r="BQ16" s="28" t="n"/>
      <x:c r="BR16" s="28" t="n"/>
      <x:c r="BS16" s="28" t="n"/>
      <x:c r="BT16" s="28" t="n"/>
      <x:c r="BU16" s="28" t="n"/>
      <x:c r="BV16" s="28" t="n"/>
      <x:c r="BW16" s="28" t="n"/>
      <x:c r="BX16" s="28" t="n"/>
      <x:c r="BY16" s="28" t="n"/>
      <x:c r="BZ16" s="28" t="n"/>
      <x:c r="CA16" s="28" t="n"/>
      <x:c r="CB16" s="28" t="n"/>
      <x:c r="CC16" s="28" t="n"/>
      <x:c r="CD16" s="28" t="n"/>
      <x:c r="CE16" s="28" t="n"/>
      <x:c r="CF16" s="28" t="n"/>
      <x:c r="CG16" s="28" t="n"/>
      <x:c r="CH16" s="28" t="n"/>
      <x:c r="CI16" s="28" t="n"/>
      <x:c r="CJ16" s="28" t="n"/>
      <x:c r="CK16" s="28" t="n"/>
      <x:c r="CL16" s="28" t="n"/>
      <x:c r="CM16" s="28" t="n"/>
      <x:c r="CN16" s="28" t="n"/>
      <x:c r="CO16" s="28" t="n"/>
      <x:c r="CP16" s="28" t="n"/>
      <x:c r="CQ16" s="28" t="n"/>
      <x:c r="CR16" s="28" t="n"/>
      <x:c r="CS16" s="28" t="n"/>
      <x:c r="CT16" s="28" t="n"/>
      <x:c r="CU16" s="28" t="n"/>
      <x:c r="CV16" s="28" t="n"/>
      <x:c r="CW16" s="28" t="n"/>
      <x:c r="CX16" s="28" t="n"/>
      <x:c r="CY16" s="28" t="n"/>
      <x:c r="CZ16" s="28" t="n"/>
      <x:c r="DA16" s="28" t="n"/>
      <x:c r="DB16" s="28" t="n"/>
      <x:c r="DC16" s="28" t="n"/>
      <x:c r="DD16" s="28" t="n"/>
      <x:c r="DE16" s="28" t="n"/>
      <x:c r="DF16" s="28" t="n"/>
      <x:c r="DG16" s="28" t="n"/>
      <x:c r="DH16" s="28" t="n"/>
      <x:c r="DI16" s="28" t="n"/>
      <x:c r="DJ16" s="28" t="n"/>
      <x:c r="DK16" s="28" t="n"/>
      <x:c r="DL16" s="28" t="n"/>
      <x:c r="DM16" s="28" t="n"/>
      <x:c r="DN16" s="28" t="n"/>
      <x:c r="DO16" s="28" t="n"/>
      <x:c r="DP16" s="28" t="n"/>
      <x:c r="DQ16" s="28" t="n"/>
      <x:c r="DR16" s="28" t="n"/>
      <x:c r="DS16" s="28" t="n"/>
      <x:c r="DT16" s="28" t="n"/>
      <x:c r="DU16" s="28" t="n"/>
      <x:c r="DV16" s="28" t="n"/>
      <x:c r="DW16" s="28" t="n"/>
      <x:c r="DX16" s="28" t="n"/>
      <x:c r="DY16" s="28" t="n"/>
      <x:c r="DZ16" s="28" t="n"/>
      <x:c r="EA16" s="28" t="n"/>
      <x:c r="EB16" s="28" t="n"/>
      <x:c r="EC16" s="28" t="n"/>
      <x:c r="ED16" s="28" t="n"/>
      <x:c r="EE16" s="28" t="n"/>
      <x:c r="EF16" s="28" t="n"/>
      <x:c r="EG16" s="28" t="n"/>
      <x:c r="EH16" s="28" t="n"/>
      <x:c r="EI16" s="28" t="n"/>
      <x:c r="EJ16" s="28" t="n"/>
      <x:c r="EK16" s="28" t="n"/>
      <x:c r="EL16" s="28" t="n"/>
      <x:c r="EM16" s="28" t="n"/>
      <x:c r="EN16" s="28" t="n"/>
      <x:c r="EO16" s="28" t="n"/>
      <x:c r="EP16" s="28" t="n"/>
      <x:c r="EQ16" s="28" t="n"/>
      <x:c r="ER16" s="28" t="n"/>
      <x:c r="ES16" s="28" t="n"/>
      <x:c r="ET16" s="28" t="n"/>
      <x:c r="EU16" s="28" t="n"/>
      <x:c r="EV16" s="28" t="n"/>
      <x:c r="EW16" s="28" t="n"/>
      <x:c r="EX16" s="28" t="n"/>
      <x:c r="EY16" s="28" t="n"/>
      <x:c r="EZ16" s="28" t="n"/>
      <x:c r="FA16" s="28" t="n"/>
      <x:c r="FB16" s="28" t="n"/>
      <x:c r="FC16" s="28" t="n"/>
      <x:c r="FD16" s="28" t="n"/>
      <x:c r="FE16" s="28" t="n"/>
      <x:c r="FF16" s="28" t="n"/>
      <x:c r="FG16" s="28" t="n"/>
      <x:c r="FH16" s="28" t="n"/>
      <x:c r="FI16" s="28" t="n"/>
      <x:c r="FJ16" s="28" t="n"/>
      <x:c r="FK16" s="28" t="n"/>
      <x:c r="FL16" s="28" t="n"/>
      <x:c r="FM16" s="28" t="n"/>
      <x:c r="FN16" s="28" t="n"/>
      <x:c r="FO16" s="28" t="n"/>
      <x:c r="FP16" s="28" t="n"/>
      <x:c r="FQ16" s="28" t="n"/>
      <x:c r="FR16" s="28" t="n"/>
      <x:c r="FS16" s="28" t="n"/>
      <x:c r="FT16" s="28" t="n"/>
      <x:c r="FU16" s="28" t="n"/>
      <x:c r="FV16" s="28" t="n"/>
      <x:c r="FW16" s="28" t="n"/>
      <x:c r="FX16" s="28" t="n"/>
      <x:c r="FY16" s="28" t="n"/>
      <x:c r="FZ16" s="28" t="n"/>
    </x:row>
    <x:row r="17" s="27" customFormat="1">
      <x:c r="A17" s="38" t="n"/>
      <x:c r="B17" s="37" t="n"/>
      <x:c r="C17" s="36" t="n">
        <x:f>E17*D$5</x:f>
        <x:v>-75.34</x:v>
      </x:c>
      <x:c r="D17" s="410" t="inlineStr">
        <x:is>
          <x:t xml:space="preserve">Elvin J. Ridling</x:t>
        </x:is>
      </x:c>
      <x:c r="E17" s="411" t="n">
        <x:f>SUM(G17:HT17)</x:f>
        <x:v>-1</x:v>
      </x:c>
      <x:c r="F17" s="35" t="inlineStr">
        <x:is>
          <x:t xml:space="preserve"/>
        </x:is>
      </x:c>
      <x:c r="G17" s="121" t="n"/>
      <x:c r="H17" s="121" t="n"/>
      <x:c r="I17" s="121" t="n"/>
      <x:c r="J17" s="121" t="n"/>
      <x:c r="K17" s="121" t="n"/>
      <x:c r="L17" s="121" t="n"/>
      <x:c r="M17" s="121" t="n"/>
      <x:c r="N17" s="121" t="n"/>
      <x:c r="O17" s="121" t="n">
        <x:v>-1</x:v>
      </x:c>
      <x:c r="P17" s="121" t="n"/>
      <x:c r="Q17" s="123" t="n"/>
      <x:c r="R17" s="123" t="n"/>
      <x:c r="S17" s="121" t="n"/>
      <x:c r="T17" s="121" t="n"/>
      <x:c r="U17" s="121" t="n"/>
      <x:c r="V17" s="121" t="n"/>
      <x:c r="W17" s="121" t="n"/>
      <x:c r="X17" s="121" t="n"/>
      <x:c r="Y17" s="121" t="n"/>
      <x:c r="Z17" s="121" t="n"/>
      <x:c r="AA17" s="121" t="n"/>
      <x:c r="AB17" s="121" t="n"/>
      <x:c r="AC17" s="121" t="n"/>
      <x:c r="AD17" s="123" t="n"/>
      <x:c r="AE17" s="123" t="n"/>
      <x:c r="AF17" s="123" t="n"/>
      <x:c r="AG17" s="122" t="n"/>
      <x:c r="AH17" s="122" t="n"/>
      <x:c r="AI17" s="122" t="n"/>
      <x:c r="AJ17" s="122" t="n"/>
      <x:c r="AK17" s="121" t="n"/>
      <x:c r="AL17" s="123" t="n"/>
      <x:c r="AM17" s="121" t="n"/>
      <x:c r="AN17" s="123" t="n"/>
      <x:c r="AO17" s="121" t="n"/>
      <x:c r="AP17" s="121" t="n"/>
      <x:c r="AQ17" s="28" t="n"/>
      <x:c r="AR17" s="28" t="n"/>
      <x:c r="AS17" s="28" t="n"/>
      <x:c r="AT17" s="28" t="n"/>
      <x:c r="AU17" s="28" t="n"/>
      <x:c r="AV17" s="28" t="n"/>
      <x:c r="AW17" s="28" t="n"/>
      <x:c r="AX17" s="28" t="n"/>
      <x:c r="AY17" s="28" t="n"/>
      <x:c r="AZ17" s="28" t="n"/>
      <x:c r="BA17" s="28" t="n"/>
      <x:c r="BB17" s="28" t="n"/>
      <x:c r="BC17" s="28" t="n"/>
      <x:c r="BD17" s="28" t="n"/>
      <x:c r="BE17" s="28" t="n"/>
      <x:c r="BF17" s="28" t="n"/>
      <x:c r="BG17" s="28" t="n"/>
      <x:c r="BH17" s="28" t="n"/>
      <x:c r="BI17" s="28" t="n"/>
      <x:c r="BJ17" s="28" t="n"/>
      <x:c r="BK17" s="28" t="n"/>
      <x:c r="BL17" s="28" t="n"/>
      <x:c r="BM17" s="28" t="n"/>
      <x:c r="BN17" s="28" t="n"/>
      <x:c r="BO17" s="28" t="n"/>
      <x:c r="BP17" s="28" t="n"/>
      <x:c r="BQ17" s="28" t="n"/>
      <x:c r="BR17" s="28" t="n"/>
      <x:c r="BS17" s="28" t="n"/>
      <x:c r="BT17" s="28" t="n"/>
      <x:c r="BU17" s="28" t="n"/>
      <x:c r="BV17" s="28" t="n"/>
      <x:c r="BW17" s="28" t="n"/>
      <x:c r="BX17" s="28" t="n"/>
      <x:c r="BY17" s="28" t="n"/>
      <x:c r="BZ17" s="28" t="n"/>
      <x:c r="CA17" s="28" t="n"/>
      <x:c r="CB17" s="28" t="n"/>
      <x:c r="CC17" s="28" t="n"/>
      <x:c r="CD17" s="28" t="n"/>
      <x:c r="CE17" s="28" t="n"/>
      <x:c r="CF17" s="28" t="n"/>
      <x:c r="CG17" s="28" t="n"/>
      <x:c r="CH17" s="28" t="n"/>
      <x:c r="CI17" s="28" t="n"/>
      <x:c r="CJ17" s="28" t="n"/>
      <x:c r="CK17" s="28" t="n"/>
      <x:c r="CL17" s="28" t="n"/>
      <x:c r="CM17" s="28" t="n"/>
      <x:c r="CN17" s="28" t="n"/>
      <x:c r="CO17" s="28" t="n"/>
      <x:c r="CP17" s="28" t="n"/>
      <x:c r="CQ17" s="28" t="n"/>
      <x:c r="CR17" s="28" t="n"/>
      <x:c r="CS17" s="28" t="n"/>
      <x:c r="CT17" s="28" t="n"/>
      <x:c r="CU17" s="28" t="n"/>
      <x:c r="CV17" s="28" t="n"/>
      <x:c r="CW17" s="28" t="n"/>
      <x:c r="CX17" s="28" t="n"/>
      <x:c r="CY17" s="28" t="n"/>
      <x:c r="CZ17" s="28" t="n"/>
      <x:c r="DA17" s="28" t="n"/>
      <x:c r="DB17" s="28" t="n"/>
      <x:c r="DC17" s="28" t="n"/>
      <x:c r="DD17" s="28" t="n"/>
      <x:c r="DE17" s="28" t="n"/>
      <x:c r="DF17" s="28" t="n"/>
      <x:c r="DG17" s="28" t="n"/>
      <x:c r="DH17" s="28" t="n"/>
      <x:c r="DI17" s="28" t="n"/>
      <x:c r="DJ17" s="28" t="n"/>
      <x:c r="DK17" s="28" t="n"/>
      <x:c r="DL17" s="28" t="n"/>
      <x:c r="DM17" s="28" t="n"/>
      <x:c r="DN17" s="28" t="n"/>
      <x:c r="DO17" s="28" t="n"/>
      <x:c r="DP17" s="28" t="n"/>
      <x:c r="DQ17" s="28" t="n"/>
      <x:c r="DR17" s="28" t="n"/>
      <x:c r="DS17" s="28" t="n"/>
      <x:c r="DT17" s="28" t="n"/>
      <x:c r="DU17" s="28" t="n"/>
      <x:c r="DV17" s="28" t="n"/>
      <x:c r="DW17" s="28" t="n"/>
      <x:c r="DX17" s="28" t="n"/>
      <x:c r="DY17" s="28" t="n"/>
      <x:c r="DZ17" s="28" t="n"/>
      <x:c r="EA17" s="28" t="n"/>
      <x:c r="EB17" s="28" t="n"/>
      <x:c r="EC17" s="28" t="n"/>
      <x:c r="ED17" s="28" t="n"/>
      <x:c r="EE17" s="28" t="n"/>
      <x:c r="EF17" s="28" t="n"/>
      <x:c r="EG17" s="28" t="n"/>
      <x:c r="EH17" s="28" t="n"/>
      <x:c r="EI17" s="28" t="n"/>
      <x:c r="EJ17" s="28" t="n"/>
      <x:c r="EK17" s="28" t="n"/>
      <x:c r="EL17" s="28" t="n"/>
      <x:c r="EM17" s="28" t="n"/>
      <x:c r="EN17" s="28" t="n"/>
      <x:c r="EO17" s="28" t="n"/>
      <x:c r="EP17" s="28" t="n"/>
      <x:c r="EQ17" s="28" t="n"/>
      <x:c r="ER17" s="28" t="n"/>
      <x:c r="ES17" s="28" t="n"/>
      <x:c r="ET17" s="28" t="n"/>
      <x:c r="EU17" s="28" t="n"/>
      <x:c r="EV17" s="28" t="n"/>
      <x:c r="EW17" s="28" t="n"/>
      <x:c r="EX17" s="28" t="n"/>
      <x:c r="EY17" s="28" t="n"/>
      <x:c r="EZ17" s="28" t="n"/>
      <x:c r="FA17" s="28" t="n"/>
      <x:c r="FB17" s="28" t="n"/>
      <x:c r="FC17" s="28" t="n"/>
      <x:c r="FD17" s="28" t="n"/>
      <x:c r="FE17" s="28" t="n"/>
      <x:c r="FF17" s="28" t="n"/>
      <x:c r="FG17" s="28" t="n"/>
      <x:c r="FH17" s="28" t="n"/>
      <x:c r="FI17" s="28" t="n"/>
      <x:c r="FJ17" s="28" t="n"/>
      <x:c r="FK17" s="28" t="n"/>
      <x:c r="FL17" s="28" t="n"/>
      <x:c r="FM17" s="28" t="n"/>
      <x:c r="FN17" s="28" t="n"/>
      <x:c r="FO17" s="28" t="n"/>
      <x:c r="FP17" s="28" t="n"/>
      <x:c r="FQ17" s="28" t="n"/>
      <x:c r="FR17" s="28" t="n"/>
      <x:c r="FS17" s="28" t="n"/>
      <x:c r="FT17" s="28" t="n"/>
      <x:c r="FU17" s="28" t="n"/>
      <x:c r="FV17" s="28" t="n"/>
      <x:c r="FW17" s="28" t="n"/>
      <x:c r="FX17" s="28" t="n"/>
      <x:c r="FY17" s="28" t="n"/>
      <x:c r="FZ17" s="28" t="n"/>
    </x:row>
    <x:row r="18" s="27" customFormat="1">
      <x:c r="A18" s="38" t="n"/>
      <x:c r="B18" s="39" t="n"/>
      <x:c r="C18" s="36" t="n">
        <x:f>E18*D$5</x:f>
        <x:v>26.35008966</x:v>
      </x:c>
      <x:c r="D18" s="103" t="inlineStr">
        <x:is>
          <x:t xml:space="preserve">W. L. &amp; Hazel Ayers</x:t>
        </x:is>
      </x:c>
      <x:c r="E18" s="36" t="n">
        <x:f>SUM(G18:HT18)</x:f>
        <x:v>0.349749</x:v>
      </x:c>
      <x:c r="F18" s="35" t="inlineStr">
        <x:is>
          <x:t xml:space="preserve"/>
        </x:is>
      </x:c>
      <x:c r="G18" s="121" t="n"/>
      <x:c r="H18" s="121" t="n"/>
      <x:c r="I18" s="121" t="n"/>
      <x:c r="J18" s="121" t="n"/>
      <x:c r="K18" s="121" t="n"/>
      <x:c r="L18" s="121" t="n"/>
      <x:c r="M18" s="121" t="n"/>
      <x:c r="N18" s="121" t="n"/>
      <x:c r="O18" s="122" t="n"/>
      <x:c r="P18" s="128" t="n">
        <x:v>1</x:v>
      </x:c>
      <x:c r="Q18" s="124" t="n">
        <x:v>-0.650251</x:v>
      </x:c>
      <x:c r="R18" s="123" t="n"/>
      <x:c r="S18" s="129" t="n"/>
      <x:c r="T18" s="121" t="n"/>
      <x:c r="U18" s="121" t="n"/>
      <x:c r="V18" s="121" t="n"/>
      <x:c r="W18" s="121" t="n"/>
      <x:c r="X18" s="121" t="n"/>
      <x:c r="Y18" s="121" t="n"/>
      <x:c r="Z18" s="121" t="n"/>
      <x:c r="AA18" s="121" t="n"/>
      <x:c r="AB18" s="121" t="n"/>
      <x:c r="AC18" s="121" t="n"/>
      <x:c r="AD18" s="123" t="n"/>
      <x:c r="AE18" s="123" t="n"/>
      <x:c r="AF18" s="123" t="n"/>
      <x:c r="AG18" s="122" t="n"/>
      <x:c r="AH18" s="122" t="n"/>
      <x:c r="AI18" s="122" t="n"/>
      <x:c r="AJ18" s="122" t="n"/>
      <x:c r="AK18" s="121" t="n"/>
      <x:c r="AL18" s="124" t="n"/>
      <x:c r="AM18" s="121" t="n"/>
      <x:c r="AN18" s="123" t="n"/>
      <x:c r="AO18" s="121" t="n"/>
      <x:c r="AP18" s="121" t="n"/>
      <x:c r="AQ18" s="28" t="n"/>
      <x:c r="AR18" s="28" t="n"/>
      <x:c r="AS18" s="28" t="n"/>
      <x:c r="AT18" s="28" t="n"/>
      <x:c r="AU18" s="28" t="n"/>
      <x:c r="AV18" s="28" t="n"/>
      <x:c r="AW18" s="28" t="n"/>
      <x:c r="AX18" s="28" t="n"/>
      <x:c r="AY18" s="28" t="n"/>
      <x:c r="AZ18" s="28" t="n"/>
      <x:c r="BA18" s="28" t="n"/>
      <x:c r="BB18" s="28" t="n"/>
      <x:c r="BC18" s="28" t="n"/>
      <x:c r="BD18" s="28" t="n"/>
      <x:c r="BE18" s="28" t="n"/>
      <x:c r="BF18" s="28" t="n"/>
      <x:c r="BG18" s="28" t="n"/>
      <x:c r="BH18" s="28" t="n"/>
      <x:c r="BI18" s="28" t="n"/>
      <x:c r="BJ18" s="28" t="n"/>
      <x:c r="BK18" s="28" t="n"/>
      <x:c r="BL18" s="28" t="n"/>
      <x:c r="BM18" s="28" t="n"/>
      <x:c r="BN18" s="28" t="n"/>
      <x:c r="BO18" s="28" t="n"/>
      <x:c r="BP18" s="28" t="n"/>
      <x:c r="BQ18" s="28" t="n"/>
      <x:c r="BR18" s="28" t="n"/>
      <x:c r="BS18" s="28" t="n"/>
      <x:c r="BT18" s="28" t="n"/>
      <x:c r="BU18" s="28" t="n"/>
      <x:c r="BV18" s="28" t="n"/>
      <x:c r="BW18" s="28" t="n"/>
      <x:c r="BX18" s="28" t="n"/>
      <x:c r="BY18" s="28" t="n"/>
      <x:c r="BZ18" s="28" t="n"/>
      <x:c r="CA18" s="28" t="n"/>
      <x:c r="CB18" s="28" t="n"/>
      <x:c r="CC18" s="28" t="n"/>
      <x:c r="CD18" s="28" t="n"/>
      <x:c r="CE18" s="28" t="n"/>
      <x:c r="CF18" s="28" t="n"/>
      <x:c r="CG18" s="28" t="n"/>
      <x:c r="CH18" s="28" t="n"/>
      <x:c r="CI18" s="28" t="n"/>
      <x:c r="CJ18" s="28" t="n"/>
      <x:c r="CK18" s="28" t="n"/>
      <x:c r="CL18" s="28" t="n"/>
      <x:c r="CM18" s="28" t="n"/>
      <x:c r="CN18" s="28" t="n"/>
      <x:c r="CO18" s="28" t="n"/>
      <x:c r="CP18" s="28" t="n"/>
      <x:c r="CQ18" s="28" t="n"/>
      <x:c r="CR18" s="28" t="n"/>
      <x:c r="CS18" s="28" t="n"/>
      <x:c r="CT18" s="28" t="n"/>
      <x:c r="CU18" s="28" t="n"/>
      <x:c r="CV18" s="28" t="n"/>
      <x:c r="CW18" s="28" t="n"/>
      <x:c r="CX18" s="28" t="n"/>
      <x:c r="CY18" s="28" t="n"/>
      <x:c r="CZ18" s="28" t="n"/>
      <x:c r="DA18" s="28" t="n"/>
      <x:c r="DB18" s="28" t="n"/>
      <x:c r="DC18" s="28" t="n"/>
      <x:c r="DD18" s="28" t="n"/>
      <x:c r="DE18" s="28" t="n"/>
      <x:c r="DF18" s="28" t="n"/>
      <x:c r="DG18" s="28" t="n"/>
      <x:c r="DH18" s="28" t="n"/>
      <x:c r="DI18" s="28" t="n"/>
      <x:c r="DJ18" s="28" t="n"/>
      <x:c r="DK18" s="28" t="n"/>
      <x:c r="DL18" s="28" t="n"/>
      <x:c r="DM18" s="28" t="n"/>
      <x:c r="DN18" s="28" t="n"/>
      <x:c r="DO18" s="28" t="n"/>
      <x:c r="DP18" s="28" t="n"/>
      <x:c r="DQ18" s="28" t="n"/>
      <x:c r="DR18" s="28" t="n"/>
      <x:c r="DS18" s="28" t="n"/>
      <x:c r="DT18" s="28" t="n"/>
      <x:c r="DU18" s="28" t="n"/>
      <x:c r="DV18" s="28" t="n"/>
      <x:c r="DW18" s="28" t="n"/>
      <x:c r="DX18" s="28" t="n"/>
      <x:c r="DY18" s="28" t="n"/>
      <x:c r="DZ18" s="28" t="n"/>
      <x:c r="EA18" s="28" t="n"/>
      <x:c r="EB18" s="28" t="n"/>
      <x:c r="EC18" s="28" t="n"/>
      <x:c r="ED18" s="28" t="n"/>
      <x:c r="EE18" s="28" t="n"/>
      <x:c r="EF18" s="28" t="n"/>
      <x:c r="EG18" s="28" t="n"/>
      <x:c r="EH18" s="28" t="n"/>
      <x:c r="EI18" s="28" t="n"/>
      <x:c r="EJ18" s="28" t="n"/>
      <x:c r="EK18" s="28" t="n"/>
      <x:c r="EL18" s="28" t="n"/>
      <x:c r="EM18" s="28" t="n"/>
      <x:c r="EN18" s="28" t="n"/>
      <x:c r="EO18" s="28" t="n"/>
      <x:c r="EP18" s="28" t="n"/>
      <x:c r="EQ18" s="28" t="n"/>
      <x:c r="ER18" s="28" t="n"/>
      <x:c r="ES18" s="28" t="n"/>
      <x:c r="ET18" s="28" t="n"/>
      <x:c r="EU18" s="28" t="n"/>
      <x:c r="EV18" s="28" t="n"/>
      <x:c r="EW18" s="28" t="n"/>
      <x:c r="EX18" s="28" t="n"/>
      <x:c r="EY18" s="28" t="n"/>
      <x:c r="EZ18" s="28" t="n"/>
      <x:c r="FA18" s="28" t="n"/>
      <x:c r="FB18" s="28" t="n"/>
      <x:c r="FC18" s="28" t="n"/>
      <x:c r="FD18" s="28" t="n"/>
      <x:c r="FE18" s="28" t="n"/>
      <x:c r="FF18" s="28" t="n"/>
      <x:c r="FG18" s="28" t="n"/>
      <x:c r="FH18" s="28" t="n"/>
      <x:c r="FI18" s="28" t="n"/>
      <x:c r="FJ18" s="28" t="n"/>
      <x:c r="FK18" s="28" t="n"/>
      <x:c r="FL18" s="28" t="n"/>
      <x:c r="FM18" s="28" t="n"/>
      <x:c r="FN18" s="28" t="n"/>
      <x:c r="FO18" s="28" t="n"/>
      <x:c r="FP18" s="28" t="n"/>
      <x:c r="FQ18" s="28" t="n"/>
      <x:c r="FR18" s="28" t="n"/>
      <x:c r="FS18" s="28" t="n"/>
      <x:c r="FT18" s="28" t="n"/>
      <x:c r="FU18" s="28" t="n"/>
      <x:c r="FV18" s="28" t="n"/>
      <x:c r="FW18" s="28" t="n"/>
      <x:c r="FX18" s="28" t="n"/>
      <x:c r="FY18" s="28" t="n"/>
      <x:c r="FZ18" s="28" t="n"/>
    </x:row>
    <x:row r="19" s="27" customFormat="1">
      <x:c r="A19" s="38" t="n"/>
      <x:c r="B19" s="39" t="n"/>
      <x:c r="C19" s="36" t="n">
        <x:f>E19*D$5</x:f>
        <x:v>-0.000030136000000866583</x:v>
      </x:c>
      <x:c r="D19" s="412" t="inlineStr">
        <x:is>
          <x:t xml:space="preserve">Robert O. Lister, Jr.</x:t>
        </x:is>
      </x:c>
      <x:c r="E19" s="411" t="n">
        <x:f>SUM(G19:HT19)</x:f>
        <x:v>-4.0000000001150227e-7</x:v>
      </x:c>
      <x:c r="F19" s="35" t="inlineStr">
        <x:is>
          <x:t xml:space="preserve"/>
        </x:is>
      </x:c>
      <x:c r="G19" s="121" t="n"/>
      <x:c r="H19" s="121" t="n"/>
      <x:c r="I19" s="121" t="n"/>
      <x:c r="J19" s="121" t="n"/>
      <x:c r="K19" s="121" t="n"/>
      <x:c r="L19" s="121" t="n"/>
      <x:c r="M19" s="121" t="n"/>
      <x:c r="N19" s="121" t="n"/>
      <x:c r="O19" s="122" t="n"/>
      <x:c r="P19" s="128" t="n"/>
      <x:c r="Q19" s="128" t="n">
        <x:v>0.650251</x:v>
      </x:c>
      <x:c r="R19" s="123" t="n">
        <x:v>-0.476851</x:v>
      </x:c>
      <x:c r="S19" s="129" t="n">
        <x:v>-0.08670020000000001</x:v>
      </x:c>
      <x:c r="T19" s="121" t="n">
        <x:v>-0.08670020000000001</x:v>
      </x:c>
      <x:c r="U19" s="121" t="n"/>
      <x:c r="V19" s="121" t="n"/>
      <x:c r="W19" s="121" t="n"/>
      <x:c r="X19" s="121" t="n"/>
      <x:c r="Y19" s="121" t="n"/>
      <x:c r="Z19" s="121" t="n"/>
      <x:c r="AA19" s="121" t="n"/>
      <x:c r="AB19" s="121" t="n"/>
      <x:c r="AC19" s="121" t="n"/>
      <x:c r="AD19" s="123" t="n"/>
      <x:c r="AE19" s="123" t="n"/>
      <x:c r="AF19" s="123" t="n"/>
      <x:c r="AG19" s="122" t="n"/>
      <x:c r="AH19" s="122" t="n"/>
      <x:c r="AI19" s="122" t="n"/>
      <x:c r="AJ19" s="122" t="n"/>
      <x:c r="AK19" s="121" t="n"/>
      <x:c r="AL19" s="123" t="n"/>
      <x:c r="AM19" s="121" t="n"/>
      <x:c r="AN19" s="123" t="n"/>
      <x:c r="AO19" s="121" t="n"/>
      <x:c r="AP19" s="121" t="n"/>
      <x:c r="AQ19" s="28" t="n"/>
      <x:c r="AR19" s="28" t="n"/>
      <x:c r="AS19" s="28" t="n"/>
      <x:c r="AT19" s="28" t="n"/>
      <x:c r="AU19" s="28" t="n"/>
      <x:c r="AV19" s="28" t="n"/>
      <x:c r="AW19" s="28" t="n"/>
      <x:c r="AX19" s="28" t="n"/>
      <x:c r="AY19" s="28" t="n"/>
      <x:c r="AZ19" s="28" t="n"/>
      <x:c r="BA19" s="28" t="n"/>
      <x:c r="BB19" s="28" t="n"/>
      <x:c r="BC19" s="28" t="n"/>
      <x:c r="BD19" s="28" t="n"/>
      <x:c r="BE19" s="28" t="n"/>
      <x:c r="BF19" s="28" t="n"/>
      <x:c r="BG19" s="28" t="n"/>
      <x:c r="BH19" s="28" t="n"/>
      <x:c r="BI19" s="28" t="n"/>
      <x:c r="BJ19" s="28" t="n"/>
      <x:c r="BK19" s="28" t="n"/>
      <x:c r="BL19" s="28" t="n"/>
      <x:c r="BM19" s="28" t="n"/>
      <x:c r="BN19" s="28" t="n"/>
      <x:c r="BO19" s="28" t="n"/>
      <x:c r="BP19" s="28" t="n"/>
      <x:c r="BQ19" s="28" t="n"/>
      <x:c r="BR19" s="28" t="n"/>
      <x:c r="BS19" s="28" t="n"/>
      <x:c r="BT19" s="28" t="n"/>
      <x:c r="BU19" s="28" t="n"/>
      <x:c r="BV19" s="28" t="n"/>
      <x:c r="BW19" s="28" t="n"/>
      <x:c r="BX19" s="28" t="n"/>
      <x:c r="BY19" s="28" t="n"/>
      <x:c r="BZ19" s="28" t="n"/>
      <x:c r="CA19" s="28" t="n"/>
      <x:c r="CB19" s="28" t="n"/>
      <x:c r="CC19" s="28" t="n"/>
      <x:c r="CD19" s="28" t="n"/>
      <x:c r="CE19" s="28" t="n"/>
      <x:c r="CF19" s="28" t="n"/>
      <x:c r="CG19" s="28" t="n"/>
      <x:c r="CH19" s="28" t="n"/>
      <x:c r="CI19" s="28" t="n"/>
      <x:c r="CJ19" s="28" t="n"/>
      <x:c r="CK19" s="28" t="n"/>
      <x:c r="CL19" s="28" t="n"/>
      <x:c r="CM19" s="28" t="n"/>
      <x:c r="CN19" s="28" t="n"/>
      <x:c r="CO19" s="28" t="n"/>
      <x:c r="CP19" s="28" t="n"/>
      <x:c r="CQ19" s="28" t="n"/>
      <x:c r="CR19" s="28" t="n"/>
      <x:c r="CS19" s="28" t="n"/>
      <x:c r="CT19" s="28" t="n"/>
      <x:c r="CU19" s="28" t="n"/>
      <x:c r="CV19" s="28" t="n"/>
      <x:c r="CW19" s="28" t="n"/>
      <x:c r="CX19" s="28" t="n"/>
      <x:c r="CY19" s="28" t="n"/>
      <x:c r="CZ19" s="28" t="n"/>
      <x:c r="DA19" s="28" t="n"/>
      <x:c r="DB19" s="28" t="n"/>
      <x:c r="DC19" s="28" t="n"/>
      <x:c r="DD19" s="28" t="n"/>
      <x:c r="DE19" s="28" t="n"/>
      <x:c r="DF19" s="28" t="n"/>
      <x:c r="DG19" s="28" t="n"/>
      <x:c r="DH19" s="28" t="n"/>
      <x:c r="DI19" s="28" t="n"/>
      <x:c r="DJ19" s="28" t="n"/>
      <x:c r="DK19" s="28" t="n"/>
      <x:c r="DL19" s="28" t="n"/>
      <x:c r="DM19" s="28" t="n"/>
      <x:c r="DN19" s="28" t="n"/>
      <x:c r="DO19" s="28" t="n"/>
      <x:c r="DP19" s="28" t="n"/>
      <x:c r="DQ19" s="28" t="n"/>
      <x:c r="DR19" s="28" t="n"/>
      <x:c r="DS19" s="28" t="n"/>
      <x:c r="DT19" s="28" t="n"/>
      <x:c r="DU19" s="28" t="n"/>
      <x:c r="DV19" s="28" t="n"/>
      <x:c r="DW19" s="28" t="n"/>
      <x:c r="DX19" s="28" t="n"/>
      <x:c r="DY19" s="28" t="n"/>
      <x:c r="DZ19" s="28" t="n"/>
      <x:c r="EA19" s="28" t="n"/>
      <x:c r="EB19" s="28" t="n"/>
      <x:c r="EC19" s="28" t="n"/>
      <x:c r="ED19" s="28" t="n"/>
      <x:c r="EE19" s="28" t="n"/>
      <x:c r="EF19" s="28" t="n"/>
      <x:c r="EG19" s="28" t="n"/>
      <x:c r="EH19" s="28" t="n"/>
      <x:c r="EI19" s="28" t="n"/>
      <x:c r="EJ19" s="28" t="n"/>
      <x:c r="EK19" s="28" t="n"/>
      <x:c r="EL19" s="28" t="n"/>
      <x:c r="EM19" s="28" t="n"/>
      <x:c r="EN19" s="28" t="n"/>
      <x:c r="EO19" s="28" t="n"/>
      <x:c r="EP19" s="28" t="n"/>
      <x:c r="EQ19" s="28" t="n"/>
      <x:c r="ER19" s="28" t="n"/>
      <x:c r="ES19" s="28" t="n"/>
      <x:c r="ET19" s="28" t="n"/>
      <x:c r="EU19" s="28" t="n"/>
      <x:c r="EV19" s="28" t="n"/>
      <x:c r="EW19" s="28" t="n"/>
      <x:c r="EX19" s="28" t="n"/>
      <x:c r="EY19" s="28" t="n"/>
      <x:c r="EZ19" s="28" t="n"/>
      <x:c r="FA19" s="28" t="n"/>
      <x:c r="FB19" s="28" t="n"/>
      <x:c r="FC19" s="28" t="n"/>
      <x:c r="FD19" s="28" t="n"/>
      <x:c r="FE19" s="28" t="n"/>
      <x:c r="FF19" s="28" t="n"/>
      <x:c r="FG19" s="28" t="n"/>
      <x:c r="FH19" s="28" t="n"/>
      <x:c r="FI19" s="28" t="n"/>
      <x:c r="FJ19" s="28" t="n"/>
      <x:c r="FK19" s="28" t="n"/>
      <x:c r="FL19" s="28" t="n"/>
      <x:c r="FM19" s="28" t="n"/>
      <x:c r="FN19" s="28" t="n"/>
      <x:c r="FO19" s="28" t="n"/>
      <x:c r="FP19" s="28" t="n"/>
      <x:c r="FQ19" s="28" t="n"/>
      <x:c r="FR19" s="28" t="n"/>
      <x:c r="FS19" s="28" t="n"/>
      <x:c r="FT19" s="28" t="n"/>
      <x:c r="FU19" s="28" t="n"/>
      <x:c r="FV19" s="28" t="n"/>
      <x:c r="FW19" s="28" t="n"/>
      <x:c r="FX19" s="28" t="n"/>
      <x:c r="FY19" s="28" t="n"/>
      <x:c r="FZ19" s="28" t="n"/>
    </x:row>
    <x:row r="20" s="27" customFormat="1">
      <x:c r="A20" s="38" t="n"/>
      <x:c r="B20" s="39" t="n"/>
      <x:c r="C20" s="86" t="n">
        <x:f>E20*D$5</x:f>
        <x:v>-68.808006932</x:v>
      </x:c>
      <x:c r="D20" s="412" t="inlineStr">
        <x:is>
          <x:t xml:space="preserve">A. C. Campbell</x:t>
        </x:is>
      </x:c>
      <x:c r="E20" s="413" t="n">
        <x:f>SUM(G20:HT20)</x:f>
        <x:v>-0.9132998</x:v>
      </x:c>
      <x:c r="F20" s="35" t="inlineStr">
        <x:is>
          <x:t xml:space="preserve"/>
        </x:is>
      </x:c>
      <x:c r="G20" s="121" t="n"/>
      <x:c r="H20" s="121" t="n"/>
      <x:c r="I20" s="121" t="n"/>
      <x:c r="J20" s="121" t="n"/>
      <x:c r="K20" s="121" t="n"/>
      <x:c r="L20" s="121" t="n"/>
      <x:c r="M20" s="121" t="n"/>
      <x:c r="N20" s="121" t="n"/>
      <x:c r="O20" s="122" t="n"/>
      <x:c r="P20" s="128" t="n"/>
      <x:c r="Q20" s="128" t="n"/>
      <x:c r="R20" s="123" t="n"/>
      <x:c r="S20" s="129" t="n">
        <x:v>0.08670020000000001</x:v>
      </x:c>
      <x:c r="T20" s="121" t="n"/>
      <x:c r="U20" s="121" t="n"/>
      <x:c r="V20" s="121" t="n"/>
      <x:c r="W20" s="121" t="n"/>
      <x:c r="X20" s="121" t="n"/>
      <x:c r="Y20" s="121" t="n"/>
      <x:c r="Z20" s="121" t="n"/>
      <x:c r="AA20" s="121" t="n"/>
      <x:c r="AB20" s="121" t="n"/>
      <x:c r="AC20" s="121" t="n"/>
      <x:c r="AD20" s="123" t="n"/>
      <x:c r="AE20" s="123" t="n"/>
      <x:c r="AF20" s="123" t="n"/>
      <x:c r="AG20" s="123" t="n"/>
      <x:c r="AH20" s="123" t="n"/>
      <x:c r="AI20" s="123" t="n"/>
      <x:c r="AJ20" s="123" t="n"/>
      <x:c r="AK20" s="121" t="n">
        <x:v>-1</x:v>
      </x:c>
      <x:c r="AL20" s="123" t="n"/>
      <x:c r="AM20" s="121" t="n"/>
      <x:c r="AN20" s="123" t="n"/>
      <x:c r="AO20" s="121" t="n"/>
      <x:c r="AP20" s="121" t="n"/>
      <x:c r="AQ20" s="28" t="n"/>
      <x:c r="AR20" s="28" t="n"/>
      <x:c r="AS20" s="28" t="n"/>
      <x:c r="AT20" s="28" t="n"/>
      <x:c r="AU20" s="28" t="n"/>
      <x:c r="AV20" s="28" t="n"/>
      <x:c r="AW20" s="28" t="n"/>
      <x:c r="AX20" s="28" t="n"/>
      <x:c r="AY20" s="28" t="n"/>
      <x:c r="AZ20" s="28" t="n"/>
      <x:c r="BA20" s="28" t="n"/>
      <x:c r="BB20" s="28" t="n"/>
      <x:c r="BC20" s="28" t="n"/>
      <x:c r="BD20" s="28" t="n"/>
      <x:c r="BE20" s="28" t="n"/>
      <x:c r="BF20" s="28" t="n"/>
      <x:c r="BG20" s="28" t="n"/>
      <x:c r="BH20" s="28" t="n"/>
      <x:c r="BI20" s="28" t="n"/>
      <x:c r="BJ20" s="28" t="n"/>
      <x:c r="BK20" s="28" t="n"/>
      <x:c r="BL20" s="28" t="n"/>
      <x:c r="BM20" s="28" t="n"/>
      <x:c r="BN20" s="28" t="n"/>
      <x:c r="BO20" s="28" t="n"/>
      <x:c r="BP20" s="28" t="n"/>
      <x:c r="BQ20" s="28" t="n"/>
      <x:c r="BR20" s="28" t="n"/>
      <x:c r="BS20" s="28" t="n"/>
      <x:c r="BT20" s="28" t="n"/>
      <x:c r="BU20" s="28" t="n"/>
      <x:c r="BV20" s="28" t="n"/>
      <x:c r="BW20" s="28" t="n"/>
      <x:c r="BX20" s="28" t="n"/>
      <x:c r="BY20" s="28" t="n"/>
      <x:c r="BZ20" s="28" t="n"/>
      <x:c r="CA20" s="28" t="n"/>
      <x:c r="CB20" s="28" t="n"/>
      <x:c r="CC20" s="28" t="n"/>
      <x:c r="CD20" s="28" t="n"/>
      <x:c r="CE20" s="28" t="n"/>
      <x:c r="CF20" s="28" t="n"/>
      <x:c r="CG20" s="28" t="n"/>
      <x:c r="CH20" s="28" t="n"/>
      <x:c r="CI20" s="28" t="n"/>
      <x:c r="CJ20" s="28" t="n"/>
      <x:c r="CK20" s="28" t="n"/>
      <x:c r="CL20" s="28" t="n"/>
      <x:c r="CM20" s="28" t="n"/>
      <x:c r="CN20" s="28" t="n"/>
      <x:c r="CO20" s="28" t="n"/>
      <x:c r="CP20" s="28" t="n"/>
      <x:c r="CQ20" s="28" t="n"/>
      <x:c r="CR20" s="28" t="n"/>
      <x:c r="CS20" s="28" t="n"/>
      <x:c r="CT20" s="28" t="n"/>
      <x:c r="CU20" s="28" t="n"/>
      <x:c r="CV20" s="28" t="n"/>
      <x:c r="CW20" s="28" t="n"/>
      <x:c r="CX20" s="28" t="n"/>
      <x:c r="CY20" s="28" t="n"/>
      <x:c r="CZ20" s="28" t="n"/>
      <x:c r="DA20" s="28" t="n"/>
      <x:c r="DB20" s="28" t="n"/>
      <x:c r="DC20" s="28" t="n"/>
      <x:c r="DD20" s="28" t="n"/>
      <x:c r="DE20" s="28" t="n"/>
      <x:c r="DF20" s="28" t="n"/>
      <x:c r="DG20" s="28" t="n"/>
      <x:c r="DH20" s="28" t="n"/>
      <x:c r="DI20" s="28" t="n"/>
      <x:c r="DJ20" s="28" t="n"/>
      <x:c r="DK20" s="28" t="n"/>
      <x:c r="DL20" s="28" t="n"/>
      <x:c r="DM20" s="28" t="n"/>
      <x:c r="DN20" s="28" t="n"/>
      <x:c r="DO20" s="28" t="n"/>
      <x:c r="DP20" s="28" t="n"/>
      <x:c r="DQ20" s="28" t="n"/>
      <x:c r="DR20" s="28" t="n"/>
      <x:c r="DS20" s="28" t="n"/>
      <x:c r="DT20" s="28" t="n"/>
      <x:c r="DU20" s="28" t="n"/>
      <x:c r="DV20" s="28" t="n"/>
      <x:c r="DW20" s="28" t="n"/>
      <x:c r="DX20" s="28" t="n"/>
      <x:c r="DY20" s="28" t="n"/>
      <x:c r="DZ20" s="28" t="n"/>
      <x:c r="EA20" s="28" t="n"/>
      <x:c r="EB20" s="28" t="n"/>
      <x:c r="EC20" s="28" t="n"/>
      <x:c r="ED20" s="28" t="n"/>
      <x:c r="EE20" s="28" t="n"/>
      <x:c r="EF20" s="28" t="n"/>
      <x:c r="EG20" s="28" t="n"/>
      <x:c r="EH20" s="28" t="n"/>
      <x:c r="EI20" s="28" t="n"/>
      <x:c r="EJ20" s="28" t="n"/>
      <x:c r="EK20" s="28" t="n"/>
      <x:c r="EL20" s="28" t="n"/>
      <x:c r="EM20" s="28" t="n"/>
      <x:c r="EN20" s="28" t="n"/>
      <x:c r="EO20" s="28" t="n"/>
      <x:c r="EP20" s="28" t="n"/>
      <x:c r="EQ20" s="28" t="n"/>
      <x:c r="ER20" s="28" t="n"/>
      <x:c r="ES20" s="28" t="n"/>
      <x:c r="ET20" s="28" t="n"/>
      <x:c r="EU20" s="28" t="n"/>
      <x:c r="EV20" s="28" t="n"/>
      <x:c r="EW20" s="28" t="n"/>
      <x:c r="EX20" s="28" t="n"/>
      <x:c r="EY20" s="28" t="n"/>
      <x:c r="EZ20" s="28" t="n"/>
      <x:c r="FA20" s="28" t="n"/>
      <x:c r="FB20" s="28" t="n"/>
      <x:c r="FC20" s="28" t="n"/>
      <x:c r="FD20" s="28" t="n"/>
      <x:c r="FE20" s="28" t="n"/>
      <x:c r="FF20" s="28" t="n"/>
      <x:c r="FG20" s="28" t="n"/>
      <x:c r="FH20" s="28" t="n"/>
      <x:c r="FI20" s="28" t="n"/>
      <x:c r="FJ20" s="28" t="n"/>
      <x:c r="FK20" s="28" t="n"/>
      <x:c r="FL20" s="28" t="n"/>
      <x:c r="FM20" s="28" t="n"/>
      <x:c r="FN20" s="28" t="n"/>
      <x:c r="FO20" s="28" t="n"/>
      <x:c r="FP20" s="28" t="n"/>
      <x:c r="FQ20" s="28" t="n"/>
      <x:c r="FR20" s="28" t="n"/>
      <x:c r="FS20" s="28" t="n"/>
      <x:c r="FT20" s="28" t="n"/>
      <x:c r="FU20" s="28" t="n"/>
      <x:c r="FV20" s="28" t="n"/>
      <x:c r="FW20" s="28" t="n"/>
      <x:c r="FX20" s="28" t="n"/>
      <x:c r="FY20" s="28" t="n"/>
      <x:c r="FZ20" s="28" t="n"/>
    </x:row>
    <x:row r="21" s="27" customFormat="1">
      <x:c r="A21" s="38" t="n"/>
      <x:c r="B21" s="37" t="n"/>
      <x:c r="C21" s="36" t="n">
        <x:f>E21*D$5</x:f>
        <x:v>-68.808006932</x:v>
      </x:c>
      <x:c r="D21" s="410" t="inlineStr">
        <x:is>
          <x:t xml:space="preserve">J. W. Klopfenstein</x:t>
        </x:is>
      </x:c>
      <x:c r="E21" s="411" t="n">
        <x:f>SUM(G21:HT21)</x:f>
        <x:v>-0.9132998</x:v>
      </x:c>
      <x:c r="F21" s="35" t="inlineStr">
        <x:is>
          <x:t xml:space="preserve"/>
        </x:is>
      </x:c>
      <x:c r="G21" s="121" t="n"/>
      <x:c r="H21" s="121" t="n"/>
      <x:c r="I21" s="121" t="n"/>
      <x:c r="J21" s="121" t="n"/>
      <x:c r="K21" s="121" t="n"/>
      <x:c r="L21" s="121" t="n"/>
      <x:c r="M21" s="121" t="n"/>
      <x:c r="N21" s="121" t="n"/>
      <x:c r="O21" s="121" t="n"/>
      <x:c r="P21" s="128" t="n"/>
      <x:c r="Q21" s="128" t="n"/>
      <x:c r="R21" s="123" t="n"/>
      <x:c r="S21" s="129" t="n"/>
      <x:c r="T21" s="121" t="n">
        <x:v>0.08670020000000001</x:v>
      </x:c>
      <x:c r="U21" s="121" t="n"/>
      <x:c r="V21" s="121" t="n"/>
      <x:c r="W21" s="121" t="n"/>
      <x:c r="X21" s="121" t="n"/>
      <x:c r="Y21" s="121" t="n">
        <x:v>-1</x:v>
      </x:c>
      <x:c r="Z21" s="121" t="n"/>
      <x:c r="AA21" s="121" t="n"/>
      <x:c r="AB21" s="121" t="n"/>
      <x:c r="AC21" s="121" t="n"/>
      <x:c r="AD21" s="123" t="n"/>
      <x:c r="AE21" s="123" t="n"/>
      <x:c r="AF21" s="123" t="n"/>
      <x:c r="AG21" s="123" t="n"/>
      <x:c r="AH21" s="123" t="n"/>
      <x:c r="AI21" s="123" t="n"/>
      <x:c r="AJ21" s="123" t="n"/>
      <x:c r="AK21" s="121" t="n"/>
      <x:c r="AL21" s="123" t="n"/>
      <x:c r="AM21" s="122" t="n"/>
      <x:c r="AN21" s="123" t="n"/>
      <x:c r="AO21" s="121" t="n"/>
      <x:c r="AP21" s="121" t="n"/>
      <x:c r="AQ21" s="28" t="n"/>
      <x:c r="AR21" s="28" t="n"/>
      <x:c r="AS21" s="28" t="n"/>
      <x:c r="AT21" s="28" t="n"/>
      <x:c r="AU21" s="28" t="n"/>
      <x:c r="AV21" s="28" t="n"/>
      <x:c r="AW21" s="28" t="n"/>
      <x:c r="AX21" s="28" t="n"/>
      <x:c r="AY21" s="28" t="n"/>
      <x:c r="AZ21" s="28" t="n"/>
      <x:c r="BA21" s="28" t="n"/>
      <x:c r="BB21" s="28" t="n"/>
      <x:c r="BC21" s="28" t="n"/>
      <x:c r="BD21" s="28" t="n"/>
      <x:c r="BE21" s="28" t="n"/>
      <x:c r="BF21" s="28" t="n"/>
      <x:c r="BG21" s="28" t="n"/>
      <x:c r="BH21" s="28" t="n"/>
      <x:c r="BI21" s="28" t="n"/>
      <x:c r="BJ21" s="28" t="n"/>
      <x:c r="BK21" s="28" t="n"/>
      <x:c r="BL21" s="28" t="n"/>
      <x:c r="BM21" s="28" t="n"/>
      <x:c r="BN21" s="28" t="n"/>
      <x:c r="BO21" s="28" t="n"/>
      <x:c r="BP21" s="28" t="n"/>
      <x:c r="BQ21" s="28" t="n"/>
      <x:c r="BR21" s="28" t="n"/>
      <x:c r="BS21" s="28" t="n"/>
      <x:c r="BT21" s="28" t="n"/>
      <x:c r="BU21" s="28" t="n"/>
      <x:c r="BV21" s="28" t="n"/>
      <x:c r="BW21" s="28" t="n"/>
      <x:c r="BX21" s="28" t="n"/>
      <x:c r="BY21" s="28" t="n"/>
      <x:c r="BZ21" s="28" t="n"/>
      <x:c r="CA21" s="28" t="n"/>
      <x:c r="CB21" s="28" t="n"/>
      <x:c r="CC21" s="28" t="n"/>
      <x:c r="CD21" s="28" t="n"/>
      <x:c r="CE21" s="28" t="n"/>
      <x:c r="CF21" s="28" t="n"/>
      <x:c r="CG21" s="28" t="n"/>
      <x:c r="CH21" s="28" t="n"/>
      <x:c r="CI21" s="28" t="n"/>
      <x:c r="CJ21" s="28" t="n"/>
      <x:c r="CK21" s="28" t="n"/>
      <x:c r="CL21" s="28" t="n"/>
      <x:c r="CM21" s="28" t="n"/>
      <x:c r="CN21" s="28" t="n"/>
      <x:c r="CO21" s="28" t="n"/>
      <x:c r="CP21" s="28" t="n"/>
      <x:c r="CQ21" s="28" t="n"/>
      <x:c r="CR21" s="28" t="n"/>
      <x:c r="CS21" s="28" t="n"/>
      <x:c r="CT21" s="28" t="n"/>
      <x:c r="CU21" s="28" t="n"/>
      <x:c r="CV21" s="28" t="n"/>
      <x:c r="CW21" s="28" t="n"/>
      <x:c r="CX21" s="28" t="n"/>
      <x:c r="CY21" s="28" t="n"/>
      <x:c r="CZ21" s="28" t="n"/>
      <x:c r="DA21" s="28" t="n"/>
      <x:c r="DB21" s="28" t="n"/>
      <x:c r="DC21" s="28" t="n"/>
      <x:c r="DD21" s="28" t="n"/>
      <x:c r="DE21" s="28" t="n"/>
      <x:c r="DF21" s="28" t="n"/>
      <x:c r="DG21" s="28" t="n"/>
      <x:c r="DH21" s="28" t="n"/>
      <x:c r="DI21" s="28" t="n"/>
      <x:c r="DJ21" s="28" t="n"/>
      <x:c r="DK21" s="28" t="n"/>
      <x:c r="DL21" s="28" t="n"/>
      <x:c r="DM21" s="28" t="n"/>
      <x:c r="DN21" s="28" t="n"/>
      <x:c r="DO21" s="28" t="n"/>
      <x:c r="DP21" s="28" t="n"/>
      <x:c r="DQ21" s="28" t="n"/>
      <x:c r="DR21" s="28" t="n"/>
      <x:c r="DS21" s="28" t="n"/>
      <x:c r="DT21" s="28" t="n"/>
      <x:c r="DU21" s="28" t="n"/>
      <x:c r="DV21" s="28" t="n"/>
      <x:c r="DW21" s="28" t="n"/>
      <x:c r="DX21" s="28" t="n"/>
      <x:c r="DY21" s="28" t="n"/>
      <x:c r="DZ21" s="28" t="n"/>
      <x:c r="EA21" s="28" t="n"/>
      <x:c r="EB21" s="28" t="n"/>
      <x:c r="EC21" s="28" t="n"/>
      <x:c r="ED21" s="28" t="n"/>
      <x:c r="EE21" s="28" t="n"/>
      <x:c r="EF21" s="28" t="n"/>
      <x:c r="EG21" s="28" t="n"/>
      <x:c r="EH21" s="28" t="n"/>
      <x:c r="EI21" s="28" t="n"/>
      <x:c r="EJ21" s="28" t="n"/>
      <x:c r="EK21" s="28" t="n"/>
      <x:c r="EL21" s="28" t="n"/>
      <x:c r="EM21" s="28" t="n"/>
      <x:c r="EN21" s="28" t="n"/>
      <x:c r="EO21" s="28" t="n"/>
      <x:c r="EP21" s="28" t="n"/>
      <x:c r="EQ21" s="28" t="n"/>
      <x:c r="ER21" s="28" t="n"/>
      <x:c r="ES21" s="28" t="n"/>
      <x:c r="ET21" s="28" t="n"/>
      <x:c r="EU21" s="28" t="n"/>
      <x:c r="EV21" s="28" t="n"/>
      <x:c r="EW21" s="28" t="n"/>
      <x:c r="EX21" s="28" t="n"/>
      <x:c r="EY21" s="28" t="n"/>
      <x:c r="EZ21" s="28" t="n"/>
      <x:c r="FA21" s="28" t="n"/>
      <x:c r="FB21" s="28" t="n"/>
      <x:c r="FC21" s="28" t="n"/>
      <x:c r="FD21" s="28" t="n"/>
      <x:c r="FE21" s="28" t="n"/>
      <x:c r="FF21" s="28" t="n"/>
      <x:c r="FG21" s="28" t="n"/>
      <x:c r="FH21" s="28" t="n"/>
      <x:c r="FI21" s="28" t="n"/>
      <x:c r="FJ21" s="28" t="n"/>
      <x:c r="FK21" s="28" t="n"/>
      <x:c r="FL21" s="28" t="n"/>
      <x:c r="FM21" s="28" t="n"/>
      <x:c r="FN21" s="28" t="n"/>
      <x:c r="FO21" s="28" t="n"/>
      <x:c r="FP21" s="28" t="n"/>
      <x:c r="FQ21" s="28" t="n"/>
      <x:c r="FR21" s="28" t="n"/>
      <x:c r="FS21" s="28" t="n"/>
      <x:c r="FT21" s="28" t="n"/>
      <x:c r="FU21" s="28" t="n"/>
      <x:c r="FV21" s="28" t="n"/>
      <x:c r="FW21" s="28" t="n"/>
      <x:c r="FX21" s="28" t="n"/>
      <x:c r="FY21" s="28" t="n"/>
      <x:c r="FZ21" s="28" t="n"/>
    </x:row>
    <x:row r="22" s="27" customFormat="1">
      <x:c r="A22" s="38" t="n"/>
      <x:c r="B22" s="37" t="n"/>
      <x:c r="C22" s="86" t="n">
        <x:f>E22*D$5</x:f>
        <x:v>-56.505</x:v>
      </x:c>
      <x:c r="D22" s="410" t="inlineStr">
        <x:is>
          <x:t xml:space="preserve">Marvin Mitchell Williams</x:t>
        </x:is>
      </x:c>
      <x:c r="E22" s="413" t="n">
        <x:f>SUM(G22:HT22)</x:f>
        <x:v>-0.75</x:v>
      </x:c>
      <x:c r="F22" s="35" t="inlineStr">
        <x:is>
          <x:t xml:space="preserve"/>
        </x:is>
      </x:c>
      <x:c r="G22" s="121" t="n"/>
      <x:c r="H22" s="121" t="n"/>
      <x:c r="I22" s="121" t="n"/>
      <x:c r="J22" s="121" t="n"/>
      <x:c r="K22" s="121" t="n"/>
      <x:c r="L22" s="121" t="n"/>
      <x:c r="M22" s="121" t="n"/>
      <x:c r="N22" s="121" t="n"/>
      <x:c r="O22" s="121" t="n"/>
      <x:c r="P22" s="128" t="n"/>
      <x:c r="Q22" s="128" t="n"/>
      <x:c r="R22" s="123" t="n"/>
      <x:c r="S22" s="129" t="n"/>
      <x:c r="T22" s="121" t="n"/>
      <x:c r="U22" s="121" t="n">
        <x:v>0.25</x:v>
      </x:c>
      <x:c r="V22" s="121" t="n"/>
      <x:c r="W22" s="121" t="n"/>
      <x:c r="X22" s="121" t="n">
        <x:v>-1</x:v>
      </x:c>
      <x:c r="Y22" s="121" t="n"/>
      <x:c r="Z22" s="121" t="n"/>
      <x:c r="AA22" s="121" t="n"/>
      <x:c r="AB22" s="121" t="n"/>
      <x:c r="AC22" s="121" t="n"/>
      <x:c r="AD22" s="123" t="n"/>
      <x:c r="AE22" s="123" t="n"/>
      <x:c r="AF22" s="123" t="n"/>
      <x:c r="AG22" s="123" t="n"/>
      <x:c r="AH22" s="123" t="n"/>
      <x:c r="AI22" s="123" t="n"/>
      <x:c r="AJ22" s="123" t="n"/>
      <x:c r="AK22" s="121" t="n"/>
      <x:c r="AL22" s="123" t="n"/>
      <x:c r="AM22" s="122" t="n"/>
      <x:c r="AN22" s="123" t="n"/>
      <x:c r="AO22" s="121" t="n"/>
      <x:c r="AP22" s="121" t="n"/>
      <x:c r="AQ22" s="28" t="n"/>
      <x:c r="AR22" s="28" t="n"/>
      <x:c r="AS22" s="28" t="n"/>
      <x:c r="AT22" s="28" t="n"/>
      <x:c r="AU22" s="28" t="n"/>
      <x:c r="AV22" s="28" t="n"/>
      <x:c r="AW22" s="28" t="n"/>
      <x:c r="AX22" s="28" t="n"/>
      <x:c r="AY22" s="28" t="n"/>
      <x:c r="AZ22" s="28" t="n"/>
      <x:c r="BA22" s="28" t="n"/>
      <x:c r="BB22" s="28" t="n"/>
      <x:c r="BC22" s="28" t="n"/>
      <x:c r="BD22" s="28" t="n"/>
      <x:c r="BE22" s="28" t="n"/>
      <x:c r="BF22" s="28" t="n"/>
      <x:c r="BG22" s="28" t="n"/>
      <x:c r="BH22" s="28" t="n"/>
      <x:c r="BI22" s="28" t="n"/>
      <x:c r="BJ22" s="28" t="n"/>
      <x:c r="BK22" s="28" t="n"/>
      <x:c r="BL22" s="28" t="n"/>
      <x:c r="BM22" s="28" t="n"/>
      <x:c r="BN22" s="28" t="n"/>
      <x:c r="BO22" s="28" t="n"/>
      <x:c r="BP22" s="28" t="n"/>
      <x:c r="BQ22" s="28" t="n"/>
      <x:c r="BR22" s="28" t="n"/>
      <x:c r="BS22" s="28" t="n"/>
      <x:c r="BT22" s="28" t="n"/>
      <x:c r="BU22" s="28" t="n"/>
      <x:c r="BV22" s="28" t="n"/>
      <x:c r="BW22" s="28" t="n"/>
      <x:c r="BX22" s="28" t="n"/>
      <x:c r="BY22" s="28" t="n"/>
      <x:c r="BZ22" s="28" t="n"/>
      <x:c r="CA22" s="28" t="n"/>
      <x:c r="CB22" s="28" t="n"/>
      <x:c r="CC22" s="28" t="n"/>
      <x:c r="CD22" s="28" t="n"/>
      <x:c r="CE22" s="28" t="n"/>
      <x:c r="CF22" s="28" t="n"/>
      <x:c r="CG22" s="28" t="n"/>
      <x:c r="CH22" s="28" t="n"/>
      <x:c r="CI22" s="28" t="n"/>
      <x:c r="CJ22" s="28" t="n"/>
      <x:c r="CK22" s="28" t="n"/>
      <x:c r="CL22" s="28" t="n"/>
      <x:c r="CM22" s="28" t="n"/>
      <x:c r="CN22" s="28" t="n"/>
      <x:c r="CO22" s="28" t="n"/>
      <x:c r="CP22" s="28" t="n"/>
      <x:c r="CQ22" s="28" t="n"/>
      <x:c r="CR22" s="28" t="n"/>
      <x:c r="CS22" s="28" t="n"/>
      <x:c r="CT22" s="28" t="n"/>
      <x:c r="CU22" s="28" t="n"/>
      <x:c r="CV22" s="28" t="n"/>
      <x:c r="CW22" s="28" t="n"/>
      <x:c r="CX22" s="28" t="n"/>
      <x:c r="CY22" s="28" t="n"/>
      <x:c r="CZ22" s="28" t="n"/>
      <x:c r="DA22" s="28" t="n"/>
      <x:c r="DB22" s="28" t="n"/>
      <x:c r="DC22" s="28" t="n"/>
      <x:c r="DD22" s="28" t="n"/>
      <x:c r="DE22" s="28" t="n"/>
      <x:c r="DF22" s="28" t="n"/>
      <x:c r="DG22" s="28" t="n"/>
      <x:c r="DH22" s="28" t="n"/>
      <x:c r="DI22" s="28" t="n"/>
      <x:c r="DJ22" s="28" t="n"/>
      <x:c r="DK22" s="28" t="n"/>
      <x:c r="DL22" s="28" t="n"/>
      <x:c r="DM22" s="28" t="n"/>
      <x:c r="DN22" s="28" t="n"/>
      <x:c r="DO22" s="28" t="n"/>
      <x:c r="DP22" s="28" t="n"/>
      <x:c r="DQ22" s="28" t="n"/>
      <x:c r="DR22" s="28" t="n"/>
      <x:c r="DS22" s="28" t="n"/>
      <x:c r="DT22" s="28" t="n"/>
      <x:c r="DU22" s="28" t="n"/>
      <x:c r="DV22" s="28" t="n"/>
      <x:c r="DW22" s="28" t="n"/>
      <x:c r="DX22" s="28" t="n"/>
      <x:c r="DY22" s="28" t="n"/>
      <x:c r="DZ22" s="28" t="n"/>
      <x:c r="EA22" s="28" t="n"/>
      <x:c r="EB22" s="28" t="n"/>
      <x:c r="EC22" s="28" t="n"/>
      <x:c r="ED22" s="28" t="n"/>
      <x:c r="EE22" s="28" t="n"/>
      <x:c r="EF22" s="28" t="n"/>
      <x:c r="EG22" s="28" t="n"/>
      <x:c r="EH22" s="28" t="n"/>
      <x:c r="EI22" s="28" t="n"/>
      <x:c r="EJ22" s="28" t="n"/>
      <x:c r="EK22" s="28" t="n"/>
      <x:c r="EL22" s="28" t="n"/>
      <x:c r="EM22" s="28" t="n"/>
      <x:c r="EN22" s="28" t="n"/>
      <x:c r="EO22" s="28" t="n"/>
      <x:c r="EP22" s="28" t="n"/>
      <x:c r="EQ22" s="28" t="n"/>
      <x:c r="ER22" s="28" t="n"/>
      <x:c r="ES22" s="28" t="n"/>
      <x:c r="ET22" s="28" t="n"/>
      <x:c r="EU22" s="28" t="n"/>
      <x:c r="EV22" s="28" t="n"/>
      <x:c r="EW22" s="28" t="n"/>
      <x:c r="EX22" s="28" t="n"/>
      <x:c r="EY22" s="28" t="n"/>
      <x:c r="EZ22" s="28" t="n"/>
      <x:c r="FA22" s="28" t="n"/>
      <x:c r="FB22" s="28" t="n"/>
      <x:c r="FC22" s="28" t="n"/>
      <x:c r="FD22" s="28" t="n"/>
      <x:c r="FE22" s="28" t="n"/>
      <x:c r="FF22" s="28" t="n"/>
      <x:c r="FG22" s="28" t="n"/>
      <x:c r="FH22" s="28" t="n"/>
      <x:c r="FI22" s="28" t="n"/>
      <x:c r="FJ22" s="28" t="n"/>
      <x:c r="FK22" s="28" t="n"/>
      <x:c r="FL22" s="28" t="n"/>
      <x:c r="FM22" s="28" t="n"/>
      <x:c r="FN22" s="28" t="n"/>
      <x:c r="FO22" s="28" t="n"/>
      <x:c r="FP22" s="28" t="n"/>
      <x:c r="FQ22" s="28" t="n"/>
      <x:c r="FR22" s="28" t="n"/>
      <x:c r="FS22" s="28" t="n"/>
      <x:c r="FT22" s="28" t="n"/>
      <x:c r="FU22" s="28" t="n"/>
      <x:c r="FV22" s="28" t="n"/>
      <x:c r="FW22" s="28" t="n"/>
      <x:c r="FX22" s="28" t="n"/>
      <x:c r="FY22" s="28" t="n"/>
      <x:c r="FZ22" s="28" t="n"/>
    </x:row>
    <x:row r="23" s="27" customFormat="1">
      <x:c r="A23" s="125" t="n"/>
      <x:c r="B23" s="39" t="n"/>
      <x:c r="C23" s="86" t="n">
        <x:f>E23*D$5</x:f>
        <x:v>18.835</x:v>
      </x:c>
      <x:c r="D23" s="4" t="inlineStr">
        <x:is>
          <x:t xml:space="preserve">Gena Williams</x:t>
        </x:is>
      </x:c>
      <x:c r="E23" s="86" t="n">
        <x:f>SUM(G23:HT23)</x:f>
        <x:v>0.25</x:v>
      </x:c>
      <x:c r="F23" s="35" t="inlineStr">
        <x:is>
          <x:t xml:space="preserve"/>
        </x:is>
      </x:c>
      <x:c r="G23" s="121" t="n"/>
      <x:c r="H23" s="121" t="n"/>
      <x:c r="I23" s="121" t="n"/>
      <x:c r="J23" s="121" t="n"/>
      <x:c r="K23" s="121" t="n"/>
      <x:c r="L23" s="121" t="n"/>
      <x:c r="M23" s="121" t="n"/>
      <x:c r="N23" s="121" t="n"/>
      <x:c r="O23" s="121" t="n"/>
      <x:c r="P23" s="121" t="n"/>
      <x:c r="Q23" s="124" t="n"/>
      <x:c r="R23" s="123" t="n"/>
      <x:c r="S23" s="121" t="n"/>
      <x:c r="T23" s="129" t="n"/>
      <x:c r="U23" s="121" t="n">
        <x:v>0.25</x:v>
      </x:c>
      <x:c r="V23" s="121" t="n"/>
      <x:c r="W23" s="121" t="n"/>
      <x:c r="X23" s="121" t="n"/>
      <x:c r="Y23" s="121" t="n"/>
      <x:c r="Z23" s="121" t="n"/>
      <x:c r="AA23" s="121" t="n"/>
      <x:c r="AB23" s="121" t="n"/>
      <x:c r="AC23" s="121" t="n"/>
      <x:c r="AD23" s="123" t="n"/>
      <x:c r="AE23" s="123" t="n"/>
      <x:c r="AF23" s="123" t="n"/>
      <x:c r="AG23" s="123" t="n"/>
      <x:c r="AH23" s="123" t="n"/>
      <x:c r="AI23" s="123" t="n"/>
      <x:c r="AJ23" s="123" t="n"/>
      <x:c r="AK23" s="121" t="n"/>
      <x:c r="AL23" s="123" t="n"/>
      <x:c r="AM23" s="122" t="n"/>
      <x:c r="AN23" s="123" t="n"/>
      <x:c r="AO23" s="121" t="n"/>
      <x:c r="AP23" s="121" t="n"/>
      <x:c r="AQ23" s="28" t="n"/>
      <x:c r="AR23" s="28" t="n"/>
      <x:c r="AS23" s="28" t="n"/>
      <x:c r="AT23" s="28" t="n"/>
      <x:c r="AU23" s="28" t="n"/>
      <x:c r="AV23" s="28" t="n"/>
      <x:c r="AW23" s="28" t="n"/>
      <x:c r="AX23" s="28" t="n"/>
      <x:c r="AY23" s="28" t="n"/>
      <x:c r="AZ23" s="28" t="n"/>
      <x:c r="BA23" s="28" t="n"/>
      <x:c r="BB23" s="28" t="n"/>
      <x:c r="BC23" s="28" t="n"/>
      <x:c r="BD23" s="28" t="n"/>
      <x:c r="BE23" s="28" t="n"/>
      <x:c r="BF23" s="28" t="n"/>
      <x:c r="BG23" s="28" t="n"/>
      <x:c r="BH23" s="28" t="n"/>
      <x:c r="BI23" s="28" t="n"/>
      <x:c r="BJ23" s="28" t="n"/>
      <x:c r="BK23" s="28" t="n"/>
      <x:c r="BL23" s="28" t="n"/>
      <x:c r="BM23" s="28" t="n"/>
      <x:c r="BN23" s="28" t="n"/>
      <x:c r="BO23" s="28" t="n"/>
      <x:c r="BP23" s="28" t="n"/>
      <x:c r="BQ23" s="28" t="n"/>
      <x:c r="BR23" s="28" t="n"/>
      <x:c r="BS23" s="28" t="n"/>
      <x:c r="BT23" s="28" t="n"/>
      <x:c r="BU23" s="28" t="n"/>
      <x:c r="BV23" s="28" t="n"/>
      <x:c r="BW23" s="28" t="n"/>
      <x:c r="BX23" s="28" t="n"/>
      <x:c r="BY23" s="28" t="n"/>
      <x:c r="BZ23" s="28" t="n"/>
      <x:c r="CA23" s="28" t="n"/>
      <x:c r="CB23" s="28" t="n"/>
      <x:c r="CC23" s="28" t="n"/>
      <x:c r="CD23" s="28" t="n"/>
      <x:c r="CE23" s="28" t="n"/>
      <x:c r="CF23" s="28" t="n"/>
      <x:c r="CG23" s="28" t="n"/>
      <x:c r="CH23" s="28" t="n"/>
      <x:c r="CI23" s="28" t="n"/>
      <x:c r="CJ23" s="28" t="n"/>
      <x:c r="CK23" s="28" t="n"/>
      <x:c r="CL23" s="28" t="n"/>
      <x:c r="CM23" s="28" t="n"/>
      <x:c r="CN23" s="28" t="n"/>
      <x:c r="CO23" s="28" t="n"/>
      <x:c r="CP23" s="28" t="n"/>
      <x:c r="CQ23" s="28" t="n"/>
      <x:c r="CR23" s="28" t="n"/>
      <x:c r="CS23" s="28" t="n"/>
      <x:c r="CT23" s="28" t="n"/>
      <x:c r="CU23" s="28" t="n"/>
      <x:c r="CV23" s="28" t="n"/>
      <x:c r="CW23" s="28" t="n"/>
      <x:c r="CX23" s="28" t="n"/>
      <x:c r="CY23" s="28" t="n"/>
      <x:c r="CZ23" s="28" t="n"/>
      <x:c r="DA23" s="28" t="n"/>
      <x:c r="DB23" s="28" t="n"/>
      <x:c r="DC23" s="28" t="n"/>
      <x:c r="DD23" s="28" t="n"/>
      <x:c r="DE23" s="28" t="n"/>
      <x:c r="DF23" s="28" t="n"/>
      <x:c r="DG23" s="28" t="n"/>
      <x:c r="DH23" s="28" t="n"/>
      <x:c r="DI23" s="28" t="n"/>
      <x:c r="DJ23" s="28" t="n"/>
      <x:c r="DK23" s="28" t="n"/>
      <x:c r="DL23" s="28" t="n"/>
      <x:c r="DM23" s="28" t="n"/>
      <x:c r="DN23" s="28" t="n"/>
      <x:c r="DO23" s="28" t="n"/>
      <x:c r="DP23" s="28" t="n"/>
      <x:c r="DQ23" s="28" t="n"/>
      <x:c r="DR23" s="28" t="n"/>
      <x:c r="DS23" s="28" t="n"/>
      <x:c r="DT23" s="28" t="n"/>
      <x:c r="DU23" s="28" t="n"/>
      <x:c r="DV23" s="28" t="n"/>
      <x:c r="DW23" s="28" t="n"/>
      <x:c r="DX23" s="28" t="n"/>
      <x:c r="DY23" s="28" t="n"/>
      <x:c r="DZ23" s="28" t="n"/>
      <x:c r="EA23" s="28" t="n"/>
      <x:c r="EB23" s="28" t="n"/>
      <x:c r="EC23" s="28" t="n"/>
      <x:c r="ED23" s="28" t="n"/>
      <x:c r="EE23" s="28" t="n"/>
      <x:c r="EF23" s="28" t="n"/>
      <x:c r="EG23" s="28" t="n"/>
      <x:c r="EH23" s="28" t="n"/>
      <x:c r="EI23" s="28" t="n"/>
      <x:c r="EJ23" s="28" t="n"/>
      <x:c r="EK23" s="28" t="n"/>
      <x:c r="EL23" s="28" t="n"/>
      <x:c r="EM23" s="28" t="n"/>
      <x:c r="EN23" s="28" t="n"/>
      <x:c r="EO23" s="28" t="n"/>
      <x:c r="EP23" s="28" t="n"/>
      <x:c r="EQ23" s="28" t="n"/>
      <x:c r="ER23" s="28" t="n"/>
      <x:c r="ES23" s="28" t="n"/>
      <x:c r="ET23" s="28" t="n"/>
      <x:c r="EU23" s="28" t="n"/>
      <x:c r="EV23" s="28" t="n"/>
      <x:c r="EW23" s="28" t="n"/>
      <x:c r="EX23" s="28" t="n"/>
      <x:c r="EY23" s="28" t="n"/>
      <x:c r="EZ23" s="28" t="n"/>
      <x:c r="FA23" s="28" t="n"/>
      <x:c r="FB23" s="28" t="n"/>
      <x:c r="FC23" s="28" t="n"/>
      <x:c r="FD23" s="28" t="n"/>
      <x:c r="FE23" s="28" t="n"/>
      <x:c r="FF23" s="28" t="n"/>
      <x:c r="FG23" s="28" t="n"/>
      <x:c r="FH23" s="28" t="n"/>
      <x:c r="FI23" s="28" t="n"/>
      <x:c r="FJ23" s="28" t="n"/>
      <x:c r="FK23" s="28" t="n"/>
      <x:c r="FL23" s="28" t="n"/>
      <x:c r="FM23" s="28" t="n"/>
      <x:c r="FN23" s="28" t="n"/>
      <x:c r="FO23" s="28" t="n"/>
      <x:c r="FP23" s="28" t="n"/>
      <x:c r="FQ23" s="28" t="n"/>
      <x:c r="FR23" s="28" t="n"/>
      <x:c r="FS23" s="28" t="n"/>
      <x:c r="FT23" s="28" t="n"/>
      <x:c r="FU23" s="28" t="n"/>
      <x:c r="FV23" s="28" t="n"/>
      <x:c r="FW23" s="28" t="n"/>
      <x:c r="FX23" s="28" t="n"/>
      <x:c r="FY23" s="28" t="n"/>
      <x:c r="FZ23" s="28" t="n"/>
    </x:row>
    <x:row r="24" s="27" customFormat="1">
      <x:c r="A24" s="125" t="n"/>
      <x:c r="B24" s="39" t="n"/>
      <x:c r="C24" s="86" t="n">
        <x:f>E24*D$5</x:f>
        <x:v>18.835</x:v>
      </x:c>
      <x:c r="D24" s="103" t="inlineStr">
        <x:is>
          <x:t xml:space="preserve">Carrie Leeann Williams</x:t>
        </x:is>
      </x:c>
      <x:c r="E24" s="86" t="n">
        <x:f>SUM(G24:HT24)</x:f>
        <x:v>0.25</x:v>
      </x:c>
      <x:c r="F24" s="35" t="inlineStr">
        <x:is>
          <x:t xml:space="preserve"/>
        </x:is>
      </x:c>
      <x:c r="G24" s="121" t="n"/>
      <x:c r="H24" s="121" t="n"/>
      <x:c r="I24" s="121" t="n"/>
      <x:c r="J24" s="121" t="n"/>
      <x:c r="K24" s="121" t="n"/>
      <x:c r="L24" s="121" t="n"/>
      <x:c r="M24" s="121" t="n"/>
      <x:c r="N24" s="121" t="n"/>
      <x:c r="O24" s="121" t="n"/>
      <x:c r="P24" s="121" t="n"/>
      <x:c r="Q24" s="124" t="n"/>
      <x:c r="R24" s="123" t="n"/>
      <x:c r="S24" s="121" t="n"/>
      <x:c r="T24" s="129" t="n"/>
      <x:c r="U24" s="121" t="n">
        <x:v>0.25</x:v>
      </x:c>
      <x:c r="V24" s="121" t="n"/>
      <x:c r="W24" s="121" t="n"/>
      <x:c r="X24" s="121" t="n"/>
      <x:c r="Y24" s="121" t="n"/>
      <x:c r="Z24" s="121" t="n"/>
      <x:c r="AA24" s="121" t="n"/>
      <x:c r="AB24" s="121" t="n"/>
      <x:c r="AC24" s="121" t="n"/>
      <x:c r="AD24" s="123" t="n"/>
      <x:c r="AE24" s="123" t="n"/>
      <x:c r="AF24" s="123" t="n"/>
      <x:c r="AG24" s="123" t="n"/>
      <x:c r="AH24" s="123" t="n"/>
      <x:c r="AI24" s="123" t="n"/>
      <x:c r="AJ24" s="123" t="n"/>
      <x:c r="AK24" s="121" t="n"/>
      <x:c r="AL24" s="123" t="n"/>
      <x:c r="AM24" s="122" t="n"/>
      <x:c r="AN24" s="123" t="n"/>
      <x:c r="AO24" s="121" t="n"/>
      <x:c r="AP24" s="121" t="n"/>
      <x:c r="AQ24" s="28" t="n"/>
      <x:c r="AR24" s="28" t="n"/>
      <x:c r="AS24" s="28" t="n"/>
      <x:c r="AT24" s="28" t="n"/>
      <x:c r="AU24" s="28" t="n"/>
      <x:c r="AV24" s="28" t="n"/>
      <x:c r="AW24" s="28" t="n"/>
      <x:c r="AX24" s="28" t="n"/>
      <x:c r="AY24" s="28" t="n"/>
      <x:c r="AZ24" s="28" t="n"/>
      <x:c r="BA24" s="28" t="n"/>
      <x:c r="BB24" s="28" t="n"/>
      <x:c r="BC24" s="28" t="n"/>
      <x:c r="BD24" s="28" t="n"/>
      <x:c r="BE24" s="28" t="n"/>
      <x:c r="BF24" s="28" t="n"/>
      <x:c r="BG24" s="28" t="n"/>
      <x:c r="BH24" s="28" t="n"/>
      <x:c r="BI24" s="28" t="n"/>
      <x:c r="BJ24" s="28" t="n"/>
      <x:c r="BK24" s="28" t="n"/>
      <x:c r="BL24" s="28" t="n"/>
      <x:c r="BM24" s="28" t="n"/>
      <x:c r="BN24" s="28" t="n"/>
      <x:c r="BO24" s="28" t="n"/>
      <x:c r="BP24" s="28" t="n"/>
      <x:c r="BQ24" s="28" t="n"/>
      <x:c r="BR24" s="28" t="n"/>
      <x:c r="BS24" s="28" t="n"/>
      <x:c r="BT24" s="28" t="n"/>
      <x:c r="BU24" s="28" t="n"/>
      <x:c r="BV24" s="28" t="n"/>
      <x:c r="BW24" s="28" t="n"/>
      <x:c r="BX24" s="28" t="n"/>
      <x:c r="BY24" s="28" t="n"/>
      <x:c r="BZ24" s="28" t="n"/>
      <x:c r="CA24" s="28" t="n"/>
      <x:c r="CB24" s="28" t="n"/>
      <x:c r="CC24" s="28" t="n"/>
      <x:c r="CD24" s="28" t="n"/>
      <x:c r="CE24" s="28" t="n"/>
      <x:c r="CF24" s="28" t="n"/>
      <x:c r="CG24" s="28" t="n"/>
      <x:c r="CH24" s="28" t="n"/>
      <x:c r="CI24" s="28" t="n"/>
      <x:c r="CJ24" s="28" t="n"/>
      <x:c r="CK24" s="28" t="n"/>
      <x:c r="CL24" s="28" t="n"/>
      <x:c r="CM24" s="28" t="n"/>
      <x:c r="CN24" s="28" t="n"/>
      <x:c r="CO24" s="28" t="n"/>
      <x:c r="CP24" s="28" t="n"/>
      <x:c r="CQ24" s="28" t="n"/>
      <x:c r="CR24" s="28" t="n"/>
      <x:c r="CS24" s="28" t="n"/>
      <x:c r="CT24" s="28" t="n"/>
      <x:c r="CU24" s="28" t="n"/>
      <x:c r="CV24" s="28" t="n"/>
      <x:c r="CW24" s="28" t="n"/>
      <x:c r="CX24" s="28" t="n"/>
      <x:c r="CY24" s="28" t="n"/>
      <x:c r="CZ24" s="28" t="n"/>
      <x:c r="DA24" s="28" t="n"/>
      <x:c r="DB24" s="28" t="n"/>
      <x:c r="DC24" s="28" t="n"/>
      <x:c r="DD24" s="28" t="n"/>
      <x:c r="DE24" s="28" t="n"/>
      <x:c r="DF24" s="28" t="n"/>
      <x:c r="DG24" s="28" t="n"/>
      <x:c r="DH24" s="28" t="n"/>
      <x:c r="DI24" s="28" t="n"/>
      <x:c r="DJ24" s="28" t="n"/>
      <x:c r="DK24" s="28" t="n"/>
      <x:c r="DL24" s="28" t="n"/>
      <x:c r="DM24" s="28" t="n"/>
      <x:c r="DN24" s="28" t="n"/>
      <x:c r="DO24" s="28" t="n"/>
      <x:c r="DP24" s="28" t="n"/>
      <x:c r="DQ24" s="28" t="n"/>
      <x:c r="DR24" s="28" t="n"/>
      <x:c r="DS24" s="28" t="n"/>
      <x:c r="DT24" s="28" t="n"/>
      <x:c r="DU24" s="28" t="n"/>
      <x:c r="DV24" s="28" t="n"/>
      <x:c r="DW24" s="28" t="n"/>
      <x:c r="DX24" s="28" t="n"/>
      <x:c r="DY24" s="28" t="n"/>
      <x:c r="DZ24" s="28" t="n"/>
      <x:c r="EA24" s="28" t="n"/>
      <x:c r="EB24" s="28" t="n"/>
      <x:c r="EC24" s="28" t="n"/>
      <x:c r="ED24" s="28" t="n"/>
      <x:c r="EE24" s="28" t="n"/>
      <x:c r="EF24" s="28" t="n"/>
      <x:c r="EG24" s="28" t="n"/>
      <x:c r="EH24" s="28" t="n"/>
      <x:c r="EI24" s="28" t="n"/>
      <x:c r="EJ24" s="28" t="n"/>
      <x:c r="EK24" s="28" t="n"/>
      <x:c r="EL24" s="28" t="n"/>
      <x:c r="EM24" s="28" t="n"/>
      <x:c r="EN24" s="28" t="n"/>
      <x:c r="EO24" s="28" t="n"/>
      <x:c r="EP24" s="28" t="n"/>
      <x:c r="EQ24" s="28" t="n"/>
      <x:c r="ER24" s="28" t="n"/>
      <x:c r="ES24" s="28" t="n"/>
      <x:c r="ET24" s="28" t="n"/>
      <x:c r="EU24" s="28" t="n"/>
      <x:c r="EV24" s="28" t="n"/>
      <x:c r="EW24" s="28" t="n"/>
      <x:c r="EX24" s="28" t="n"/>
      <x:c r="EY24" s="28" t="n"/>
      <x:c r="EZ24" s="28" t="n"/>
      <x:c r="FA24" s="28" t="n"/>
      <x:c r="FB24" s="28" t="n"/>
      <x:c r="FC24" s="28" t="n"/>
      <x:c r="FD24" s="28" t="n"/>
      <x:c r="FE24" s="28" t="n"/>
      <x:c r="FF24" s="28" t="n"/>
      <x:c r="FG24" s="28" t="n"/>
      <x:c r="FH24" s="28" t="n"/>
      <x:c r="FI24" s="28" t="n"/>
      <x:c r="FJ24" s="28" t="n"/>
      <x:c r="FK24" s="28" t="n"/>
      <x:c r="FL24" s="28" t="n"/>
      <x:c r="FM24" s="28" t="n"/>
      <x:c r="FN24" s="28" t="n"/>
      <x:c r="FO24" s="28" t="n"/>
      <x:c r="FP24" s="28" t="n"/>
      <x:c r="FQ24" s="28" t="n"/>
      <x:c r="FR24" s="28" t="n"/>
      <x:c r="FS24" s="28" t="n"/>
      <x:c r="FT24" s="28" t="n"/>
      <x:c r="FU24" s="28" t="n"/>
      <x:c r="FV24" s="28" t="n"/>
      <x:c r="FW24" s="28" t="n"/>
      <x:c r="FX24" s="28" t="n"/>
      <x:c r="FY24" s="28" t="n"/>
      <x:c r="FZ24" s="28" t="n"/>
    </x:row>
    <x:row r="25" s="27" customFormat="1">
      <x:c r="A25" s="125" t="n"/>
      <x:c r="B25" s="39" t="n"/>
      <x:c r="C25" s="86" t="n">
        <x:f>E25*D$5</x:f>
        <x:v>18.835</x:v>
      </x:c>
      <x:c r="D25" s="104" t="inlineStr">
        <x:is>
          <x:t xml:space="preserve">Nancy Susan Mitchell</x:t>
        </x:is>
      </x:c>
      <x:c r="E25" s="86" t="n">
        <x:f>SUM(G25:HT25)</x:f>
        <x:v>0.25</x:v>
      </x:c>
      <x:c r="F25" s="35" t="inlineStr">
        <x:is>
          <x:t xml:space="preserve"/>
        </x:is>
      </x:c>
      <x:c r="G25" s="121" t="n"/>
      <x:c r="H25" s="121" t="n"/>
      <x:c r="I25" s="121" t="n"/>
      <x:c r="J25" s="121" t="n"/>
      <x:c r="K25" s="121" t="n"/>
      <x:c r="L25" s="121" t="n"/>
      <x:c r="M25" s="121" t="n"/>
      <x:c r="N25" s="121" t="n"/>
      <x:c r="O25" s="121" t="n"/>
      <x:c r="P25" s="121" t="n"/>
      <x:c r="Q25" s="124" t="n"/>
      <x:c r="R25" s="123" t="n"/>
      <x:c r="S25" s="121" t="n"/>
      <x:c r="T25" s="121" t="n"/>
      <x:c r="U25" s="129" t="n">
        <x:v>0.25</x:v>
      </x:c>
      <x:c r="V25" s="121" t="n"/>
      <x:c r="W25" s="121" t="n"/>
      <x:c r="X25" s="121" t="n"/>
      <x:c r="Y25" s="121" t="n"/>
      <x:c r="Z25" s="121" t="n"/>
      <x:c r="AA25" s="121" t="n"/>
      <x:c r="AB25" s="121" t="n"/>
      <x:c r="AC25" s="121" t="n"/>
      <x:c r="AD25" s="123" t="n"/>
      <x:c r="AE25" s="123" t="n"/>
      <x:c r="AF25" s="123" t="n"/>
      <x:c r="AG25" s="123" t="n"/>
      <x:c r="AH25" s="123" t="n"/>
      <x:c r="AI25" s="6" t="n"/>
      <x:c r="AJ25" s="123" t="n"/>
      <x:c r="AK25" s="121" t="n"/>
      <x:c r="AL25" s="123" t="n"/>
      <x:c r="AM25" s="121" t="n"/>
      <x:c r="AN25" s="123" t="n"/>
      <x:c r="AO25" s="121" t="n"/>
      <x:c r="AP25" s="121" t="n"/>
      <x:c r="AQ25" s="28" t="n"/>
      <x:c r="AR25" s="28" t="n"/>
      <x:c r="AS25" s="28" t="n"/>
      <x:c r="AT25" s="28" t="n"/>
      <x:c r="AU25" s="28" t="n"/>
      <x:c r="AV25" s="28" t="n"/>
      <x:c r="AW25" s="28" t="n"/>
      <x:c r="AX25" s="28" t="n"/>
      <x:c r="AY25" s="28" t="n"/>
      <x:c r="AZ25" s="28" t="n"/>
      <x:c r="BA25" s="28" t="n"/>
      <x:c r="BB25" s="28" t="n"/>
      <x:c r="BC25" s="28" t="n"/>
      <x:c r="BD25" s="28" t="n"/>
      <x:c r="BE25" s="28" t="n"/>
      <x:c r="BF25" s="28" t="n"/>
      <x:c r="BG25" s="28" t="n"/>
      <x:c r="BH25" s="28" t="n"/>
      <x:c r="BI25" s="28" t="n"/>
      <x:c r="BJ25" s="28" t="n"/>
      <x:c r="BK25" s="28" t="n"/>
      <x:c r="BL25" s="28" t="n"/>
      <x:c r="BM25" s="28" t="n"/>
      <x:c r="BN25" s="28" t="n"/>
      <x:c r="BO25" s="28" t="n"/>
      <x:c r="BP25" s="28" t="n"/>
      <x:c r="BQ25" s="28" t="n"/>
      <x:c r="BR25" s="28" t="n"/>
      <x:c r="BS25" s="28" t="n"/>
      <x:c r="BT25" s="28" t="n"/>
      <x:c r="BU25" s="28" t="n"/>
      <x:c r="BV25" s="28" t="n"/>
      <x:c r="BW25" s="28" t="n"/>
      <x:c r="BX25" s="28" t="n"/>
      <x:c r="BY25" s="28" t="n"/>
      <x:c r="BZ25" s="28" t="n"/>
      <x:c r="CA25" s="28" t="n"/>
      <x:c r="CB25" s="28" t="n"/>
      <x:c r="CC25" s="28" t="n"/>
      <x:c r="CD25" s="28" t="n"/>
      <x:c r="CE25" s="28" t="n"/>
      <x:c r="CF25" s="28" t="n"/>
      <x:c r="CG25" s="28" t="n"/>
      <x:c r="CH25" s="28" t="n"/>
      <x:c r="CI25" s="28" t="n"/>
      <x:c r="CJ25" s="28" t="n"/>
      <x:c r="CK25" s="28" t="n"/>
      <x:c r="CL25" s="28" t="n"/>
      <x:c r="CM25" s="28" t="n"/>
      <x:c r="CN25" s="28" t="n"/>
      <x:c r="CO25" s="28" t="n"/>
      <x:c r="CP25" s="28" t="n"/>
      <x:c r="CQ25" s="28" t="n"/>
      <x:c r="CR25" s="28" t="n"/>
      <x:c r="CS25" s="28" t="n"/>
      <x:c r="CT25" s="28" t="n"/>
      <x:c r="CU25" s="28" t="n"/>
      <x:c r="CV25" s="28" t="n"/>
      <x:c r="CW25" s="28" t="n"/>
      <x:c r="CX25" s="28" t="n"/>
      <x:c r="CY25" s="28" t="n"/>
      <x:c r="CZ25" s="28" t="n"/>
      <x:c r="DA25" s="28" t="n"/>
      <x:c r="DB25" s="28" t="n"/>
      <x:c r="DC25" s="28" t="n"/>
      <x:c r="DD25" s="28" t="n"/>
      <x:c r="DE25" s="28" t="n"/>
      <x:c r="DF25" s="28" t="n"/>
      <x:c r="DG25" s="28" t="n"/>
      <x:c r="DH25" s="28" t="n"/>
      <x:c r="DI25" s="28" t="n"/>
      <x:c r="DJ25" s="28" t="n"/>
      <x:c r="DK25" s="28" t="n"/>
      <x:c r="DL25" s="28" t="n"/>
      <x:c r="DM25" s="28" t="n"/>
      <x:c r="DN25" s="28" t="n"/>
      <x:c r="DO25" s="28" t="n"/>
      <x:c r="DP25" s="28" t="n"/>
      <x:c r="DQ25" s="28" t="n"/>
      <x:c r="DR25" s="28" t="n"/>
      <x:c r="DS25" s="28" t="n"/>
      <x:c r="DT25" s="28" t="n"/>
      <x:c r="DU25" s="28" t="n"/>
      <x:c r="DV25" s="28" t="n"/>
      <x:c r="DW25" s="28" t="n"/>
      <x:c r="DX25" s="28" t="n"/>
      <x:c r="DY25" s="28" t="n"/>
      <x:c r="DZ25" s="28" t="n"/>
      <x:c r="EA25" s="28" t="n"/>
      <x:c r="EB25" s="28" t="n"/>
      <x:c r="EC25" s="28" t="n"/>
      <x:c r="ED25" s="28" t="n"/>
      <x:c r="EE25" s="28" t="n"/>
      <x:c r="EF25" s="28" t="n"/>
      <x:c r="EG25" s="28" t="n"/>
      <x:c r="EH25" s="28" t="n"/>
      <x:c r="EI25" s="28" t="n"/>
      <x:c r="EJ25" s="28" t="n"/>
      <x:c r="EK25" s="28" t="n"/>
      <x:c r="EL25" s="28" t="n"/>
      <x:c r="EM25" s="28" t="n"/>
      <x:c r="EN25" s="28" t="n"/>
      <x:c r="EO25" s="28" t="n"/>
      <x:c r="EP25" s="28" t="n"/>
      <x:c r="EQ25" s="28" t="n"/>
      <x:c r="ER25" s="28" t="n"/>
      <x:c r="ES25" s="28" t="n"/>
      <x:c r="ET25" s="28" t="n"/>
      <x:c r="EU25" s="28" t="n"/>
      <x:c r="EV25" s="28" t="n"/>
      <x:c r="EW25" s="28" t="n"/>
      <x:c r="EX25" s="28" t="n"/>
      <x:c r="EY25" s="28" t="n"/>
      <x:c r="EZ25" s="28" t="n"/>
      <x:c r="FA25" s="28" t="n"/>
      <x:c r="FB25" s="28" t="n"/>
      <x:c r="FC25" s="28" t="n"/>
      <x:c r="FD25" s="28" t="n"/>
      <x:c r="FE25" s="28" t="n"/>
      <x:c r="FF25" s="28" t="n"/>
      <x:c r="FG25" s="28" t="n"/>
      <x:c r="FH25" s="28" t="n"/>
      <x:c r="FI25" s="28" t="n"/>
      <x:c r="FJ25" s="28" t="n"/>
      <x:c r="FK25" s="28" t="n"/>
      <x:c r="FL25" s="28" t="n"/>
      <x:c r="FM25" s="28" t="n"/>
      <x:c r="FN25" s="28" t="n"/>
      <x:c r="FO25" s="28" t="n"/>
      <x:c r="FP25" s="28" t="n"/>
      <x:c r="FQ25" s="28" t="n"/>
      <x:c r="FR25" s="28" t="n"/>
      <x:c r="FS25" s="28" t="n"/>
      <x:c r="FT25" s="28" t="n"/>
      <x:c r="FU25" s="28" t="n"/>
      <x:c r="FV25" s="28" t="n"/>
      <x:c r="FW25" s="28" t="n"/>
      <x:c r="FX25" s="28" t="n"/>
      <x:c r="FY25" s="28" t="n"/>
      <x:c r="FZ25" s="28" t="n"/>
    </x:row>
    <x:row r="26" s="27" customFormat="1">
      <x:c r="A26" s="125" t="n"/>
      <x:c r="B26" s="39" t="n"/>
      <x:c r="C26" s="86" t="n">
        <x:f>E26*D$5</x:f>
        <x:v>-75.34</x:v>
      </x:c>
      <x:c r="D26" s="412" t="inlineStr">
        <x:is>
          <x:t xml:space="preserve">Bliss Reeves</x:t>
        </x:is>
      </x:c>
      <x:c r="E26" s="413" t="n">
        <x:f>SUM(G26:HT26)</x:f>
        <x:v>-1</x:v>
      </x:c>
      <x:c r="F26" s="35" t="inlineStr">
        <x:is>
          <x:t xml:space="preserve"/>
        </x:is>
      </x:c>
      <x:c r="G26" s="121" t="n"/>
      <x:c r="H26" s="121" t="n"/>
      <x:c r="I26" s="121" t="n"/>
      <x:c r="J26" s="121" t="n"/>
      <x:c r="K26" s="121" t="n"/>
      <x:c r="L26" s="121" t="n"/>
      <x:c r="M26" s="121" t="n"/>
      <x:c r="N26" s="121" t="n"/>
      <x:c r="O26" s="121" t="n"/>
      <x:c r="P26" s="121" t="n"/>
      <x:c r="Q26" s="123" t="n"/>
      <x:c r="R26" s="123" t="n"/>
      <x:c r="S26" s="121" t="n"/>
      <x:c r="T26" s="121" t="n"/>
      <x:c r="U26" s="129" t="n"/>
      <x:c r="V26" s="121" t="n">
        <x:v>-1</x:v>
      </x:c>
      <x:c r="W26" s="121" t="n"/>
      <x:c r="X26" s="121" t="n"/>
      <x:c r="Y26" s="121" t="n"/>
      <x:c r="Z26" s="121" t="n"/>
      <x:c r="AA26" s="121" t="n"/>
      <x:c r="AB26" s="121" t="n"/>
      <x:c r="AC26" s="121" t="n"/>
      <x:c r="AD26" s="123" t="n"/>
      <x:c r="AE26" s="123" t="n"/>
      <x:c r="AF26" s="123" t="n"/>
      <x:c r="AG26" s="123" t="n"/>
      <x:c r="AH26" s="123" t="n"/>
      <x:c r="AI26" s="5" t="n"/>
      <x:c r="AJ26" s="123" t="n"/>
      <x:c r="AK26" s="121" t="n"/>
      <x:c r="AL26" s="123" t="n"/>
      <x:c r="AM26" s="122" t="n"/>
      <x:c r="AN26" s="123" t="n"/>
      <x:c r="AO26" s="121" t="n"/>
      <x:c r="AP26" s="121" t="n"/>
      <x:c r="AQ26" s="28" t="n"/>
      <x:c r="AR26" s="28" t="n"/>
      <x:c r="AS26" s="28" t="n"/>
      <x:c r="AT26" s="28" t="n"/>
      <x:c r="AU26" s="28" t="n"/>
      <x:c r="AV26" s="28" t="n"/>
      <x:c r="AW26" s="28" t="n"/>
      <x:c r="AX26" s="28" t="n"/>
      <x:c r="AY26" s="28" t="n"/>
      <x:c r="AZ26" s="28" t="n"/>
      <x:c r="BA26" s="28" t="n"/>
      <x:c r="BB26" s="28" t="n"/>
      <x:c r="BC26" s="28" t="n"/>
      <x:c r="BD26" s="28" t="n"/>
      <x:c r="BE26" s="28" t="n"/>
      <x:c r="BF26" s="28" t="n"/>
      <x:c r="BG26" s="28" t="n"/>
      <x:c r="BH26" s="28" t="n"/>
      <x:c r="BI26" s="28" t="n"/>
      <x:c r="BJ26" s="28" t="n"/>
      <x:c r="BK26" s="28" t="n"/>
      <x:c r="BL26" s="28" t="n"/>
      <x:c r="BM26" s="28" t="n"/>
      <x:c r="BN26" s="28" t="n"/>
      <x:c r="BO26" s="28" t="n"/>
      <x:c r="BP26" s="28" t="n"/>
      <x:c r="BQ26" s="28" t="n"/>
      <x:c r="BR26" s="28" t="n"/>
      <x:c r="BS26" s="28" t="n"/>
      <x:c r="BT26" s="28" t="n"/>
      <x:c r="BU26" s="28" t="n"/>
      <x:c r="BV26" s="28" t="n"/>
      <x:c r="BW26" s="28" t="n"/>
      <x:c r="BX26" s="28" t="n"/>
      <x:c r="BY26" s="28" t="n"/>
      <x:c r="BZ26" s="28" t="n"/>
      <x:c r="CA26" s="28" t="n"/>
      <x:c r="CB26" s="28" t="n"/>
      <x:c r="CC26" s="28" t="n"/>
      <x:c r="CD26" s="28" t="n"/>
      <x:c r="CE26" s="28" t="n"/>
      <x:c r="CF26" s="28" t="n"/>
      <x:c r="CG26" s="28" t="n"/>
      <x:c r="CH26" s="28" t="n"/>
      <x:c r="CI26" s="28" t="n"/>
      <x:c r="CJ26" s="28" t="n"/>
      <x:c r="CK26" s="28" t="n"/>
      <x:c r="CL26" s="28" t="n"/>
      <x:c r="CM26" s="28" t="n"/>
      <x:c r="CN26" s="28" t="n"/>
      <x:c r="CO26" s="28" t="n"/>
      <x:c r="CP26" s="28" t="n"/>
      <x:c r="CQ26" s="28" t="n"/>
      <x:c r="CR26" s="28" t="n"/>
      <x:c r="CS26" s="28" t="n"/>
      <x:c r="CT26" s="28" t="n"/>
      <x:c r="CU26" s="28" t="n"/>
      <x:c r="CV26" s="28" t="n"/>
      <x:c r="CW26" s="28" t="n"/>
      <x:c r="CX26" s="28" t="n"/>
      <x:c r="CY26" s="28" t="n"/>
      <x:c r="CZ26" s="28" t="n"/>
      <x:c r="DA26" s="28" t="n"/>
      <x:c r="DB26" s="28" t="n"/>
      <x:c r="DC26" s="28" t="n"/>
      <x:c r="DD26" s="28" t="n"/>
      <x:c r="DE26" s="28" t="n"/>
      <x:c r="DF26" s="28" t="n"/>
      <x:c r="DG26" s="28" t="n"/>
      <x:c r="DH26" s="28" t="n"/>
      <x:c r="DI26" s="28" t="n"/>
      <x:c r="DJ26" s="28" t="n"/>
      <x:c r="DK26" s="28" t="n"/>
      <x:c r="DL26" s="28" t="n"/>
      <x:c r="DM26" s="28" t="n"/>
      <x:c r="DN26" s="28" t="n"/>
      <x:c r="DO26" s="28" t="n"/>
      <x:c r="DP26" s="28" t="n"/>
      <x:c r="DQ26" s="28" t="n"/>
      <x:c r="DR26" s="28" t="n"/>
      <x:c r="DS26" s="28" t="n"/>
      <x:c r="DT26" s="28" t="n"/>
      <x:c r="DU26" s="28" t="n"/>
      <x:c r="DV26" s="28" t="n"/>
      <x:c r="DW26" s="28" t="n"/>
      <x:c r="DX26" s="28" t="n"/>
      <x:c r="DY26" s="28" t="n"/>
      <x:c r="DZ26" s="28" t="n"/>
      <x:c r="EA26" s="28" t="n"/>
      <x:c r="EB26" s="28" t="n"/>
      <x:c r="EC26" s="28" t="n"/>
      <x:c r="ED26" s="28" t="n"/>
      <x:c r="EE26" s="28" t="n"/>
      <x:c r="EF26" s="28" t="n"/>
      <x:c r="EG26" s="28" t="n"/>
      <x:c r="EH26" s="28" t="n"/>
      <x:c r="EI26" s="28" t="n"/>
      <x:c r="EJ26" s="28" t="n"/>
      <x:c r="EK26" s="28" t="n"/>
      <x:c r="EL26" s="28" t="n"/>
      <x:c r="EM26" s="28" t="n"/>
      <x:c r="EN26" s="28" t="n"/>
      <x:c r="EO26" s="28" t="n"/>
      <x:c r="EP26" s="28" t="n"/>
      <x:c r="EQ26" s="28" t="n"/>
      <x:c r="ER26" s="28" t="n"/>
      <x:c r="ES26" s="28" t="n"/>
      <x:c r="ET26" s="28" t="n"/>
      <x:c r="EU26" s="28" t="n"/>
      <x:c r="EV26" s="28" t="n"/>
      <x:c r="EW26" s="28" t="n"/>
      <x:c r="EX26" s="28" t="n"/>
      <x:c r="EY26" s="28" t="n"/>
      <x:c r="EZ26" s="28" t="n"/>
      <x:c r="FA26" s="28" t="n"/>
      <x:c r="FB26" s="28" t="n"/>
      <x:c r="FC26" s="28" t="n"/>
      <x:c r="FD26" s="28" t="n"/>
      <x:c r="FE26" s="28" t="n"/>
      <x:c r="FF26" s="28" t="n"/>
      <x:c r="FG26" s="28" t="n"/>
      <x:c r="FH26" s="28" t="n"/>
      <x:c r="FI26" s="28" t="n"/>
      <x:c r="FJ26" s="28" t="n"/>
      <x:c r="FK26" s="28" t="n"/>
      <x:c r="FL26" s="28" t="n"/>
      <x:c r="FM26" s="28" t="n"/>
      <x:c r="FN26" s="28" t="n"/>
      <x:c r="FO26" s="28" t="n"/>
      <x:c r="FP26" s="28" t="n"/>
      <x:c r="FQ26" s="28" t="n"/>
      <x:c r="FR26" s="28" t="n"/>
      <x:c r="FS26" s="28" t="n"/>
      <x:c r="FT26" s="28" t="n"/>
      <x:c r="FU26" s="28" t="n"/>
      <x:c r="FV26" s="28" t="n"/>
      <x:c r="FW26" s="28" t="n"/>
      <x:c r="FX26" s="28" t="n"/>
      <x:c r="FY26" s="28" t="n"/>
      <x:c r="FZ26" s="28" t="n"/>
    </x:row>
    <x:row r="27" s="27" customFormat="1">
      <x:c r="A27" s="125" t="n"/>
      <x:c r="B27" s="39" t="n"/>
      <x:c r="C27" s="36" t="n">
        <x:f>E27*D$5</x:f>
        <x:v>75.34</x:v>
      </x:c>
      <x:c r="D27" s="523" t="inlineStr">
        <x:is>
          <x:t xml:space="preserve">Troy B. Reeves</x:t>
        </x:is>
      </x:c>
      <x:c r="E27" s="36" t="n">
        <x:f>SUM(G27:HT27)</x:f>
        <x:v>1</x:v>
      </x:c>
      <x:c r="F27" s="35" t="inlineStr">
        <x:is>
          <x:t xml:space="preserve"/>
        </x:is>
      </x:c>
      <x:c r="G27" s="121" t="n"/>
      <x:c r="H27" s="121" t="n"/>
      <x:c r="I27" s="121" t="n"/>
      <x:c r="J27" s="121" t="n"/>
      <x:c r="K27" s="121" t="n"/>
      <x:c r="L27" s="121" t="n"/>
      <x:c r="M27" s="6" t="n"/>
      <x:c r="N27" s="121" t="n"/>
      <x:c r="O27" s="121" t="n"/>
      <x:c r="P27" s="121" t="n"/>
      <x:c r="Q27" s="123" t="n"/>
      <x:c r="R27" s="123" t="n"/>
      <x:c r="S27" s="121" t="n"/>
      <x:c r="T27" s="121" t="n"/>
      <x:c r="U27" s="121" t="n"/>
      <x:c r="V27" s="129" t="n">
        <x:v>1</x:v>
      </x:c>
      <x:c r="W27" s="121" t="n"/>
      <x:c r="X27" s="121" t="n"/>
      <x:c r="Y27" s="121" t="n"/>
      <x:c r="Z27" s="121" t="n"/>
      <x:c r="AA27" s="121" t="n"/>
      <x:c r="AB27" s="121" t="n"/>
      <x:c r="AC27" s="121" t="n"/>
      <x:c r="AD27" s="123" t="n"/>
      <x:c r="AE27" s="123" t="n"/>
      <x:c r="AF27" s="123" t="n"/>
      <x:c r="AG27" s="123" t="n"/>
      <x:c r="AH27" s="123" t="n"/>
      <x:c r="AI27" s="5" t="n"/>
      <x:c r="AJ27" s="123" t="n"/>
      <x:c r="AK27" s="121" t="n"/>
      <x:c r="AL27" s="123" t="n"/>
      <x:c r="AM27" s="121" t="n"/>
      <x:c r="AN27" s="123" t="n"/>
      <x:c r="AO27" s="121" t="n"/>
      <x:c r="AP27" s="121" t="n"/>
      <x:c r="AQ27" s="28" t="n"/>
      <x:c r="AR27" s="28" t="n"/>
      <x:c r="AS27" s="28" t="n"/>
    </x:row>
    <x:row r="28" s="27" customFormat="1">
      <x:c r="A28" s="125" t="n"/>
      <x:c r="B28" s="39" t="n"/>
      <x:c r="C28" s="36" t="n">
        <x:f>E28*D$5</x:f>
        <x:v>-75.34</x:v>
      </x:c>
      <x:c r="D28" s="421" t="inlineStr">
        <x:is>
          <x:t xml:space="preserve">Charles O. Burckhalter</x:t>
        </x:is>
      </x:c>
      <x:c r="E28" s="411" t="n">
        <x:f>SUM(G28:HT28)</x:f>
        <x:v>-1</x:v>
      </x:c>
      <x:c r="F28" s="35" t="inlineStr">
        <x:is>
          <x:t xml:space="preserve"/>
        </x:is>
      </x:c>
      <x:c r="G28" s="121" t="n"/>
      <x:c r="H28" s="121" t="n"/>
      <x:c r="I28" s="121" t="n"/>
      <x:c r="J28" s="121" t="n"/>
      <x:c r="K28" s="121" t="n"/>
      <x:c r="L28" s="121" t="n"/>
      <x:c r="M28" s="5" t="n"/>
      <x:c r="N28" s="121" t="n"/>
      <x:c r="O28" s="121" t="n"/>
      <x:c r="P28" s="121" t="n"/>
      <x:c r="Q28" s="123" t="n"/>
      <x:c r="R28" s="123" t="n"/>
      <x:c r="S28" s="121" t="n"/>
      <x:c r="T28" s="121" t="n"/>
      <x:c r="U28" s="121" t="n"/>
      <x:c r="V28" s="129" t="n"/>
      <x:c r="W28" s="121" t="n">
        <x:v>-1</x:v>
      </x:c>
      <x:c r="X28" s="121" t="n"/>
      <x:c r="Y28" s="121" t="n"/>
      <x:c r="Z28" s="121" t="n"/>
      <x:c r="AA28" s="121" t="n"/>
      <x:c r="AB28" s="121" t="n"/>
      <x:c r="AC28" s="121" t="n"/>
      <x:c r="AD28" s="123" t="n"/>
      <x:c r="AE28" s="123" t="n"/>
      <x:c r="AF28" s="123" t="n"/>
      <x:c r="AG28" s="123" t="n"/>
      <x:c r="AH28" s="123" t="n"/>
      <x:c r="AI28" s="5" t="n"/>
      <x:c r="AJ28" s="123" t="n"/>
      <x:c r="AK28" s="121" t="n"/>
      <x:c r="AL28" s="123" t="n"/>
      <x:c r="AM28" s="121" t="n"/>
      <x:c r="AN28" s="123" t="n"/>
      <x:c r="AO28" s="121" t="n"/>
      <x:c r="AP28" s="121" t="n"/>
      <x:c r="AQ28" s="28" t="n"/>
      <x:c r="AR28" s="28" t="n"/>
      <x:c r="AS28" s="28" t="n"/>
    </x:row>
    <x:row r="29" s="27" customFormat="1">
      <x:c r="A29" s="125" t="n"/>
      <x:c r="B29" s="39" t="n"/>
      <x:c r="C29" s="86" t="n">
        <x:f>E29*D$5</x:f>
        <x:v>75.34</x:v>
      </x:c>
      <x:c r="D29" s="4" t="inlineStr">
        <x:is>
          <x:t xml:space="preserve">Burckhalter Family Trust</x:t>
        </x:is>
      </x:c>
      <x:c r="E29" s="86" t="n">
        <x:f>SUM(G29:HT29)</x:f>
        <x:v>1</x:v>
      </x:c>
      <x:c r="F29" s="35" t="inlineStr">
        <x:is>
          <x:t xml:space="preserve"/>
        </x:is>
      </x:c>
      <x:c r="G29" s="121" t="n"/>
      <x:c r="H29" s="121" t="n"/>
      <x:c r="I29" s="121" t="n"/>
      <x:c r="J29" s="121" t="n"/>
      <x:c r="K29" s="121" t="n"/>
      <x:c r="L29" s="121" t="n"/>
      <x:c r="M29" s="5" t="n"/>
      <x:c r="N29" s="121" t="n"/>
      <x:c r="O29" s="121" t="n"/>
      <x:c r="P29" s="121" t="n"/>
      <x:c r="Q29" s="123" t="n"/>
      <x:c r="R29" s="123" t="n"/>
      <x:c r="S29" s="121" t="n"/>
      <x:c r="T29" s="121" t="n"/>
      <x:c r="U29" s="121" t="n"/>
      <x:c r="V29" s="129" t="n"/>
      <x:c r="W29" s="121" t="n">
        <x:v>1</x:v>
      </x:c>
      <x:c r="X29" s="121" t="n"/>
      <x:c r="Y29" s="121" t="n"/>
      <x:c r="Z29" s="121" t="n"/>
      <x:c r="AA29" s="121" t="n"/>
      <x:c r="AB29" s="121" t="n"/>
      <x:c r="AC29" s="121" t="n"/>
      <x:c r="AD29" s="123" t="n"/>
      <x:c r="AE29" s="123" t="n"/>
      <x:c r="AF29" s="123" t="n"/>
      <x:c r="AG29" s="123" t="n"/>
      <x:c r="AH29" s="123" t="n"/>
      <x:c r="AI29" s="5" t="n"/>
      <x:c r="AJ29" s="123" t="n"/>
      <x:c r="AK29" s="121" t="n"/>
      <x:c r="AL29" s="123" t="n"/>
      <x:c r="AM29" s="121" t="n"/>
      <x:c r="AN29" s="123" t="n"/>
      <x:c r="AO29" s="121" t="n"/>
      <x:c r="AP29" s="121" t="n"/>
      <x:c r="AQ29" s="28" t="n"/>
      <x:c r="AR29" s="28" t="n"/>
      <x:c r="AS29" s="28" t="n"/>
    </x:row>
    <x:row r="30" s="27" customFormat="1">
      <x:c r="A30" s="125" t="n"/>
      <x:c r="B30" s="39" t="n"/>
      <x:c r="C30" s="36" t="n">
        <x:f>E30*D$5</x:f>
        <x:v>75.34</x:v>
      </x:c>
      <x:c r="D30" s="103" t="inlineStr">
        <x:is>
          <x:t xml:space="preserve">Nancy Mitchell Williams</x:t>
        </x:is>
      </x:c>
      <x:c r="E30" s="36" t="n">
        <x:f>SUM(G30:HT30)</x:f>
        <x:v>1</x:v>
      </x:c>
      <x:c r="F30" s="35" t="inlineStr">
        <x:is>
          <x:t xml:space="preserve"/>
        </x:is>
      </x:c>
      <x:c r="G30" s="121" t="n"/>
      <x:c r="H30" s="121" t="n"/>
      <x:c r="I30" s="121" t="n"/>
      <x:c r="J30" s="121" t="n"/>
      <x:c r="K30" s="121" t="n"/>
      <x:c r="L30" s="121" t="n"/>
      <x:c r="M30" s="117" t="n"/>
      <x:c r="N30" s="121" t="n"/>
      <x:c r="O30" s="121" t="n"/>
      <x:c r="P30" s="121" t="n"/>
      <x:c r="Q30" s="123" t="n"/>
      <x:c r="R30" s="123" t="n"/>
      <x:c r="S30" s="121" t="n"/>
      <x:c r="T30" s="121" t="n"/>
      <x:c r="U30" s="121" t="n"/>
      <x:c r="V30" s="121" t="n"/>
      <x:c r="W30" s="129" t="n"/>
      <x:c r="X30" s="129" t="n">
        <x:v>1</x:v>
      </x:c>
      <x:c r="Y30" s="129" t="n"/>
      <x:c r="Z30" s="129" t="n"/>
      <x:c r="AA30" s="129" t="n"/>
      <x:c r="AB30" s="121" t="n"/>
      <x:c r="AC30" s="121" t="n"/>
      <x:c r="AD30" s="123" t="n"/>
      <x:c r="AE30" s="123" t="n"/>
      <x:c r="AF30" s="123" t="n"/>
      <x:c r="AG30" s="123" t="n"/>
      <x:c r="AH30" s="123" t="n"/>
      <x:c r="AI30" s="118" t="n"/>
      <x:c r="AJ30" s="123" t="n"/>
      <x:c r="AK30" s="121" t="n"/>
      <x:c r="AL30" s="123" t="n"/>
      <x:c r="AM30" s="121" t="n"/>
      <x:c r="AN30" s="123" t="n"/>
      <x:c r="AO30" s="121" t="n"/>
      <x:c r="AP30" s="121" t="n"/>
      <x:c r="AQ30" s="28" t="n"/>
      <x:c r="AR30" s="28" t="n"/>
      <x:c r="AS30" s="28" t="n"/>
    </x:row>
    <x:row r="31" s="27" customFormat="1">
      <x:c r="A31" s="125" t="n"/>
      <x:c r="B31" s="39" t="n"/>
      <x:c r="C31" s="86" t="n">
        <x:f>E31*D$5</x:f>
        <x:v>18.835</x:v>
      </x:c>
      <x:c r="D31" s="103" t="inlineStr">
        <x:is>
          <x:t xml:space="preserve">Margaret Kirk</x:t>
        </x:is>
      </x:c>
      <x:c r="E31" s="86" t="n">
        <x:f>SUM(G31:HT31)</x:f>
        <x:v>0.25</x:v>
      </x:c>
      <x:c r="F31" s="35" t="inlineStr">
        <x:is>
          <x:t xml:space="preserve"/>
        </x:is>
      </x:c>
      <x:c r="G31" s="121" t="n"/>
      <x:c r="H31" s="121" t="n"/>
      <x:c r="I31" s="121" t="n"/>
      <x:c r="J31" s="121" t="n"/>
      <x:c r="K31" s="121" t="n"/>
      <x:c r="L31" s="121" t="n"/>
      <x:c r="M31" s="117" t="n"/>
      <x:c r="N31" s="121" t="n"/>
      <x:c r="O31" s="121" t="n"/>
      <x:c r="P31" s="121" t="n"/>
      <x:c r="Q31" s="123" t="n"/>
      <x:c r="R31" s="123" t="n"/>
      <x:c r="S31" s="121" t="n"/>
      <x:c r="T31" s="121" t="n"/>
      <x:c r="U31" s="121" t="n"/>
      <x:c r="V31" s="121" t="n"/>
      <x:c r="W31" s="129" t="n"/>
      <x:c r="X31" s="129" t="n"/>
      <x:c r="Y31" s="121" t="n">
        <x:v>0.25</x:v>
      </x:c>
      <x:c r="Z31" s="121" t="n"/>
      <x:c r="AA31" s="121" t="n"/>
      <x:c r="AB31" s="121" t="n"/>
      <x:c r="AC31" s="121" t="n"/>
      <x:c r="AD31" s="123" t="n"/>
      <x:c r="AE31" s="123" t="n"/>
      <x:c r="AF31" s="123" t="n"/>
      <x:c r="AG31" s="123" t="n"/>
      <x:c r="AH31" s="123" t="n"/>
      <x:c r="AI31" s="118" t="n"/>
      <x:c r="AJ31" s="123" t="n"/>
      <x:c r="AK31" s="121" t="n"/>
      <x:c r="AL31" s="123" t="n"/>
      <x:c r="AM31" s="121" t="n"/>
      <x:c r="AN31" s="123" t="n"/>
      <x:c r="AO31" s="121" t="n"/>
      <x:c r="AP31" s="121" t="n"/>
      <x:c r="AQ31" s="28" t="n"/>
      <x:c r="AR31" s="28" t="n"/>
      <x:c r="AS31" s="28" t="n"/>
    </x:row>
    <x:row r="32" s="27" customFormat="1">
      <x:c r="A32" s="125" t="n"/>
      <x:c r="B32" s="39" t="n"/>
      <x:c r="C32" s="86" t="n">
        <x:f>E32*D$5</x:f>
        <x:v>18.835</x:v>
      </x:c>
      <x:c r="D32" s="103" t="inlineStr">
        <x:is>
          <x:t xml:space="preserve">Linda Mize</x:t>
        </x:is>
      </x:c>
      <x:c r="E32" s="86" t="n">
        <x:f>SUM(G32:HT32)</x:f>
        <x:v>0.25</x:v>
      </x:c>
      <x:c r="F32" s="35" t="inlineStr">
        <x:is>
          <x:t xml:space="preserve"/>
        </x:is>
      </x:c>
      <x:c r="G32" s="121" t="n"/>
      <x:c r="H32" s="121" t="n"/>
      <x:c r="I32" s="121" t="n"/>
      <x:c r="J32" s="121" t="n"/>
      <x:c r="K32" s="121" t="n"/>
      <x:c r="L32" s="121" t="n"/>
      <x:c r="M32" s="117" t="n"/>
      <x:c r="N32" s="121" t="n"/>
      <x:c r="O32" s="121" t="n"/>
      <x:c r="P32" s="121" t="n"/>
      <x:c r="Q32" s="123" t="n"/>
      <x:c r="R32" s="123" t="n"/>
      <x:c r="S32" s="121" t="n"/>
      <x:c r="T32" s="121" t="n"/>
      <x:c r="U32" s="121" t="n"/>
      <x:c r="V32" s="121" t="n"/>
      <x:c r="W32" s="129" t="n"/>
      <x:c r="X32" s="121" t="n"/>
      <x:c r="Y32" s="129" t="n">
        <x:v>0.25</x:v>
      </x:c>
      <x:c r="Z32" s="121" t="n"/>
      <x:c r="AA32" s="121" t="n"/>
      <x:c r="AB32" s="121" t="n"/>
      <x:c r="AC32" s="121" t="n"/>
      <x:c r="AD32" s="123" t="n"/>
      <x:c r="AE32" s="123" t="n"/>
      <x:c r="AF32" s="123" t="n"/>
      <x:c r="AG32" s="123" t="n"/>
      <x:c r="AH32" s="123" t="n"/>
      <x:c r="AI32" s="118" t="n"/>
      <x:c r="AJ32" s="123" t="n"/>
      <x:c r="AK32" s="121" t="n"/>
      <x:c r="AL32" s="123" t="n"/>
      <x:c r="AM32" s="121" t="n"/>
      <x:c r="AN32" s="123" t="n"/>
      <x:c r="AO32" s="121" t="n"/>
      <x:c r="AP32" s="121" t="n"/>
      <x:c r="AQ32" s="28" t="n"/>
      <x:c r="AR32" s="28" t="n"/>
      <x:c r="AS32" s="28" t="n"/>
    </x:row>
    <x:row r="33" s="27" customFormat="1">
      <x:c r="A33" s="125" t="n"/>
      <x:c r="B33" s="39" t="n"/>
      <x:c r="C33" s="36" t="n">
        <x:f>E33*D$5</x:f>
        <x:v>-56.505</x:v>
      </x:c>
      <x:c r="D33" s="410" t="inlineStr">
        <x:is>
          <x:t xml:space="preserve">Eleanore Wheeler</x:t>
        </x:is>
      </x:c>
      <x:c r="E33" s="411" t="n">
        <x:f>SUM(G33:HT33)</x:f>
        <x:v>-0.75</x:v>
      </x:c>
      <x:c r="F33" s="35" t="inlineStr">
        <x:is>
          <x:t xml:space="preserve"/>
        </x:is>
      </x:c>
      <x:c r="G33" s="121" t="n"/>
      <x:c r="H33" s="121" t="n"/>
      <x:c r="I33" s="121" t="n"/>
      <x:c r="J33" s="121" t="n"/>
      <x:c r="K33" s="121" t="n"/>
      <x:c r="L33" s="121" t="n"/>
      <x:c r="M33" s="121" t="n"/>
      <x:c r="N33" s="121" t="n"/>
      <x:c r="O33" s="121" t="n"/>
      <x:c r="P33" s="121" t="n"/>
      <x:c r="Q33" s="123" t="n"/>
      <x:c r="R33" s="123" t="n"/>
      <x:c r="S33" s="121" t="n"/>
      <x:c r="T33" s="121" t="n"/>
      <x:c r="U33" s="121" t="n"/>
      <x:c r="V33" s="121" t="n"/>
      <x:c r="W33" s="129" t="n"/>
      <x:c r="X33" s="121" t="n"/>
      <x:c r="Y33" s="121" t="n">
        <x:v>0.25</x:v>
      </x:c>
      <x:c r="Z33" s="129" t="n"/>
      <x:c r="AA33" s="121" t="n"/>
      <x:c r="AB33" s="121" t="n"/>
      <x:c r="AC33" s="121" t="n"/>
      <x:c r="AD33" s="123" t="n"/>
      <x:c r="AE33" s="123" t="n"/>
      <x:c r="AF33" s="123" t="n"/>
      <x:c r="AG33" s="123" t="n"/>
      <x:c r="AH33" s="123" t="n"/>
      <x:c r="AI33" s="123" t="n"/>
      <x:c r="AJ33" s="123" t="n"/>
      <x:c r="AK33" s="121" t="n"/>
      <x:c r="AL33" s="123" t="n"/>
      <x:c r="AM33" s="121" t="n">
        <x:v>-1</x:v>
      </x:c>
      <x:c r="AN33" s="123" t="n"/>
      <x:c r="AO33" s="121" t="n"/>
      <x:c r="AP33" s="121" t="n"/>
      <x:c r="AQ33" s="28" t="n"/>
      <x:c r="AR33" s="28" t="n"/>
      <x:c r="AS33" s="28" t="n"/>
    </x:row>
    <x:row r="34" s="27" customFormat="1">
      <x:c r="A34" s="125" t="n"/>
      <x:c r="B34" s="39" t="n"/>
      <x:c r="C34" s="36" t="n">
        <x:f>E34*D$5</x:f>
        <x:v>18.835</x:v>
      </x:c>
      <x:c r="D34" s="103" t="inlineStr">
        <x:is>
          <x:t xml:space="preserve">Roger Klopfenstein</x:t>
        </x:is>
      </x:c>
      <x:c r="E34" s="36" t="n">
        <x:f>SUM(G34:HT34)</x:f>
        <x:v>0.25</x:v>
      </x:c>
      <x:c r="F34" s="35" t="inlineStr">
        <x:is>
          <x:t xml:space="preserve"/>
        </x:is>
      </x:c>
      <x:c r="G34" s="121" t="n"/>
      <x:c r="H34" s="121" t="n"/>
      <x:c r="I34" s="121" t="n"/>
      <x:c r="J34" s="121" t="n"/>
      <x:c r="K34" s="121" t="n"/>
      <x:c r="L34" s="121" t="n"/>
      <x:c r="M34" s="121" t="n"/>
      <x:c r="N34" s="121" t="n"/>
      <x:c r="O34" s="121" t="n"/>
      <x:c r="P34" s="121" t="n"/>
      <x:c r="Q34" s="123" t="n"/>
      <x:c r="R34" s="123" t="n"/>
      <x:c r="S34" s="121" t="n"/>
      <x:c r="T34" s="121" t="n"/>
      <x:c r="U34" s="121" t="n"/>
      <x:c r="V34" s="121" t="n"/>
      <x:c r="W34" s="129" t="n"/>
      <x:c r="X34" s="121" t="n"/>
      <x:c r="Y34" s="121" t="n">
        <x:v>0.25</x:v>
      </x:c>
      <x:c r="Z34" s="121" t="n"/>
      <x:c r="AA34" s="129" t="n"/>
      <x:c r="AB34" s="121" t="n"/>
      <x:c r="AC34" s="121" t="n"/>
      <x:c r="AD34" s="121" t="n"/>
      <x:c r="AE34" s="123" t="n"/>
      <x:c r="AF34" s="123" t="n"/>
      <x:c r="AG34" s="123" t="n"/>
      <x:c r="AH34" s="123" t="n"/>
      <x:c r="AI34" s="123" t="n"/>
      <x:c r="AJ34" s="123" t="n"/>
      <x:c r="AK34" s="121" t="n"/>
      <x:c r="AL34" s="123" t="n"/>
      <x:c r="AM34" s="121" t="n"/>
      <x:c r="AN34" s="123" t="n"/>
      <x:c r="AO34" s="121" t="n"/>
      <x:c r="AP34" s="121" t="n"/>
      <x:c r="AQ34" s="28" t="n"/>
      <x:c r="AR34" s="28" t="n"/>
      <x:c r="AS34" s="28" t="n"/>
    </x:row>
    <x:row r="35" s="27" customFormat="1">
      <x:c r="A35" s="125" t="n"/>
      <x:c r="B35" s="39" t="n"/>
      <x:c r="C35" s="36" t="n">
        <x:f>E35*D$5</x:f>
        <x:v>-75.34</x:v>
      </x:c>
      <x:c r="D35" s="410" t="inlineStr">
        <x:is>
          <x:t xml:space="preserve">Sandra Lorraine York</x:t>
        </x:is>
      </x:c>
      <x:c r="E35" s="411" t="n">
        <x:f>SUM(G35:HT35)</x:f>
        <x:v>-1</x:v>
      </x:c>
      <x:c r="F35" s="35" t="inlineStr">
        <x:is>
          <x:t xml:space="preserve"/>
        </x:is>
      </x:c>
      <x:c r="G35" s="121" t="n"/>
      <x:c r="H35" s="121" t="n"/>
      <x:c r="I35" s="121" t="n"/>
      <x:c r="J35" s="121" t="n"/>
      <x:c r="K35" s="121" t="n"/>
      <x:c r="L35" s="121" t="n"/>
      <x:c r="M35" s="121" t="n"/>
      <x:c r="N35" s="121" t="n"/>
      <x:c r="O35" s="121" t="n"/>
      <x:c r="P35" s="121" t="n"/>
      <x:c r="Q35" s="123" t="n"/>
      <x:c r="R35" s="123" t="n"/>
      <x:c r="S35" s="121" t="n"/>
      <x:c r="T35" s="121" t="n"/>
      <x:c r="U35" s="121" t="n"/>
      <x:c r="V35" s="121" t="n"/>
      <x:c r="W35" s="129" t="n"/>
      <x:c r="X35" s="121" t="n"/>
      <x:c r="Y35" s="121" t="n"/>
      <x:c r="Z35" s="121" t="n">
        <x:v>-1</x:v>
      </x:c>
      <x:c r="AA35" s="121" t="n">
        <x:v>-1</x:v>
      </x:c>
      <x:c r="AB35" s="121" t="n"/>
      <x:c r="AC35" s="121" t="n"/>
      <x:c r="AD35" s="121" t="n">
        <x:v>1</x:v>
      </x:c>
      <x:c r="AE35" s="123" t="n"/>
      <x:c r="AF35" s="123" t="n"/>
      <x:c r="AG35" s="123" t="n"/>
      <x:c r="AH35" s="123" t="n"/>
      <x:c r="AI35" s="123" t="n"/>
      <x:c r="AJ35" s="123" t="n"/>
      <x:c r="AK35" s="121" t="n"/>
      <x:c r="AL35" s="121" t="n"/>
      <x:c r="AM35" s="121" t="n"/>
      <x:c r="AN35" s="123" t="n"/>
      <x:c r="AO35" s="121" t="n"/>
      <x:c r="AP35" s="121" t="n"/>
      <x:c r="AQ35" s="28" t="n"/>
      <x:c r="AR35" s="28" t="n"/>
      <x:c r="AS35" s="28" t="n"/>
    </x:row>
    <x:row r="36" s="27" customFormat="1">
      <x:c r="A36" s="125" t="n"/>
      <x:c r="B36" s="39" t="n"/>
      <x:c r="C36" s="36" t="n">
        <x:f>E36*D$5</x:f>
        <x:v>0</x:v>
      </x:c>
      <x:c r="D36" s="330" t="inlineStr">
        <x:is>
          <x:t xml:space="preserve">Koala Production Company</x:t>
        </x:is>
      </x:c>
      <x:c r="E36" s="36" t="n">
        <x:f>SUM(G36:HT36)</x:f>
        <x:v>0</x:v>
      </x:c>
      <x:c r="F36" s="35" t="inlineStr">
        <x:is>
          <x:t xml:space="preserve"/>
        </x:is>
      </x:c>
      <x:c r="G36" s="121" t="n"/>
      <x:c r="H36" s="121" t="n"/>
      <x:c r="I36" s="121" t="n"/>
      <x:c r="J36" s="121" t="n"/>
      <x:c r="K36" s="121" t="n"/>
      <x:c r="L36" s="121" t="n"/>
      <x:c r="M36" s="121" t="n"/>
      <x:c r="N36" s="121" t="n"/>
      <x:c r="O36" s="121" t="n"/>
      <x:c r="P36" s="121" t="n"/>
      <x:c r="Q36" s="123" t="n"/>
      <x:c r="R36" s="123" t="n"/>
      <x:c r="S36" s="121" t="n"/>
      <x:c r="T36" s="121" t="n"/>
      <x:c r="U36" s="121" t="n"/>
      <x:c r="V36" s="121" t="n"/>
      <x:c r="W36" s="121" t="n"/>
      <x:c r="X36" s="121" t="n"/>
      <x:c r="Y36" s="121" t="n"/>
      <x:c r="Z36" s="121" t="n">
        <x:v>1</x:v>
      </x:c>
      <x:c r="AA36" s="121" t="n">
        <x:v>1</x:v>
      </x:c>
      <x:c r="AB36" s="121" t="n">
        <x:v>-1</x:v>
      </x:c>
      <x:c r="AC36" s="121" t="n"/>
      <x:c r="AD36" s="121" t="n"/>
      <x:c r="AE36" s="123" t="n"/>
      <x:c r="AF36" s="124" t="n">
        <x:v>-1</x:v>
      </x:c>
      <x:c r="AG36" s="123" t="n"/>
      <x:c r="AH36" s="123" t="n"/>
      <x:c r="AI36" s="123" t="n"/>
      <x:c r="AJ36" s="123" t="n"/>
      <x:c r="AK36" s="121" t="n"/>
      <x:c r="AL36" s="123" t="n"/>
      <x:c r="AM36" s="121" t="n"/>
      <x:c r="AN36" s="124" t="n"/>
      <x:c r="AO36" s="121" t="n"/>
      <x:c r="AP36" s="121" t="n"/>
      <x:c r="AQ36" s="28" t="n"/>
      <x:c r="AR36" s="28" t="n"/>
      <x:c r="AS36" s="28" t="n"/>
    </x:row>
    <x:row r="37" s="27" customFormat="1">
      <x:c r="A37" s="125" t="n"/>
      <x:c r="B37" s="39" t="n"/>
      <x:c r="C37" s="86" t="n">
        <x:f>E37*D$5</x:f>
        <x:v>-75.34</x:v>
      </x:c>
      <x:c r="D37" s="410" t="inlineStr">
        <x:is>
          <x:t xml:space="preserve">Fleshman Agency, Inc.</x:t>
        </x:is>
      </x:c>
      <x:c r="E37" s="413" t="n">
        <x:f>SUM(G37:HT37)</x:f>
        <x:v>-1</x:v>
      </x:c>
      <x:c r="F37" s="35" t="inlineStr">
        <x:is>
          <x:t xml:space="preserve"/>
        </x:is>
      </x:c>
      <x:c r="G37" s="121" t="n"/>
      <x:c r="H37" s="121" t="n"/>
      <x:c r="I37" s="121" t="n"/>
      <x:c r="J37" s="122" t="n"/>
      <x:c r="K37" s="122" t="n"/>
      <x:c r="L37" s="123" t="n"/>
      <x:c r="M37" s="123" t="n"/>
      <x:c r="N37" s="123" t="n"/>
      <x:c r="O37" s="123" t="n"/>
      <x:c r="P37" s="123" t="n"/>
      <x:c r="Q37" s="123" t="n"/>
      <x:c r="R37" s="123" t="n"/>
      <x:c r="S37" s="123" t="n"/>
      <x:c r="T37" s="123" t="n"/>
      <x:c r="U37" s="123" t="n"/>
      <x:c r="V37" s="123" t="n"/>
      <x:c r="W37" s="123" t="n"/>
      <x:c r="X37" s="123" t="n"/>
      <x:c r="Y37" s="121" t="n"/>
      <x:c r="Z37" s="123" t="n"/>
      <x:c r="AA37" s="123" t="n"/>
      <x:c r="AB37" s="123" t="n">
        <x:v>1</x:v>
      </x:c>
      <x:c r="AC37" s="123" t="n"/>
      <x:c r="AD37" s="121" t="n"/>
      <x:c r="AE37" s="123" t="n"/>
      <x:c r="AF37" s="124" t="n"/>
      <x:c r="AG37" s="124" t="n">
        <x:v>-1</x:v>
      </x:c>
      <x:c r="AH37" s="124" t="n">
        <x:v>-1</x:v>
      </x:c>
      <x:c r="AI37" s="123" t="n"/>
      <x:c r="AJ37" s="123" t="n"/>
      <x:c r="AK37" s="123" t="n"/>
      <x:c r="AL37" s="121" t="n"/>
      <x:c r="AM37" s="123" t="n"/>
      <x:c r="AN37" s="123" t="n"/>
      <x:c r="AO37" s="123" t="n"/>
      <x:c r="AP37" s="123" t="n"/>
      <x:c r="AQ37" s="100" t="n"/>
      <x:c r="AR37" s="100" t="n"/>
      <x:c r="AS37" s="100" t="n"/>
      <x:c r="AT37" s="100" t="n"/>
      <x:c r="AU37" s="100" t="n"/>
      <x:c r="AV37" s="100" t="n"/>
      <x:c r="AW37" s="100" t="n"/>
      <x:c r="AX37" s="100" t="n"/>
      <x:c r="AY37" s="100" t="n"/>
      <x:c r="AZ37" s="100" t="n"/>
      <x:c r="BA37" s="100" t="n"/>
      <x:c r="BB37" s="100" t="n"/>
      <x:c r="BC37" s="100" t="n"/>
      <x:c r="BD37" s="100" t="n"/>
      <x:c r="BE37" s="100" t="n"/>
      <x:c r="BF37" s="100" t="n"/>
      <x:c r="BG37" s="100" t="n"/>
      <x:c r="BH37" s="100" t="n"/>
      <x:c r="BI37" s="100" t="n"/>
      <x:c r="BJ37" s="100" t="n"/>
      <x:c r="BK37" s="100" t="n"/>
      <x:c r="BL37" s="100" t="n"/>
      <x:c r="BM37" s="100" t="n"/>
      <x:c r="BN37" s="100" t="n"/>
      <x:c r="BO37" s="100" t="n"/>
      <x:c r="BP37" s="100" t="n"/>
      <x:c r="BQ37" s="100" t="n"/>
      <x:c r="BR37" s="100" t="n"/>
      <x:c r="BS37" s="100" t="n"/>
      <x:c r="BT37" s="100" t="n"/>
      <x:c r="BU37" s="100" t="n"/>
      <x:c r="BV37" s="100" t="n"/>
      <x:c r="BW37" s="100" t="n"/>
      <x:c r="BX37" s="100" t="n"/>
      <x:c r="BY37" s="100" t="n"/>
      <x:c r="BZ37" s="100" t="n"/>
      <x:c r="CA37" s="100" t="n"/>
      <x:c r="CB37" s="100" t="n"/>
      <x:c r="CC37" s="100" t="n"/>
      <x:c r="CD37" s="100" t="n"/>
      <x:c r="CE37" s="100" t="n"/>
      <x:c r="CF37" s="100" t="n"/>
      <x:c r="CG37" s="100" t="n"/>
      <x:c r="CH37" s="100" t="n"/>
      <x:c r="CI37" s="100" t="n"/>
      <x:c r="CJ37" s="100" t="n"/>
      <x:c r="CK37" s="100" t="n"/>
      <x:c r="CL37" s="100" t="n"/>
      <x:c r="CM37" s="100" t="n"/>
      <x:c r="CN37" s="100" t="n"/>
      <x:c r="CO37" s="100" t="n"/>
      <x:c r="CP37" s="100" t="n"/>
      <x:c r="CQ37" s="100" t="n"/>
      <x:c r="CR37" s="100" t="n"/>
      <x:c r="CS37" s="100" t="n"/>
      <x:c r="CT37" s="100" t="n"/>
      <x:c r="CU37" s="100" t="n"/>
      <x:c r="CV37" s="100" t="n"/>
      <x:c r="CW37" s="100" t="n"/>
      <x:c r="CX37" s="100" t="n"/>
      <x:c r="CY37" s="100" t="n"/>
      <x:c r="CZ37" s="100" t="n"/>
      <x:c r="DA37" s="100" t="n"/>
      <x:c r="DB37" s="100" t="n"/>
      <x:c r="DC37" s="100" t="n"/>
      <x:c r="DD37" s="100" t="n"/>
      <x:c r="DE37" s="100" t="n"/>
      <x:c r="DF37" s="100" t="n"/>
      <x:c r="DG37" s="100" t="n"/>
      <x:c r="DH37" s="100" t="n"/>
      <x:c r="DI37" s="100" t="n"/>
      <x:c r="DJ37" s="100" t="n"/>
      <x:c r="DK37" s="100" t="n"/>
      <x:c r="DL37" s="100" t="n"/>
      <x:c r="DM37" s="100" t="n"/>
      <x:c r="DN37" s="100" t="n"/>
      <x:c r="DO37" s="100" t="n"/>
      <x:c r="DP37" s="100" t="n"/>
      <x:c r="DQ37" s="100" t="n"/>
      <x:c r="DR37" s="100" t="n"/>
      <x:c r="DS37" s="100" t="n"/>
      <x:c r="DT37" s="100" t="n"/>
      <x:c r="DU37" s="100" t="n"/>
      <x:c r="DV37" s="100" t="n"/>
      <x:c r="DW37" s="100" t="n"/>
      <x:c r="DX37" s="100" t="n"/>
      <x:c r="DY37" s="100" t="n"/>
      <x:c r="DZ37" s="100" t="n"/>
      <x:c r="EA37" s="100" t="n"/>
      <x:c r="EB37" s="100" t="n"/>
      <x:c r="EC37" s="100" t="n"/>
      <x:c r="ED37" s="100" t="n"/>
      <x:c r="EE37" s="100" t="n"/>
      <x:c r="EF37" s="100" t="n"/>
      <x:c r="EG37" s="100" t="n"/>
      <x:c r="EH37" s="100" t="n"/>
      <x:c r="EI37" s="100" t="n"/>
      <x:c r="EJ37" s="100" t="n"/>
      <x:c r="EK37" s="100" t="n"/>
      <x:c r="EL37" s="100" t="n"/>
      <x:c r="EM37" s="100" t="n"/>
      <x:c r="EN37" s="100" t="n"/>
      <x:c r="EO37" s="100" t="n"/>
      <x:c r="EP37" s="100" t="n"/>
      <x:c r="EQ37" s="100" t="n"/>
      <x:c r="ER37" s="100" t="n"/>
      <x:c r="ES37" s="100" t="n"/>
      <x:c r="ET37" s="100" t="n"/>
      <x:c r="EU37" s="100" t="n"/>
      <x:c r="EV37" s="100" t="n"/>
      <x:c r="EW37" s="100" t="n"/>
      <x:c r="EX37" s="100" t="n"/>
      <x:c r="EY37" s="100" t="n"/>
      <x:c r="EZ37" s="100" t="n"/>
      <x:c r="FA37" s="100" t="n"/>
      <x:c r="FB37" s="100" t="n"/>
      <x:c r="FC37" s="100" t="n"/>
      <x:c r="FD37" s="100" t="n"/>
      <x:c r="FE37" s="100" t="n"/>
      <x:c r="FF37" s="100" t="n"/>
      <x:c r="FG37" s="100" t="n"/>
      <x:c r="FH37" s="100" t="n"/>
      <x:c r="FI37" s="100" t="n"/>
      <x:c r="FJ37" s="100" t="n"/>
      <x:c r="FK37" s="100" t="n"/>
      <x:c r="FL37" s="100" t="n"/>
      <x:c r="FM37" s="100" t="n"/>
      <x:c r="FN37" s="100" t="n"/>
      <x:c r="FO37" s="100" t="n"/>
      <x:c r="FP37" s="100" t="n"/>
      <x:c r="FQ37" s="100" t="n"/>
      <x:c r="FR37" s="100" t="n"/>
      <x:c r="FS37" s="100" t="n"/>
      <x:c r="FT37" s="100" t="n"/>
      <x:c r="FU37" s="100" t="n"/>
      <x:c r="FV37" s="100" t="n"/>
      <x:c r="FW37" s="100" t="n"/>
      <x:c r="FX37" s="100" t="n"/>
      <x:c r="FY37" s="100" t="n"/>
      <x:c r="FZ37" s="100" t="n"/>
      <x:c r="GA37" s="100" t="n"/>
      <x:c r="GB37" s="100" t="n"/>
      <x:c r="GC37" s="100" t="n"/>
      <x:c r="GD37" s="100" t="n"/>
      <x:c r="GE37" s="100" t="n"/>
    </x:row>
    <x:row r="38" s="27" customFormat="1">
      <x:c r="A38" s="125" t="n"/>
      <x:c r="B38" s="39" t="n"/>
      <x:c r="C38" s="36" t="n">
        <x:f>E38*D$5</x:f>
        <x:v>0</x:v>
      </x:c>
      <x:c r="D38" s="4" t="inlineStr">
        <x:is>
          <x:t xml:space="preserve">Arrowhead Resources, Inc.</x:t>
        </x:is>
      </x:c>
      <x:c r="E38" s="36" t="n">
        <x:f>SUM(G38:HT38)</x:f>
        <x:v>0</x:v>
      </x:c>
      <x:c r="F38" s="35" t="inlineStr">
        <x:is>
          <x:t xml:space="preserve"/>
        </x:is>
      </x:c>
      <x:c r="G38" s="121" t="n"/>
      <x:c r="H38" s="121" t="n"/>
      <x:c r="I38" s="121" t="n"/>
      <x:c r="J38" s="121" t="n"/>
      <x:c r="K38" s="121" t="n"/>
      <x:c r="L38" s="121" t="n"/>
      <x:c r="M38" s="121" t="n"/>
      <x:c r="N38" s="121" t="n"/>
      <x:c r="O38" s="121" t="n"/>
      <x:c r="P38" s="121" t="n"/>
      <x:c r="Q38" s="123" t="n"/>
      <x:c r="R38" s="123" t="n"/>
      <x:c r="S38" s="121" t="n"/>
      <x:c r="T38" s="121" t="n"/>
      <x:c r="U38" s="121" t="n"/>
      <x:c r="V38" s="121" t="n"/>
      <x:c r="W38" s="121" t="n"/>
      <x:c r="X38" s="121" t="n"/>
      <x:c r="Y38" s="121" t="n"/>
      <x:c r="Z38" s="121" t="n"/>
      <x:c r="AA38" s="121" t="n"/>
      <x:c r="AB38" s="121" t="n"/>
      <x:c r="AC38" s="121" t="n">
        <x:v>1</x:v>
      </x:c>
      <x:c r="AD38" s="121" t="n"/>
      <x:c r="AE38" s="123" t="n">
        <x:v>-1</x:v>
      </x:c>
      <x:c r="AF38" s="124" t="n"/>
      <x:c r="AG38" s="124" t="n"/>
      <x:c r="AH38" s="123" t="n"/>
      <x:c r="AI38" s="123" t="n"/>
      <x:c r="AJ38" s="124" t="n"/>
      <x:c r="AK38" s="121" t="n"/>
      <x:c r="AL38" s="121" t="n"/>
      <x:c r="AM38" s="121" t="n"/>
      <x:c r="AN38" s="124" t="n"/>
      <x:c r="AO38" s="121" t="n"/>
      <x:c r="AP38" s="121" t="n"/>
      <x:c r="AQ38" s="28" t="n"/>
      <x:c r="AR38" s="28" t="n"/>
      <x:c r="AS38" s="28" t="n"/>
    </x:row>
    <x:row r="39" s="27" customFormat="1">
      <x:c r="A39" s="125" t="n"/>
      <x:c r="B39" s="39" t="n"/>
      <x:c r="C39" s="36" t="n">
        <x:f>E39*D$5</x:f>
        <x:v>75.34</x:v>
      </x:c>
      <x:c r="D39" s="103" t="inlineStr">
        <x:is>
          <x:t xml:space="preserve">MAP2004-OK, LLC</x:t>
        </x:is>
      </x:c>
      <x:c r="E39" s="36" t="n">
        <x:f>SUM(G39:HT39)</x:f>
        <x:v>1</x:v>
      </x:c>
      <x:c r="F39" s="35" t="inlineStr">
        <x:is>
          <x:t xml:space="preserve"/>
        </x:is>
      </x:c>
      <x:c r="G39" s="121" t="n"/>
      <x:c r="H39" s="122" t="n"/>
      <x:c r="I39" s="122" t="n"/>
      <x:c r="J39" s="122" t="n"/>
      <x:c r="K39" s="122" t="n"/>
      <x:c r="L39" s="123" t="n"/>
      <x:c r="M39" s="123" t="n"/>
      <x:c r="N39" s="123" t="n"/>
      <x:c r="O39" s="123" t="n"/>
      <x:c r="P39" s="123" t="n"/>
      <x:c r="Q39" s="123" t="n"/>
      <x:c r="R39" s="123" t="n"/>
      <x:c r="S39" s="123" t="n"/>
      <x:c r="T39" s="123" t="n"/>
      <x:c r="U39" s="123" t="n"/>
      <x:c r="V39" s="123" t="n"/>
      <x:c r="W39" s="123" t="n"/>
      <x:c r="X39" s="123" t="n"/>
      <x:c r="Y39" s="123" t="n"/>
      <x:c r="Z39" s="123" t="n"/>
      <x:c r="AA39" s="123" t="n"/>
      <x:c r="AB39" s="123" t="n"/>
      <x:c r="AC39" s="123" t="n"/>
      <x:c r="AD39" s="123" t="n"/>
      <x:c r="AE39" s="123" t="n">
        <x:v>1</x:v>
      </x:c>
      <x:c r="AF39" s="124" t="n"/>
      <x:c r="AG39" s="124" t="n"/>
      <x:c r="AH39" s="124" t="n"/>
      <x:c r="AI39" s="123" t="n"/>
      <x:c r="AJ39" s="123" t="n"/>
      <x:c r="AK39" s="123" t="n"/>
      <x:c r="AL39" s="123" t="n"/>
      <x:c r="AM39" s="123" t="n"/>
      <x:c r="AN39" s="123" t="n"/>
      <x:c r="AO39" s="123" t="n"/>
      <x:c r="AP39" s="123" t="n"/>
      <x:c r="AQ39" s="100" t="n"/>
      <x:c r="AR39" s="100" t="n"/>
      <x:c r="AS39" s="100" t="n"/>
      <x:c r="AT39" s="100" t="n"/>
      <x:c r="AU39" s="100" t="n"/>
      <x:c r="AV39" s="100" t="n"/>
      <x:c r="AW39" s="100" t="n"/>
      <x:c r="AX39" s="100" t="n"/>
      <x:c r="AY39" s="100" t="n"/>
      <x:c r="AZ39" s="100" t="n"/>
      <x:c r="BA39" s="100" t="n"/>
      <x:c r="BB39" s="100" t="n"/>
      <x:c r="BC39" s="100" t="n"/>
      <x:c r="BD39" s="100" t="n"/>
      <x:c r="BE39" s="100" t="n"/>
      <x:c r="BF39" s="100" t="n"/>
      <x:c r="BG39" s="100" t="n"/>
      <x:c r="BH39" s="100" t="n"/>
      <x:c r="BI39" s="100" t="n"/>
      <x:c r="BJ39" s="100" t="n"/>
      <x:c r="BK39" s="100" t="n"/>
      <x:c r="BL39" s="100" t="n"/>
      <x:c r="BM39" s="100" t="n"/>
      <x:c r="BN39" s="100" t="n"/>
      <x:c r="BO39" s="100" t="n"/>
      <x:c r="BP39" s="100" t="n"/>
      <x:c r="BQ39" s="100" t="n"/>
      <x:c r="BR39" s="100" t="n"/>
      <x:c r="BS39" s="100" t="n"/>
      <x:c r="BT39" s="100" t="n"/>
      <x:c r="BU39" s="100" t="n"/>
      <x:c r="BV39" s="100" t="n"/>
      <x:c r="BW39" s="100" t="n"/>
      <x:c r="BX39" s="100" t="n"/>
      <x:c r="BY39" s="100" t="n"/>
      <x:c r="BZ39" s="100" t="n"/>
      <x:c r="CA39" s="100" t="n"/>
      <x:c r="CB39" s="100" t="n"/>
      <x:c r="CC39" s="100" t="n"/>
      <x:c r="CD39" s="100" t="n"/>
      <x:c r="CE39" s="100" t="n"/>
      <x:c r="CF39" s="100" t="n"/>
      <x:c r="CG39" s="100" t="n"/>
      <x:c r="CH39" s="100" t="n"/>
      <x:c r="CI39" s="100" t="n"/>
      <x:c r="CJ39" s="100" t="n"/>
      <x:c r="CK39" s="100" t="n"/>
      <x:c r="CL39" s="100" t="n"/>
      <x:c r="CM39" s="100" t="n"/>
      <x:c r="CN39" s="100" t="n"/>
      <x:c r="CO39" s="100" t="n"/>
      <x:c r="CP39" s="100" t="n"/>
      <x:c r="CQ39" s="100" t="n"/>
      <x:c r="CR39" s="100" t="n"/>
      <x:c r="CS39" s="100" t="n"/>
      <x:c r="CT39" s="100" t="n"/>
      <x:c r="CU39" s="100" t="n"/>
      <x:c r="CV39" s="100" t="n"/>
      <x:c r="CW39" s="100" t="n"/>
      <x:c r="CX39" s="100" t="n"/>
      <x:c r="CY39" s="100" t="n"/>
      <x:c r="CZ39" s="100" t="n"/>
      <x:c r="DA39" s="100" t="n"/>
      <x:c r="DB39" s="100" t="n"/>
      <x:c r="DC39" s="100" t="n"/>
      <x:c r="DD39" s="100" t="n"/>
      <x:c r="DE39" s="100" t="n"/>
      <x:c r="DF39" s="100" t="n"/>
      <x:c r="DG39" s="100" t="n"/>
      <x:c r="DH39" s="100" t="n"/>
      <x:c r="DI39" s="100" t="n"/>
      <x:c r="DJ39" s="100" t="n"/>
      <x:c r="DK39" s="100" t="n"/>
      <x:c r="DL39" s="100" t="n"/>
      <x:c r="DM39" s="100" t="n"/>
      <x:c r="DN39" s="100" t="n"/>
      <x:c r="DO39" s="100" t="n"/>
      <x:c r="DP39" s="100" t="n"/>
      <x:c r="DQ39" s="100" t="n"/>
      <x:c r="DR39" s="100" t="n"/>
      <x:c r="DS39" s="100" t="n"/>
      <x:c r="DT39" s="100" t="n"/>
      <x:c r="DU39" s="100" t="n"/>
      <x:c r="DV39" s="100" t="n"/>
      <x:c r="DW39" s="100" t="n"/>
      <x:c r="DX39" s="100" t="n"/>
      <x:c r="DY39" s="100" t="n"/>
      <x:c r="DZ39" s="100" t="n"/>
      <x:c r="EA39" s="100" t="n"/>
      <x:c r="EB39" s="100" t="n"/>
      <x:c r="EC39" s="100" t="n"/>
      <x:c r="ED39" s="100" t="n"/>
      <x:c r="EE39" s="100" t="n"/>
      <x:c r="EF39" s="100" t="n"/>
      <x:c r="EG39" s="100" t="n"/>
      <x:c r="EH39" s="100" t="n"/>
      <x:c r="EI39" s="100" t="n"/>
      <x:c r="EJ39" s="100" t="n"/>
      <x:c r="EK39" s="100" t="n"/>
      <x:c r="EL39" s="100" t="n"/>
      <x:c r="EM39" s="100" t="n"/>
      <x:c r="EN39" s="100" t="n"/>
      <x:c r="EO39" s="100" t="n"/>
      <x:c r="EP39" s="100" t="n"/>
      <x:c r="EQ39" s="100" t="n"/>
      <x:c r="ER39" s="100" t="n"/>
      <x:c r="ES39" s="100" t="n"/>
      <x:c r="ET39" s="100" t="n"/>
      <x:c r="EU39" s="100" t="n"/>
      <x:c r="EV39" s="100" t="n"/>
      <x:c r="EW39" s="100" t="n"/>
      <x:c r="EX39" s="100" t="n"/>
      <x:c r="EY39" s="100" t="n"/>
      <x:c r="EZ39" s="100" t="n"/>
      <x:c r="FA39" s="100" t="n"/>
      <x:c r="FB39" s="100" t="n"/>
      <x:c r="FC39" s="100" t="n"/>
      <x:c r="FD39" s="100" t="n"/>
      <x:c r="FE39" s="100" t="n"/>
      <x:c r="FF39" s="100" t="n"/>
      <x:c r="FG39" s="100" t="n"/>
      <x:c r="FH39" s="100" t="n"/>
      <x:c r="FI39" s="100" t="n"/>
      <x:c r="FJ39" s="100" t="n"/>
      <x:c r="FK39" s="100" t="n"/>
      <x:c r="FL39" s="100" t="n"/>
      <x:c r="FM39" s="100" t="n"/>
      <x:c r="FN39" s="100" t="n"/>
    </x:row>
    <x:row r="40" s="27" customFormat="1">
      <x:c r="A40" s="125" t="n"/>
      <x:c r="B40" s="39" t="n"/>
      <x:c r="C40" s="86" t="n">
        <x:f>E40*D$5</x:f>
        <x:v>75.34</x:v>
      </x:c>
      <x:c r="D40" s="103" t="inlineStr">
        <x:is>
          <x:t xml:space="preserve">Chisholm Royalty Partners</x:t>
        </x:is>
      </x:c>
      <x:c r="E40" s="86" t="n">
        <x:f>SUM(G40:HT40)</x:f>
        <x:v>1</x:v>
      </x:c>
      <x:c r="F40" s="35" t="inlineStr">
        <x:is>
          <x:t xml:space="preserve"/>
        </x:is>
      </x:c>
      <x:c r="G40" s="121" t="n"/>
      <x:c r="H40" s="122" t="n"/>
      <x:c r="I40" s="122" t="n"/>
      <x:c r="J40" s="122" t="n"/>
      <x:c r="K40" s="122" t="n"/>
      <x:c r="L40" s="123" t="n"/>
      <x:c r="M40" s="123" t="n"/>
      <x:c r="N40" s="123" t="n"/>
      <x:c r="O40" s="123" t="n"/>
      <x:c r="P40" s="123" t="n"/>
      <x:c r="Q40" s="123" t="n"/>
      <x:c r="R40" s="123" t="n"/>
      <x:c r="S40" s="123" t="n"/>
      <x:c r="T40" s="123" t="n"/>
      <x:c r="U40" s="123" t="n"/>
      <x:c r="V40" s="123" t="n"/>
      <x:c r="W40" s="123" t="n"/>
      <x:c r="X40" s="123" t="n"/>
      <x:c r="Y40" s="123" t="n"/>
      <x:c r="Z40" s="123" t="n"/>
      <x:c r="AA40" s="123" t="n"/>
      <x:c r="AB40" s="123" t="n"/>
      <x:c r="AC40" s="123" t="n"/>
      <x:c r="AD40" s="123" t="n"/>
      <x:c r="AE40" s="123" t="n"/>
      <x:c r="AF40" s="123" t="n">
        <x:v>1</x:v>
      </x:c>
      <x:c r="AG40" s="124" t="n"/>
      <x:c r="AH40" s="123" t="n"/>
      <x:c r="AI40" s="123" t="n"/>
      <x:c r="AJ40" s="124" t="n"/>
      <x:c r="AK40" s="123" t="n"/>
      <x:c r="AL40" s="123" t="n"/>
      <x:c r="AM40" s="123" t="n"/>
      <x:c r="AN40" s="123" t="n"/>
      <x:c r="AO40" s="123" t="n"/>
      <x:c r="AP40" s="123" t="n"/>
      <x:c r="AQ40" s="100" t="n"/>
      <x:c r="AR40" s="100" t="n"/>
      <x:c r="AS40" s="100" t="n"/>
      <x:c r="AT40" s="100" t="n"/>
      <x:c r="AU40" s="100" t="n"/>
      <x:c r="AV40" s="100" t="n"/>
      <x:c r="AW40" s="100" t="n"/>
      <x:c r="AX40" s="100" t="n"/>
      <x:c r="AY40" s="100" t="n"/>
      <x:c r="AZ40" s="100" t="n"/>
      <x:c r="BA40" s="100" t="n"/>
      <x:c r="BB40" s="100" t="n"/>
      <x:c r="BC40" s="100" t="n"/>
      <x:c r="BD40" s="100" t="n"/>
      <x:c r="BE40" s="100" t="n"/>
      <x:c r="BF40" s="100" t="n"/>
      <x:c r="BG40" s="100" t="n"/>
      <x:c r="BH40" s="100" t="n"/>
      <x:c r="BI40" s="100" t="n"/>
      <x:c r="BJ40" s="100" t="n"/>
      <x:c r="BK40" s="100" t="n"/>
      <x:c r="BL40" s="100" t="n"/>
      <x:c r="BM40" s="100" t="n"/>
      <x:c r="BN40" s="100" t="n"/>
      <x:c r="BO40" s="100" t="n"/>
      <x:c r="BP40" s="100" t="n"/>
      <x:c r="BQ40" s="100" t="n"/>
      <x:c r="BR40" s="100" t="n"/>
      <x:c r="BS40" s="100" t="n"/>
      <x:c r="BT40" s="100" t="n"/>
      <x:c r="BU40" s="100" t="n"/>
      <x:c r="BV40" s="100" t="n"/>
      <x:c r="BW40" s="100" t="n"/>
      <x:c r="BX40" s="100" t="n"/>
      <x:c r="BY40" s="100" t="n"/>
      <x:c r="BZ40" s="100" t="n"/>
      <x:c r="CA40" s="100" t="n"/>
      <x:c r="CB40" s="100" t="n"/>
      <x:c r="CC40" s="100" t="n"/>
      <x:c r="CD40" s="100" t="n"/>
      <x:c r="CE40" s="100" t="n"/>
      <x:c r="CF40" s="100" t="n"/>
      <x:c r="CG40" s="100" t="n"/>
      <x:c r="CH40" s="100" t="n"/>
      <x:c r="CI40" s="100" t="n"/>
      <x:c r="CJ40" s="100" t="n"/>
      <x:c r="CK40" s="100" t="n"/>
      <x:c r="CL40" s="100" t="n"/>
      <x:c r="CM40" s="100" t="n"/>
      <x:c r="CN40" s="100" t="n"/>
      <x:c r="CO40" s="100" t="n"/>
      <x:c r="CP40" s="100" t="n"/>
      <x:c r="CQ40" s="100" t="n"/>
      <x:c r="CR40" s="100" t="n"/>
      <x:c r="CS40" s="100" t="n"/>
      <x:c r="CT40" s="100" t="n"/>
      <x:c r="CU40" s="100" t="n"/>
      <x:c r="CV40" s="100" t="n"/>
      <x:c r="CW40" s="100" t="n"/>
      <x:c r="CX40" s="100" t="n"/>
      <x:c r="CY40" s="100" t="n"/>
      <x:c r="CZ40" s="100" t="n"/>
      <x:c r="DA40" s="100" t="n"/>
      <x:c r="DB40" s="100" t="n"/>
      <x:c r="DC40" s="100" t="n"/>
      <x:c r="DD40" s="100" t="n"/>
      <x:c r="DE40" s="100" t="n"/>
      <x:c r="DF40" s="100" t="n"/>
      <x:c r="DG40" s="100" t="n"/>
      <x:c r="DH40" s="100" t="n"/>
      <x:c r="DI40" s="100" t="n"/>
      <x:c r="DJ40" s="100" t="n"/>
      <x:c r="DK40" s="100" t="n"/>
      <x:c r="DL40" s="100" t="n"/>
      <x:c r="DM40" s="100" t="n"/>
      <x:c r="DN40" s="100" t="n"/>
      <x:c r="DO40" s="100" t="n"/>
      <x:c r="DP40" s="100" t="n"/>
      <x:c r="DQ40" s="100" t="n"/>
      <x:c r="DR40" s="100" t="n"/>
      <x:c r="DS40" s="100" t="n"/>
      <x:c r="DT40" s="100" t="n"/>
      <x:c r="DU40" s="100" t="n"/>
      <x:c r="DV40" s="100" t="n"/>
      <x:c r="DW40" s="100" t="n"/>
      <x:c r="DX40" s="100" t="n"/>
      <x:c r="DY40" s="100" t="n"/>
      <x:c r="DZ40" s="100" t="n"/>
      <x:c r="EA40" s="100" t="n"/>
      <x:c r="EB40" s="100" t="n"/>
      <x:c r="EC40" s="100" t="n"/>
      <x:c r="ED40" s="100" t="n"/>
      <x:c r="EE40" s="100" t="n"/>
      <x:c r="EF40" s="100" t="n"/>
      <x:c r="EG40" s="100" t="n"/>
      <x:c r="EH40" s="100" t="n"/>
      <x:c r="EI40" s="100" t="n"/>
      <x:c r="EJ40" s="100" t="n"/>
      <x:c r="EK40" s="100" t="n"/>
      <x:c r="EL40" s="100" t="n"/>
      <x:c r="EM40" s="100" t="n"/>
      <x:c r="EN40" s="100" t="n"/>
      <x:c r="EO40" s="100" t="n"/>
      <x:c r="EP40" s="100" t="n"/>
      <x:c r="EQ40" s="100" t="n"/>
      <x:c r="ER40" s="100" t="n"/>
      <x:c r="ES40" s="100" t="n"/>
      <x:c r="ET40" s="100" t="n"/>
      <x:c r="EU40" s="100" t="n"/>
      <x:c r="EV40" s="100" t="n"/>
      <x:c r="EW40" s="100" t="n"/>
      <x:c r="EX40" s="100" t="n"/>
      <x:c r="EY40" s="100" t="n"/>
      <x:c r="EZ40" s="100" t="n"/>
      <x:c r="FA40" s="100" t="n"/>
      <x:c r="FB40" s="100" t="n"/>
      <x:c r="FC40" s="100" t="n"/>
      <x:c r="FD40" s="100" t="n"/>
      <x:c r="FE40" s="100" t="n"/>
      <x:c r="FF40" s="100" t="n"/>
      <x:c r="FG40" s="100" t="n"/>
      <x:c r="FH40" s="100" t="n"/>
      <x:c r="FI40" s="100" t="n"/>
      <x:c r="FJ40" s="100" t="n"/>
      <x:c r="FK40" s="100" t="n"/>
      <x:c r="FL40" s="100" t="n"/>
      <x:c r="FM40" s="100" t="n"/>
      <x:c r="FN40" s="100" t="n"/>
    </x:row>
    <x:row r="41" s="27" customFormat="1">
      <x:c r="A41" s="125" t="n"/>
      <x:c r="B41" s="39" t="n"/>
      <x:c r="C41" s="36" t="n">
        <x:f>E41*D$5</x:f>
        <x:v>150.68</x:v>
      </x:c>
      <x:c r="D41" s="4" t="inlineStr">
        <x:is>
          <x:t xml:space="preserve">Mekusukey Oil Company, LLC</x:t>
        </x:is>
      </x:c>
      <x:c r="E41" s="36" t="n">
        <x:f>SUM(G41:HT41)</x:f>
        <x:v>2</x:v>
      </x:c>
      <x:c r="F41" s="35" t="inlineStr">
        <x:is>
          <x:t xml:space="preserve"/>
        </x:is>
      </x:c>
      <x:c r="G41" s="121" t="n"/>
      <x:c r="H41" s="122" t="n"/>
      <x:c r="I41" s="122" t="n"/>
      <x:c r="J41" s="122" t="n"/>
      <x:c r="K41" s="122" t="n"/>
      <x:c r="L41" s="123" t="n"/>
      <x:c r="M41" s="123" t="n"/>
      <x:c r="N41" s="123" t="n"/>
      <x:c r="O41" s="123" t="n"/>
      <x:c r="P41" s="123" t="n"/>
      <x:c r="Q41" s="123" t="n"/>
      <x:c r="R41" s="123" t="n"/>
      <x:c r="S41" s="123" t="n"/>
      <x:c r="T41" s="123" t="n"/>
      <x:c r="U41" s="123" t="n"/>
      <x:c r="V41" s="123" t="n"/>
      <x:c r="W41" s="123" t="n"/>
      <x:c r="X41" s="123" t="n"/>
      <x:c r="Y41" s="123" t="n"/>
      <x:c r="Z41" s="123" t="n"/>
      <x:c r="AA41" s="123" t="n"/>
      <x:c r="AB41" s="123" t="n"/>
      <x:c r="AC41" s="123" t="n"/>
      <x:c r="AD41" s="123" t="n"/>
      <x:c r="AE41" s="123" t="n"/>
      <x:c r="AF41" s="123" t="n"/>
      <x:c r="AG41" s="123" t="n">
        <x:v>1</x:v>
      </x:c>
      <x:c r="AH41" s="124" t="n">
        <x:v>1</x:v>
      </x:c>
      <x:c r="AI41" s="124" t="n"/>
      <x:c r="AJ41" s="123" t="n"/>
      <x:c r="AK41" s="123" t="n"/>
      <x:c r="AL41" s="123" t="n"/>
      <x:c r="AM41" s="123" t="n"/>
      <x:c r="AN41" s="123" t="n"/>
      <x:c r="AO41" s="123" t="n"/>
      <x:c r="AP41" s="123" t="n"/>
      <x:c r="AQ41" s="100" t="n"/>
      <x:c r="AR41" s="100" t="n"/>
      <x:c r="AS41" s="100" t="n"/>
      <x:c r="AT41" s="100" t="n"/>
      <x:c r="AU41" s="100" t="n"/>
      <x:c r="AV41" s="100" t="n"/>
      <x:c r="AW41" s="100" t="n"/>
      <x:c r="AX41" s="100" t="n"/>
      <x:c r="AY41" s="100" t="n"/>
      <x:c r="AZ41" s="100" t="n"/>
      <x:c r="BA41" s="100" t="n"/>
      <x:c r="BB41" s="100" t="n"/>
      <x:c r="BC41" s="100" t="n"/>
      <x:c r="BD41" s="100" t="n"/>
      <x:c r="BE41" s="100" t="n"/>
      <x:c r="BF41" s="100" t="n"/>
      <x:c r="BG41" s="100" t="n"/>
      <x:c r="BH41" s="100" t="n"/>
      <x:c r="BI41" s="100" t="n"/>
      <x:c r="BJ41" s="100" t="n"/>
      <x:c r="BK41" s="100" t="n"/>
      <x:c r="BL41" s="100" t="n"/>
      <x:c r="BM41" s="100" t="n"/>
      <x:c r="BN41" s="100" t="n"/>
      <x:c r="BO41" s="100" t="n"/>
      <x:c r="BP41" s="100" t="n"/>
      <x:c r="BQ41" s="100" t="n"/>
      <x:c r="BR41" s="100" t="n"/>
      <x:c r="BS41" s="100" t="n"/>
      <x:c r="BT41" s="100" t="n"/>
      <x:c r="BU41" s="100" t="n"/>
      <x:c r="BV41" s="100" t="n"/>
      <x:c r="BW41" s="100" t="n"/>
      <x:c r="BX41" s="100" t="n"/>
      <x:c r="BY41" s="100" t="n"/>
      <x:c r="BZ41" s="100" t="n"/>
      <x:c r="CA41" s="100" t="n"/>
      <x:c r="CB41" s="100" t="n"/>
      <x:c r="CC41" s="100" t="n"/>
      <x:c r="CD41" s="100" t="n"/>
      <x:c r="CE41" s="100" t="n"/>
      <x:c r="CF41" s="100" t="n"/>
      <x:c r="CG41" s="100" t="n"/>
      <x:c r="CH41" s="100" t="n"/>
      <x:c r="CI41" s="100" t="n"/>
      <x:c r="CJ41" s="100" t="n"/>
      <x:c r="CK41" s="100" t="n"/>
      <x:c r="CL41" s="100" t="n"/>
      <x:c r="CM41" s="100" t="n"/>
      <x:c r="CN41" s="100" t="n"/>
      <x:c r="CO41" s="100" t="n"/>
      <x:c r="CP41" s="100" t="n"/>
      <x:c r="CQ41" s="100" t="n"/>
      <x:c r="CR41" s="100" t="n"/>
      <x:c r="CS41" s="100" t="n"/>
      <x:c r="CT41" s="100" t="n"/>
      <x:c r="CU41" s="100" t="n"/>
      <x:c r="CV41" s="100" t="n"/>
      <x:c r="CW41" s="100" t="n"/>
      <x:c r="CX41" s="100" t="n"/>
      <x:c r="CY41" s="100" t="n"/>
      <x:c r="CZ41" s="100" t="n"/>
      <x:c r="DA41" s="100" t="n"/>
      <x:c r="DB41" s="100" t="n"/>
      <x:c r="DC41" s="100" t="n"/>
      <x:c r="DD41" s="100" t="n"/>
      <x:c r="DE41" s="100" t="n"/>
      <x:c r="DF41" s="100" t="n"/>
      <x:c r="DG41" s="100" t="n"/>
      <x:c r="DH41" s="100" t="n"/>
      <x:c r="DI41" s="100" t="n"/>
      <x:c r="DJ41" s="100" t="n"/>
      <x:c r="DK41" s="100" t="n"/>
      <x:c r="DL41" s="100" t="n"/>
      <x:c r="DM41" s="100" t="n"/>
      <x:c r="DN41" s="100" t="n"/>
      <x:c r="DO41" s="100" t="n"/>
      <x:c r="DP41" s="100" t="n"/>
      <x:c r="DQ41" s="100" t="n"/>
      <x:c r="DR41" s="100" t="n"/>
      <x:c r="DS41" s="100" t="n"/>
      <x:c r="DT41" s="100" t="n"/>
      <x:c r="DU41" s="100" t="n"/>
      <x:c r="DV41" s="100" t="n"/>
      <x:c r="DW41" s="100" t="n"/>
      <x:c r="DX41" s="100" t="n"/>
      <x:c r="DY41" s="100" t="n"/>
      <x:c r="DZ41" s="100" t="n"/>
      <x:c r="EA41" s="100" t="n"/>
      <x:c r="EB41" s="100" t="n"/>
      <x:c r="EC41" s="100" t="n"/>
      <x:c r="ED41" s="100" t="n"/>
      <x:c r="EE41" s="100" t="n"/>
      <x:c r="EF41" s="100" t="n"/>
      <x:c r="EG41" s="100" t="n"/>
      <x:c r="EH41" s="100" t="n"/>
      <x:c r="EI41" s="100" t="n"/>
      <x:c r="EJ41" s="100" t="n"/>
      <x:c r="EK41" s="100" t="n"/>
      <x:c r="EL41" s="100" t="n"/>
      <x:c r="EM41" s="100" t="n"/>
      <x:c r="EN41" s="100" t="n"/>
      <x:c r="EO41" s="100" t="n"/>
      <x:c r="EP41" s="100" t="n"/>
      <x:c r="EQ41" s="100" t="n"/>
      <x:c r="ER41" s="100" t="n"/>
      <x:c r="ES41" s="100" t="n"/>
      <x:c r="ET41" s="100" t="n"/>
      <x:c r="EU41" s="100" t="n"/>
      <x:c r="EV41" s="100" t="n"/>
      <x:c r="EW41" s="100" t="n"/>
      <x:c r="EX41" s="100" t="n"/>
      <x:c r="EY41" s="100" t="n"/>
      <x:c r="EZ41" s="100" t="n"/>
      <x:c r="FA41" s="100" t="n"/>
      <x:c r="FB41" s="100" t="n"/>
      <x:c r="FC41" s="100" t="n"/>
      <x:c r="FD41" s="100" t="n"/>
      <x:c r="FE41" s="100" t="n"/>
      <x:c r="FF41" s="100" t="n"/>
      <x:c r="FG41" s="100" t="n"/>
      <x:c r="FH41" s="100" t="n"/>
      <x:c r="FI41" s="100" t="n"/>
      <x:c r="FJ41" s="100" t="n"/>
      <x:c r="FK41" s="100" t="n"/>
      <x:c r="FL41" s="100" t="n"/>
      <x:c r="FM41" s="100" t="n"/>
      <x:c r="FN41" s="100" t="n"/>
    </x:row>
    <x:row r="42" s="27" customFormat="1">
      <x:c r="A42" s="125" t="n"/>
      <x:c r="B42" s="39" t="n"/>
      <x:c r="C42" s="86" t="n">
        <x:f>E42*D$5</x:f>
        <x:v>-75.34</x:v>
      </x:c>
      <x:c r="D42" s="422" t="inlineStr">
        <x:is>
          <x:t xml:space="preserve">Joseph A. &amp; Doris M. Bain</x:t>
        </x:is>
      </x:c>
      <x:c r="E42" s="413" t="n">
        <x:f>SUM(G42:HT42)</x:f>
        <x:v>-1</x:v>
      </x:c>
      <x:c r="F42" s="35" t="inlineStr">
        <x:is>
          <x:t xml:space="preserve"/>
        </x:is>
      </x:c>
      <x:c r="G42" s="121" t="n"/>
      <x:c r="H42" s="122" t="n"/>
      <x:c r="I42" s="122" t="n"/>
      <x:c r="J42" s="122" t="n"/>
      <x:c r="K42" s="122" t="n"/>
      <x:c r="L42" s="123" t="n"/>
      <x:c r="M42" s="123" t="n"/>
      <x:c r="N42" s="123" t="n"/>
      <x:c r="O42" s="123" t="n"/>
      <x:c r="P42" s="123" t="n"/>
      <x:c r="Q42" s="123" t="n"/>
      <x:c r="R42" s="123" t="n"/>
      <x:c r="S42" s="124" t="n"/>
      <x:c r="T42" s="124" t="n"/>
      <x:c r="U42" s="123" t="n"/>
      <x:c r="V42" s="123" t="n"/>
      <x:c r="W42" s="123" t="n"/>
      <x:c r="X42" s="123" t="n"/>
      <x:c r="Y42" s="123" t="n"/>
      <x:c r="Z42" s="123" t="n"/>
      <x:c r="AA42" s="123" t="n"/>
      <x:c r="AB42" s="123" t="n"/>
      <x:c r="AC42" s="123" t="n"/>
      <x:c r="AD42" s="123" t="n"/>
      <x:c r="AE42" s="123" t="n"/>
      <x:c r="AF42" s="123" t="n"/>
      <x:c r="AG42" s="123" t="n"/>
      <x:c r="AH42" s="123" t="n"/>
      <x:c r="AI42" s="123" t="n">
        <x:v>-1</x:v>
      </x:c>
      <x:c r="AJ42" s="124" t="n"/>
      <x:c r="AK42" s="123" t="n"/>
      <x:c r="AL42" s="123" t="n"/>
      <x:c r="AM42" s="123" t="n"/>
      <x:c r="AN42" s="123" t="n"/>
      <x:c r="AO42" s="123" t="n"/>
      <x:c r="AP42" s="123" t="n"/>
      <x:c r="AQ42" s="100" t="n"/>
      <x:c r="AR42" s="100" t="n"/>
      <x:c r="AS42" s="100" t="n"/>
      <x:c r="AT42" s="100" t="n"/>
      <x:c r="AU42" s="100" t="n"/>
      <x:c r="AV42" s="100" t="n"/>
      <x:c r="AW42" s="100" t="n"/>
      <x:c r="AX42" s="100" t="n"/>
      <x:c r="AY42" s="100" t="n"/>
      <x:c r="AZ42" s="100" t="n"/>
      <x:c r="BA42" s="100" t="n"/>
      <x:c r="BB42" s="100" t="n"/>
      <x:c r="BC42" s="100" t="n"/>
      <x:c r="BD42" s="100" t="n"/>
      <x:c r="BE42" s="100" t="n"/>
      <x:c r="BF42" s="100" t="n"/>
      <x:c r="BG42" s="100" t="n"/>
      <x:c r="BH42" s="100" t="n"/>
      <x:c r="BI42" s="100" t="n"/>
      <x:c r="BJ42" s="100" t="n"/>
      <x:c r="BK42" s="100" t="n"/>
      <x:c r="BL42" s="100" t="n"/>
      <x:c r="BM42" s="100" t="n"/>
      <x:c r="BN42" s="100" t="n"/>
      <x:c r="BO42" s="100" t="n"/>
      <x:c r="BP42" s="100" t="n"/>
      <x:c r="BQ42" s="100" t="n"/>
      <x:c r="BR42" s="100" t="n"/>
      <x:c r="BS42" s="100" t="n"/>
      <x:c r="BT42" s="100" t="n"/>
      <x:c r="BU42" s="100" t="n"/>
      <x:c r="BV42" s="100" t="n"/>
      <x:c r="BW42" s="100" t="n"/>
      <x:c r="BX42" s="100" t="n"/>
      <x:c r="BY42" s="100" t="n"/>
      <x:c r="BZ42" s="100" t="n"/>
      <x:c r="CA42" s="100" t="n"/>
      <x:c r="CB42" s="100" t="n"/>
      <x:c r="CC42" s="100" t="n"/>
      <x:c r="CD42" s="100" t="n"/>
      <x:c r="CE42" s="100" t="n"/>
      <x:c r="CF42" s="100" t="n"/>
      <x:c r="CG42" s="100" t="n"/>
      <x:c r="CH42" s="100" t="n"/>
      <x:c r="CI42" s="100" t="n"/>
      <x:c r="CJ42" s="100" t="n"/>
      <x:c r="CK42" s="100" t="n"/>
      <x:c r="CL42" s="100" t="n"/>
      <x:c r="CM42" s="100" t="n"/>
      <x:c r="CN42" s="100" t="n"/>
      <x:c r="CO42" s="100" t="n"/>
      <x:c r="CP42" s="100" t="n"/>
      <x:c r="CQ42" s="100" t="n"/>
      <x:c r="CR42" s="100" t="n"/>
      <x:c r="CS42" s="100" t="n"/>
      <x:c r="CT42" s="100" t="n"/>
      <x:c r="CU42" s="100" t="n"/>
      <x:c r="CV42" s="100" t="n"/>
      <x:c r="CW42" s="100" t="n"/>
      <x:c r="CX42" s="100" t="n"/>
      <x:c r="CY42" s="100" t="n"/>
      <x:c r="CZ42" s="100" t="n"/>
      <x:c r="DA42" s="100" t="n"/>
      <x:c r="DB42" s="100" t="n"/>
      <x:c r="DC42" s="100" t="n"/>
      <x:c r="DD42" s="100" t="n"/>
      <x:c r="DE42" s="100" t="n"/>
      <x:c r="DF42" s="100" t="n"/>
      <x:c r="DG42" s="100" t="n"/>
      <x:c r="DH42" s="100" t="n"/>
      <x:c r="DI42" s="100" t="n"/>
      <x:c r="DJ42" s="100" t="n"/>
      <x:c r="DK42" s="100" t="n"/>
      <x:c r="DL42" s="100" t="n"/>
      <x:c r="DM42" s="100" t="n"/>
      <x:c r="DN42" s="100" t="n"/>
      <x:c r="DO42" s="100" t="n"/>
      <x:c r="DP42" s="100" t="n"/>
      <x:c r="DQ42" s="100" t="n"/>
      <x:c r="DR42" s="100" t="n"/>
      <x:c r="DS42" s="100" t="n"/>
      <x:c r="DT42" s="100" t="n"/>
      <x:c r="DU42" s="100" t="n"/>
      <x:c r="DV42" s="100" t="n"/>
      <x:c r="DW42" s="100" t="n"/>
      <x:c r="DX42" s="100" t="n"/>
      <x:c r="DY42" s="100" t="n"/>
      <x:c r="DZ42" s="100" t="n"/>
      <x:c r="EA42" s="100" t="n"/>
      <x:c r="EB42" s="100" t="n"/>
      <x:c r="EC42" s="100" t="n"/>
      <x:c r="ED42" s="100" t="n"/>
      <x:c r="EE42" s="100" t="n"/>
      <x:c r="EF42" s="100" t="n"/>
      <x:c r="EG42" s="100" t="n"/>
      <x:c r="EH42" s="100" t="n"/>
      <x:c r="EI42" s="100" t="n"/>
      <x:c r="EJ42" s="100" t="n"/>
      <x:c r="EK42" s="100" t="n"/>
      <x:c r="EL42" s="100" t="n"/>
      <x:c r="EM42" s="100" t="n"/>
      <x:c r="EN42" s="100" t="n"/>
      <x:c r="EO42" s="100" t="n"/>
      <x:c r="EP42" s="100" t="n"/>
      <x:c r="EQ42" s="100" t="n"/>
      <x:c r="ER42" s="100" t="n"/>
      <x:c r="ES42" s="100" t="n"/>
      <x:c r="ET42" s="100" t="n"/>
      <x:c r="EU42" s="100" t="n"/>
      <x:c r="EV42" s="100" t="n"/>
      <x:c r="EW42" s="100" t="n"/>
      <x:c r="EX42" s="100" t="n"/>
      <x:c r="EY42" s="100" t="n"/>
      <x:c r="EZ42" s="100" t="n"/>
      <x:c r="FA42" s="100" t="n"/>
      <x:c r="FB42" s="100" t="n"/>
      <x:c r="FC42" s="100" t="n"/>
      <x:c r="FD42" s="100" t="n"/>
      <x:c r="FE42" s="100" t="n"/>
      <x:c r="FF42" s="100" t="n"/>
      <x:c r="FG42" s="100" t="n"/>
      <x:c r="FH42" s="100" t="n"/>
      <x:c r="FI42" s="100" t="n"/>
      <x:c r="FJ42" s="100" t="n"/>
      <x:c r="FK42" s="100" t="n"/>
      <x:c r="FL42" s="100" t="n"/>
      <x:c r="FM42" s="100" t="n"/>
      <x:c r="FN42" s="100" t="n"/>
    </x:row>
    <x:row r="43" s="27" customFormat="1">
      <x:c r="A43" s="125" t="n"/>
      <x:c r="B43" s="39" t="n"/>
      <x:c r="C43" s="86" t="n">
        <x:f>E43*D$5</x:f>
        <x:v>75.34</x:v>
      </x:c>
      <x:c r="D43" s="523" t="inlineStr">
        <x:is>
          <x:t xml:space="preserve">Anna T. Gibson</x:t>
        </x:is>
      </x:c>
      <x:c r="E43" s="86" t="n">
        <x:f>SUM(G43:HT43)</x:f>
        <x:v>1</x:v>
      </x:c>
      <x:c r="F43" s="35" t="inlineStr">
        <x:is>
          <x:t xml:space="preserve"/>
        </x:is>
      </x:c>
      <x:c r="G43" s="121" t="n"/>
      <x:c r="H43" s="122" t="n"/>
      <x:c r="I43" s="122" t="n"/>
      <x:c r="J43" s="122" t="n"/>
      <x:c r="K43" s="122" t="n"/>
      <x:c r="L43" s="123" t="n"/>
      <x:c r="M43" s="123" t="n"/>
      <x:c r="N43" s="123" t="n"/>
      <x:c r="O43" s="124" t="n"/>
      <x:c r="P43" s="123" t="n"/>
      <x:c r="Q43" s="123" t="n"/>
      <x:c r="R43" s="123" t="n"/>
      <x:c r="S43" s="123" t="n"/>
      <x:c r="T43" s="123" t="n"/>
      <x:c r="U43" s="123" t="n"/>
      <x:c r="V43" s="123" t="n"/>
      <x:c r="W43" s="123" t="n"/>
      <x:c r="X43" s="123" t="n"/>
      <x:c r="Y43" s="123" t="n"/>
      <x:c r="Z43" s="123" t="n"/>
      <x:c r="AA43" s="123" t="n"/>
      <x:c r="AB43" s="123" t="n"/>
      <x:c r="AC43" s="123" t="n"/>
      <x:c r="AD43" s="123" t="n"/>
      <x:c r="AE43" s="123" t="n"/>
      <x:c r="AF43" s="123" t="n"/>
      <x:c r="AG43" s="123" t="n"/>
      <x:c r="AH43" s="123" t="n"/>
      <x:c r="AI43" s="123" t="n">
        <x:v>1</x:v>
      </x:c>
      <x:c r="AJ43" s="124" t="n"/>
      <x:c r="AK43" s="123" t="n"/>
      <x:c r="AL43" s="123" t="n"/>
      <x:c r="AM43" s="123" t="n"/>
      <x:c r="AN43" s="123" t="n"/>
      <x:c r="AO43" s="123" t="n"/>
      <x:c r="AP43" s="123" t="n"/>
      <x:c r="AQ43" s="100" t="n"/>
      <x:c r="AR43" s="100" t="n"/>
      <x:c r="AS43" s="100" t="n"/>
      <x:c r="AT43" s="100" t="n"/>
      <x:c r="AU43" s="100" t="n"/>
      <x:c r="AV43" s="100" t="n"/>
      <x:c r="AW43" s="100" t="n"/>
      <x:c r="AX43" s="100" t="n"/>
      <x:c r="AY43" s="100" t="n"/>
      <x:c r="AZ43" s="100" t="n"/>
      <x:c r="BA43" s="100" t="n"/>
      <x:c r="BB43" s="100" t="n"/>
      <x:c r="BC43" s="100" t="n"/>
      <x:c r="BD43" s="100" t="n"/>
      <x:c r="BE43" s="100" t="n"/>
      <x:c r="BF43" s="100" t="n"/>
      <x:c r="BG43" s="100" t="n"/>
      <x:c r="BH43" s="100" t="n"/>
      <x:c r="BI43" s="100" t="n"/>
      <x:c r="BJ43" s="100" t="n"/>
      <x:c r="BK43" s="100" t="n"/>
      <x:c r="BL43" s="100" t="n"/>
      <x:c r="BM43" s="100" t="n"/>
      <x:c r="BN43" s="100" t="n"/>
      <x:c r="BO43" s="100" t="n"/>
      <x:c r="BP43" s="100" t="n"/>
      <x:c r="BQ43" s="100" t="n"/>
      <x:c r="BR43" s="100" t="n"/>
      <x:c r="BS43" s="100" t="n"/>
      <x:c r="BT43" s="100" t="n"/>
      <x:c r="BU43" s="100" t="n"/>
      <x:c r="BV43" s="100" t="n"/>
      <x:c r="BW43" s="100" t="n"/>
      <x:c r="BX43" s="100" t="n"/>
      <x:c r="BY43" s="100" t="n"/>
      <x:c r="BZ43" s="100" t="n"/>
      <x:c r="CA43" s="100" t="n"/>
      <x:c r="CB43" s="100" t="n"/>
      <x:c r="CC43" s="100" t="n"/>
      <x:c r="CD43" s="100" t="n"/>
      <x:c r="CE43" s="100" t="n"/>
      <x:c r="CF43" s="100" t="n"/>
      <x:c r="CG43" s="100" t="n"/>
      <x:c r="CH43" s="100" t="n"/>
      <x:c r="CI43" s="100" t="n"/>
      <x:c r="CJ43" s="100" t="n"/>
      <x:c r="CK43" s="100" t="n"/>
      <x:c r="CL43" s="100" t="n"/>
      <x:c r="CM43" s="100" t="n"/>
      <x:c r="CN43" s="100" t="n"/>
      <x:c r="CO43" s="100" t="n"/>
      <x:c r="CP43" s="100" t="n"/>
      <x:c r="CQ43" s="100" t="n"/>
      <x:c r="CR43" s="100" t="n"/>
      <x:c r="CS43" s="100" t="n"/>
      <x:c r="CT43" s="100" t="n"/>
      <x:c r="CU43" s="100" t="n"/>
      <x:c r="CV43" s="100" t="n"/>
      <x:c r="CW43" s="100" t="n"/>
      <x:c r="CX43" s="100" t="n"/>
      <x:c r="CY43" s="100" t="n"/>
      <x:c r="CZ43" s="100" t="n"/>
      <x:c r="DA43" s="100" t="n"/>
      <x:c r="DB43" s="100" t="n"/>
      <x:c r="DC43" s="100" t="n"/>
      <x:c r="DD43" s="100" t="n"/>
      <x:c r="DE43" s="100" t="n"/>
      <x:c r="DF43" s="100" t="n"/>
      <x:c r="DG43" s="100" t="n"/>
      <x:c r="DH43" s="100" t="n"/>
      <x:c r="DI43" s="100" t="n"/>
      <x:c r="DJ43" s="100" t="n"/>
      <x:c r="DK43" s="100" t="n"/>
      <x:c r="DL43" s="100" t="n"/>
      <x:c r="DM43" s="100" t="n"/>
      <x:c r="DN43" s="100" t="n"/>
      <x:c r="DO43" s="100" t="n"/>
      <x:c r="DP43" s="100" t="n"/>
      <x:c r="DQ43" s="100" t="n"/>
      <x:c r="DR43" s="100" t="n"/>
      <x:c r="DS43" s="100" t="n"/>
      <x:c r="DT43" s="100" t="n"/>
      <x:c r="DU43" s="100" t="n"/>
      <x:c r="DV43" s="100" t="n"/>
      <x:c r="DW43" s="100" t="n"/>
      <x:c r="DX43" s="100" t="n"/>
      <x:c r="DY43" s="100" t="n"/>
      <x:c r="DZ43" s="100" t="n"/>
      <x:c r="EA43" s="100" t="n"/>
      <x:c r="EB43" s="100" t="n"/>
      <x:c r="EC43" s="100" t="n"/>
      <x:c r="ED43" s="100" t="n"/>
      <x:c r="EE43" s="100" t="n"/>
      <x:c r="EF43" s="100" t="n"/>
      <x:c r="EG43" s="100" t="n"/>
      <x:c r="EH43" s="100" t="n"/>
      <x:c r="EI43" s="100" t="n"/>
      <x:c r="EJ43" s="100" t="n"/>
      <x:c r="EK43" s="100" t="n"/>
      <x:c r="EL43" s="100" t="n"/>
      <x:c r="EM43" s="100" t="n"/>
      <x:c r="EN43" s="100" t="n"/>
      <x:c r="EO43" s="100" t="n"/>
      <x:c r="EP43" s="100" t="n"/>
      <x:c r="EQ43" s="100" t="n"/>
      <x:c r="ER43" s="100" t="n"/>
      <x:c r="ES43" s="100" t="n"/>
      <x:c r="ET43" s="100" t="n"/>
      <x:c r="EU43" s="100" t="n"/>
      <x:c r="EV43" s="100" t="n"/>
      <x:c r="EW43" s="100" t="n"/>
      <x:c r="EX43" s="100" t="n"/>
      <x:c r="EY43" s="100" t="n"/>
      <x:c r="EZ43" s="100" t="n"/>
      <x:c r="FA43" s="100" t="n"/>
      <x:c r="FB43" s="100" t="n"/>
      <x:c r="FC43" s="100" t="n"/>
      <x:c r="FD43" s="100" t="n"/>
      <x:c r="FE43" s="100" t="n"/>
      <x:c r="FF43" s="100" t="n"/>
      <x:c r="FG43" s="100" t="n"/>
      <x:c r="FH43" s="100" t="n"/>
      <x:c r="FI43" s="100" t="n"/>
      <x:c r="FJ43" s="100" t="n"/>
      <x:c r="FK43" s="100" t="n"/>
      <x:c r="FL43" s="100" t="n"/>
      <x:c r="FM43" s="100" t="n"/>
      <x:c r="FN43" s="100" t="n"/>
    </x:row>
    <x:row r="44" s="27" customFormat="1" ht="12" customHeight="1">
      <x:c r="A44" s="125" t="n"/>
      <x:c r="B44" s="39" t="n"/>
      <x:c r="C44" s="86" t="n">
        <x:f>E44*D$5</x:f>
        <x:v>-2.181349156</x:v>
      </x:c>
      <x:c r="D44" s="421" t="inlineStr">
        <x:is>
          <x:t xml:space="preserve">Jesse W. &amp; Jinkee D. A. Fuchs</x:t>
        </x:is>
      </x:c>
      <x:c r="E44" s="413" t="n">
        <x:f>SUM(G44:HT44)</x:f>
        <x:v>-0.0289534</x:v>
      </x:c>
      <x:c r="F44" s="35" t="inlineStr">
        <x:is>
          <x:t xml:space="preserve"/>
        </x:is>
      </x:c>
      <x:c r="G44" s="121" t="n"/>
      <x:c r="H44" s="121" t="n"/>
      <x:c r="I44" s="121" t="n"/>
      <x:c r="J44" s="121" t="n"/>
      <x:c r="K44" s="121" t="n"/>
      <x:c r="L44" s="121" t="n"/>
      <x:c r="M44" s="121" t="n"/>
      <x:c r="N44" s="121" t="n"/>
      <x:c r="O44" s="121" t="n"/>
      <x:c r="P44" s="121" t="n"/>
      <x:c r="Q44" s="123" t="n"/>
      <x:c r="R44" s="123" t="n"/>
      <x:c r="S44" s="121" t="n"/>
      <x:c r="T44" s="121" t="n"/>
      <x:c r="U44" s="121" t="n"/>
      <x:c r="V44" s="121" t="n"/>
      <x:c r="W44" s="121" t="n"/>
      <x:c r="X44" s="121" t="n"/>
      <x:c r="Y44" s="121" t="n"/>
      <x:c r="Z44" s="121" t="n"/>
      <x:c r="AA44" s="121" t="n"/>
      <x:c r="AB44" s="121" t="n"/>
      <x:c r="AC44" s="121" t="n"/>
      <x:c r="AD44" s="123" t="n"/>
      <x:c r="AE44" s="123" t="n"/>
      <x:c r="AF44" s="123" t="n"/>
      <x:c r="AG44" s="123" t="n"/>
      <x:c r="AH44" s="124" t="n"/>
      <x:c r="AI44" s="124" t="n"/>
      <x:c r="AJ44" s="123" t="n">
        <x:v>-0.0289534</x:v>
      </x:c>
      <x:c r="AK44" s="121" t="n"/>
      <x:c r="AL44" s="123" t="n"/>
      <x:c r="AM44" s="121" t="n"/>
      <x:c r="AN44" s="123" t="n"/>
      <x:c r="AO44" s="121" t="n"/>
      <x:c r="AP44" s="121" t="n"/>
      <x:c r="AQ44" s="28" t="n"/>
      <x:c r="AR44" s="28" t="n"/>
      <x:c r="AS44" s="28" t="n"/>
    </x:row>
    <x:row r="45" s="27" customFormat="1">
      <x:c r="A45" s="125" t="n"/>
      <x:c r="B45" s="39" t="n"/>
      <x:c r="C45" s="86" t="n">
        <x:f>E45*D$5</x:f>
        <x:v>2.181349156</x:v>
      </x:c>
      <x:c r="D45" s="523" t="inlineStr">
        <x:is>
          <x:t xml:space="preserve">Fuchs Declaration of Trust</x:t>
        </x:is>
      </x:c>
      <x:c r="E45" s="86" t="n">
        <x:f>SUM(G45:HT45)</x:f>
        <x:v>0.0289534</x:v>
      </x:c>
      <x:c r="F45" s="35" t="inlineStr">
        <x:is>
          <x:t xml:space="preserve"/>
        </x:is>
      </x:c>
      <x:c r="G45" s="121" t="n"/>
      <x:c r="H45" s="123" t="n"/>
      <x:c r="I45" s="123" t="n"/>
      <x:c r="J45" s="123" t="n"/>
      <x:c r="K45" s="123" t="n"/>
      <x:c r="L45" s="123" t="n"/>
      <x:c r="M45" s="124" t="n"/>
      <x:c r="N45" s="124" t="n"/>
      <x:c r="O45" s="123" t="n"/>
      <x:c r="P45" s="123" t="n"/>
      <x:c r="Q45" s="123" t="n"/>
      <x:c r="R45" s="123" t="n"/>
      <x:c r="S45" s="123" t="n"/>
      <x:c r="T45" s="123" t="n"/>
      <x:c r="U45" s="123" t="n"/>
      <x:c r="V45" s="123" t="n"/>
      <x:c r="W45" s="123" t="n"/>
      <x:c r="X45" s="123" t="n"/>
      <x:c r="Y45" s="123" t="n"/>
      <x:c r="Z45" s="123" t="n"/>
      <x:c r="AA45" s="123" t="n"/>
      <x:c r="AB45" s="121" t="n"/>
      <x:c r="AC45" s="123" t="n"/>
      <x:c r="AD45" s="123" t="n"/>
      <x:c r="AE45" s="123" t="n"/>
      <x:c r="AF45" s="123" t="n"/>
      <x:c r="AG45" s="123" t="n"/>
      <x:c r="AH45" s="123" t="n"/>
      <x:c r="AI45" s="123" t="n"/>
      <x:c r="AJ45" s="124" t="n">
        <x:v>0.0289534</x:v>
      </x:c>
      <x:c r="AK45" s="123" t="n"/>
      <x:c r="AL45" s="121" t="n"/>
      <x:c r="AM45" s="123" t="n"/>
      <x:c r="AN45" s="123" t="n"/>
      <x:c r="AO45" s="123" t="n"/>
      <x:c r="AP45" s="123" t="n"/>
      <x:c r="AQ45" s="100" t="n"/>
      <x:c r="AR45" s="100" t="n"/>
      <x:c r="AS45" s="100" t="n"/>
      <x:c r="AT45" s="100" t="n"/>
      <x:c r="AU45" s="100" t="n"/>
      <x:c r="AV45" s="100" t="n"/>
      <x:c r="AW45" s="100" t="n"/>
      <x:c r="AX45" s="100" t="n"/>
      <x:c r="AY45" s="100" t="n"/>
      <x:c r="AZ45" s="100" t="n"/>
      <x:c r="BA45" s="100" t="n"/>
      <x:c r="BB45" s="100" t="n"/>
      <x:c r="BC45" s="100" t="n"/>
      <x:c r="BD45" s="100" t="n"/>
      <x:c r="BE45" s="100" t="n"/>
      <x:c r="BF45" s="100" t="n"/>
      <x:c r="BG45" s="100" t="n"/>
      <x:c r="BH45" s="100" t="n"/>
      <x:c r="BI45" s="100" t="n"/>
      <x:c r="BJ45" s="100" t="n"/>
      <x:c r="BK45" s="100" t="n"/>
      <x:c r="BL45" s="100" t="n"/>
      <x:c r="BM45" s="100" t="n"/>
      <x:c r="BN45" s="100" t="n"/>
      <x:c r="BO45" s="100" t="n"/>
      <x:c r="BP45" s="100" t="n"/>
      <x:c r="BQ45" s="100" t="n"/>
      <x:c r="BR45" s="100" t="n"/>
      <x:c r="BS45" s="100" t="n"/>
      <x:c r="BT45" s="100" t="n"/>
      <x:c r="BU45" s="100" t="n"/>
      <x:c r="BV45" s="100" t="n"/>
      <x:c r="BW45" s="100" t="n"/>
      <x:c r="BX45" s="100" t="n"/>
      <x:c r="BY45" s="100" t="n"/>
      <x:c r="BZ45" s="100" t="n"/>
      <x:c r="CA45" s="100" t="n"/>
      <x:c r="CB45" s="100" t="n"/>
      <x:c r="CC45" s="100" t="n"/>
      <x:c r="CD45" s="100" t="n"/>
      <x:c r="CE45" s="100" t="n"/>
      <x:c r="CF45" s="100" t="n"/>
      <x:c r="CG45" s="100" t="n"/>
      <x:c r="CH45" s="100" t="n"/>
      <x:c r="CI45" s="100" t="n"/>
      <x:c r="CJ45" s="100" t="n"/>
      <x:c r="CK45" s="100" t="n"/>
      <x:c r="CL45" s="100" t="n"/>
      <x:c r="CM45" s="100" t="n"/>
      <x:c r="CN45" s="100" t="n"/>
      <x:c r="CO45" s="100" t="n"/>
      <x:c r="CP45" s="100" t="n"/>
      <x:c r="CQ45" s="100" t="n"/>
      <x:c r="CR45" s="100" t="n"/>
      <x:c r="CS45" s="100" t="n"/>
      <x:c r="CT45" s="100" t="n"/>
      <x:c r="CU45" s="100" t="n"/>
      <x:c r="CV45" s="100" t="n"/>
      <x:c r="CW45" s="100" t="n"/>
      <x:c r="CX45" s="100" t="n"/>
      <x:c r="CY45" s="100" t="n"/>
      <x:c r="CZ45" s="100" t="n"/>
      <x:c r="DA45" s="100" t="n"/>
      <x:c r="DB45" s="100" t="n"/>
      <x:c r="DC45" s="100" t="n"/>
      <x:c r="DD45" s="100" t="n"/>
      <x:c r="DE45" s="100" t="n"/>
      <x:c r="DF45" s="100" t="n"/>
      <x:c r="DG45" s="100" t="n"/>
      <x:c r="DH45" s="100" t="n"/>
      <x:c r="DI45" s="100" t="n"/>
      <x:c r="DJ45" s="100" t="n"/>
      <x:c r="DK45" s="100" t="n"/>
      <x:c r="DL45" s="100" t="n"/>
      <x:c r="DM45" s="100" t="n"/>
      <x:c r="DN45" s="100" t="n"/>
      <x:c r="DO45" s="100" t="n"/>
      <x:c r="DP45" s="100" t="n"/>
      <x:c r="DQ45" s="100" t="n"/>
      <x:c r="DR45" s="100" t="n"/>
      <x:c r="DS45" s="100" t="n"/>
      <x:c r="DT45" s="100" t="n"/>
      <x:c r="DU45" s="100" t="n"/>
      <x:c r="DV45" s="100" t="n"/>
      <x:c r="DW45" s="100" t="n"/>
      <x:c r="DX45" s="100" t="n"/>
      <x:c r="DY45" s="100" t="n"/>
      <x:c r="DZ45" s="100" t="n"/>
      <x:c r="EA45" s="100" t="n"/>
      <x:c r="EB45" s="100" t="n"/>
      <x:c r="EC45" s="100" t="n"/>
      <x:c r="ED45" s="100" t="n"/>
      <x:c r="EE45" s="100" t="n"/>
      <x:c r="EF45" s="100" t="n"/>
      <x:c r="EG45" s="100" t="n"/>
      <x:c r="EH45" s="100" t="n"/>
      <x:c r="EI45" s="100" t="n"/>
      <x:c r="EJ45" s="100" t="n"/>
      <x:c r="EK45" s="100" t="n"/>
      <x:c r="EL45" s="100" t="n"/>
      <x:c r="EM45" s="100" t="n"/>
      <x:c r="EN45" s="100" t="n"/>
      <x:c r="EO45" s="100" t="n"/>
      <x:c r="EP45" s="100" t="n"/>
      <x:c r="EQ45" s="100" t="n"/>
      <x:c r="ER45" s="100" t="n"/>
      <x:c r="ES45" s="100" t="n"/>
      <x:c r="ET45" s="100" t="n"/>
      <x:c r="EU45" s="100" t="n"/>
      <x:c r="EV45" s="100" t="n"/>
      <x:c r="EW45" s="100" t="n"/>
      <x:c r="EX45" s="100" t="n"/>
      <x:c r="EY45" s="100" t="n"/>
      <x:c r="EZ45" s="100" t="n"/>
      <x:c r="FA45" s="100" t="n"/>
      <x:c r="FB45" s="100" t="n"/>
      <x:c r="FC45" s="100" t="n"/>
      <x:c r="FD45" s="100" t="n"/>
      <x:c r="FE45" s="100" t="n"/>
      <x:c r="FF45" s="100" t="n"/>
      <x:c r="FG45" s="100" t="n"/>
      <x:c r="FH45" s="100" t="n"/>
      <x:c r="FI45" s="100" t="n"/>
      <x:c r="FJ45" s="100" t="n"/>
      <x:c r="FK45" s="100" t="n"/>
      <x:c r="FL45" s="100" t="n"/>
      <x:c r="FM45" s="100" t="n"/>
      <x:c r="FN45" s="100" t="n"/>
      <x:c r="FO45" s="100" t="n"/>
      <x:c r="FP45" s="100" t="n"/>
      <x:c r="FQ45" s="100" t="n"/>
      <x:c r="FR45" s="100" t="n"/>
      <x:c r="FS45" s="100" t="n"/>
      <x:c r="FT45" s="100" t="n"/>
      <x:c r="FU45" s="100" t="n"/>
      <x:c r="FV45" s="100" t="n"/>
    </x:row>
    <x:row r="46" s="27" customFormat="1">
      <x:c r="A46" s="125" t="n"/>
      <x:c r="B46" s="39" t="n"/>
      <x:c r="C46" s="86" t="n">
        <x:f>E46*D$5</x:f>
        <x:v>0</x:v>
      </x:c>
      <x:c r="D46" s="4" t="inlineStr">
        <x:is>
          <x:t xml:space="preserve">Janis Fern Campbell</x:t>
        </x:is>
      </x:c>
      <x:c r="E46" s="86" t="n">
        <x:f>SUM(G46:HT46)</x:f>
        <x:v>0</x:v>
      </x:c>
      <x:c r="F46" s="35" t="inlineStr">
        <x:is>
          <x:t xml:space="preserve"/>
        </x:is>
      </x:c>
      <x:c r="G46" s="121" t="n"/>
      <x:c r="H46" s="121" t="n"/>
      <x:c r="I46" s="121" t="n"/>
      <x:c r="J46" s="121" t="n"/>
      <x:c r="K46" s="121" t="n"/>
      <x:c r="L46" s="121" t="n"/>
      <x:c r="M46" s="121" t="n"/>
      <x:c r="N46" s="121" t="n"/>
      <x:c r="O46" s="121" t="n"/>
      <x:c r="P46" s="121" t="n"/>
      <x:c r="Q46" s="123" t="n"/>
      <x:c r="R46" s="123" t="n"/>
      <x:c r="S46" s="121" t="n"/>
      <x:c r="T46" s="121" t="n"/>
      <x:c r="U46" s="121" t="n"/>
      <x:c r="V46" s="121" t="n"/>
      <x:c r="W46" s="121" t="n"/>
      <x:c r="X46" s="121" t="n"/>
      <x:c r="Y46" s="121" t="n"/>
      <x:c r="Z46" s="121" t="n"/>
      <x:c r="AA46" s="121" t="n"/>
      <x:c r="AB46" s="121" t="n"/>
      <x:c r="AC46" s="121" t="n"/>
      <x:c r="AD46" s="123" t="n"/>
      <x:c r="AE46" s="123" t="n"/>
      <x:c r="AF46" s="123" t="n"/>
      <x:c r="AG46" s="123" t="n"/>
      <x:c r="AH46" s="123" t="n"/>
      <x:c r="AI46" s="123" t="n"/>
      <x:c r="AJ46" s="124" t="n"/>
      <x:c r="AK46" s="121" t="n">
        <x:v>1</x:v>
      </x:c>
      <x:c r="AL46" s="123" t="n">
        <x:v>-1</x:v>
      </x:c>
      <x:c r="AM46" s="129" t="n"/>
      <x:c r="AN46" s="123" t="n"/>
      <x:c r="AO46" s="121" t="n"/>
      <x:c r="AP46" s="121" t="n"/>
      <x:c r="AQ46" s="28" t="n"/>
      <x:c r="AR46" s="28" t="n"/>
      <x:c r="AS46" s="28" t="n"/>
    </x:row>
    <x:row r="47" s="27" customFormat="1">
      <x:c r="A47" s="125" t="n"/>
      <x:c r="B47" s="39" t="n"/>
      <x:c r="C47" s="86" t="n">
        <x:f>E47*D$5</x:f>
        <x:v>75.34</x:v>
      </x:c>
      <x:c r="D47" s="523" t="inlineStr">
        <x:is>
          <x:t xml:space="preserve">Audy &amp; Janis Campbell Family Trust</x:t>
        </x:is>
      </x:c>
      <x:c r="E47" s="86" t="n">
        <x:f>SUM(G47:HT47)</x:f>
        <x:v>1</x:v>
      </x:c>
      <x:c r="F47" s="35" t="inlineStr">
        <x:is>
          <x:t xml:space="preserve"/>
        </x:is>
      </x:c>
      <x:c r="G47" s="121" t="n"/>
      <x:c r="H47" s="121" t="n"/>
      <x:c r="I47" s="121" t="n"/>
      <x:c r="J47" s="121" t="n"/>
      <x:c r="K47" s="121" t="n"/>
      <x:c r="L47" s="121" t="n"/>
      <x:c r="M47" s="121" t="n"/>
      <x:c r="N47" s="121" t="n"/>
      <x:c r="O47" s="121" t="n"/>
      <x:c r="P47" s="121" t="n"/>
      <x:c r="Q47" s="123" t="n"/>
      <x:c r="R47" s="123" t="n"/>
      <x:c r="S47" s="121" t="n"/>
      <x:c r="T47" s="121" t="n"/>
      <x:c r="U47" s="121" t="n"/>
      <x:c r="V47" s="121" t="n"/>
      <x:c r="W47" s="121" t="n"/>
      <x:c r="X47" s="121" t="n"/>
      <x:c r="Y47" s="121" t="n"/>
      <x:c r="Z47" s="121" t="n"/>
      <x:c r="AA47" s="121" t="n"/>
      <x:c r="AB47" s="121" t="n"/>
      <x:c r="AC47" s="121" t="n"/>
      <x:c r="AD47" s="123" t="n"/>
      <x:c r="AE47" s="123" t="n"/>
      <x:c r="AF47" s="123" t="n"/>
      <x:c r="AG47" s="123" t="n"/>
      <x:c r="AH47" s="123" t="n"/>
      <x:c r="AI47" s="123" t="n"/>
      <x:c r="AJ47" s="123" t="n"/>
      <x:c r="AK47" s="121" t="n"/>
      <x:c r="AL47" s="123" t="n">
        <x:v>1</x:v>
      </x:c>
      <x:c r="AM47" s="129" t="n"/>
      <x:c r="AN47" s="124" t="n"/>
      <x:c r="AO47" s="121" t="n"/>
      <x:c r="AP47" s="121" t="n"/>
      <x:c r="AQ47" s="28" t="n"/>
      <x:c r="AR47" s="28" t="n"/>
      <x:c r="AS47" s="28" t="n"/>
    </x:row>
    <x:row r="48" s="27" customFormat="1">
      <x:c r="A48" s="125" t="n"/>
      <x:c r="B48" s="39" t="n"/>
      <x:c r="C48" s="36" t="n">
        <x:f>E48*D$5</x:f>
        <x:v>75.34</x:v>
      </x:c>
      <x:c r="D48" s="4" t="inlineStr">
        <x:is>
          <x:t xml:space="preserve">Eleanore &amp; Shirley Wheeler</x:t>
        </x:is>
      </x:c>
      <x:c r="E48" s="36" t="n">
        <x:f>SUM(G48:HT48)</x:f>
        <x:v>1</x:v>
      </x:c>
      <x:c r="F48" s="35" t="inlineStr">
        <x:is>
          <x:t xml:space="preserve"/>
        </x:is>
      </x:c>
      <x:c r="G48" s="121" t="n"/>
      <x:c r="H48" s="121" t="n"/>
      <x:c r="I48" s="121" t="n"/>
      <x:c r="J48" s="121" t="n"/>
      <x:c r="K48" s="121" t="n"/>
      <x:c r="L48" s="121" t="n"/>
      <x:c r="M48" s="121" t="n"/>
      <x:c r="N48" s="121" t="n"/>
      <x:c r="O48" s="121" t="n"/>
      <x:c r="P48" s="121" t="n"/>
      <x:c r="Q48" s="123" t="n"/>
      <x:c r="R48" s="123" t="n"/>
      <x:c r="S48" s="121" t="n"/>
      <x:c r="T48" s="121" t="n"/>
      <x:c r="U48" s="121" t="n"/>
      <x:c r="V48" s="121" t="n"/>
      <x:c r="W48" s="121" t="n"/>
      <x:c r="X48" s="121" t="n"/>
      <x:c r="Y48" s="121" t="n"/>
      <x:c r="Z48" s="121" t="n"/>
      <x:c r="AA48" s="121" t="n"/>
      <x:c r="AB48" s="121" t="n"/>
      <x:c r="AC48" s="121" t="n"/>
      <x:c r="AD48" s="123" t="n"/>
      <x:c r="AE48" s="123" t="n"/>
      <x:c r="AF48" s="123" t="n"/>
      <x:c r="AG48" s="123" t="n"/>
      <x:c r="AH48" s="123" t="n"/>
      <x:c r="AI48" s="123" t="n"/>
      <x:c r="AJ48" s="123" t="n"/>
      <x:c r="AK48" s="121" t="n"/>
      <x:c r="AL48" s="123" t="n"/>
      <x:c r="AM48" s="129" t="n">
        <x:v>1</x:v>
      </x:c>
      <x:c r="AN48" s="124" t="n"/>
      <x:c r="AO48" s="121" t="n"/>
      <x:c r="AP48" s="121" t="n"/>
      <x:c r="AQ48" s="28" t="n"/>
      <x:c r="AR48" s="28" t="n"/>
      <x:c r="AS48" s="28" t="n"/>
    </x:row>
    <x:row r="49" s="27" customFormat="1">
      <x:c r="A49" s="125" t="n"/>
      <x:c r="B49" s="39" t="n"/>
      <x:c r="C49" s="86" t="n">
        <x:f>E49*D$5</x:f>
        <x:v>-75.34</x:v>
      </x:c>
      <x:c r="D49" s="422" t="inlineStr">
        <x:is>
          <x:t xml:space="preserve">Jesse Joe &amp; Rachael Newell</x:t>
        </x:is>
      </x:c>
      <x:c r="E49" s="411" t="n">
        <x:f>SUM(G49:HT49)</x:f>
        <x:v>-1</x:v>
      </x:c>
      <x:c r="F49" s="35" t="inlineStr">
        <x:is>
          <x:t xml:space="preserve"/>
        </x:is>
      </x:c>
      <x:c r="G49" s="121" t="n"/>
      <x:c r="H49" s="121" t="n"/>
      <x:c r="I49" s="121" t="n"/>
      <x:c r="J49" s="121" t="n"/>
      <x:c r="K49" s="121" t="n"/>
      <x:c r="L49" s="121" t="n"/>
      <x:c r="M49" s="121" t="n"/>
      <x:c r="N49" s="121" t="n"/>
      <x:c r="O49" s="121" t="n"/>
      <x:c r="P49" s="121" t="n"/>
      <x:c r="Q49" s="123" t="n"/>
      <x:c r="R49" s="123" t="n"/>
      <x:c r="S49" s="121" t="n"/>
      <x:c r="T49" s="121" t="n"/>
      <x:c r="U49" s="121" t="n"/>
      <x:c r="V49" s="121" t="n"/>
      <x:c r="W49" s="121" t="n"/>
      <x:c r="X49" s="121" t="n"/>
      <x:c r="Y49" s="121" t="n"/>
      <x:c r="Z49" s="121" t="n"/>
      <x:c r="AA49" s="121" t="n"/>
      <x:c r="AB49" s="121" t="n"/>
      <x:c r="AC49" s="121" t="n"/>
      <x:c r="AD49" s="123" t="n"/>
      <x:c r="AE49" s="123" t="n"/>
      <x:c r="AF49" s="123" t="n"/>
      <x:c r="AG49" s="123" t="n"/>
      <x:c r="AH49" s="123" t="n"/>
      <x:c r="AI49" s="123" t="n"/>
      <x:c r="AJ49" s="123" t="n"/>
      <x:c r="AK49" s="121" t="n"/>
      <x:c r="AL49" s="123" t="n"/>
      <x:c r="AM49" s="121" t="n"/>
      <x:c r="AN49" s="124" t="n">
        <x:v>-1</x:v>
      </x:c>
      <x:c r="AO49" s="121" t="n"/>
      <x:c r="AP49" s="121" t="n"/>
      <x:c r="AQ49" s="28" t="n"/>
      <x:c r="AR49" s="28" t="n"/>
      <x:c r="AS49" s="28" t="n"/>
    </x:row>
    <x:row r="50" s="27" customFormat="1">
      <x:c r="A50" s="38" t="n"/>
      <x:c r="B50" s="37" t="n"/>
      <x:c r="C50" s="36" t="n">
        <x:f>E50*D$5</x:f>
        <x:v>75.34</x:v>
      </x:c>
      <x:c r="D50" s="4" t="inlineStr">
        <x:is>
          <x:t xml:space="preserve">Newell Farms Trust</x:t>
        </x:is>
      </x:c>
      <x:c r="E50" s="36" t="n">
        <x:f>SUM(G50:HT50)</x:f>
        <x:v>1</x:v>
      </x:c>
      <x:c r="F50" s="35" t="inlineStr">
        <x:is>
          <x:t xml:space="preserve"/>
        </x:is>
      </x:c>
      <x:c r="G50" s="122" t="n"/>
      <x:c r="H50" s="121" t="n"/>
      <x:c r="I50" s="121" t="n"/>
      <x:c r="J50" s="121" t="n"/>
      <x:c r="K50" s="121" t="n"/>
      <x:c r="L50" s="121" t="n"/>
      <x:c r="M50" s="121" t="n"/>
      <x:c r="N50" s="121" t="n"/>
      <x:c r="O50" s="121" t="n"/>
      <x:c r="P50" s="121" t="n"/>
      <x:c r="Q50" s="123" t="n"/>
      <x:c r="R50" s="123" t="n"/>
      <x:c r="S50" s="121" t="n"/>
      <x:c r="T50" s="121" t="n"/>
      <x:c r="U50" s="121" t="n"/>
      <x:c r="V50" s="121" t="n"/>
      <x:c r="W50" s="121" t="n"/>
      <x:c r="X50" s="121" t="n"/>
      <x:c r="Y50" s="121" t="n"/>
      <x:c r="Z50" s="121" t="n"/>
      <x:c r="AA50" s="121" t="n"/>
      <x:c r="AB50" s="122" t="n"/>
      <x:c r="AC50" s="121" t="n"/>
      <x:c r="AD50" s="123" t="n"/>
      <x:c r="AE50" s="123" t="n"/>
      <x:c r="AF50" s="123" t="n"/>
      <x:c r="AG50" s="123" t="n"/>
      <x:c r="AH50" s="123" t="n"/>
      <x:c r="AI50" s="123" t="n"/>
      <x:c r="AJ50" s="123" t="n"/>
      <x:c r="AK50" s="121" t="n"/>
      <x:c r="AL50" s="123" t="n"/>
      <x:c r="AM50" s="121" t="n"/>
      <x:c r="AN50" s="123" t="n">
        <x:v>1</x:v>
      </x:c>
      <x:c r="AO50" s="121" t="n"/>
      <x:c r="AP50" s="121" t="n"/>
      <x:c r="AQ50" s="28" t="n"/>
      <x:c r="AR50" s="28" t="n"/>
      <x:c r="AS50" s="28" t="n"/>
    </x:row>
    <x:row r="51" s="27" customFormat="1">
      <x:c r="A51" s="38" t="n"/>
      <x:c r="B51" s="37" t="n"/>
      <x:c r="C51" s="36" t="n">
        <x:f>E51*D$5</x:f>
        <x:v>-75.34</x:v>
      </x:c>
      <x:c r="D51" s="421" t="inlineStr">
        <x:is>
          <x:t xml:space="preserve">Clint Roy Kirk</x:t>
        </x:is>
      </x:c>
      <x:c r="E51" s="411" t="n">
        <x:f>SUM(G51:HT51)</x:f>
        <x:v>-1</x:v>
      </x:c>
      <x:c r="F51" s="35" t="inlineStr">
        <x:is>
          <x:t xml:space="preserve"/>
        </x:is>
      </x:c>
      <x:c r="G51" s="122" t="n"/>
      <x:c r="H51" s="121" t="n"/>
      <x:c r="I51" s="121" t="n"/>
      <x:c r="J51" s="121" t="n"/>
      <x:c r="K51" s="121" t="n"/>
      <x:c r="L51" s="121" t="n"/>
      <x:c r="M51" s="121" t="n"/>
      <x:c r="N51" s="121" t="n"/>
      <x:c r="O51" s="121" t="n"/>
      <x:c r="P51" s="121" t="n"/>
      <x:c r="Q51" s="123" t="n"/>
      <x:c r="R51" s="123" t="n"/>
      <x:c r="S51" s="121" t="n"/>
      <x:c r="T51" s="121" t="n"/>
      <x:c r="U51" s="121" t="n"/>
      <x:c r="V51" s="121" t="n"/>
      <x:c r="W51" s="121" t="n"/>
      <x:c r="X51" s="121" t="n"/>
      <x:c r="Y51" s="121" t="n"/>
      <x:c r="Z51" s="121" t="n"/>
      <x:c r="AA51" s="121" t="n"/>
      <x:c r="AB51" s="121" t="n"/>
      <x:c r="AC51" s="121" t="n"/>
      <x:c r="AD51" s="123" t="n"/>
      <x:c r="AE51" s="123" t="n"/>
      <x:c r="AF51" s="123" t="n"/>
      <x:c r="AG51" s="123" t="n"/>
      <x:c r="AH51" s="123" t="n"/>
      <x:c r="AI51" s="123" t="n"/>
      <x:c r="AJ51" s="123" t="n"/>
      <x:c r="AK51" s="121" t="n"/>
      <x:c r="AL51" s="123" t="n"/>
      <x:c r="AM51" s="121" t="n"/>
      <x:c r="AN51" s="123" t="n"/>
      <x:c r="AO51" s="121" t="n">
        <x:v>-1</x:v>
      </x:c>
      <x:c r="AP51" s="121" t="n"/>
      <x:c r="AQ51" s="28" t="n"/>
      <x:c r="AR51" s="28" t="n"/>
      <x:c r="AS51" s="28" t="n"/>
    </x:row>
    <x:row r="52" s="27" customFormat="1">
      <x:c r="A52" s="38" t="n"/>
      <x:c r="B52" s="37" t="n"/>
      <x:c r="C52" s="86" t="n">
        <x:f>E52*D$5</x:f>
        <x:v>0</x:v>
      </x:c>
      <x:c r="D52" s="4" t="inlineStr">
        <x:is>
          <x:t xml:space="preserve">J and A Minerals, LLC</x:t>
        </x:is>
      </x:c>
      <x:c r="E52" s="86" t="n">
        <x:f>SUM(G52:HT52)</x:f>
        <x:v>0</x:v>
      </x:c>
      <x:c r="F52" s="35" t="inlineStr">
        <x:is>
          <x:t xml:space="preserve"/>
        </x:is>
      </x:c>
      <x:c r="G52" s="122" t="n"/>
      <x:c r="H52" s="121" t="n"/>
      <x:c r="I52" s="121" t="n"/>
      <x:c r="J52" s="121" t="n"/>
      <x:c r="K52" s="121" t="n"/>
      <x:c r="L52" s="121" t="n"/>
      <x:c r="M52" s="121" t="n"/>
      <x:c r="N52" s="121" t="n"/>
      <x:c r="O52" s="121" t="n"/>
      <x:c r="P52" s="121" t="n"/>
      <x:c r="Q52" s="123" t="n"/>
      <x:c r="R52" s="123" t="n"/>
      <x:c r="S52" s="121" t="n"/>
      <x:c r="T52" s="121" t="n"/>
      <x:c r="U52" s="121" t="n"/>
      <x:c r="V52" s="121" t="n"/>
      <x:c r="W52" s="121" t="n"/>
      <x:c r="X52" s="121" t="n"/>
      <x:c r="Y52" s="121" t="n"/>
      <x:c r="Z52" s="121" t="n"/>
      <x:c r="AA52" s="121" t="n"/>
      <x:c r="AB52" s="121" t="n"/>
      <x:c r="AC52" s="121" t="n"/>
      <x:c r="AD52" s="123" t="n"/>
      <x:c r="AE52" s="123" t="n"/>
      <x:c r="AF52" s="123" t="n"/>
      <x:c r="AG52" s="123" t="n"/>
      <x:c r="AH52" s="123" t="n"/>
      <x:c r="AI52" s="123" t="n"/>
      <x:c r="AJ52" s="123" t="n"/>
      <x:c r="AK52" s="121" t="n"/>
      <x:c r="AL52" s="123" t="n"/>
      <x:c r="AM52" s="121" t="n"/>
      <x:c r="AN52" s="123" t="n"/>
      <x:c r="AO52" s="121" t="n">
        <x:v>1</x:v>
      </x:c>
      <x:c r="AP52" s="121" t="n">
        <x:v>-1</x:v>
      </x:c>
      <x:c r="AQ52" s="28" t="n"/>
      <x:c r="AR52" s="28" t="n"/>
      <x:c r="AS52" s="28" t="n"/>
    </x:row>
    <x:row r="53" s="27" customFormat="1">
      <x:c r="A53" s="38" t="n"/>
      <x:c r="B53" s="37" t="inlineStr">
        <x:is>
          <x:t xml:space="preserve">—</x:t>
        </x:is>
      </x:c>
      <x:c r="C53" s="86" t="n">
        <x:f>E53*D$5</x:f>
        <x:v>75.34</x:v>
      </x:c>
      <x:c r="D53" s="4" t="inlineStr">
        <x:is>
          <x:t xml:space="preserve">Pine Tree Energy Partners, LLC</x:t>
        </x:is>
      </x:c>
      <x:c r="E53" s="86" t="n">
        <x:f>SUM(G53:HT53)</x:f>
        <x:v>1</x:v>
      </x:c>
      <x:c r="F53" s="35" t="inlineStr">
        <x:is>
          <x:t xml:space="preserve"/>
        </x:is>
      </x:c>
      <x:c r="G53" s="122" t="n"/>
      <x:c r="H53" s="121" t="n"/>
      <x:c r="I53" s="121" t="n"/>
      <x:c r="J53" s="121" t="n"/>
      <x:c r="K53" s="121" t="n"/>
      <x:c r="L53" s="121" t="n"/>
      <x:c r="M53" s="121" t="n"/>
      <x:c r="N53" s="121" t="n"/>
      <x:c r="O53" s="121" t="n"/>
      <x:c r="P53" s="121" t="n"/>
      <x:c r="Q53" s="123" t="n"/>
      <x:c r="R53" s="123" t="n"/>
      <x:c r="S53" s="121" t="n"/>
      <x:c r="T53" s="121" t="n"/>
      <x:c r="U53" s="121" t="n"/>
      <x:c r="V53" s="121" t="n"/>
      <x:c r="W53" s="121" t="n"/>
      <x:c r="X53" s="121" t="n"/>
      <x:c r="Y53" s="121" t="n"/>
      <x:c r="Z53" s="121" t="n"/>
      <x:c r="AA53" s="121" t="n"/>
      <x:c r="AB53" s="121" t="n"/>
      <x:c r="AC53" s="121" t="n"/>
      <x:c r="AD53" s="123" t="n"/>
      <x:c r="AE53" s="123" t="n"/>
      <x:c r="AF53" s="123" t="n"/>
      <x:c r="AG53" s="123" t="n"/>
      <x:c r="AH53" s="123" t="n"/>
      <x:c r="AI53" s="123" t="n"/>
      <x:c r="AJ53" s="123" t="n"/>
      <x:c r="AK53" s="121" t="n"/>
      <x:c r="AL53" s="123" t="n"/>
      <x:c r="AM53" s="121" t="n"/>
      <x:c r="AN53" s="123" t="n"/>
      <x:c r="AO53" s="121" t="n"/>
      <x:c r="AP53" s="121" t="n">
        <x:v>1</x:v>
      </x:c>
      <x:c r="AQ53" s="28" t="n"/>
      <x:c r="AR53" s="28" t="n"/>
      <x:c r="AS53" s="28" t="n"/>
    </x:row>
    <x:row r="54" s="27" customFormat="1" ht="12.949999809265137" customHeight="1">
      <x:c r="A54" s="38" t="n"/>
      <x:c r="B54" s="37" t="n"/>
      <x:c r="C54" s="36" t="n">
        <x:f>E54*D$5</x:f>
        <x:v>0</x:v>
      </x:c>
      <x:c r="D54" s="4" t="n"/>
      <x:c r="E54" s="36" t="n">
        <x:f>SUM(G54:HT54)</x:f>
        <x:v>0</x:v>
      </x:c>
      <x:c r="G54" s="122" t="n"/>
      <x:c r="H54" s="121" t="n"/>
      <x:c r="I54" s="121" t="n"/>
      <x:c r="J54" s="121" t="n"/>
      <x:c r="K54" s="121" t="n"/>
      <x:c r="L54" s="121" t="n"/>
      <x:c r="M54" s="121" t="n"/>
      <x:c r="N54" s="121" t="n"/>
      <x:c r="O54" s="121" t="n"/>
      <x:c r="P54" s="121" t="n"/>
      <x:c r="Q54" s="123" t="n"/>
      <x:c r="R54" s="123" t="n"/>
      <x:c r="S54" s="121" t="n"/>
      <x:c r="T54" s="121" t="n"/>
      <x:c r="U54" s="121" t="n"/>
      <x:c r="V54" s="121" t="n"/>
      <x:c r="W54" s="121" t="n"/>
      <x:c r="X54" s="121" t="n"/>
      <x:c r="Y54" s="121" t="n"/>
      <x:c r="Z54" s="121" t="n"/>
      <x:c r="AA54" s="121" t="n"/>
      <x:c r="AB54" s="121" t="n"/>
      <x:c r="AC54" s="121" t="n"/>
      <x:c r="AD54" s="123" t="n"/>
      <x:c r="AE54" s="123" t="n"/>
      <x:c r="AF54" s="123" t="n"/>
      <x:c r="AG54" s="123" t="n"/>
      <x:c r="AH54" s="123" t="n"/>
      <x:c r="AI54" s="123" t="n"/>
      <x:c r="AJ54" s="123" t="n"/>
      <x:c r="AK54" s="121" t="n"/>
      <x:c r="AL54" s="123" t="n"/>
      <x:c r="AM54" s="121" t="n"/>
      <x:c r="AN54" s="123" t="n"/>
      <x:c r="AO54" s="121" t="n"/>
      <x:c r="AP54" s="121" t="n"/>
      <x:c r="AQ54" s="28" t="n"/>
      <x:c r="AR54" s="28" t="n"/>
      <x:c r="AS54" s="28" t="n"/>
    </x:row>
    <x:row r="55" s="27" customFormat="1" ht="14.100000381469727" customHeight="1">
      <x:c r="A55" s="38" t="n"/>
      <x:c r="B55" s="37" t="n"/>
      <x:c r="C55" s="36" t="n">
        <x:f>E55*D$5</x:f>
        <x:v>0</x:v>
      </x:c>
      <x:c r="D55" s="4" t="n"/>
      <x:c r="E55" s="36" t="n">
        <x:f>SUM(G55:HT55)</x:f>
        <x:v>0</x:v>
      </x:c>
      <x:c r="G55" s="122" t="n"/>
      <x:c r="H55" s="121" t="n"/>
      <x:c r="I55" s="121" t="n"/>
      <x:c r="J55" s="121" t="n"/>
      <x:c r="K55" s="121" t="n"/>
      <x:c r="L55" s="121" t="n"/>
      <x:c r="M55" s="121" t="n"/>
      <x:c r="N55" s="121" t="n"/>
      <x:c r="O55" s="121" t="n"/>
      <x:c r="P55" s="121" t="n"/>
      <x:c r="Q55" s="123" t="n"/>
      <x:c r="R55" s="123" t="n"/>
      <x:c r="S55" s="121" t="n"/>
      <x:c r="T55" s="121" t="n"/>
      <x:c r="U55" s="121" t="n"/>
      <x:c r="V55" s="121" t="n"/>
      <x:c r="W55" s="121" t="n"/>
      <x:c r="X55" s="121" t="n"/>
      <x:c r="Y55" s="121" t="n"/>
      <x:c r="Z55" s="121" t="n"/>
      <x:c r="AA55" s="121" t="n"/>
      <x:c r="AB55" s="121" t="n"/>
      <x:c r="AC55" s="121" t="n"/>
      <x:c r="AD55" s="123" t="n"/>
      <x:c r="AE55" s="123" t="n"/>
      <x:c r="AF55" s="123" t="n"/>
      <x:c r="AG55" s="123" t="n"/>
      <x:c r="AH55" s="123" t="n"/>
      <x:c r="AI55" s="123" t="n"/>
      <x:c r="AJ55" s="123" t="n"/>
      <x:c r="AK55" s="121" t="n"/>
      <x:c r="AL55" s="123" t="n"/>
      <x:c r="AM55" s="121" t="n"/>
      <x:c r="AN55" s="124" t="n"/>
      <x:c r="AO55" s="121" t="n"/>
      <x:c r="AP55" s="121" t="n"/>
      <x:c r="AQ55" s="28" t="n"/>
      <x:c r="AR55" s="28" t="n"/>
      <x:c r="AS55" s="28" t="n"/>
    </x:row>
    <x:row r="56" s="27" customFormat="1" ht="17.450000762939453" customHeight="1">
      <x:c r="A56" s="38" t="n"/>
      <x:c r="B56" s="37" t="n"/>
      <x:c r="C56" s="36" t="n">
        <x:f>E56*D$5</x:f>
        <x:v>0</x:v>
      </x:c>
      <x:c r="D56" s="87" t="n"/>
      <x:c r="E56" s="36" t="n">
        <x:f>SUM(G56:HT56)</x:f>
        <x:v>0</x:v>
      </x:c>
      <x:c r="H56" s="28" t="n"/>
      <x:c r="I56" s="28" t="n"/>
      <x:c r="J56" s="28" t="n"/>
      <x:c r="K56" s="28" t="n"/>
      <x:c r="L56" s="28" t="n"/>
      <x:c r="M56" s="28" t="n"/>
      <x:c r="N56" s="28" t="n"/>
      <x:c r="O56" s="28" t="n"/>
      <x:c r="P56" s="28" t="n"/>
      <x:c r="Q56" s="100" t="n"/>
      <x:c r="R56" s="100" t="n"/>
      <x:c r="S56" s="28" t="n"/>
      <x:c r="T56" s="28" t="n"/>
      <x:c r="U56" s="28" t="n"/>
      <x:c r="V56" s="28" t="n"/>
      <x:c r="W56" s="28" t="n"/>
      <x:c r="X56" s="28" t="n"/>
      <x:c r="Y56" s="28" t="n"/>
      <x:c r="Z56" s="28" t="n"/>
      <x:c r="AA56" s="28" t="n"/>
      <x:c r="AB56" s="28" t="n"/>
      <x:c r="AC56" s="28" t="n"/>
      <x:c r="AD56" s="100" t="n"/>
      <x:c r="AE56" s="100" t="n"/>
      <x:c r="AF56" s="100" t="n"/>
      <x:c r="AG56" s="100" t="n"/>
      <x:c r="AH56" s="100" t="n"/>
      <x:c r="AI56" s="100" t="n"/>
      <x:c r="AJ56" s="100" t="n"/>
      <x:c r="AK56" s="28" t="n"/>
      <x:c r="AL56" s="100" t="n"/>
      <x:c r="AM56" s="28" t="n"/>
      <x:c r="AN56" s="123" t="n"/>
      <x:c r="AO56" s="28" t="n"/>
      <x:c r="AP56" s="28" t="n"/>
      <x:c r="AQ56" s="28" t="n"/>
      <x:c r="AR56" s="28" t="n"/>
      <x:c r="AS56" s="28" t="n"/>
    </x:row>
    <x:row r="57" s="27" customFormat="1" ht="17.450000762939453" customHeight="1">
      <x:c r="A57" s="38" t="n"/>
      <x:c r="B57" s="37" t="n"/>
      <x:c r="C57" s="36" t="n">
        <x:f>E57*D$5</x:f>
        <x:v>0</x:v>
      </x:c>
      <x:c r="D57" s="89" t="n"/>
      <x:c r="E57" s="36" t="n">
        <x:f>SUM(G57:HT57)</x:f>
        <x:v>0</x:v>
      </x:c>
      <x:c r="H57" s="28" t="n"/>
      <x:c r="I57" s="28" t="n"/>
      <x:c r="J57" s="28" t="n"/>
      <x:c r="K57" s="28" t="n"/>
      <x:c r="L57" s="28" t="n"/>
      <x:c r="M57" s="28" t="n"/>
      <x:c r="N57" s="28" t="n"/>
      <x:c r="O57" s="28" t="n"/>
      <x:c r="P57" s="28" t="n"/>
      <x:c r="Q57" s="100" t="n"/>
      <x:c r="R57" s="100" t="n"/>
      <x:c r="S57" s="28" t="n"/>
      <x:c r="T57" s="28" t="n"/>
      <x:c r="U57" s="28" t="n"/>
      <x:c r="V57" s="28" t="n"/>
      <x:c r="W57" s="28" t="n"/>
      <x:c r="X57" s="28" t="n"/>
      <x:c r="Y57" s="28" t="n"/>
      <x:c r="Z57" s="28" t="n"/>
      <x:c r="AA57" s="28" t="n"/>
      <x:c r="AB57" s="28" t="n"/>
      <x:c r="AC57" s="28" t="n"/>
      <x:c r="AD57" s="100" t="n"/>
      <x:c r="AE57" s="100" t="n"/>
      <x:c r="AF57" s="100" t="n"/>
      <x:c r="AG57" s="100" t="n"/>
      <x:c r="AH57" s="100" t="n"/>
      <x:c r="AI57" s="100" t="n"/>
      <x:c r="AJ57" s="100" t="n"/>
      <x:c r="AK57" s="28" t="n"/>
      <x:c r="AL57" s="100" t="n"/>
      <x:c r="AM57" s="28" t="n"/>
      <x:c r="AN57" s="123" t="n"/>
      <x:c r="AO57" s="28" t="n"/>
      <x:c r="AP57" s="28" t="n"/>
      <x:c r="AQ57" s="28" t="n"/>
      <x:c r="AR57" s="28" t="n"/>
      <x:c r="AS57" s="28" t="n"/>
    </x:row>
    <x:row r="58" s="27" customFormat="1" ht="17.450000762939453" customHeight="1">
      <x:c r="A58" s="38" t="n"/>
      <x:c r="B58" s="37" t="n"/>
      <x:c r="C58" s="36" t="n">
        <x:f>E58*D$5</x:f>
        <x:v>0</x:v>
      </x:c>
      <x:c r="D58" s="87" t="n"/>
      <x:c r="E58" s="36" t="n">
        <x:f>SUM(G58:HT58)</x:f>
        <x:v>0</x:v>
      </x:c>
      <x:c r="H58" s="28" t="n"/>
      <x:c r="I58" s="28" t="n"/>
      <x:c r="J58" s="28" t="n"/>
      <x:c r="K58" s="28" t="n"/>
      <x:c r="L58" s="28" t="n"/>
      <x:c r="M58" s="28" t="n"/>
      <x:c r="N58" s="28" t="n"/>
      <x:c r="O58" s="28" t="n"/>
      <x:c r="P58" s="28" t="n"/>
      <x:c r="Q58" s="100" t="n"/>
      <x:c r="R58" s="100" t="n"/>
      <x:c r="S58" s="28" t="n"/>
      <x:c r="T58" s="28" t="n"/>
      <x:c r="U58" s="28" t="n"/>
      <x:c r="V58" s="28" t="n"/>
      <x:c r="W58" s="28" t="n"/>
      <x:c r="X58" s="28" t="n"/>
      <x:c r="Y58" s="28" t="n"/>
      <x:c r="Z58" s="28" t="n"/>
      <x:c r="AA58" s="28" t="n"/>
      <x:c r="AB58" s="28" t="n"/>
      <x:c r="AC58" s="28" t="n"/>
      <x:c r="AD58" s="100" t="n"/>
      <x:c r="AE58" s="100" t="n"/>
      <x:c r="AF58" s="100" t="n"/>
      <x:c r="AG58" s="100" t="n"/>
      <x:c r="AH58" s="100" t="n"/>
      <x:c r="AI58" s="100" t="n"/>
      <x:c r="AJ58" s="100" t="n"/>
      <x:c r="AK58" s="28" t="n"/>
      <x:c r="AL58" s="100" t="n"/>
      <x:c r="AM58" s="28" t="n"/>
      <x:c r="AN58" s="123" t="n"/>
      <x:c r="AO58" s="28" t="n"/>
      <x:c r="AP58" s="28" t="n"/>
      <x:c r="AQ58" s="28" t="n"/>
      <x:c r="AR58" s="28" t="n"/>
      <x:c r="AS58" s="28" t="n"/>
    </x:row>
    <x:row r="59" s="27" customFormat="1" ht="17.450000762939453" customHeight="1">
      <x:c r="A59" s="38" t="n"/>
      <x:c r="B59" s="37" t="n"/>
      <x:c r="C59" s="36" t="n">
        <x:f>E59*D$5</x:f>
        <x:v>0</x:v>
      </x:c>
      <x:c r="D59" s="87" t="n"/>
      <x:c r="E59" s="36" t="n">
        <x:f>SUM(G59:HT59)</x:f>
        <x:v>0</x:v>
      </x:c>
      <x:c r="H59" s="28" t="n"/>
      <x:c r="I59" s="28" t="n"/>
      <x:c r="J59" s="28" t="n"/>
      <x:c r="K59" s="28" t="n"/>
      <x:c r="L59" s="28" t="n"/>
      <x:c r="M59" s="28" t="n"/>
      <x:c r="N59" s="28" t="n"/>
      <x:c r="O59" s="28" t="n"/>
      <x:c r="P59" s="28" t="n"/>
      <x:c r="Q59" s="100" t="n"/>
      <x:c r="R59" s="100" t="n"/>
      <x:c r="S59" s="28" t="n"/>
      <x:c r="T59" s="28" t="n"/>
      <x:c r="U59" s="28" t="n"/>
      <x:c r="V59" s="28" t="n"/>
      <x:c r="W59" s="28" t="n"/>
      <x:c r="X59" s="28" t="n"/>
      <x:c r="Y59" s="28" t="n"/>
      <x:c r="Z59" s="28" t="n"/>
      <x:c r="AA59" s="28" t="n"/>
      <x:c r="AB59" s="28" t="n"/>
      <x:c r="AC59" s="28" t="n"/>
      <x:c r="AD59" s="100" t="n"/>
      <x:c r="AE59" s="100" t="n"/>
      <x:c r="AF59" s="100" t="n"/>
      <x:c r="AG59" s="100" t="n"/>
      <x:c r="AH59" s="100" t="n"/>
      <x:c r="AI59" s="100" t="n"/>
      <x:c r="AJ59" s="100" t="n"/>
      <x:c r="AK59" s="28" t="n"/>
      <x:c r="AL59" s="100" t="n"/>
      <x:c r="AM59" s="28" t="n"/>
      <x:c r="AN59" s="123" t="n"/>
      <x:c r="AO59" s="28" t="n"/>
      <x:c r="AP59" s="28" t="n"/>
      <x:c r="AQ59" s="28" t="n"/>
      <x:c r="AR59" s="28" t="n"/>
      <x:c r="AS59" s="28" t="n"/>
    </x:row>
    <x:row r="60" s="27" customFormat="1" ht="16.5" customHeight="1">
      <x:c r="A60" s="38" t="n"/>
      <x:c r="B60" s="37" t="n"/>
      <x:c r="C60" s="36" t="n">
        <x:f>E60*D$5</x:f>
        <x:v>0</x:v>
      </x:c>
      <x:c r="D60" s="87" t="n"/>
      <x:c r="E60" s="36" t="n">
        <x:f>SUM(G60:HT60)</x:f>
        <x:v>0</x:v>
      </x:c>
      <x:c r="H60" s="28" t="n"/>
      <x:c r="I60" s="28" t="n"/>
      <x:c r="J60" s="28" t="n"/>
      <x:c r="K60" s="28" t="n"/>
      <x:c r="L60" s="28" t="n"/>
      <x:c r="M60" s="28" t="n"/>
      <x:c r="N60" s="28" t="n"/>
      <x:c r="O60" s="28" t="n"/>
      <x:c r="P60" s="28" t="n"/>
      <x:c r="Q60" s="100" t="n"/>
      <x:c r="R60" s="100" t="n"/>
      <x:c r="S60" s="28" t="n"/>
      <x:c r="T60" s="28" t="n"/>
      <x:c r="U60" s="28" t="n"/>
      <x:c r="V60" s="28" t="n"/>
      <x:c r="W60" s="28" t="n"/>
      <x:c r="X60" s="28" t="n"/>
      <x:c r="Y60" s="28" t="n"/>
      <x:c r="Z60" s="28" t="n"/>
      <x:c r="AA60" s="28" t="n"/>
      <x:c r="AB60" s="28" t="n"/>
      <x:c r="AC60" s="28" t="n"/>
      <x:c r="AD60" s="100" t="n"/>
      <x:c r="AE60" s="100" t="n"/>
      <x:c r="AF60" s="100" t="n"/>
      <x:c r="AG60" s="100" t="n"/>
      <x:c r="AH60" s="100" t="n"/>
      <x:c r="AI60" s="100" t="n"/>
      <x:c r="AJ60" s="100" t="n"/>
      <x:c r="AK60" s="28" t="n"/>
      <x:c r="AL60" s="100" t="n"/>
      <x:c r="AM60" s="28" t="n"/>
      <x:c r="AN60" s="123" t="n"/>
      <x:c r="AO60" s="28" t="n"/>
      <x:c r="AP60" s="28" t="n"/>
      <x:c r="AQ60" s="28" t="n"/>
      <x:c r="AR60" s="28" t="n"/>
      <x:c r="AS60" s="28" t="n"/>
    </x:row>
    <x:row r="61" s="27" customFormat="1">
      <x:c r="A61" s="38" t="n"/>
      <x:c r="B61" s="37" t="n"/>
      <x:c r="C61" s="36" t="n">
        <x:f>E61*D$5</x:f>
        <x:v>0</x:v>
      </x:c>
      <x:c r="D61" s="4" t="n"/>
      <x:c r="E61" s="36" t="n">
        <x:f>SUM(G61:HT61)</x:f>
        <x:v>0</x:v>
      </x:c>
      <x:c r="H61" s="28" t="n"/>
      <x:c r="I61" s="28" t="n"/>
      <x:c r="J61" s="28" t="n"/>
      <x:c r="K61" s="28" t="n"/>
      <x:c r="L61" s="28" t="n"/>
      <x:c r="M61" s="28" t="n"/>
      <x:c r="N61" s="28" t="n"/>
      <x:c r="O61" s="28" t="n"/>
      <x:c r="P61" s="28" t="n"/>
      <x:c r="Q61" s="100" t="n"/>
      <x:c r="R61" s="100" t="n"/>
      <x:c r="S61" s="28" t="n"/>
      <x:c r="T61" s="28" t="n"/>
      <x:c r="U61" s="28" t="n"/>
      <x:c r="V61" s="28" t="n"/>
      <x:c r="W61" s="28" t="n"/>
      <x:c r="X61" s="28" t="n"/>
      <x:c r="Y61" s="28" t="n"/>
      <x:c r="Z61" s="28" t="n"/>
      <x:c r="AA61" s="28" t="n"/>
      <x:c r="AB61" s="28" t="n"/>
      <x:c r="AC61" s="28" t="n"/>
      <x:c r="AD61" s="100" t="n"/>
      <x:c r="AE61" s="100" t="n"/>
      <x:c r="AF61" s="100" t="n"/>
      <x:c r="AG61" s="100" t="n"/>
      <x:c r="AH61" s="100" t="n"/>
      <x:c r="AI61" s="100" t="n"/>
      <x:c r="AJ61" s="100" t="n"/>
      <x:c r="AK61" s="28" t="n"/>
      <x:c r="AL61" s="100" t="n"/>
      <x:c r="AM61" s="28" t="n"/>
      <x:c r="AN61" s="123" t="n"/>
      <x:c r="AO61" s="28" t="n"/>
      <x:c r="AP61" s="28" t="n"/>
      <x:c r="AQ61" s="28" t="n"/>
      <x:c r="AR61" s="28" t="n"/>
      <x:c r="AS61" s="28" t="n"/>
    </x:row>
    <x:row r="62" s="27" customFormat="1">
      <x:c r="A62" s="38" t="n"/>
      <x:c r="B62" s="37" t="n"/>
      <x:c r="C62" s="86" t="n">
        <x:f>E62*D$5</x:f>
        <x:v>0</x:v>
      </x:c>
      <x:c r="D62" s="523" t="n"/>
      <x:c r="E62" s="86" t="n">
        <x:f>SUM(G62:HT62)</x:f>
        <x:v>0</x:v>
      </x:c>
      <x:c r="H62" s="28" t="n"/>
      <x:c r="I62" s="28" t="n"/>
      <x:c r="J62" s="28" t="n"/>
      <x:c r="K62" s="28" t="n"/>
      <x:c r="L62" s="28" t="n"/>
      <x:c r="M62" s="28" t="n"/>
      <x:c r="N62" s="28" t="n"/>
      <x:c r="O62" s="28" t="n"/>
      <x:c r="P62" s="28" t="n"/>
      <x:c r="Q62" s="100" t="n"/>
      <x:c r="R62" s="100" t="n"/>
      <x:c r="S62" s="28" t="n"/>
      <x:c r="T62" s="28" t="n"/>
      <x:c r="U62" s="28" t="n"/>
      <x:c r="V62" s="28" t="n"/>
      <x:c r="W62" s="28" t="n"/>
      <x:c r="X62" s="28" t="n"/>
      <x:c r="Y62" s="28" t="n"/>
      <x:c r="Z62" s="28" t="n"/>
      <x:c r="AA62" s="28" t="n"/>
      <x:c r="AB62" s="28" t="n"/>
      <x:c r="AC62" s="28" t="n"/>
      <x:c r="AD62" s="100" t="n"/>
      <x:c r="AE62" s="100" t="n"/>
      <x:c r="AF62" s="100" t="n"/>
      <x:c r="AG62" s="100" t="n"/>
      <x:c r="AH62" s="100" t="n"/>
      <x:c r="AI62" s="100" t="n"/>
      <x:c r="AJ62" s="100" t="n"/>
      <x:c r="AK62" s="28" t="n"/>
      <x:c r="AL62" s="100" t="n"/>
      <x:c r="AM62" s="28" t="n"/>
      <x:c r="AN62" s="123" t="n"/>
      <x:c r="AO62" s="28" t="n"/>
      <x:c r="AP62" s="28" t="n"/>
      <x:c r="AQ62" s="28" t="n"/>
      <x:c r="AR62" s="28" t="n"/>
      <x:c r="AS62" s="28" t="n"/>
    </x:row>
    <x:row r="63" s="27" customFormat="1">
      <x:c r="A63" s="38" t="n"/>
      <x:c r="B63" s="37" t="n"/>
      <x:c r="C63" s="86" t="n">
        <x:f>E63*D$5</x:f>
        <x:v>0</x:v>
      </x:c>
      <x:c r="D63" s="523" t="n"/>
      <x:c r="E63" s="86" t="n">
        <x:f>SUM(G63:HT63)</x:f>
        <x:v>0</x:v>
      </x:c>
      <x:c r="H63" s="28" t="n"/>
      <x:c r="I63" s="28" t="n"/>
      <x:c r="J63" s="28" t="n"/>
      <x:c r="K63" s="28" t="n"/>
      <x:c r="L63" s="28" t="n"/>
      <x:c r="M63" s="28" t="n"/>
      <x:c r="N63" s="28" t="n"/>
      <x:c r="O63" s="28" t="n"/>
      <x:c r="P63" s="28" t="n"/>
      <x:c r="Q63" s="100" t="n"/>
      <x:c r="R63" s="100" t="n"/>
      <x:c r="S63" s="28" t="n"/>
      <x:c r="T63" s="28" t="n"/>
      <x:c r="U63" s="28" t="n"/>
      <x:c r="V63" s="28" t="n"/>
      <x:c r="W63" s="28" t="n"/>
      <x:c r="X63" s="28" t="n"/>
      <x:c r="Y63" s="28" t="n"/>
      <x:c r="Z63" s="28" t="n"/>
      <x:c r="AA63" s="28" t="n"/>
      <x:c r="AB63" s="28" t="n"/>
      <x:c r="AC63" s="28" t="n"/>
      <x:c r="AD63" s="100" t="n"/>
      <x:c r="AE63" s="100" t="n"/>
      <x:c r="AF63" s="100" t="n"/>
      <x:c r="AG63" s="100" t="n"/>
      <x:c r="AH63" s="100" t="n"/>
      <x:c r="AI63" s="100" t="n"/>
      <x:c r="AJ63" s="100" t="n"/>
      <x:c r="AK63" s="28" t="n"/>
      <x:c r="AL63" s="100" t="n"/>
      <x:c r="AM63" s="28" t="n"/>
      <x:c r="AN63" s="123" t="n"/>
      <x:c r="AO63" s="28" t="n"/>
      <x:c r="AP63" s="28" t="n"/>
      <x:c r="AQ63" s="28" t="n"/>
      <x:c r="AR63" s="28" t="n"/>
      <x:c r="AS63" s="28" t="n"/>
    </x:row>
    <x:row r="64" s="27" customFormat="1">
      <x:c r="A64" s="38" t="n"/>
      <x:c r="B64" s="37" t="n"/>
      <x:c r="C64" s="36" t="n">
        <x:f>E64*D$5</x:f>
        <x:v>0</x:v>
      </x:c>
      <x:c r="D64" s="4" t="n"/>
      <x:c r="E64" s="36" t="n">
        <x:f>SUM(G64:HT64)</x:f>
        <x:v>0</x:v>
      </x:c>
      <x:c r="I64" s="28" t="n"/>
      <x:c r="K64" s="28" t="n"/>
      <x:c r="L64" s="28" t="n"/>
      <x:c r="M64" s="28" t="n"/>
      <x:c r="N64" s="28" t="n"/>
      <x:c r="O64" s="28" t="n"/>
      <x:c r="P64" s="28" t="n"/>
      <x:c r="Q64" s="100" t="n"/>
      <x:c r="R64" s="100" t="n"/>
      <x:c r="S64" s="28" t="n"/>
      <x:c r="T64" s="28" t="n"/>
      <x:c r="U64" s="28" t="n"/>
      <x:c r="V64" s="28" t="n"/>
      <x:c r="W64" s="28" t="n"/>
      <x:c r="X64" s="28" t="n"/>
      <x:c r="Y64" s="28" t="n"/>
      <x:c r="Z64" s="28" t="n"/>
      <x:c r="AA64" s="28" t="n"/>
      <x:c r="AB64" s="28" t="n"/>
      <x:c r="AC64" s="28" t="n"/>
      <x:c r="AD64" s="100" t="n"/>
      <x:c r="AE64" s="100" t="n"/>
      <x:c r="AF64" s="100" t="n"/>
      <x:c r="AG64" s="100" t="n"/>
      <x:c r="AH64" s="100" t="n"/>
      <x:c r="AI64" s="100" t="n"/>
      <x:c r="AJ64" s="100" t="n"/>
      <x:c r="AK64" s="28" t="n"/>
      <x:c r="AL64" s="100" t="n"/>
      <x:c r="AM64" s="28" t="n"/>
      <x:c r="AN64" s="123" t="n"/>
      <x:c r="AO64" s="28" t="n"/>
      <x:c r="AP64" s="28" t="n"/>
      <x:c r="AQ64" s="28" t="n"/>
      <x:c r="AR64" s="28" t="n"/>
      <x:c r="AS64" s="28" t="n"/>
    </x:row>
    <x:row r="65" s="27" customFormat="1">
      <x:c r="A65" s="38" t="n"/>
      <x:c r="B65" s="37" t="n"/>
      <x:c r="C65" s="86" t="n">
        <x:f>E65*D$5</x:f>
        <x:v>0</x:v>
      </x:c>
      <x:c r="D65" s="523" t="n"/>
      <x:c r="E65" s="86" t="n">
        <x:f>SUM(G65:HT65)</x:f>
        <x:v>0</x:v>
      </x:c>
      <x:c r="I65" s="28" t="n"/>
      <x:c r="L65" s="28" t="n"/>
      <x:c r="M65" s="28" t="n"/>
      <x:c r="N65" s="28" t="n"/>
      <x:c r="O65" s="28" t="n"/>
      <x:c r="P65" s="28" t="n"/>
      <x:c r="Q65" s="100" t="n"/>
      <x:c r="R65" s="100" t="n"/>
      <x:c r="S65" s="28" t="n"/>
      <x:c r="T65" s="28" t="n"/>
      <x:c r="U65" s="28" t="n"/>
      <x:c r="V65" s="28" t="n"/>
      <x:c r="W65" s="28" t="n"/>
      <x:c r="X65" s="28" t="n"/>
      <x:c r="Y65" s="28" t="n"/>
      <x:c r="Z65" s="28" t="n"/>
      <x:c r="AA65" s="28" t="n"/>
      <x:c r="AB65" s="28" t="n"/>
      <x:c r="AC65" s="28" t="n"/>
      <x:c r="AD65" s="100" t="n"/>
      <x:c r="AE65" s="100" t="n"/>
      <x:c r="AF65" s="100" t="n"/>
      <x:c r="AG65" s="100" t="n"/>
      <x:c r="AH65" s="100" t="n"/>
      <x:c r="AI65" s="100" t="n"/>
      <x:c r="AJ65" s="100" t="n"/>
      <x:c r="AK65" s="28" t="n"/>
      <x:c r="AL65" s="100" t="n"/>
      <x:c r="AM65" s="28" t="n"/>
      <x:c r="AN65" s="123" t="n"/>
      <x:c r="AO65" s="28" t="n"/>
      <x:c r="AP65" s="28" t="n"/>
      <x:c r="AQ65" s="28" t="n"/>
      <x:c r="AR65" s="28" t="n"/>
      <x:c r="AS65" s="28" t="n"/>
    </x:row>
    <x:row r="66" s="27" customFormat="1">
      <x:c r="A66" s="38" t="n"/>
      <x:c r="B66" s="37" t="n"/>
      <x:c r="C66" s="86" t="n">
        <x:f>E66*D$5</x:f>
        <x:v>0</x:v>
      </x:c>
      <x:c r="D66" s="523" t="n"/>
      <x:c r="E66" s="86" t="n">
        <x:f>SUM(G66:HT66)</x:f>
        <x:v>0</x:v>
      </x:c>
      <x:c r="I66" s="28" t="n"/>
      <x:c r="L66" s="28" t="n"/>
      <x:c r="M66" s="28" t="n"/>
      <x:c r="N66" s="28" t="n"/>
      <x:c r="O66" s="28" t="n"/>
      <x:c r="P66" s="28" t="n"/>
      <x:c r="Q66" s="100" t="n"/>
      <x:c r="R66" s="100" t="n"/>
      <x:c r="S66" s="28" t="n"/>
      <x:c r="T66" s="28" t="n"/>
      <x:c r="U66" s="28" t="n"/>
      <x:c r="V66" s="28" t="n"/>
      <x:c r="W66" s="28" t="n"/>
      <x:c r="X66" s="28" t="n"/>
      <x:c r="Y66" s="28" t="n"/>
      <x:c r="Z66" s="28" t="n"/>
      <x:c r="AA66" s="28" t="n"/>
      <x:c r="AB66" s="28" t="n"/>
      <x:c r="AC66" s="28" t="n"/>
      <x:c r="AD66" s="100" t="n"/>
      <x:c r="AE66" s="100" t="n"/>
      <x:c r="AF66" s="100" t="n"/>
      <x:c r="AG66" s="101" t="n"/>
      <x:c r="AH66" s="101" t="n"/>
      <x:c r="AI66" s="100" t="n"/>
      <x:c r="AJ66" s="100" t="n"/>
      <x:c r="AK66" s="28" t="n"/>
      <x:c r="AL66" s="100" t="n"/>
      <x:c r="AM66" s="28" t="n"/>
      <x:c r="AN66" s="123" t="n"/>
      <x:c r="AO66" s="28" t="n"/>
      <x:c r="AP66" s="28" t="n"/>
      <x:c r="AQ66" s="28" t="n"/>
      <x:c r="AR66" s="28" t="n"/>
      <x:c r="AS66" s="28" t="n"/>
    </x:row>
    <x:row r="67" s="27" customFormat="1">
      <x:c r="A67" s="38" t="n"/>
      <x:c r="B67" s="37" t="n"/>
      <x:c r="C67" s="36" t="n">
        <x:f>E67*D$5</x:f>
        <x:v>0</x:v>
      </x:c>
      <x:c r="D67" s="4" t="n"/>
      <x:c r="E67" s="36" t="n">
        <x:f>SUM(G67:HT67)</x:f>
        <x:v>0</x:v>
      </x:c>
      <x:c r="H67" s="28" t="n"/>
      <x:c r="I67" s="28" t="n"/>
      <x:c r="J67" s="28" t="n"/>
      <x:c r="K67" s="28" t="n"/>
      <x:c r="L67" s="28" t="n"/>
      <x:c r="M67" s="28" t="n"/>
      <x:c r="N67" s="28" t="n"/>
      <x:c r="O67" s="28" t="n"/>
      <x:c r="P67" s="28" t="n"/>
      <x:c r="Q67" s="100" t="n"/>
      <x:c r="R67" s="100" t="n"/>
      <x:c r="S67" s="28" t="n"/>
      <x:c r="T67" s="28" t="n"/>
      <x:c r="U67" s="28" t="n"/>
      <x:c r="V67" s="28" t="n"/>
      <x:c r="W67" s="28" t="n"/>
      <x:c r="X67" s="28" t="n"/>
      <x:c r="Y67" s="28" t="n"/>
      <x:c r="Z67" s="28" t="n"/>
      <x:c r="AA67" s="28" t="n"/>
      <x:c r="AB67" s="28" t="n"/>
      <x:c r="AC67" s="28" t="n"/>
      <x:c r="AD67" s="100" t="n"/>
      <x:c r="AE67" s="100" t="n"/>
      <x:c r="AF67" s="100" t="n"/>
      <x:c r="AG67" s="101" t="n"/>
      <x:c r="AH67" s="100" t="n"/>
      <x:c r="AI67" s="100" t="n"/>
      <x:c r="AJ67" s="101" t="n"/>
      <x:c r="AK67" s="28" t="n"/>
      <x:c r="AL67" s="100" t="n"/>
      <x:c r="AM67" s="28" t="n"/>
      <x:c r="AN67" s="123" t="n"/>
      <x:c r="AO67" s="28" t="n"/>
      <x:c r="AP67" s="28" t="n"/>
      <x:c r="AQ67" s="28" t="n"/>
      <x:c r="AR67" s="28" t="n"/>
      <x:c r="AS67" s="28" t="n"/>
    </x:row>
    <x:row r="68" s="27" customFormat="1">
      <x:c r="A68" s="38" t="n"/>
      <x:c r="B68" s="37" t="n"/>
      <x:c r="C68" s="36" t="n">
        <x:f>E68*D$5</x:f>
        <x:v>0</x:v>
      </x:c>
      <x:c r="D68" s="4" t="n"/>
      <x:c r="E68" s="36" t="n">
        <x:f>SUM(G68:HT68)</x:f>
        <x:v>0</x:v>
      </x:c>
      <x:c r="H68" s="28" t="n"/>
      <x:c r="I68" s="28" t="n"/>
      <x:c r="J68" s="28" t="n"/>
      <x:c r="K68" s="28" t="n"/>
      <x:c r="L68" s="28" t="n"/>
      <x:c r="M68" s="28" t="n"/>
      <x:c r="N68" s="28" t="n"/>
      <x:c r="O68" s="28" t="n"/>
      <x:c r="P68" s="28" t="n"/>
      <x:c r="Q68" s="100" t="n"/>
      <x:c r="R68" s="100" t="n"/>
      <x:c r="S68" s="28" t="n"/>
      <x:c r="T68" s="28" t="n"/>
      <x:c r="U68" s="28" t="n"/>
      <x:c r="V68" s="28" t="n"/>
      <x:c r="W68" s="28" t="n"/>
      <x:c r="X68" s="28" t="n"/>
      <x:c r="Y68" s="28" t="n"/>
      <x:c r="Z68" s="28" t="n"/>
      <x:c r="AA68" s="28" t="n"/>
      <x:c r="AB68" s="28" t="n"/>
      <x:c r="AC68" s="28" t="n"/>
      <x:c r="AD68" s="100" t="n"/>
      <x:c r="AE68" s="100" t="n"/>
      <x:c r="AF68" s="100" t="n"/>
      <x:c r="AG68" s="100" t="n"/>
      <x:c r="AH68" s="101" t="n"/>
      <x:c r="AI68" s="101" t="n"/>
      <x:c r="AJ68" s="100" t="n"/>
      <x:c r="AK68" s="28" t="n"/>
      <x:c r="AL68" s="100" t="n"/>
      <x:c r="AM68" s="28" t="n"/>
      <x:c r="AN68" s="124" t="n"/>
      <x:c r="AO68" s="28" t="n"/>
      <x:c r="AP68" s="28" t="n"/>
      <x:c r="AQ68" s="28" t="n"/>
      <x:c r="AR68" s="28" t="n"/>
      <x:c r="AS68" s="28" t="n"/>
    </x:row>
    <x:row r="69" s="27" customFormat="1">
      <x:c r="A69" s="38" t="n"/>
      <x:c r="B69" s="37" t="n"/>
      <x:c r="C69" s="36" t="n">
        <x:f>E69*D$5</x:f>
        <x:v>0</x:v>
      </x:c>
      <x:c r="D69" s="4" t="n"/>
      <x:c r="E69" s="36" t="n">
        <x:f>SUM(G69:HT69)</x:f>
        <x:v>0</x:v>
      </x:c>
      <x:c r="H69" s="28" t="n"/>
      <x:c r="I69" s="28" t="n"/>
      <x:c r="J69" s="28" t="n"/>
      <x:c r="K69" s="28" t="n"/>
      <x:c r="L69" s="28" t="n"/>
      <x:c r="M69" s="28" t="n"/>
      <x:c r="N69" s="28" t="n"/>
      <x:c r="O69" s="28" t="n"/>
      <x:c r="P69" s="28" t="n"/>
      <x:c r="Q69" s="100" t="n"/>
      <x:c r="R69" s="100" t="n"/>
      <x:c r="S69" s="28" t="n"/>
      <x:c r="T69" s="28" t="n"/>
      <x:c r="U69" s="28" t="n"/>
      <x:c r="V69" s="28" t="n"/>
      <x:c r="W69" s="28" t="n"/>
      <x:c r="X69" s="28" t="n"/>
      <x:c r="Y69" s="28" t="n"/>
      <x:c r="Z69" s="28" t="n"/>
      <x:c r="AA69" s="28" t="n"/>
      <x:c r="AB69" s="28" t="n"/>
      <x:c r="AC69" s="28" t="n"/>
      <x:c r="AD69" s="100" t="n"/>
      <x:c r="AE69" s="100" t="n"/>
      <x:c r="AF69" s="100" t="n"/>
      <x:c r="AG69" s="100" t="n"/>
      <x:c r="AH69" s="100" t="n"/>
      <x:c r="AI69" s="100" t="n"/>
      <x:c r="AJ69" s="101" t="n"/>
      <x:c r="AK69" s="28" t="n"/>
      <x:c r="AL69" s="100" t="n"/>
      <x:c r="AM69" s="28" t="n"/>
      <x:c r="AN69" s="123" t="n"/>
      <x:c r="AO69" s="28" t="n"/>
      <x:c r="AP69" s="28" t="n"/>
      <x:c r="AQ69" s="28" t="n"/>
      <x:c r="AR69" s="28" t="n"/>
      <x:c r="AS69" s="28" t="n"/>
    </x:row>
    <x:row r="70" s="27" customFormat="1">
      <x:c r="A70" s="38" t="n"/>
      <x:c r="B70" s="37" t="n"/>
      <x:c r="C70" s="36" t="n">
        <x:f>E70*D$5</x:f>
        <x:v>0</x:v>
      </x:c>
      <x:c r="D70" s="89" t="n"/>
      <x:c r="E70" s="36" t="n">
        <x:f>SUM(G70:HT70)</x:f>
        <x:v>0</x:v>
      </x:c>
      <x:c r="H70" s="28" t="n"/>
      <x:c r="I70" s="28" t="n"/>
      <x:c r="J70" s="28" t="n"/>
      <x:c r="K70" s="28" t="n"/>
      <x:c r="L70" s="28" t="n"/>
      <x:c r="M70" s="28" t="n"/>
      <x:c r="N70" s="28" t="n"/>
      <x:c r="O70" s="28" t="n"/>
      <x:c r="P70" s="28" t="n"/>
      <x:c r="Q70" s="100" t="n"/>
      <x:c r="R70" s="100" t="n"/>
      <x:c r="S70" s="28" t="n"/>
      <x:c r="T70" s="28" t="n"/>
      <x:c r="U70" s="28" t="n"/>
      <x:c r="V70" s="28" t="n"/>
      <x:c r="W70" s="28" t="n"/>
      <x:c r="X70" s="28" t="n"/>
      <x:c r="Y70" s="28" t="n"/>
      <x:c r="Z70" s="28" t="n"/>
      <x:c r="AA70" s="28" t="n"/>
      <x:c r="AB70" s="28" t="n"/>
      <x:c r="AC70" s="28" t="n"/>
      <x:c r="AD70" s="100" t="n"/>
      <x:c r="AE70" s="100" t="n"/>
      <x:c r="AF70" s="100" t="n"/>
      <x:c r="AG70" s="100" t="n"/>
      <x:c r="AH70" s="100" t="n"/>
      <x:c r="AI70" s="100" t="n"/>
      <x:c r="AJ70" s="101" t="n"/>
      <x:c r="AK70" s="28" t="n"/>
      <x:c r="AL70" s="100" t="n"/>
      <x:c r="AM70" s="28" t="n"/>
      <x:c r="AN70" s="123" t="n"/>
      <x:c r="AO70" s="28" t="n"/>
      <x:c r="AP70" s="28" t="n"/>
      <x:c r="AQ70" s="28" t="n"/>
      <x:c r="AR70" s="28" t="n"/>
      <x:c r="AS70" s="28" t="n"/>
    </x:row>
    <x:row r="71" s="27" customFormat="1">
      <x:c r="A71" s="38" t="n"/>
      <x:c r="B71" s="37" t="n"/>
      <x:c r="C71" s="36" t="n">
        <x:f>E71*D$5</x:f>
        <x:v>0</x:v>
      </x:c>
      <x:c r="D71" s="66" t="n"/>
      <x:c r="E71" s="36" t="n">
        <x:f>SUM(G71:HT71)</x:f>
        <x:v>0</x:v>
      </x:c>
      <x:c r="H71" s="28" t="n"/>
      <x:c r="I71" s="28" t="n"/>
      <x:c r="J71" s="28" t="n"/>
      <x:c r="K71" s="28" t="n"/>
      <x:c r="L71" s="28" t="n"/>
      <x:c r="M71" s="28" t="n"/>
      <x:c r="N71" s="28" t="n"/>
      <x:c r="O71" s="28" t="n"/>
      <x:c r="P71" s="28" t="n"/>
      <x:c r="Q71" s="100" t="n"/>
      <x:c r="R71" s="100" t="n"/>
      <x:c r="S71" s="28" t="n"/>
      <x:c r="T71" s="28" t="n"/>
      <x:c r="U71" s="28" t="n"/>
      <x:c r="V71" s="28" t="n"/>
      <x:c r="W71" s="28" t="n"/>
      <x:c r="X71" s="28" t="n"/>
      <x:c r="Y71" s="28" t="n"/>
      <x:c r="Z71" s="28" t="n"/>
      <x:c r="AA71" s="28" t="n"/>
      <x:c r="AB71" s="28" t="n"/>
      <x:c r="AC71" s="28" t="n"/>
      <x:c r="AD71" s="100" t="n"/>
      <x:c r="AE71" s="100" t="n"/>
      <x:c r="AF71" s="100" t="n"/>
      <x:c r="AG71" s="100" t="n"/>
      <x:c r="AH71" s="100" t="n"/>
      <x:c r="AI71" s="100" t="n"/>
      <x:c r="AJ71" s="101" t="n"/>
      <x:c r="AK71" s="28" t="n"/>
      <x:c r="AL71" s="100" t="n"/>
      <x:c r="AM71" s="28" t="n"/>
      <x:c r="AN71" s="123" t="n"/>
      <x:c r="AO71" s="28" t="n"/>
      <x:c r="AP71" s="28" t="n"/>
      <x:c r="AQ71" s="28" t="n"/>
      <x:c r="AR71" s="28" t="n"/>
      <x:c r="AS71" s="28" t="n"/>
    </x:row>
    <x:row r="72" s="27" customFormat="1">
      <x:c r="A72" s="38" t="n"/>
      <x:c r="B72" s="37" t="n"/>
      <x:c r="C72" s="36" t="n">
        <x:f>E72*D$5</x:f>
        <x:v>0</x:v>
      </x:c>
      <x:c r="D72" s="66" t="n"/>
      <x:c r="E72" s="36" t="n">
        <x:f>SUM(G72:HT72)</x:f>
        <x:v>0</x:v>
      </x:c>
      <x:c r="H72" s="28" t="n"/>
      <x:c r="I72" s="28" t="n"/>
      <x:c r="J72" s="28" t="n"/>
      <x:c r="K72" s="28" t="n"/>
      <x:c r="L72" s="28" t="n"/>
      <x:c r="M72" s="28" t="n"/>
      <x:c r="N72" s="28" t="n"/>
      <x:c r="O72" s="28" t="n"/>
      <x:c r="P72" s="28" t="n"/>
      <x:c r="Q72" s="100" t="n"/>
      <x:c r="R72" s="100" t="n"/>
      <x:c r="S72" s="28" t="n"/>
      <x:c r="T72" s="28" t="n"/>
      <x:c r="U72" s="28" t="n"/>
      <x:c r="V72" s="28" t="n"/>
      <x:c r="W72" s="28" t="n"/>
      <x:c r="X72" s="28" t="n"/>
      <x:c r="Y72" s="28" t="n"/>
      <x:c r="Z72" s="28" t="n"/>
      <x:c r="AA72" s="28" t="n"/>
      <x:c r="AB72" s="28" t="n"/>
      <x:c r="AC72" s="28" t="n"/>
      <x:c r="AD72" s="100" t="n"/>
      <x:c r="AE72" s="100" t="n"/>
      <x:c r="AF72" s="100" t="n"/>
      <x:c r="AG72" s="100" t="n"/>
      <x:c r="AH72" s="100" t="n"/>
      <x:c r="AI72" s="100" t="n"/>
      <x:c r="AJ72" s="101" t="n"/>
      <x:c r="AK72" s="28" t="n"/>
      <x:c r="AL72" s="100" t="n"/>
      <x:c r="AM72" s="28" t="n"/>
      <x:c r="AN72" s="123" t="n"/>
      <x:c r="AO72" s="28" t="n"/>
      <x:c r="AP72" s="28" t="n"/>
      <x:c r="AQ72" s="28" t="n"/>
      <x:c r="AR72" s="28" t="n"/>
      <x:c r="AS72" s="28" t="n"/>
    </x:row>
    <x:row r="73" s="27" customFormat="1">
      <x:c r="A73" s="38" t="n"/>
      <x:c r="B73" s="37" t="n"/>
      <x:c r="C73" s="86" t="n">
        <x:f>E73*D$5</x:f>
        <x:v>0</x:v>
      </x:c>
      <x:c r="D73" s="66" t="n"/>
      <x:c r="E73" s="86" t="n">
        <x:f>SUM(G73:HT73)</x:f>
        <x:v>0</x:v>
      </x:c>
      <x:c r="H73" s="28" t="n"/>
      <x:c r="I73" s="28" t="n"/>
      <x:c r="J73" s="28" t="n"/>
      <x:c r="K73" s="28" t="n"/>
      <x:c r="L73" s="28" t="n"/>
      <x:c r="M73" s="28" t="n"/>
      <x:c r="N73" s="28" t="n"/>
      <x:c r="O73" s="28" t="n"/>
      <x:c r="P73" s="28" t="n"/>
      <x:c r="Q73" s="100" t="n"/>
      <x:c r="R73" s="100" t="n"/>
      <x:c r="S73" s="28" t="n"/>
      <x:c r="T73" s="28" t="n"/>
      <x:c r="U73" s="28" t="n"/>
      <x:c r="V73" s="28" t="n"/>
      <x:c r="W73" s="28" t="n"/>
      <x:c r="X73" s="28" t="n"/>
      <x:c r="Y73" s="28" t="n"/>
      <x:c r="Z73" s="28" t="n"/>
      <x:c r="AA73" s="28" t="n"/>
      <x:c r="AB73" s="28" t="n"/>
      <x:c r="AC73" s="28" t="n"/>
      <x:c r="AD73" s="100" t="n"/>
      <x:c r="AE73" s="100" t="n"/>
      <x:c r="AF73" s="100" t="n"/>
      <x:c r="AG73" s="100" t="n"/>
      <x:c r="AH73" s="100" t="n"/>
      <x:c r="AI73" s="100" t="n"/>
      <x:c r="AJ73" s="100" t="n"/>
      <x:c r="AK73" s="28" t="n"/>
      <x:c r="AL73" s="100" t="n"/>
      <x:c r="AM73" s="28" t="n"/>
      <x:c r="AN73" s="123" t="n"/>
      <x:c r="AO73" s="28" t="n"/>
      <x:c r="AP73" s="28" t="n"/>
      <x:c r="AQ73" s="28" t="n"/>
      <x:c r="AR73" s="28" t="n"/>
      <x:c r="AS73" s="28" t="n"/>
    </x:row>
    <x:row r="74" s="27" customFormat="1">
      <x:c r="A74" s="38" t="n"/>
      <x:c r="B74" s="37" t="n"/>
      <x:c r="C74" s="86" t="n">
        <x:f>E74*D$5</x:f>
        <x:v>0</x:v>
      </x:c>
      <x:c r="D74" s="66" t="n"/>
      <x:c r="E74" s="86" t="n">
        <x:f>SUM(G74:HT74)</x:f>
        <x:v>0</x:v>
      </x:c>
      <x:c r="H74" s="28" t="n"/>
      <x:c r="I74" s="28" t="n"/>
      <x:c r="J74" s="28" t="n"/>
      <x:c r="K74" s="28" t="n"/>
      <x:c r="L74" s="28" t="n"/>
      <x:c r="M74" s="28" t="n"/>
      <x:c r="N74" s="28" t="n"/>
      <x:c r="O74" s="28" t="n"/>
      <x:c r="P74" s="28" t="n"/>
      <x:c r="Q74" s="100" t="n"/>
      <x:c r="R74" s="100" t="n"/>
      <x:c r="S74" s="28" t="n"/>
      <x:c r="T74" s="28" t="n"/>
      <x:c r="U74" s="28" t="n"/>
      <x:c r="V74" s="28" t="n"/>
      <x:c r="W74" s="28" t="n"/>
      <x:c r="X74" s="28" t="n"/>
      <x:c r="Y74" s="28" t="n"/>
      <x:c r="Z74" s="28" t="n"/>
      <x:c r="AA74" s="28" t="n"/>
      <x:c r="AB74" s="28" t="n"/>
      <x:c r="AC74" s="28" t="n"/>
      <x:c r="AD74" s="100" t="n"/>
      <x:c r="AE74" s="100" t="n"/>
      <x:c r="AF74" s="100" t="n"/>
      <x:c r="AG74" s="100" t="n"/>
      <x:c r="AH74" s="100" t="n"/>
      <x:c r="AI74" s="100" t="n"/>
      <x:c r="AJ74" s="100" t="n"/>
      <x:c r="AK74" s="28" t="n"/>
      <x:c r="AL74" s="100" t="n"/>
      <x:c r="AM74" s="28" t="n"/>
      <x:c r="AN74" s="123" t="n"/>
      <x:c r="AO74" s="28" t="n"/>
      <x:c r="AP74" s="28" t="n"/>
      <x:c r="AQ74" s="28" t="n"/>
      <x:c r="AR74" s="28" t="n"/>
      <x:c r="AS74" s="28" t="n"/>
    </x:row>
    <x:row r="75" s="27" customFormat="1">
      <x:c r="A75" s="38" t="n"/>
      <x:c r="B75" s="37" t="n"/>
      <x:c r="C75" s="36" t="n">
        <x:f>E75*D$5</x:f>
        <x:v>0</x:v>
      </x:c>
      <x:c r="D75" s="66" t="n"/>
      <x:c r="E75" s="36" t="n">
        <x:f>SUM(G75:HT75)</x:f>
        <x:v>0</x:v>
      </x:c>
      <x:c r="H75" s="28" t="n"/>
      <x:c r="I75" s="28" t="n"/>
      <x:c r="J75" s="28" t="n"/>
      <x:c r="K75" s="28" t="n"/>
      <x:c r="L75" s="28" t="n"/>
      <x:c r="M75" s="28" t="n"/>
      <x:c r="N75" s="28" t="n"/>
      <x:c r="O75" s="28" t="n"/>
      <x:c r="P75" s="28" t="n"/>
      <x:c r="Q75" s="100" t="n"/>
      <x:c r="R75" s="100" t="n"/>
      <x:c r="S75" s="28" t="n"/>
      <x:c r="T75" s="28" t="n"/>
      <x:c r="U75" s="28" t="n"/>
      <x:c r="V75" s="28" t="n"/>
      <x:c r="W75" s="28" t="n"/>
      <x:c r="X75" s="28" t="n"/>
      <x:c r="Y75" s="28" t="n"/>
      <x:c r="Z75" s="28" t="n"/>
      <x:c r="AA75" s="28" t="n"/>
      <x:c r="AB75" s="28" t="n"/>
      <x:c r="AC75" s="28" t="n"/>
      <x:c r="AD75" s="100" t="n"/>
      <x:c r="AE75" s="100" t="n"/>
      <x:c r="AF75" s="100" t="n"/>
      <x:c r="AG75" s="100" t="n"/>
      <x:c r="AH75" s="100" t="n"/>
      <x:c r="AI75" s="100" t="n"/>
      <x:c r="AJ75" s="100" t="n"/>
      <x:c r="AK75" s="28" t="n"/>
      <x:c r="AL75" s="100" t="n"/>
      <x:c r="AM75" s="28" t="n"/>
      <x:c r="AN75" s="100" t="n"/>
      <x:c r="AO75" s="28" t="n"/>
      <x:c r="AP75" s="28" t="n"/>
      <x:c r="AQ75" s="28" t="n"/>
      <x:c r="AR75" s="28" t="n"/>
      <x:c r="AS75" s="28" t="n"/>
    </x:row>
    <x:row r="76" s="27" customFormat="1">
      <x:c r="A76" s="38" t="n"/>
      <x:c r="B76" s="37" t="n"/>
      <x:c r="C76" s="36" t="n">
        <x:f>E76*D$5</x:f>
        <x:v>0</x:v>
      </x:c>
      <x:c r="D76" s="66" t="n"/>
      <x:c r="E76" s="36" t="n">
        <x:f>SUM(G76:HT76)</x:f>
        <x:v>0</x:v>
      </x:c>
      <x:c r="H76" s="28" t="n"/>
      <x:c r="I76" s="28" t="n"/>
      <x:c r="J76" s="28" t="n"/>
      <x:c r="K76" s="28" t="n"/>
      <x:c r="L76" s="28" t="n"/>
      <x:c r="M76" s="28" t="n"/>
      <x:c r="N76" s="28" t="n"/>
      <x:c r="O76" s="28" t="n"/>
      <x:c r="P76" s="28" t="n"/>
      <x:c r="Q76" s="100" t="n"/>
      <x:c r="R76" s="100" t="n"/>
      <x:c r="S76" s="28" t="n"/>
      <x:c r="T76" s="28" t="n"/>
      <x:c r="U76" s="28" t="n"/>
      <x:c r="V76" s="28" t="n"/>
      <x:c r="W76" s="28" t="n"/>
      <x:c r="X76" s="28" t="n"/>
      <x:c r="Y76" s="28" t="n"/>
      <x:c r="Z76" s="28" t="n"/>
      <x:c r="AA76" s="28" t="n"/>
      <x:c r="AB76" s="28" t="n"/>
      <x:c r="AC76" s="28" t="n"/>
      <x:c r="AD76" s="100" t="n"/>
      <x:c r="AE76" s="100" t="n"/>
      <x:c r="AF76" s="100" t="n"/>
      <x:c r="AG76" s="100" t="n"/>
      <x:c r="AH76" s="100" t="n"/>
      <x:c r="AI76" s="100" t="n"/>
      <x:c r="AJ76" s="100" t="n"/>
      <x:c r="AK76" s="28" t="n"/>
      <x:c r="AL76" s="100" t="n"/>
      <x:c r="AM76" s="28" t="n"/>
      <x:c r="AN76" s="100" t="n"/>
      <x:c r="AO76" s="28" t="n"/>
      <x:c r="AP76" s="28" t="n"/>
      <x:c r="AQ76" s="28" t="n"/>
      <x:c r="AR76" s="28" t="n"/>
      <x:c r="AS76" s="28" t="n"/>
    </x:row>
    <x:row r="77" s="27" customFormat="1">
      <x:c r="A77" s="38" t="n"/>
      <x:c r="B77" s="37" t="n"/>
      <x:c r="C77" s="36" t="n">
        <x:f>E77*D$5</x:f>
        <x:v>0</x:v>
      </x:c>
      <x:c r="D77" s="88" t="n"/>
      <x:c r="E77" s="36" t="n">
        <x:f>SUM(G77:HT77)</x:f>
        <x:v>0</x:v>
      </x:c>
      <x:c r="H77" s="28" t="n"/>
      <x:c r="I77" s="28" t="n"/>
      <x:c r="J77" s="28" t="n"/>
      <x:c r="K77" s="28" t="n"/>
      <x:c r="L77" s="28" t="n"/>
      <x:c r="M77" s="28" t="n"/>
      <x:c r="N77" s="28" t="n"/>
      <x:c r="O77" s="28" t="n"/>
      <x:c r="P77" s="28" t="n"/>
      <x:c r="Q77" s="100" t="n"/>
      <x:c r="R77" s="100" t="n"/>
      <x:c r="S77" s="28" t="n"/>
      <x:c r="T77" s="28" t="n"/>
      <x:c r="U77" s="28" t="n"/>
      <x:c r="V77" s="28" t="n"/>
      <x:c r="W77" s="28" t="n"/>
      <x:c r="X77" s="28" t="n"/>
      <x:c r="Y77" s="28" t="n"/>
      <x:c r="Z77" s="28" t="n"/>
      <x:c r="AA77" s="28" t="n"/>
      <x:c r="AB77" s="28" t="n"/>
      <x:c r="AC77" s="28" t="n"/>
      <x:c r="AD77" s="100" t="n"/>
      <x:c r="AE77" s="100" t="n"/>
      <x:c r="AF77" s="100" t="n"/>
      <x:c r="AG77" s="100" t="n"/>
      <x:c r="AH77" s="100" t="n"/>
      <x:c r="AI77" s="100" t="n"/>
      <x:c r="AJ77" s="100" t="n"/>
      <x:c r="AK77" s="28" t="n"/>
      <x:c r="AL77" s="100" t="n"/>
      <x:c r="AM77" s="28" t="n"/>
      <x:c r="AN77" s="100" t="n"/>
      <x:c r="AO77" s="28" t="n"/>
      <x:c r="AP77" s="28" t="n"/>
      <x:c r="AQ77" s="28" t="n"/>
      <x:c r="AR77" s="28" t="n"/>
      <x:c r="AS77" s="28" t="n"/>
    </x:row>
    <x:row r="78" s="27" customFormat="1">
      <x:c r="A78" s="38" t="n"/>
      <x:c r="B78" s="37" t="n"/>
      <x:c r="C78" s="36" t="n">
        <x:f>E78*D$5</x:f>
        <x:v>0</x:v>
      </x:c>
      <x:c r="D78" s="66" t="n"/>
      <x:c r="E78" s="36" t="n">
        <x:f>SUM(G78:HT78)</x:f>
        <x:v>0</x:v>
      </x:c>
      <x:c r="H78" s="28" t="n"/>
      <x:c r="I78" s="28" t="n"/>
      <x:c r="J78" s="28" t="n"/>
      <x:c r="K78" s="28" t="n"/>
      <x:c r="L78" s="28" t="n"/>
      <x:c r="M78" s="28" t="n"/>
      <x:c r="N78" s="28" t="n"/>
      <x:c r="O78" s="28" t="n"/>
      <x:c r="P78" s="28" t="n"/>
      <x:c r="Q78" s="100" t="n"/>
      <x:c r="R78" s="100" t="n"/>
      <x:c r="S78" s="28" t="n"/>
      <x:c r="T78" s="28" t="n"/>
      <x:c r="U78" s="28" t="n"/>
      <x:c r="V78" s="28" t="n"/>
      <x:c r="W78" s="28" t="n"/>
      <x:c r="X78" s="28" t="n"/>
      <x:c r="Y78" s="28" t="n"/>
      <x:c r="Z78" s="28" t="n"/>
      <x:c r="AA78" s="28" t="n"/>
      <x:c r="AB78" s="28" t="n"/>
      <x:c r="AC78" s="28" t="n"/>
      <x:c r="AD78" s="100" t="n"/>
      <x:c r="AE78" s="100" t="n"/>
      <x:c r="AF78" s="100" t="n"/>
      <x:c r="AG78" s="100" t="n"/>
      <x:c r="AH78" s="100" t="n"/>
      <x:c r="AI78" s="100" t="n"/>
      <x:c r="AJ78" s="100" t="n"/>
      <x:c r="AK78" s="28" t="n"/>
      <x:c r="AL78" s="100" t="n"/>
      <x:c r="AM78" s="28" t="n"/>
      <x:c r="AN78" s="100" t="n"/>
      <x:c r="AO78" s="28" t="n"/>
      <x:c r="AP78" s="28" t="n"/>
      <x:c r="AQ78" s="28" t="n"/>
      <x:c r="AR78" s="28" t="n"/>
      <x:c r="AS78" s="28" t="n"/>
    </x:row>
    <x:row r="79" s="27" customFormat="1">
      <x:c r="A79" s="38" t="n"/>
      <x:c r="B79" s="37" t="n"/>
      <x:c r="C79" s="86" t="n">
        <x:f>E79*D$5</x:f>
        <x:v>0</x:v>
      </x:c>
      <x:c r="D79" s="523" t="n"/>
      <x:c r="E79" s="86" t="n">
        <x:f>SUM(G79:HT79)</x:f>
        <x:v>0</x:v>
      </x:c>
      <x:c r="H79" s="28" t="n"/>
      <x:c r="I79" s="28" t="n"/>
      <x:c r="J79" s="28" t="n"/>
      <x:c r="K79" s="28" t="n"/>
      <x:c r="L79" s="28" t="n"/>
      <x:c r="M79" s="28" t="n"/>
      <x:c r="N79" s="28" t="n"/>
      <x:c r="O79" s="28" t="n"/>
      <x:c r="P79" s="28" t="n"/>
      <x:c r="Q79" s="100" t="n"/>
      <x:c r="R79" s="100" t="n"/>
      <x:c r="S79" s="28" t="n"/>
      <x:c r="T79" s="28" t="n"/>
      <x:c r="U79" s="28" t="n"/>
      <x:c r="V79" s="28" t="n"/>
      <x:c r="W79" s="28" t="n"/>
      <x:c r="X79" s="28" t="n"/>
      <x:c r="Y79" s="28" t="n"/>
      <x:c r="Z79" s="28" t="n"/>
      <x:c r="AA79" s="28" t="n"/>
      <x:c r="AB79" s="28" t="n"/>
      <x:c r="AC79" s="28" t="n"/>
      <x:c r="AD79" s="100" t="n"/>
      <x:c r="AE79" s="100" t="n"/>
      <x:c r="AF79" s="100" t="n"/>
      <x:c r="AG79" s="100" t="n"/>
      <x:c r="AH79" s="100" t="n"/>
      <x:c r="AI79" s="100" t="n"/>
      <x:c r="AJ79" s="100" t="n"/>
      <x:c r="AK79" s="28" t="n"/>
      <x:c r="AL79" s="100" t="n"/>
      <x:c r="AM79" s="28" t="n"/>
      <x:c r="AN79" s="100" t="n"/>
      <x:c r="AO79" s="28" t="n"/>
      <x:c r="AP79" s="28" t="n"/>
      <x:c r="AQ79" s="28" t="n"/>
      <x:c r="AR79" s="28" t="n"/>
      <x:c r="AS79" s="28" t="n"/>
    </x:row>
    <x:row r="80" s="27" customFormat="1">
      <x:c r="A80" s="38" t="n"/>
      <x:c r="B80" s="37" t="n"/>
      <x:c r="C80" s="36" t="n">
        <x:f>E80*D$5</x:f>
        <x:v>0</x:v>
      </x:c>
      <x:c r="D80" s="66" t="n"/>
      <x:c r="E80" s="36" t="n">
        <x:f>SUM(G80:HT80)</x:f>
        <x:v>0</x:v>
      </x:c>
      <x:c r="H80" s="28" t="n"/>
      <x:c r="I80" s="28" t="n"/>
      <x:c r="J80" s="28" t="n"/>
      <x:c r="K80" s="28" t="n"/>
      <x:c r="L80" s="28" t="n"/>
      <x:c r="M80" s="28" t="n"/>
      <x:c r="N80" s="28" t="n"/>
      <x:c r="O80" s="28" t="n"/>
      <x:c r="P80" s="28" t="n"/>
      <x:c r="Q80" s="100" t="n"/>
      <x:c r="R80" s="100" t="n"/>
      <x:c r="S80" s="28" t="n"/>
      <x:c r="T80" s="28" t="n"/>
      <x:c r="U80" s="28" t="n"/>
      <x:c r="V80" s="28" t="n"/>
      <x:c r="W80" s="28" t="n"/>
      <x:c r="X80" s="28" t="n"/>
      <x:c r="Y80" s="28" t="n"/>
      <x:c r="Z80" s="28" t="n"/>
      <x:c r="AA80" s="28" t="n"/>
      <x:c r="AB80" s="28" t="n"/>
      <x:c r="AC80" s="28" t="n"/>
      <x:c r="AD80" s="100" t="n"/>
      <x:c r="AE80" s="100" t="n"/>
      <x:c r="AF80" s="100" t="n"/>
      <x:c r="AG80" s="100" t="n"/>
      <x:c r="AH80" s="100" t="n"/>
      <x:c r="AI80" s="100" t="n"/>
      <x:c r="AJ80" s="100" t="n"/>
      <x:c r="AK80" s="28" t="n"/>
      <x:c r="AL80" s="100" t="n"/>
      <x:c r="AM80" s="28" t="n"/>
      <x:c r="AN80" s="100" t="n"/>
      <x:c r="AO80" s="28" t="n"/>
      <x:c r="AP80" s="28" t="n"/>
      <x:c r="AQ80" s="28" t="n"/>
      <x:c r="AR80" s="28" t="n"/>
      <x:c r="AS80" s="28" t="n"/>
    </x:row>
    <x:row r="81" s="27" customFormat="1">
      <x:c r="A81" s="38" t="n"/>
      <x:c r="B81" s="37" t="n"/>
      <x:c r="C81" s="86" t="n">
        <x:f>E81*D$5</x:f>
        <x:v>0</x:v>
      </x:c>
      <x:c r="D81" s="523" t="n"/>
      <x:c r="E81" s="86" t="n">
        <x:f>SUM(G81:HT81)</x:f>
        <x:v>0</x:v>
      </x:c>
      <x:c r="H81" s="28" t="n"/>
      <x:c r="I81" s="28" t="n"/>
      <x:c r="J81" s="28" t="n"/>
      <x:c r="K81" s="28" t="n"/>
      <x:c r="L81" s="28" t="n"/>
      <x:c r="M81" s="28" t="n"/>
      <x:c r="N81" s="28" t="n"/>
      <x:c r="O81" s="28" t="n"/>
      <x:c r="P81" s="28" t="n"/>
      <x:c r="Q81" s="100" t="n"/>
      <x:c r="R81" s="100" t="n"/>
      <x:c r="S81" s="28" t="n"/>
      <x:c r="T81" s="28" t="n"/>
      <x:c r="U81" s="28" t="n"/>
      <x:c r="V81" s="28" t="n"/>
      <x:c r="W81" s="28" t="n"/>
      <x:c r="X81" s="28" t="n"/>
      <x:c r="Y81" s="28" t="n"/>
      <x:c r="Z81" s="28" t="n"/>
      <x:c r="AA81" s="28" t="n"/>
      <x:c r="AB81" s="28" t="n"/>
      <x:c r="AC81" s="28" t="n"/>
      <x:c r="AD81" s="100" t="n"/>
      <x:c r="AE81" s="100" t="n"/>
      <x:c r="AF81" s="100" t="n"/>
      <x:c r="AG81" s="100" t="n"/>
      <x:c r="AH81" s="100" t="n"/>
      <x:c r="AI81" s="100" t="n"/>
      <x:c r="AJ81" s="100" t="n"/>
      <x:c r="AK81" s="28" t="n"/>
      <x:c r="AL81" s="100" t="n"/>
      <x:c r="AM81" s="28" t="n"/>
      <x:c r="AN81" s="100" t="n"/>
      <x:c r="AO81" s="28" t="n"/>
      <x:c r="AP81" s="28" t="n"/>
      <x:c r="AQ81" s="28" t="n"/>
      <x:c r="AR81" s="28" t="n"/>
      <x:c r="AS81" s="28" t="n"/>
    </x:row>
    <x:row r="82" s="27" customFormat="1">
      <x:c r="A82" s="38" t="n"/>
      <x:c r="B82" s="37" t="n"/>
      <x:c r="C82" s="36" t="n">
        <x:f>E82*D$5</x:f>
        <x:v>0</x:v>
      </x:c>
      <x:c r="D82" s="66" t="n"/>
      <x:c r="E82" s="36" t="n">
        <x:f>SUM(G82:HT82)</x:f>
        <x:v>0</x:v>
      </x:c>
      <x:c r="H82" s="28" t="n"/>
      <x:c r="I82" s="28" t="n"/>
      <x:c r="J82" s="28" t="n"/>
      <x:c r="K82" s="28" t="n"/>
      <x:c r="L82" s="28" t="n"/>
      <x:c r="M82" s="28" t="n"/>
      <x:c r="N82" s="28" t="n"/>
      <x:c r="O82" s="28" t="n"/>
      <x:c r="P82" s="28" t="n"/>
      <x:c r="Q82" s="100" t="n"/>
      <x:c r="R82" s="100" t="n"/>
      <x:c r="S82" s="28" t="n"/>
      <x:c r="T82" s="28" t="n"/>
      <x:c r="U82" s="28" t="n"/>
      <x:c r="V82" s="28" t="n"/>
      <x:c r="W82" s="28" t="n"/>
      <x:c r="X82" s="28" t="n"/>
      <x:c r="Y82" s="28" t="n"/>
      <x:c r="Z82" s="28" t="n"/>
      <x:c r="AA82" s="28" t="n"/>
      <x:c r="AB82" s="28" t="n"/>
      <x:c r="AC82" s="28" t="n"/>
      <x:c r="AD82" s="100" t="n"/>
      <x:c r="AE82" s="100" t="n"/>
      <x:c r="AF82" s="100" t="n"/>
      <x:c r="AG82" s="100" t="n"/>
      <x:c r="AH82" s="100" t="n"/>
      <x:c r="AI82" s="100" t="n"/>
      <x:c r="AJ82" s="100" t="n"/>
      <x:c r="AK82" s="28" t="n"/>
      <x:c r="AL82" s="100" t="n"/>
      <x:c r="AM82" s="28" t="n"/>
      <x:c r="AN82" s="100" t="n"/>
      <x:c r="AO82" s="28" t="n"/>
      <x:c r="AP82" s="28" t="n"/>
      <x:c r="AQ82" s="28" t="n"/>
      <x:c r="AR82" s="28" t="n"/>
      <x:c r="AS82" s="28" t="n"/>
    </x:row>
    <x:row r="83" s="27" customFormat="1">
      <x:c r="A83" s="38" t="n"/>
      <x:c r="B83" s="37" t="n"/>
      <x:c r="C83" s="86" t="n">
        <x:f>E83*D$5</x:f>
        <x:v>0</x:v>
      </x:c>
      <x:c r="D83" s="523" t="n"/>
      <x:c r="E83" s="86" t="n">
        <x:f>SUM(G83:HT83)</x:f>
        <x:v>0</x:v>
      </x:c>
      <x:c r="H83" s="28" t="n"/>
      <x:c r="I83" s="28" t="n"/>
      <x:c r="J83" s="28" t="n"/>
      <x:c r="K83" s="28" t="n"/>
      <x:c r="L83" s="28" t="n"/>
      <x:c r="M83" s="28" t="n"/>
      <x:c r="N83" s="28" t="n"/>
      <x:c r="O83" s="28" t="n"/>
      <x:c r="P83" s="28" t="n"/>
      <x:c r="Q83" s="100" t="n"/>
      <x:c r="R83" s="100" t="n"/>
      <x:c r="S83" s="28" t="n"/>
      <x:c r="T83" s="28" t="n"/>
      <x:c r="U83" s="28" t="n"/>
      <x:c r="V83" s="28" t="n"/>
      <x:c r="W83" s="28" t="n"/>
      <x:c r="X83" s="28" t="n"/>
      <x:c r="Y83" s="28" t="n"/>
      <x:c r="Z83" s="28" t="n"/>
      <x:c r="AA83" s="28" t="n"/>
      <x:c r="AB83" s="28" t="n"/>
      <x:c r="AC83" s="28" t="n"/>
      <x:c r="AD83" s="100" t="n"/>
      <x:c r="AE83" s="100" t="n"/>
      <x:c r="AF83" s="100" t="n"/>
      <x:c r="AG83" s="100" t="n"/>
      <x:c r="AH83" s="100" t="n"/>
      <x:c r="AI83" s="100" t="n"/>
      <x:c r="AJ83" s="100" t="n"/>
      <x:c r="AK83" s="28" t="n"/>
      <x:c r="AL83" s="100" t="n"/>
      <x:c r="AM83" s="28" t="n"/>
      <x:c r="AN83" s="100" t="n"/>
      <x:c r="AO83" s="28" t="n"/>
      <x:c r="AP83" s="28" t="n"/>
      <x:c r="AQ83" s="28" t="n"/>
      <x:c r="AR83" s="28" t="n"/>
      <x:c r="AS83" s="28" t="n"/>
    </x:row>
    <x:row r="84" s="27" customFormat="1">
      <x:c r="A84" s="38" t="n"/>
      <x:c r="B84" s="37" t="n"/>
      <x:c r="C84" s="36" t="n">
        <x:f>E84*D$5</x:f>
        <x:v>0</x:v>
      </x:c>
      <x:c r="D84" s="66" t="n"/>
      <x:c r="E84" s="36" t="n">
        <x:f>SUM(G84:HT84)</x:f>
        <x:v>0</x:v>
      </x:c>
      <x:c r="H84" s="28" t="n"/>
      <x:c r="I84" s="28" t="n"/>
      <x:c r="J84" s="28" t="n"/>
      <x:c r="K84" s="28" t="n"/>
      <x:c r="L84" s="28" t="n"/>
      <x:c r="M84" s="28" t="n"/>
      <x:c r="N84" s="28" t="n"/>
      <x:c r="O84" s="28" t="n"/>
      <x:c r="P84" s="28" t="n"/>
      <x:c r="Q84" s="100" t="n"/>
      <x:c r="R84" s="100" t="n"/>
      <x:c r="S84" s="28" t="n"/>
      <x:c r="T84" s="28" t="n"/>
      <x:c r="U84" s="28" t="n"/>
      <x:c r="V84" s="28" t="n"/>
      <x:c r="W84" s="28" t="n"/>
      <x:c r="X84" s="28" t="n"/>
      <x:c r="Y84" s="28" t="n"/>
      <x:c r="Z84" s="28" t="n"/>
      <x:c r="AA84" s="28" t="n"/>
      <x:c r="AB84" s="28" t="n"/>
      <x:c r="AC84" s="28" t="n"/>
      <x:c r="AD84" s="100" t="n"/>
      <x:c r="AE84" s="100" t="n"/>
      <x:c r="AF84" s="100" t="n"/>
      <x:c r="AG84" s="100" t="n"/>
      <x:c r="AH84" s="100" t="n"/>
      <x:c r="AI84" s="100" t="n"/>
      <x:c r="AJ84" s="100" t="n"/>
      <x:c r="AK84" s="28" t="n"/>
      <x:c r="AL84" s="100" t="n"/>
      <x:c r="AM84" s="28" t="n"/>
      <x:c r="AN84" s="100" t="n"/>
      <x:c r="AO84" s="28" t="n"/>
      <x:c r="AP84" s="28" t="n"/>
      <x:c r="AQ84" s="28" t="n"/>
      <x:c r="AR84" s="28" t="n"/>
      <x:c r="AS84" s="28" t="n"/>
    </x:row>
    <x:row r="85" s="27" customFormat="1">
      <x:c r="A85" s="38" t="n"/>
      <x:c r="B85" s="37" t="n"/>
      <x:c r="C85" s="36" t="n">
        <x:f>E85*D$5</x:f>
        <x:v>0</x:v>
      </x:c>
      <x:c r="D85" s="66" t="n"/>
      <x:c r="E85" s="36" t="n">
        <x:f>SUM(G85:HT85)</x:f>
        <x:v>0</x:v>
      </x:c>
      <x:c r="H85" s="28" t="n"/>
      <x:c r="I85" s="28" t="n"/>
      <x:c r="J85" s="28" t="n"/>
      <x:c r="K85" s="28" t="n"/>
      <x:c r="L85" s="28" t="n"/>
      <x:c r="M85" s="28" t="n"/>
      <x:c r="N85" s="28" t="n"/>
      <x:c r="O85" s="28" t="n"/>
      <x:c r="P85" s="28" t="n"/>
      <x:c r="Q85" s="100" t="n"/>
      <x:c r="R85" s="100" t="n"/>
      <x:c r="S85" s="28" t="n"/>
      <x:c r="T85" s="28" t="n"/>
      <x:c r="U85" s="28" t="n"/>
      <x:c r="V85" s="28" t="n"/>
      <x:c r="W85" s="28" t="n"/>
      <x:c r="X85" s="28" t="n"/>
      <x:c r="Y85" s="28" t="n"/>
      <x:c r="Z85" s="28" t="n"/>
      <x:c r="AA85" s="28" t="n"/>
      <x:c r="AB85" s="28" t="n"/>
      <x:c r="AC85" s="28" t="n"/>
      <x:c r="AD85" s="100" t="n"/>
      <x:c r="AE85" s="100" t="n"/>
      <x:c r="AF85" s="100" t="n"/>
      <x:c r="AG85" s="100" t="n"/>
      <x:c r="AH85" s="100" t="n"/>
      <x:c r="AI85" s="100" t="n"/>
      <x:c r="AJ85" s="100" t="n"/>
      <x:c r="AK85" s="28" t="n"/>
      <x:c r="AL85" s="100" t="n"/>
      <x:c r="AM85" s="28" t="n"/>
      <x:c r="AN85" s="100" t="n"/>
      <x:c r="AO85" s="28" t="n"/>
      <x:c r="AP85" s="28" t="n"/>
      <x:c r="AQ85" s="28" t="n"/>
      <x:c r="AR85" s="28" t="n"/>
      <x:c r="AS85" s="28" t="n"/>
    </x:row>
    <x:row r="86" s="27" customFormat="1">
      <x:c r="A86" s="38" t="n"/>
      <x:c r="B86" s="37" t="n"/>
      <x:c r="C86" s="36" t="n">
        <x:f>E86*D$5</x:f>
        <x:v>0</x:v>
      </x:c>
      <x:c r="D86" s="66" t="n"/>
      <x:c r="E86" s="36" t="n">
        <x:f>SUM(G86:HT86)</x:f>
        <x:v>0</x:v>
      </x:c>
      <x:c r="H86" s="28" t="n"/>
      <x:c r="I86" s="28" t="n"/>
      <x:c r="J86" s="28" t="n"/>
      <x:c r="K86" s="28" t="n"/>
      <x:c r="L86" s="28" t="n"/>
      <x:c r="M86" s="28" t="n"/>
      <x:c r="N86" s="28" t="n"/>
      <x:c r="O86" s="28" t="n"/>
      <x:c r="P86" s="28" t="n"/>
      <x:c r="Q86" s="100" t="n"/>
      <x:c r="R86" s="100" t="n"/>
      <x:c r="S86" s="28" t="n"/>
      <x:c r="T86" s="28" t="n"/>
      <x:c r="U86" s="28" t="n"/>
      <x:c r="V86" s="28" t="n"/>
      <x:c r="W86" s="28" t="n"/>
      <x:c r="X86" s="28" t="n"/>
      <x:c r="Y86" s="28" t="n"/>
      <x:c r="Z86" s="28" t="n"/>
      <x:c r="AA86" s="28" t="n"/>
      <x:c r="AB86" s="28" t="n"/>
      <x:c r="AC86" s="28" t="n"/>
      <x:c r="AD86" s="100" t="n"/>
      <x:c r="AE86" s="100" t="n"/>
      <x:c r="AF86" s="100" t="n"/>
      <x:c r="AG86" s="100" t="n"/>
      <x:c r="AH86" s="100" t="n"/>
      <x:c r="AI86" s="100" t="n"/>
      <x:c r="AJ86" s="100" t="n"/>
      <x:c r="AK86" s="28" t="n"/>
      <x:c r="AL86" s="100" t="n"/>
      <x:c r="AM86" s="28" t="n"/>
      <x:c r="AN86" s="100" t="n"/>
      <x:c r="AO86" s="28" t="n"/>
      <x:c r="AP86" s="28" t="n"/>
      <x:c r="AQ86" s="28" t="n"/>
      <x:c r="AR86" s="28" t="n"/>
      <x:c r="AS86" s="28" t="n"/>
    </x:row>
    <x:row r="87" s="27" customFormat="1">
      <x:c r="A87" s="38" t="n"/>
      <x:c r="B87" s="37" t="n"/>
      <x:c r="C87" s="36" t="n">
        <x:f>E87*D$5</x:f>
        <x:v>0</x:v>
      </x:c>
      <x:c r="D87" s="66" t="n"/>
      <x:c r="E87" s="36" t="n">
        <x:f>SUM(G87:HT87)</x:f>
        <x:v>0</x:v>
      </x:c>
      <x:c r="Q87" s="100" t="n"/>
      <x:c r="R87" s="100" t="n"/>
      <x:c r="AD87" s="100" t="n"/>
      <x:c r="AE87" s="100" t="n"/>
      <x:c r="AF87" s="100" t="n"/>
      <x:c r="AG87" s="100" t="n"/>
      <x:c r="AH87" s="100" t="n"/>
      <x:c r="AI87" s="100" t="n"/>
      <x:c r="AJ87" s="100" t="n"/>
      <x:c r="AL87" s="100" t="n"/>
      <x:c r="AN87" s="100" t="n"/>
    </x:row>
    <x:row r="88" s="27" customFormat="1">
      <x:c r="A88" s="38" t="n"/>
      <x:c r="B88" s="37" t="n"/>
      <x:c r="C88" s="86" t="n">
        <x:f>E88*D$5</x:f>
        <x:v>0</x:v>
      </x:c>
      <x:c r="D88" s="523" t="n"/>
      <x:c r="E88" s="86" t="n">
        <x:f>SUM(G88:HT88)</x:f>
        <x:v>0</x:v>
      </x:c>
      <x:c r="Q88" s="100" t="n"/>
      <x:c r="R88" s="100" t="n"/>
      <x:c r="AD88" s="100" t="n"/>
      <x:c r="AE88" s="100" t="n"/>
      <x:c r="AF88" s="100" t="n"/>
      <x:c r="AG88" s="100" t="n"/>
      <x:c r="AH88" s="100" t="n"/>
      <x:c r="AI88" s="100" t="n"/>
      <x:c r="AJ88" s="100" t="n"/>
      <x:c r="AL88" s="100" t="n"/>
      <x:c r="AN88" s="100" t="n"/>
    </x:row>
    <x:row r="89" s="27" customFormat="1">
      <x:c r="A89" s="38" t="n"/>
      <x:c r="B89" s="37" t="n"/>
      <x:c r="C89" s="36" t="n">
        <x:f>E89*D$5</x:f>
        <x:v>0</x:v>
      </x:c>
      <x:c r="D89" s="66" t="n"/>
      <x:c r="E89" s="36" t="n">
        <x:f>SUM(G89:HT89)</x:f>
        <x:v>0</x:v>
      </x:c>
      <x:c r="Q89" s="100" t="n"/>
      <x:c r="R89" s="100" t="n"/>
      <x:c r="AD89" s="100" t="n"/>
      <x:c r="AE89" s="100" t="n"/>
      <x:c r="AF89" s="100" t="n"/>
      <x:c r="AG89" s="100" t="n"/>
      <x:c r="AH89" s="100" t="n"/>
      <x:c r="AI89" s="100" t="n"/>
      <x:c r="AJ89" s="100" t="n"/>
      <x:c r="AL89" s="100" t="n"/>
      <x:c r="AN89" s="100" t="n"/>
    </x:row>
    <x:row r="90" s="27" customFormat="1">
      <x:c r="A90" s="38" t="n"/>
      <x:c r="B90" s="37" t="n"/>
      <x:c r="C90" s="36" t="n">
        <x:f>E90*D$5</x:f>
        <x:v>0</x:v>
      </x:c>
      <x:c r="D90" s="66" t="n"/>
      <x:c r="E90" s="86" t="n">
        <x:f>SUM(G90:HT90)</x:f>
        <x:v>0</x:v>
      </x:c>
      <x:c r="Q90" s="100" t="n"/>
      <x:c r="R90" s="100" t="n"/>
      <x:c r="AD90" s="100" t="n"/>
      <x:c r="AE90" s="100" t="n"/>
      <x:c r="AF90" s="100" t="n"/>
      <x:c r="AG90" s="100" t="n"/>
      <x:c r="AH90" s="100" t="n"/>
      <x:c r="AI90" s="100" t="n"/>
      <x:c r="AJ90" s="100" t="n"/>
      <x:c r="AL90" s="100" t="n"/>
      <x:c r="AN90" s="100" t="n"/>
    </x:row>
    <x:row r="91" s="27" customFormat="1">
      <x:c r="A91" s="38" t="n"/>
      <x:c r="B91" s="37" t="n"/>
      <x:c r="C91" s="86" t="n">
        <x:f>E91*D$5</x:f>
        <x:v>0</x:v>
      </x:c>
      <x:c r="D91" s="66" t="n"/>
      <x:c r="E91" s="86" t="n">
        <x:f>SUM(G91:HT91)</x:f>
        <x:v>0</x:v>
      </x:c>
      <x:c r="Q91" s="100" t="n"/>
      <x:c r="R91" s="100" t="n"/>
      <x:c r="AD91" s="100" t="n"/>
      <x:c r="AE91" s="100" t="n"/>
      <x:c r="AF91" s="100" t="n"/>
      <x:c r="AG91" s="100" t="n"/>
      <x:c r="AH91" s="100" t="n"/>
      <x:c r="AI91" s="100" t="n"/>
      <x:c r="AJ91" s="100" t="n"/>
      <x:c r="AL91" s="100" t="n"/>
      <x:c r="AN91" s="100" t="n"/>
    </x:row>
    <x:row r="92" s="27" customFormat="1">
      <x:c r="A92" s="38" t="n"/>
      <x:c r="B92" s="37" t="n"/>
      <x:c r="C92" s="36" t="n">
        <x:f>E92*D$5</x:f>
        <x:v>0</x:v>
      </x:c>
      <x:c r="D92" s="66" t="n"/>
      <x:c r="E92" s="86" t="n">
        <x:f>SUM(G92:HT92)</x:f>
        <x:v>0</x:v>
      </x:c>
      <x:c r="Q92" s="100" t="n"/>
      <x:c r="R92" s="100" t="n"/>
      <x:c r="AD92" s="100" t="n"/>
      <x:c r="AE92" s="100" t="n"/>
      <x:c r="AF92" s="100" t="n"/>
      <x:c r="AG92" s="100" t="n"/>
      <x:c r="AH92" s="100" t="n"/>
      <x:c r="AI92" s="100" t="n"/>
      <x:c r="AJ92" s="100" t="n"/>
      <x:c r="AL92" s="100" t="n"/>
      <x:c r="AN92" s="100" t="n"/>
    </x:row>
    <x:row r="93" s="27" customFormat="1">
      <x:c r="A93" s="38" t="n"/>
      <x:c r="B93" s="37" t="n"/>
      <x:c r="C93" s="86" t="n">
        <x:f>E93*D$5</x:f>
        <x:v>0</x:v>
      </x:c>
      <x:c r="D93" s="66" t="n"/>
      <x:c r="E93" s="86" t="n">
        <x:f>SUM(G93:HT93)</x:f>
        <x:v>0</x:v>
      </x:c>
      <x:c r="Q93" s="100" t="n"/>
      <x:c r="R93" s="100" t="n"/>
      <x:c r="AD93" s="100" t="n"/>
      <x:c r="AE93" s="100" t="n"/>
      <x:c r="AF93" s="100" t="n"/>
      <x:c r="AG93" s="100" t="n"/>
      <x:c r="AH93" s="100" t="n"/>
      <x:c r="AI93" s="100" t="n"/>
      <x:c r="AJ93" s="100" t="n"/>
      <x:c r="AL93" s="100" t="n"/>
      <x:c r="AN93" s="100" t="n"/>
    </x:row>
    <x:row r="94" s="27" customFormat="1">
      <x:c r="A94" s="38" t="n"/>
      <x:c r="B94" s="37" t="n"/>
      <x:c r="C94" s="36" t="n">
        <x:f>E94*D$5</x:f>
        <x:v>0</x:v>
      </x:c>
      <x:c r="D94" s="66" t="n"/>
      <x:c r="E94" s="86" t="n">
        <x:f>SUM(G94:HT94)</x:f>
        <x:v>0</x:v>
      </x:c>
      <x:c r="Q94" s="100" t="n"/>
      <x:c r="R94" s="100" t="n"/>
      <x:c r="AD94" s="100" t="n"/>
      <x:c r="AE94" s="100" t="n"/>
      <x:c r="AF94" s="100" t="n"/>
      <x:c r="AG94" s="100" t="n"/>
      <x:c r="AH94" s="100" t="n"/>
      <x:c r="AI94" s="100" t="n"/>
      <x:c r="AJ94" s="100" t="n"/>
      <x:c r="AL94" s="100" t="n"/>
      <x:c r="AN94" s="100" t="n"/>
    </x:row>
    <x:row r="95" s="27" customFormat="1">
      <x:c r="A95" s="38" t="n"/>
      <x:c r="B95" s="37" t="n"/>
      <x:c r="C95" s="86" t="n">
        <x:f>E95*D$5</x:f>
        <x:v>0</x:v>
      </x:c>
      <x:c r="D95" s="66" t="n"/>
      <x:c r="E95" s="86" t="n">
        <x:f>SUM(G95:HT95)</x:f>
        <x:v>0</x:v>
      </x:c>
      <x:c r="Q95" s="100" t="n"/>
      <x:c r="R95" s="100" t="n"/>
      <x:c r="AD95" s="100" t="n"/>
      <x:c r="AE95" s="100" t="n"/>
      <x:c r="AF95" s="100" t="n"/>
      <x:c r="AG95" s="100" t="n"/>
      <x:c r="AH95" s="100" t="n"/>
      <x:c r="AI95" s="100" t="n"/>
      <x:c r="AJ95" s="100" t="n"/>
      <x:c r="AL95" s="100" t="n"/>
      <x:c r="AN95" s="100" t="n"/>
    </x:row>
    <x:row r="96" s="27" customFormat="1">
      <x:c r="A96" s="38" t="n"/>
      <x:c r="B96" s="37" t="n"/>
      <x:c r="C96" s="36" t="n">
        <x:f>E96*D$5</x:f>
        <x:v>0</x:v>
      </x:c>
      <x:c r="D96" s="66" t="n"/>
      <x:c r="E96" s="36" t="n">
        <x:f>SUM(G96:HT96)</x:f>
        <x:v>0</x:v>
      </x:c>
      <x:c r="Q96" s="100" t="n"/>
      <x:c r="R96" s="100" t="n"/>
      <x:c r="AD96" s="100" t="n"/>
      <x:c r="AE96" s="100" t="n"/>
      <x:c r="AF96" s="100" t="n"/>
      <x:c r="AG96" s="100" t="n"/>
      <x:c r="AH96" s="100" t="n"/>
      <x:c r="AI96" s="100" t="n"/>
      <x:c r="AJ96" s="100" t="n"/>
      <x:c r="AL96" s="100" t="n"/>
      <x:c r="AN96" s="100" t="n"/>
    </x:row>
    <x:row r="97" s="27" customFormat="1">
      <x:c r="A97" s="38" t="n"/>
      <x:c r="B97" s="37" t="n"/>
      <x:c r="C97" s="36" t="n">
        <x:f>E97*D$5</x:f>
        <x:v>0</x:v>
      </x:c>
      <x:c r="D97" s="66" t="n"/>
      <x:c r="E97" s="36" t="n">
        <x:f>SUM(G97:HT97)</x:f>
        <x:v>0</x:v>
      </x:c>
      <x:c r="Q97" s="100" t="n"/>
      <x:c r="R97" s="100" t="n"/>
      <x:c r="AD97" s="100" t="n"/>
      <x:c r="AE97" s="100" t="n"/>
      <x:c r="AF97" s="100" t="n"/>
      <x:c r="AG97" s="100" t="n"/>
      <x:c r="AH97" s="100" t="n"/>
      <x:c r="AI97" s="100" t="n"/>
      <x:c r="AJ97" s="100" t="n"/>
      <x:c r="AL97" s="100" t="n"/>
      <x:c r="AN97" s="100" t="n"/>
    </x:row>
    <x:row r="98" s="27" customFormat="1">
      <x:c r="A98" s="38" t="n"/>
      <x:c r="B98" s="37" t="n"/>
      <x:c r="C98" s="36" t="n">
        <x:f>E98*D$5</x:f>
        <x:v>0</x:v>
      </x:c>
      <x:c r="D98" s="66" t="n"/>
      <x:c r="E98" s="36" t="n">
        <x:f>SUM(G98:HT98)</x:f>
        <x:v>0</x:v>
      </x:c>
      <x:c r="Q98" s="100" t="n"/>
      <x:c r="R98" s="100" t="n"/>
      <x:c r="AD98" s="100" t="n"/>
      <x:c r="AE98" s="100" t="n"/>
      <x:c r="AF98" s="100" t="n"/>
      <x:c r="AG98" s="100" t="n"/>
      <x:c r="AH98" s="100" t="n"/>
      <x:c r="AI98" s="100" t="n"/>
      <x:c r="AJ98" s="100" t="n"/>
      <x:c r="AL98" s="100" t="n"/>
      <x:c r="AN98" s="100" t="n"/>
    </x:row>
    <x:row r="99" s="27" customFormat="1">
      <x:c r="A99" s="38" t="n"/>
      <x:c r="B99" s="37" t="n"/>
      <x:c r="C99" s="36" t="n">
        <x:f>E99*D$5</x:f>
        <x:v>0</x:v>
      </x:c>
      <x:c r="D99" s="523" t="n"/>
      <x:c r="E99" s="36" t="n">
        <x:f>SUM(G99:HT99)</x:f>
        <x:v>0</x:v>
      </x:c>
      <x:c r="Q99" s="100" t="n"/>
      <x:c r="R99" s="100" t="n"/>
      <x:c r="AD99" s="100" t="n"/>
      <x:c r="AE99" s="100" t="n"/>
      <x:c r="AF99" s="100" t="n"/>
      <x:c r="AG99" s="100" t="n"/>
      <x:c r="AH99" s="100" t="n"/>
      <x:c r="AI99" s="100" t="n"/>
      <x:c r="AJ99" s="100" t="n"/>
      <x:c r="AL99" s="100" t="n"/>
      <x:c r="AN99" s="100" t="n"/>
    </x:row>
    <x:row r="100" s="27" customFormat="1">
      <x:c r="A100" s="38" t="n"/>
      <x:c r="B100" s="37" t="n"/>
      <x:c r="C100" s="36" t="n">
        <x:f>E100*D$5</x:f>
        <x:v>0</x:v>
      </x:c>
      <x:c r="D100" s="523" t="n"/>
      <x:c r="E100" s="36" t="n">
        <x:f>SUM(G100:HT100)</x:f>
        <x:v>0</x:v>
      </x:c>
      <x:c r="Q100" s="100" t="n"/>
      <x:c r="R100" s="100" t="n"/>
      <x:c r="AD100" s="100" t="n"/>
      <x:c r="AE100" s="100" t="n"/>
      <x:c r="AF100" s="100" t="n"/>
      <x:c r="AG100" s="100" t="n"/>
      <x:c r="AH100" s="100" t="n"/>
      <x:c r="AI100" s="100" t="n"/>
      <x:c r="AJ100" s="100" t="n"/>
      <x:c r="AL100" s="100" t="n"/>
      <x:c r="AN100" s="100" t="n"/>
    </x:row>
    <x:row r="101" s="27" customFormat="1">
      <x:c r="A101" s="38" t="n"/>
      <x:c r="B101" s="37" t="n"/>
      <x:c r="C101" s="36" t="n">
        <x:f>E101*D$5</x:f>
        <x:v>0</x:v>
      </x:c>
      <x:c r="D101" s="20" t="n"/>
      <x:c r="E101" s="36" t="n">
        <x:f>SUM(G101:HT101)</x:f>
        <x:v>0</x:v>
      </x:c>
      <x:c r="Q101" s="100" t="n"/>
      <x:c r="R101" s="100" t="n"/>
      <x:c r="AD101" s="100" t="n"/>
      <x:c r="AE101" s="100" t="n"/>
      <x:c r="AF101" s="100" t="n"/>
      <x:c r="AG101" s="100" t="n"/>
      <x:c r="AH101" s="100" t="n"/>
      <x:c r="AI101" s="100" t="n"/>
      <x:c r="AJ101" s="100" t="n"/>
      <x:c r="AL101" s="100" t="n"/>
      <x:c r="AN101" s="100" t="n"/>
    </x:row>
    <x:row r="102" s="27" customFormat="1">
      <x:c r="A102" s="38" t="n"/>
      <x:c r="B102" s="37" t="n"/>
      <x:c r="C102" s="36" t="n">
        <x:f>E102*D$5</x:f>
        <x:v>0</x:v>
      </x:c>
      <x:c r="D102" s="20" t="n"/>
      <x:c r="E102" s="36" t="n">
        <x:f>SUM(G102:HT102)</x:f>
        <x:v>0</x:v>
      </x:c>
      <x:c r="Q102" s="100" t="n"/>
      <x:c r="R102" s="100" t="n"/>
      <x:c r="AD102" s="100" t="n"/>
      <x:c r="AE102" s="100" t="n"/>
      <x:c r="AF102" s="100" t="n"/>
      <x:c r="AG102" s="100" t="n"/>
      <x:c r="AH102" s="100" t="n"/>
      <x:c r="AI102" s="100" t="n"/>
      <x:c r="AJ102" s="100" t="n"/>
      <x:c r="AL102" s="100" t="n"/>
      <x:c r="AN102" s="100" t="n"/>
    </x:row>
    <x:row r="103" s="27" customFormat="1">
      <x:c r="A103" s="38" t="n"/>
      <x:c r="B103" s="37" t="n"/>
      <x:c r="C103" s="36" t="n">
        <x:f>E103*D$5</x:f>
        <x:v>0</x:v>
      </x:c>
      <x:c r="D103" s="20" t="n"/>
      <x:c r="E103" s="36" t="n">
        <x:f>SUM(G103:HT103)</x:f>
        <x:v>0</x:v>
      </x:c>
      <x:c r="Q103" s="100" t="n"/>
      <x:c r="R103" s="100" t="n"/>
      <x:c r="AD103" s="100" t="n"/>
      <x:c r="AE103" s="100" t="n"/>
      <x:c r="AF103" s="100" t="n"/>
      <x:c r="AG103" s="100" t="n"/>
      <x:c r="AH103" s="100" t="n"/>
      <x:c r="AI103" s="100" t="n"/>
      <x:c r="AJ103" s="100" t="n"/>
      <x:c r="AL103" s="100" t="n"/>
      <x:c r="AN103" s="100" t="n"/>
    </x:row>
    <x:row r="104" s="27" customFormat="1">
      <x:c r="A104" s="38" t="n"/>
      <x:c r="B104" s="37" t="n"/>
      <x:c r="C104" s="36" t="n">
        <x:f>E104*D$5</x:f>
        <x:v>0</x:v>
      </x:c>
      <x:c r="D104" s="20" t="n"/>
      <x:c r="E104" s="36" t="n">
        <x:f>SUM(G104:HT104)</x:f>
        <x:v>0</x:v>
      </x:c>
      <x:c r="Q104" s="100" t="n"/>
      <x:c r="R104" s="100" t="n"/>
      <x:c r="AD104" s="100" t="n"/>
      <x:c r="AE104" s="100" t="n"/>
      <x:c r="AF104" s="100" t="n"/>
      <x:c r="AG104" s="100" t="n"/>
      <x:c r="AH104" s="100" t="n"/>
      <x:c r="AI104" s="100" t="n"/>
      <x:c r="AJ104" s="100" t="n"/>
      <x:c r="AL104" s="100" t="n"/>
      <x:c r="AN104" s="100" t="n"/>
    </x:row>
    <x:row r="105" s="27" customFormat="1">
      <x:c r="A105" s="38" t="n"/>
      <x:c r="B105" s="37" t="n"/>
      <x:c r="C105" s="36" t="n">
        <x:f>E105*D$5</x:f>
        <x:v>0</x:v>
      </x:c>
      <x:c r="D105" s="20" t="n"/>
      <x:c r="E105" s="36" t="n">
        <x:f>SUM(G105:HT105)</x:f>
        <x:v>0</x:v>
      </x:c>
      <x:c r="Q105" s="100" t="n"/>
      <x:c r="R105" s="100" t="n"/>
      <x:c r="AD105" s="100" t="n"/>
      <x:c r="AE105" s="100" t="n"/>
      <x:c r="AF105" s="100" t="n"/>
      <x:c r="AG105" s="100" t="n"/>
      <x:c r="AH105" s="100" t="n"/>
      <x:c r="AI105" s="100" t="n"/>
      <x:c r="AJ105" s="100" t="n"/>
      <x:c r="AL105" s="100" t="n"/>
      <x:c r="AN105" s="100" t="n"/>
    </x:row>
    <x:row r="106" s="27" customFormat="1">
      <x:c r="A106" s="38" t="n"/>
      <x:c r="B106" s="37" t="n"/>
      <x:c r="C106" s="36" t="n">
        <x:f>E106*D$5</x:f>
        <x:v>0</x:v>
      </x:c>
      <x:c r="D106" s="20" t="n"/>
      <x:c r="E106" s="36" t="n">
        <x:f>SUM(G106:HT106)</x:f>
        <x:v>0</x:v>
      </x:c>
      <x:c r="Q106" s="100" t="n"/>
      <x:c r="R106" s="100" t="n"/>
      <x:c r="AD106" s="100" t="n"/>
      <x:c r="AE106" s="100" t="n"/>
      <x:c r="AF106" s="100" t="n"/>
      <x:c r="AG106" s="100" t="n"/>
      <x:c r="AH106" s="100" t="n"/>
      <x:c r="AI106" s="100" t="n"/>
      <x:c r="AJ106" s="100" t="n"/>
      <x:c r="AL106" s="100" t="n"/>
      <x:c r="AN106" s="100" t="n"/>
    </x:row>
    <x:row r="107" s="27" customFormat="1">
      <x:c r="A107" s="38" t="n"/>
      <x:c r="B107" s="37" t="n"/>
      <x:c r="C107" s="36" t="n">
        <x:f>E107*D$5</x:f>
        <x:v>0</x:v>
      </x:c>
      <x:c r="D107" s="20" t="n"/>
      <x:c r="E107" s="36" t="n">
        <x:f>SUM(G107:HT107)</x:f>
        <x:v>0</x:v>
      </x:c>
      <x:c r="Q107" s="100" t="n"/>
      <x:c r="R107" s="100" t="n"/>
      <x:c r="AD107" s="100" t="n"/>
      <x:c r="AE107" s="100" t="n"/>
      <x:c r="AF107" s="100" t="n"/>
      <x:c r="AG107" s="100" t="n"/>
      <x:c r="AH107" s="100" t="n"/>
      <x:c r="AI107" s="100" t="n"/>
      <x:c r="AJ107" s="100" t="n"/>
      <x:c r="AL107" s="100" t="n"/>
      <x:c r="AN107" s="100" t="n"/>
    </x:row>
    <x:row r="108" s="27" customFormat="1">
      <x:c r="A108" s="38" t="n"/>
      <x:c r="B108" s="37" t="n"/>
      <x:c r="C108" s="36" t="n">
        <x:f>E108*D$5</x:f>
        <x:v>0</x:v>
      </x:c>
      <x:c r="D108" s="20" t="n"/>
      <x:c r="E108" s="36" t="n">
        <x:f>SUM(G108:HT108)</x:f>
        <x:v>0</x:v>
      </x:c>
      <x:c r="Q108" s="100" t="n"/>
      <x:c r="R108" s="100" t="n"/>
      <x:c r="AD108" s="100" t="n"/>
      <x:c r="AE108" s="100" t="n"/>
      <x:c r="AF108" s="100" t="n"/>
      <x:c r="AG108" s="100" t="n"/>
      <x:c r="AH108" s="100" t="n"/>
      <x:c r="AI108" s="100" t="n"/>
      <x:c r="AJ108" s="100" t="n"/>
      <x:c r="AL108" s="100" t="n"/>
      <x:c r="AN108" s="100" t="n"/>
    </x:row>
    <x:row r="109" s="27" customFormat="1">
      <x:c r="A109" s="38" t="n"/>
      <x:c r="B109" s="37" t="n"/>
      <x:c r="C109" s="36" t="n">
        <x:f>E109*D$5</x:f>
        <x:v>0</x:v>
      </x:c>
      <x:c r="D109" s="20" t="n"/>
      <x:c r="E109" s="36" t="n">
        <x:f>SUM(G109:HT109)</x:f>
        <x:v>0</x:v>
      </x:c>
      <x:c r="Q109" s="100" t="n"/>
      <x:c r="R109" s="100" t="n"/>
      <x:c r="AD109" s="100" t="n"/>
      <x:c r="AE109" s="100" t="n"/>
      <x:c r="AF109" s="100" t="n"/>
      <x:c r="AG109" s="100" t="n"/>
      <x:c r="AH109" s="100" t="n"/>
      <x:c r="AI109" s="100" t="n"/>
      <x:c r="AJ109" s="100" t="n"/>
      <x:c r="AL109" s="100" t="n"/>
      <x:c r="AN109" s="100" t="n"/>
    </x:row>
    <x:row r="110" s="27" customFormat="1">
      <x:c r="A110" s="38" t="n"/>
      <x:c r="B110" s="37" t="n"/>
      <x:c r="C110" s="36" t="n">
        <x:f>E110*D$5</x:f>
        <x:v>0</x:v>
      </x:c>
      <x:c r="D110" s="20" t="n"/>
      <x:c r="E110" s="36" t="n">
        <x:f>SUM(G110:HT110)</x:f>
        <x:v>0</x:v>
      </x:c>
      <x:c r="Q110" s="100" t="n"/>
      <x:c r="R110" s="100" t="n"/>
      <x:c r="AD110" s="100" t="n"/>
      <x:c r="AE110" s="100" t="n"/>
      <x:c r="AF110" s="100" t="n"/>
      <x:c r="AG110" s="100" t="n"/>
      <x:c r="AH110" s="100" t="n"/>
      <x:c r="AI110" s="100" t="n"/>
      <x:c r="AJ110" s="100" t="n"/>
      <x:c r="AL110" s="100" t="n"/>
      <x:c r="AN110" s="100" t="n"/>
    </x:row>
    <x:row r="111" s="27" customFormat="1">
      <x:c r="A111" s="38" t="n"/>
      <x:c r="B111" s="37" t="n"/>
      <x:c r="C111" s="36" t="n">
        <x:f>E111*D$5</x:f>
        <x:v>0</x:v>
      </x:c>
      <x:c r="D111" s="20" t="n"/>
      <x:c r="E111" s="36" t="n">
        <x:f>SUM(G111:HT111)</x:f>
        <x:v>0</x:v>
      </x:c>
      <x:c r="Q111" s="100" t="n"/>
      <x:c r="R111" s="100" t="n"/>
      <x:c r="AD111" s="100" t="n"/>
      <x:c r="AE111" s="100" t="n"/>
      <x:c r="AF111" s="100" t="n"/>
      <x:c r="AG111" s="100" t="n"/>
      <x:c r="AH111" s="100" t="n"/>
      <x:c r="AI111" s="100" t="n"/>
      <x:c r="AJ111" s="100" t="n"/>
      <x:c r="AL111" s="100" t="n"/>
      <x:c r="AN111" s="100" t="n"/>
    </x:row>
    <x:row r="112" s="27" customFormat="1">
      <x:c r="A112" s="38" t="n"/>
      <x:c r="B112" s="37" t="n"/>
      <x:c r="C112" s="36" t="n">
        <x:f>E112*D$5</x:f>
        <x:v>0</x:v>
      </x:c>
      <x:c r="D112" s="20" t="n"/>
      <x:c r="E112" s="36" t="n">
        <x:f>SUM(G112:HT112)</x:f>
        <x:v>0</x:v>
      </x:c>
      <x:c r="Q112" s="100" t="n"/>
      <x:c r="R112" s="100" t="n"/>
      <x:c r="AD112" s="100" t="n"/>
      <x:c r="AE112" s="100" t="n"/>
      <x:c r="AF112" s="100" t="n"/>
      <x:c r="AG112" s="100" t="n"/>
      <x:c r="AH112" s="100" t="n"/>
      <x:c r="AI112" s="100" t="n"/>
      <x:c r="AJ112" s="100" t="n"/>
      <x:c r="AL112" s="100" t="n"/>
      <x:c r="AN112" s="100" t="n"/>
    </x:row>
    <x:row r="113" s="27" customFormat="1">
      <x:c r="A113" s="38" t="n"/>
      <x:c r="B113" s="37" t="n"/>
      <x:c r="C113" s="36" t="n">
        <x:f>E113*D$5</x:f>
        <x:v>0</x:v>
      </x:c>
      <x:c r="D113" s="20" t="n"/>
      <x:c r="E113" s="36" t="n">
        <x:f>SUM(G113:HT113)</x:f>
        <x:v>0</x:v>
      </x:c>
      <x:c r="Q113" s="100" t="n"/>
      <x:c r="R113" s="100" t="n"/>
      <x:c r="AD113" s="100" t="n"/>
      <x:c r="AE113" s="100" t="n"/>
      <x:c r="AF113" s="100" t="n"/>
      <x:c r="AG113" s="100" t="n"/>
      <x:c r="AH113" s="100" t="n"/>
      <x:c r="AI113" s="100" t="n"/>
      <x:c r="AJ113" s="100" t="n"/>
      <x:c r="AL113" s="100" t="n"/>
      <x:c r="AN113" s="100" t="n"/>
    </x:row>
    <x:row r="114" s="27" customFormat="1">
      <x:c r="A114" s="38" t="n"/>
      <x:c r="B114" s="37" t="n"/>
      <x:c r="C114" s="36" t="n">
        <x:f>E114*D$5</x:f>
        <x:v>0</x:v>
      </x:c>
      <x:c r="D114" s="20" t="n"/>
      <x:c r="E114" s="36" t="n">
        <x:f>SUM(G114:HT114)</x:f>
        <x:v>0</x:v>
      </x:c>
      <x:c r="Q114" s="100" t="n"/>
      <x:c r="R114" s="100" t="n"/>
      <x:c r="AD114" s="100" t="n"/>
      <x:c r="AE114" s="100" t="n"/>
      <x:c r="AF114" s="100" t="n"/>
      <x:c r="AG114" s="100" t="n"/>
      <x:c r="AH114" s="100" t="n"/>
      <x:c r="AI114" s="100" t="n"/>
      <x:c r="AJ114" s="100" t="n"/>
      <x:c r="AL114" s="100" t="n"/>
      <x:c r="AN114" s="100" t="n"/>
    </x:row>
    <x:row r="115" s="27" customFormat="1">
      <x:c r="A115" s="38" t="n"/>
      <x:c r="B115" s="37" t="n"/>
      <x:c r="C115" s="36" t="n">
        <x:f>E115*D$5</x:f>
        <x:v>0</x:v>
      </x:c>
      <x:c r="D115" s="20" t="n"/>
      <x:c r="E115" s="36" t="n">
        <x:f>SUM(G115:HT115)</x:f>
        <x:v>0</x:v>
      </x:c>
      <x:c r="Q115" s="100" t="n"/>
      <x:c r="R115" s="100" t="n"/>
      <x:c r="AD115" s="100" t="n"/>
      <x:c r="AE115" s="100" t="n"/>
      <x:c r="AF115" s="100" t="n"/>
      <x:c r="AG115" s="100" t="n"/>
      <x:c r="AH115" s="100" t="n"/>
      <x:c r="AI115" s="100" t="n"/>
      <x:c r="AJ115" s="100" t="n"/>
      <x:c r="AL115" s="100" t="n"/>
      <x:c r="AN115" s="100" t="n"/>
    </x:row>
    <x:row r="116" s="27" customFormat="1">
      <x:c r="A116" s="38" t="n"/>
      <x:c r="B116" s="37" t="n"/>
      <x:c r="C116" s="36" t="n">
        <x:f>E116*D$5</x:f>
        <x:v>0</x:v>
      </x:c>
      <x:c r="D116" s="20" t="n"/>
      <x:c r="E116" s="36" t="n">
        <x:f>SUM(G116:HT116)</x:f>
        <x:v>0</x:v>
      </x:c>
      <x:c r="Q116" s="100" t="n"/>
      <x:c r="R116" s="100" t="n"/>
      <x:c r="AD116" s="100" t="n"/>
      <x:c r="AE116" s="100" t="n"/>
      <x:c r="AF116" s="100" t="n"/>
      <x:c r="AG116" s="100" t="n"/>
      <x:c r="AH116" s="100" t="n"/>
      <x:c r="AI116" s="100" t="n"/>
      <x:c r="AJ116" s="100" t="n"/>
      <x:c r="AL116" s="100" t="n"/>
      <x:c r="AN116" s="100" t="n"/>
    </x:row>
    <x:row r="117" s="27" customFormat="1">
      <x:c r="A117" s="38" t="n"/>
      <x:c r="B117" s="37" t="n"/>
      <x:c r="C117" s="36" t="n">
        <x:f>E117*D$5</x:f>
        <x:v>0</x:v>
      </x:c>
      <x:c r="D117" s="20" t="n"/>
      <x:c r="E117" s="36" t="n">
        <x:f>SUM(G117:HT117)</x:f>
        <x:v>0</x:v>
      </x:c>
      <x:c r="Q117" s="100" t="n"/>
      <x:c r="R117" s="100" t="n"/>
      <x:c r="AD117" s="100" t="n"/>
      <x:c r="AE117" s="100" t="n"/>
      <x:c r="AF117" s="100" t="n"/>
      <x:c r="AG117" s="100" t="n"/>
      <x:c r="AH117" s="100" t="n"/>
      <x:c r="AI117" s="100" t="n"/>
      <x:c r="AJ117" s="100" t="n"/>
      <x:c r="AL117" s="100" t="n"/>
      <x:c r="AN117" s="100" t="n"/>
    </x:row>
    <x:row r="118" s="27" customFormat="1">
      <x:c r="A118" s="38" t="n"/>
      <x:c r="B118" s="37" t="n"/>
      <x:c r="C118" s="36" t="n">
        <x:f>E118*D$5</x:f>
        <x:v>0</x:v>
      </x:c>
      <x:c r="D118" s="20" t="n"/>
      <x:c r="E118" s="36" t="n">
        <x:f>SUM(G118:HT118)</x:f>
        <x:v>0</x:v>
      </x:c>
      <x:c r="Q118" s="100" t="n"/>
      <x:c r="R118" s="100" t="n"/>
      <x:c r="AD118" s="100" t="n"/>
      <x:c r="AE118" s="100" t="n"/>
      <x:c r="AF118" s="100" t="n"/>
      <x:c r="AG118" s="100" t="n"/>
      <x:c r="AH118" s="100" t="n"/>
      <x:c r="AI118" s="100" t="n"/>
      <x:c r="AJ118" s="100" t="n"/>
      <x:c r="AL118" s="100" t="n"/>
      <x:c r="AN118" s="100" t="n"/>
    </x:row>
    <x:row r="119" s="27" customFormat="1">
      <x:c r="A119" s="38" t="n"/>
      <x:c r="B119" s="37" t="n"/>
      <x:c r="C119" s="36" t="n">
        <x:f>E119*D$5</x:f>
        <x:v>0</x:v>
      </x:c>
      <x:c r="D119" s="20" t="n"/>
      <x:c r="E119" s="36" t="n">
        <x:f>SUM(G119:HT119)</x:f>
        <x:v>0</x:v>
      </x:c>
      <x:c r="Q119" s="100" t="n"/>
      <x:c r="R119" s="100" t="n"/>
      <x:c r="AD119" s="100" t="n"/>
      <x:c r="AE119" s="100" t="n"/>
      <x:c r="AF119" s="100" t="n"/>
      <x:c r="AG119" s="100" t="n"/>
      <x:c r="AH119" s="100" t="n"/>
      <x:c r="AI119" s="100" t="n"/>
      <x:c r="AJ119" s="100" t="n"/>
      <x:c r="AL119" s="100" t="n"/>
      <x:c r="AN119" s="100" t="n"/>
    </x:row>
    <x:row r="120" s="27" customFormat="1">
      <x:c r="A120" s="38" t="n"/>
      <x:c r="B120" s="37" t="n"/>
      <x:c r="C120" s="36" t="n">
        <x:f>E120*D$5</x:f>
        <x:v>0</x:v>
      </x:c>
      <x:c r="D120" s="20" t="n"/>
      <x:c r="E120" s="36" t="n">
        <x:f>SUM(G120:HT120)</x:f>
        <x:v>0</x:v>
      </x:c>
      <x:c r="Q120" s="100" t="n"/>
      <x:c r="R120" s="100" t="n"/>
      <x:c r="AD120" s="100" t="n"/>
      <x:c r="AE120" s="100" t="n"/>
      <x:c r="AF120" s="100" t="n"/>
      <x:c r="AG120" s="100" t="n"/>
      <x:c r="AH120" s="100" t="n"/>
      <x:c r="AI120" s="100" t="n"/>
      <x:c r="AJ120" s="100" t="n"/>
      <x:c r="AL120" s="100" t="n"/>
      <x:c r="AN120" s="100" t="n"/>
    </x:row>
    <x:row r="121" s="27" customFormat="1">
      <x:c r="A121" s="38" t="n"/>
      <x:c r="B121" s="37" t="n"/>
      <x:c r="C121" s="36" t="n">
        <x:f>E121*D$5</x:f>
        <x:v>0</x:v>
      </x:c>
      <x:c r="D121" s="20" t="n"/>
      <x:c r="E121" s="36" t="n">
        <x:f>SUM(G121:HT121)</x:f>
        <x:v>0</x:v>
      </x:c>
      <x:c r="Q121" s="100" t="n"/>
      <x:c r="R121" s="100" t="n"/>
      <x:c r="AD121" s="100" t="n"/>
      <x:c r="AE121" s="100" t="n"/>
      <x:c r="AF121" s="100" t="n"/>
      <x:c r="AG121" s="100" t="n"/>
      <x:c r="AH121" s="100" t="n"/>
      <x:c r="AI121" s="100" t="n"/>
      <x:c r="AJ121" s="100" t="n"/>
      <x:c r="AL121" s="100" t="n"/>
      <x:c r="AN121" s="100" t="n"/>
    </x:row>
    <x:row r="122" s="27" customFormat="1">
      <x:c r="A122" s="38" t="n"/>
      <x:c r="B122" s="37" t="n"/>
      <x:c r="C122" s="36" t="n">
        <x:f>E122*D$5</x:f>
        <x:v>0</x:v>
      </x:c>
      <x:c r="D122" s="20" t="n"/>
      <x:c r="E122" s="36" t="n">
        <x:f>SUM(G122:HT122)</x:f>
        <x:v>0</x:v>
      </x:c>
      <x:c r="Q122" s="100" t="n"/>
      <x:c r="R122" s="100" t="n"/>
      <x:c r="AD122" s="100" t="n"/>
      <x:c r="AE122" s="100" t="n"/>
      <x:c r="AF122" s="100" t="n"/>
      <x:c r="AG122" s="100" t="n"/>
      <x:c r="AH122" s="100" t="n"/>
      <x:c r="AI122" s="100" t="n"/>
      <x:c r="AJ122" s="100" t="n"/>
      <x:c r="AL122" s="100" t="n"/>
      <x:c r="AN122" s="100" t="n"/>
    </x:row>
    <x:row r="123" s="27" customFormat="1">
      <x:c r="A123" s="38" t="n"/>
      <x:c r="B123" s="37" t="n"/>
      <x:c r="C123" s="36" t="n">
        <x:f>E123*D$5</x:f>
        <x:v>0</x:v>
      </x:c>
      <x:c r="D123" s="20" t="n"/>
      <x:c r="E123" s="36" t="n">
        <x:f>SUM(G123:HT123)</x:f>
        <x:v>0</x:v>
      </x:c>
      <x:c r="Q123" s="100" t="n"/>
      <x:c r="R123" s="100" t="n"/>
      <x:c r="AD123" s="100" t="n"/>
      <x:c r="AE123" s="100" t="n"/>
      <x:c r="AF123" s="100" t="n"/>
      <x:c r="AG123" s="100" t="n"/>
      <x:c r="AH123" s="100" t="n"/>
      <x:c r="AI123" s="100" t="n"/>
      <x:c r="AJ123" s="100" t="n"/>
      <x:c r="AL123" s="100" t="n"/>
      <x:c r="AN123" s="100" t="n"/>
    </x:row>
    <x:row r="124" s="27" customFormat="1">
      <x:c r="A124" s="38" t="n"/>
      <x:c r="B124" s="37" t="n"/>
      <x:c r="C124" s="36" t="n">
        <x:f>E124*D$5</x:f>
        <x:v>0</x:v>
      </x:c>
      <x:c r="D124" s="20" t="n"/>
      <x:c r="E124" s="36" t="n">
        <x:f>SUM(G124:HT124)</x:f>
        <x:v>0</x:v>
      </x:c>
      <x:c r="Q124" s="100" t="n"/>
      <x:c r="R124" s="100" t="n"/>
      <x:c r="AD124" s="100" t="n"/>
      <x:c r="AE124" s="100" t="n"/>
      <x:c r="AF124" s="100" t="n"/>
      <x:c r="AG124" s="100" t="n"/>
      <x:c r="AH124" s="100" t="n"/>
      <x:c r="AI124" s="100" t="n"/>
      <x:c r="AJ124" s="100" t="n"/>
      <x:c r="AL124" s="100" t="n"/>
      <x:c r="AN124" s="100" t="n"/>
    </x:row>
    <x:row r="125" s="27" customFormat="1">
      <x:c r="A125" s="38" t="n"/>
      <x:c r="B125" s="37" t="n"/>
      <x:c r="C125" s="36" t="n">
        <x:f>E125*D$5</x:f>
        <x:v>0</x:v>
      </x:c>
      <x:c r="D125" s="20" t="n"/>
      <x:c r="E125" s="36" t="n">
        <x:f>SUM(G125:HT125)</x:f>
        <x:v>0</x:v>
      </x:c>
      <x:c r="Q125" s="100" t="n"/>
      <x:c r="R125" s="100" t="n"/>
      <x:c r="AD125" s="100" t="n"/>
      <x:c r="AE125" s="100" t="n"/>
      <x:c r="AF125" s="100" t="n"/>
      <x:c r="AG125" s="100" t="n"/>
      <x:c r="AH125" s="100" t="n"/>
      <x:c r="AI125" s="100" t="n"/>
      <x:c r="AJ125" s="100" t="n"/>
      <x:c r="AL125" s="100" t="n"/>
      <x:c r="AN125" s="100" t="n"/>
    </x:row>
    <x:row r="126" s="27" customFormat="1">
      <x:c r="A126" s="38" t="n"/>
      <x:c r="B126" s="37" t="n"/>
      <x:c r="C126" s="36" t="n">
        <x:f>E126*D$5</x:f>
        <x:v>0</x:v>
      </x:c>
      <x:c r="D126" s="20" t="n"/>
      <x:c r="E126" s="36" t="n">
        <x:f>SUM(G126:HT126)</x:f>
        <x:v>0</x:v>
      </x:c>
      <x:c r="Q126" s="100" t="n"/>
      <x:c r="R126" s="100" t="n"/>
      <x:c r="AD126" s="100" t="n"/>
      <x:c r="AE126" s="100" t="n"/>
      <x:c r="AF126" s="100" t="n"/>
      <x:c r="AG126" s="100" t="n"/>
      <x:c r="AH126" s="100" t="n"/>
      <x:c r="AI126" s="100" t="n"/>
      <x:c r="AJ126" s="100" t="n"/>
      <x:c r="AL126" s="100" t="n"/>
      <x:c r="AN126" s="100" t="n"/>
    </x:row>
    <x:row r="127" s="27" customFormat="1">
      <x:c r="A127" s="38" t="n"/>
      <x:c r="B127" s="37" t="n"/>
      <x:c r="C127" s="36" t="n">
        <x:f>E127*D$5</x:f>
        <x:v>0</x:v>
      </x:c>
      <x:c r="D127" s="20" t="n"/>
      <x:c r="E127" s="36" t="n">
        <x:f>SUM(G127:HT127)</x:f>
        <x:v>0</x:v>
      </x:c>
      <x:c r="Q127" s="100" t="n"/>
      <x:c r="R127" s="100" t="n"/>
      <x:c r="AD127" s="100" t="n"/>
      <x:c r="AE127" s="100" t="n"/>
      <x:c r="AF127" s="100" t="n"/>
      <x:c r="AG127" s="100" t="n"/>
      <x:c r="AH127" s="100" t="n"/>
      <x:c r="AI127" s="100" t="n"/>
      <x:c r="AJ127" s="100" t="n"/>
      <x:c r="AL127" s="100" t="n"/>
      <x:c r="AN127" s="100" t="n"/>
    </x:row>
    <x:row r="128" s="27" customFormat="1">
      <x:c r="A128" s="38" t="n"/>
      <x:c r="B128" s="37" t="n"/>
      <x:c r="C128" s="36" t="n">
        <x:f>E128*D$5</x:f>
        <x:v>0</x:v>
      </x:c>
      <x:c r="D128" s="20" t="n"/>
      <x:c r="E128" s="36" t="n">
        <x:f>SUM(G128:HT128)</x:f>
        <x:v>0</x:v>
      </x:c>
      <x:c r="Q128" s="100" t="n"/>
      <x:c r="R128" s="100" t="n"/>
      <x:c r="AD128" s="100" t="n"/>
      <x:c r="AE128" s="100" t="n"/>
      <x:c r="AF128" s="100" t="n"/>
      <x:c r="AG128" s="100" t="n"/>
      <x:c r="AH128" s="100" t="n"/>
      <x:c r="AI128" s="100" t="n"/>
      <x:c r="AJ128" s="100" t="n"/>
      <x:c r="AL128" s="100" t="n"/>
      <x:c r="AN128" s="100" t="n"/>
    </x:row>
    <x:row r="129" s="27" customFormat="1">
      <x:c r="A129" s="38" t="n"/>
      <x:c r="B129" s="37" t="n"/>
      <x:c r="C129" s="36" t="n">
        <x:f>E129*D$5</x:f>
        <x:v>0</x:v>
      </x:c>
      <x:c r="D129" s="20" t="n"/>
      <x:c r="E129" s="36" t="n">
        <x:f>SUM(G129:HT129)</x:f>
        <x:v>0</x:v>
      </x:c>
      <x:c r="Q129" s="100" t="n"/>
      <x:c r="R129" s="100" t="n"/>
      <x:c r="AD129" s="100" t="n"/>
      <x:c r="AE129" s="100" t="n"/>
      <x:c r="AF129" s="100" t="n"/>
      <x:c r="AG129" s="100" t="n"/>
      <x:c r="AH129" s="100" t="n"/>
      <x:c r="AI129" s="100" t="n"/>
      <x:c r="AJ129" s="100" t="n"/>
      <x:c r="AL129" s="100" t="n"/>
      <x:c r="AN129" s="100" t="n"/>
    </x:row>
    <x:row r="130" s="27" customFormat="1">
      <x:c r="A130" s="38" t="n"/>
      <x:c r="B130" s="37" t="n"/>
      <x:c r="C130" s="36" t="n">
        <x:f>E130*D$5</x:f>
        <x:v>0</x:v>
      </x:c>
      <x:c r="D130" s="20" t="n"/>
      <x:c r="E130" s="36" t="n">
        <x:f>SUM(G130:HT130)</x:f>
        <x:v>0</x:v>
      </x:c>
      <x:c r="Q130" s="100" t="n"/>
      <x:c r="R130" s="100" t="n"/>
      <x:c r="AD130" s="100" t="n"/>
      <x:c r="AE130" s="100" t="n"/>
      <x:c r="AF130" s="100" t="n"/>
      <x:c r="AG130" s="100" t="n"/>
      <x:c r="AH130" s="100" t="n"/>
      <x:c r="AI130" s="100" t="n"/>
      <x:c r="AJ130" s="100" t="n"/>
      <x:c r="AL130" s="100" t="n"/>
      <x:c r="AN130" s="100" t="n"/>
    </x:row>
    <x:row r="131" s="27" customFormat="1">
      <x:c r="A131" s="38" t="n"/>
      <x:c r="B131" s="37" t="n"/>
      <x:c r="C131" s="36" t="n">
        <x:f>E131*D$5</x:f>
        <x:v>0</x:v>
      </x:c>
      <x:c r="D131" s="20" t="n"/>
      <x:c r="E131" s="36" t="n">
        <x:f>SUM(G131:HT131)</x:f>
        <x:v>0</x:v>
      </x:c>
      <x:c r="Q131" s="100" t="n"/>
      <x:c r="R131" s="100" t="n"/>
      <x:c r="AD131" s="100" t="n"/>
      <x:c r="AE131" s="100" t="n"/>
      <x:c r="AF131" s="100" t="n"/>
      <x:c r="AG131" s="100" t="n"/>
      <x:c r="AH131" s="100" t="n"/>
      <x:c r="AI131" s="100" t="n"/>
      <x:c r="AJ131" s="100" t="n"/>
      <x:c r="AL131" s="100" t="n"/>
      <x:c r="AN131" s="100" t="n"/>
    </x:row>
    <x:row r="132" s="27" customFormat="1">
      <x:c r="A132" s="38" t="n"/>
      <x:c r="B132" s="37" t="n"/>
      <x:c r="C132" s="36" t="n">
        <x:f>E132*D$5</x:f>
        <x:v>0</x:v>
      </x:c>
      <x:c r="D132" s="20" t="n"/>
      <x:c r="E132" s="36" t="n">
        <x:f>SUM(G132:HT132)</x:f>
        <x:v>0</x:v>
      </x:c>
      <x:c r="Q132" s="100" t="n"/>
      <x:c r="R132" s="100" t="n"/>
      <x:c r="AD132" s="100" t="n"/>
      <x:c r="AE132" s="100" t="n"/>
      <x:c r="AF132" s="100" t="n"/>
      <x:c r="AG132" s="100" t="n"/>
      <x:c r="AH132" s="100" t="n"/>
      <x:c r="AI132" s="100" t="n"/>
      <x:c r="AJ132" s="100" t="n"/>
      <x:c r="AL132" s="100" t="n"/>
      <x:c r="AN132" s="100" t="n"/>
    </x:row>
    <x:row r="133" s="27" customFormat="1">
      <x:c r="A133" s="38" t="n"/>
      <x:c r="B133" s="37" t="n"/>
      <x:c r="C133" s="36" t="n">
        <x:f>E133*D$5</x:f>
        <x:v>0</x:v>
      </x:c>
      <x:c r="D133" s="20" t="n"/>
      <x:c r="E133" s="36" t="n">
        <x:f>SUM(G133:HT133)</x:f>
        <x:v>0</x:v>
      </x:c>
      <x:c r="Q133" s="100" t="n"/>
      <x:c r="R133" s="100" t="n"/>
      <x:c r="AD133" s="100" t="n"/>
      <x:c r="AE133" s="100" t="n"/>
      <x:c r="AF133" s="100" t="n"/>
      <x:c r="AG133" s="100" t="n"/>
      <x:c r="AH133" s="100" t="n"/>
      <x:c r="AI133" s="100" t="n"/>
      <x:c r="AJ133" s="100" t="n"/>
      <x:c r="AL133" s="100" t="n"/>
      <x:c r="AN133" s="100" t="n"/>
    </x:row>
    <x:row r="134" s="27" customFormat="1">
      <x:c r="A134" s="38" t="n"/>
      <x:c r="B134" s="37" t="n"/>
      <x:c r="C134" s="36" t="n">
        <x:f>E134*D$5</x:f>
        <x:v>0</x:v>
      </x:c>
      <x:c r="D134" s="20" t="n"/>
      <x:c r="E134" s="36" t="n">
        <x:f>SUM(G134:HT134)</x:f>
        <x:v>0</x:v>
      </x:c>
      <x:c r="Q134" s="100" t="n"/>
      <x:c r="R134" s="100" t="n"/>
      <x:c r="AD134" s="100" t="n"/>
      <x:c r="AE134" s="100" t="n"/>
      <x:c r="AF134" s="100" t="n"/>
      <x:c r="AG134" s="100" t="n"/>
      <x:c r="AH134" s="100" t="n"/>
      <x:c r="AI134" s="100" t="n"/>
      <x:c r="AJ134" s="100" t="n"/>
      <x:c r="AL134" s="100" t="n"/>
      <x:c r="AN134" s="100" t="n"/>
    </x:row>
    <x:row r="135" s="27" customFormat="1">
      <x:c r="A135" s="38" t="n"/>
      <x:c r="B135" s="37" t="n"/>
      <x:c r="C135" s="36" t="n">
        <x:f>E135*D$5</x:f>
        <x:v>0</x:v>
      </x:c>
      <x:c r="D135" s="20" t="n"/>
      <x:c r="E135" s="36" t="n">
        <x:f>SUM(G135:HT135)</x:f>
        <x:v>0</x:v>
      </x:c>
      <x:c r="Q135" s="100" t="n"/>
      <x:c r="R135" s="100" t="n"/>
      <x:c r="AD135" s="100" t="n"/>
      <x:c r="AE135" s="100" t="n"/>
      <x:c r="AF135" s="100" t="n"/>
      <x:c r="AG135" s="100" t="n"/>
      <x:c r="AH135" s="100" t="n"/>
      <x:c r="AI135" s="100" t="n"/>
      <x:c r="AJ135" s="100" t="n"/>
      <x:c r="AL135" s="100" t="n"/>
      <x:c r="AN135" s="100" t="n"/>
    </x:row>
    <x:row r="136" s="27" customFormat="1">
      <x:c r="A136" s="38" t="n"/>
      <x:c r="B136" s="37" t="n"/>
      <x:c r="C136" s="36" t="n">
        <x:f>E136*D$5</x:f>
        <x:v>0</x:v>
      </x:c>
      <x:c r="D136" s="20" t="n"/>
      <x:c r="E136" s="36" t="n">
        <x:f>SUM(G136:HT136)</x:f>
        <x:v>0</x:v>
      </x:c>
      <x:c r="Q136" s="100" t="n"/>
      <x:c r="R136" s="100" t="n"/>
      <x:c r="AD136" s="100" t="n"/>
      <x:c r="AE136" s="100" t="n"/>
      <x:c r="AF136" s="100" t="n"/>
      <x:c r="AG136" s="100" t="n"/>
      <x:c r="AH136" s="100" t="n"/>
      <x:c r="AI136" s="100" t="n"/>
      <x:c r="AJ136" s="100" t="n"/>
      <x:c r="AL136" s="100" t="n"/>
      <x:c r="AN136" s="100" t="n"/>
    </x:row>
    <x:row r="137" s="27" customFormat="1">
      <x:c r="A137" s="38" t="n"/>
      <x:c r="B137" s="37" t="n"/>
      <x:c r="C137" s="36" t="n">
        <x:f>E137*D$5</x:f>
        <x:v>0</x:v>
      </x:c>
      <x:c r="D137" s="20" t="n"/>
      <x:c r="E137" s="36" t="n">
        <x:f>SUM(G137:HT137)</x:f>
        <x:v>0</x:v>
      </x:c>
      <x:c r="Q137" s="100" t="n"/>
      <x:c r="R137" s="100" t="n"/>
      <x:c r="AD137" s="100" t="n"/>
      <x:c r="AE137" s="100" t="n"/>
      <x:c r="AF137" s="100" t="n"/>
      <x:c r="AG137" s="100" t="n"/>
      <x:c r="AH137" s="100" t="n"/>
      <x:c r="AI137" s="100" t="n"/>
      <x:c r="AJ137" s="100" t="n"/>
      <x:c r="AL137" s="100" t="n"/>
      <x:c r="AN137" s="100" t="n"/>
    </x:row>
    <x:row r="138" s="27" customFormat="1">
      <x:c r="A138" s="38" t="n"/>
      <x:c r="B138" s="37" t="n"/>
      <x:c r="C138" s="36" t="n">
        <x:f>E138*D$5</x:f>
        <x:v>0</x:v>
      </x:c>
      <x:c r="D138" s="20" t="n"/>
      <x:c r="E138" s="36" t="n">
        <x:f>SUM(G138:HT138)</x:f>
        <x:v>0</x:v>
      </x:c>
      <x:c r="Q138" s="100" t="n"/>
      <x:c r="R138" s="100" t="n"/>
      <x:c r="AD138" s="100" t="n"/>
      <x:c r="AE138" s="100" t="n"/>
      <x:c r="AF138" s="100" t="n"/>
      <x:c r="AG138" s="100" t="n"/>
      <x:c r="AH138" s="100" t="n"/>
      <x:c r="AI138" s="100" t="n"/>
      <x:c r="AJ138" s="100" t="n"/>
      <x:c r="AL138" s="100" t="n"/>
      <x:c r="AN138" s="100" t="n"/>
    </x:row>
    <x:row r="139" s="27" customFormat="1">
      <x:c r="A139" s="38" t="n"/>
      <x:c r="B139" s="37" t="n"/>
      <x:c r="C139" s="36" t="n">
        <x:f>E139*D$5</x:f>
        <x:v>0</x:v>
      </x:c>
      <x:c r="D139" s="20" t="n"/>
      <x:c r="E139" s="36" t="n">
        <x:f>SUM(G139:HT139)</x:f>
        <x:v>0</x:v>
      </x:c>
      <x:c r="Q139" s="100" t="n"/>
      <x:c r="R139" s="100" t="n"/>
      <x:c r="AD139" s="100" t="n"/>
      <x:c r="AE139" s="100" t="n"/>
      <x:c r="AF139" s="100" t="n"/>
      <x:c r="AG139" s="100" t="n"/>
      <x:c r="AH139" s="100" t="n"/>
      <x:c r="AI139" s="100" t="n"/>
      <x:c r="AJ139" s="100" t="n"/>
      <x:c r="AL139" s="100" t="n"/>
      <x:c r="AN139" s="100" t="n"/>
    </x:row>
    <x:row r="140" s="27" customFormat="1">
      <x:c r="A140" s="38" t="n"/>
      <x:c r="B140" s="37" t="n"/>
      <x:c r="C140" s="36" t="n">
        <x:f>E140*D$5</x:f>
        <x:v>0</x:v>
      </x:c>
      <x:c r="D140" s="20" t="n"/>
      <x:c r="E140" s="36" t="n">
        <x:f>SUM(G140:HT140)</x:f>
        <x:v>0</x:v>
      </x:c>
      <x:c r="Q140" s="100" t="n"/>
      <x:c r="R140" s="100" t="n"/>
      <x:c r="AD140" s="100" t="n"/>
      <x:c r="AE140" s="100" t="n"/>
      <x:c r="AF140" s="100" t="n"/>
      <x:c r="AG140" s="100" t="n"/>
      <x:c r="AH140" s="100" t="n"/>
      <x:c r="AI140" s="100" t="n"/>
      <x:c r="AJ140" s="100" t="n"/>
      <x:c r="AL140" s="100" t="n"/>
      <x:c r="AN140" s="100" t="n"/>
    </x:row>
    <x:row r="141" s="27" customFormat="1">
      <x:c r="A141" s="38" t="n"/>
      <x:c r="B141" s="37" t="n"/>
      <x:c r="C141" s="36" t="n">
        <x:f>E141*D$5</x:f>
        <x:v>0</x:v>
      </x:c>
      <x:c r="D141" s="20" t="n"/>
      <x:c r="E141" s="36" t="n">
        <x:f>SUM(G141:HT141)</x:f>
        <x:v>0</x:v>
      </x:c>
      <x:c r="Q141" s="100" t="n"/>
      <x:c r="R141" s="100" t="n"/>
      <x:c r="AD141" s="100" t="n"/>
      <x:c r="AE141" s="100" t="n"/>
      <x:c r="AF141" s="100" t="n"/>
      <x:c r="AG141" s="100" t="n"/>
      <x:c r="AH141" s="100" t="n"/>
      <x:c r="AI141" s="100" t="n"/>
      <x:c r="AJ141" s="100" t="n"/>
      <x:c r="AL141" s="100" t="n"/>
      <x:c r="AN141" s="100" t="n"/>
    </x:row>
    <x:row r="142" s="27" customFormat="1">
      <x:c r="A142" s="38" t="n"/>
      <x:c r="B142" s="37" t="n"/>
      <x:c r="C142" s="36" t="n">
        <x:f>E142*D$5</x:f>
        <x:v>0</x:v>
      </x:c>
      <x:c r="D142" s="20" t="n"/>
      <x:c r="E142" s="36" t="n">
        <x:f>SUM(G142:HT142)</x:f>
        <x:v>0</x:v>
      </x:c>
      <x:c r="Q142" s="100" t="n"/>
      <x:c r="R142" s="100" t="n"/>
      <x:c r="AD142" s="100" t="n"/>
      <x:c r="AE142" s="100" t="n"/>
      <x:c r="AF142" s="100" t="n"/>
      <x:c r="AG142" s="100" t="n"/>
      <x:c r="AH142" s="100" t="n"/>
      <x:c r="AI142" s="100" t="n"/>
      <x:c r="AJ142" s="100" t="n"/>
      <x:c r="AL142" s="100" t="n"/>
      <x:c r="AN142" s="100" t="n"/>
    </x:row>
    <x:row r="143" s="27" customFormat="1">
      <x:c r="A143" s="38" t="n"/>
      <x:c r="B143" s="37" t="n"/>
      <x:c r="C143" s="36" t="n">
        <x:f>E143*D$5</x:f>
        <x:v>0</x:v>
      </x:c>
      <x:c r="D143" s="20" t="n"/>
      <x:c r="E143" s="36" t="n">
        <x:f>SUM(G143:HT143)</x:f>
        <x:v>0</x:v>
      </x:c>
      <x:c r="Q143" s="100" t="n"/>
      <x:c r="R143" s="100" t="n"/>
      <x:c r="AD143" s="100" t="n"/>
      <x:c r="AE143" s="100" t="n"/>
      <x:c r="AF143" s="100" t="n"/>
      <x:c r="AG143" s="100" t="n"/>
      <x:c r="AH143" s="100" t="n"/>
      <x:c r="AI143" s="100" t="n"/>
      <x:c r="AJ143" s="100" t="n"/>
      <x:c r="AL143" s="100" t="n"/>
      <x:c r="AN143" s="100" t="n"/>
    </x:row>
    <x:row r="144" s="27" customFormat="1">
      <x:c r="A144" s="38" t="n"/>
      <x:c r="B144" s="37" t="n"/>
      <x:c r="C144" s="36" t="n">
        <x:f>E144*D$5</x:f>
        <x:v>0</x:v>
      </x:c>
      <x:c r="D144" s="20" t="n"/>
      <x:c r="E144" s="36" t="n">
        <x:f>SUM(G144:HT144)</x:f>
        <x:v>0</x:v>
      </x:c>
      <x:c r="R144" s="100" t="n"/>
      <x:c r="S144" s="100" t="n"/>
      <x:c r="AE144" s="100" t="n"/>
      <x:c r="AF144" s="100" t="n"/>
      <x:c r="AG144" s="100" t="n"/>
      <x:c r="AH144" s="100" t="n"/>
      <x:c r="AI144" s="100" t="n"/>
      <x:c r="AJ144" s="100" t="n"/>
      <x:c r="AK144" s="100" t="n"/>
      <x:c r="AM144" s="100" t="n"/>
      <x:c r="AO144" s="100" t="n"/>
    </x:row>
    <x:row r="145" s="27" customFormat="1">
      <x:c r="A145" s="38" t="n"/>
      <x:c r="B145" s="37" t="n"/>
      <x:c r="C145" s="36" t="n">
        <x:f>E145*D$5</x:f>
        <x:v>0</x:v>
      </x:c>
      <x:c r="D145" s="20" t="n"/>
      <x:c r="E145" s="36" t="n">
        <x:f>SUM(G145:HT145)</x:f>
        <x:v>0</x:v>
      </x:c>
      <x:c r="R145" s="100" t="n"/>
      <x:c r="S145" s="100" t="n"/>
      <x:c r="AE145" s="100" t="n"/>
      <x:c r="AF145" s="100" t="n"/>
      <x:c r="AG145" s="100" t="n"/>
      <x:c r="AH145" s="100" t="n"/>
      <x:c r="AI145" s="100" t="n"/>
      <x:c r="AJ145" s="100" t="n"/>
      <x:c r="AK145" s="100" t="n"/>
      <x:c r="AM145" s="100" t="n"/>
      <x:c r="AO145" s="100" t="n"/>
    </x:row>
    <x:row r="146" s="27" customFormat="1">
      <x:c r="A146" s="38" t="n"/>
      <x:c r="B146" s="37" t="n"/>
      <x:c r="C146" s="36" t="n">
        <x:f>E146*D$5</x:f>
        <x:v>0</x:v>
      </x:c>
      <x:c r="D146" s="20" t="n"/>
      <x:c r="E146" s="36" t="n">
        <x:f>SUM(G146:HT146)</x:f>
        <x:v>0</x:v>
      </x:c>
      <x:c r="R146" s="100" t="n"/>
      <x:c r="S146" s="100" t="n"/>
      <x:c r="AE146" s="100" t="n"/>
      <x:c r="AF146" s="100" t="n"/>
      <x:c r="AG146" s="100" t="n"/>
      <x:c r="AH146" s="100" t="n"/>
      <x:c r="AI146" s="100" t="n"/>
      <x:c r="AJ146" s="100" t="n"/>
      <x:c r="AK146" s="100" t="n"/>
      <x:c r="AM146" s="100" t="n"/>
      <x:c r="AO146" s="100" t="n"/>
    </x:row>
    <x:row r="147" s="27" customFormat="1">
      <x:c r="A147" s="38" t="n"/>
      <x:c r="B147" s="37" t="n"/>
      <x:c r="C147" s="36" t="n">
        <x:f>E147*D$5</x:f>
        <x:v>0</x:v>
      </x:c>
      <x:c r="D147" s="20" t="n"/>
      <x:c r="E147" s="36" t="n">
        <x:f>SUM(G147:HT147)</x:f>
        <x:v>0</x:v>
      </x:c>
      <x:c r="R147" s="100" t="n"/>
      <x:c r="S147" s="100" t="n"/>
      <x:c r="AE147" s="100" t="n"/>
      <x:c r="AF147" s="100" t="n"/>
      <x:c r="AG147" s="100" t="n"/>
      <x:c r="AH147" s="100" t="n"/>
      <x:c r="AI147" s="100" t="n"/>
      <x:c r="AJ147" s="100" t="n"/>
      <x:c r="AK147" s="100" t="n"/>
      <x:c r="AM147" s="100" t="n"/>
      <x:c r="AO147" s="100" t="n"/>
    </x:row>
    <x:row r="148" s="27" customFormat="1">
      <x:c r="A148" s="38" t="n"/>
      <x:c r="B148" s="37" t="n"/>
      <x:c r="C148" s="36" t="n">
        <x:f>E148*D$5</x:f>
        <x:v>0</x:v>
      </x:c>
      <x:c r="D148" s="20" t="n"/>
      <x:c r="E148" s="36" t="n">
        <x:f>SUM(G148:HT148)</x:f>
        <x:v>0</x:v>
      </x:c>
      <x:c r="R148" s="100" t="n"/>
      <x:c r="S148" s="100" t="n"/>
      <x:c r="AE148" s="100" t="n"/>
      <x:c r="AF148" s="100" t="n"/>
      <x:c r="AG148" s="100" t="n"/>
      <x:c r="AH148" s="100" t="n"/>
      <x:c r="AI148" s="100" t="n"/>
      <x:c r="AJ148" s="100" t="n"/>
      <x:c r="AK148" s="100" t="n"/>
      <x:c r="AM148" s="100" t="n"/>
      <x:c r="AO148" s="100" t="n"/>
    </x:row>
    <x:row r="149" s="27" customFormat="1">
      <x:c r="A149" s="38" t="n"/>
      <x:c r="B149" s="37" t="n"/>
      <x:c r="C149" s="36" t="n">
        <x:f>E149*D$5</x:f>
        <x:v>0</x:v>
      </x:c>
      <x:c r="D149" s="20" t="n"/>
      <x:c r="E149" s="36" t="n">
        <x:f>SUM(G149:HT149)</x:f>
        <x:v>0</x:v>
      </x:c>
      <x:c r="R149" s="100" t="n"/>
      <x:c r="S149" s="100" t="n"/>
      <x:c r="AE149" s="100" t="n"/>
      <x:c r="AF149" s="100" t="n"/>
      <x:c r="AG149" s="100" t="n"/>
      <x:c r="AH149" s="100" t="n"/>
      <x:c r="AI149" s="100" t="n"/>
      <x:c r="AJ149" s="100" t="n"/>
      <x:c r="AK149" s="100" t="n"/>
      <x:c r="AM149" s="100" t="n"/>
      <x:c r="AO149" s="100" t="n"/>
    </x:row>
    <x:row r="150" s="27" customFormat="1">
      <x:c r="A150" s="38" t="n"/>
      <x:c r="B150" s="37" t="n"/>
      <x:c r="C150" s="36" t="n">
        <x:f>E150*D$5</x:f>
        <x:v>0</x:v>
      </x:c>
      <x:c r="D150" s="20" t="n"/>
      <x:c r="E150" s="36" t="n">
        <x:f>SUM(G150:HT150)</x:f>
        <x:v>0</x:v>
      </x:c>
      <x:c r="R150" s="100" t="n"/>
      <x:c r="S150" s="100" t="n"/>
      <x:c r="AE150" s="100" t="n"/>
      <x:c r="AF150" s="100" t="n"/>
      <x:c r="AG150" s="100" t="n"/>
      <x:c r="AH150" s="100" t="n"/>
      <x:c r="AI150" s="100" t="n"/>
      <x:c r="AJ150" s="100" t="n"/>
      <x:c r="AK150" s="100" t="n"/>
      <x:c r="AM150" s="100" t="n"/>
      <x:c r="AO150" s="100" t="n"/>
    </x:row>
    <x:row r="151" s="27" customFormat="1">
      <x:c r="A151" s="38" t="n"/>
      <x:c r="B151" s="37" t="n"/>
      <x:c r="C151" s="36" t="n">
        <x:f>E151*D$5</x:f>
        <x:v>0</x:v>
      </x:c>
      <x:c r="D151" s="20" t="n"/>
      <x:c r="E151" s="36" t="n">
        <x:f>SUM(G151:HT151)</x:f>
        <x:v>0</x:v>
      </x:c>
      <x:c r="R151" s="100" t="n"/>
      <x:c r="S151" s="100" t="n"/>
      <x:c r="AE151" s="100" t="n"/>
      <x:c r="AF151" s="100" t="n"/>
      <x:c r="AG151" s="100" t="n"/>
      <x:c r="AH151" s="100" t="n"/>
      <x:c r="AI151" s="100" t="n"/>
      <x:c r="AJ151" s="100" t="n"/>
      <x:c r="AK151" s="100" t="n"/>
      <x:c r="AM151" s="100" t="n"/>
      <x:c r="AO151" s="100" t="n"/>
    </x:row>
    <x:row r="152" s="27" customFormat="1">
      <x:c r="A152" s="38" t="n"/>
      <x:c r="B152" s="37" t="n"/>
      <x:c r="C152" s="36" t="n">
        <x:f>E152*D$5</x:f>
        <x:v>0</x:v>
      </x:c>
      <x:c r="D152" s="20" t="n"/>
      <x:c r="E152" s="36" t="n">
        <x:f>SUM(G152:HT152)</x:f>
        <x:v>0</x:v>
      </x:c>
      <x:c r="R152" s="100" t="n"/>
      <x:c r="S152" s="100" t="n"/>
      <x:c r="AE152" s="100" t="n"/>
      <x:c r="AF152" s="100" t="n"/>
      <x:c r="AG152" s="100" t="n"/>
      <x:c r="AH152" s="100" t="n"/>
      <x:c r="AI152" s="100" t="n"/>
      <x:c r="AJ152" s="100" t="n"/>
      <x:c r="AK152" s="100" t="n"/>
      <x:c r="AM152" s="100" t="n"/>
      <x:c r="AO152" s="100" t="n"/>
    </x:row>
    <x:row r="153" s="27" customFormat="1">
      <x:c r="A153" s="38" t="n"/>
      <x:c r="B153" s="37" t="n"/>
      <x:c r="C153" s="36" t="n">
        <x:f>E153*D$5</x:f>
        <x:v>0</x:v>
      </x:c>
      <x:c r="D153" s="20" t="n"/>
      <x:c r="E153" s="36" t="n">
        <x:f>SUM(G153:HT153)</x:f>
        <x:v>0</x:v>
      </x:c>
      <x:c r="R153" s="100" t="n"/>
      <x:c r="S153" s="100" t="n"/>
      <x:c r="AE153" s="100" t="n"/>
      <x:c r="AF153" s="100" t="n"/>
      <x:c r="AG153" s="100" t="n"/>
      <x:c r="AH153" s="100" t="n"/>
      <x:c r="AI153" s="100" t="n"/>
      <x:c r="AJ153" s="100" t="n"/>
      <x:c r="AK153" s="100" t="n"/>
      <x:c r="AM153" s="100" t="n"/>
      <x:c r="AO153" s="100" t="n"/>
    </x:row>
    <x:row r="154" s="27" customFormat="1">
      <x:c r="A154" s="38" t="n"/>
      <x:c r="B154" s="37" t="n"/>
      <x:c r="C154" s="36" t="n">
        <x:f>E154*D$5</x:f>
        <x:v>0</x:v>
      </x:c>
      <x:c r="D154" s="20" t="n"/>
      <x:c r="E154" s="36" t="n">
        <x:f>SUM(G154:HT154)</x:f>
        <x:v>0</x:v>
      </x:c>
      <x:c r="R154" s="100" t="n"/>
      <x:c r="S154" s="100" t="n"/>
      <x:c r="AE154" s="100" t="n"/>
      <x:c r="AF154" s="100" t="n"/>
      <x:c r="AG154" s="100" t="n"/>
      <x:c r="AH154" s="100" t="n"/>
      <x:c r="AI154" s="100" t="n"/>
      <x:c r="AJ154" s="100" t="n"/>
      <x:c r="AK154" s="100" t="n"/>
      <x:c r="AM154" s="100" t="n"/>
      <x:c r="AO154" s="100" t="n"/>
    </x:row>
    <x:row r="155" s="27" customFormat="1">
      <x:c r="A155" s="38" t="n"/>
      <x:c r="B155" s="37" t="n"/>
      <x:c r="C155" s="36" t="n">
        <x:f>E155*D$5</x:f>
        <x:v>0</x:v>
      </x:c>
      <x:c r="D155" s="20" t="n"/>
      <x:c r="E155" s="36" t="n">
        <x:f>SUM(G155:HT155)</x:f>
        <x:v>0</x:v>
      </x:c>
      <x:c r="R155" s="100" t="n"/>
      <x:c r="S155" s="100" t="n"/>
      <x:c r="AE155" s="100" t="n"/>
      <x:c r="AF155" s="100" t="n"/>
      <x:c r="AG155" s="100" t="n"/>
      <x:c r="AH155" s="100" t="n"/>
      <x:c r="AI155" s="100" t="n"/>
      <x:c r="AJ155" s="100" t="n"/>
      <x:c r="AK155" s="100" t="n"/>
      <x:c r="AM155" s="100" t="n"/>
      <x:c r="AO155" s="100" t="n"/>
    </x:row>
    <x:row r="156" s="27" customFormat="1">
      <x:c r="A156" s="38" t="n"/>
      <x:c r="B156" s="37" t="n"/>
      <x:c r="C156" s="36" t="n">
        <x:f>E156*D$5</x:f>
        <x:v>0</x:v>
      </x:c>
      <x:c r="D156" s="20" t="n"/>
      <x:c r="E156" s="36" t="n">
        <x:f>SUM(G156:HT156)</x:f>
        <x:v>0</x:v>
      </x:c>
      <x:c r="R156" s="100" t="n"/>
      <x:c r="S156" s="100" t="n"/>
      <x:c r="AE156" s="100" t="n"/>
      <x:c r="AF156" s="100" t="n"/>
      <x:c r="AG156" s="100" t="n"/>
      <x:c r="AH156" s="100" t="n"/>
      <x:c r="AI156" s="100" t="n"/>
      <x:c r="AJ156" s="100" t="n"/>
      <x:c r="AK156" s="100" t="n"/>
      <x:c r="AM156" s="100" t="n"/>
      <x:c r="AO156" s="100" t="n"/>
    </x:row>
    <x:row r="157" s="27" customFormat="1">
      <x:c r="A157" s="38" t="n"/>
      <x:c r="B157" s="37" t="n"/>
      <x:c r="C157" s="36" t="n">
        <x:f>E157*D$5</x:f>
        <x:v>0</x:v>
      </x:c>
      <x:c r="D157" s="20" t="n"/>
      <x:c r="E157" s="36" t="n">
        <x:f>SUM(G157:HT157)</x:f>
        <x:v>0</x:v>
      </x:c>
      <x:c r="R157" s="100" t="n"/>
      <x:c r="S157" s="100" t="n"/>
      <x:c r="AE157" s="100" t="n"/>
      <x:c r="AF157" s="100" t="n"/>
      <x:c r="AG157" s="100" t="n"/>
      <x:c r="AH157" s="100" t="n"/>
      <x:c r="AI157" s="100" t="n"/>
      <x:c r="AJ157" s="100" t="n"/>
      <x:c r="AK157" s="100" t="n"/>
      <x:c r="AM157" s="100" t="n"/>
      <x:c r="AO157" s="100" t="n"/>
    </x:row>
    <x:row r="158" s="27" customFormat="1">
      <x:c r="A158" s="38" t="n"/>
      <x:c r="B158" s="37" t="n"/>
      <x:c r="C158" s="36" t="n">
        <x:f>E158*D$5</x:f>
        <x:v>0</x:v>
      </x:c>
      <x:c r="D158" s="20" t="n"/>
      <x:c r="E158" s="36" t="n">
        <x:f>SUM(G158:HT158)</x:f>
        <x:v>0</x:v>
      </x:c>
      <x:c r="R158" s="100" t="n"/>
      <x:c r="S158" s="100" t="n"/>
      <x:c r="AE158" s="100" t="n"/>
      <x:c r="AF158" s="100" t="n"/>
      <x:c r="AG158" s="100" t="n"/>
      <x:c r="AH158" s="100" t="n"/>
      <x:c r="AI158" s="100" t="n"/>
      <x:c r="AJ158" s="100" t="n"/>
      <x:c r="AK158" s="100" t="n"/>
      <x:c r="AM158" s="100" t="n"/>
      <x:c r="AO158" s="100" t="n"/>
    </x:row>
    <x:row r="159" s="27" customFormat="1">
      <x:c r="A159" s="38" t="n"/>
      <x:c r="B159" s="37" t="n"/>
      <x:c r="C159" s="36" t="n">
        <x:f>E159*D$5</x:f>
        <x:v>0</x:v>
      </x:c>
      <x:c r="D159" s="20" t="n"/>
      <x:c r="E159" s="36" t="n">
        <x:f>SUM(G159:HT159)</x:f>
        <x:v>0</x:v>
      </x:c>
      <x:c r="R159" s="100" t="n"/>
      <x:c r="S159" s="100" t="n"/>
      <x:c r="AE159" s="100" t="n"/>
      <x:c r="AF159" s="100" t="n"/>
      <x:c r="AG159" s="100" t="n"/>
      <x:c r="AH159" s="100" t="n"/>
      <x:c r="AI159" s="100" t="n"/>
      <x:c r="AJ159" s="100" t="n"/>
      <x:c r="AK159" s="100" t="n"/>
      <x:c r="AM159" s="100" t="n"/>
      <x:c r="AO159" s="100" t="n"/>
    </x:row>
    <x:row r="160" s="27" customFormat="1">
      <x:c r="A160" s="38" t="n"/>
      <x:c r="B160" s="37" t="n"/>
      <x:c r="C160" s="36" t="n">
        <x:f>E160*D$5</x:f>
        <x:v>0</x:v>
      </x:c>
      <x:c r="D160" s="20" t="n"/>
      <x:c r="E160" s="36" t="n">
        <x:f>SUM(G160:HT160)</x:f>
        <x:v>0</x:v>
      </x:c>
      <x:c r="R160" s="100" t="n"/>
      <x:c r="S160" s="100" t="n"/>
      <x:c r="AE160" s="100" t="n"/>
      <x:c r="AF160" s="100" t="n"/>
      <x:c r="AG160" s="100" t="n"/>
      <x:c r="AH160" s="100" t="n"/>
      <x:c r="AI160" s="100" t="n"/>
      <x:c r="AJ160" s="100" t="n"/>
      <x:c r="AK160" s="100" t="n"/>
      <x:c r="AM160" s="100" t="n"/>
      <x:c r="AO160" s="100" t="n"/>
    </x:row>
    <x:row r="161" s="27" customFormat="1">
      <x:c r="A161" s="38" t="n"/>
      <x:c r="B161" s="37" t="n"/>
      <x:c r="C161" s="36" t="n">
        <x:f>E161*D$5</x:f>
        <x:v>0</x:v>
      </x:c>
      <x:c r="D161" s="20" t="n"/>
      <x:c r="E161" s="36" t="n">
        <x:f>SUM(G161:HT161)</x:f>
        <x:v>0</x:v>
      </x:c>
      <x:c r="R161" s="100" t="n"/>
      <x:c r="S161" s="100" t="n"/>
      <x:c r="AE161" s="100" t="n"/>
      <x:c r="AF161" s="100" t="n"/>
      <x:c r="AG161" s="100" t="n"/>
      <x:c r="AH161" s="100" t="n"/>
      <x:c r="AI161" s="100" t="n"/>
      <x:c r="AJ161" s="100" t="n"/>
      <x:c r="AK161" s="100" t="n"/>
      <x:c r="AM161" s="100" t="n"/>
      <x:c r="AO161" s="100" t="n"/>
    </x:row>
    <x:row r="162" s="27" customFormat="1">
      <x:c r="A162" s="38" t="n"/>
      <x:c r="B162" s="37" t="n"/>
      <x:c r="C162" s="36" t="n">
        <x:f>E162*D$5</x:f>
        <x:v>0</x:v>
      </x:c>
      <x:c r="D162" s="20" t="n"/>
      <x:c r="E162" s="36" t="n">
        <x:f>SUM(G162:HT162)</x:f>
        <x:v>0</x:v>
      </x:c>
      <x:c r="R162" s="100" t="n"/>
      <x:c r="S162" s="100" t="n"/>
      <x:c r="AE162" s="100" t="n"/>
      <x:c r="AF162" s="100" t="n"/>
      <x:c r="AG162" s="100" t="n"/>
      <x:c r="AH162" s="100" t="n"/>
      <x:c r="AI162" s="100" t="n"/>
      <x:c r="AJ162" s="100" t="n"/>
      <x:c r="AK162" s="100" t="n"/>
      <x:c r="AM162" s="100" t="n"/>
      <x:c r="AO162" s="100" t="n"/>
    </x:row>
    <x:row r="163" s="27" customFormat="1">
      <x:c r="A163" s="38" t="n"/>
      <x:c r="B163" s="37" t="n"/>
      <x:c r="C163" s="36" t="n">
        <x:f>E163*D$5</x:f>
        <x:v>0</x:v>
      </x:c>
      <x:c r="D163" s="20" t="n"/>
      <x:c r="E163" s="36" t="n">
        <x:f>SUM(G163:HT163)</x:f>
        <x:v>0</x:v>
      </x:c>
      <x:c r="R163" s="100" t="n"/>
      <x:c r="S163" s="100" t="n"/>
      <x:c r="AE163" s="100" t="n"/>
      <x:c r="AF163" s="100" t="n"/>
      <x:c r="AG163" s="100" t="n"/>
      <x:c r="AH163" s="100" t="n"/>
      <x:c r="AI163" s="100" t="n"/>
      <x:c r="AJ163" s="100" t="n"/>
      <x:c r="AK163" s="100" t="n"/>
      <x:c r="AM163" s="100" t="n"/>
      <x:c r="AO163" s="100" t="n"/>
    </x:row>
    <x:row r="164" s="27" customFormat="1">
      <x:c r="A164" s="38" t="n"/>
      <x:c r="B164" s="37" t="n"/>
      <x:c r="C164" s="36" t="n">
        <x:f>E164*D$5</x:f>
        <x:v>0</x:v>
      </x:c>
      <x:c r="D164" s="20" t="n"/>
      <x:c r="E164" s="36" t="n">
        <x:f>SUM(G164:HT164)</x:f>
        <x:v>0</x:v>
      </x:c>
      <x:c r="R164" s="100" t="n"/>
      <x:c r="S164" s="100" t="n"/>
      <x:c r="AE164" s="100" t="n"/>
      <x:c r="AF164" s="100" t="n"/>
      <x:c r="AG164" s="100" t="n"/>
      <x:c r="AH164" s="100" t="n"/>
      <x:c r="AI164" s="100" t="n"/>
      <x:c r="AJ164" s="100" t="n"/>
      <x:c r="AK164" s="100" t="n"/>
      <x:c r="AM164" s="100" t="n"/>
      <x:c r="AO164" s="100" t="n"/>
    </x:row>
    <x:row r="165" s="27" customFormat="1">
      <x:c r="A165" s="38" t="n"/>
      <x:c r="B165" s="37" t="n"/>
      <x:c r="C165" s="36" t="n">
        <x:f>E165*D$5</x:f>
        <x:v>0</x:v>
      </x:c>
      <x:c r="D165" s="20" t="n"/>
      <x:c r="E165" s="36" t="n">
        <x:f>SUM(G165:HT165)</x:f>
        <x:v>0</x:v>
      </x:c>
      <x:c r="R165" s="100" t="n"/>
      <x:c r="S165" s="100" t="n"/>
      <x:c r="AE165" s="100" t="n"/>
      <x:c r="AF165" s="100" t="n"/>
      <x:c r="AG165" s="100" t="n"/>
      <x:c r="AH165" s="100" t="n"/>
      <x:c r="AI165" s="100" t="n"/>
      <x:c r="AJ165" s="100" t="n"/>
      <x:c r="AK165" s="100" t="n"/>
      <x:c r="AM165" s="100" t="n"/>
      <x:c r="AO165" s="100" t="n"/>
    </x:row>
    <x:row r="166" s="27" customFormat="1">
      <x:c r="A166" s="38" t="n"/>
      <x:c r="B166" s="37" t="n"/>
      <x:c r="C166" s="36" t="n">
        <x:f>E166*D$5</x:f>
        <x:v>0</x:v>
      </x:c>
      <x:c r="D166" s="20" t="n"/>
      <x:c r="E166" s="36" t="n">
        <x:f>SUM(G166:HT166)</x:f>
        <x:v>0</x:v>
      </x:c>
      <x:c r="R166" s="100" t="n"/>
      <x:c r="S166" s="100" t="n"/>
      <x:c r="AE166" s="100" t="n"/>
      <x:c r="AF166" s="100" t="n"/>
      <x:c r="AG166" s="100" t="n"/>
      <x:c r="AH166" s="100" t="n"/>
      <x:c r="AI166" s="100" t="n"/>
      <x:c r="AJ166" s="100" t="n"/>
      <x:c r="AK166" s="100" t="n"/>
      <x:c r="AM166" s="100" t="n"/>
      <x:c r="AO166" s="100" t="n"/>
    </x:row>
    <x:row r="167" s="27" customFormat="1">
      <x:c r="A167" s="38" t="n"/>
      <x:c r="B167" s="37" t="n"/>
      <x:c r="C167" s="36" t="n">
        <x:f>E167*D$5</x:f>
        <x:v>0</x:v>
      </x:c>
      <x:c r="D167" s="20" t="n"/>
      <x:c r="E167" s="36" t="n">
        <x:f>SUM(G167:HT167)</x:f>
        <x:v>0</x:v>
      </x:c>
      <x:c r="R167" s="100" t="n"/>
      <x:c r="S167" s="100" t="n"/>
      <x:c r="AE167" s="100" t="n"/>
      <x:c r="AF167" s="100" t="n"/>
      <x:c r="AG167" s="100" t="n"/>
      <x:c r="AH167" s="100" t="n"/>
      <x:c r="AI167" s="100" t="n"/>
      <x:c r="AJ167" s="100" t="n"/>
      <x:c r="AK167" s="100" t="n"/>
      <x:c r="AM167" s="100" t="n"/>
      <x:c r="AO167" s="100" t="n"/>
    </x:row>
    <x:row r="168" s="27" customFormat="1">
      <x:c r="A168" s="38" t="n"/>
      <x:c r="B168" s="37" t="n"/>
      <x:c r="C168" s="36" t="n">
        <x:f>E168*D$5</x:f>
        <x:v>0</x:v>
      </x:c>
      <x:c r="D168" s="20" t="n"/>
      <x:c r="E168" s="36" t="n">
        <x:f>SUM(G168:HT168)</x:f>
        <x:v>0</x:v>
      </x:c>
      <x:c r="R168" s="100" t="n"/>
      <x:c r="S168" s="100" t="n"/>
      <x:c r="AE168" s="100" t="n"/>
      <x:c r="AF168" s="100" t="n"/>
      <x:c r="AG168" s="100" t="n"/>
      <x:c r="AH168" s="100" t="n"/>
      <x:c r="AI168" s="100" t="n"/>
      <x:c r="AJ168" s="100" t="n"/>
      <x:c r="AK168" s="100" t="n"/>
      <x:c r="AM168" s="100" t="n"/>
      <x:c r="AO168" s="100" t="n"/>
    </x:row>
    <x:row r="169" s="27" customFormat="1">
      <x:c r="A169" s="38" t="n"/>
      <x:c r="B169" s="37" t="n"/>
      <x:c r="C169" s="36" t="n">
        <x:f>E169*D$5</x:f>
        <x:v>0</x:v>
      </x:c>
      <x:c r="D169" s="20" t="n"/>
      <x:c r="E169" s="36" t="n">
        <x:f>SUM(G169:HT169)</x:f>
        <x:v>0</x:v>
      </x:c>
      <x:c r="R169" s="100" t="n"/>
      <x:c r="S169" s="100" t="n"/>
      <x:c r="AE169" s="100" t="n"/>
      <x:c r="AF169" s="100" t="n"/>
      <x:c r="AG169" s="100" t="n"/>
      <x:c r="AH169" s="100" t="n"/>
      <x:c r="AI169" s="100" t="n"/>
      <x:c r="AJ169" s="100" t="n"/>
      <x:c r="AK169" s="100" t="n"/>
      <x:c r="AM169" s="100" t="n"/>
      <x:c r="AO169" s="100" t="n"/>
    </x:row>
    <x:row r="170" s="27" customFormat="1">
      <x:c r="A170" s="38" t="n"/>
      <x:c r="B170" s="37" t="n"/>
      <x:c r="C170" s="36" t="n">
        <x:f>E170*D$5</x:f>
        <x:v>0</x:v>
      </x:c>
      <x:c r="D170" s="20" t="n"/>
      <x:c r="E170" s="36" t="n">
        <x:f>SUM(G170:HT170)</x:f>
        <x:v>0</x:v>
      </x:c>
      <x:c r="R170" s="100" t="n"/>
      <x:c r="S170" s="100" t="n"/>
      <x:c r="AE170" s="100" t="n"/>
      <x:c r="AF170" s="100" t="n"/>
      <x:c r="AG170" s="100" t="n"/>
      <x:c r="AH170" s="100" t="n"/>
      <x:c r="AI170" s="100" t="n"/>
      <x:c r="AJ170" s="100" t="n"/>
      <x:c r="AK170" s="100" t="n"/>
      <x:c r="AM170" s="100" t="n"/>
      <x:c r="AO170" s="100" t="n"/>
    </x:row>
    <x:row r="171" s="27" customFormat="1">
      <x:c r="A171" s="38" t="n"/>
      <x:c r="B171" s="37" t="n"/>
      <x:c r="C171" s="36" t="n">
        <x:f>E171*D$5</x:f>
        <x:v>0</x:v>
      </x:c>
      <x:c r="D171" s="20" t="n"/>
      <x:c r="E171" s="36" t="n">
        <x:f>SUM(G171:HT171)</x:f>
        <x:v>0</x:v>
      </x:c>
      <x:c r="R171" s="100" t="n"/>
      <x:c r="S171" s="100" t="n"/>
      <x:c r="AE171" s="100" t="n"/>
      <x:c r="AF171" s="100" t="n"/>
      <x:c r="AG171" s="100" t="n"/>
      <x:c r="AH171" s="100" t="n"/>
      <x:c r="AI171" s="100" t="n"/>
      <x:c r="AJ171" s="100" t="n"/>
      <x:c r="AK171" s="100" t="n"/>
      <x:c r="AM171" s="100" t="n"/>
      <x:c r="AO171" s="100" t="n"/>
    </x:row>
    <x:row r="172" s="27" customFormat="1">
      <x:c r="A172" s="38" t="n"/>
      <x:c r="B172" s="37" t="n"/>
      <x:c r="C172" s="36" t="n">
        <x:f>E172*D$5</x:f>
        <x:v>0</x:v>
      </x:c>
      <x:c r="D172" s="20" t="n"/>
      <x:c r="E172" s="36" t="n">
        <x:f>SUM(G172:HT172)</x:f>
        <x:v>0</x:v>
      </x:c>
      <x:c r="R172" s="100" t="n"/>
      <x:c r="S172" s="100" t="n"/>
      <x:c r="AE172" s="100" t="n"/>
      <x:c r="AF172" s="100" t="n"/>
      <x:c r="AG172" s="100" t="n"/>
      <x:c r="AH172" s="100" t="n"/>
      <x:c r="AI172" s="100" t="n"/>
      <x:c r="AJ172" s="100" t="n"/>
      <x:c r="AK172" s="100" t="n"/>
      <x:c r="AM172" s="100" t="n"/>
      <x:c r="AO172" s="100" t="n"/>
    </x:row>
    <x:row r="173" s="27" customFormat="1">
      <x:c r="A173" s="38" t="n"/>
      <x:c r="B173" s="37" t="n"/>
      <x:c r="C173" s="36" t="n">
        <x:f>E173*D$5</x:f>
        <x:v>0</x:v>
      </x:c>
      <x:c r="D173" s="20" t="n"/>
      <x:c r="E173" s="36" t="n">
        <x:f>SUM(G173:HT173)</x:f>
        <x:v>0</x:v>
      </x:c>
      <x:c r="R173" s="100" t="n"/>
      <x:c r="S173" s="100" t="n"/>
      <x:c r="AE173" s="100" t="n"/>
      <x:c r="AF173" s="100" t="n"/>
      <x:c r="AG173" s="100" t="n"/>
      <x:c r="AH173" s="100" t="n"/>
      <x:c r="AI173" s="100" t="n"/>
      <x:c r="AJ173" s="100" t="n"/>
      <x:c r="AK173" s="100" t="n"/>
      <x:c r="AM173" s="100" t="n"/>
      <x:c r="AO173" s="100" t="n"/>
    </x:row>
    <x:row r="174" s="27" customFormat="1">
      <x:c r="A174" s="38" t="n"/>
      <x:c r="B174" s="37" t="n"/>
      <x:c r="C174" s="36" t="n">
        <x:f>E174*D$5</x:f>
        <x:v>0</x:v>
      </x:c>
      <x:c r="D174" s="20" t="n"/>
      <x:c r="E174" s="36" t="n">
        <x:f>SUM(G174:HT174)</x:f>
        <x:v>0</x:v>
      </x:c>
      <x:c r="R174" s="100" t="n"/>
      <x:c r="S174" s="100" t="n"/>
      <x:c r="AE174" s="100" t="n"/>
      <x:c r="AF174" s="100" t="n"/>
      <x:c r="AG174" s="100" t="n"/>
      <x:c r="AH174" s="100" t="n"/>
      <x:c r="AI174" s="100" t="n"/>
      <x:c r="AJ174" s="100" t="n"/>
      <x:c r="AK174" s="100" t="n"/>
      <x:c r="AM174" s="100" t="n"/>
      <x:c r="AO174" s="100" t="n"/>
    </x:row>
    <x:row r="175" s="27" customFormat="1">
      <x:c r="A175" s="38" t="n"/>
      <x:c r="B175" s="37" t="n"/>
      <x:c r="C175" s="36" t="n">
        <x:f>E175*D$5</x:f>
        <x:v>0</x:v>
      </x:c>
      <x:c r="D175" s="20" t="n"/>
      <x:c r="E175" s="36" t="n">
        <x:f>SUM(G175:HT175)</x:f>
        <x:v>0</x:v>
      </x:c>
      <x:c r="R175" s="100" t="n"/>
      <x:c r="S175" s="100" t="n"/>
      <x:c r="AE175" s="100" t="n"/>
      <x:c r="AF175" s="100" t="n"/>
      <x:c r="AG175" s="100" t="n"/>
      <x:c r="AH175" s="100" t="n"/>
      <x:c r="AI175" s="100" t="n"/>
      <x:c r="AJ175" s="100" t="n"/>
      <x:c r="AK175" s="100" t="n"/>
      <x:c r="AM175" s="100" t="n"/>
      <x:c r="AO175" s="100" t="n"/>
    </x:row>
    <x:row r="176" s="27" customFormat="1">
      <x:c r="A176" s="38" t="n"/>
      <x:c r="B176" s="37" t="n"/>
      <x:c r="C176" s="36" t="n">
        <x:f>E176*D$5</x:f>
        <x:v>0</x:v>
      </x:c>
      <x:c r="D176" s="20" t="n"/>
      <x:c r="E176" s="36" t="n">
        <x:f>SUM(G176:HT176)</x:f>
        <x:v>0</x:v>
      </x:c>
      <x:c r="R176" s="100" t="n"/>
      <x:c r="S176" s="100" t="n"/>
      <x:c r="AE176" s="100" t="n"/>
      <x:c r="AF176" s="100" t="n"/>
      <x:c r="AG176" s="100" t="n"/>
      <x:c r="AH176" s="100" t="n"/>
      <x:c r="AI176" s="100" t="n"/>
      <x:c r="AJ176" s="100" t="n"/>
      <x:c r="AK176" s="100" t="n"/>
      <x:c r="AM176" s="100" t="n"/>
      <x:c r="AO176" s="100" t="n"/>
    </x:row>
    <x:row r="177" s="27" customFormat="1">
      <x:c r="A177" s="38" t="n"/>
      <x:c r="B177" s="37" t="n"/>
      <x:c r="C177" s="36" t="n">
        <x:f>E177*D$5</x:f>
        <x:v>0</x:v>
      </x:c>
      <x:c r="D177" s="20" t="n"/>
      <x:c r="E177" s="36" t="n">
        <x:f>SUM(G177:HT177)</x:f>
        <x:v>0</x:v>
      </x:c>
      <x:c r="R177" s="100" t="n"/>
      <x:c r="S177" s="100" t="n"/>
      <x:c r="AE177" s="100" t="n"/>
      <x:c r="AF177" s="100" t="n"/>
      <x:c r="AG177" s="100" t="n"/>
      <x:c r="AH177" s="100" t="n"/>
      <x:c r="AI177" s="100" t="n"/>
      <x:c r="AJ177" s="100" t="n"/>
      <x:c r="AK177" s="100" t="n"/>
      <x:c r="AM177" s="100" t="n"/>
      <x:c r="AO177" s="100" t="n"/>
    </x:row>
    <x:row r="178" s="27" customFormat="1">
      <x:c r="A178" s="38" t="n"/>
      <x:c r="B178" s="37" t="n"/>
      <x:c r="C178" s="36" t="n">
        <x:f>E178*D$5</x:f>
        <x:v>0</x:v>
      </x:c>
      <x:c r="D178" s="20" t="n"/>
      <x:c r="E178" s="36" t="n">
        <x:f>SUM(G178:HT178)</x:f>
        <x:v>0</x:v>
      </x:c>
      <x:c r="R178" s="100" t="n"/>
      <x:c r="S178" s="100" t="n"/>
      <x:c r="AE178" s="100" t="n"/>
      <x:c r="AF178" s="100" t="n"/>
      <x:c r="AG178" s="100" t="n"/>
      <x:c r="AH178" s="100" t="n"/>
      <x:c r="AI178" s="100" t="n"/>
      <x:c r="AJ178" s="100" t="n"/>
      <x:c r="AK178" s="100" t="n"/>
      <x:c r="AM178" s="100" t="n"/>
      <x:c r="AO178" s="100" t="n"/>
    </x:row>
    <x:row r="179" s="27" customFormat="1">
      <x:c r="A179" s="38" t="n"/>
      <x:c r="B179" s="37" t="n"/>
      <x:c r="C179" s="36" t="n">
        <x:f>E179*D$5</x:f>
        <x:v>0</x:v>
      </x:c>
      <x:c r="D179" s="20" t="n"/>
      <x:c r="E179" s="36" t="n">
        <x:f>SUM(G179:HT179)</x:f>
        <x:v>0</x:v>
      </x:c>
      <x:c r="R179" s="100" t="n"/>
      <x:c r="S179" s="100" t="n"/>
      <x:c r="AE179" s="100" t="n"/>
      <x:c r="AF179" s="100" t="n"/>
      <x:c r="AG179" s="100" t="n"/>
      <x:c r="AH179" s="100" t="n"/>
      <x:c r="AI179" s="100" t="n"/>
      <x:c r="AJ179" s="100" t="n"/>
      <x:c r="AK179" s="100" t="n"/>
      <x:c r="AM179" s="100" t="n"/>
      <x:c r="AO179" s="100" t="n"/>
    </x:row>
    <x:row r="180" s="27" customFormat="1">
      <x:c r="A180" s="38" t="n"/>
      <x:c r="B180" s="37" t="n"/>
      <x:c r="C180" s="36" t="n">
        <x:f>E180*D$5</x:f>
        <x:v>0</x:v>
      </x:c>
      <x:c r="D180" s="20" t="n"/>
      <x:c r="E180" s="36" t="n">
        <x:f>SUM(G180:HT180)</x:f>
        <x:v>0</x:v>
      </x:c>
      <x:c r="R180" s="100" t="n"/>
      <x:c r="S180" s="100" t="n"/>
      <x:c r="AE180" s="100" t="n"/>
      <x:c r="AF180" s="100" t="n"/>
      <x:c r="AG180" s="100" t="n"/>
      <x:c r="AH180" s="100" t="n"/>
      <x:c r="AI180" s="100" t="n"/>
      <x:c r="AJ180" s="100" t="n"/>
      <x:c r="AK180" s="100" t="n"/>
      <x:c r="AM180" s="100" t="n"/>
      <x:c r="AO180" s="100" t="n"/>
    </x:row>
    <x:row r="181" s="27" customFormat="1">
      <x:c r="A181" s="38" t="n"/>
      <x:c r="B181" s="37" t="n"/>
      <x:c r="C181" s="36" t="n">
        <x:f>E181*D$5</x:f>
        <x:v>0</x:v>
      </x:c>
      <x:c r="D181" s="20" t="n"/>
      <x:c r="E181" s="36" t="n">
        <x:f>SUM(G181:HT181)</x:f>
        <x:v>0</x:v>
      </x:c>
      <x:c r="R181" s="100" t="n"/>
      <x:c r="S181" s="100" t="n"/>
      <x:c r="AE181" s="100" t="n"/>
      <x:c r="AF181" s="100" t="n"/>
      <x:c r="AG181" s="100" t="n"/>
      <x:c r="AH181" s="100" t="n"/>
      <x:c r="AI181" s="100" t="n"/>
      <x:c r="AJ181" s="100" t="n"/>
      <x:c r="AK181" s="100" t="n"/>
      <x:c r="AM181" s="100" t="n"/>
      <x:c r="AO181" s="100" t="n"/>
    </x:row>
    <x:row r="182" s="27" customFormat="1">
      <x:c r="A182" s="38" t="n"/>
      <x:c r="B182" s="37" t="n"/>
      <x:c r="C182" s="36" t="n">
        <x:f>E182*D$5</x:f>
        <x:v>0</x:v>
      </x:c>
      <x:c r="D182" s="20" t="n"/>
      <x:c r="E182" s="36" t="n">
        <x:f>SUM(G182:HT182)</x:f>
        <x:v>0</x:v>
      </x:c>
      <x:c r="R182" s="100" t="n"/>
      <x:c r="S182" s="100" t="n"/>
      <x:c r="AE182" s="100" t="n"/>
      <x:c r="AF182" s="100" t="n"/>
      <x:c r="AG182" s="100" t="n"/>
      <x:c r="AH182" s="100" t="n"/>
      <x:c r="AI182" s="100" t="n"/>
      <x:c r="AJ182" s="100" t="n"/>
      <x:c r="AK182" s="100" t="n"/>
      <x:c r="AM182" s="100" t="n"/>
      <x:c r="AO182" s="100" t="n"/>
    </x:row>
    <x:row r="183" s="27" customFormat="1">
      <x:c r="A183" s="38" t="n"/>
      <x:c r="B183" s="37" t="n"/>
      <x:c r="C183" s="36" t="n">
        <x:f>E183*D$5</x:f>
        <x:v>0</x:v>
      </x:c>
      <x:c r="D183" s="20" t="n"/>
      <x:c r="E183" s="36" t="n">
        <x:f>SUM(G183:HT183)</x:f>
        <x:v>0</x:v>
      </x:c>
      <x:c r="R183" s="100" t="n"/>
      <x:c r="S183" s="100" t="n"/>
      <x:c r="AE183" s="100" t="n"/>
      <x:c r="AF183" s="100" t="n"/>
      <x:c r="AG183" s="100" t="n"/>
      <x:c r="AH183" s="100" t="n"/>
      <x:c r="AI183" s="100" t="n"/>
      <x:c r="AJ183" s="100" t="n"/>
      <x:c r="AK183" s="100" t="n"/>
      <x:c r="AM183" s="100" t="n"/>
      <x:c r="AO183" s="100" t="n"/>
    </x:row>
    <x:row r="184" s="27" customFormat="1">
      <x:c r="A184" s="38" t="n"/>
      <x:c r="B184" s="37" t="n"/>
      <x:c r="C184" s="36" t="n">
        <x:f>E184*D$5</x:f>
        <x:v>0</x:v>
      </x:c>
      <x:c r="D184" s="20" t="n"/>
      <x:c r="E184" s="36" t="n">
        <x:f>SUM(G184:HT184)</x:f>
        <x:v>0</x:v>
      </x:c>
      <x:c r="R184" s="100" t="n"/>
      <x:c r="S184" s="100" t="n"/>
      <x:c r="AE184" s="100" t="n"/>
      <x:c r="AF184" s="100" t="n"/>
      <x:c r="AG184" s="100" t="n"/>
      <x:c r="AH184" s="100" t="n"/>
      <x:c r="AI184" s="100" t="n"/>
      <x:c r="AJ184" s="100" t="n"/>
      <x:c r="AK184" s="100" t="n"/>
      <x:c r="AM184" s="100" t="n"/>
      <x:c r="AO184" s="100" t="n"/>
    </x:row>
    <x:row r="185" s="27" customFormat="1">
      <x:c r="A185" s="38" t="n"/>
      <x:c r="B185" s="37" t="n"/>
      <x:c r="C185" s="36" t="n">
        <x:f>E185*D$5</x:f>
        <x:v>0</x:v>
      </x:c>
      <x:c r="D185" s="20" t="n"/>
      <x:c r="E185" s="36" t="n">
        <x:f>SUM(G185:HT185)</x:f>
        <x:v>0</x:v>
      </x:c>
      <x:c r="R185" s="100" t="n"/>
      <x:c r="S185" s="100" t="n"/>
      <x:c r="AE185" s="100" t="n"/>
      <x:c r="AF185" s="100" t="n"/>
      <x:c r="AG185" s="100" t="n"/>
      <x:c r="AH185" s="100" t="n"/>
      <x:c r="AI185" s="100" t="n"/>
      <x:c r="AJ185" s="100" t="n"/>
      <x:c r="AK185" s="100" t="n"/>
      <x:c r="AM185" s="100" t="n"/>
      <x:c r="AO185" s="100" t="n"/>
    </x:row>
    <x:row r="186" s="27" customFormat="1">
      <x:c r="A186" s="38" t="n"/>
      <x:c r="B186" s="37" t="n"/>
      <x:c r="C186" s="36" t="n">
        <x:f>E186*D$5</x:f>
        <x:v>0</x:v>
      </x:c>
      <x:c r="D186" s="20" t="n"/>
      <x:c r="E186" s="36" t="n">
        <x:f>SUM(G186:HT186)</x:f>
        <x:v>0</x:v>
      </x:c>
      <x:c r="R186" s="100" t="n"/>
      <x:c r="S186" s="100" t="n"/>
      <x:c r="AE186" s="100" t="n"/>
      <x:c r="AF186" s="100" t="n"/>
      <x:c r="AG186" s="100" t="n"/>
      <x:c r="AH186" s="100" t="n"/>
      <x:c r="AI186" s="100" t="n"/>
      <x:c r="AJ186" s="100" t="n"/>
      <x:c r="AK186" s="100" t="n"/>
      <x:c r="AM186" s="100" t="n"/>
      <x:c r="AO186" s="100" t="n"/>
    </x:row>
    <x:row r="187" s="27" customFormat="1">
      <x:c r="A187" s="38" t="n"/>
      <x:c r="B187" s="37" t="n"/>
      <x:c r="C187" s="36" t="n">
        <x:f>E187*D$5</x:f>
        <x:v>0</x:v>
      </x:c>
      <x:c r="D187" s="20" t="n"/>
      <x:c r="E187" s="36" t="n">
        <x:f>SUM(G187:HT187)</x:f>
        <x:v>0</x:v>
      </x:c>
      <x:c r="R187" s="100" t="n"/>
      <x:c r="S187" s="100" t="n"/>
      <x:c r="AE187" s="100" t="n"/>
      <x:c r="AF187" s="100" t="n"/>
      <x:c r="AG187" s="100" t="n"/>
      <x:c r="AH187" s="100" t="n"/>
      <x:c r="AI187" s="100" t="n"/>
      <x:c r="AJ187" s="100" t="n"/>
      <x:c r="AK187" s="100" t="n"/>
      <x:c r="AM187" s="100" t="n"/>
      <x:c r="AO187" s="100" t="n"/>
    </x:row>
    <x:row r="188" s="27" customFormat="1">
      <x:c r="A188" s="38" t="n"/>
      <x:c r="B188" s="37" t="n"/>
      <x:c r="C188" s="36" t="n">
        <x:f>E188*D$5</x:f>
        <x:v>0</x:v>
      </x:c>
      <x:c r="D188" s="20" t="n"/>
      <x:c r="E188" s="36" t="n">
        <x:f>SUM(G188:HT188)</x:f>
        <x:v>0</x:v>
      </x:c>
      <x:c r="R188" s="100" t="n"/>
      <x:c r="S188" s="100" t="n"/>
      <x:c r="AE188" s="100" t="n"/>
      <x:c r="AF188" s="100" t="n"/>
      <x:c r="AG188" s="100" t="n"/>
      <x:c r="AH188" s="100" t="n"/>
      <x:c r="AI188" s="100" t="n"/>
      <x:c r="AJ188" s="100" t="n"/>
      <x:c r="AK188" s="100" t="n"/>
      <x:c r="AM188" s="100" t="n"/>
      <x:c r="AO188" s="100" t="n"/>
    </x:row>
    <x:row r="189" s="27" customFormat="1">
      <x:c r="A189" s="38" t="n"/>
      <x:c r="B189" s="37" t="n"/>
      <x:c r="C189" s="36" t="n">
        <x:f>E189*D$5</x:f>
        <x:v>0</x:v>
      </x:c>
      <x:c r="D189" s="20" t="n"/>
      <x:c r="E189" s="36" t="n">
        <x:f>SUM(G189:HT189)</x:f>
        <x:v>0</x:v>
      </x:c>
      <x:c r="R189" s="100" t="n"/>
      <x:c r="S189" s="100" t="n"/>
      <x:c r="AE189" s="100" t="n"/>
      <x:c r="AF189" s="100" t="n"/>
      <x:c r="AG189" s="100" t="n"/>
      <x:c r="AH189" s="100" t="n"/>
      <x:c r="AI189" s="100" t="n"/>
      <x:c r="AJ189" s="100" t="n"/>
      <x:c r="AK189" s="100" t="n"/>
      <x:c r="AM189" s="100" t="n"/>
      <x:c r="AO189" s="100" t="n"/>
    </x:row>
    <x:row r="190" s="27" customFormat="1">
      <x:c r="A190" s="38" t="n"/>
      <x:c r="B190" s="37" t="n"/>
      <x:c r="C190" s="36" t="n">
        <x:f>E190*D$5</x:f>
        <x:v>0</x:v>
      </x:c>
      <x:c r="D190" s="20" t="n"/>
      <x:c r="E190" s="36" t="n">
        <x:f>SUM(G190:HT190)</x:f>
        <x:v>0</x:v>
      </x:c>
      <x:c r="R190" s="100" t="n"/>
      <x:c r="S190" s="100" t="n"/>
      <x:c r="AE190" s="100" t="n"/>
      <x:c r="AF190" s="100" t="n"/>
      <x:c r="AG190" s="100" t="n"/>
      <x:c r="AH190" s="100" t="n"/>
      <x:c r="AI190" s="100" t="n"/>
      <x:c r="AJ190" s="100" t="n"/>
      <x:c r="AK190" s="100" t="n"/>
      <x:c r="AM190" s="100" t="n"/>
      <x:c r="AO190" s="100" t="n"/>
    </x:row>
    <x:row r="191" s="27" customFormat="1">
      <x:c r="A191" s="38" t="n"/>
      <x:c r="B191" s="37" t="n"/>
      <x:c r="C191" s="36" t="n">
        <x:f>E191*D$5</x:f>
        <x:v>0</x:v>
      </x:c>
      <x:c r="D191" s="20" t="n"/>
      <x:c r="E191" s="36" t="n">
        <x:f>SUM(G191:HT191)</x:f>
        <x:v>0</x:v>
      </x:c>
      <x:c r="R191" s="100" t="n"/>
      <x:c r="S191" s="100" t="n"/>
      <x:c r="AE191" s="100" t="n"/>
      <x:c r="AF191" s="100" t="n"/>
      <x:c r="AG191" s="100" t="n"/>
      <x:c r="AH191" s="100" t="n"/>
      <x:c r="AI191" s="100" t="n"/>
      <x:c r="AJ191" s="100" t="n"/>
      <x:c r="AK191" s="100" t="n"/>
      <x:c r="AM191" s="100" t="n"/>
      <x:c r="AO191" s="100" t="n"/>
    </x:row>
    <x:row r="192" s="27" customFormat="1">
      <x:c r="A192" s="38" t="n"/>
      <x:c r="B192" s="37" t="n"/>
      <x:c r="C192" s="36" t="n">
        <x:f>E192*D$5</x:f>
        <x:v>0</x:v>
      </x:c>
      <x:c r="D192" s="20" t="n"/>
      <x:c r="E192" s="36" t="n">
        <x:f>SUM(G192:HT192)</x:f>
        <x:v>0</x:v>
      </x:c>
      <x:c r="R192" s="100" t="n"/>
      <x:c r="S192" s="100" t="n"/>
      <x:c r="AE192" s="100" t="n"/>
      <x:c r="AF192" s="100" t="n"/>
      <x:c r="AG192" s="100" t="n"/>
      <x:c r="AH192" s="100" t="n"/>
      <x:c r="AI192" s="100" t="n"/>
      <x:c r="AJ192" s="100" t="n"/>
      <x:c r="AK192" s="100" t="n"/>
      <x:c r="AM192" s="100" t="n"/>
      <x:c r="AO192" s="100" t="n"/>
    </x:row>
    <x:row r="193" s="27" customFormat="1">
      <x:c r="A193" s="38" t="n"/>
      <x:c r="B193" s="37" t="n"/>
      <x:c r="C193" s="36" t="n">
        <x:f>E193*D$5</x:f>
        <x:v>0</x:v>
      </x:c>
      <x:c r="D193" s="20" t="n"/>
      <x:c r="E193" s="36" t="n">
        <x:f>SUM(G193:HT193)</x:f>
        <x:v>0</x:v>
      </x:c>
      <x:c r="R193" s="100" t="n"/>
      <x:c r="S193" s="100" t="n"/>
      <x:c r="AE193" s="100" t="n"/>
      <x:c r="AF193" s="100" t="n"/>
      <x:c r="AG193" s="100" t="n"/>
      <x:c r="AH193" s="100" t="n"/>
      <x:c r="AI193" s="100" t="n"/>
      <x:c r="AJ193" s="100" t="n"/>
      <x:c r="AK193" s="100" t="n"/>
      <x:c r="AM193" s="100" t="n"/>
      <x:c r="AO193" s="100" t="n"/>
    </x:row>
    <x:row r="194" s="27" customFormat="1">
      <x:c r="A194" s="38" t="n"/>
      <x:c r="B194" s="37" t="n"/>
      <x:c r="C194" s="36" t="n">
        <x:f>E194*D$5</x:f>
        <x:v>0</x:v>
      </x:c>
      <x:c r="D194" s="20" t="n"/>
      <x:c r="E194" s="36" t="n">
        <x:f>SUM(G194:HT194)</x:f>
        <x:v>0</x:v>
      </x:c>
      <x:c r="R194" s="100" t="n"/>
      <x:c r="S194" s="100" t="n"/>
      <x:c r="AE194" s="100" t="n"/>
      <x:c r="AF194" s="100" t="n"/>
      <x:c r="AG194" s="100" t="n"/>
      <x:c r="AH194" s="100" t="n"/>
      <x:c r="AI194" s="100" t="n"/>
      <x:c r="AJ194" s="100" t="n"/>
      <x:c r="AK194" s="100" t="n"/>
      <x:c r="AM194" s="100" t="n"/>
      <x:c r="AO194" s="100" t="n"/>
    </x:row>
    <x:row r="195" s="27" customFormat="1">
      <x:c r="A195" s="38" t="n"/>
      <x:c r="B195" s="37" t="n"/>
      <x:c r="C195" s="36" t="n">
        <x:f>E195*D$5</x:f>
        <x:v>0</x:v>
      </x:c>
      <x:c r="D195" s="20" t="n"/>
      <x:c r="E195" s="36" t="n">
        <x:f>SUM(G195:HT195)</x:f>
        <x:v>0</x:v>
      </x:c>
      <x:c r="R195" s="100" t="n"/>
      <x:c r="S195" s="100" t="n"/>
      <x:c r="AE195" s="100" t="n"/>
      <x:c r="AF195" s="100" t="n"/>
      <x:c r="AG195" s="100" t="n"/>
      <x:c r="AH195" s="100" t="n"/>
      <x:c r="AI195" s="100" t="n"/>
      <x:c r="AJ195" s="100" t="n"/>
      <x:c r="AK195" s="100" t="n"/>
      <x:c r="AM195" s="100" t="n"/>
      <x:c r="AO195" s="100" t="n"/>
    </x:row>
    <x:row r="196" s="27" customFormat="1">
      <x:c r="A196" s="38" t="n"/>
      <x:c r="B196" s="37" t="n"/>
      <x:c r="C196" s="36" t="n">
        <x:f>E196*D$5</x:f>
        <x:v>0</x:v>
      </x:c>
      <x:c r="D196" s="20" t="n"/>
      <x:c r="E196" s="36" t="n">
        <x:f>SUM(G196:HT196)</x:f>
        <x:v>0</x:v>
      </x:c>
      <x:c r="R196" s="100" t="n"/>
      <x:c r="S196" s="100" t="n"/>
      <x:c r="AE196" s="100" t="n"/>
      <x:c r="AF196" s="100" t="n"/>
      <x:c r="AG196" s="100" t="n"/>
      <x:c r="AH196" s="100" t="n"/>
      <x:c r="AI196" s="100" t="n"/>
      <x:c r="AJ196" s="100" t="n"/>
      <x:c r="AK196" s="100" t="n"/>
      <x:c r="AM196" s="100" t="n"/>
      <x:c r="AO196" s="100" t="n"/>
    </x:row>
    <x:row r="197" s="27" customFormat="1">
      <x:c r="A197" s="38" t="n"/>
      <x:c r="B197" s="37" t="n"/>
      <x:c r="C197" s="36" t="n">
        <x:f>E197*D$5</x:f>
        <x:v>0</x:v>
      </x:c>
      <x:c r="D197" s="20" t="n"/>
      <x:c r="E197" s="36" t="n">
        <x:f>SUM(G197:HT197)</x:f>
        <x:v>0</x:v>
      </x:c>
      <x:c r="R197" s="100" t="n"/>
      <x:c r="S197" s="100" t="n"/>
      <x:c r="AE197" s="100" t="n"/>
      <x:c r="AF197" s="100" t="n"/>
      <x:c r="AG197" s="100" t="n"/>
      <x:c r="AH197" s="100" t="n"/>
      <x:c r="AI197" s="100" t="n"/>
      <x:c r="AJ197" s="100" t="n"/>
      <x:c r="AK197" s="100" t="n"/>
      <x:c r="AM197" s="100" t="n"/>
      <x:c r="AO197" s="100" t="n"/>
    </x:row>
    <x:row r="198" s="27" customFormat="1">
      <x:c r="A198" s="38" t="n"/>
      <x:c r="B198" s="37" t="n"/>
      <x:c r="C198" s="36" t="n">
        <x:f>E198*D$5</x:f>
        <x:v>0</x:v>
      </x:c>
      <x:c r="D198" s="20" t="n"/>
      <x:c r="E198" s="36" t="n">
        <x:f>SUM(G198:HT198)</x:f>
        <x:v>0</x:v>
      </x:c>
      <x:c r="R198" s="100" t="n"/>
      <x:c r="S198" s="100" t="n"/>
      <x:c r="AE198" s="100" t="n"/>
      <x:c r="AF198" s="100" t="n"/>
      <x:c r="AG198" s="100" t="n"/>
      <x:c r="AH198" s="100" t="n"/>
      <x:c r="AI198" s="100" t="n"/>
      <x:c r="AJ198" s="100" t="n"/>
      <x:c r="AK198" s="100" t="n"/>
      <x:c r="AM198" s="100" t="n"/>
      <x:c r="AO198" s="100" t="n"/>
    </x:row>
    <x:row r="199" s="27" customFormat="1">
      <x:c r="A199" s="38" t="n"/>
      <x:c r="B199" s="37" t="n"/>
      <x:c r="C199" s="36" t="n">
        <x:f>E199*D$5</x:f>
        <x:v>0</x:v>
      </x:c>
      <x:c r="D199" s="20" t="n"/>
      <x:c r="E199" s="36" t="n">
        <x:f>SUM(G199:HT199)</x:f>
        <x:v>0</x:v>
      </x:c>
      <x:c r="R199" s="100" t="n"/>
      <x:c r="S199" s="100" t="n"/>
      <x:c r="AE199" s="100" t="n"/>
      <x:c r="AF199" s="100" t="n"/>
      <x:c r="AG199" s="100" t="n"/>
      <x:c r="AH199" s="100" t="n"/>
      <x:c r="AI199" s="100" t="n"/>
      <x:c r="AJ199" s="100" t="n"/>
      <x:c r="AK199" s="100" t="n"/>
      <x:c r="AM199" s="100" t="n"/>
      <x:c r="AO199" s="100" t="n"/>
    </x:row>
    <x:row r="200" s="27" customFormat="1">
      <x:c r="A200" s="38" t="n"/>
      <x:c r="B200" s="37" t="n"/>
      <x:c r="C200" s="36" t="n">
        <x:f>E200*D$5</x:f>
        <x:v>0</x:v>
      </x:c>
      <x:c r="D200" s="20" t="n"/>
      <x:c r="E200" s="36" t="n">
        <x:f>SUM(G200:HT200)</x:f>
        <x:v>0</x:v>
      </x:c>
      <x:c r="R200" s="100" t="n"/>
      <x:c r="S200" s="100" t="n"/>
      <x:c r="AE200" s="100" t="n"/>
      <x:c r="AF200" s="100" t="n"/>
      <x:c r="AG200" s="100" t="n"/>
      <x:c r="AH200" s="100" t="n"/>
      <x:c r="AI200" s="100" t="n"/>
      <x:c r="AJ200" s="100" t="n"/>
      <x:c r="AK200" s="100" t="n"/>
      <x:c r="AM200" s="100" t="n"/>
      <x:c r="AO200" s="100" t="n"/>
    </x:row>
    <x:row r="201" s="27" customFormat="1">
      <x:c r="A201" s="38" t="n"/>
      <x:c r="B201" s="37" t="n"/>
      <x:c r="C201" s="36" t="n">
        <x:f>E201*D$5</x:f>
        <x:v>0</x:v>
      </x:c>
      <x:c r="D201" s="20" t="n"/>
      <x:c r="E201" s="36" t="n">
        <x:f>SUM(G201:HT201)</x:f>
        <x:v>0</x:v>
      </x:c>
      <x:c r="R201" s="100" t="n"/>
      <x:c r="S201" s="100" t="n"/>
      <x:c r="AE201" s="100" t="n"/>
      <x:c r="AF201" s="100" t="n"/>
      <x:c r="AG201" s="100" t="n"/>
      <x:c r="AH201" s="100" t="n"/>
      <x:c r="AI201" s="100" t="n"/>
      <x:c r="AJ201" s="100" t="n"/>
      <x:c r="AK201" s="100" t="n"/>
      <x:c r="AM201" s="100" t="n"/>
      <x:c r="AO201" s="100" t="n"/>
    </x:row>
    <x:row r="202" s="27" customFormat="1">
      <x:c r="A202" s="38" t="n"/>
      <x:c r="B202" s="37" t="n"/>
      <x:c r="C202" s="36" t="n">
        <x:f>E202*D$5</x:f>
        <x:v>0</x:v>
      </x:c>
      <x:c r="D202" s="20" t="n"/>
      <x:c r="E202" s="36" t="n">
        <x:f>SUM(G202:HT202)</x:f>
        <x:v>0</x:v>
      </x:c>
      <x:c r="R202" s="100" t="n"/>
      <x:c r="S202" s="100" t="n"/>
      <x:c r="AE202" s="100" t="n"/>
      <x:c r="AF202" s="100" t="n"/>
      <x:c r="AG202" s="100" t="n"/>
      <x:c r="AH202" s="100" t="n"/>
      <x:c r="AI202" s="100" t="n"/>
      <x:c r="AJ202" s="100" t="n"/>
      <x:c r="AK202" s="100" t="n"/>
      <x:c r="AM202" s="100" t="n"/>
      <x:c r="AO202" s="100" t="n"/>
    </x:row>
    <x:row r="203" s="27" customFormat="1">
      <x:c r="A203" s="38" t="n"/>
      <x:c r="B203" s="37" t="n"/>
      <x:c r="C203" s="36" t="n">
        <x:f>E203*D$5</x:f>
        <x:v>0</x:v>
      </x:c>
      <x:c r="D203" s="20" t="n"/>
      <x:c r="E203" s="36" t="n">
        <x:f>SUM(G203:HT203)</x:f>
        <x:v>0</x:v>
      </x:c>
      <x:c r="R203" s="100" t="n"/>
      <x:c r="S203" s="100" t="n"/>
      <x:c r="AE203" s="100" t="n"/>
      <x:c r="AF203" s="100" t="n"/>
      <x:c r="AG203" s="100" t="n"/>
      <x:c r="AH203" s="100" t="n"/>
      <x:c r="AI203" s="100" t="n"/>
      <x:c r="AJ203" s="100" t="n"/>
      <x:c r="AK203" s="100" t="n"/>
      <x:c r="AM203" s="102" t="n"/>
      <x:c r="AO203" s="100" t="n"/>
    </x:row>
    <x:row r="204" s="29" customFormat="1">
      <x:c r="A204" s="34" t="n"/>
      <x:c r="B204" s="33" t="n"/>
      <x:c r="C204" s="32" t="n"/>
      <x:c r="D204" s="31" t="n"/>
      <x:c r="E204" s="30" t="n"/>
      <x:c r="R204" s="100" t="n"/>
      <x:c r="S204" s="100" t="n"/>
      <x:c r="AE204" s="100" t="n"/>
      <x:c r="AF204" s="100" t="n"/>
      <x:c r="AG204" s="100" t="n"/>
      <x:c r="AH204" s="100" t="n"/>
      <x:c r="AI204" s="100" t="n"/>
      <x:c r="AJ204" s="100" t="n"/>
      <x:c r="AK204" s="100" t="n"/>
      <x:c r="AM204" s="95" t="n"/>
      <x:c r="AO204" s="100" t="n"/>
    </x:row>
    <x:row r="205" s="26" customFormat="1">
      <x:c r="A205" s="25" t="n"/>
      <x:c r="B205" s="24" t="n"/>
      <x:c r="C205" s="23" t="n"/>
      <x:c r="D205" s="22" t="n"/>
      <x:c r="E205" s="21" t="n"/>
      <x:c r="R205" s="100" t="n"/>
      <x:c r="S205" s="100" t="n"/>
      <x:c r="AE205" s="100" t="n"/>
      <x:c r="AF205" s="100" t="n"/>
      <x:c r="AG205" s="100" t="n"/>
      <x:c r="AH205" s="100" t="n"/>
      <x:c r="AI205" s="100" t="n"/>
      <x:c r="AJ205" s="100" t="n"/>
      <x:c r="AK205" s="100" t="n"/>
      <x:c r="AM205" s="95" t="n"/>
      <x:c r="AO205" s="100" t="n"/>
    </x:row>
    <x:row r="206">
      <x:c r="A206" s="25" t="n"/>
      <x:c r="B206" s="24" t="n"/>
      <x:c r="C206" s="23" t="n"/>
      <x:c r="D206" s="22" t="n"/>
      <x:c r="E206" s="21" t="n"/>
      <x:c r="R206" s="100" t="n"/>
      <x:c r="S206" s="100" t="n"/>
      <x:c r="AE206" s="100" t="n"/>
      <x:c r="AF206" s="100" t="n"/>
      <x:c r="AG206" s="100" t="n"/>
      <x:c r="AH206" s="102" t="n"/>
      <x:c r="AI206" s="102" t="n"/>
      <x:c r="AJ206" s="102" t="n"/>
      <x:c r="AK206" s="102" t="n"/>
      <x:c r="AO206" s="102" t="n"/>
    </x:row>
    <x:row r="207">
      <x:c r="R207" s="100" t="n"/>
      <x:c r="S207" s="100" t="n"/>
      <x:c r="AE207" s="102" t="n"/>
      <x:c r="AF207" s="100" t="n"/>
      <x:c r="AG207" s="100" t="n"/>
    </x:row>
    <x:row r="208">
      <x:c r="R208" s="102" t="n"/>
      <x:c r="S208" s="102" t="n"/>
      <x:c r="AF208" s="102" t="n"/>
      <x:c r="AG208" s="100" t="n"/>
    </x:row>
    <x:row r="209">
      <x:c r="AG209" s="100" t="n"/>
    </x:row>
    <x:row r="210">
      <x:c r="AG210" s="100" t="n"/>
    </x:row>
    <x:row r="211">
      <x:c r="AG211" s="100" t="n"/>
    </x:row>
    <x:row r="212">
      <x:c r="AG212" s="102" t="n"/>
    </x:row>
  </x:sheetData>
  <x:mergeCells>
    <x:mergeCell ref="CG7:CG8"/>
    <x:mergeCell ref="EX7:EX8"/>
    <x:mergeCell ref="EZ7:EZ8"/>
    <x:mergeCell ref="DH7:DH8"/>
    <x:mergeCell ref="BR7:BR8"/>
    <x:mergeCell ref="BA7:BA8"/>
    <x:mergeCell ref="BC7:BC8"/>
    <x:mergeCell ref="DT7:DT8"/>
    <x:mergeCell ref="M7:M8"/>
    <x:mergeCell ref="DV7:DV8"/>
    <x:mergeCell ref="FD7:FD8"/>
    <x:mergeCell ref="FV7:FV8"/>
    <x:mergeCell ref="BO7:BO8"/>
    <x:mergeCell ref="FX7:FX8"/>
    <x:mergeCell ref="CI7:CI8"/>
    <x:mergeCell ref="DS7:DS8"/>
    <x:mergeCell ref="E1:F1"/>
    <x:mergeCell ref="P7:P8"/>
    <x:mergeCell ref="AM7:AM8"/>
    <x:mergeCell ref="FF7:FF8"/>
    <x:mergeCell ref="CA7:CA8"/>
    <x:mergeCell ref="T7:T8"/>
    <x:mergeCell ref="V7:V8"/>
    <x:mergeCell ref="CM7:CM8"/>
    <x:mergeCell ref="AN7:AN8"/>
    <x:mergeCell ref="AP7:AP8"/>
    <x:mergeCell ref="AF7:AF8"/>
    <x:mergeCell ref="DG7:DG8"/>
    <x:mergeCell ref="EO7:EO8"/>
    <x:mergeCell ref="AH7:AH8"/>
    <x:mergeCell ref="EQ7:EQ8"/>
    <x:mergeCell ref="D2:D4"/>
    <x:mergeCell ref="FI7:FI8"/>
    <x:mergeCell ref="CJ7:CJ8"/>
    <x:mergeCell ref="BB7:BB8"/>
    <x:mergeCell ref="FA7:FA8"/>
    <x:mergeCell ref="BD7:BD8"/>
    <x:mergeCell ref="FC7:FC8"/>
    <x:mergeCell ref="EN7:EN8"/>
    <x:mergeCell ref="AT7:AT8"/>
    <x:mergeCell ref="DK7:DK8"/>
    <x:mergeCell ref="AV7:AV8"/>
    <x:mergeCell ref="CP7:CP8"/>
    <x:mergeCell ref="DM7:DM8"/>
    <x:mergeCell ref="C6:C7"/>
    <x:mergeCell ref="BF7:BF8"/>
    <x:mergeCell ref="FO7:FO8"/>
    <x:mergeCell ref="BH7:BH8"/>
    <x:mergeCell ref="E3:F3"/>
    <x:mergeCell ref="FQ7:FQ8"/>
    <x:mergeCell ref="DY7:DY8"/>
    <x:mergeCell ref="EA7:EA8"/>
    <x:mergeCell ref="DJ7:DJ8"/>
    <x:mergeCell ref="GA7:GA8"/>
    <x:mergeCell ref="BT7:BT8"/>
    <x:mergeCell ref="B3:C3"/>
    <x:mergeCell ref="A2:A6"/>
    <x:mergeCell ref="E5:F5"/>
    <x:mergeCell ref="G7:G8"/>
    <x:mergeCell ref="DP7:DP8"/>
    <x:mergeCell ref="I7:I8"/>
    <x:mergeCell ref="BI7:BI8"/>
    <x:mergeCell ref="S7:S8"/>
    <x:mergeCell ref="EB7:EB8"/>
    <x:mergeCell ref="U7:U8"/>
    <x:mergeCell ref="FL7:FL8"/>
    <x:mergeCell ref="W7:W8"/>
    <x:mergeCell ref="E4:F4"/>
    <x:mergeCell ref="BW7:BW8"/>
    <x:mergeCell ref="CT7:CT8"/>
    <x:mergeCell ref="B2:C2"/>
    <x:mergeCell ref="CF7:CF8"/>
    <x:mergeCell ref="EF7:EF8"/>
    <x:mergeCell ref="AI7:AI8"/>
    <x:mergeCell ref="Y7:Y8"/>
    <x:mergeCell ref="EH7:EH8"/>
    <x:mergeCell ref="CZ7:CZ8"/>
    <x:mergeCell ref="AA7:AA8"/>
    <x:mergeCell ref="CR7:CR8"/>
    <x:mergeCell ref="AS7:AS8"/>
    <x:mergeCell ref="CC7:CC8"/>
    <x:mergeCell ref="AU7:AU8"/>
    <x:mergeCell ref="ET7:ET8"/>
    <x:mergeCell ref="F6:F8"/>
    <x:mergeCell ref="EV7:EV8"/>
    <x:mergeCell ref="CW7:CW8"/>
    <x:mergeCell ref="FN7:FN8"/>
    <x:mergeCell ref="CO7:CO8"/>
    <x:mergeCell ref="FP7:FP8"/>
    <x:mergeCell ref="DI7:DI8"/>
    <x:mergeCell ref="AY7:AY8"/>
    <x:mergeCell ref="AD7:AD8"/>
    <x:mergeCell ref="CU7:CU8"/>
    <x:mergeCell ref="DR7:DR8"/>
    <x:mergeCell ref="FR7:FR8"/>
    <x:mergeCell ref="BK7:BK8"/>
    <x:mergeCell ref="FT7:FT8"/>
    <x:mergeCell ref="DO7:DO8"/>
    <x:mergeCell ref="BQ7:BQ8"/>
    <x:mergeCell ref="DA7:DA8"/>
    <x:mergeCell ref="L7:L8"/>
    <x:mergeCell ref="DU7:DU8"/>
    <x:mergeCell ref="N7:N8"/>
    <x:mergeCell ref="BN7:BN8"/>
    <x:mergeCell ref="BP7:BP8"/>
    <x:mergeCell ref="EG7:EG8"/>
    <x:mergeCell ref="BZ7:BZ8"/>
    <x:mergeCell ref="CB7:CB8"/>
    <x:mergeCell ref="R7:R8"/>
    <x:mergeCell ref="CE7:CE8"/>
    <x:mergeCell ref="AJ7:AJ8"/>
    <x:mergeCell ref="CK7:CK8"/>
    <x:mergeCell ref="AL7:AL8"/>
    <x:mergeCell ref="EK7:EK8"/>
    <x:mergeCell ref="DC7:DC8"/>
    <x:mergeCell ref="EM7:EM8"/>
    <x:mergeCell ref="CN7:CN8"/>
    <x:mergeCell ref="FE7:FE8"/>
    <x:mergeCell ref="AX7:AX8"/>
    <x:mergeCell ref="FG7:FG8"/>
    <x:mergeCell ref="EW7:EW8"/>
    <x:mergeCell ref="EY7:EY8"/>
    <x:mergeCell ref="DB7:DB8"/>
    <x:mergeCell ref="CL7:CL8"/>
    <x:mergeCell ref="AG7:AG8"/>
    <x:mergeCell ref="EP7:EP8"/>
    <x:mergeCell ref="FW7:FW8"/>
    <x:mergeCell ref="FB7:FB8"/>
    <x:mergeCell ref="FY7:FY8"/>
    <x:mergeCell ref="DL7:DL8"/>
    <x:mergeCell ref="DD7:DD8"/>
    <x:mergeCell ref="BV7:BV8"/>
    <x:mergeCell ref="BE7:BE8"/>
    <x:mergeCell ref="DF7:DF8"/>
    <x:mergeCell ref="BG7:BG8"/>
    <x:mergeCell ref="O7:O8"/>
    <x:mergeCell ref="DX7:DX8"/>
    <x:mergeCell ref="Q7:Q8"/>
    <x:mergeCell ref="FH7:FH8"/>
    <x:mergeCell ref="DZ7:DZ8"/>
    <x:mergeCell ref="FZ7:FZ8"/>
    <x:mergeCell ref="BS7:BS8"/>
    <x:mergeCell ref="EJ7:EJ8"/>
    <x:mergeCell ref="BU7:BU8"/>
    <x:mergeCell ref="DW7:DW8"/>
    <x:mergeCell ref="AR7:AR8"/>
    <x:mergeCell ref="B5:C5"/>
    <x:mergeCell ref="EI7:EI8"/>
    <x:mergeCell ref="ED7:ED8"/>
    <x:mergeCell ref="AO7:AO8"/>
    <x:mergeCell ref="D6:D7"/>
    <x:mergeCell ref="BY7:BY8"/>
    <x:mergeCell ref="AQ7:AQ8"/>
    <x:mergeCell ref="B6:B8"/>
    <x:mergeCell ref="B4:C4"/>
    <x:mergeCell ref="ER7:ER8"/>
    <x:mergeCell ref="CS7:CS8"/>
    <x:mergeCell ref="FJ7:FJ8"/>
    <x:mergeCell ref="DE7:DE8"/>
    <x:mergeCell ref="X7:X8"/>
    <x:mergeCell ref="Z7:Z8"/>
    <x:mergeCell ref="CQ7:CQ8"/>
    <x:mergeCell ref="ES7:ES8"/>
    <x:mergeCell ref="EU7:EU8"/>
    <x:mergeCell ref="BM7:BM8"/>
    <x:mergeCell ref="AZ7:AZ8"/>
    <x:mergeCell ref="H7:H8"/>
    <x:mergeCell ref="DQ7:DQ8"/>
    <x:mergeCell ref="J7:J8"/>
    <x:mergeCell ref="E6:E7"/>
    <x:mergeCell ref="BJ7:BJ8"/>
    <x:mergeCell ref="AB7:AB8"/>
    <x:mergeCell ref="FS7:FS8"/>
    <x:mergeCell ref="BL7:BL8"/>
    <x:mergeCell ref="FU7:FU8"/>
    <x:mergeCell ref="FK7:FK8"/>
    <x:mergeCell ref="EC7:EC8"/>
    <x:mergeCell ref="FM7:FM8"/>
    <x:mergeCell ref="EE7:EE8"/>
    <x:mergeCell ref="DN7:DN8"/>
    <x:mergeCell ref="CD7:CD8"/>
    <x:mergeCell ref="BX7:BX8"/>
    <x:mergeCell ref="E2:F2"/>
    <x:mergeCell ref="K7:K8"/>
    <x:mergeCell ref="CY7:CY8"/>
    <x:mergeCell ref="CX7:CX8"/>
    <x:mergeCell ref="CH7:CH8"/>
    <x:mergeCell ref="AK7:AK8"/>
    <x:mergeCell ref="AC7:AC8"/>
    <x:mergeCell ref="EL7:EL8"/>
    <x:mergeCell ref="AE7:AE8"/>
    <x:mergeCell ref="CV7:CV8"/>
    <x:mergeCell ref="AW7:AW8"/>
  </x:mergeCells>
  <x:pageMargins left="0.7" right="0.7" top="0.75" bottom="0.75" header="0.3" footer="0.3"/>
</x:worksheet>
</file>

<file path=xl/worksheets/sheet15.xml><?xml version="1.0" encoding="utf-8"?>
<x:worksheet xmlns:x="http://schemas.openxmlformats.org/spreadsheetml/2006/main">
  <x:sheetFormatPr baseColWidth="8" defaultColWidth="14.42578125" defaultRowHeight="12.75"/>
  <x:cols>
    <x:col min="1" max="1" width="13.28515625" style="19" customWidth="1"/>
    <x:col min="2" max="2" width="6.85546875" style="18" customWidth="1"/>
    <x:col min="3" max="3" width="12.140625" style="17" customWidth="1"/>
    <x:col min="4" max="4" width="51.42578125" style="16" customWidth="1"/>
    <x:col min="5" max="5" width="11.140625" style="15" customWidth="1"/>
    <x:col min="6" max="6" width="6.85546875" style="13" customWidth="1"/>
    <x:col min="7" max="17" width="13" style="13" customWidth="1"/>
    <x:col min="18" max="19" width="13" style="95" customWidth="1"/>
    <x:col min="20" max="30" width="13" style="13" customWidth="1"/>
    <x:col min="31" max="37" width="13" style="95" customWidth="1"/>
    <x:col min="38" max="38" width="13" style="13" customWidth="1"/>
    <x:col min="39" max="39" width="13" style="95" customWidth="1"/>
    <x:col min="40" max="40" width="13" style="13" customWidth="1"/>
    <x:col min="41" max="41" width="13" style="95" customWidth="1"/>
    <x:col min="42" max="183" width="13" style="13" customWidth="1"/>
    <x:col min="184" max="184" width="13" style="14" customWidth="1"/>
    <x:col min="185" max="187" width="13" style="13" customWidth="1"/>
    <x:col min="188" max="16384" width="14.42578125" style="13" customWidth="1"/>
  </x:cols>
  <x:sheetData>
    <x:row r="1" s="569" customFormat="1" ht="13.5" customHeight="1">
      <x:c r="E1" s="477" t="inlineStr">
        <x:is>
          <x:t xml:space="preserve">Instrument</x:t>
        </x:is>
      </x:c>
      <x:c r="F1" s="592" t="n"/>
      <x:c r="G1" s="63" t="inlineStr">
        <x:is>
          <x:t xml:space="preserve"/>
        </x:is>
      </x:c>
      <x:c r="H1" s="116" t="inlineStr">
        <x:is>
          <x:t xml:space="preserve">PAT</x:t>
        </x:is>
      </x:c>
      <x:c r="I1" s="116" t="inlineStr">
        <x:is>
          <x:t xml:space="preserve">DEED</x:t>
        </x:is>
      </x:c>
      <x:c r="J1" s="116" t="inlineStr">
        <x:is>
          <x:t xml:space="preserve">DECREE</x:t>
        </x:is>
      </x:c>
      <x:c r="K1" s="116" t="inlineStr">
        <x:is>
          <x:t xml:space="preserve">MD</x:t>
        </x:is>
      </x:c>
      <x:c r="L1" s="116" t="inlineStr">
        <x:is>
          <x:t xml:space="preserve">WD</x:t>
        </x:is>
      </x:c>
      <x:c r="M1" s="116" t="inlineStr">
        <x:is>
          <x:t xml:space="preserve">WD</x:t>
        </x:is>
      </x:c>
      <x:c r="N1" s="116" t="inlineStr">
        <x:is>
          <x:t xml:space="preserve">MD</x:t>
        </x:is>
      </x:c>
      <x:c r="O1" s="116" t="inlineStr">
        <x:is>
          <x:t xml:space="preserve">MD</x:t>
        </x:is>
      </x:c>
      <x:c r="P1" s="116" t="inlineStr">
        <x:is>
          <x:t xml:space="preserve">MD</x:t>
        </x:is>
      </x:c>
      <x:c r="Q1" s="116" t="inlineStr">
        <x:is>
          <x:t xml:space="preserve">MD</x:t>
        </x:is>
      </x:c>
      <x:c r="R1" s="116" t="inlineStr">
        <x:is>
          <x:t xml:space="preserve">MD</x:t>
        </x:is>
      </x:c>
      <x:c r="S1" s="116" t="inlineStr">
        <x:is>
          <x:t xml:space="preserve">MD</x:t>
        </x:is>
      </x:c>
      <x:c r="T1" s="116" t="inlineStr">
        <x:is>
          <x:t xml:space="preserve">MD</x:t>
        </x:is>
      </x:c>
      <x:c r="U1" s="116" t="inlineStr">
        <x:is>
          <x:t xml:space="preserve">DECREE</x:t>
        </x:is>
      </x:c>
      <x:c r="V1" s="116" t="inlineStr">
        <x:is>
          <x:t xml:space="preserve">QCD</x:t>
        </x:is>
      </x:c>
      <x:c r="W1" s="116" t="inlineStr">
        <x:is>
          <x:t xml:space="preserve">DEED</x:t>
        </x:is>
      </x:c>
      <x:c r="X1" s="116" t="inlineStr">
        <x:is>
          <x:t xml:space="preserve">MD</x:t>
        </x:is>
      </x:c>
      <x:c r="Y1" s="116" t="inlineStr">
        <x:is>
          <x:t xml:space="preserve">MD</x:t>
        </x:is>
      </x:c>
      <x:c r="Z1" s="116" t="inlineStr">
        <x:is>
          <x:t xml:space="preserve">MD</x:t>
        </x:is>
      </x:c>
      <x:c r="AA1" s="116" t="inlineStr">
        <x:is>
          <x:t xml:space="preserve">QCD</x:t>
        </x:is>
      </x:c>
      <x:c r="AB1" s="116" t="inlineStr">
        <x:is>
          <x:t xml:space="preserve">QCD</x:t>
        </x:is>
      </x:c>
      <x:c r="AC1" s="116" t="inlineStr">
        <x:is>
          <x:t xml:space="preserve">QCD</x:t>
        </x:is>
      </x:c>
      <x:c r="AD1" s="116" t="inlineStr">
        <x:is>
          <x:t xml:space="preserve">QCD</x:t>
        </x:is>
      </x:c>
      <x:c r="AE1" s="116" t="inlineStr">
        <x:is>
          <x:t xml:space="preserve">QCD</x:t>
        </x:is>
      </x:c>
      <x:c r="AF1" s="116" t="inlineStr">
        <x:is>
          <x:t xml:space="preserve">MD</x:t>
        </x:is>
      </x:c>
      <x:c r="AG1" s="116" t="inlineStr">
        <x:is>
          <x:t xml:space="preserve">QCD</x:t>
        </x:is>
      </x:c>
      <x:c r="AH1" s="116" t="inlineStr">
        <x:is>
          <x:t xml:space="preserve">DECREE</x:t>
        </x:is>
      </x:c>
      <x:c r="AI1" s="116" t="inlineStr">
        <x:is>
          <x:t xml:space="preserve">CONV</x:t>
        </x:is>
      </x:c>
      <x:c r="AJ1" s="116" t="inlineStr">
        <x:is>
          <x:t xml:space="preserve">MD</x:t>
        </x:is>
      </x:c>
      <x:c r="AK1" s="116" t="inlineStr">
        <x:is>
          <x:t xml:space="preserve">MD</x:t>
        </x:is>
      </x:c>
      <x:c r="AL1" s="116" t="inlineStr">
        <x:is>
          <x:t xml:space="preserve">ASSGN</x:t>
        </x:is>
      </x:c>
      <x:c r="AM1" s="116" t="inlineStr">
        <x:is>
          <x:t xml:space="preserve">MD</x:t>
        </x:is>
      </x:c>
      <x:c r="AN1" s="116" t="inlineStr">
        <x:is>
          <x:t xml:space="preserve">MD</x:t>
        </x:is>
      </x:c>
      <x:c r="AO1" s="116" t="inlineStr">
        <x:is>
          <x:t xml:space="preserve">QCD</x:t>
        </x:is>
      </x:c>
      <x:c r="AP1" s="95" t="inlineStr">
        <x:is>
          <x:t xml:space="preserve">MD</x:t>
        </x:is>
      </x:c>
      <x:c r="AQ1" s="95" t="inlineStr">
        <x:is>
          <x:t xml:space="preserve">MD</x:t>
        </x:is>
      </x:c>
      <x:c r="AR1" s="95" t="inlineStr">
        <x:is>
          <x:t xml:space="preserve">MD</x:t>
        </x:is>
      </x:c>
      <x:c r="AS1" s="95" t="inlineStr">
        <x:is>
          <x:t xml:space="preserve">MD</x:t>
        </x:is>
      </x:c>
      <x:c r="AT1" s="95" t="inlineStr">
        <x:is>
          <x:t xml:space="preserve">DECREE</x:t>
        </x:is>
      </x:c>
      <x:c r="AU1" s="95" t="inlineStr">
        <x:is>
          <x:t xml:space="preserve">ASSGN</x:t>
        </x:is>
      </x:c>
      <x:c r="AV1" s="95" t="inlineStr">
        <x:is>
          <x:t xml:space="preserve">MD</x:t>
        </x:is>
      </x:c>
      <x:c r="AW1" s="95" t="inlineStr">
        <x:is>
          <x:t xml:space="preserve">DECREE</x:t>
        </x:is>
      </x:c>
      <x:c r="AX1" s="95" t="inlineStr">
        <x:is>
          <x:t xml:space="preserve">WD</x:t>
        </x:is>
      </x:c>
      <x:c r="AY1" s="95" t="inlineStr">
        <x:is>
          <x:t xml:space="preserve">DECREE</x:t>
        </x:is>
      </x:c>
      <x:c r="AZ1" s="95" t="inlineStr">
        <x:is>
          <x:t xml:space="preserve">MD</x:t>
        </x:is>
      </x:c>
      <x:c r="BA1" s="95" t="inlineStr">
        <x:is>
          <x:t xml:space="preserve">MD</x:t>
        </x:is>
      </x:c>
      <x:c r="BB1" s="95" t="inlineStr">
        <x:is>
          <x:t xml:space="preserve">MD</x:t>
        </x:is>
      </x:c>
      <x:c r="BC1" s="95" t="inlineStr">
        <x:is>
          <x:t xml:space="preserve">QCD</x:t>
        </x:is>
      </x:c>
      <x:c r="BD1" s="95" t="inlineStr">
        <x:is>
          <x:t xml:space="preserve">QCD</x:t>
        </x:is>
      </x:c>
      <x:c r="BE1" s="95" t="inlineStr">
        <x:is>
          <x:t xml:space="preserve">QCD</x:t>
        </x:is>
      </x:c>
      <x:c r="BF1" s="95" t="inlineStr">
        <x:is>
          <x:t xml:space="preserve">MD</x:t>
        </x:is>
      </x:c>
      <x:c r="BG1" s="95" t="inlineStr">
        <x:is>
          <x:t xml:space="preserve">MD</x:t>
        </x:is>
      </x:c>
      <x:c r="BH1" s="95" t="inlineStr">
        <x:is>
          <x:t xml:space="preserve">MD</x:t>
        </x:is>
      </x:c>
      <x:c r="BI1" s="95" t="inlineStr">
        <x:is>
          <x:t xml:space="preserve">MD</x:t>
        </x:is>
      </x:c>
      <x:c r="BJ1" s="95" t="inlineStr">
        <x:is>
          <x:t xml:space="preserve">QCD</x:t>
        </x:is>
      </x:c>
      <x:c r="BK1" s="95" t="inlineStr">
        <x:is>
          <x:t xml:space="preserve">MD</x:t>
        </x:is>
      </x:c>
      <x:c r="BL1" s="95" t="inlineStr">
        <x:is>
          <x:t xml:space="preserve">DECREE</x:t>
        </x:is>
      </x:c>
      <x:c r="BM1" s="95" t="inlineStr">
        <x:is>
          <x:t xml:space="preserve">MD</x:t>
        </x:is>
      </x:c>
      <x:c r="BN1" s="95" t="inlineStr">
        <x:is>
          <x:t xml:space="preserve">MD</x:t>
        </x:is>
      </x:c>
      <x:c r="BO1" s="95" t="inlineStr">
        <x:is>
          <x:t xml:space="preserve">MD</x:t>
        </x:is>
      </x:c>
      <x:c r="BP1" s="95" t="inlineStr">
        <x:is>
          <x:t xml:space="preserve">MD</x:t>
        </x:is>
      </x:c>
      <x:c r="BQ1" s="95" t="inlineStr">
        <x:is>
          <x:t xml:space="preserve">MD</x:t>
        </x:is>
      </x:c>
      <x:c r="BR1" s="95" t="inlineStr">
        <x:is>
          <x:t xml:space="preserve">MD</x:t>
        </x:is>
      </x:c>
      <x:c r="BS1" s="95" t="inlineStr">
        <x:is>
          <x:t xml:space="preserve">CONV</x:t>
        </x:is>
      </x:c>
      <x:c r="BT1" s="95" t="inlineStr">
        <x:is>
          <x:t xml:space="preserve">CONV</x:t>
        </x:is>
      </x:c>
      <x:c r="BU1" s="95" t="inlineStr">
        <x:is>
          <x:t xml:space="preserve">MD</x:t>
        </x:is>
      </x:c>
      <x:c r="BV1" s="95" t="inlineStr">
        <x:is>
          <x:t xml:space="preserve">MD</x:t>
        </x:is>
      </x:c>
      <x:c r="BW1" s="95" t="inlineStr">
        <x:is>
          <x:t xml:space="preserve">QCD</x:t>
        </x:is>
      </x:c>
      <x:c r="BX1" s="95" t="inlineStr">
        <x:is>
          <x:t xml:space="preserve">ASSGN</x:t>
        </x:is>
      </x:c>
      <x:c r="BY1" s="95" t="inlineStr">
        <x:is>
          <x:t xml:space="preserve">MD</x:t>
        </x:is>
      </x:c>
      <x:c r="BZ1" s="95" t="inlineStr">
        <x:is>
          <x:t xml:space="preserve">MD</x:t>
        </x:is>
      </x:c>
      <x:c r="CA1" s="95" t="inlineStr">
        <x:is>
          <x:t xml:space="preserve">MD</x:t>
        </x:is>
      </x:c>
      <x:c r="CB1" s="95" t="inlineStr">
        <x:is>
          <x:t xml:space="preserve">CONV</x:t>
        </x:is>
      </x:c>
      <x:c r="CC1" s="95" t="inlineStr">
        <x:is>
          <x:t xml:space="preserve">MD</x:t>
        </x:is>
      </x:c>
      <x:c r="CD1" s="95" t="inlineStr">
        <x:is>
          <x:t xml:space="preserve">DEED</x:t>
        </x:is>
      </x:c>
      <x:c r="CE1" s="95" t="inlineStr">
        <x:is>
          <x:t xml:space="preserve">DEED</x:t>
        </x:is>
      </x:c>
      <x:c r="CF1" s="95" t="inlineStr">
        <x:is>
          <x:t xml:space="preserve">QCD</x:t>
        </x:is>
      </x:c>
      <x:c r="CG1" s="95" t="inlineStr">
        <x:is>
          <x:t xml:space="preserve">WD</x:t>
        </x:is>
      </x:c>
      <x:c r="CH1" s="95" t="inlineStr">
        <x:is>
          <x:t xml:space="preserve">WD</x:t>
        </x:is>
      </x:c>
      <x:c r="CI1" s="95" t="inlineStr">
        <x:is>
          <x:t xml:space="preserve">PAT</x:t>
        </x:is>
      </x:c>
      <x:c r="CJ1" s="95" t="n"/>
      <x:c r="CK1" s="95" t="n"/>
      <x:c r="CL1" s="95" t="n"/>
      <x:c r="CM1" s="95" t="n"/>
      <x:c r="CN1" s="95" t="n"/>
      <x:c r="CO1" s="95" t="n"/>
      <x:c r="CP1" s="95" t="n"/>
      <x:c r="CQ1" s="95" t="n"/>
      <x:c r="CR1" s="95" t="n"/>
      <x:c r="CS1" s="95" t="n"/>
      <x:c r="CT1" s="95" t="n"/>
      <x:c r="CU1" s="95" t="n"/>
      <x:c r="CV1" s="95" t="n"/>
      <x:c r="CW1" s="95" t="n"/>
      <x:c r="CX1" s="95" t="n"/>
      <x:c r="CY1" s="95" t="n"/>
      <x:c r="CZ1" s="95" t="n"/>
      <x:c r="DA1" s="95" t="n"/>
      <x:c r="DB1" s="95" t="n"/>
      <x:c r="DC1" s="95" t="n"/>
      <x:c r="DD1" s="95" t="n"/>
      <x:c r="DE1" s="95" t="n"/>
      <x:c r="DF1" s="95" t="n"/>
      <x:c r="DG1" s="95" t="n"/>
      <x:c r="DH1" s="95" t="n"/>
      <x:c r="DI1" s="95" t="n"/>
      <x:c r="DJ1" s="95" t="n"/>
      <x:c r="DK1" s="95" t="n"/>
      <x:c r="DL1" s="95" t="n"/>
      <x:c r="DM1" s="95" t="n"/>
      <x:c r="DN1" s="95" t="n"/>
      <x:c r="DO1" s="95" t="n"/>
      <x:c r="DP1" s="95" t="n"/>
      <x:c r="DQ1" s="95" t="n"/>
      <x:c r="DR1" s="95" t="n"/>
      <x:c r="DS1" s="95" t="n"/>
      <x:c r="DT1" s="95" t="n"/>
      <x:c r="DU1" s="95" t="n"/>
      <x:c r="DV1" s="95" t="n"/>
      <x:c r="DW1" s="95" t="n"/>
      <x:c r="DX1" s="95" t="n"/>
      <x:c r="DY1" s="95" t="n"/>
      <x:c r="DZ1" s="95" t="n"/>
      <x:c r="EA1" s="95" t="n"/>
      <x:c r="EB1" s="95" t="n"/>
      <x:c r="EC1" s="95" t="n"/>
      <x:c r="ED1" s="95" t="n"/>
      <x:c r="EE1" s="95" t="n"/>
      <x:c r="EF1" s="95" t="n"/>
      <x:c r="EG1" s="95" t="n"/>
      <x:c r="EH1" s="95" t="n"/>
      <x:c r="EI1" s="95" t="n"/>
      <x:c r="EJ1" s="95" t="n"/>
      <x:c r="EK1" s="95" t="n"/>
      <x:c r="EL1" s="95" t="n"/>
      <x:c r="EM1" s="95" t="n"/>
      <x:c r="EN1" s="95" t="n"/>
      <x:c r="EO1" s="95" t="n"/>
      <x:c r="EP1" s="95" t="n"/>
      <x:c r="EQ1" s="95" t="n"/>
      <x:c r="ER1" s="95" t="n"/>
      <x:c r="ES1" s="95" t="n"/>
      <x:c r="ET1" s="95" t="n"/>
      <x:c r="EU1" s="95" t="n"/>
      <x:c r="EV1" s="95" t="n"/>
      <x:c r="EW1" s="95" t="n"/>
      <x:c r="EX1" s="95" t="n"/>
      <x:c r="EY1" s="95" t="n"/>
      <x:c r="EZ1" s="95" t="n"/>
      <x:c r="FA1" s="95" t="n"/>
      <x:c r="FB1" s="95" t="n"/>
      <x:c r="FC1" s="95" t="n"/>
      <x:c r="FD1" s="95" t="n"/>
      <x:c r="FE1" s="95" t="n"/>
      <x:c r="FF1" s="95" t="n"/>
      <x:c r="FG1" s="95" t="n"/>
      <x:c r="FH1" s="95" t="n"/>
      <x:c r="FI1" s="95" t="n"/>
      <x:c r="FJ1" s="95" t="n"/>
      <x:c r="FK1" s="95" t="n"/>
      <x:c r="FL1" s="95" t="n"/>
      <x:c r="FM1" s="95" t="n"/>
      <x:c r="FN1" s="95" t="n"/>
      <x:c r="FO1" s="95" t="n"/>
      <x:c r="FP1" s="95" t="n"/>
      <x:c r="FQ1" s="95" t="n"/>
      <x:c r="FR1" s="95" t="n"/>
      <x:c r="FS1" s="95" t="n"/>
      <x:c r="FT1" s="95" t="n"/>
      <x:c r="FU1" s="95" t="n"/>
      <x:c r="FV1" s="95" t="n"/>
      <x:c r="FW1" s="95" t="n"/>
      <x:c r="FX1" s="95" t="n"/>
    </x:row>
    <x:row r="2" s="62" customFormat="1" ht="12.75" customHeight="1">
      <x:c r="A2" s="614" t="inlineStr">
        <x:is>
          <x:t xml:space="preserve">10</x:t>
        </x:is>
      </x:c>
      <x:c r="B2" s="615" t="inlineStr">
        <x:is>
          <x:t xml:space="preserve">TRACT</x:t>
        </x:is>
      </x:c>
      <x:c r="C2" s="593" t="n"/>
      <x:c r="D2" s="616" t="inlineStr">
        <x:is>
          <x:t xml:space="preserve">NE/4 SE/4, containing 40 acres, more or less</x:t>
        </x:is>
      </x:c>
      <x:c r="E2" s="617" t="inlineStr">
        <x:is>
          <x:t xml:space="preserve">Image Number</x:t>
        </x:is>
      </x:c>
      <x:c r="F2" s="618" t="n"/>
      <x:c r="G2" s="63" t="n"/>
      <x:c r="H2" s="118" t="inlineStr">
        <x:is>
          <x:t xml:space="preserve">1909-002932</x:t>
        </x:is>
      </x:c>
      <x:c r="I2" s="118" t="inlineStr">
        <x:is>
          <x:t xml:space="preserve">1913-000413</x:t>
        </x:is>
      </x:c>
      <x:c r="J2" s="118" t="inlineStr">
        <x:is>
          <x:t xml:space="preserve">1945-000816</x:t>
        </x:is>
      </x:c>
      <x:c r="K2" s="118" t="inlineStr">
        <x:is>
          <x:t xml:space="preserve">1949-001867</x:t>
        </x:is>
      </x:c>
      <x:c r="L2" s="118" t="inlineStr">
        <x:is>
          <x:t xml:space="preserve">1950-000383</x:t>
        </x:is>
      </x:c>
      <x:c r="M2" s="118" t="inlineStr">
        <x:is>
          <x:t xml:space="preserve">1953-000493</x:t>
        </x:is>
      </x:c>
      <x:c r="N2" s="118" t="inlineStr">
        <x:is>
          <x:t xml:space="preserve">1974-001639</x:t>
        </x:is>
      </x:c>
      <x:c r="O2" s="118" t="inlineStr">
        <x:is>
          <x:t xml:space="preserve">1974-001700</x:t>
        </x:is>
      </x:c>
      <x:c r="P2" s="118" t="inlineStr">
        <x:is>
          <x:t xml:space="preserve">1974-002044</x:t>
        </x:is>
      </x:c>
      <x:c r="Q2" s="118" t="inlineStr">
        <x:is>
          <x:t xml:space="preserve">1975-000869</x:t>
        </x:is>
      </x:c>
      <x:c r="R2" s="118" t="inlineStr">
        <x:is>
          <x:t xml:space="preserve">1981-005180</x:t>
        </x:is>
      </x:c>
      <x:c r="S2" s="118" t="inlineStr">
        <x:is>
          <x:t xml:space="preserve">1981-005181</x:t>
        </x:is>
      </x:c>
      <x:c r="T2" s="118" t="inlineStr">
        <x:is>
          <x:t xml:space="preserve">1982-004342</x:t>
        </x:is>
      </x:c>
      <x:c r="U2" s="118" t="inlineStr">
        <x:is>
          <x:t xml:space="preserve">1983-001671</x:t>
        </x:is>
      </x:c>
      <x:c r="V2" s="118" t="inlineStr">
        <x:is>
          <x:t xml:space="preserve">1985-002650</x:t>
        </x:is>
      </x:c>
      <x:c r="W2" s="118" t="inlineStr">
        <x:is>
          <x:t xml:space="preserve">1985-007068</x:t>
        </x:is>
      </x:c>
      <x:c r="X2" s="118" t="inlineStr">
        <x:is>
          <x:t xml:space="preserve">1986-000268</x:t>
        </x:is>
      </x:c>
      <x:c r="Y2" s="118" t="inlineStr">
        <x:is>
          <x:t xml:space="preserve">1988-005620</x:t>
        </x:is>
      </x:c>
      <x:c r="Z2" s="118" t="inlineStr">
        <x:is>
          <x:t xml:space="preserve">1989-006590</x:t>
        </x:is>
      </x:c>
      <x:c r="AA2" s="118" t="inlineStr">
        <x:is>
          <x:t xml:space="preserve">1990-001925</x:t>
        </x:is>
      </x:c>
      <x:c r="AB2" s="118" t="inlineStr">
        <x:is>
          <x:t xml:space="preserve">1990-002146</x:t>
        </x:is>
      </x:c>
      <x:c r="AC2" s="118" t="inlineStr">
        <x:is>
          <x:t xml:space="preserve">1990-002451</x:t>
        </x:is>
      </x:c>
      <x:c r="AD2" s="118" t="inlineStr">
        <x:is>
          <x:t xml:space="preserve">1990-003160</x:t>
        </x:is>
      </x:c>
      <x:c r="AE2" s="118" t="inlineStr">
        <x:is>
          <x:t xml:space="preserve">1990-003924</x:t>
        </x:is>
      </x:c>
      <x:c r="AF2" s="118" t="inlineStr">
        <x:is>
          <x:t xml:space="preserve">1990-005042</x:t>
        </x:is>
      </x:c>
      <x:c r="AG2" s="118" t="inlineStr">
        <x:is>
          <x:t xml:space="preserve">1990-005043</x:t>
        </x:is>
      </x:c>
      <x:c r="AH2" s="118" t="inlineStr">
        <x:is>
          <x:t xml:space="preserve">1990-006747</x:t>
        </x:is>
      </x:c>
      <x:c r="AI2" s="118" t="inlineStr">
        <x:is>
          <x:t xml:space="preserve">1991-004456</x:t>
        </x:is>
      </x:c>
      <x:c r="AJ2" s="118" t="inlineStr">
        <x:is>
          <x:t xml:space="preserve">1992-001067</x:t>
        </x:is>
      </x:c>
      <x:c r="AK2" s="118" t="inlineStr">
        <x:is>
          <x:t xml:space="preserve">1992-001682</x:t>
        </x:is>
      </x:c>
      <x:c r="AL2" s="118" t="inlineStr">
        <x:is>
          <x:t xml:space="preserve">1993-003365</x:t>
        </x:is>
      </x:c>
      <x:c r="AM2" s="118" t="inlineStr">
        <x:is>
          <x:t xml:space="preserve">1994-006415</x:t>
        </x:is>
      </x:c>
      <x:c r="AN2" s="118" t="inlineStr">
        <x:is>
          <x:t xml:space="preserve">1995-003404</x:t>
        </x:is>
      </x:c>
      <x:c r="AO2" s="118" t="inlineStr">
        <x:is>
          <x:t xml:space="preserve">1999-005522</x:t>
        </x:is>
      </x:c>
      <x:c r="AP2" s="96" t="inlineStr">
        <x:is>
          <x:t xml:space="preserve">2000-007685</x:t>
        </x:is>
      </x:c>
      <x:c r="AQ2" s="96" t="inlineStr">
        <x:is>
          <x:t xml:space="preserve">2001-000957</x:t>
        </x:is>
      </x:c>
      <x:c r="AR2" s="96" t="inlineStr">
        <x:is>
          <x:t xml:space="preserve">2001-001414</x:t>
        </x:is>
      </x:c>
      <x:c r="AS2" s="96" t="inlineStr">
        <x:is>
          <x:t xml:space="preserve">2001-001463</x:t>
        </x:is>
      </x:c>
      <x:c r="AT2" s="96" t="inlineStr">
        <x:is>
          <x:t xml:space="preserve">2001-002342</x:t>
        </x:is>
      </x:c>
      <x:c r="AU2" s="96" t="inlineStr">
        <x:is>
          <x:t xml:space="preserve">2002-002227</x:t>
        </x:is>
      </x:c>
      <x:c r="AV2" s="96" t="inlineStr">
        <x:is>
          <x:t xml:space="preserve">2002-004595</x:t>
        </x:is>
      </x:c>
      <x:c r="AW2" s="96" t="inlineStr">
        <x:is>
          <x:t xml:space="preserve">2003-005699</x:t>
        </x:is>
      </x:c>
      <x:c r="AX2" s="96" t="inlineStr">
        <x:is>
          <x:t xml:space="preserve">2003-004945</x:t>
        </x:is>
      </x:c>
      <x:c r="AY2" s="96" t="inlineStr">
        <x:is>
          <x:t xml:space="preserve">2004-000099</x:t>
        </x:is>
      </x:c>
      <x:c r="AZ2" s="96" t="inlineStr">
        <x:is>
          <x:t xml:space="preserve">2004-005901</x:t>
        </x:is>
      </x:c>
      <x:c r="BA2" s="96" t="inlineStr">
        <x:is>
          <x:t xml:space="preserve">2005-000158</x:t>
        </x:is>
      </x:c>
      <x:c r="BB2" s="96" t="inlineStr">
        <x:is>
          <x:t xml:space="preserve">2005-007551</x:t>
        </x:is>
      </x:c>
      <x:c r="BC2" s="96" t="inlineStr">
        <x:is>
          <x:t xml:space="preserve">2006-000154</x:t>
        </x:is>
      </x:c>
      <x:c r="BD2" s="96" t="inlineStr">
        <x:is>
          <x:t xml:space="preserve">2007-001848</x:t>
        </x:is>
      </x:c>
      <x:c r="BE2" s="96" t="inlineStr">
        <x:is>
          <x:t xml:space="preserve">2011-000110</x:t>
        </x:is>
      </x:c>
      <x:c r="BF2" s="96" t="inlineStr">
        <x:is>
          <x:t xml:space="preserve">2011-001007</x:t>
        </x:is>
      </x:c>
      <x:c r="BG2" s="96" t="inlineStr">
        <x:is>
          <x:t xml:space="preserve">2011-001008</x:t>
        </x:is>
      </x:c>
      <x:c r="BH2" s="96" t="inlineStr">
        <x:is>
          <x:t xml:space="preserve">2011-001009</x:t>
        </x:is>
      </x:c>
      <x:c r="BI2" s="96" t="inlineStr">
        <x:is>
          <x:t xml:space="preserve">2011-005695</x:t>
        </x:is>
      </x:c>
      <x:c r="BJ2" s="96" t="inlineStr">
        <x:is>
          <x:t xml:space="preserve">2011-005926</x:t>
        </x:is>
      </x:c>
      <x:c r="BK2" s="96" t="inlineStr">
        <x:is>
          <x:t xml:space="preserve">2011-008366</x:t>
        </x:is>
      </x:c>
      <x:c r="BL2" s="96" t="inlineStr">
        <x:is>
          <x:t xml:space="preserve">2013-000518</x:t>
        </x:is>
      </x:c>
      <x:c r="BM2" s="96" t="inlineStr">
        <x:is>
          <x:t xml:space="preserve">2013-001272</x:t>
        </x:is>
      </x:c>
      <x:c r="BN2" s="96" t="inlineStr">
        <x:is>
          <x:t xml:space="preserve">2013-004163</x:t>
        </x:is>
      </x:c>
      <x:c r="BO2" s="96" t="inlineStr">
        <x:is>
          <x:t xml:space="preserve">2013-006501</x:t>
        </x:is>
      </x:c>
      <x:c r="BP2" s="96" t="inlineStr">
        <x:is>
          <x:t xml:space="preserve">2013-006502</x:t>
        </x:is>
      </x:c>
      <x:c r="BQ2" s="96" t="inlineStr">
        <x:is>
          <x:t xml:space="preserve">2014-003089</x:t>
        </x:is>
      </x:c>
      <x:c r="BR2" s="96" t="inlineStr">
        <x:is>
          <x:t xml:space="preserve">2014-006293</x:t>
        </x:is>
      </x:c>
      <x:c r="BS2" s="96" t="inlineStr">
        <x:is>
          <x:t xml:space="preserve">2015-003022</x:t>
        </x:is>
      </x:c>
      <x:c r="BT2" s="96" t="inlineStr">
        <x:is>
          <x:t xml:space="preserve">2015-003023</x:t>
        </x:is>
      </x:c>
      <x:c r="BU2" s="96" t="inlineStr">
        <x:is>
          <x:t xml:space="preserve">2017-000951</x:t>
        </x:is>
      </x:c>
      <x:c r="BV2" s="96" t="inlineStr">
        <x:is>
          <x:t xml:space="preserve">2017-001880</x:t>
        </x:is>
      </x:c>
      <x:c r="BW2" s="96" t="inlineStr">
        <x:is>
          <x:t xml:space="preserve">2018-002650</x:t>
        </x:is>
      </x:c>
      <x:c r="BX2" s="96" t="inlineStr">
        <x:is>
          <x:t xml:space="preserve">2021-001486</x:t>
        </x:is>
      </x:c>
      <x:c r="BY2" s="96" t="inlineStr">
        <x:is>
          <x:t xml:space="preserve">2020-001708</x:t>
        </x:is>
      </x:c>
      <x:c r="BZ2" s="96" t="inlineStr">
        <x:is>
          <x:t xml:space="preserve">2021-001068</x:t>
        </x:is>
      </x:c>
      <x:c r="CA2" s="96" t="inlineStr">
        <x:is>
          <x:t xml:space="preserve">2022-000185</x:t>
        </x:is>
      </x:c>
      <x:c r="CB2" s="96" t="inlineStr">
        <x:is>
          <x:t xml:space="preserve">2024-007198</x:t>
        </x:is>
      </x:c>
      <x:c r="CC2" s="96" t="inlineStr">
        <x:is>
          <x:t xml:space="preserve">2024-007338</x:t>
        </x:is>
      </x:c>
      <x:c r="CD2" s="96" t="inlineStr">
        <x:is>
          <x:t xml:space="preserve">1907-001545</x:t>
        </x:is>
      </x:c>
      <x:c r="CE2" s="96" t="inlineStr">
        <x:is>
          <x:t xml:space="preserve">1922-000463</x:t>
        </x:is>
      </x:c>
      <x:c r="CF2" s="96" t="inlineStr">
        <x:is>
          <x:t xml:space="preserve">1931-000994</x:t>
        </x:is>
      </x:c>
      <x:c r="CG2" s="96" t="inlineStr">
        <x:is>
          <x:t xml:space="preserve">1945-000171</x:t>
        </x:is>
      </x:c>
      <x:c r="CH2" s="96" t="inlineStr">
        <x:is>
          <x:t xml:space="preserve">1949-000814</x:t>
        </x:is>
      </x:c>
      <x:c r="CI2" s="96" t="inlineStr">
        <x:is>
          <x:t xml:space="preserve">1909-002932</x:t>
        </x:is>
      </x:c>
      <x:c r="CJ2" s="96" t="n"/>
      <x:c r="CK2" s="96" t="n"/>
      <x:c r="CL2" s="96" t="n"/>
      <x:c r="CM2" s="96" t="n"/>
      <x:c r="CN2" s="96" t="n"/>
      <x:c r="CO2" s="96" t="n"/>
      <x:c r="CP2" s="96" t="n"/>
      <x:c r="CQ2" s="96" t="n"/>
      <x:c r="CR2" s="96" t="n"/>
      <x:c r="CS2" s="96" t="n"/>
      <x:c r="CT2" s="96" t="n"/>
      <x:c r="CU2" s="96" t="n"/>
      <x:c r="CV2" s="96" t="n"/>
      <x:c r="CW2" s="96" t="n"/>
      <x:c r="CX2" s="96" t="n"/>
      <x:c r="CY2" s="96" t="n"/>
      <x:c r="CZ2" s="96" t="n"/>
      <x:c r="DA2" s="96" t="n"/>
      <x:c r="DB2" s="96" t="n"/>
      <x:c r="DC2" s="96" t="n"/>
      <x:c r="DD2" s="96" t="n"/>
      <x:c r="DE2" s="96" t="n"/>
      <x:c r="DF2" s="96" t="n"/>
      <x:c r="DG2" s="96" t="n"/>
      <x:c r="DH2" s="96" t="n"/>
      <x:c r="DI2" s="96" t="n"/>
      <x:c r="DJ2" s="96" t="n"/>
      <x:c r="DK2" s="96" t="n"/>
      <x:c r="DL2" s="96" t="n"/>
      <x:c r="DM2" s="96" t="n"/>
      <x:c r="DN2" s="96" t="n"/>
      <x:c r="DO2" s="96" t="n"/>
      <x:c r="DP2" s="96" t="n"/>
      <x:c r="DQ2" s="96" t="n"/>
      <x:c r="DR2" s="96" t="n"/>
      <x:c r="DS2" s="96" t="n"/>
      <x:c r="DT2" s="96" t="n"/>
      <x:c r="DU2" s="96" t="n"/>
      <x:c r="DV2" s="96" t="n"/>
      <x:c r="DW2" s="96" t="n"/>
      <x:c r="DX2" s="96" t="n"/>
      <x:c r="DY2" s="96" t="n"/>
      <x:c r="DZ2" s="96" t="n"/>
      <x:c r="EA2" s="96" t="n"/>
      <x:c r="EB2" s="96" t="n"/>
      <x:c r="EC2" s="96" t="n"/>
      <x:c r="ED2" s="96" t="n"/>
      <x:c r="EE2" s="96" t="n"/>
      <x:c r="EF2" s="96" t="n"/>
      <x:c r="EG2" s="96" t="n"/>
      <x:c r="EH2" s="96" t="n"/>
      <x:c r="EI2" s="96" t="n"/>
      <x:c r="EJ2" s="96" t="n"/>
      <x:c r="EK2" s="96" t="n"/>
      <x:c r="EL2" s="96" t="n"/>
      <x:c r="EM2" s="96" t="n"/>
      <x:c r="EN2" s="96" t="n"/>
      <x:c r="EO2" s="96" t="n"/>
      <x:c r="EP2" s="96" t="n"/>
      <x:c r="EQ2" s="96" t="n"/>
      <x:c r="ER2" s="96" t="n"/>
      <x:c r="ES2" s="96" t="n"/>
      <x:c r="ET2" s="96" t="n"/>
      <x:c r="EU2" s="96" t="n"/>
      <x:c r="EV2" s="96" t="n"/>
      <x:c r="EW2" s="96" t="n"/>
      <x:c r="EX2" s="96" t="n"/>
      <x:c r="EY2" s="96" t="n"/>
      <x:c r="EZ2" s="96" t="n"/>
      <x:c r="FA2" s="96" t="n"/>
      <x:c r="FB2" s="96" t="n"/>
      <x:c r="FC2" s="96" t="n"/>
      <x:c r="FD2" s="96" t="n"/>
      <x:c r="FE2" s="96" t="n"/>
      <x:c r="FF2" s="96" t="n"/>
      <x:c r="FG2" s="96" t="n"/>
      <x:c r="FH2" s="96" t="n"/>
      <x:c r="FI2" s="96" t="n"/>
      <x:c r="FJ2" s="96" t="n"/>
      <x:c r="FK2" s="96" t="n"/>
      <x:c r="FL2" s="96" t="n"/>
      <x:c r="FM2" s="96" t="n"/>
      <x:c r="FN2" s="96" t="n"/>
      <x:c r="FO2" s="96" t="n"/>
      <x:c r="FP2" s="96" t="n"/>
      <x:c r="FQ2" s="96" t="n"/>
      <x:c r="FR2" s="96" t="n"/>
      <x:c r="FS2" s="96" t="n"/>
      <x:c r="FT2" s="96" t="n"/>
      <x:c r="FU2" s="96" t="n"/>
      <x:c r="FV2" s="96" t="n"/>
      <x:c r="FW2" s="96" t="n"/>
      <x:c r="FX2" s="96" t="n"/>
      <x:c r="FY2" s="59" t="n"/>
      <x:c r="FZ2" s="59" t="n"/>
      <x:c r="GA2" s="59" t="n"/>
    </x:row>
    <x:row r="3" s="62" customFormat="1" ht="23.100000381469727" customHeight="1">
      <x:c r="A3" s="619" t="n"/>
      <x:c r="B3" s="620" t="inlineStr">
        <x:is>
          <x:t xml:space="preserve">DESCRIPTION</x:t>
        </x:is>
      </x:c>
      <x:c r="C3" s="593" t="n"/>
      <x:c r="D3" s="621" t="n"/>
      <x:c r="E3" s="622" t="inlineStr">
        <x:is>
          <x:t xml:space="preserve">Book / Page </x:t>
        </x:is>
      </x:c>
      <x:c r="F3" s="618" t="n"/>
      <x:c r="G3" s="63" t="n"/>
      <x:c r="H3" s="6" t="inlineStr">
        <x:is>
          <x:t xml:space="preserve">PAT6/7</x:t>
        </x:is>
      </x:c>
      <x:c r="I3" s="6" t="inlineStr">
        <x:is>
          <x:t xml:space="preserve">D19/268</x:t>
        </x:is>
      </x:c>
      <x:c r="J3" s="6" t="inlineStr">
        <x:is>
          <x:t xml:space="preserve">MIS22/628</x:t>
        </x:is>
      </x:c>
      <x:c r="K3" s="6" t="inlineStr">
        <x:is>
          <x:t xml:space="preserve">D63/97</x:t>
        </x:is>
      </x:c>
      <x:c r="L3" s="6" t="inlineStr">
        <x:is>
          <x:t xml:space="preserve">D59/410</x:t>
        </x:is>
      </x:c>
      <x:c r="M3" s="6" t="inlineStr">
        <x:is>
          <x:t xml:space="preserve">D67/154</x:t>
        </x:is>
      </x:c>
      <x:c r="N3" s="6" t="inlineStr">
        <x:is>
          <x:t xml:space="preserve">163/565</x:t>
        </x:is>
      </x:c>
      <x:c r="O3" s="6" t="inlineStr">
        <x:is>
          <x:t xml:space="preserve">164/66</x:t>
        </x:is>
      </x:c>
      <x:c r="P3" s="6" t="inlineStr">
        <x:is>
          <x:t xml:space="preserve">165/87</x:t>
        </x:is>
      </x:c>
      <x:c r="Q3" s="6" t="inlineStr">
        <x:is>
          <x:t xml:space="preserve">176/144</x:t>
        </x:is>
      </x:c>
      <x:c r="R3" s="6" t="inlineStr">
        <x:is>
          <x:t xml:space="preserve">341/154</x:t>
        </x:is>
      </x:c>
      <x:c r="S3" s="6" t="inlineStr">
        <x:is>
          <x:t xml:space="preserve">341/155</x:t>
        </x:is>
      </x:c>
      <x:c r="T3" s="6" t="inlineStr">
        <x:is>
          <x:t xml:space="preserve">432/110</x:t>
        </x:is>
      </x:c>
      <x:c r="U3" s="6" t="inlineStr">
        <x:is>
          <x:t xml:space="preserve">512/67</x:t>
        </x:is>
      </x:c>
      <x:c r="V3" s="6" t="inlineStr">
        <x:is>
          <x:t xml:space="preserve">710/34</x:t>
        </x:is>
      </x:c>
      <x:c r="W3" s="6" t="inlineStr">
        <x:is>
          <x:t xml:space="preserve">756/16</x:t>
        </x:is>
      </x:c>
      <x:c r="X3" s="6" t="inlineStr">
        <x:is>
          <x:t xml:space="preserve">781/183</x:t>
        </x:is>
      </x:c>
      <x:c r="Y3" s="6" t="inlineStr">
        <x:is>
          <x:t xml:space="preserve">998/204</x:t>
        </x:is>
      </x:c>
      <x:c r="Z3" s="6" t="inlineStr">
        <x:is>
          <x:t xml:space="preserve">1100/48</x:t>
        </x:is>
      </x:c>
      <x:c r="AA3" s="6" t="inlineStr">
        <x:is>
          <x:t xml:space="preserve">1126/98</x:t>
        </x:is>
      </x:c>
      <x:c r="AB3" s="118" t="inlineStr">
        <x:is>
          <x:t xml:space="preserve">1128/39</x:t>
        </x:is>
      </x:c>
      <x:c r="AC3" s="118" t="inlineStr">
        <x:is>
          <x:t xml:space="preserve">1131/89</x:t>
        </x:is>
      </x:c>
      <x:c r="AD3" s="6" t="inlineStr">
        <x:is>
          <x:t xml:space="preserve">1140/26</x:t>
        </x:is>
      </x:c>
      <x:c r="AE3" s="6" t="inlineStr">
        <x:is>
          <x:t xml:space="preserve">1147/242</x:t>
        </x:is>
      </x:c>
      <x:c r="AF3" s="6" t="inlineStr">
        <x:is>
          <x:t xml:space="preserve">1159/224</x:t>
        </x:is>
      </x:c>
      <x:c r="AG3" s="6" t="inlineStr">
        <x:is>
          <x:t xml:space="preserve">1159/225</x:t>
        </x:is>
      </x:c>
      <x:c r="AH3" s="6" t="inlineStr">
        <x:is>
          <x:t xml:space="preserve">1176/54</x:t>
        </x:is>
      </x:c>
      <x:c r="AI3" s="6" t="inlineStr">
        <x:is>
          <x:t xml:space="preserve">1240/115</x:t>
        </x:is>
      </x:c>
      <x:c r="AJ3" s="6" t="inlineStr">
        <x:is>
          <x:t xml:space="preserve">1267/168</x:t>
        </x:is>
      </x:c>
      <x:c r="AK3" s="6" t="inlineStr">
        <x:is>
          <x:t xml:space="preserve">1274/277</x:t>
        </x:is>
      </x:c>
      <x:c r="AL3" s="118" t="inlineStr">
        <x:is>
          <x:t xml:space="preserve">1355/192</x:t>
        </x:is>
      </x:c>
      <x:c r="AM3" s="5" t="inlineStr">
        <x:is>
          <x:t xml:space="preserve">1422/9</x:t>
        </x:is>
      </x:c>
      <x:c r="AN3" s="118" t="inlineStr">
        <x:is>
          <x:t xml:space="preserve">1457/173</x:t>
        </x:is>
      </x:c>
      <x:c r="AO3" s="118" t="inlineStr">
        <x:is>
          <x:t xml:space="preserve">1597/174</x:t>
        </x:is>
      </x:c>
      <x:c r="AP3" s="107" t="inlineStr">
        <x:is>
          <x:t xml:space="preserve">1611/503</x:t>
        </x:is>
      </x:c>
      <x:c r="AQ3" s="107" t="inlineStr">
        <x:is>
          <x:t xml:space="preserve">1637/26</x:t>
        </x:is>
      </x:c>
      <x:c r="AR3" s="108" t="inlineStr">
        <x:is>
          <x:t xml:space="preserve">1639/206</x:t>
        </x:is>
      </x:c>
      <x:c r="AS3" s="107" t="inlineStr">
        <x:is>
          <x:t xml:space="preserve">1639/426</x:t>
        </x:is>
      </x:c>
      <x:c r="AT3" s="107" t="inlineStr">
        <x:is>
          <x:t xml:space="preserve">1643/389</x:t>
        </x:is>
      </x:c>
      <x:c r="AU3" s="96" t="inlineStr">
        <x:is>
          <x:t xml:space="preserve">1680/318</x:t>
        </x:is>
      </x:c>
      <x:c r="AV3" s="96" t="inlineStr">
        <x:is>
          <x:t xml:space="preserve">1695/238</x:t>
        </x:is>
      </x:c>
      <x:c r="AW3" s="96" t="inlineStr">
        <x:is>
          <x:t xml:space="preserve">1728/457</x:t>
        </x:is>
      </x:c>
      <x:c r="AX3" s="96" t="inlineStr">
        <x:is>
          <x:t xml:space="preserve">1724/582</x:t>
        </x:is>
      </x:c>
      <x:c r="AY3" s="96" t="inlineStr">
        <x:is>
          <x:t xml:space="preserve">1734/14</x:t>
        </x:is>
      </x:c>
      <x:c r="AZ3" s="96" t="inlineStr">
        <x:is>
          <x:t xml:space="preserve">1765/306</x:t>
        </x:is>
      </x:c>
      <x:c r="BA3" s="96" t="inlineStr">
        <x:is>
          <x:t xml:space="preserve">1774/309</x:t>
        </x:is>
      </x:c>
      <x:c r="BB3" s="96" t="inlineStr">
        <x:is>
          <x:t xml:space="preserve">1812/138</x:t>
        </x:is>
      </x:c>
      <x:c r="BC3" s="96" t="inlineStr">
        <x:is>
          <x:t xml:space="preserve">1819/157</x:t>
        </x:is>
      </x:c>
      <x:c r="BD3" s="96" t="inlineStr">
        <x:is>
          <x:t xml:space="preserve">1872/277</x:t>
        </x:is>
      </x:c>
      <x:c r="BE3" s="96" t="inlineStr">
        <x:is>
          <x:t xml:space="preserve">2057/347</x:t>
        </x:is>
      </x:c>
      <x:c r="BF3" s="96" t="inlineStr">
        <x:is>
          <x:t xml:space="preserve">2063/491</x:t>
        </x:is>
      </x:c>
      <x:c r="BG3" s="96" t="inlineStr">
        <x:is>
          <x:t xml:space="preserve">2063/494</x:t>
        </x:is>
      </x:c>
      <x:c r="BH3" s="96" t="inlineStr">
        <x:is>
          <x:t xml:space="preserve">2063/497</x:t>
        </x:is>
      </x:c>
      <x:c r="BI3" s="96" t="inlineStr">
        <x:is>
          <x:t xml:space="preserve">2092/134</x:t>
        </x:is>
      </x:c>
      <x:c r="BJ3" s="96" t="inlineStr">
        <x:is>
          <x:t xml:space="preserve">2093/461</x:t>
        </x:is>
      </x:c>
      <x:c r="BK3" s="96" t="inlineStr">
        <x:is>
          <x:t xml:space="preserve">2108/102</x:t>
        </x:is>
      </x:c>
      <x:c r="BL3" s="96" t="inlineStr">
        <x:is>
          <x:t xml:space="preserve">2177/33</x:t>
        </x:is>
      </x:c>
      <x:c r="BM3" s="96" t="inlineStr">
        <x:is>
          <x:t xml:space="preserve">2182/95</x:t>
        </x:is>
      </x:c>
      <x:c r="BN3" s="96" t="inlineStr">
        <x:is>
          <x:t xml:space="preserve">2203/395</x:t>
        </x:is>
      </x:c>
      <x:c r="BO3" s="96" t="inlineStr">
        <x:is>
          <x:t xml:space="preserve">2223/305</x:t>
        </x:is>
      </x:c>
      <x:c r="BP3" s="96" t="inlineStr">
        <x:is>
          <x:t xml:space="preserve">2223/307</x:t>
        </x:is>
      </x:c>
      <x:c r="BQ3" s="96" t="inlineStr">
        <x:is>
          <x:t xml:space="preserve">2251/529</x:t>
        </x:is>
      </x:c>
      <x:c r="BR3" s="96" t="inlineStr">
        <x:is>
          <x:t xml:space="preserve">2273/223</x:t>
        </x:is>
      </x:c>
      <x:c r="BS3" s="96" t="inlineStr">
        <x:is>
          <x:t xml:space="preserve">2311/333</x:t>
        </x:is>
      </x:c>
      <x:c r="BT3" s="96" t="inlineStr">
        <x:is>
          <x:t xml:space="preserve">2311/337</x:t>
        </x:is>
      </x:c>
      <x:c r="BU3" s="96" t="inlineStr">
        <x:is>
          <x:t xml:space="preserve">2365/338</x:t>
        </x:is>
      </x:c>
      <x:c r="BV3" s="96" t="inlineStr">
        <x:is>
          <x:t xml:space="preserve">2376/100</x:t>
        </x:is>
      </x:c>
      <x:c r="BW3" s="96" t="inlineStr">
        <x:is>
          <x:t xml:space="preserve">2406/228</x:t>
        </x:is>
      </x:c>
      <x:c r="BX3" s="96" t="inlineStr">
        <x:is>
          <x:t xml:space="preserve">2473/1</x:t>
        </x:is>
      </x:c>
      <x:c r="BY3" s="96" t="inlineStr">
        <x:is>
          <x:t xml:space="preserve">2453/452</x:t>
        </x:is>
      </x:c>
      <x:c r="BZ3" s="96" t="inlineStr">
        <x:is>
          <x:t xml:space="preserve">2467/476</x:t>
        </x:is>
      </x:c>
      <x:c r="CA3" s="96" t="inlineStr">
        <x:is>
          <x:t xml:space="preserve">2486/262</x:t>
        </x:is>
      </x:c>
      <x:c r="CB3" s="96" t="inlineStr">
        <x:is>
          <x:t xml:space="preserve">2599/463</x:t>
        </x:is>
      </x:c>
      <x:c r="CC3" s="96" t="inlineStr">
        <x:is>
          <x:t xml:space="preserve">2600/472</x:t>
        </x:is>
      </x:c>
      <x:c r="CD3" s="96" t="inlineStr">
        <x:is>
          <x:t xml:space="preserve">D11/209</x:t>
        </x:is>
      </x:c>
      <x:c r="CE3" s="96" t="inlineStr">
        <x:is>
          <x:t xml:space="preserve">D31/637</x:t>
        </x:is>
      </x:c>
      <x:c r="CF3" s="96" t="inlineStr">
        <x:is>
          <x:t xml:space="preserve">D43/608</x:t>
        </x:is>
      </x:c>
      <x:c r="CG3" s="96" t="inlineStr">
        <x:is>
          <x:t xml:space="preserve">D55/254</x:t>
        </x:is>
      </x:c>
      <x:c r="CH3" s="96" t="inlineStr">
        <x:is>
          <x:t xml:space="preserve">D59/251</x:t>
        </x:is>
      </x:c>
      <x:c r="CI3" s="96" t="inlineStr">
        <x:is>
          <x:t xml:space="preserve">PAT6/7</x:t>
        </x:is>
      </x:c>
      <x:c r="CJ3" s="96" t="n"/>
      <x:c r="CK3" s="96" t="n"/>
      <x:c r="CL3" s="96" t="n"/>
      <x:c r="CM3" s="96" t="n"/>
      <x:c r="CN3" s="96" t="n"/>
      <x:c r="CO3" s="96" t="n"/>
      <x:c r="CP3" s="96" t="n"/>
      <x:c r="CQ3" s="96" t="n"/>
      <x:c r="CR3" s="96" t="n"/>
      <x:c r="CS3" s="96" t="n"/>
      <x:c r="CT3" s="96" t="n"/>
      <x:c r="CU3" s="96" t="n"/>
      <x:c r="CV3" s="96" t="n"/>
      <x:c r="CW3" s="96" t="n"/>
      <x:c r="CX3" s="96" t="n"/>
      <x:c r="CY3" s="96" t="n"/>
      <x:c r="CZ3" s="96" t="n"/>
      <x:c r="DA3" s="96" t="n"/>
      <x:c r="DB3" s="96" t="n"/>
      <x:c r="DC3" s="96" t="n"/>
      <x:c r="DD3" s="96" t="n"/>
      <x:c r="DE3" s="96" t="n"/>
      <x:c r="DF3" s="96" t="n"/>
      <x:c r="DG3" s="96" t="n"/>
      <x:c r="DH3" s="96" t="n"/>
      <x:c r="DI3" s="96" t="n"/>
      <x:c r="DJ3" s="96" t="n"/>
      <x:c r="DK3" s="96" t="n"/>
      <x:c r="DL3" s="96" t="n"/>
      <x:c r="DM3" s="96" t="n"/>
      <x:c r="DN3" s="96" t="n"/>
      <x:c r="DO3" s="96" t="n"/>
      <x:c r="DP3" s="96" t="n"/>
      <x:c r="DQ3" s="96" t="n"/>
      <x:c r="DR3" s="96" t="n"/>
      <x:c r="DS3" s="96" t="n"/>
      <x:c r="DT3" s="96" t="n"/>
      <x:c r="DU3" s="96" t="n"/>
      <x:c r="DV3" s="96" t="n"/>
      <x:c r="DW3" s="96" t="n"/>
      <x:c r="DX3" s="96" t="n"/>
      <x:c r="DY3" s="96" t="n"/>
      <x:c r="DZ3" s="96" t="n"/>
      <x:c r="EA3" s="96" t="n"/>
      <x:c r="EB3" s="96" t="n"/>
      <x:c r="EC3" s="96" t="n"/>
      <x:c r="ED3" s="96" t="n"/>
      <x:c r="EE3" s="96" t="n"/>
      <x:c r="EF3" s="96" t="n"/>
      <x:c r="EG3" s="96" t="n"/>
      <x:c r="EH3" s="96" t="n"/>
      <x:c r="EI3" s="96" t="n"/>
      <x:c r="EJ3" s="96" t="n"/>
      <x:c r="EK3" s="96" t="n"/>
      <x:c r="EL3" s="96" t="n"/>
      <x:c r="EM3" s="96" t="n"/>
      <x:c r="EN3" s="96" t="n"/>
      <x:c r="EO3" s="96" t="n"/>
      <x:c r="EP3" s="96" t="n"/>
      <x:c r="EQ3" s="96" t="n"/>
      <x:c r="ER3" s="96" t="n"/>
      <x:c r="ES3" s="96" t="n"/>
      <x:c r="ET3" s="96" t="n"/>
      <x:c r="EU3" s="96" t="n"/>
      <x:c r="EV3" s="96" t="n"/>
      <x:c r="EW3" s="96" t="n"/>
      <x:c r="EX3" s="96" t="n"/>
      <x:c r="EY3" s="96" t="n"/>
      <x:c r="EZ3" s="96" t="n"/>
      <x:c r="FA3" s="96" t="n"/>
      <x:c r="FB3" s="96" t="n"/>
      <x:c r="FC3" s="96" t="n"/>
      <x:c r="FD3" s="96" t="n"/>
      <x:c r="FE3" s="96" t="n"/>
      <x:c r="FF3" s="96" t="n"/>
      <x:c r="FG3" s="96" t="n"/>
      <x:c r="FH3" s="96" t="n"/>
      <x:c r="FI3" s="96" t="n"/>
      <x:c r="FJ3" s="96" t="n"/>
      <x:c r="FK3" s="96" t="n"/>
      <x:c r="FL3" s="96" t="n"/>
      <x:c r="FM3" s="96" t="n"/>
      <x:c r="FN3" s="96" t="n"/>
      <x:c r="FO3" s="96" t="n"/>
      <x:c r="FP3" s="96" t="n"/>
      <x:c r="FQ3" s="96" t="n"/>
      <x:c r="FR3" s="96" t="n"/>
      <x:c r="FS3" s="96" t="n"/>
      <x:c r="FT3" s="96" t="n"/>
      <x:c r="FU3" s="96" t="n"/>
      <x:c r="FV3" s="96" t="n"/>
      <x:c r="FW3" s="96" t="n"/>
      <x:c r="FX3" s="96" t="n"/>
      <x:c r="FY3" s="59" t="n"/>
      <x:c r="FZ3" s="59" t="n"/>
      <x:c r="GA3" s="59" t="n"/>
    </x:row>
    <x:row r="4" s="62" customFormat="1" ht="12.75" customHeight="1">
      <x:c r="A4" s="619" t="n"/>
      <x:c r="B4" s="623" t="n"/>
      <x:c r="C4" s="593" t="n"/>
      <x:c r="D4" s="624" t="n"/>
      <x:c r="E4" s="491" t="inlineStr">
        <x:is>
          <x:t xml:space="preserve">Date </x:t>
        </x:is>
      </x:c>
      <x:c r="F4" s="618" t="n"/>
      <x:c r="G4" s="60" t="n"/>
      <x:c r="H4" s="5" t="n">
        <x:v>3652</x:v>
      </x:c>
      <x:c r="I4" s="5" t="n">
        <x:v>4759</x:v>
      </x:c>
      <x:c r="J4" s="5" t="n">
        <x:v>16439</x:v>
      </x:c>
      <x:c r="K4" s="5" t="n">
        <x:v>18170</x:v>
      </x:c>
      <x:c r="L4" s="5" t="n">
        <x:v>18420</x:v>
      </x:c>
      <x:c r="M4" s="5" t="n">
        <x:v>19396</x:v>
      </x:c>
      <x:c r="N4" s="5" t="n">
        <x:v>27163</x:v>
      </x:c>
      <x:c r="O4" s="5" t="n">
        <x:v>27171</x:v>
      </x:c>
      <x:c r="P4" s="5" t="n">
        <x:v>27207</x:v>
      </x:c>
      <x:c r="Q4" s="5" t="n">
        <x:v>27481</x:v>
      </x:c>
      <x:c r="R4" s="5" t="n">
        <x:v>29714</x:v>
      </x:c>
      <x:c r="S4" s="5" t="n">
        <x:v>29714</x:v>
      </x:c>
      <x:c r="T4" s="5" t="n">
        <x:v>30054</x:v>
      </x:c>
      <x:c r="U4" s="5" t="n">
        <x:v>30369</x:v>
      </x:c>
      <x:c r="V4" s="5" t="n">
        <x:v>31158</x:v>
      </x:c>
      <x:c r="W4" s="5" t="n">
        <x:v>31329</x:v>
      </x:c>
      <x:c r="X4" s="5" t="n">
        <x:v>31418</x:v>
      </x:c>
      <x:c r="Y4" s="5" t="n">
        <x:v>32405</x:v>
      </x:c>
      <x:c r="Z4" s="5" t="n">
        <x:v>32847</x:v>
      </x:c>
      <x:c r="AA4" s="5" t="n">
        <x:v>32969</x:v>
      </x:c>
      <x:c r="AB4" s="120" t="n">
        <x:v>32975</x:v>
      </x:c>
      <x:c r="AC4" s="120" t="n">
        <x:v>32993</x:v>
      </x:c>
      <x:c r="AD4" s="5" t="n">
        <x:v>33025</x:v>
      </x:c>
      <x:c r="AE4" s="5" t="n">
        <x:v>33059</x:v>
      </x:c>
      <x:c r="AF4" s="5" t="n">
        <x:v>33114</x:v>
      </x:c>
      <x:c r="AG4" s="5" t="n">
        <x:v>33114</x:v>
      </x:c>
      <x:c r="AH4" s="5" t="n">
        <x:v>33205</x:v>
      </x:c>
      <x:c r="AI4" s="5" t="n">
        <x:v>33522</x:v>
      </x:c>
      <x:c r="AJ4" s="5" t="n">
        <x:v>33693</x:v>
      </x:c>
      <x:c r="AK4" s="5" t="n">
        <x:v>33737</x:v>
      </x:c>
      <x:c r="AL4" s="120" t="n">
        <x:v>34199</x:v>
      </x:c>
      <x:c r="AM4" s="5" t="n">
        <x:v>34542</x:v>
      </x:c>
      <x:c r="AN4" s="120" t="n">
        <x:v>34754</x:v>
      </x:c>
      <x:c r="AO4" s="120" t="n">
        <x:v>36481</x:v>
      </x:c>
      <x:c r="AP4" s="108" t="n">
        <x:v>36647</x:v>
      </x:c>
      <x:c r="AQ4" s="108" t="n">
        <x:v>36922</x:v>
      </x:c>
      <x:c r="AR4" s="108" t="n">
        <x:v>36957</x:v>
      </x:c>
      <x:c r="AS4" s="108" t="n">
        <x:v>36963</x:v>
      </x:c>
      <x:c r="AT4" s="108" t="n">
        <x:v>37014</x:v>
      </x:c>
      <x:c r="AU4" s="97" t="n">
        <x:v>37406</x:v>
      </x:c>
      <x:c r="AV4" s="97" t="n">
        <x:v>37586</x:v>
      </x:c>
      <x:c r="AW4" s="97" t="n">
        <x:v>37802</x:v>
      </x:c>
      <x:c r="AX4" s="97" t="n">
        <x:v>37848</x:v>
      </x:c>
      <x:c r="AY4" s="97" t="n">
        <x:v>37990</x:v>
      </x:c>
      <x:c r="AZ4" s="97" t="n">
        <x:v>38275</x:v>
      </x:c>
      <x:c r="BA4" s="97" t="n">
        <x:v>38362</x:v>
      </x:c>
      <x:c r="BB4" s="97" t="n">
        <x:v>38650</x:v>
      </x:c>
      <x:c r="BC4" s="97" t="n">
        <x:v>38699</x:v>
      </x:c>
      <x:c r="BD4" s="97" t="n">
        <x:v>39162</x:v>
      </x:c>
      <x:c r="BE4" s="97" t="n">
        <x:v>40513</x:v>
      </x:c>
      <x:c r="BF4" s="97" t="n">
        <x:v>40577</x:v>
      </x:c>
      <x:c r="BG4" s="97" t="n">
        <x:v>40577</x:v>
      </x:c>
      <x:c r="BH4" s="97" t="n">
        <x:v>40583</x:v>
      </x:c>
      <x:c r="BI4" s="97" t="n">
        <x:v>40778</x:v>
      </x:c>
      <x:c r="BJ4" s="97" t="n">
        <x:v>40788</x:v>
      </x:c>
      <x:c r="BK4" s="97" t="n">
        <x:v>40892</x:v>
      </x:c>
      <x:c r="BL4" s="97" t="n">
        <x:v>41290</x:v>
      </x:c>
      <x:c r="BM4" s="97" t="n">
        <x:v>41340</x:v>
      </x:c>
      <x:c r="BN4" s="97" t="n">
        <x:v>41456</x:v>
      </x:c>
      <x:c r="BO4" s="97" t="n">
        <x:v>41517</x:v>
      </x:c>
      <x:c r="BP4" s="97" t="n">
        <x:v>41575</x:v>
      </x:c>
      <x:c r="BQ4" s="97" t="n">
        <x:v>41746</x:v>
      </x:c>
      <x:c r="BR4" s="97" t="n">
        <x:v>41926</x:v>
      </x:c>
      <x:c r="BS4" s="97" t="n">
        <x:v>42199</x:v>
      </x:c>
      <x:c r="BT4" s="97" t="n">
        <x:v>42199</x:v>
      </x:c>
      <x:c r="BU4" s="97" t="n">
        <x:v>42855</x:v>
      </x:c>
      <x:c r="BV4" s="97" t="n">
        <x:v>42985</x:v>
      </x:c>
      <x:c r="BW4" s="97" t="n">
        <x:v>43363</x:v>
      </x:c>
      <x:c r="BX4" s="97" t="n">
        <x:v>44044</x:v>
      </x:c>
      <x:c r="BY4" s="97" t="n">
        <x:v>44136</x:v>
      </x:c>
      <x:c r="BZ4" s="97" t="n">
        <x:v>44348</x:v>
      </x:c>
      <x:c r="CA4" s="97" t="n">
        <x:v>44571</x:v>
      </x:c>
      <x:c r="CB4" s="97" t="n">
        <x:v>45588</x:v>
      </x:c>
      <x:c r="CC4" s="97" t="n">
        <x:v>45608</x:v>
      </x:c>
      <x:c r="CD4" s="97" t="n">
        <x:v>2754</x:v>
      </x:c>
      <x:c r="CE4" s="97" t="n">
        <x:v>7905</x:v>
      </x:c>
      <x:c r="CF4" s="97" t="n">
        <x:v>11290</x:v>
      </x:c>
      <x:c r="CG4" s="97" t="n">
        <x:v>16434</x:v>
      </x:c>
      <x:c r="CH4" s="97" t="n">
        <x:v>17950</x:v>
      </x:c>
      <x:c r="CI4" s="97" t="n">
        <x:v>3652</x:v>
      </x:c>
      <x:c r="CJ4" s="97" t="n"/>
      <x:c r="CK4" s="97" t="n"/>
      <x:c r="CL4" s="97" t="n"/>
      <x:c r="CM4" s="97" t="n"/>
      <x:c r="CN4" s="97" t="n"/>
      <x:c r="CO4" s="97" t="n"/>
      <x:c r="CP4" s="97" t="n"/>
      <x:c r="CQ4" s="97" t="n"/>
      <x:c r="CR4" s="97" t="n"/>
      <x:c r="CS4" s="97" t="n"/>
      <x:c r="CT4" s="97" t="n"/>
      <x:c r="CU4" s="97" t="n"/>
      <x:c r="CV4" s="97" t="n"/>
      <x:c r="CW4" s="97" t="n"/>
      <x:c r="CX4" s="97" t="n"/>
      <x:c r="CY4" s="97" t="n"/>
      <x:c r="CZ4" s="97" t="n"/>
      <x:c r="DA4" s="97" t="n"/>
      <x:c r="DB4" s="97" t="n"/>
      <x:c r="DC4" s="97" t="n"/>
      <x:c r="DD4" s="97" t="n"/>
      <x:c r="DE4" s="97" t="n"/>
      <x:c r="DF4" s="97" t="n"/>
      <x:c r="DG4" s="97" t="n"/>
      <x:c r="DH4" s="97" t="n"/>
      <x:c r="DI4" s="97" t="n"/>
      <x:c r="DJ4" s="97" t="n"/>
      <x:c r="DK4" s="97" t="n"/>
      <x:c r="DL4" s="97" t="n"/>
      <x:c r="DM4" s="97" t="n"/>
      <x:c r="DN4" s="97" t="n"/>
      <x:c r="DO4" s="97" t="n"/>
      <x:c r="DP4" s="97" t="n"/>
      <x:c r="DQ4" s="97" t="n"/>
      <x:c r="DR4" s="97" t="n"/>
      <x:c r="DS4" s="97" t="n"/>
      <x:c r="DT4" s="97" t="n"/>
      <x:c r="DU4" s="97" t="n"/>
      <x:c r="DV4" s="97" t="n"/>
      <x:c r="DW4" s="97" t="n"/>
      <x:c r="DX4" s="97" t="n"/>
      <x:c r="DY4" s="97" t="n"/>
      <x:c r="DZ4" s="97" t="n"/>
      <x:c r="EA4" s="97" t="n"/>
      <x:c r="EB4" s="97" t="n"/>
      <x:c r="EC4" s="97" t="n"/>
      <x:c r="ED4" s="97" t="n"/>
      <x:c r="EE4" s="97" t="n"/>
      <x:c r="EF4" s="97" t="n"/>
      <x:c r="EG4" s="97" t="n"/>
      <x:c r="EH4" s="97" t="n"/>
      <x:c r="EI4" s="97" t="n"/>
      <x:c r="EJ4" s="97" t="n"/>
      <x:c r="EK4" s="97" t="n"/>
      <x:c r="EL4" s="97" t="n"/>
      <x:c r="EM4" s="97" t="n"/>
      <x:c r="EN4" s="97" t="n"/>
      <x:c r="EO4" s="97" t="n"/>
      <x:c r="EP4" s="97" t="n"/>
      <x:c r="EQ4" s="97" t="n"/>
      <x:c r="ER4" s="97" t="n"/>
      <x:c r="ES4" s="97" t="n"/>
      <x:c r="ET4" s="97" t="n"/>
      <x:c r="EU4" s="97" t="n"/>
      <x:c r="EV4" s="97" t="n"/>
      <x:c r="EW4" s="97" t="n"/>
      <x:c r="EX4" s="97" t="n"/>
      <x:c r="EY4" s="97" t="n"/>
      <x:c r="EZ4" s="97" t="n"/>
      <x:c r="FA4" s="97" t="n"/>
      <x:c r="FB4" s="97" t="n"/>
      <x:c r="FC4" s="97" t="n"/>
      <x:c r="FD4" s="97" t="n"/>
      <x:c r="FE4" s="97" t="n"/>
      <x:c r="FF4" s="97" t="n"/>
      <x:c r="FG4" s="97" t="n"/>
      <x:c r="FH4" s="97" t="n"/>
      <x:c r="FI4" s="97" t="n"/>
      <x:c r="FJ4" s="97" t="n"/>
      <x:c r="FK4" s="97" t="n"/>
      <x:c r="FL4" s="97" t="n"/>
      <x:c r="FM4" s="97" t="n"/>
      <x:c r="FN4" s="97" t="n"/>
      <x:c r="FO4" s="97" t="n"/>
      <x:c r="FP4" s="97" t="n"/>
      <x:c r="FQ4" s="97" t="n"/>
      <x:c r="FR4" s="97" t="n"/>
      <x:c r="FS4" s="97" t="n"/>
      <x:c r="FT4" s="97" t="n"/>
      <x:c r="FU4" s="97" t="n"/>
      <x:c r="FV4" s="97" t="n"/>
      <x:c r="FW4" s="97" t="n"/>
      <x:c r="FX4" s="97" t="n"/>
      <x:c r="FY4" s="58" t="n"/>
      <x:c r="FZ4" s="58" t="n"/>
      <x:c r="GA4" s="58" t="n"/>
    </x:row>
    <x:row r="5" s="57" customFormat="1" ht="27.75" customHeight="1">
      <x:c r="A5" s="619" t="n"/>
      <x:c r="B5" s="625" t="inlineStr">
        <x:is>
          <x:t xml:space="preserve">TRACT ACRES</x:t>
        </x:is>
      </x:c>
      <x:c r="C5" s="626" t="n"/>
      <x:c r="D5" s="65" t="n">
        <x:v>40</x:v>
      </x:c>
      <x:c r="E5" s="627" t="inlineStr">
        <x:is>
          <x:t xml:space="preserve">Conveyance </x:t>
        </x:is>
      </x:c>
      <x:c r="F5" s="628" t="n"/>
      <x:c r="G5" s="60" t="n"/>
      <x:c r="H5" s="118" t="inlineStr">
        <x:is>
          <x:t xml:space="preserve">ARTI</x:t>
        </x:is>
      </x:c>
      <x:c r="I5" s="118" t="inlineStr">
        <x:is>
          <x:t xml:space="preserve">ARTI</x:t>
        </x:is>
      </x:c>
      <x:c r="J5" s="118" t="inlineStr">
        <x:is>
          <x:t xml:space="preserve">ARTI</x:t>
        </x:is>
      </x:c>
      <x:c r="K5" s="118" t="inlineStr">
        <x:is>
          <x:t xml:space="preserve">21.538462 NMA</x:t>
        </x:is>
      </x:c>
      <x:c r="L5" s="118" t="inlineStr">
        <x:is>
          <x:t xml:space="preserve">ARTI</x:t>
        </x:is>
      </x:c>
      <x:c r="M5" s="118" t="inlineStr">
        <x:is>
          <x:t xml:space="preserve">ARTI</x:t>
        </x:is>
      </x:c>
      <x:c r="N5" s="118" t="inlineStr">
        <x:is>
          <x:t xml:space="preserve">64.615385 NMA</x:t>
        </x:is>
      </x:c>
      <x:c r="O5" s="118" t="inlineStr">
        <x:is>
          <x:t xml:space="preserve">43.076923 NMA</x:t>
        </x:is>
      </x:c>
      <x:c r="P5" s="118" t="inlineStr">
        <x:is>
          <x:t xml:space="preserve">10.769231 NMA</x:t>
        </x:is>
      </x:c>
      <x:c r="Q5" s="118" t="inlineStr">
        <x:is>
          <x:t xml:space="preserve">10.769231 NMA</x:t>
        </x:is>
      </x:c>
      <x:c r="R5" s="118" t="inlineStr">
        <x:is>
          <x:t xml:space="preserve">10.769231 NMA</x:t>
        </x:is>
      </x:c>
      <x:c r="S5" s="118" t="inlineStr">
        <x:is>
          <x:t xml:space="preserve">5.384615 NMA</x:t>
        </x:is>
      </x:c>
      <x:c r="T5" s="118" t="inlineStr">
        <x:is>
          <x:t xml:space="preserve">43.076923 NMA</x:t>
        </x:is>
      </x:c>
      <x:c r="U5" s="118" t="inlineStr">
        <x:is>
          <x:t xml:space="preserve">ARTI</x:t>
        </x:is>
      </x:c>
      <x:c r="V5" s="118" t="inlineStr">
        <x:is>
          <x:t xml:space="preserve">ARTI</x:t>
        </x:is>
      </x:c>
      <x:c r="W5" s="118" t="inlineStr">
        <x:is>
          <x:t xml:space="preserve">ARTI</x:t>
        </x:is>
      </x:c>
      <x:c r="X5" s="118" t="inlineStr">
        <x:is>
          <x:t xml:space="preserve">2.153846 NMA</x:t>
        </x:is>
      </x:c>
      <x:c r="Y5" s="118" t="inlineStr">
        <x:is>
          <x:t xml:space="preserve">ARTI</x:t>
        </x:is>
      </x:c>
      <x:c r="Z5" s="118" t="inlineStr">
        <x:is>
          <x:t xml:space="preserve">10.769231 NMA</x:t>
        </x:is>
      </x:c>
      <x:c r="AA5" s="118" t="inlineStr">
        <x:is>
          <x:t xml:space="preserve">ARTI</x:t>
        </x:is>
      </x:c>
      <x:c r="AB5" s="118" t="inlineStr">
        <x:is>
          <x:t xml:space="preserve">ARTI</x:t>
        </x:is>
      </x:c>
      <x:c r="AC5" s="118" t="inlineStr">
        <x:is>
          <x:t xml:space="preserve">ARTI</x:t>
        </x:is>
      </x:c>
      <x:c r="AD5" s="118" t="inlineStr">
        <x:is>
          <x:t xml:space="preserve">ARTI</x:t>
        </x:is>
      </x:c>
      <x:c r="AE5" s="118" t="inlineStr">
        <x:is>
          <x:t xml:space="preserve">ARTI</x:t>
        </x:is>
      </x:c>
      <x:c r="AF5" s="118" t="inlineStr">
        <x:is>
          <x:t xml:space="preserve">5.384615 NMA</x:t>
        </x:is>
      </x:c>
      <x:c r="AG5" s="118" t="inlineStr">
        <x:is>
          <x:t xml:space="preserve">ARTI</x:t>
        </x:is>
      </x:c>
      <x:c r="AH5" s="118" t="inlineStr">
        <x:is>
          <x:t xml:space="preserve">ARTI</x:t>
        </x:is>
      </x:c>
      <x:c r="AI5" s="118" t="inlineStr">
        <x:is>
          <x:t xml:space="preserve">ARTI</x:t>
        </x:is>
      </x:c>
      <x:c r="AJ5" s="118" t="inlineStr">
        <x:is>
          <x:t xml:space="preserve">ARTI</x:t>
        </x:is>
      </x:c>
      <x:c r="AK5" s="118" t="inlineStr">
        <x:is>
          <x:t xml:space="preserve">1.076923 NMA</x:t>
        </x:is>
      </x:c>
      <x:c r="AL5" s="118" t="inlineStr">
        <x:is>
          <x:t xml:space="preserve">ARTI</x:t>
        </x:is>
      </x:c>
      <x:c r="AM5" s="118" t="inlineStr">
        <x:is>
          <x:t xml:space="preserve">2.153846 NMA</x:t>
        </x:is>
      </x:c>
      <x:c r="AN5" s="118" t="inlineStr">
        <x:is>
          <x:t xml:space="preserve">ARTI</x:t>
        </x:is>
      </x:c>
      <x:c r="AO5" s="118" t="inlineStr">
        <x:is>
          <x:t xml:space="preserve">ARTI</x:t>
        </x:is>
      </x:c>
      <x:c r="AP5" s="96" t="inlineStr">
        <x:is>
          <x:t xml:space="preserve">ARTI</x:t>
        </x:is>
      </x:c>
      <x:c r="AQ5" s="96" t="inlineStr">
        <x:is>
          <x:t xml:space="preserve">ARTI</x:t>
        </x:is>
      </x:c>
      <x:c r="AR5" s="96" t="inlineStr">
        <x:is>
          <x:t xml:space="preserve">ARTI</x:t>
        </x:is>
      </x:c>
      <x:c r="AS5" s="96" t="inlineStr">
        <x:is>
          <x:t xml:space="preserve">ARTI</x:t>
        </x:is>
      </x:c>
      <x:c r="AT5" s="96" t="inlineStr">
        <x:is>
          <x:t xml:space="preserve">ARTI</x:t>
        </x:is>
      </x:c>
      <x:c r="AU5" s="96" t="inlineStr">
        <x:is>
          <x:t xml:space="preserve">11.5385 NMA</x:t>
        </x:is>
      </x:c>
      <x:c r="AV5" s="96" t="inlineStr">
        <x:is>
          <x:t xml:space="preserve">Interest not stated — confirm from image.</x:t>
        </x:is>
      </x:c>
      <x:c r="AW5" s="96" t="inlineStr">
        <x:is>
          <x:t xml:space="preserve">ARTI</x:t>
        </x:is>
      </x:c>
      <x:c r="AX5" s="96" t="inlineStr">
        <x:is>
          <x:t xml:space="preserve">ARTI</x:t>
        </x:is>
      </x:c>
      <x:c r="AY5" s="96" t="inlineStr">
        <x:is>
          <x:t xml:space="preserve">ARTI</x:t>
        </x:is>
      </x:c>
      <x:c r="AZ5" s="96" t="inlineStr">
        <x:is>
          <x:t xml:space="preserve">ARTI</x:t>
        </x:is>
      </x:c>
      <x:c r="BA5" s="96" t="inlineStr">
        <x:is>
          <x:t xml:space="preserve">ARTI</x:t>
        </x:is>
      </x:c>
      <x:c r="BB5" s="96" t="inlineStr">
        <x:is>
          <x:t xml:space="preserve">ARTI</x:t>
        </x:is>
      </x:c>
      <x:c r="BC5" s="96" t="inlineStr">
        <x:is>
          <x:t xml:space="preserve">256.666667 NMA</x:t>
        </x:is>
      </x:c>
      <x:c r="BD5" s="96" t="inlineStr">
        <x:is>
          <x:t xml:space="preserve">ARTI</x:t>
        </x:is>
      </x:c>
      <x:c r="BE5" s="96" t="inlineStr">
        <x:is>
          <x:t xml:space="preserve">ARTI</x:t>
        </x:is>
      </x:c>
      <x:c r="BF5" s="96" t="inlineStr">
        <x:is>
          <x:t xml:space="preserve">ARTI</x:t>
        </x:is>
      </x:c>
      <x:c r="BG5" s="96" t="inlineStr">
        <x:is>
          <x:t xml:space="preserve">ARTI</x:t>
        </x:is>
      </x:c>
      <x:c r="BH5" s="96" t="inlineStr">
        <x:is>
          <x:t xml:space="preserve">ARTI</x:t>
        </x:is>
      </x:c>
      <x:c r="BI5" s="96" t="inlineStr">
        <x:is>
          <x:t xml:space="preserve">Interest not stated — confirm from image.</x:t>
        </x:is>
      </x:c>
      <x:c r="BJ5" s="96" t="inlineStr">
        <x:is>
          <x:t xml:space="preserve">Interest not stated — confirm from image.</x:t>
        </x:is>
      </x:c>
      <x:c r="BK5" s="96" t="inlineStr">
        <x:is>
          <x:t xml:space="preserve">ARTI</x:t>
        </x:is>
      </x:c>
      <x:c r="BL5" s="96" t="inlineStr">
        <x:is>
          <x:t xml:space="preserve">ARTI</x:t>
        </x:is>
      </x:c>
      <x:c r="BM5" s="96" t="inlineStr">
        <x:is>
          <x:t xml:space="preserve">Interest not stated — confirm from image.</x:t>
        </x:is>
      </x:c>
      <x:c r="BN5" s="96" t="inlineStr">
        <x:is>
          <x:t xml:space="preserve">12.694131 NMA</x:t>
        </x:is>
      </x:c>
      <x:c r="BO5" s="96" t="inlineStr">
        <x:is>
          <x:t xml:space="preserve">ARTI</x:t>
        </x:is>
      </x:c>
      <x:c r="BP5" s="96" t="inlineStr">
        <x:is>
          <x:t xml:space="preserve">ARTI</x:t>
        </x:is>
      </x:c>
      <x:c r="BQ5" s="96" t="inlineStr">
        <x:is>
          <x:t xml:space="preserve">118.461538 NMA</x:t>
        </x:is>
      </x:c>
      <x:c r="BR5" s="96" t="inlineStr">
        <x:is>
          <x:t xml:space="preserve">ARTI</x:t>
        </x:is>
      </x:c>
      <x:c r="BS5" s="96" t="inlineStr">
        <x:is>
          <x:t xml:space="preserve">Interest not stated — confirm from image.</x:t>
        </x:is>
      </x:c>
      <x:c r="BT5" s="96" t="inlineStr">
        <x:is>
          <x:t xml:space="preserve">Interest not stated — confirm from image.</x:t>
        </x:is>
      </x:c>
      <x:c r="BU5" s="96" t="inlineStr">
        <x:is>
          <x:t xml:space="preserve">Interest not stated — confirm from image.</x:t>
        </x:is>
      </x:c>
      <x:c r="BV5" s="96" t="inlineStr">
        <x:is>
          <x:t xml:space="preserve">ARTI</x:t>
        </x:is>
      </x:c>
      <x:c r="BW5" s="96" t="inlineStr">
        <x:is>
          <x:t xml:space="preserve">ARTI</x:t>
        </x:is>
      </x:c>
      <x:c r="BX5" s="96" t="inlineStr">
        <x:is>
          <x:t xml:space="preserve">Interest not stated — confirm from image.</x:t>
        </x:is>
      </x:c>
      <x:c r="BY5" s="96" t="inlineStr">
        <x:is>
          <x:t xml:space="preserve">ARTI</x:t>
        </x:is>
      </x:c>
      <x:c r="BZ5" s="96" t="inlineStr">
        <x:is>
          <x:t xml:space="preserve">ARTI</x:t>
        </x:is>
      </x:c>
      <x:c r="CA5" s="96" t="inlineStr">
        <x:is>
          <x:t xml:space="preserve">ARTI</x:t>
        </x:is>
      </x:c>
      <x:c r="CB5" s="96" t="inlineStr">
        <x:is>
          <x:t xml:space="preserve">34%</x:t>
        </x:is>
      </x:c>
      <x:c r="CC5" s="96" t="inlineStr">
        <x:is>
          <x:t xml:space="preserve">ARTI</x:t>
        </x:is>
      </x:c>
      <x:c r="CD5" s="96" t="inlineStr">
        <x:is>
          <x:t xml:space="preserve">ARTI</x:t>
        </x:is>
      </x:c>
      <x:c r="CE5" s="96" t="inlineStr">
        <x:is>
          <x:t xml:space="preserve">ARTI</x:t>
        </x:is>
      </x:c>
      <x:c r="CF5" s="96" t="inlineStr">
        <x:is>
          <x:t xml:space="preserve">ARTI</x:t>
        </x:is>
      </x:c>
      <x:c r="CG5" s="96" t="inlineStr">
        <x:is>
          <x:t xml:space="preserve">ARTI</x:t>
        </x:is>
      </x:c>
      <x:c r="CH5" s="96" t="inlineStr">
        <x:is>
          <x:t xml:space="preserve">220 NMA</x:t>
        </x:is>
      </x:c>
      <x:c r="CI5" s="96" t="inlineStr">
        <x:is>
          <x:t xml:space="preserve">ARTI</x:t>
        </x:is>
      </x:c>
      <x:c r="CJ5" s="96" t="n"/>
      <x:c r="CK5" s="96" t="n"/>
      <x:c r="CL5" s="96" t="n"/>
      <x:c r="CM5" s="96" t="n"/>
      <x:c r="CN5" s="96" t="n"/>
      <x:c r="CO5" s="96" t="n"/>
      <x:c r="CP5" s="96" t="n"/>
      <x:c r="CQ5" s="96" t="n"/>
      <x:c r="CR5" s="96" t="n"/>
      <x:c r="CS5" s="96" t="n"/>
      <x:c r="CT5" s="96" t="n"/>
      <x:c r="CU5" s="96" t="n"/>
      <x:c r="CV5" s="96" t="n"/>
      <x:c r="CW5" s="96" t="n"/>
      <x:c r="CX5" s="96" t="n"/>
      <x:c r="CY5" s="96" t="n"/>
      <x:c r="CZ5" s="96" t="n"/>
      <x:c r="DA5" s="96" t="n"/>
      <x:c r="DB5" s="96" t="n"/>
      <x:c r="DC5" s="96" t="n"/>
      <x:c r="DD5" s="96" t="n"/>
      <x:c r="DE5" s="96" t="n"/>
      <x:c r="DF5" s="96" t="n"/>
      <x:c r="DG5" s="96" t="n"/>
      <x:c r="DH5" s="96" t="n"/>
      <x:c r="DI5" s="96" t="n"/>
      <x:c r="DJ5" s="96" t="n"/>
      <x:c r="DK5" s="96" t="n"/>
      <x:c r="DL5" s="96" t="n"/>
      <x:c r="DM5" s="96" t="n"/>
      <x:c r="DN5" s="96" t="n"/>
      <x:c r="DO5" s="96" t="n"/>
      <x:c r="DP5" s="96" t="n"/>
      <x:c r="DQ5" s="96" t="n"/>
      <x:c r="DR5" s="96" t="n"/>
      <x:c r="DS5" s="96" t="n"/>
      <x:c r="DT5" s="96" t="n"/>
      <x:c r="DU5" s="96" t="n"/>
      <x:c r="DV5" s="96" t="n"/>
      <x:c r="DW5" s="96" t="n"/>
      <x:c r="DX5" s="96" t="n"/>
      <x:c r="DY5" s="96" t="n"/>
      <x:c r="DZ5" s="96" t="n"/>
      <x:c r="EA5" s="96" t="n"/>
      <x:c r="EB5" s="96" t="n"/>
      <x:c r="EC5" s="96" t="n"/>
      <x:c r="ED5" s="96" t="n"/>
      <x:c r="EE5" s="96" t="n"/>
      <x:c r="EF5" s="96" t="n"/>
      <x:c r="EG5" s="96" t="n"/>
      <x:c r="EH5" s="96" t="n"/>
      <x:c r="EI5" s="96" t="n"/>
      <x:c r="EJ5" s="96" t="n"/>
      <x:c r="EK5" s="96" t="n"/>
      <x:c r="EL5" s="96" t="n"/>
      <x:c r="EM5" s="96" t="n"/>
      <x:c r="EN5" s="96" t="n"/>
      <x:c r="EO5" s="96" t="n"/>
      <x:c r="EP5" s="96" t="n"/>
      <x:c r="EQ5" s="96" t="n"/>
      <x:c r="ER5" s="96" t="n"/>
      <x:c r="ES5" s="96" t="n"/>
      <x:c r="ET5" s="96" t="n"/>
      <x:c r="EU5" s="96" t="n"/>
      <x:c r="EV5" s="96" t="n"/>
      <x:c r="EW5" s="96" t="n"/>
      <x:c r="EX5" s="96" t="n"/>
      <x:c r="EY5" s="96" t="n"/>
      <x:c r="EZ5" s="96" t="n"/>
      <x:c r="FA5" s="96" t="n"/>
      <x:c r="FB5" s="96" t="n"/>
      <x:c r="FC5" s="96" t="n"/>
      <x:c r="FD5" s="96" t="n"/>
      <x:c r="FE5" s="96" t="n"/>
      <x:c r="FF5" s="96" t="n"/>
      <x:c r="FG5" s="96" t="n"/>
      <x:c r="FH5" s="96" t="n"/>
      <x:c r="FI5" s="96" t="n"/>
      <x:c r="FJ5" s="96" t="n"/>
      <x:c r="FK5" s="96" t="n"/>
      <x:c r="FL5" s="96" t="n"/>
      <x:c r="FM5" s="96" t="n"/>
      <x:c r="FN5" s="96" t="n"/>
      <x:c r="FO5" s="96" t="n"/>
      <x:c r="FP5" s="96" t="n"/>
      <x:c r="FQ5" s="96" t="n"/>
      <x:c r="FR5" s="96" t="n"/>
      <x:c r="FS5" s="96" t="n"/>
      <x:c r="FT5" s="96" t="n"/>
      <x:c r="FU5" s="96" t="n"/>
      <x:c r="FV5" s="96" t="n"/>
      <x:c r="FW5" s="96" t="n"/>
      <x:c r="FX5" s="96" t="n"/>
      <x:c r="FY5" s="59" t="n"/>
      <x:c r="FZ5" s="59" t="n"/>
      <x:c r="GA5" s="59" t="n"/>
    </x:row>
    <x:row r="6" s="55" customFormat="1" ht="14.25" customHeight="1">
      <x:c r="A6" s="629" t="n"/>
      <x:c r="B6" s="630" t="inlineStr">
        <x:is>
          <x:t xml:space="preserve">BASE OGL</x:t>
        </x:is>
      </x:c>
      <x:c r="C6" s="631" t="n">
        <x:v>40</x:v>
      </x:c>
      <x:c r="D6" s="632" t="inlineStr">
        <x:is>
          <x:t xml:space="preserve">Tract 10</x:t>
        </x:is>
      </x:c>
      <x:c r="E6" s="631" t="n">
        <x:f>SUBTOTAL(9,E9:E203)</x:f>
        <x:v>0.9999999999999958</x:v>
      </x:c>
      <x:c r="F6" s="633" t="inlineStr">
        <x:is>
          <x:t xml:space="preserve">SURFACE</x:t>
        </x:is>
      </x:c>
      <x:c r="G6" s="64" t="n"/>
      <x:c r="H6" s="64" t="str">
        <x:f>IF(H7=0,"","RECHECK")</x:f>
      </x:c>
      <x:c r="I6" s="64" t="n"/>
      <x:c r="J6" s="64" t="n"/>
      <x:c r="K6" s="64" t="str">
        <x:f>IF(K7=0,"","RECHECK")</x:f>
      </x:c>
      <x:c r="L6" s="64" t="n"/>
      <x:c r="M6" s="64" t="str">
        <x:f>IF(M7=0,"","RECHECK")</x:f>
      </x:c>
      <x:c r="N6" s="64" t="str">
        <x:f>IF(N7=0,"","RECHECK")</x:f>
      </x:c>
      <x:c r="O6" s="64" t="str">
        <x:f>IF(O7=0,"","RECHECK")</x:f>
      </x:c>
      <x:c r="P6" s="64" t="str">
        <x:f>IF(P7=0,"","RECHECK")</x:f>
      </x:c>
      <x:c r="Q6" s="64" t="n"/>
      <x:c r="R6" s="98" t="str">
        <x:f>IF(R7=0,"","RECHECK")</x:f>
      </x:c>
      <x:c r="S6" s="98" t="n"/>
      <x:c r="T6" s="64" t="str">
        <x:f>IF(T7=0,"","RECHECK")</x:f>
      </x:c>
      <x:c r="U6" s="64" t="str">
        <x:f>IF(U7=0,"","RECHECK")</x:f>
      </x:c>
      <x:c r="V6" s="64" t="str">
        <x:f>IF(V7=0,"","RECHECK")</x:f>
      </x:c>
      <x:c r="W6" s="64" t="str">
        <x:f>IF(W7=0,"","RECHECK")</x:f>
      </x:c>
      <x:c r="X6" s="64" t="str">
        <x:f>IF(X7=0,"","RECHECK")</x:f>
      </x:c>
      <x:c r="Y6" s="64" t="str">
        <x:f>IF(Y7=0,"","RECHECK")</x:f>
      </x:c>
      <x:c r="Z6" s="64" t="str">
        <x:f>IF(Z7=0,"","RECHECK")</x:f>
      </x:c>
      <x:c r="AA6" s="64" t="str">
        <x:f>IF(AA7=0,"","RECHECK")</x:f>
      </x:c>
      <x:c r="AB6" s="64" t="str">
        <x:f>IF(AB7=0,"","RECHECK")</x:f>
      </x:c>
      <x:c r="AC6" s="64" t="str">
        <x:f>IF(AC7=0,"","RECHECK")</x:f>
      </x:c>
      <x:c r="AD6" s="64" t="str">
        <x:f>IF(AD7=0,"","RECHECK")</x:f>
      </x:c>
      <x:c r="AE6" s="98" t="str">
        <x:f>IF(AE7=0,"","RECHECK")</x:f>
      </x:c>
      <x:c r="AF6" s="98" t="str">
        <x:f>IF(AF7=0,"","RECHECK")</x:f>
      </x:c>
      <x:c r="AG6" s="98" t="n"/>
      <x:c r="AH6" s="98" t="n"/>
      <x:c r="AI6" s="98" t="str">
        <x:f>IF(AI7=0,"","RECHECK")</x:f>
      </x:c>
      <x:c r="AJ6" s="98" t="str">
        <x:f>IF(AJ7=0,"","RECHECK")</x:f>
      </x:c>
      <x:c r="AK6" s="98" t="str">
        <x:f>IF(AK7=0,"","RECHECK")</x:f>
      </x:c>
      <x:c r="AL6" s="64" t="str">
        <x:f>IF(AL7=0,"","RECHECK")</x:f>
      </x:c>
      <x:c r="AM6" s="98" t="str">
        <x:f>IF(AM7=0,"","RECHECK")</x:f>
      </x:c>
      <x:c r="AN6" s="64" t="str">
        <x:f>IF(AN7=0,"","RECHECK")</x:f>
      </x:c>
      <x:c r="AO6" s="98" t="str">
        <x:f>IF(AO7=0,"","RECHECK")</x:f>
      </x:c>
      <x:c r="AP6" s="64" t="str">
        <x:f>IF(AP7=0,"","RECHECK")</x:f>
      </x:c>
      <x:c r="AQ6" s="64" t="str">
        <x:f>IF(AQ7=0,"","RECHECK")</x:f>
      </x:c>
      <x:c r="AR6" s="64" t="str">
        <x:f>IF(AR7=0,"","RECHECK")</x:f>
      </x:c>
      <x:c r="AS6" s="64" t="str">
        <x:f>IF(AS7=0,"","RECHECK")</x:f>
      </x:c>
      <x:c r="AT6" s="64" t="str">
        <x:f>IF(AT7=0,"","RECHECK")</x:f>
      </x:c>
      <x:c r="AU6" s="64" t="str">
        <x:f>IF(AU7=0,"","RECHECK")</x:f>
      </x:c>
      <x:c r="AV6" s="64" t="str">
        <x:f>IF(AV7=0,"","RECHECK")</x:f>
      </x:c>
      <x:c r="AW6" s="64" t="str">
        <x:f>IF(AW7=0,"","RECHECK")</x:f>
      </x:c>
      <x:c r="AX6" s="64" t="str">
        <x:f>IF(AX7=0,"","RECHECK")</x:f>
      </x:c>
      <x:c r="AY6" s="64" t="str">
        <x:f>IF(AY7=0,"","RECHECK")</x:f>
      </x:c>
      <x:c r="AZ6" s="64" t="str">
        <x:f>IF(AZ7=0,"","RECHECK")</x:f>
      </x:c>
      <x:c r="BA6" s="64" t="str">
        <x:f>IF(BA7=0,"","RECHECK")</x:f>
      </x:c>
      <x:c r="BB6" s="64" t="str">
        <x:f>IF(BB7=0,"","RECHECK")</x:f>
      </x:c>
      <x:c r="BC6" s="64" t="str">
        <x:f>IF(BC7=0,"","RECHECK")</x:f>
      </x:c>
      <x:c r="BD6" s="64" t="str">
        <x:f>IF(BD7=0,"","RECHECK")</x:f>
      </x:c>
      <x:c r="BE6" s="64" t="str">
        <x:f>IF(BE7=0,"","RECHECK")</x:f>
      </x:c>
      <x:c r="BF6" s="64" t="str">
        <x:f>IF(BF7=0,"","RECHECK")</x:f>
      </x:c>
      <x:c r="BG6" s="64" t="str">
        <x:f>IF(BG7=0,"","RECHECK")</x:f>
      </x:c>
      <x:c r="BH6" s="64" t="str">
        <x:f>IF(BH7=0,"","RECHECK")</x:f>
      </x:c>
      <x:c r="BI6" s="64" t="str">
        <x:f>IF(BI7=0,"","RECHECK")</x:f>
      </x:c>
      <x:c r="BJ6" s="64" t="str">
        <x:f>IF(BJ7=0,"","RECHECK")</x:f>
      </x:c>
      <x:c r="BK6" s="64" t="str">
        <x:f>IF(BK7=0,"","RECHECK")</x:f>
      </x:c>
      <x:c r="BL6" s="64" t="str">
        <x:f>IF(BL7=0,"","RECHECK")</x:f>
      </x:c>
      <x:c r="BM6" s="64" t="str">
        <x:f>IF(BM7=0,"","RECHECK")</x:f>
      </x:c>
      <x:c r="BN6" s="64" t="str">
        <x:f>IF(BN7=0,"","RECHECK")</x:f>
      </x:c>
      <x:c r="BO6" s="64" t="str">
        <x:f>IF(BO7=0,"","RECHECK")</x:f>
      </x:c>
      <x:c r="BP6" s="64" t="str">
        <x:f>IF(BP7=0,"","RECHECK")</x:f>
      </x:c>
      <x:c r="BQ6" s="64" t="str">
        <x:f>IF(BQ7=0,"","RECHECK")</x:f>
      </x:c>
      <x:c r="BR6" s="64" t="str">
        <x:f>IF(BR7=0,"","RECHECK")</x:f>
      </x:c>
      <x:c r="BS6" s="64" t="str">
        <x:f>IF(BS7=0,"","RECHECK")</x:f>
      </x:c>
      <x:c r="BT6" s="64" t="str">
        <x:f>IF(BT7=0,"","RECHECK")</x:f>
      </x:c>
      <x:c r="BU6" s="64" t="str">
        <x:f>IF(BU7=0,"","RECHECK")</x:f>
      </x:c>
      <x:c r="BV6" s="64" t="str">
        <x:f>IF(BV7=0,"","RECHECK")</x:f>
      </x:c>
      <x:c r="BW6" s="64" t="str">
        <x:f>IF(BW7=0,"","RECHECK")</x:f>
      </x:c>
      <x:c r="BX6" s="64" t="str">
        <x:f>IF(BX7=0,"","RECHECK")</x:f>
      </x:c>
      <x:c r="BY6" s="64" t="str">
        <x:f>IF(BY7=0,"","RECHECK")</x:f>
      </x:c>
      <x:c r="BZ6" s="64" t="str">
        <x:f>IF(BZ7=0,"","RECHECK")</x:f>
      </x:c>
      <x:c r="CA6" s="64" t="str">
        <x:f>IF(CA7=0,"","RECHECK")</x:f>
      </x:c>
      <x:c r="CB6" s="64" t="str">
        <x:f>IF(CB7=0,"","RECHECK")</x:f>
      </x:c>
      <x:c r="CC6" s="64" t="str">
        <x:f>IF(CC7=0,"","RECHECK")</x:f>
      </x:c>
      <x:c r="CD6" s="64" t="str">
        <x:f>IF(CD7=0,"","RECHECK")</x:f>
      </x:c>
      <x:c r="CE6" s="64" t="str">
        <x:f>IF(CE7=0,"","RECHECK")</x:f>
      </x:c>
      <x:c r="CF6" s="64" t="str">
        <x:f>IF(CF7=0,"","RECHECK")</x:f>
      </x:c>
      <x:c r="CG6" s="64" t="str">
        <x:f>IF(CG7=0,"","RECHECK")</x:f>
      </x:c>
      <x:c r="CH6" s="64" t="str">
        <x:f>IF(CH7=0,"","RECHECK")</x:f>
      </x:c>
      <x:c r="CI6" s="64" t="str">
        <x:f>IF(CI7=0,"","RECHECK")</x:f>
      </x:c>
      <x:c r="CJ6" s="64" t="str">
        <x:f>IF(CJ7=0,"","RECHECK")</x:f>
      </x:c>
      <x:c r="CK6" s="64" t="str">
        <x:f>IF(CK7=0,"","RECHECK")</x:f>
      </x:c>
      <x:c r="CL6" s="64" t="str">
        <x:f>IF(CL7=0,"","RECHECK")</x:f>
      </x:c>
      <x:c r="CM6" s="64" t="str">
        <x:f>IF(CM7=0,"","RECHECK")</x:f>
      </x:c>
      <x:c r="CN6" s="64" t="str">
        <x:f>IF(CN7=0,"","RECHECK")</x:f>
      </x:c>
      <x:c r="CO6" s="64" t="str">
        <x:f>IF(CO7=0,"","RECHECK")</x:f>
      </x:c>
      <x:c r="CP6" s="64" t="str">
        <x:f>IF(CP7=0,"","RECHECK")</x:f>
      </x:c>
      <x:c r="CQ6" s="64" t="str">
        <x:f>IF(CQ7=0,"","RECHECK")</x:f>
      </x:c>
      <x:c r="CR6" s="64" t="str">
        <x:f>IF(CR7=0,"","RECHECK")</x:f>
      </x:c>
      <x:c r="CS6" s="64" t="str">
        <x:f>IF(CS7=0,"","RECHECK")</x:f>
      </x:c>
      <x:c r="CT6" s="64" t="str">
        <x:f>IF(CT7=0,"","RECHECK")</x:f>
      </x:c>
      <x:c r="CU6" s="64" t="str">
        <x:f>IF(CU7=0,"","RECHECK")</x:f>
      </x:c>
      <x:c r="CV6" s="64" t="str">
        <x:f>IF(CV7=0,"","RECHECK")</x:f>
      </x:c>
      <x:c r="CW6" s="64" t="str">
        <x:f>IF(CW7=0,"","RECHECK")</x:f>
      </x:c>
      <x:c r="CX6" s="64" t="str">
        <x:f>IF(CX7=0,"","RECHECK")</x:f>
      </x:c>
      <x:c r="CY6" s="64" t="str">
        <x:f>IF(CY7=0,"","RECHECK")</x:f>
      </x:c>
      <x:c r="CZ6" s="64" t="str">
        <x:f>IF(CZ7=0,"","RECHECK")</x:f>
      </x:c>
      <x:c r="DA6" s="64" t="str">
        <x:f>IF(DA7=0,"","RECHECK")</x:f>
      </x:c>
      <x:c r="DB6" s="64" t="str">
        <x:f>IF(DB7=0,"","RECHECK")</x:f>
      </x:c>
      <x:c r="DC6" s="64" t="str">
        <x:f>IF(DC7=0,"","RECHECK")</x:f>
      </x:c>
      <x:c r="DD6" s="64" t="str">
        <x:f>IF(DD7=0,"","RECHECK")</x:f>
      </x:c>
      <x:c r="DE6" s="64" t="str">
        <x:f>IF(DE7=0,"","RECHECK")</x:f>
      </x:c>
      <x:c r="DF6" s="64" t="str">
        <x:f>IF(DF7=0,"","RECHECK")</x:f>
      </x:c>
      <x:c r="DG6" s="64" t="str">
        <x:f>IF(DG7=0,"","RECHECK")</x:f>
      </x:c>
      <x:c r="DH6" s="64" t="str">
        <x:f>IF(DH7=0,"","RECHECK")</x:f>
      </x:c>
      <x:c r="DI6" s="64" t="str">
        <x:f>IF(DI7=0,"","RECHECK")</x:f>
      </x:c>
      <x:c r="DJ6" s="64" t="str">
        <x:f>IF(DJ7=0,"","RECHECK")</x:f>
      </x:c>
      <x:c r="DK6" s="64" t="str">
        <x:f>IF(DK7=0,"","RECHECK")</x:f>
      </x:c>
      <x:c r="DL6" s="64" t="str">
        <x:f>IF(DL7=0,"","RECHECK")</x:f>
      </x:c>
      <x:c r="DM6" s="64" t="str">
        <x:f>IF(DM7=0,"","RECHECK")</x:f>
      </x:c>
      <x:c r="DN6" s="64" t="str">
        <x:f>IF(DN7=0,"","RECHECK")</x:f>
      </x:c>
      <x:c r="DO6" s="64" t="str">
        <x:f>IF(DO7=0,"","RECHECK")</x:f>
      </x:c>
      <x:c r="DP6" s="64" t="str">
        <x:f>IF(DP7=0,"","RECHECK")</x:f>
      </x:c>
      <x:c r="DQ6" s="64" t="str">
        <x:f>IF(DQ7=0,"","RECHECK")</x:f>
      </x:c>
      <x:c r="DR6" s="64" t="str">
        <x:f>IF(DR7=0,"","RECHECK")</x:f>
      </x:c>
      <x:c r="DS6" s="64" t="str">
        <x:f>IF(DS7=0,"","RECHECK")</x:f>
      </x:c>
      <x:c r="DT6" s="64" t="str">
        <x:f>IF(DT7=0,"","RECHECK")</x:f>
      </x:c>
      <x:c r="DU6" s="64" t="str">
        <x:f>IF(DU7=0,"","RECHECK")</x:f>
      </x:c>
      <x:c r="DV6" s="64" t="str">
        <x:f>IF(DV7=0,"","RECHECK")</x:f>
      </x:c>
      <x:c r="DW6" s="64" t="str">
        <x:f>IF(DW7=0,"","RECHECK")</x:f>
      </x:c>
      <x:c r="DX6" s="64" t="str">
        <x:f>IF(DX7=0,"","RECHECK")</x:f>
      </x:c>
      <x:c r="DY6" s="64" t="str">
        <x:f>IF(DY7=0,"","RECHECK")</x:f>
      </x:c>
      <x:c r="DZ6" s="64" t="str">
        <x:f>IF(DZ7=0,"","RECHECK")</x:f>
      </x:c>
      <x:c r="EA6" s="64" t="str">
        <x:f>IF(EA7=0,"","RECHECK")</x:f>
      </x:c>
      <x:c r="EB6" s="64" t="str">
        <x:f>IF(EB7=0,"","RECHECK")</x:f>
      </x:c>
      <x:c r="EC6" s="64" t="str">
        <x:f>IF(EC7=0,"","RECHECK")</x:f>
      </x:c>
      <x:c r="ED6" s="64" t="str">
        <x:f>IF(ED7=0,"","RECHECK")</x:f>
      </x:c>
      <x:c r="EE6" s="64" t="str">
        <x:f>IF(EE7=0,"","RECHECK")</x:f>
      </x:c>
      <x:c r="EF6" s="64" t="str">
        <x:f>IF(EF7=0,"","RECHECK")</x:f>
      </x:c>
      <x:c r="EG6" s="64" t="str">
        <x:f>IF(EG7=0,"","RECHECK")</x:f>
      </x:c>
      <x:c r="EH6" s="64" t="str">
        <x:f>IF(EH7=0,"","RECHECK")</x:f>
      </x:c>
      <x:c r="EI6" s="64" t="str">
        <x:f>IF(EI7=0,"","RECHECK")</x:f>
      </x:c>
      <x:c r="EJ6" s="64" t="str">
        <x:f>IF(EJ7=0,"","RECHECK")</x:f>
      </x:c>
      <x:c r="EK6" s="64" t="str">
        <x:f>IF(EK7=0,"","RECHECK")</x:f>
      </x:c>
      <x:c r="EL6" s="64" t="str">
        <x:f>IF(EL7=0,"","RECHECK")</x:f>
      </x:c>
      <x:c r="EM6" s="64" t="str">
        <x:f>IF(EM7=0,"","RECHECK")</x:f>
      </x:c>
      <x:c r="EN6" s="64" t="str">
        <x:f>IF(EN7=0,"","RECHECK")</x:f>
      </x:c>
      <x:c r="EO6" s="64" t="str">
        <x:f>IF(EO7=0,"","RECHECK")</x:f>
      </x:c>
      <x:c r="EP6" s="64" t="str">
        <x:f>IF(EP7=0,"","RECHECK")</x:f>
      </x:c>
      <x:c r="EQ6" s="64" t="str">
        <x:f>IF(EQ7=0,"","RECHECK")</x:f>
      </x:c>
      <x:c r="ER6" s="64" t="str">
        <x:f>IF(ER7=0,"","RECHECK")</x:f>
      </x:c>
      <x:c r="ES6" s="64" t="str">
        <x:f>IF(ES7=0,"","RECHECK")</x:f>
      </x:c>
      <x:c r="ET6" s="64" t="str">
        <x:f>IF(ET7=0,"","RECHECK")</x:f>
      </x:c>
      <x:c r="EU6" s="64" t="str">
        <x:f>IF(EU7=0,"","RECHECK")</x:f>
      </x:c>
      <x:c r="EV6" s="64" t="str">
        <x:f>IF(EV7=0,"","RECHECK")</x:f>
      </x:c>
      <x:c r="EW6" s="64" t="str">
        <x:f>IF(EW7=0,"","RECHECK")</x:f>
      </x:c>
      <x:c r="EX6" s="64" t="str">
        <x:f>IF(EX7=0,"","RECHECK")</x:f>
      </x:c>
      <x:c r="EY6" s="64" t="str">
        <x:f>IF(EY7=0,"","RECHECK")</x:f>
      </x:c>
      <x:c r="EZ6" s="64" t="str">
        <x:f>IF(EZ7=0,"","RECHECK")</x:f>
      </x:c>
      <x:c r="FA6" s="64" t="str">
        <x:f>IF(FA7=0,"","RECHECK")</x:f>
      </x:c>
      <x:c r="FB6" s="64" t="str">
        <x:f>IF(FB7=0,"","RECHECK")</x:f>
      </x:c>
      <x:c r="FC6" s="64" t="str">
        <x:f>IF(FC7=0,"","RECHECK")</x:f>
      </x:c>
      <x:c r="FD6" s="64" t="str">
        <x:f>IF(FD7=0,"","RECHECK")</x:f>
      </x:c>
      <x:c r="FE6" s="64" t="str">
        <x:f>IF(FE7=0,"","RECHECK")</x:f>
      </x:c>
      <x:c r="FF6" s="64" t="str">
        <x:f>IF(FF7=0,"","RECHECK")</x:f>
      </x:c>
      <x:c r="FG6" s="64" t="str">
        <x:f>IF(FG7=0,"","RECHECK")</x:f>
      </x:c>
      <x:c r="FH6" s="64" t="str">
        <x:f>IF(FH7=0,"","RECHECK")</x:f>
      </x:c>
      <x:c r="FI6" s="64" t="str">
        <x:f>IF(FI7=0,"","RECHECK")</x:f>
      </x:c>
      <x:c r="FJ6" s="64" t="str">
        <x:f>IF(FJ7=0,"","RECHECK")</x:f>
      </x:c>
      <x:c r="FK6" s="64" t="str">
        <x:f>IF(FK7=0,"","RECHECK")</x:f>
      </x:c>
      <x:c r="FL6" s="64" t="str">
        <x:f>IF(FL7=0,"","RECHECK")</x:f>
      </x:c>
      <x:c r="FM6" s="64" t="str">
        <x:f>IF(FM7=0,"","RECHECK")</x:f>
      </x:c>
      <x:c r="FN6" s="64" t="str">
        <x:f>IF(FN7=0,"","RECHECK")</x:f>
      </x:c>
      <x:c r="FO6" s="64" t="str">
        <x:f>IF(FO7=0,"","RECHECK")</x:f>
      </x:c>
      <x:c r="FP6" s="64" t="str">
        <x:f>IF(FP7=0,"","RECHECK")</x:f>
      </x:c>
      <x:c r="FQ6" s="64" t="str">
        <x:f>IF(FQ7=0,"","RECHECK")</x:f>
      </x:c>
      <x:c r="FR6" s="64" t="str">
        <x:f>IF(FR7=0,"","RECHECK")</x:f>
      </x:c>
      <x:c r="FS6" s="64" t="str">
        <x:f>IF(FS7=0,"","RECHECK")</x:f>
      </x:c>
      <x:c r="FT6" s="64" t="str">
        <x:f>IF(FT7=0,"","RECHECK")</x:f>
      </x:c>
      <x:c r="FU6" s="64" t="str">
        <x:f>IF(FU7=0,"","RECHECK")</x:f>
      </x:c>
      <x:c r="FV6" s="64" t="str">
        <x:f>IF(FV7=0,"","RECHECK")</x:f>
      </x:c>
      <x:c r="FW6" s="64" t="str">
        <x:f>IF(FW7=0,"","RECHECK")</x:f>
      </x:c>
      <x:c r="FX6" s="64" t="str">
        <x:f>IF(FX7=0,"","RECHECK")</x:f>
      </x:c>
      <x:c r="FY6" s="64" t="str">
        <x:f>IF(FY7=0,"","RECHECK")</x:f>
      </x:c>
      <x:c r="FZ6" s="64" t="str">
        <x:f>IF(FZ7=0,"","RECHECK")</x:f>
      </x:c>
      <x:c r="GA6" s="64" t="str">
        <x:f>IF(GA7=0,"","RECHECK")</x:f>
      </x:c>
    </x:row>
    <x:row r="7" s="53" customFormat="1" ht="14.25" customHeight="1">
      <x:c r="A7" s="54" t="n"/>
      <x:c r="B7" s="593" t="n"/>
      <x:c r="C7" s="634" t="n"/>
      <x:c r="D7" s="634" t="n"/>
      <x:c r="E7" s="634" t="n"/>
      <x:c r="F7" s="635" t="n"/>
      <x:c r="G7" s="636" t="n">
        <x:f>SUBTOTAL(9,G10:G204)</x:f>
        <x:v>1</x:v>
      </x:c>
      <x:c r="H7" s="637" t="n">
        <x:f>SUBTOTAL(9,H10:H204)</x:f>
        <x:v>0</x:v>
      </x:c>
      <x:c r="I7" s="637" t="n">
        <x:f>SUBTOTAL(9,I10:I204)</x:f>
        <x:v>0</x:v>
      </x:c>
      <x:c r="J7" s="637" t="n">
        <x:f>SUBTOTAL(9,J10:J204)</x:f>
        <x:v>-5.551115123125783e-17</x:v>
      </x:c>
      <x:c r="K7" s="637" t="n">
        <x:f>SUBTOTAL(9,K10:K204)</x:f>
        <x:v>0</x:v>
      </x:c>
      <x:c r="L7" s="637" t="n">
        <x:f>SUBTOTAL(9,L10:L204)</x:f>
        <x:v>0</x:v>
      </x:c>
      <x:c r="M7" s="637" t="n">
        <x:f>SUBTOTAL(9,M10:M204)</x:f>
        <x:v>0</x:v>
      </x:c>
      <x:c r="N7" s="637" t="n">
        <x:f>SUBTOTAL(9,N10:N204)</x:f>
        <x:v>0</x:v>
      </x:c>
      <x:c r="O7" s="637" t="n">
        <x:f>SUBTOTAL(9,O10:O204)</x:f>
        <x:v>0</x:v>
      </x:c>
      <x:c r="P7" s="637" t="n">
        <x:f>SUBTOTAL(9,P10:P204)</x:f>
        <x:v>0</x:v>
      </x:c>
      <x:c r="Q7" s="637" t="n">
        <x:f>SUBTOTAL(9,Q10:Q204)</x:f>
        <x:v>0</x:v>
      </x:c>
      <x:c r="R7" s="638" t="n">
        <x:f>SUBTOTAL(9,R10:R208)</x:f>
        <x:v>0</x:v>
      </x:c>
      <x:c r="S7" s="638" t="n">
        <x:f>SUBTOTAL(9,S10:S208)</x:f>
        <x:v>0</x:v>
      </x:c>
      <x:c r="T7" s="637" t="n">
        <x:f>SUBTOTAL(9,T10:T204)</x:f>
        <x:v>0</x:v>
      </x:c>
      <x:c r="U7" s="637" t="n">
        <x:f>SUBTOTAL(9,U10:U204)</x:f>
        <x:v>0</x:v>
      </x:c>
      <x:c r="V7" s="637" t="n">
        <x:f>SUBTOTAL(9,V10:V204)</x:f>
        <x:v>0</x:v>
      </x:c>
      <x:c r="W7" s="637" t="n">
        <x:f>SUBTOTAL(9,W10:W204)</x:f>
        <x:v>-8.673617379884035e-19</x:v>
      </x:c>
      <x:c r="X7" s="637" t="n">
        <x:f>SUBTOTAL(9,X10:X204)</x:f>
        <x:v>0</x:v>
      </x:c>
      <x:c r="Y7" s="637" t="n">
        <x:f>SUBTOTAL(9,Y10:Y204)</x:f>
        <x:v>0</x:v>
      </x:c>
      <x:c r="Z7" s="637" t="n">
        <x:f>SUBTOTAL(9,Z10:Z204)</x:f>
        <x:v>0</x:v>
      </x:c>
      <x:c r="AA7" s="637" t="n">
        <x:f>SUBTOTAL(9,AA10:AA204)</x:f>
        <x:v>0</x:v>
      </x:c>
      <x:c r="AB7" s="637" t="n">
        <x:f>SUBTOTAL(9,AB10:AB204)</x:f>
        <x:v>0</x:v>
      </x:c>
      <x:c r="AC7" s="637" t="n">
        <x:f>SUBTOTAL(9,AC10:AC204)</x:f>
        <x:v>0</x:v>
      </x:c>
      <x:c r="AD7" s="637" t="n">
        <x:f>SUBTOTAL(9,AD10:AD204)</x:f>
        <x:v>0</x:v>
      </x:c>
      <x:c r="AE7" s="638" t="n">
        <x:f>SUBTOTAL(9,AE10:AE204)</x:f>
        <x:v>0</x:v>
      </x:c>
      <x:c r="AF7" s="638" t="n">
        <x:f>SUBTOTAL(9,AF10:AF208)</x:f>
        <x:v>0</x:v>
      </x:c>
      <x:c r="AG7" s="638" t="n">
        <x:f>SUBTOTAL(9,AG10:AG212)</x:f>
        <x:v>0</x:v>
      </x:c>
      <x:c r="AH7" s="638" t="n">
        <x:f>SUBTOTAL(9,AH10:AH206)</x:f>
        <x:v>-9.992007221626409e-16</x:v>
      </x:c>
      <x:c r="AI7" s="638" t="n">
        <x:f>SUBTOTAL(9,AI10:AI206)</x:f>
        <x:v>0</x:v>
      </x:c>
      <x:c r="AJ7" s="638" t="n">
        <x:f>SUBTOTAL(9,AJ10:AJ206)</x:f>
        <x:v>0</x:v>
      </x:c>
      <x:c r="AK7" s="638" t="n">
        <x:f>SUBTOTAL(9,AK10:AK206)</x:f>
        <x:v>0</x:v>
      </x:c>
      <x:c r="AL7" s="637" t="n">
        <x:f>SUBTOTAL(9,AL10:AL204)</x:f>
        <x:v>0</x:v>
      </x:c>
      <x:c r="AM7" s="638" t="n">
        <x:f>SUBTOTAL(9,AM10:AM203)</x:f>
        <x:v>0</x:v>
      </x:c>
      <x:c r="AN7" s="637" t="n">
        <x:f>SUBTOTAL(9,AN10:AN204)</x:f>
        <x:v>0</x:v>
      </x:c>
      <x:c r="AO7" s="638" t="n">
        <x:f>SUBTOTAL(9,AO10:AO206)</x:f>
        <x:v>0</x:v>
      </x:c>
      <x:c r="AP7" s="637" t="n">
        <x:f>SUBTOTAL(9,AP10:AP204)</x:f>
        <x:v>0</x:v>
      </x:c>
      <x:c r="AQ7" s="637" t="n">
        <x:f>SUBTOTAL(9,AQ10:AQ204)</x:f>
        <x:v>0</x:v>
      </x:c>
      <x:c r="AR7" s="637" t="n">
        <x:f>SUBTOTAL(9,AR10:AR204)</x:f>
        <x:v>0</x:v>
      </x:c>
      <x:c r="AS7" s="637" t="n">
        <x:f>SUBTOTAL(9,AS10:AS204)</x:f>
        <x:v>0</x:v>
      </x:c>
      <x:c r="AT7" s="637" t="n">
        <x:f>SUBTOTAL(9,AT10:AT204)</x:f>
        <x:v>0</x:v>
      </x:c>
      <x:c r="AU7" s="637" t="n">
        <x:f>SUBTOTAL(9,AU10:AU204)</x:f>
        <x:v>0</x:v>
      </x:c>
      <x:c r="AV7" s="637" t="n">
        <x:f>SUBTOTAL(9,AV10:AV204)</x:f>
        <x:v>0</x:v>
      </x:c>
      <x:c r="AW7" s="637" t="n">
        <x:f>SUBTOTAL(9,AW10:AW204)</x:f>
        <x:v>0</x:v>
      </x:c>
      <x:c r="AX7" s="637" t="n">
        <x:f>SUBTOTAL(9,AX10:AX204)</x:f>
        <x:v>0</x:v>
      </x:c>
      <x:c r="AY7" s="637" t="n">
        <x:f>SUBTOTAL(9,AY10:AY204)</x:f>
        <x:v>0</x:v>
      </x:c>
      <x:c r="AZ7" s="637" t="n">
        <x:f>SUBTOTAL(9,AZ10:AZ204)</x:f>
        <x:v>0</x:v>
      </x:c>
      <x:c r="BA7" s="637" t="n">
        <x:f>SUBTOTAL(9,BA10:BA204)</x:f>
        <x:v>0</x:v>
      </x:c>
      <x:c r="BB7" s="637" t="n">
        <x:f>SUBTOTAL(9,BB10:BB204)</x:f>
        <x:v>0</x:v>
      </x:c>
      <x:c r="BC7" s="637" t="n">
        <x:f>SUBTOTAL(9,BC10:BC204)</x:f>
        <x:v>0</x:v>
      </x:c>
      <x:c r="BD7" s="637" t="n">
        <x:f>SUBTOTAL(9,BD10:BD204)</x:f>
        <x:v>0</x:v>
      </x:c>
      <x:c r="BE7" s="637" t="n">
        <x:f>SUBTOTAL(9,BE10:BE204)</x:f>
        <x:v>0</x:v>
      </x:c>
      <x:c r="BF7" s="637" t="n">
        <x:f>SUBTOTAL(9,BF10:BF204)</x:f>
        <x:v>-2.7755575615628914e-16</x:v>
      </x:c>
      <x:c r="BG7" s="637" t="n">
        <x:f>SUBTOTAL(9,BG10:BG204)</x:f>
        <x:v>-1.1102230246251565e-15</x:v>
      </x:c>
      <x:c r="BH7" s="637" t="n">
        <x:f>SUBTOTAL(9,BH10:BH204)</x:f>
        <x:v>1.1102230246251565e-15</x:v>
      </x:c>
      <x:c r="BI7" s="637" t="n">
        <x:f>SUBTOTAL(9,BI10:BI204)</x:f>
        <x:v>0</x:v>
      </x:c>
      <x:c r="BJ7" s="637" t="n">
        <x:f>SUBTOTAL(9,BJ10:BJ204)</x:f>
        <x:v>0</x:v>
      </x:c>
      <x:c r="BK7" s="637" t="n">
        <x:f>SUBTOTAL(9,BK10:BK204)</x:f>
        <x:v>-2.886579864025407e-15</x:v>
      </x:c>
      <x:c r="BL7" s="637" t="n">
        <x:f>SUBTOTAL(9,BL10:BL204)</x:f>
        <x:v>0</x:v>
      </x:c>
      <x:c r="BM7" s="637" t="n">
        <x:f>SUBTOTAL(9,BM10:BM204)</x:f>
        <x:v>0</x:v>
      </x:c>
      <x:c r="BN7" s="637" t="n">
        <x:f>SUBTOTAL(9,BN10:BN204)</x:f>
        <x:v>0</x:v>
      </x:c>
      <x:c r="BO7" s="637" t="n">
        <x:f>SUBTOTAL(9,BO10:BO204)</x:f>
        <x:v>0</x:v>
      </x:c>
      <x:c r="BP7" s="637" t="n">
        <x:f>SUBTOTAL(9,BP10:BP204)</x:f>
        <x:v>0</x:v>
      </x:c>
      <x:c r="BQ7" s="637" t="n">
        <x:f>SUBTOTAL(9,BQ10:BQ204)</x:f>
        <x:v>0</x:v>
      </x:c>
      <x:c r="BR7" s="637" t="n">
        <x:f>SUBTOTAL(9,BR10:BR204)</x:f>
        <x:v>0</x:v>
      </x:c>
      <x:c r="BS7" s="637" t="n">
        <x:f>SUBTOTAL(9,BS10:BS204)</x:f>
        <x:v>0</x:v>
      </x:c>
      <x:c r="BT7" s="637" t="n">
        <x:f>SUBTOTAL(9,BT10:BT204)</x:f>
        <x:v>0</x:v>
      </x:c>
      <x:c r="BU7" s="637" t="n">
        <x:f>SUBTOTAL(9,BU10:BU204)</x:f>
        <x:v>0</x:v>
      </x:c>
      <x:c r="BV7" s="637" t="n">
        <x:f>SUBTOTAL(9,BV10:BV204)</x:f>
        <x:v>0</x:v>
      </x:c>
      <x:c r="BW7" s="637" t="n">
        <x:f>SUBTOTAL(9,BW10:BW204)</x:f>
        <x:v>0</x:v>
      </x:c>
      <x:c r="BX7" s="637" t="n">
        <x:f>SUBTOTAL(9,BX10:BX204)</x:f>
        <x:v>0</x:v>
      </x:c>
      <x:c r="BY7" s="637" t="n">
        <x:f>SUBTOTAL(9,BY10:BY204)</x:f>
        <x:v>0</x:v>
      </x:c>
      <x:c r="BZ7" s="637" t="n">
        <x:f>SUBTOTAL(9,BZ10:BZ204)</x:f>
        <x:v>0</x:v>
      </x:c>
      <x:c r="CA7" s="637" t="n">
        <x:f>SUBTOTAL(9,CA10:CA204)</x:f>
        <x:v>-5.551115123125783e-17</x:v>
      </x:c>
      <x:c r="CB7" s="637" t="n">
        <x:f>SUBTOTAL(9,CB10:CB204)</x:f>
        <x:v>-5.551115123125783e-17</x:v>
      </x:c>
      <x:c r="CC7" s="637" t="n">
        <x:f>SUBTOTAL(9,CC10:CC204)</x:f>
        <x:v>0</x:v>
      </x:c>
      <x:c r="CD7" s="637" t="n">
        <x:f>SUBTOTAL(9,CD10:CD204)</x:f>
        <x:v>0</x:v>
      </x:c>
      <x:c r="CE7" s="637" t="n">
        <x:f>SUBTOTAL(9,CE10:CE204)</x:f>
        <x:v>0</x:v>
      </x:c>
      <x:c r="CF7" s="637" t="n">
        <x:f>SUBTOTAL(9,CF10:CF204)</x:f>
        <x:v>0</x:v>
      </x:c>
      <x:c r="CG7" s="637" t="n">
        <x:f>SUBTOTAL(9,CG10:CG204)</x:f>
        <x:v>0</x:v>
      </x:c>
      <x:c r="CH7" s="637" t="n">
        <x:f>SUBTOTAL(9,CH10:CH204)</x:f>
        <x:v>0</x:v>
      </x:c>
      <x:c r="CI7" s="637" t="n">
        <x:f>SUBTOTAL(9,CI10:CI204)</x:f>
        <x:v>0</x:v>
      </x:c>
      <x:c r="CJ7" s="637" t="n">
        <x:f>SUBTOTAL(9,CJ10:CJ204)</x:f>
        <x:v>0</x:v>
      </x:c>
      <x:c r="CK7" s="637" t="n">
        <x:f>SUBTOTAL(9,CK10:CK204)</x:f>
        <x:v>0</x:v>
      </x:c>
      <x:c r="CL7" s="637" t="n">
        <x:f>SUBTOTAL(9,CL10:CL204)</x:f>
        <x:v>0</x:v>
      </x:c>
      <x:c r="CM7" s="637" t="n">
        <x:f>SUBTOTAL(9,CM10:CM204)</x:f>
        <x:v>0</x:v>
      </x:c>
      <x:c r="CN7" s="637" t="n">
        <x:f>SUBTOTAL(9,CN10:CN204)</x:f>
        <x:v>0</x:v>
      </x:c>
      <x:c r="CO7" s="637" t="n">
        <x:f>SUBTOTAL(9,CO10:CO204)</x:f>
        <x:v>0</x:v>
      </x:c>
      <x:c r="CP7" s="637" t="n">
        <x:f>SUBTOTAL(9,CP10:CP204)</x:f>
        <x:v>0</x:v>
      </x:c>
      <x:c r="CQ7" s="637" t="n">
        <x:f>SUBTOTAL(9,CQ10:CQ204)</x:f>
        <x:v>0</x:v>
      </x:c>
      <x:c r="CR7" s="637" t="n">
        <x:f>SUBTOTAL(9,CR10:CR204)</x:f>
        <x:v>0</x:v>
      </x:c>
      <x:c r="CS7" s="637" t="n">
        <x:f>SUBTOTAL(9,CS10:CS204)</x:f>
        <x:v>0</x:v>
      </x:c>
      <x:c r="CT7" s="637" t="n">
        <x:f>SUBTOTAL(9,CT10:CT204)</x:f>
        <x:v>0</x:v>
      </x:c>
      <x:c r="CU7" s="637" t="n">
        <x:f>SUBTOTAL(9,CU10:CU204)</x:f>
        <x:v>0</x:v>
      </x:c>
      <x:c r="CV7" s="637" t="n">
        <x:f>SUBTOTAL(9,CV10:CV204)</x:f>
        <x:v>0</x:v>
      </x:c>
      <x:c r="CW7" s="637" t="n">
        <x:f>SUBTOTAL(9,CW10:CW204)</x:f>
        <x:v>0</x:v>
      </x:c>
      <x:c r="CX7" s="637" t="n">
        <x:f>SUBTOTAL(9,CX10:CX204)</x:f>
        <x:v>0</x:v>
      </x:c>
      <x:c r="CY7" s="637" t="n">
        <x:f>SUBTOTAL(9,CY10:CY204)</x:f>
        <x:v>0</x:v>
      </x:c>
      <x:c r="CZ7" s="637" t="n">
        <x:f>SUBTOTAL(9,CZ10:CZ204)</x:f>
        <x:v>0</x:v>
      </x:c>
      <x:c r="DA7" s="637" t="n">
        <x:f>SUBTOTAL(9,DA10:DA204)</x:f>
        <x:v>0</x:v>
      </x:c>
      <x:c r="DB7" s="637" t="n">
        <x:f>SUBTOTAL(9,DB10:DB204)</x:f>
        <x:v>0</x:v>
      </x:c>
      <x:c r="DC7" s="637" t="n">
        <x:f>SUBTOTAL(9,DC10:DC204)</x:f>
        <x:v>0</x:v>
      </x:c>
      <x:c r="DD7" s="637" t="n">
        <x:f>SUBTOTAL(9,DD10:DD204)</x:f>
        <x:v>0</x:v>
      </x:c>
      <x:c r="DE7" s="637" t="n">
        <x:f>SUBTOTAL(9,DE10:DE204)</x:f>
        <x:v>0</x:v>
      </x:c>
      <x:c r="DF7" s="637" t="n">
        <x:f>SUBTOTAL(9,DF10:DF204)</x:f>
        <x:v>0</x:v>
      </x:c>
      <x:c r="DG7" s="637" t="n">
        <x:f>SUBTOTAL(9,DG10:DG204)</x:f>
        <x:v>0</x:v>
      </x:c>
      <x:c r="DH7" s="637" t="n">
        <x:f>SUBTOTAL(9,DH10:DH204)</x:f>
        <x:v>0</x:v>
      </x:c>
      <x:c r="DI7" s="637" t="n">
        <x:f>SUBTOTAL(9,DI10:DI204)</x:f>
        <x:v>0</x:v>
      </x:c>
      <x:c r="DJ7" s="637" t="n">
        <x:f>SUBTOTAL(9,DJ10:DJ204)</x:f>
        <x:v>0</x:v>
      </x:c>
      <x:c r="DK7" s="637" t="n">
        <x:f>SUBTOTAL(9,DK10:DK204)</x:f>
        <x:v>0</x:v>
      </x:c>
      <x:c r="DL7" s="637" t="n">
        <x:f>SUBTOTAL(9,DL10:DL204)</x:f>
        <x:v>0</x:v>
      </x:c>
      <x:c r="DM7" s="637" t="n">
        <x:f>SUBTOTAL(9,DM10:DM204)</x:f>
        <x:v>0</x:v>
      </x:c>
      <x:c r="DN7" s="637" t="n">
        <x:f>SUBTOTAL(9,DN10:DN204)</x:f>
        <x:v>0</x:v>
      </x:c>
      <x:c r="DO7" s="637" t="n">
        <x:f>SUBTOTAL(9,DO10:DO204)</x:f>
        <x:v>0</x:v>
      </x:c>
      <x:c r="DP7" s="637" t="n">
        <x:f>SUBTOTAL(9,DP10:DP204)</x:f>
        <x:v>0</x:v>
      </x:c>
      <x:c r="DQ7" s="637" t="n">
        <x:f>SUBTOTAL(9,DQ10:DQ204)</x:f>
        <x:v>0</x:v>
      </x:c>
      <x:c r="DR7" s="637" t="n">
        <x:f>SUBTOTAL(9,DR10:DR204)</x:f>
        <x:v>0</x:v>
      </x:c>
      <x:c r="DS7" s="637" t="n">
        <x:f>SUBTOTAL(9,DS10:DS204)</x:f>
        <x:v>0</x:v>
      </x:c>
      <x:c r="DT7" s="637" t="n">
        <x:f>SUBTOTAL(9,DT10:DT204)</x:f>
        <x:v>0</x:v>
      </x:c>
      <x:c r="DU7" s="637" t="n">
        <x:f>SUBTOTAL(9,DU10:DU204)</x:f>
        <x:v>0</x:v>
      </x:c>
      <x:c r="DV7" s="637" t="n">
        <x:f>SUBTOTAL(9,DV10:DV204)</x:f>
        <x:v>0</x:v>
      </x:c>
      <x:c r="DW7" s="637" t="n">
        <x:f>SUBTOTAL(9,DW10:DW204)</x:f>
        <x:v>0</x:v>
      </x:c>
      <x:c r="DX7" s="637" t="n">
        <x:f>SUBTOTAL(9,DX10:DX204)</x:f>
        <x:v>0</x:v>
      </x:c>
      <x:c r="DY7" s="637" t="n">
        <x:f>SUBTOTAL(9,DY10:DY204)</x:f>
        <x:v>0</x:v>
      </x:c>
      <x:c r="DZ7" s="637" t="n">
        <x:f>SUBTOTAL(9,DZ10:DZ204)</x:f>
        <x:v>0</x:v>
      </x:c>
      <x:c r="EA7" s="637" t="n">
        <x:f>SUBTOTAL(9,EA10:EA204)</x:f>
        <x:v>0</x:v>
      </x:c>
      <x:c r="EB7" s="637" t="n">
        <x:f>SUBTOTAL(9,EB10:EB204)</x:f>
        <x:v>0</x:v>
      </x:c>
      <x:c r="EC7" s="637" t="n">
        <x:f>SUBTOTAL(9,EC10:EC204)</x:f>
        <x:v>0</x:v>
      </x:c>
      <x:c r="ED7" s="637" t="n">
        <x:f>SUBTOTAL(9,ED10:ED204)</x:f>
        <x:v>0</x:v>
      </x:c>
      <x:c r="EE7" s="637" t="n">
        <x:f>SUBTOTAL(9,EE10:EE204)</x:f>
        <x:v>0</x:v>
      </x:c>
      <x:c r="EF7" s="637" t="n">
        <x:f>SUBTOTAL(9,EF10:EF204)</x:f>
        <x:v>0</x:v>
      </x:c>
      <x:c r="EG7" s="637" t="n">
        <x:f>SUBTOTAL(9,EG10:EG204)</x:f>
        <x:v>0</x:v>
      </x:c>
      <x:c r="EH7" s="637" t="n">
        <x:f>SUBTOTAL(9,EH10:EH204)</x:f>
        <x:v>0</x:v>
      </x:c>
      <x:c r="EI7" s="637" t="n">
        <x:f>SUBTOTAL(9,EI10:EI204)</x:f>
        <x:v>0</x:v>
      </x:c>
      <x:c r="EJ7" s="637" t="n">
        <x:f>SUBTOTAL(9,EJ10:EJ204)</x:f>
        <x:v>0</x:v>
      </x:c>
      <x:c r="EK7" s="637" t="n">
        <x:f>SUBTOTAL(9,EK10:EK204)</x:f>
        <x:v>0</x:v>
      </x:c>
      <x:c r="EL7" s="637" t="n">
        <x:f>SUBTOTAL(9,EL10:EL204)</x:f>
        <x:v>0</x:v>
      </x:c>
      <x:c r="EM7" s="637" t="n">
        <x:f>SUBTOTAL(9,EM10:EM204)</x:f>
        <x:v>0</x:v>
      </x:c>
      <x:c r="EN7" s="637" t="n">
        <x:f>SUBTOTAL(9,EN10:EN204)</x:f>
        <x:v>0</x:v>
      </x:c>
      <x:c r="EO7" s="637" t="n">
        <x:f>SUBTOTAL(9,EO10:EO204)</x:f>
        <x:v>0</x:v>
      </x:c>
      <x:c r="EP7" s="637" t="n">
        <x:f>SUBTOTAL(9,EP10:EP204)</x:f>
        <x:v>0</x:v>
      </x:c>
      <x:c r="EQ7" s="637" t="n">
        <x:f>SUBTOTAL(9,EQ10:EQ204)</x:f>
        <x:v>0</x:v>
      </x:c>
      <x:c r="ER7" s="637" t="n">
        <x:f>SUBTOTAL(9,ER10:ER204)</x:f>
        <x:v>0</x:v>
      </x:c>
      <x:c r="ES7" s="637" t="n">
        <x:f>SUBTOTAL(9,ES10:ES204)</x:f>
        <x:v>0</x:v>
      </x:c>
      <x:c r="ET7" s="637" t="n">
        <x:f>SUBTOTAL(9,ET10:ET204)</x:f>
        <x:v>0</x:v>
      </x:c>
      <x:c r="EU7" s="637" t="n">
        <x:f>SUBTOTAL(9,EU10:EU204)</x:f>
        <x:v>0</x:v>
      </x:c>
      <x:c r="EV7" s="637" t="n">
        <x:f>SUBTOTAL(9,EV10:EV204)</x:f>
        <x:v>0</x:v>
      </x:c>
      <x:c r="EW7" s="637" t="n">
        <x:f>SUBTOTAL(9,EW10:EW204)</x:f>
        <x:v>0</x:v>
      </x:c>
      <x:c r="EX7" s="637" t="n">
        <x:f>SUBTOTAL(9,EX10:EX204)</x:f>
        <x:v>0</x:v>
      </x:c>
      <x:c r="EY7" s="637" t="n">
        <x:f>SUBTOTAL(9,EY10:EY204)</x:f>
        <x:v>0</x:v>
      </x:c>
      <x:c r="EZ7" s="637" t="n">
        <x:f>SUBTOTAL(9,EZ10:EZ204)</x:f>
        <x:v>0</x:v>
      </x:c>
      <x:c r="FA7" s="637" t="n">
        <x:f>SUBTOTAL(9,FA10:FA204)</x:f>
        <x:v>0</x:v>
      </x:c>
      <x:c r="FB7" s="637" t="n">
        <x:f>SUBTOTAL(9,FB10:FB204)</x:f>
        <x:v>0</x:v>
      </x:c>
      <x:c r="FC7" s="637" t="n">
        <x:f>SUBTOTAL(9,FC10:FC204)</x:f>
        <x:v>0</x:v>
      </x:c>
      <x:c r="FD7" s="637" t="n">
        <x:f>SUBTOTAL(9,FD10:FD204)</x:f>
        <x:v>0</x:v>
      </x:c>
      <x:c r="FE7" s="637" t="n">
        <x:f>SUBTOTAL(9,FE10:FE204)</x:f>
        <x:v>0</x:v>
      </x:c>
      <x:c r="FF7" s="637" t="n">
        <x:f>SUBTOTAL(9,FF10:FF204)</x:f>
        <x:v>0</x:v>
      </x:c>
      <x:c r="FG7" s="637" t="n">
        <x:f>SUBTOTAL(9,FG10:FG204)</x:f>
        <x:v>0</x:v>
      </x:c>
      <x:c r="FH7" s="637" t="n">
        <x:f>SUBTOTAL(9,FH10:FH204)</x:f>
        <x:v>0</x:v>
      </x:c>
      <x:c r="FI7" s="637" t="n">
        <x:f>SUBTOTAL(9,FI10:FI204)</x:f>
        <x:v>0</x:v>
      </x:c>
      <x:c r="FJ7" s="637" t="n">
        <x:f>SUBTOTAL(9,FJ10:FJ204)</x:f>
        <x:v>0</x:v>
      </x:c>
      <x:c r="FK7" s="637" t="n">
        <x:f>SUBTOTAL(9,FK10:FK204)</x:f>
        <x:v>0</x:v>
      </x:c>
      <x:c r="FL7" s="637" t="n">
        <x:f>SUBTOTAL(9,FL10:FL204)</x:f>
        <x:v>0</x:v>
      </x:c>
      <x:c r="FM7" s="637" t="n">
        <x:f>SUBTOTAL(9,FM10:FM204)</x:f>
        <x:v>0</x:v>
      </x:c>
      <x:c r="FN7" s="637" t="n">
        <x:f>SUBTOTAL(9,FN10:FN204)</x:f>
        <x:v>0</x:v>
      </x:c>
      <x:c r="FO7" s="637" t="n">
        <x:f>SUBTOTAL(9,FO10:FO204)</x:f>
        <x:v>0</x:v>
      </x:c>
      <x:c r="FP7" s="637" t="n">
        <x:f>SUBTOTAL(9,FP10:FP204)</x:f>
        <x:v>0</x:v>
      </x:c>
      <x:c r="FQ7" s="637" t="n">
        <x:f>SUBTOTAL(9,FQ10:FQ204)</x:f>
        <x:v>0</x:v>
      </x:c>
      <x:c r="FR7" s="637" t="n">
        <x:f>SUBTOTAL(9,FR10:FR204)</x:f>
        <x:v>0</x:v>
      </x:c>
      <x:c r="FS7" s="637" t="n">
        <x:f>SUBTOTAL(9,FS10:FS204)</x:f>
        <x:v>0</x:v>
      </x:c>
      <x:c r="FT7" s="637" t="n">
        <x:f>SUBTOTAL(9,FT10:FT204)</x:f>
        <x:v>0</x:v>
      </x:c>
      <x:c r="FU7" s="637" t="n">
        <x:f>SUBTOTAL(9,FU10:FU204)</x:f>
        <x:v>0</x:v>
      </x:c>
      <x:c r="FV7" s="637" t="n">
        <x:f>SUBTOTAL(9,FV10:FV204)</x:f>
        <x:v>0</x:v>
      </x:c>
      <x:c r="FW7" s="637" t="n">
        <x:f>SUBTOTAL(9,FW10:FW204)</x:f>
        <x:v>0</x:v>
      </x:c>
      <x:c r="FX7" s="637" t="n">
        <x:f>SUBTOTAL(9,FX10:FX204)</x:f>
        <x:v>0</x:v>
      </x:c>
      <x:c r="FY7" s="637" t="n">
        <x:f>SUBTOTAL(9,FY10:FY204)</x:f>
        <x:v>0</x:v>
      </x:c>
      <x:c r="FZ7" s="637" t="n">
        <x:f>SUBTOTAL(9,FZ10:FZ204)</x:f>
        <x:v>0</x:v>
      </x:c>
      <x:c r="GA7" s="637" t="n">
        <x:f>SUBTOTAL(9,GA10:GA204)</x:f>
        <x:v>0</x:v>
      </x:c>
    </x:row>
    <x:row r="8" s="26" customFormat="1" ht="14.25" customHeight="1">
      <x:c r="A8" s="52" t="inlineStr">
        <x:is>
          <x:t xml:space="preserve">NOTES</x:t>
        </x:is>
      </x:c>
      <x:c r="B8" s="639" t="n"/>
      <x:c r="C8" s="51" t="inlineStr">
        <x:is>
          <x:t xml:space="preserve">NET ACRES</x:t>
        </x:is>
      </x:c>
      <x:c r="D8" s="50" t="inlineStr">
        <x:is>
          <x:t xml:space="preserve">OWNERS</x:t>
        </x:is>
      </x:c>
      <x:c r="E8" s="49" t="inlineStr">
        <x:is>
          <x:t xml:space="preserve">TOTAL </x:t>
        </x:is>
      </x:c>
      <x:c r="F8" s="640" t="n"/>
      <x:c r="G8" s="641" t="n"/>
      <x:c r="H8" s="642" t="n"/>
      <x:c r="I8" s="642" t="n"/>
      <x:c r="J8" s="642" t="n"/>
      <x:c r="K8" s="642" t="n"/>
      <x:c r="L8" s="642" t="n"/>
      <x:c r="M8" s="642" t="n"/>
      <x:c r="N8" s="642" t="n"/>
      <x:c r="O8" s="642" t="n"/>
      <x:c r="P8" s="642" t="n"/>
      <x:c r="Q8" s="642" t="n"/>
      <x:c r="R8" s="642" t="n"/>
      <x:c r="S8" s="642" t="n"/>
      <x:c r="T8" s="642" t="n"/>
      <x:c r="U8" s="642" t="n"/>
      <x:c r="V8" s="642" t="n"/>
      <x:c r="W8" s="642" t="n"/>
      <x:c r="X8" s="642" t="n"/>
      <x:c r="Y8" s="642" t="n"/>
      <x:c r="Z8" s="642" t="n"/>
      <x:c r="AA8" s="642" t="n"/>
      <x:c r="AB8" s="642" t="n"/>
      <x:c r="AC8" s="642" t="n"/>
      <x:c r="AD8" s="642" t="n"/>
      <x:c r="AE8" s="642" t="n"/>
      <x:c r="AF8" s="642" t="n"/>
      <x:c r="AG8" s="642" t="n"/>
      <x:c r="AH8" s="642" t="n"/>
      <x:c r="AI8" s="642" t="n"/>
      <x:c r="AJ8" s="642" t="n"/>
      <x:c r="AK8" s="642" t="n"/>
      <x:c r="AL8" s="642" t="n"/>
      <x:c r="AM8" s="642" t="n"/>
      <x:c r="AN8" s="642" t="n"/>
      <x:c r="AO8" s="642" t="n"/>
      <x:c r="AP8" s="642" t="n"/>
      <x:c r="AQ8" s="642" t="n"/>
      <x:c r="AR8" s="642" t="n"/>
      <x:c r="AS8" s="642" t="n"/>
      <x:c r="AT8" s="642" t="n"/>
      <x:c r="AU8" s="642" t="n"/>
      <x:c r="AV8" s="642" t="n"/>
      <x:c r="AW8" s="642" t="n"/>
      <x:c r="AX8" s="642" t="n"/>
      <x:c r="AY8" s="642" t="n"/>
      <x:c r="AZ8" s="642" t="n"/>
      <x:c r="BA8" s="642" t="n"/>
      <x:c r="BB8" s="642" t="n"/>
      <x:c r="BC8" s="642" t="n"/>
      <x:c r="BD8" s="642" t="n"/>
      <x:c r="BE8" s="642" t="n"/>
      <x:c r="BF8" s="642" t="n"/>
      <x:c r="BG8" s="642" t="n"/>
      <x:c r="BH8" s="642" t="n"/>
      <x:c r="BI8" s="642" t="n"/>
      <x:c r="BJ8" s="642" t="n"/>
      <x:c r="BK8" s="642" t="n"/>
      <x:c r="BL8" s="642" t="n"/>
      <x:c r="BM8" s="642" t="n"/>
      <x:c r="BN8" s="642" t="n"/>
      <x:c r="BO8" s="642" t="n"/>
      <x:c r="BP8" s="642" t="n"/>
      <x:c r="BQ8" s="642" t="n"/>
      <x:c r="BR8" s="642" t="n"/>
      <x:c r="BS8" s="642" t="n"/>
      <x:c r="BT8" s="642" t="n"/>
      <x:c r="BU8" s="642" t="n"/>
      <x:c r="BV8" s="642" t="n"/>
      <x:c r="BW8" s="642" t="n"/>
      <x:c r="BX8" s="642" t="n"/>
      <x:c r="BY8" s="642" t="n"/>
      <x:c r="BZ8" s="642" t="n"/>
      <x:c r="CA8" s="642" t="n"/>
      <x:c r="CB8" s="642" t="n"/>
      <x:c r="CC8" s="642" t="n"/>
      <x:c r="CD8" s="642" t="n"/>
      <x:c r="CE8" s="642" t="n"/>
      <x:c r="CF8" s="642" t="n"/>
      <x:c r="CG8" s="642" t="n"/>
      <x:c r="CH8" s="642" t="n"/>
      <x:c r="CI8" s="642" t="n"/>
      <x:c r="CJ8" s="642" t="n"/>
      <x:c r="CK8" s="642" t="n"/>
      <x:c r="CL8" s="642" t="n"/>
      <x:c r="CM8" s="642" t="n"/>
      <x:c r="CN8" s="642" t="n"/>
      <x:c r="CO8" s="642" t="n"/>
      <x:c r="CP8" s="642" t="n"/>
      <x:c r="CQ8" s="642" t="n"/>
      <x:c r="CR8" s="642" t="n"/>
      <x:c r="CS8" s="642" t="n"/>
      <x:c r="CT8" s="642" t="n"/>
      <x:c r="CU8" s="642" t="n"/>
      <x:c r="CV8" s="642" t="n"/>
      <x:c r="CW8" s="642" t="n"/>
      <x:c r="CX8" s="642" t="n"/>
      <x:c r="CY8" s="642" t="n"/>
      <x:c r="CZ8" s="642" t="n"/>
      <x:c r="DA8" s="642" t="n"/>
      <x:c r="DB8" s="642" t="n"/>
      <x:c r="DC8" s="642" t="n"/>
      <x:c r="DD8" s="642" t="n"/>
      <x:c r="DE8" s="642" t="n"/>
      <x:c r="DF8" s="642" t="n"/>
      <x:c r="DG8" s="642" t="n"/>
      <x:c r="DH8" s="642" t="n"/>
      <x:c r="DI8" s="642" t="n"/>
      <x:c r="DJ8" s="642" t="n"/>
      <x:c r="DK8" s="642" t="n"/>
      <x:c r="DL8" s="642" t="n"/>
      <x:c r="DM8" s="642" t="n"/>
      <x:c r="DN8" s="642" t="n"/>
      <x:c r="DO8" s="642" t="n"/>
      <x:c r="DP8" s="642" t="n"/>
      <x:c r="DQ8" s="642" t="n"/>
      <x:c r="DR8" s="642" t="n"/>
      <x:c r="DS8" s="642" t="n"/>
      <x:c r="DT8" s="642" t="n"/>
      <x:c r="DU8" s="642" t="n"/>
      <x:c r="DV8" s="642" t="n"/>
      <x:c r="DW8" s="642" t="n"/>
      <x:c r="DX8" s="642" t="n"/>
      <x:c r="DY8" s="642" t="n"/>
      <x:c r="DZ8" s="642" t="n"/>
      <x:c r="EA8" s="642" t="n"/>
      <x:c r="EB8" s="642" t="n"/>
      <x:c r="EC8" s="642" t="n"/>
      <x:c r="ED8" s="642" t="n"/>
      <x:c r="EE8" s="642" t="n"/>
      <x:c r="EF8" s="642" t="n"/>
      <x:c r="EG8" s="642" t="n"/>
      <x:c r="EH8" s="642" t="n"/>
      <x:c r="EI8" s="642" t="n"/>
      <x:c r="EJ8" s="642" t="n"/>
      <x:c r="EK8" s="642" t="n"/>
      <x:c r="EL8" s="642" t="n"/>
      <x:c r="EM8" s="642" t="n"/>
      <x:c r="EN8" s="642" t="n"/>
      <x:c r="EO8" s="642" t="n"/>
      <x:c r="EP8" s="642" t="n"/>
      <x:c r="EQ8" s="642" t="n"/>
      <x:c r="ER8" s="642" t="n"/>
      <x:c r="ES8" s="642" t="n"/>
      <x:c r="ET8" s="642" t="n"/>
      <x:c r="EU8" s="642" t="n"/>
      <x:c r="EV8" s="642" t="n"/>
      <x:c r="EW8" s="642" t="n"/>
      <x:c r="EX8" s="642" t="n"/>
      <x:c r="EY8" s="642" t="n"/>
      <x:c r="EZ8" s="642" t="n"/>
      <x:c r="FA8" s="642" t="n"/>
      <x:c r="FB8" s="642" t="n"/>
      <x:c r="FC8" s="642" t="n"/>
      <x:c r="FD8" s="642" t="n"/>
      <x:c r="FE8" s="642" t="n"/>
      <x:c r="FF8" s="642" t="n"/>
      <x:c r="FG8" s="642" t="n"/>
      <x:c r="FH8" s="642" t="n"/>
      <x:c r="FI8" s="642" t="n"/>
      <x:c r="FJ8" s="642" t="n"/>
      <x:c r="FK8" s="642" t="n"/>
      <x:c r="FL8" s="642" t="n"/>
      <x:c r="FM8" s="642" t="n"/>
      <x:c r="FN8" s="642" t="n"/>
      <x:c r="FO8" s="642" t="n"/>
      <x:c r="FP8" s="642" t="n"/>
      <x:c r="FQ8" s="642" t="n"/>
      <x:c r="FR8" s="642" t="n"/>
      <x:c r="FS8" s="642" t="n"/>
      <x:c r="FT8" s="642" t="n"/>
      <x:c r="FU8" s="642" t="n"/>
      <x:c r="FV8" s="642" t="n"/>
      <x:c r="FW8" s="642" t="n"/>
      <x:c r="FX8" s="642" t="n"/>
      <x:c r="FY8" s="642" t="n"/>
      <x:c r="FZ8" s="642" t="n"/>
      <x:c r="GA8" s="642" t="n"/>
    </x:row>
    <x:row r="9" s="40" customFormat="1" ht="12.75" customHeight="1">
      <x:c r="A9" s="48" t="n"/>
      <x:c r="B9" s="47" t="n"/>
      <x:c r="C9" s="45" t="n"/>
      <x:c r="D9" s="46" t="n"/>
      <x:c r="E9" s="45" t="n"/>
      <x:c r="F9" s="44" t="n"/>
      <x:c r="G9" s="43" t="n"/>
      <x:c r="H9" s="41" t="n"/>
      <x:c r="I9" s="42" t="n"/>
      <x:c r="J9" s="41" t="n"/>
      <x:c r="K9" s="41" t="n"/>
      <x:c r="L9" s="41" t="n"/>
      <x:c r="M9" s="41" t="n"/>
      <x:c r="N9" s="41" t="n"/>
      <x:c r="O9" s="41" t="n"/>
      <x:c r="P9" s="41" t="n"/>
      <x:c r="Q9" s="41" t="n"/>
      <x:c r="R9" s="99" t="n"/>
      <x:c r="S9" s="99" t="n"/>
      <x:c r="T9" s="41" t="n"/>
      <x:c r="U9" s="41" t="n"/>
      <x:c r="V9" s="41" t="n"/>
      <x:c r="W9" s="41" t="n"/>
      <x:c r="X9" s="41" t="n"/>
      <x:c r="Y9" s="41" t="n"/>
      <x:c r="Z9" s="41" t="n"/>
      <x:c r="AA9" s="41" t="n"/>
      <x:c r="AB9" s="41" t="n"/>
      <x:c r="AC9" s="41" t="n"/>
      <x:c r="AD9" s="41" t="n"/>
      <x:c r="AE9" s="99" t="n"/>
      <x:c r="AF9" s="99" t="n"/>
      <x:c r="AG9" s="99" t="n"/>
      <x:c r="AH9" s="99" t="n"/>
      <x:c r="AI9" s="99" t="n"/>
      <x:c r="AJ9" s="99" t="n"/>
      <x:c r="AK9" s="99" t="n"/>
      <x:c r="AL9" s="41" t="n"/>
      <x:c r="AM9" s="99" t="n"/>
      <x:c r="AN9" s="41" t="n"/>
      <x:c r="AO9" s="99" t="n"/>
      <x:c r="AP9" s="41" t="n"/>
      <x:c r="AQ9" s="41" t="n"/>
      <x:c r="AR9" s="41" t="n"/>
      <x:c r="AS9" s="41" t="n"/>
      <x:c r="AT9" s="41" t="n"/>
      <x:c r="AU9" s="41" t="n"/>
      <x:c r="AV9" s="41" t="n"/>
      <x:c r="AW9" s="41" t="n"/>
      <x:c r="AX9" s="41" t="n"/>
      <x:c r="AY9" s="41" t="n"/>
      <x:c r="AZ9" s="41" t="n"/>
      <x:c r="BA9" s="41" t="n"/>
      <x:c r="BB9" s="41" t="n"/>
      <x:c r="BC9" s="41" t="n"/>
      <x:c r="BD9" s="41" t="n"/>
      <x:c r="BE9" s="41" t="n"/>
      <x:c r="BF9" s="41" t="n"/>
      <x:c r="BG9" s="41" t="n"/>
      <x:c r="BH9" s="41" t="n"/>
      <x:c r="BI9" s="41" t="n"/>
      <x:c r="BJ9" s="41" t="n"/>
      <x:c r="BK9" s="41" t="n"/>
      <x:c r="BL9" s="41" t="n"/>
      <x:c r="BM9" s="41" t="n"/>
      <x:c r="BN9" s="41" t="n"/>
      <x:c r="BO9" s="41" t="n"/>
      <x:c r="BP9" s="41" t="n"/>
      <x:c r="BQ9" s="41" t="n"/>
      <x:c r="BR9" s="41" t="n"/>
      <x:c r="BS9" s="41" t="n"/>
      <x:c r="BT9" s="41" t="n"/>
      <x:c r="BU9" s="41" t="n"/>
      <x:c r="BV9" s="41" t="n"/>
      <x:c r="BW9" s="41" t="n"/>
      <x:c r="BX9" s="41" t="n"/>
      <x:c r="BY9" s="41" t="n"/>
      <x:c r="BZ9" s="41" t="n"/>
      <x:c r="CA9" s="41" t="n"/>
      <x:c r="CB9" s="41" t="n"/>
      <x:c r="CC9" s="41" t="n"/>
      <x:c r="CD9" s="41" t="n"/>
      <x:c r="CE9" s="41" t="n"/>
      <x:c r="CF9" s="41" t="n"/>
      <x:c r="CG9" s="41" t="n"/>
      <x:c r="CH9" s="41" t="n"/>
      <x:c r="CI9" s="41" t="n"/>
      <x:c r="CJ9" s="41" t="n"/>
      <x:c r="CK9" s="41" t="n"/>
      <x:c r="CL9" s="41" t="n"/>
      <x:c r="CM9" s="41" t="n"/>
      <x:c r="CN9" s="41" t="n"/>
      <x:c r="CO9" s="41" t="n"/>
      <x:c r="CP9" s="41" t="n"/>
      <x:c r="CQ9" s="41" t="n"/>
      <x:c r="CR9" s="41" t="n"/>
      <x:c r="CS9" s="41" t="n"/>
      <x:c r="CT9" s="41" t="n"/>
      <x:c r="CU9" s="41" t="n"/>
      <x:c r="CV9" s="41" t="n"/>
      <x:c r="CW9" s="41" t="n"/>
      <x:c r="CX9" s="41" t="n"/>
      <x:c r="CY9" s="41" t="n"/>
      <x:c r="CZ9" s="41" t="n"/>
      <x:c r="DA9" s="41" t="n"/>
      <x:c r="DB9" s="41" t="n"/>
      <x:c r="DC9" s="41" t="n"/>
      <x:c r="DD9" s="41" t="n"/>
      <x:c r="DE9" s="41" t="n"/>
      <x:c r="DF9" s="41" t="n"/>
      <x:c r="DG9" s="41" t="n"/>
      <x:c r="DH9" s="41" t="n"/>
      <x:c r="DI9" s="41" t="n"/>
      <x:c r="DJ9" s="41" t="n"/>
      <x:c r="DK9" s="41" t="n"/>
      <x:c r="DL9" s="41" t="n"/>
      <x:c r="DM9" s="41" t="n"/>
      <x:c r="DN9" s="41" t="n"/>
      <x:c r="DO9" s="41" t="n"/>
      <x:c r="DP9" s="41" t="n"/>
      <x:c r="DQ9" s="41" t="n"/>
      <x:c r="DR9" s="41" t="n"/>
      <x:c r="DS9" s="41" t="n"/>
      <x:c r="DT9" s="41" t="n"/>
      <x:c r="DU9" s="41" t="n"/>
      <x:c r="DV9" s="41" t="n"/>
      <x:c r="DW9" s="41" t="n"/>
      <x:c r="DX9" s="41" t="n"/>
      <x:c r="DY9" s="41" t="n"/>
      <x:c r="DZ9" s="41" t="n"/>
      <x:c r="EA9" s="41" t="n"/>
      <x:c r="EB9" s="41" t="n"/>
      <x:c r="EC9" s="41" t="n"/>
      <x:c r="ED9" s="41" t="n"/>
      <x:c r="EE9" s="41" t="n"/>
      <x:c r="EF9" s="41" t="n"/>
      <x:c r="EG9" s="41" t="n"/>
      <x:c r="EH9" s="41" t="n"/>
      <x:c r="EI9" s="41" t="n"/>
      <x:c r="EJ9" s="41" t="n"/>
      <x:c r="EK9" s="41" t="n"/>
      <x:c r="EL9" s="41" t="n"/>
      <x:c r="EM9" s="41" t="n"/>
      <x:c r="EN9" s="41" t="n"/>
      <x:c r="EO9" s="41" t="n"/>
      <x:c r="EP9" s="41" t="n"/>
      <x:c r="EQ9" s="41" t="n"/>
      <x:c r="ER9" s="41" t="n"/>
      <x:c r="ES9" s="41" t="n"/>
      <x:c r="ET9" s="41" t="n"/>
      <x:c r="EU9" s="41" t="n"/>
      <x:c r="EV9" s="41" t="n"/>
      <x:c r="EW9" s="41" t="n"/>
      <x:c r="EX9" s="41" t="n"/>
      <x:c r="EY9" s="41" t="n"/>
      <x:c r="EZ9" s="41" t="n"/>
      <x:c r="FA9" s="41" t="n"/>
      <x:c r="FB9" s="41" t="n"/>
      <x:c r="FC9" s="41" t="n"/>
      <x:c r="FD9" s="41" t="n"/>
      <x:c r="FE9" s="41" t="n"/>
      <x:c r="FF9" s="41" t="n"/>
      <x:c r="FG9" s="41" t="n"/>
      <x:c r="FH9" s="41" t="n"/>
      <x:c r="FI9" s="41" t="n"/>
      <x:c r="FJ9" s="41" t="n"/>
      <x:c r="FK9" s="41" t="n"/>
      <x:c r="FL9" s="41" t="n"/>
      <x:c r="FM9" s="41" t="n"/>
      <x:c r="FN9" s="41" t="n"/>
      <x:c r="FO9" s="41" t="n"/>
      <x:c r="FP9" s="41" t="n"/>
      <x:c r="FQ9" s="41" t="n"/>
      <x:c r="FR9" s="41" t="n"/>
      <x:c r="FS9" s="41" t="n"/>
      <x:c r="FT9" s="41" t="n"/>
      <x:c r="FU9" s="41" t="n"/>
      <x:c r="FV9" s="41" t="n"/>
      <x:c r="FW9" s="41" t="n"/>
      <x:c r="FX9" s="41" t="n"/>
      <x:c r="FY9" s="41" t="n"/>
      <x:c r="FZ9" s="41" t="n"/>
      <x:c r="GA9" s="41" t="n"/>
    </x:row>
    <x:row r="10" s="27" customFormat="1">
      <x:c r="A10" s="38" t="n"/>
      <x:c r="B10" s="37" t="n"/>
      <x:c r="C10" s="36" t="n">
        <x:f>E10*D$5</x:f>
        <x:v>0</x:v>
      </x:c>
      <x:c r="D10" s="103" t="inlineStr">
        <x:is>
          <x:t xml:space="preserve">United States of America</x:t>
        </x:is>
      </x:c>
      <x:c r="E10" s="36" t="n">
        <x:f>SUM(G10:HT10)</x:f>
        <x:v>0</x:v>
      </x:c>
      <x:c r="F10" s="35" t="inlineStr">
        <x:is>
          <x:t xml:space="preserve"/>
        </x:is>
      </x:c>
      <x:c r="G10" s="121" t="n">
        <x:v>1</x:v>
      </x:c>
      <x:c r="H10" s="121" t="n">
        <x:v>-1</x:v>
      </x:c>
      <x:c r="I10" s="121" t="n"/>
      <x:c r="J10" s="121" t="n"/>
      <x:c r="K10" s="122" t="n"/>
      <x:c r="L10" s="121" t="n"/>
      <x:c r="M10" s="121" t="n"/>
      <x:c r="N10" s="121" t="n"/>
      <x:c r="O10" s="121" t="n"/>
      <x:c r="P10" s="121" t="n"/>
      <x:c r="Q10" s="121" t="n"/>
      <x:c r="R10" s="123" t="n"/>
      <x:c r="S10" s="123" t="n"/>
      <x:c r="T10" s="121" t="n"/>
      <x:c r="U10" s="121" t="n"/>
      <x:c r="V10" s="121" t="n"/>
      <x:c r="W10" s="121" t="n"/>
      <x:c r="X10" s="121" t="n"/>
      <x:c r="Y10" s="121" t="n"/>
      <x:c r="Z10" s="121" t="n"/>
      <x:c r="AA10" s="121" t="n"/>
      <x:c r="AB10" s="121" t="n"/>
      <x:c r="AC10" s="121" t="n"/>
      <x:c r="AD10" s="121" t="n"/>
      <x:c r="AE10" s="123" t="n"/>
      <x:c r="AF10" s="123" t="n"/>
      <x:c r="AG10" s="123" t="n"/>
      <x:c r="AH10" s="123" t="n"/>
      <x:c r="AI10" s="123" t="n"/>
      <x:c r="AJ10" s="123" t="n"/>
      <x:c r="AK10" s="123" t="n"/>
      <x:c r="AL10" s="121" t="n"/>
      <x:c r="AM10" s="123" t="n"/>
      <x:c r="AN10" s="121" t="n"/>
      <x:c r="AO10" s="123" t="n"/>
      <x:c r="AP10" s="121" t="n"/>
      <x:c r="AQ10" s="121" t="n"/>
      <x:c r="AR10" s="28" t="n"/>
      <x:c r="AS10" s="28" t="n"/>
      <x:c r="AT10" s="28" t="n"/>
      <x:c r="AU10" s="28" t="n"/>
      <x:c r="AV10" s="28" t="n"/>
      <x:c r="AW10" s="28" t="n"/>
      <x:c r="AX10" s="28" t="n"/>
      <x:c r="AY10" s="28" t="n"/>
      <x:c r="AZ10" s="28" t="n"/>
      <x:c r="BA10" s="28" t="n"/>
      <x:c r="BB10" s="28" t="n"/>
      <x:c r="BC10" s="28" t="n"/>
      <x:c r="BD10" s="28" t="n"/>
      <x:c r="BE10" s="28" t="n"/>
      <x:c r="BF10" s="28" t="n"/>
      <x:c r="BG10" s="28" t="n"/>
      <x:c r="BH10" s="28" t="n"/>
      <x:c r="BI10" s="28" t="n"/>
      <x:c r="BJ10" s="28" t="n"/>
      <x:c r="BK10" s="28" t="n"/>
      <x:c r="BL10" s="28" t="n"/>
      <x:c r="BM10" s="28" t="n"/>
      <x:c r="BN10" s="28" t="n"/>
      <x:c r="BO10" s="28" t="n"/>
      <x:c r="BP10" s="28" t="n"/>
      <x:c r="BQ10" s="28" t="n"/>
      <x:c r="BR10" s="28" t="n"/>
      <x:c r="BS10" s="28" t="n"/>
      <x:c r="BT10" s="28" t="n"/>
      <x:c r="BU10" s="28" t="n"/>
      <x:c r="BV10" s="28" t="n"/>
      <x:c r="BW10" s="28" t="n"/>
      <x:c r="BX10" s="28" t="n"/>
      <x:c r="BY10" s="28" t="n"/>
      <x:c r="BZ10" s="28" t="n"/>
      <x:c r="CA10" s="28" t="n"/>
      <x:c r="CB10" s="28" t="n"/>
      <x:c r="CC10" s="28" t="n"/>
      <x:c r="CD10" s="28" t="n"/>
      <x:c r="CE10" s="28" t="n"/>
      <x:c r="CF10" s="28" t="n"/>
      <x:c r="CG10" s="28" t="n"/>
      <x:c r="CH10" s="28" t="n"/>
      <x:c r="CI10" s="28" t="n"/>
      <x:c r="CJ10" s="28" t="n"/>
      <x:c r="CK10" s="28" t="n"/>
      <x:c r="CL10" s="28" t="n"/>
      <x:c r="CM10" s="28" t="n"/>
      <x:c r="CN10" s="28" t="n"/>
      <x:c r="CO10" s="28" t="n"/>
      <x:c r="CP10" s="28" t="n"/>
      <x:c r="CQ10" s="28" t="n"/>
      <x:c r="CR10" s="28" t="n"/>
      <x:c r="CS10" s="28" t="n"/>
      <x:c r="CT10" s="28" t="n"/>
      <x:c r="CU10" s="28" t="n"/>
      <x:c r="CV10" s="28" t="n"/>
      <x:c r="CW10" s="28" t="n"/>
      <x:c r="CX10" s="28" t="n"/>
      <x:c r="CY10" s="28" t="n"/>
      <x:c r="CZ10" s="28" t="n"/>
      <x:c r="DA10" s="28" t="n"/>
      <x:c r="DB10" s="28" t="n"/>
      <x:c r="DC10" s="28" t="n"/>
      <x:c r="DD10" s="28" t="n"/>
      <x:c r="DE10" s="28" t="n"/>
      <x:c r="DF10" s="28" t="n"/>
      <x:c r="DG10" s="28" t="n"/>
      <x:c r="DH10" s="28" t="n"/>
      <x:c r="DI10" s="28" t="n"/>
      <x:c r="DJ10" s="28" t="n"/>
      <x:c r="DK10" s="28" t="n"/>
      <x:c r="DL10" s="28" t="n"/>
      <x:c r="DM10" s="28" t="n"/>
      <x:c r="DN10" s="28" t="n"/>
      <x:c r="DO10" s="28" t="n"/>
      <x:c r="DP10" s="28" t="n"/>
      <x:c r="DQ10" s="28" t="n"/>
      <x:c r="DR10" s="28" t="n"/>
      <x:c r="DS10" s="28" t="n"/>
      <x:c r="DT10" s="28" t="n"/>
      <x:c r="DU10" s="28" t="n"/>
      <x:c r="DV10" s="28" t="n"/>
      <x:c r="DW10" s="28" t="n"/>
      <x:c r="DX10" s="28" t="n"/>
      <x:c r="DY10" s="28" t="n"/>
      <x:c r="DZ10" s="28" t="n"/>
      <x:c r="EA10" s="28" t="n"/>
      <x:c r="EB10" s="28" t="n"/>
      <x:c r="EC10" s="28" t="n"/>
      <x:c r="ED10" s="28" t="n"/>
      <x:c r="EE10" s="28" t="n"/>
      <x:c r="EF10" s="28" t="n"/>
      <x:c r="EG10" s="28" t="n"/>
      <x:c r="EH10" s="28" t="n"/>
      <x:c r="EI10" s="28" t="n"/>
      <x:c r="EJ10" s="28" t="n"/>
      <x:c r="EK10" s="28" t="n"/>
      <x:c r="EL10" s="28" t="n"/>
      <x:c r="EM10" s="28" t="n"/>
      <x:c r="EN10" s="28" t="n"/>
      <x:c r="EO10" s="28" t="n"/>
      <x:c r="EP10" s="28" t="n"/>
      <x:c r="EQ10" s="28" t="n"/>
      <x:c r="ER10" s="28" t="n"/>
      <x:c r="ES10" s="28" t="n"/>
      <x:c r="ET10" s="28" t="n"/>
      <x:c r="EU10" s="28" t="n"/>
      <x:c r="EV10" s="28" t="n"/>
      <x:c r="EW10" s="28" t="n"/>
      <x:c r="EX10" s="28" t="n"/>
      <x:c r="EY10" s="28" t="n"/>
      <x:c r="EZ10" s="28" t="n"/>
      <x:c r="FA10" s="28" t="n"/>
      <x:c r="FB10" s="28" t="n"/>
      <x:c r="FC10" s="28" t="n"/>
      <x:c r="FD10" s="28" t="n"/>
      <x:c r="FE10" s="28" t="n"/>
      <x:c r="FF10" s="28" t="n"/>
      <x:c r="FG10" s="28" t="n"/>
      <x:c r="FH10" s="28" t="n"/>
      <x:c r="FI10" s="28" t="n"/>
      <x:c r="FJ10" s="28" t="n"/>
      <x:c r="FK10" s="28" t="n"/>
      <x:c r="FL10" s="28" t="n"/>
      <x:c r="FM10" s="28" t="n"/>
      <x:c r="FN10" s="28" t="n"/>
      <x:c r="FO10" s="28" t="n"/>
      <x:c r="FP10" s="28" t="n"/>
      <x:c r="FQ10" s="28" t="n"/>
      <x:c r="FR10" s="28" t="n"/>
      <x:c r="FS10" s="28" t="n"/>
      <x:c r="FT10" s="28" t="n"/>
      <x:c r="FU10" s="28" t="n"/>
      <x:c r="FV10" s="28" t="n"/>
      <x:c r="FW10" s="28" t="n"/>
      <x:c r="FX10" s="28" t="n"/>
      <x:c r="FY10" s="28" t="n"/>
      <x:c r="FZ10" s="28" t="n"/>
      <x:c r="GA10" s="28" t="n"/>
    </x:row>
    <x:row r="11" s="27" customFormat="1">
      <x:c r="A11" s="20" t="n"/>
      <x:c r="B11" s="37" t="n"/>
      <x:c r="C11" s="86" t="n">
        <x:f>E11*D$5</x:f>
        <x:v>0</x:v>
      </x:c>
      <x:c r="D11" s="103" t="inlineStr">
        <x:is>
          <x:t xml:space="preserve">Ernest Brooks and Mary Brooks, HW</x:t>
        </x:is>
      </x:c>
      <x:c r="E11" s="86" t="n">
        <x:f>SUM(G11:HT11)</x:f>
        <x:v>0</x:v>
      </x:c>
      <x:c r="F11" s="35" t="inlineStr">
        <x:is>
          <x:t xml:space="preserve"/>
        </x:is>
      </x:c>
      <x:c r="G11" s="121" t="n"/>
      <x:c r="H11" s="121" t="n">
        <x:v>1</x:v>
      </x:c>
      <x:c r="I11" s="121" t="n">
        <x:v>-1</x:v>
      </x:c>
      <x:c r="J11" s="122" t="n"/>
      <x:c r="K11" s="121" t="n"/>
      <x:c r="L11" s="121" t="n"/>
      <x:c r="M11" s="121" t="n"/>
      <x:c r="N11" s="121" t="n"/>
      <x:c r="O11" s="121" t="n"/>
      <x:c r="P11" s="121" t="n"/>
      <x:c r="Q11" s="123" t="n"/>
      <x:c r="R11" s="123" t="n"/>
      <x:c r="S11" s="121" t="n"/>
      <x:c r="T11" s="121" t="n"/>
      <x:c r="U11" s="121" t="n"/>
      <x:c r="V11" s="121" t="n"/>
      <x:c r="W11" s="121" t="n"/>
      <x:c r="X11" s="121" t="n"/>
      <x:c r="Y11" s="121" t="n"/>
      <x:c r="Z11" s="121" t="n"/>
      <x:c r="AA11" s="121" t="n"/>
      <x:c r="AB11" s="121" t="n"/>
      <x:c r="AC11" s="121" t="n"/>
      <x:c r="AD11" s="124" t="n"/>
      <x:c r="AE11" s="123" t="n"/>
      <x:c r="AF11" s="123" t="n"/>
      <x:c r="AG11" s="123" t="n"/>
      <x:c r="AH11" s="123" t="n"/>
      <x:c r="AI11" s="123" t="n"/>
      <x:c r="AJ11" s="123" t="n"/>
      <x:c r="AK11" s="121" t="n"/>
      <x:c r="AL11" s="123" t="n"/>
      <x:c r="AM11" s="121" t="n"/>
      <x:c r="AN11" s="123" t="n"/>
      <x:c r="AO11" s="121" t="n"/>
      <x:c r="AP11" s="121" t="n"/>
      <x:c r="AQ11" s="28" t="n"/>
      <x:c r="AR11" s="28" t="n"/>
      <x:c r="AS11" s="28" t="n"/>
      <x:c r="AT11" s="28" t="n"/>
      <x:c r="AU11" s="28" t="n"/>
      <x:c r="AV11" s="28" t="n"/>
      <x:c r="AW11" s="28" t="n"/>
      <x:c r="AX11" s="28" t="n"/>
      <x:c r="AY11" s="28" t="n"/>
      <x:c r="AZ11" s="28" t="n"/>
      <x:c r="BA11" s="28" t="n"/>
      <x:c r="BB11" s="28" t="n"/>
      <x:c r="BC11" s="28" t="n"/>
      <x:c r="BD11" s="28" t="n"/>
      <x:c r="BE11" s="28" t="n"/>
      <x:c r="BF11" s="28" t="n"/>
      <x:c r="BG11" s="28" t="n"/>
      <x:c r="BH11" s="28" t="n"/>
      <x:c r="BI11" s="28" t="n"/>
      <x:c r="BJ11" s="28" t="n"/>
      <x:c r="BK11" s="28" t="n"/>
      <x:c r="BL11" s="28" t="n"/>
      <x:c r="BM11" s="28" t="n"/>
      <x:c r="BN11" s="28" t="n"/>
      <x:c r="BO11" s="28" t="n"/>
      <x:c r="BP11" s="28" t="n"/>
      <x:c r="BQ11" s="28" t="n"/>
      <x:c r="BR11" s="28" t="n"/>
      <x:c r="BS11" s="28" t="n"/>
      <x:c r="BT11" s="28" t="n"/>
      <x:c r="BU11" s="28" t="n"/>
      <x:c r="BV11" s="28" t="n"/>
      <x:c r="BW11" s="28" t="n"/>
      <x:c r="BX11" s="28" t="n"/>
      <x:c r="BY11" s="28" t="n"/>
      <x:c r="BZ11" s="28" t="n"/>
      <x:c r="CA11" s="28" t="n"/>
      <x:c r="CB11" s="28" t="n"/>
      <x:c r="CC11" s="28" t="n"/>
      <x:c r="CD11" s="28" t="n"/>
      <x:c r="CE11" s="28" t="n"/>
      <x:c r="CF11" s="28" t="n"/>
      <x:c r="CG11" s="28" t="n"/>
      <x:c r="CH11" s="28" t="n"/>
      <x:c r="CI11" s="28" t="n"/>
      <x:c r="CJ11" s="28" t="n"/>
      <x:c r="CK11" s="28" t="n"/>
      <x:c r="CL11" s="28" t="n"/>
      <x:c r="CM11" s="28" t="n"/>
      <x:c r="CN11" s="28" t="n"/>
      <x:c r="CO11" s="28" t="n"/>
      <x:c r="CP11" s="28" t="n"/>
      <x:c r="CQ11" s="28" t="n"/>
      <x:c r="CR11" s="28" t="n"/>
      <x:c r="CS11" s="28" t="n"/>
      <x:c r="CT11" s="28" t="n"/>
      <x:c r="CU11" s="28" t="n"/>
      <x:c r="CV11" s="28" t="n"/>
      <x:c r="CW11" s="28" t="n"/>
      <x:c r="CX11" s="28" t="n"/>
      <x:c r="CY11" s="28" t="n"/>
      <x:c r="CZ11" s="28" t="n"/>
      <x:c r="DA11" s="28" t="n"/>
      <x:c r="DB11" s="28" t="n"/>
      <x:c r="DC11" s="28" t="n"/>
      <x:c r="DD11" s="28" t="n"/>
      <x:c r="DE11" s="28" t="n"/>
      <x:c r="DF11" s="28" t="n"/>
      <x:c r="DG11" s="28" t="n"/>
      <x:c r="DH11" s="28" t="n"/>
      <x:c r="DI11" s="28" t="n"/>
      <x:c r="DJ11" s="28" t="n"/>
      <x:c r="DK11" s="28" t="n"/>
      <x:c r="DL11" s="28" t="n"/>
      <x:c r="DM11" s="28" t="n"/>
      <x:c r="DN11" s="28" t="n"/>
      <x:c r="DO11" s="28" t="n"/>
      <x:c r="DP11" s="28" t="n"/>
      <x:c r="DQ11" s="28" t="n"/>
      <x:c r="DR11" s="28" t="n"/>
      <x:c r="DS11" s="28" t="n"/>
      <x:c r="DT11" s="28" t="n"/>
      <x:c r="DU11" s="28" t="n"/>
      <x:c r="DV11" s="28" t="n"/>
      <x:c r="DW11" s="28" t="n"/>
      <x:c r="DX11" s="28" t="n"/>
      <x:c r="DY11" s="28" t="n"/>
      <x:c r="DZ11" s="28" t="n"/>
      <x:c r="EA11" s="28" t="n"/>
      <x:c r="EB11" s="28" t="n"/>
      <x:c r="EC11" s="28" t="n"/>
      <x:c r="ED11" s="28" t="n"/>
      <x:c r="EE11" s="28" t="n"/>
      <x:c r="EF11" s="28" t="n"/>
      <x:c r="EG11" s="28" t="n"/>
      <x:c r="EH11" s="28" t="n"/>
      <x:c r="EI11" s="28" t="n"/>
      <x:c r="EJ11" s="28" t="n"/>
      <x:c r="EK11" s="28" t="n"/>
      <x:c r="EL11" s="28" t="n"/>
      <x:c r="EM11" s="28" t="n"/>
      <x:c r="EN11" s="28" t="n"/>
      <x:c r="EO11" s="28" t="n"/>
      <x:c r="EP11" s="28" t="n"/>
      <x:c r="EQ11" s="28" t="n"/>
      <x:c r="ER11" s="28" t="n"/>
      <x:c r="ES11" s="28" t="n"/>
      <x:c r="ET11" s="28" t="n"/>
      <x:c r="EU11" s="28" t="n"/>
      <x:c r="EV11" s="28" t="n"/>
      <x:c r="EW11" s="28" t="n"/>
      <x:c r="EX11" s="28" t="n"/>
      <x:c r="EY11" s="28" t="n"/>
      <x:c r="EZ11" s="28" t="n"/>
      <x:c r="FA11" s="28" t="n"/>
      <x:c r="FB11" s="28" t="n"/>
      <x:c r="FC11" s="28" t="n"/>
      <x:c r="FD11" s="28" t="n"/>
      <x:c r="FE11" s="28" t="n"/>
      <x:c r="FF11" s="28" t="n"/>
      <x:c r="FG11" s="28" t="n"/>
      <x:c r="FH11" s="28" t="n"/>
      <x:c r="FI11" s="28" t="n"/>
      <x:c r="FJ11" s="28" t="n"/>
      <x:c r="FK11" s="28" t="n"/>
      <x:c r="FL11" s="28" t="n"/>
      <x:c r="FM11" s="28" t="n"/>
      <x:c r="FN11" s="28" t="n"/>
      <x:c r="FO11" s="28" t="n"/>
      <x:c r="FP11" s="28" t="n"/>
      <x:c r="FQ11" s="28" t="n"/>
      <x:c r="FR11" s="28" t="n"/>
      <x:c r="FS11" s="28" t="n"/>
      <x:c r="FT11" s="28" t="n"/>
      <x:c r="FU11" s="28" t="n"/>
      <x:c r="FV11" s="28" t="n"/>
      <x:c r="FW11" s="28" t="n"/>
      <x:c r="FX11" s="28" t="n"/>
      <x:c r="FY11" s="28" t="n"/>
      <x:c r="FZ11" s="28" t="n"/>
    </x:row>
    <x:row r="12" s="27" customFormat="1">
      <x:c r="A12" s="20" t="n"/>
      <x:c r="B12" s="37" t="n"/>
      <x:c r="C12" s="86" t="n">
        <x:f>E12*D$5</x:f>
        <x:v>20</x:v>
      </x:c>
      <x:c r="D12" s="103" t="inlineStr">
        <x:is>
          <x:t xml:space="preserve">Susie Danforth</x:t>
        </x:is>
      </x:c>
      <x:c r="E12" s="86" t="n">
        <x:f>SUM(G12:HT12)</x:f>
        <x:v>0.5</x:v>
      </x:c>
      <x:c r="F12" s="35" t="inlineStr">
        <x:is>
          <x:t xml:space="preserve"/>
        </x:is>
      </x:c>
      <x:c r="G12" s="121" t="n"/>
      <x:c r="H12" s="121" t="n"/>
      <x:c r="I12" s="121" t="n">
        <x:v>0.5</x:v>
      </x:c>
      <x:c r="J12" s="121" t="n"/>
      <x:c r="K12" s="121" t="n"/>
      <x:c r="L12" s="121" t="n"/>
      <x:c r="M12" s="121" t="n"/>
      <x:c r="N12" s="121" t="n"/>
      <x:c r="O12" s="121" t="n"/>
      <x:c r="P12" s="121" t="n"/>
      <x:c r="Q12" s="123" t="n"/>
      <x:c r="R12" s="123" t="n"/>
      <x:c r="S12" s="121" t="n"/>
      <x:c r="T12" s="121" t="n"/>
      <x:c r="U12" s="121" t="n"/>
      <x:c r="V12" s="121" t="n"/>
      <x:c r="W12" s="121" t="n"/>
      <x:c r="X12" s="121" t="n"/>
      <x:c r="Y12" s="121" t="n"/>
      <x:c r="Z12" s="121" t="n"/>
      <x:c r="AA12" s="121" t="n"/>
      <x:c r="AB12" s="121" t="n"/>
      <x:c r="AC12" s="121" t="n"/>
      <x:c r="AD12" s="124" t="n"/>
      <x:c r="AE12" s="123" t="n"/>
      <x:c r="AF12" s="123" t="n"/>
      <x:c r="AG12" s="123" t="n"/>
      <x:c r="AH12" s="123" t="n"/>
      <x:c r="AI12" s="123" t="n"/>
      <x:c r="AJ12" s="123" t="n"/>
      <x:c r="AK12" s="121" t="n"/>
      <x:c r="AL12" s="124" t="n"/>
      <x:c r="AM12" s="121" t="n"/>
      <x:c r="AN12" s="123" t="n"/>
      <x:c r="AO12" s="121" t="n"/>
      <x:c r="AP12" s="121" t="n"/>
      <x:c r="AQ12" s="28" t="n"/>
      <x:c r="AR12" s="28" t="n"/>
      <x:c r="AS12" s="28" t="n"/>
      <x:c r="AT12" s="28" t="n"/>
      <x:c r="AU12" s="28" t="n"/>
      <x:c r="AV12" s="28" t="n"/>
      <x:c r="AW12" s="28" t="n"/>
      <x:c r="AX12" s="28" t="n"/>
      <x:c r="AY12" s="28" t="n"/>
      <x:c r="AZ12" s="28" t="n"/>
      <x:c r="BA12" s="28" t="n"/>
      <x:c r="BB12" s="28" t="n"/>
      <x:c r="BC12" s="28" t="n"/>
      <x:c r="BD12" s="28" t="n"/>
      <x:c r="BE12" s="28" t="n"/>
      <x:c r="BF12" s="28" t="n"/>
      <x:c r="BG12" s="28" t="n"/>
      <x:c r="BH12" s="28" t="n"/>
      <x:c r="BI12" s="28" t="n"/>
      <x:c r="BJ12" s="28" t="n"/>
      <x:c r="BK12" s="28" t="n"/>
      <x:c r="BL12" s="28" t="n"/>
      <x:c r="BM12" s="28" t="n"/>
      <x:c r="BN12" s="28" t="n"/>
      <x:c r="BO12" s="28" t="n"/>
      <x:c r="BP12" s="28" t="n"/>
      <x:c r="BQ12" s="28" t="n"/>
      <x:c r="BR12" s="28" t="n"/>
      <x:c r="BS12" s="28" t="n"/>
      <x:c r="BT12" s="28" t="n"/>
      <x:c r="BU12" s="28" t="n"/>
      <x:c r="BV12" s="28" t="n"/>
      <x:c r="BW12" s="28" t="n"/>
      <x:c r="BX12" s="28" t="n"/>
      <x:c r="BY12" s="28" t="n"/>
      <x:c r="BZ12" s="28" t="n"/>
      <x:c r="CA12" s="28" t="n"/>
      <x:c r="CB12" s="28" t="n"/>
      <x:c r="CC12" s="28" t="n"/>
      <x:c r="CD12" s="28" t="n"/>
      <x:c r="CE12" s="28" t="n"/>
      <x:c r="CF12" s="28" t="n"/>
      <x:c r="CG12" s="28" t="n"/>
      <x:c r="CH12" s="28" t="n"/>
      <x:c r="CI12" s="28" t="n"/>
      <x:c r="CJ12" s="28" t="n"/>
      <x:c r="CK12" s="28" t="n"/>
      <x:c r="CL12" s="28" t="n"/>
      <x:c r="CM12" s="28" t="n"/>
      <x:c r="CN12" s="28" t="n"/>
      <x:c r="CO12" s="28" t="n"/>
      <x:c r="CP12" s="28" t="n"/>
      <x:c r="CQ12" s="28" t="n"/>
      <x:c r="CR12" s="28" t="n"/>
      <x:c r="CS12" s="28" t="n"/>
      <x:c r="CT12" s="28" t="n"/>
      <x:c r="CU12" s="28" t="n"/>
      <x:c r="CV12" s="28" t="n"/>
      <x:c r="CW12" s="28" t="n"/>
      <x:c r="CX12" s="28" t="n"/>
      <x:c r="CY12" s="28" t="n"/>
      <x:c r="CZ12" s="28" t="n"/>
      <x:c r="DA12" s="28" t="n"/>
      <x:c r="DB12" s="28" t="n"/>
      <x:c r="DC12" s="28" t="n"/>
      <x:c r="DD12" s="28" t="n"/>
      <x:c r="DE12" s="28" t="n"/>
      <x:c r="DF12" s="28" t="n"/>
      <x:c r="DG12" s="28" t="n"/>
      <x:c r="DH12" s="28" t="n"/>
      <x:c r="DI12" s="28" t="n"/>
      <x:c r="DJ12" s="28" t="n"/>
      <x:c r="DK12" s="28" t="n"/>
      <x:c r="DL12" s="28" t="n"/>
      <x:c r="DM12" s="28" t="n"/>
      <x:c r="DN12" s="28" t="n"/>
      <x:c r="DO12" s="28" t="n"/>
      <x:c r="DP12" s="28" t="n"/>
      <x:c r="DQ12" s="28" t="n"/>
      <x:c r="DR12" s="28" t="n"/>
      <x:c r="DS12" s="28" t="n"/>
      <x:c r="DT12" s="28" t="n"/>
      <x:c r="DU12" s="28" t="n"/>
      <x:c r="DV12" s="28" t="n"/>
      <x:c r="DW12" s="28" t="n"/>
      <x:c r="DX12" s="28" t="n"/>
      <x:c r="DY12" s="28" t="n"/>
      <x:c r="DZ12" s="28" t="n"/>
      <x:c r="EA12" s="28" t="n"/>
      <x:c r="EB12" s="28" t="n"/>
      <x:c r="EC12" s="28" t="n"/>
      <x:c r="ED12" s="28" t="n"/>
      <x:c r="EE12" s="28" t="n"/>
      <x:c r="EF12" s="28" t="n"/>
      <x:c r="EG12" s="28" t="n"/>
      <x:c r="EH12" s="28" t="n"/>
      <x:c r="EI12" s="28" t="n"/>
      <x:c r="EJ12" s="28" t="n"/>
      <x:c r="EK12" s="28" t="n"/>
      <x:c r="EL12" s="28" t="n"/>
      <x:c r="EM12" s="28" t="n"/>
      <x:c r="EN12" s="28" t="n"/>
      <x:c r="EO12" s="28" t="n"/>
      <x:c r="EP12" s="28" t="n"/>
      <x:c r="EQ12" s="28" t="n"/>
      <x:c r="ER12" s="28" t="n"/>
      <x:c r="ES12" s="28" t="n"/>
      <x:c r="ET12" s="28" t="n"/>
      <x:c r="EU12" s="28" t="n"/>
      <x:c r="EV12" s="28" t="n"/>
      <x:c r="EW12" s="28" t="n"/>
      <x:c r="EX12" s="28" t="n"/>
      <x:c r="EY12" s="28" t="n"/>
      <x:c r="EZ12" s="28" t="n"/>
      <x:c r="FA12" s="28" t="n"/>
      <x:c r="FB12" s="28" t="n"/>
      <x:c r="FC12" s="28" t="n"/>
      <x:c r="FD12" s="28" t="n"/>
      <x:c r="FE12" s="28" t="n"/>
      <x:c r="FF12" s="28" t="n"/>
      <x:c r="FG12" s="28" t="n"/>
      <x:c r="FH12" s="28" t="n"/>
      <x:c r="FI12" s="28" t="n"/>
      <x:c r="FJ12" s="28" t="n"/>
      <x:c r="FK12" s="28" t="n"/>
      <x:c r="FL12" s="28" t="n"/>
      <x:c r="FM12" s="28" t="n"/>
      <x:c r="FN12" s="28" t="n"/>
      <x:c r="FO12" s="28" t="n"/>
      <x:c r="FP12" s="28" t="n"/>
      <x:c r="FQ12" s="28" t="n"/>
      <x:c r="FR12" s="28" t="n"/>
      <x:c r="FS12" s="28" t="n"/>
      <x:c r="FT12" s="28" t="n"/>
      <x:c r="FU12" s="28" t="n"/>
      <x:c r="FV12" s="28" t="n"/>
      <x:c r="FW12" s="28" t="n"/>
      <x:c r="FX12" s="28" t="n"/>
      <x:c r="FY12" s="28" t="n"/>
      <x:c r="FZ12" s="28" t="n"/>
    </x:row>
    <x:row r="13" s="27" customFormat="1">
      <x:c r="A13" s="20" t="n"/>
      <x:c r="B13" s="37" t="n"/>
      <x:c r="C13" s="86" t="n">
        <x:f>E13*D$5</x:f>
        <x:v>20</x:v>
      </x:c>
      <x:c r="D13" s="103" t="inlineStr">
        <x:is>
          <x:t xml:space="preserve">W. C. Danforth</x:t>
        </x:is>
      </x:c>
      <x:c r="E13" s="86" t="n">
        <x:f>SUM(G13:HT13)</x:f>
        <x:v>0.5</x:v>
      </x:c>
      <x:c r="F13" s="35" t="inlineStr">
        <x:is>
          <x:t xml:space="preserve"/>
        </x:is>
      </x:c>
      <x:c r="G13" s="121" t="n"/>
      <x:c r="H13" s="121" t="n"/>
      <x:c r="I13" s="121" t="n">
        <x:v>0.5</x:v>
      </x:c>
      <x:c r="J13" s="121" t="n"/>
      <x:c r="K13" s="121" t="n"/>
      <x:c r="L13" s="121" t="n"/>
      <x:c r="M13" s="121" t="n"/>
      <x:c r="N13" s="121" t="n"/>
      <x:c r="O13" s="122" t="n"/>
      <x:c r="P13" s="121" t="n"/>
      <x:c r="Q13" s="123" t="n"/>
      <x:c r="R13" s="123" t="n"/>
      <x:c r="S13" s="121" t="n"/>
      <x:c r="T13" s="121" t="n"/>
      <x:c r="U13" s="121" t="n"/>
      <x:c r="V13" s="121" t="n"/>
      <x:c r="W13" s="121" t="n"/>
      <x:c r="X13" s="121" t="n"/>
      <x:c r="Y13" s="121" t="n"/>
      <x:c r="Z13" s="121" t="n"/>
      <x:c r="AA13" s="121" t="n"/>
      <x:c r="AB13" s="121" t="n"/>
      <x:c r="AC13" s="121" t="n"/>
      <x:c r="AD13" s="123" t="n"/>
      <x:c r="AE13" s="123" t="n"/>
      <x:c r="AF13" s="124" t="n"/>
      <x:c r="AG13" s="123" t="n"/>
      <x:c r="AH13" s="123" t="n"/>
      <x:c r="AI13" s="123" t="n"/>
      <x:c r="AJ13" s="123" t="n"/>
      <x:c r="AK13" s="121" t="n"/>
      <x:c r="AL13" s="123" t="n"/>
      <x:c r="AM13" s="121" t="n"/>
      <x:c r="AN13" s="123" t="n"/>
      <x:c r="AO13" s="121" t="n"/>
      <x:c r="AP13" s="121" t="n"/>
      <x:c r="AQ13" s="28" t="n"/>
      <x:c r="AR13" s="28" t="n"/>
      <x:c r="AS13" s="28" t="n"/>
      <x:c r="AT13" s="28" t="n"/>
      <x:c r="AU13" s="28" t="n"/>
      <x:c r="AV13" s="28" t="n"/>
      <x:c r="AW13" s="28" t="n"/>
      <x:c r="AX13" s="28" t="n"/>
      <x:c r="AY13" s="28" t="n"/>
      <x:c r="AZ13" s="28" t="n"/>
      <x:c r="BA13" s="28" t="n"/>
      <x:c r="BB13" s="28" t="n"/>
      <x:c r="BC13" s="28" t="n"/>
      <x:c r="BD13" s="28" t="n"/>
      <x:c r="BE13" s="28" t="n"/>
      <x:c r="BF13" s="28" t="n"/>
      <x:c r="BG13" s="28" t="n"/>
      <x:c r="BH13" s="28" t="n"/>
      <x:c r="BI13" s="28" t="n"/>
      <x:c r="BJ13" s="28" t="n"/>
      <x:c r="BK13" s="28" t="n"/>
      <x:c r="BL13" s="28" t="n"/>
      <x:c r="BM13" s="28" t="n"/>
      <x:c r="BN13" s="28" t="n"/>
      <x:c r="BO13" s="28" t="n"/>
      <x:c r="BP13" s="28" t="n"/>
      <x:c r="BQ13" s="28" t="n"/>
      <x:c r="BR13" s="28" t="n"/>
      <x:c r="BS13" s="28" t="n"/>
      <x:c r="BT13" s="28" t="n"/>
      <x:c r="BU13" s="28" t="n"/>
      <x:c r="BV13" s="28" t="n"/>
      <x:c r="BW13" s="28" t="n"/>
      <x:c r="BX13" s="28" t="n"/>
      <x:c r="BY13" s="28" t="n"/>
      <x:c r="BZ13" s="28" t="n"/>
      <x:c r="CA13" s="28" t="n"/>
      <x:c r="CB13" s="28" t="n"/>
      <x:c r="CC13" s="28" t="n"/>
      <x:c r="CD13" s="28" t="n"/>
      <x:c r="CE13" s="28" t="n"/>
      <x:c r="CF13" s="28" t="n"/>
      <x:c r="CG13" s="28" t="n"/>
      <x:c r="CH13" s="28" t="n"/>
      <x:c r="CI13" s="28" t="n"/>
      <x:c r="CJ13" s="28" t="n"/>
      <x:c r="CK13" s="28" t="n"/>
      <x:c r="CL13" s="28" t="n"/>
      <x:c r="CM13" s="28" t="n"/>
      <x:c r="CN13" s="28" t="n"/>
      <x:c r="CO13" s="28" t="n"/>
      <x:c r="CP13" s="28" t="n"/>
      <x:c r="CQ13" s="28" t="n"/>
      <x:c r="CR13" s="28" t="n"/>
      <x:c r="CS13" s="28" t="n"/>
      <x:c r="CT13" s="28" t="n"/>
      <x:c r="CU13" s="28" t="n"/>
      <x:c r="CV13" s="28" t="n"/>
      <x:c r="CW13" s="28" t="n"/>
      <x:c r="CX13" s="28" t="n"/>
      <x:c r="CY13" s="28" t="n"/>
      <x:c r="CZ13" s="28" t="n"/>
      <x:c r="DA13" s="28" t="n"/>
      <x:c r="DB13" s="28" t="n"/>
      <x:c r="DC13" s="28" t="n"/>
      <x:c r="DD13" s="28" t="n"/>
      <x:c r="DE13" s="28" t="n"/>
      <x:c r="DF13" s="28" t="n"/>
      <x:c r="DG13" s="28" t="n"/>
      <x:c r="DH13" s="28" t="n"/>
      <x:c r="DI13" s="28" t="n"/>
      <x:c r="DJ13" s="28" t="n"/>
      <x:c r="DK13" s="28" t="n"/>
      <x:c r="DL13" s="28" t="n"/>
      <x:c r="DM13" s="28" t="n"/>
      <x:c r="DN13" s="28" t="n"/>
      <x:c r="DO13" s="28" t="n"/>
      <x:c r="DP13" s="28" t="n"/>
      <x:c r="DQ13" s="28" t="n"/>
      <x:c r="DR13" s="28" t="n"/>
      <x:c r="DS13" s="28" t="n"/>
      <x:c r="DT13" s="28" t="n"/>
      <x:c r="DU13" s="28" t="n"/>
      <x:c r="DV13" s="28" t="n"/>
      <x:c r="DW13" s="28" t="n"/>
      <x:c r="DX13" s="28" t="n"/>
      <x:c r="DY13" s="28" t="n"/>
      <x:c r="DZ13" s="28" t="n"/>
      <x:c r="EA13" s="28" t="n"/>
      <x:c r="EB13" s="28" t="n"/>
      <x:c r="EC13" s="28" t="n"/>
      <x:c r="ED13" s="28" t="n"/>
      <x:c r="EE13" s="28" t="n"/>
      <x:c r="EF13" s="28" t="n"/>
      <x:c r="EG13" s="28" t="n"/>
      <x:c r="EH13" s="28" t="n"/>
      <x:c r="EI13" s="28" t="n"/>
      <x:c r="EJ13" s="28" t="n"/>
      <x:c r="EK13" s="28" t="n"/>
      <x:c r="EL13" s="28" t="n"/>
      <x:c r="EM13" s="28" t="n"/>
      <x:c r="EN13" s="28" t="n"/>
      <x:c r="EO13" s="28" t="n"/>
      <x:c r="EP13" s="28" t="n"/>
      <x:c r="EQ13" s="28" t="n"/>
      <x:c r="ER13" s="28" t="n"/>
      <x:c r="ES13" s="28" t="n"/>
      <x:c r="ET13" s="28" t="n"/>
      <x:c r="EU13" s="28" t="n"/>
      <x:c r="EV13" s="28" t="n"/>
      <x:c r="EW13" s="28" t="n"/>
      <x:c r="EX13" s="28" t="n"/>
      <x:c r="EY13" s="28" t="n"/>
      <x:c r="EZ13" s="28" t="n"/>
      <x:c r="FA13" s="28" t="n"/>
      <x:c r="FB13" s="28" t="n"/>
      <x:c r="FC13" s="28" t="n"/>
      <x:c r="FD13" s="28" t="n"/>
      <x:c r="FE13" s="28" t="n"/>
      <x:c r="FF13" s="28" t="n"/>
      <x:c r="FG13" s="28" t="n"/>
      <x:c r="FH13" s="28" t="n"/>
      <x:c r="FI13" s="28" t="n"/>
      <x:c r="FJ13" s="28" t="n"/>
      <x:c r="FK13" s="28" t="n"/>
      <x:c r="FL13" s="28" t="n"/>
      <x:c r="FM13" s="28" t="n"/>
      <x:c r="FN13" s="28" t="n"/>
      <x:c r="FO13" s="28" t="n"/>
      <x:c r="FP13" s="28" t="n"/>
      <x:c r="FQ13" s="28" t="n"/>
      <x:c r="FR13" s="28" t="n"/>
      <x:c r="FS13" s="28" t="n"/>
      <x:c r="FT13" s="28" t="n"/>
      <x:c r="FU13" s="28" t="n"/>
      <x:c r="FV13" s="28" t="n"/>
      <x:c r="FW13" s="28" t="n"/>
      <x:c r="FX13" s="28" t="n"/>
      <x:c r="FY13" s="28" t="n"/>
      <x:c r="FZ13" s="28" t="n"/>
    </x:row>
    <x:row r="14" s="27" customFormat="1" ht="24" customHeight="1">
      <x:c r="B14" s="80" t="n"/>
      <x:c r="C14" s="36" t="n">
        <x:f>E14*D$5</x:f>
        <x:v>-40</x:v>
      </x:c>
      <x:c r="D14" s="410" t="inlineStr">
        <x:is>
          <x:t xml:space="preserve">Beckham County Court, RE: In the Matter of the Estate of Benjamin H. Shotwell, Deceased</x:t>
        </x:is>
      </x:c>
      <x:c r="E14" s="411" t="n">
        <x:f>SUM(G14:HT14)</x:f>
        <x:v>-1</x:v>
      </x:c>
      <x:c r="F14" s="35" t="inlineStr">
        <x:is>
          <x:t xml:space="preserve"/>
        </x:is>
      </x:c>
      <x:c r="G14" s="121" t="n"/>
      <x:c r="H14" s="122" t="n"/>
      <x:c r="I14" s="121" t="n"/>
      <x:c r="J14" s="121" t="n">
        <x:v>-1</x:v>
      </x:c>
      <x:c r="K14" s="121" t="n"/>
      <x:c r="L14" s="121" t="n"/>
      <x:c r="M14" s="121" t="n"/>
      <x:c r="N14" s="121" t="n"/>
      <x:c r="O14" s="121" t="n"/>
      <x:c r="P14" s="121" t="n"/>
      <x:c r="Q14" s="123" t="n"/>
      <x:c r="R14" s="123" t="n"/>
      <x:c r="S14" s="121" t="n"/>
      <x:c r="T14" s="121" t="n"/>
      <x:c r="U14" s="121" t="n"/>
      <x:c r="V14" s="121" t="n"/>
      <x:c r="W14" s="121" t="n"/>
      <x:c r="X14" s="121" t="n"/>
      <x:c r="Y14" s="121" t="n"/>
      <x:c r="Z14" s="121" t="n"/>
      <x:c r="AA14" s="121" t="n"/>
      <x:c r="AB14" s="121" t="n"/>
      <x:c r="AC14" s="121" t="n"/>
      <x:c r="AD14" s="123" t="n"/>
      <x:c r="AE14" s="123" t="n"/>
      <x:c r="AF14" s="124" t="n"/>
      <x:c r="AG14" s="122" t="n"/>
      <x:c r="AH14" s="122" t="n"/>
      <x:c r="AI14" s="122" t="n"/>
      <x:c r="AJ14" s="122" t="n"/>
      <x:c r="AK14" s="121" t="n"/>
      <x:c r="AL14" s="123" t="n"/>
      <x:c r="AM14" s="121" t="n"/>
      <x:c r="AN14" s="123" t="n"/>
      <x:c r="AO14" s="121" t="n"/>
      <x:c r="AP14" s="121" t="n"/>
      <x:c r="AQ14" s="28" t="n"/>
      <x:c r="AR14" s="28" t="n"/>
      <x:c r="AS14" s="28" t="n"/>
      <x:c r="AT14" s="28" t="n"/>
      <x:c r="AU14" s="28" t="n"/>
      <x:c r="AV14" s="28" t="n"/>
      <x:c r="AW14" s="28" t="n"/>
      <x:c r="AX14" s="28" t="n"/>
      <x:c r="AY14" s="28" t="n"/>
      <x:c r="AZ14" s="28" t="n"/>
      <x:c r="BA14" s="28" t="n"/>
      <x:c r="BB14" s="28" t="n"/>
      <x:c r="BC14" s="28" t="n"/>
      <x:c r="BD14" s="28" t="n"/>
      <x:c r="BE14" s="28" t="n"/>
      <x:c r="BF14" s="28" t="n"/>
      <x:c r="BG14" s="28" t="n"/>
      <x:c r="BH14" s="28" t="n"/>
      <x:c r="BI14" s="28" t="n"/>
      <x:c r="BJ14" s="28" t="n"/>
      <x:c r="BK14" s="28" t="n"/>
      <x:c r="BL14" s="28" t="n"/>
      <x:c r="BM14" s="28" t="n"/>
      <x:c r="BN14" s="28" t="n"/>
      <x:c r="BO14" s="28" t="n"/>
      <x:c r="BP14" s="28" t="n"/>
      <x:c r="BQ14" s="28" t="n"/>
      <x:c r="BR14" s="28" t="n"/>
      <x:c r="BS14" s="28" t="n"/>
      <x:c r="BT14" s="28" t="n"/>
      <x:c r="BU14" s="28" t="n"/>
      <x:c r="BV14" s="28" t="n"/>
      <x:c r="BW14" s="28" t="n"/>
      <x:c r="BX14" s="28" t="n"/>
      <x:c r="BY14" s="28" t="n"/>
      <x:c r="BZ14" s="28" t="n"/>
      <x:c r="CA14" s="28" t="n"/>
      <x:c r="CB14" s="28" t="n"/>
      <x:c r="CC14" s="28" t="n"/>
      <x:c r="CD14" s="28" t="n"/>
      <x:c r="CE14" s="28" t="n"/>
      <x:c r="CF14" s="28" t="n"/>
      <x:c r="CG14" s="28" t="n"/>
      <x:c r="CH14" s="28" t="n"/>
      <x:c r="CI14" s="28" t="n"/>
      <x:c r="CJ14" s="28" t="n"/>
      <x:c r="CK14" s="28" t="n"/>
      <x:c r="CL14" s="28" t="n"/>
      <x:c r="CM14" s="28" t="n"/>
      <x:c r="CN14" s="28" t="n"/>
      <x:c r="CO14" s="28" t="n"/>
      <x:c r="CP14" s="28" t="n"/>
      <x:c r="CQ14" s="28" t="n"/>
      <x:c r="CR14" s="28" t="n"/>
      <x:c r="CS14" s="28" t="n"/>
      <x:c r="CT14" s="28" t="n"/>
      <x:c r="CU14" s="28" t="n"/>
      <x:c r="CV14" s="28" t="n"/>
      <x:c r="CW14" s="28" t="n"/>
      <x:c r="CX14" s="28" t="n"/>
      <x:c r="CY14" s="28" t="n"/>
      <x:c r="CZ14" s="28" t="n"/>
      <x:c r="DA14" s="28" t="n"/>
      <x:c r="DB14" s="28" t="n"/>
      <x:c r="DC14" s="28" t="n"/>
      <x:c r="DD14" s="28" t="n"/>
      <x:c r="DE14" s="28" t="n"/>
      <x:c r="DF14" s="28" t="n"/>
      <x:c r="DG14" s="28" t="n"/>
      <x:c r="DH14" s="28" t="n"/>
      <x:c r="DI14" s="28" t="n"/>
      <x:c r="DJ14" s="28" t="n"/>
      <x:c r="DK14" s="28" t="n"/>
      <x:c r="DL14" s="28" t="n"/>
      <x:c r="DM14" s="28" t="n"/>
      <x:c r="DN14" s="28" t="n"/>
      <x:c r="DO14" s="28" t="n"/>
      <x:c r="DP14" s="28" t="n"/>
      <x:c r="DQ14" s="28" t="n"/>
      <x:c r="DR14" s="28" t="n"/>
      <x:c r="DS14" s="28" t="n"/>
      <x:c r="DT14" s="28" t="n"/>
      <x:c r="DU14" s="28" t="n"/>
      <x:c r="DV14" s="28" t="n"/>
      <x:c r="DW14" s="28" t="n"/>
      <x:c r="DX14" s="28" t="n"/>
      <x:c r="DY14" s="28" t="n"/>
      <x:c r="DZ14" s="28" t="n"/>
      <x:c r="EA14" s="28" t="n"/>
      <x:c r="EB14" s="28" t="n"/>
      <x:c r="EC14" s="28" t="n"/>
      <x:c r="ED14" s="28" t="n"/>
      <x:c r="EE14" s="28" t="n"/>
      <x:c r="EF14" s="28" t="n"/>
      <x:c r="EG14" s="28" t="n"/>
      <x:c r="EH14" s="28" t="n"/>
      <x:c r="EI14" s="28" t="n"/>
      <x:c r="EJ14" s="28" t="n"/>
      <x:c r="EK14" s="28" t="n"/>
      <x:c r="EL14" s="28" t="n"/>
      <x:c r="EM14" s="28" t="n"/>
      <x:c r="EN14" s="28" t="n"/>
      <x:c r="EO14" s="28" t="n"/>
      <x:c r="EP14" s="28" t="n"/>
      <x:c r="EQ14" s="28" t="n"/>
      <x:c r="ER14" s="28" t="n"/>
      <x:c r="ES14" s="28" t="n"/>
      <x:c r="ET14" s="28" t="n"/>
      <x:c r="EU14" s="28" t="n"/>
      <x:c r="EV14" s="28" t="n"/>
      <x:c r="EW14" s="28" t="n"/>
      <x:c r="EX14" s="28" t="n"/>
      <x:c r="EY14" s="28" t="n"/>
      <x:c r="EZ14" s="28" t="n"/>
      <x:c r="FA14" s="28" t="n"/>
      <x:c r="FB14" s="28" t="n"/>
      <x:c r="FC14" s="28" t="n"/>
      <x:c r="FD14" s="28" t="n"/>
      <x:c r="FE14" s="28" t="n"/>
      <x:c r="FF14" s="28" t="n"/>
      <x:c r="FG14" s="28" t="n"/>
      <x:c r="FH14" s="28" t="n"/>
      <x:c r="FI14" s="28" t="n"/>
      <x:c r="FJ14" s="28" t="n"/>
      <x:c r="FK14" s="28" t="n"/>
      <x:c r="FL14" s="28" t="n"/>
      <x:c r="FM14" s="28" t="n"/>
      <x:c r="FN14" s="28" t="n"/>
      <x:c r="FO14" s="28" t="n"/>
      <x:c r="FP14" s="28" t="n"/>
      <x:c r="FQ14" s="28" t="n"/>
      <x:c r="FR14" s="28" t="n"/>
      <x:c r="FS14" s="28" t="n"/>
      <x:c r="FT14" s="28" t="n"/>
      <x:c r="FU14" s="28" t="n"/>
      <x:c r="FV14" s="28" t="n"/>
      <x:c r="FW14" s="28" t="n"/>
      <x:c r="FX14" s="28" t="n"/>
      <x:c r="FY14" s="28" t="n"/>
      <x:c r="FZ14" s="28" t="n"/>
    </x:row>
    <x:row r="15" s="27" customFormat="1">
      <x:c r="A15" s="79" t="n"/>
      <x:c r="B15" s="79" t="n"/>
      <x:c r="C15" s="36" t="n">
        <x:f>E15*D$5</x:f>
        <x:v>18</x:v>
      </x:c>
      <x:c r="D15" s="103" t="inlineStr">
        <x:is>
          <x:t xml:space="preserve">Maggie Bennett</x:t>
        </x:is>
      </x:c>
      <x:c r="E15" s="36" t="n">
        <x:f>SUM(G15:HT15)</x:f>
        <x:v>0.45</x:v>
      </x:c>
      <x:c r="F15" s="35" t="inlineStr">
        <x:is>
          <x:t xml:space="preserve"/>
        </x:is>
      </x:c>
      <x:c r="G15" s="121" t="n"/>
      <x:c r="H15" s="121" t="n"/>
      <x:c r="I15" s="121" t="n"/>
      <x:c r="J15" s="121" t="n">
        <x:v>0.2</x:v>
      </x:c>
      <x:c r="K15" s="121" t="n"/>
      <x:c r="L15" s="121" t="n"/>
      <x:c r="M15" s="121" t="n"/>
      <x:c r="N15" s="121" t="n"/>
      <x:c r="O15" s="121" t="n"/>
      <x:c r="P15" s="121" t="n"/>
      <x:c r="Q15" s="123" t="n"/>
      <x:c r="R15" s="123" t="n"/>
      <x:c r="S15" s="121" t="n"/>
      <x:c r="T15" s="121" t="n"/>
      <x:c r="U15" s="121" t="n"/>
      <x:c r="V15" s="121" t="n"/>
      <x:c r="W15" s="121" t="n"/>
      <x:c r="X15" s="121" t="n"/>
      <x:c r="Y15" s="121" t="n"/>
      <x:c r="Z15" s="121" t="n"/>
      <x:c r="AA15" s="121" t="n"/>
      <x:c r="AB15" s="121" t="n"/>
      <x:c r="AC15" s="121" t="n"/>
      <x:c r="AD15" s="123" t="n"/>
      <x:c r="AE15" s="123" t="n"/>
      <x:c r="AF15" s="123" t="n"/>
      <x:c r="AG15" s="122" t="n"/>
      <x:c r="AH15" s="122" t="n"/>
      <x:c r="AI15" s="122" t="n"/>
      <x:c r="AJ15" s="122" t="n"/>
      <x:c r="AK15" s="121" t="n"/>
      <x:c r="AL15" s="123" t="n"/>
      <x:c r="AM15" s="121" t="n"/>
      <x:c r="AN15" s="123" t="n"/>
      <x:c r="AO15" s="121" t="n"/>
      <x:c r="AP15" s="121" t="n"/>
      <x:c r="AQ15" s="28" t="n"/>
      <x:c r="AR15" s="28" t="n"/>
      <x:c r="AS15" s="28" t="n"/>
      <x:c r="AT15" s="28" t="n"/>
      <x:c r="AU15" s="28" t="n"/>
      <x:c r="AV15" s="28" t="n"/>
      <x:c r="AW15" s="28" t="n"/>
      <x:c r="AX15" s="28" t="n"/>
      <x:c r="AY15" s="28" t="n"/>
      <x:c r="AZ15" s="28" t="n"/>
      <x:c r="BA15" s="28" t="n"/>
      <x:c r="BB15" s="28" t="n"/>
      <x:c r="BC15" s="28" t="n"/>
      <x:c r="BD15" s="28" t="n"/>
      <x:c r="BE15" s="28" t="n"/>
      <x:c r="BF15" s="28" t="n"/>
      <x:c r="BG15" s="28" t="n"/>
      <x:c r="BH15" s="28" t="n"/>
      <x:c r="BI15" s="28" t="n"/>
      <x:c r="BJ15" s="28" t="n"/>
      <x:c r="BK15" s="28" t="n"/>
      <x:c r="BL15" s="28" t="n"/>
      <x:c r="BM15" s="28" t="n"/>
      <x:c r="BN15" s="28" t="n"/>
      <x:c r="BO15" s="28" t="n"/>
      <x:c r="BP15" s="28" t="n"/>
      <x:c r="BQ15" s="28" t="n"/>
      <x:c r="BR15" s="28" t="n"/>
      <x:c r="BS15" s="28" t="n"/>
      <x:c r="BT15" s="28" t="n"/>
      <x:c r="BU15" s="28" t="n"/>
      <x:c r="BV15" s="28" t="n"/>
      <x:c r="BW15" s="28" t="n"/>
      <x:c r="BX15" s="28" t="n"/>
      <x:c r="BY15" s="28" t="n"/>
      <x:c r="BZ15" s="28" t="n"/>
      <x:c r="CA15" s="28" t="n"/>
      <x:c r="CB15" s="28" t="n"/>
      <x:c r="CC15" s="28" t="n"/>
      <x:c r="CD15" s="28" t="n"/>
      <x:c r="CE15" s="28" t="n"/>
      <x:c r="CF15" s="28" t="n">
        <x:v>0.25</x:v>
      </x:c>
      <x:c r="CG15" s="28" t="n"/>
      <x:c r="CH15" s="28" t="n"/>
      <x:c r="CI15" s="28" t="n"/>
      <x:c r="CJ15" s="28" t="n"/>
      <x:c r="CK15" s="28" t="n"/>
      <x:c r="CL15" s="28" t="n"/>
      <x:c r="CM15" s="28" t="n"/>
      <x:c r="CN15" s="28" t="n"/>
      <x:c r="CO15" s="28" t="n"/>
      <x:c r="CP15" s="28" t="n"/>
      <x:c r="CQ15" s="28" t="n"/>
      <x:c r="CR15" s="28" t="n"/>
      <x:c r="CS15" s="28" t="n"/>
      <x:c r="CT15" s="28" t="n"/>
      <x:c r="CU15" s="28" t="n"/>
      <x:c r="CV15" s="28" t="n"/>
      <x:c r="CW15" s="28" t="n"/>
      <x:c r="CX15" s="28" t="n"/>
      <x:c r="CY15" s="28" t="n"/>
      <x:c r="CZ15" s="28" t="n"/>
      <x:c r="DA15" s="28" t="n"/>
      <x:c r="DB15" s="28" t="n"/>
      <x:c r="DC15" s="28" t="n"/>
      <x:c r="DD15" s="28" t="n"/>
      <x:c r="DE15" s="28" t="n"/>
      <x:c r="DF15" s="28" t="n"/>
      <x:c r="DG15" s="28" t="n"/>
      <x:c r="DH15" s="28" t="n"/>
      <x:c r="DI15" s="28" t="n"/>
      <x:c r="DJ15" s="28" t="n"/>
      <x:c r="DK15" s="28" t="n"/>
      <x:c r="DL15" s="28" t="n"/>
      <x:c r="DM15" s="28" t="n"/>
      <x:c r="DN15" s="28" t="n"/>
      <x:c r="DO15" s="28" t="n"/>
      <x:c r="DP15" s="28" t="n"/>
      <x:c r="DQ15" s="28" t="n"/>
      <x:c r="DR15" s="28" t="n"/>
      <x:c r="DS15" s="28" t="n"/>
      <x:c r="DT15" s="28" t="n"/>
      <x:c r="DU15" s="28" t="n"/>
      <x:c r="DV15" s="28" t="n"/>
      <x:c r="DW15" s="28" t="n"/>
      <x:c r="DX15" s="28" t="n"/>
      <x:c r="DY15" s="28" t="n"/>
      <x:c r="DZ15" s="28" t="n"/>
      <x:c r="EA15" s="28" t="n"/>
      <x:c r="EB15" s="28" t="n"/>
      <x:c r="EC15" s="28" t="n"/>
      <x:c r="ED15" s="28" t="n"/>
      <x:c r="EE15" s="28" t="n"/>
      <x:c r="EF15" s="28" t="n"/>
      <x:c r="EG15" s="28" t="n"/>
      <x:c r="EH15" s="28" t="n"/>
      <x:c r="EI15" s="28" t="n"/>
      <x:c r="EJ15" s="28" t="n"/>
      <x:c r="EK15" s="28" t="n"/>
      <x:c r="EL15" s="28" t="n"/>
      <x:c r="EM15" s="28" t="n"/>
      <x:c r="EN15" s="28" t="n"/>
      <x:c r="EO15" s="28" t="n"/>
      <x:c r="EP15" s="28" t="n"/>
      <x:c r="EQ15" s="28" t="n"/>
      <x:c r="ER15" s="28" t="n"/>
      <x:c r="ES15" s="28" t="n"/>
      <x:c r="ET15" s="28" t="n"/>
      <x:c r="EU15" s="28" t="n"/>
      <x:c r="EV15" s="28" t="n"/>
      <x:c r="EW15" s="28" t="n"/>
      <x:c r="EX15" s="28" t="n"/>
      <x:c r="EY15" s="28" t="n"/>
      <x:c r="EZ15" s="28" t="n"/>
      <x:c r="FA15" s="28" t="n"/>
      <x:c r="FB15" s="28" t="n"/>
      <x:c r="FC15" s="28" t="n"/>
      <x:c r="FD15" s="28" t="n"/>
      <x:c r="FE15" s="28" t="n"/>
      <x:c r="FF15" s="28" t="n"/>
      <x:c r="FG15" s="28" t="n"/>
      <x:c r="FH15" s="28" t="n"/>
      <x:c r="FI15" s="28" t="n"/>
      <x:c r="FJ15" s="28" t="n"/>
      <x:c r="FK15" s="28" t="n"/>
      <x:c r="FL15" s="28" t="n"/>
      <x:c r="FM15" s="28" t="n"/>
      <x:c r="FN15" s="28" t="n"/>
      <x:c r="FO15" s="28" t="n"/>
      <x:c r="FP15" s="28" t="n"/>
      <x:c r="FQ15" s="28" t="n"/>
      <x:c r="FR15" s="28" t="n"/>
      <x:c r="FS15" s="28" t="n"/>
      <x:c r="FT15" s="28" t="n"/>
      <x:c r="FU15" s="28" t="n"/>
      <x:c r="FV15" s="28" t="n"/>
      <x:c r="FW15" s="28" t="n"/>
      <x:c r="FX15" s="28" t="n"/>
      <x:c r="FY15" s="28" t="n"/>
      <x:c r="FZ15" s="28" t="n"/>
    </x:row>
    <x:row r="16" s="27" customFormat="1">
      <x:c r="A16" s="38" t="n"/>
      <x:c r="B16" s="37" t="n"/>
      <x:c r="C16" s="36" t="n">
        <x:f>E16*D$5</x:f>
        <x:v>18</x:v>
      </x:c>
      <x:c r="D16" s="103" t="inlineStr">
        <x:is>
          <x:t xml:space="preserve">Eli L. Shotwell</x:t>
        </x:is>
      </x:c>
      <x:c r="E16" s="36" t="n">
        <x:f>SUM(G16:HT16)</x:f>
        <x:v>0.45</x:v>
      </x:c>
      <x:c r="F16" s="35" t="inlineStr">
        <x:is>
          <x:t xml:space="preserve"/>
        </x:is>
      </x:c>
      <x:c r="G16" s="121" t="n"/>
      <x:c r="H16" s="122" t="n"/>
      <x:c r="I16" s="121" t="n"/>
      <x:c r="J16" s="121" t="n">
        <x:v>0.2</x:v>
      </x:c>
      <x:c r="K16" s="121" t="n"/>
      <x:c r="L16" s="121" t="n"/>
      <x:c r="M16" s="121" t="n"/>
      <x:c r="N16" s="121" t="n"/>
      <x:c r="O16" s="121" t="n"/>
      <x:c r="P16" s="122" t="n"/>
      <x:c r="Q16" s="123" t="n"/>
      <x:c r="R16" s="123" t="n"/>
      <x:c r="S16" s="121" t="n"/>
      <x:c r="T16" s="121" t="n"/>
      <x:c r="U16" s="121" t="n"/>
      <x:c r="V16" s="121" t="n"/>
      <x:c r="W16" s="121" t="n"/>
      <x:c r="X16" s="121" t="n"/>
      <x:c r="Y16" s="121" t="n"/>
      <x:c r="Z16" s="121" t="n"/>
      <x:c r="AA16" s="122" t="n"/>
      <x:c r="AB16" s="121" t="n"/>
      <x:c r="AC16" s="121" t="n"/>
      <x:c r="AD16" s="123" t="n"/>
      <x:c r="AE16" s="123" t="n"/>
      <x:c r="AF16" s="123" t="n"/>
      <x:c r="AG16" s="122" t="n"/>
      <x:c r="AH16" s="122" t="n"/>
      <x:c r="AI16" s="122" t="n"/>
      <x:c r="AJ16" s="122" t="n"/>
      <x:c r="AK16" s="121" t="n"/>
      <x:c r="AL16" s="123" t="n"/>
      <x:c r="AM16" s="121" t="n"/>
      <x:c r="AN16" s="123" t="n"/>
      <x:c r="AO16" s="121" t="n"/>
      <x:c r="AP16" s="121" t="n"/>
      <x:c r="AQ16" s="28" t="n"/>
      <x:c r="AR16" s="28" t="n"/>
      <x:c r="AS16" s="28" t="n"/>
      <x:c r="AT16" s="28" t="n"/>
      <x:c r="AU16" s="28" t="n"/>
      <x:c r="AV16" s="28" t="n"/>
      <x:c r="AW16" s="28" t="n"/>
      <x:c r="AX16" s="28" t="n"/>
      <x:c r="AY16" s="28" t="n"/>
      <x:c r="AZ16" s="28" t="n"/>
      <x:c r="BA16" s="28" t="n"/>
      <x:c r="BB16" s="28" t="n"/>
      <x:c r="BC16" s="28" t="n"/>
      <x:c r="BD16" s="28" t="n"/>
      <x:c r="BE16" s="28" t="n"/>
      <x:c r="BF16" s="28" t="n"/>
      <x:c r="BG16" s="28" t="n"/>
      <x:c r="BH16" s="28" t="n"/>
      <x:c r="BI16" s="28" t="n"/>
      <x:c r="BJ16" s="28" t="n"/>
      <x:c r="BK16" s="28" t="n"/>
      <x:c r="BL16" s="28" t="n"/>
      <x:c r="BM16" s="28" t="n"/>
      <x:c r="BN16" s="28" t="n"/>
      <x:c r="BO16" s="28" t="n"/>
      <x:c r="BP16" s="28" t="n"/>
      <x:c r="BQ16" s="28" t="n"/>
      <x:c r="BR16" s="28" t="n"/>
      <x:c r="BS16" s="28" t="n"/>
      <x:c r="BT16" s="28" t="n"/>
      <x:c r="BU16" s="28" t="n"/>
      <x:c r="BV16" s="28" t="n"/>
      <x:c r="BW16" s="28" t="n"/>
      <x:c r="BX16" s="28" t="n"/>
      <x:c r="BY16" s="28" t="n"/>
      <x:c r="BZ16" s="28" t="n"/>
      <x:c r="CA16" s="28" t="n"/>
      <x:c r="CB16" s="28" t="n"/>
      <x:c r="CC16" s="28" t="n"/>
      <x:c r="CD16" s="28" t="n"/>
      <x:c r="CE16" s="28" t="n"/>
      <x:c r="CF16" s="28" t="n">
        <x:v>0.25</x:v>
      </x:c>
      <x:c r="CG16" s="28" t="n"/>
      <x:c r="CH16" s="28" t="n"/>
      <x:c r="CI16" s="28" t="n"/>
      <x:c r="CJ16" s="28" t="n"/>
      <x:c r="CK16" s="28" t="n"/>
      <x:c r="CL16" s="28" t="n"/>
      <x:c r="CM16" s="28" t="n"/>
      <x:c r="CN16" s="28" t="n"/>
      <x:c r="CO16" s="28" t="n"/>
      <x:c r="CP16" s="28" t="n"/>
      <x:c r="CQ16" s="28" t="n"/>
      <x:c r="CR16" s="28" t="n"/>
      <x:c r="CS16" s="28" t="n"/>
      <x:c r="CT16" s="28" t="n"/>
      <x:c r="CU16" s="28" t="n"/>
      <x:c r="CV16" s="28" t="n"/>
      <x:c r="CW16" s="28" t="n"/>
      <x:c r="CX16" s="28" t="n"/>
      <x:c r="CY16" s="28" t="n"/>
      <x:c r="CZ16" s="28" t="n"/>
      <x:c r="DA16" s="28" t="n"/>
      <x:c r="DB16" s="28" t="n"/>
      <x:c r="DC16" s="28" t="n"/>
      <x:c r="DD16" s="28" t="n"/>
      <x:c r="DE16" s="28" t="n"/>
      <x:c r="DF16" s="28" t="n"/>
      <x:c r="DG16" s="28" t="n"/>
      <x:c r="DH16" s="28" t="n"/>
      <x:c r="DI16" s="28" t="n"/>
      <x:c r="DJ16" s="28" t="n"/>
      <x:c r="DK16" s="28" t="n"/>
      <x:c r="DL16" s="28" t="n"/>
      <x:c r="DM16" s="28" t="n"/>
      <x:c r="DN16" s="28" t="n"/>
      <x:c r="DO16" s="28" t="n"/>
      <x:c r="DP16" s="28" t="n"/>
      <x:c r="DQ16" s="28" t="n"/>
      <x:c r="DR16" s="28" t="n"/>
      <x:c r="DS16" s="28" t="n"/>
      <x:c r="DT16" s="28" t="n"/>
      <x:c r="DU16" s="28" t="n"/>
      <x:c r="DV16" s="28" t="n"/>
      <x:c r="DW16" s="28" t="n"/>
      <x:c r="DX16" s="28" t="n"/>
      <x:c r="DY16" s="28" t="n"/>
      <x:c r="DZ16" s="28" t="n"/>
      <x:c r="EA16" s="28" t="n"/>
      <x:c r="EB16" s="28" t="n"/>
      <x:c r="EC16" s="28" t="n"/>
      <x:c r="ED16" s="28" t="n"/>
      <x:c r="EE16" s="28" t="n"/>
      <x:c r="EF16" s="28" t="n"/>
      <x:c r="EG16" s="28" t="n"/>
      <x:c r="EH16" s="28" t="n"/>
      <x:c r="EI16" s="28" t="n"/>
      <x:c r="EJ16" s="28" t="n"/>
      <x:c r="EK16" s="28" t="n"/>
      <x:c r="EL16" s="28" t="n"/>
      <x:c r="EM16" s="28" t="n"/>
      <x:c r="EN16" s="28" t="n"/>
      <x:c r="EO16" s="28" t="n"/>
      <x:c r="EP16" s="28" t="n"/>
      <x:c r="EQ16" s="28" t="n"/>
      <x:c r="ER16" s="28" t="n"/>
      <x:c r="ES16" s="28" t="n"/>
      <x:c r="ET16" s="28" t="n"/>
      <x:c r="EU16" s="28" t="n"/>
      <x:c r="EV16" s="28" t="n"/>
      <x:c r="EW16" s="28" t="n"/>
      <x:c r="EX16" s="28" t="n"/>
      <x:c r="EY16" s="28" t="n"/>
      <x:c r="EZ16" s="28" t="n"/>
      <x:c r="FA16" s="28" t="n"/>
      <x:c r="FB16" s="28" t="n"/>
      <x:c r="FC16" s="28" t="n"/>
      <x:c r="FD16" s="28" t="n"/>
      <x:c r="FE16" s="28" t="n"/>
      <x:c r="FF16" s="28" t="n"/>
      <x:c r="FG16" s="28" t="n"/>
      <x:c r="FH16" s="28" t="n"/>
      <x:c r="FI16" s="28" t="n"/>
      <x:c r="FJ16" s="28" t="n"/>
      <x:c r="FK16" s="28" t="n"/>
      <x:c r="FL16" s="28" t="n"/>
      <x:c r="FM16" s="28" t="n"/>
      <x:c r="FN16" s="28" t="n"/>
      <x:c r="FO16" s="28" t="n"/>
      <x:c r="FP16" s="28" t="n"/>
      <x:c r="FQ16" s="28" t="n"/>
      <x:c r="FR16" s="28" t="n"/>
      <x:c r="FS16" s="28" t="n"/>
      <x:c r="FT16" s="28" t="n"/>
      <x:c r="FU16" s="28" t="n"/>
      <x:c r="FV16" s="28" t="n"/>
      <x:c r="FW16" s="28" t="n"/>
      <x:c r="FX16" s="28" t="n"/>
      <x:c r="FY16" s="28" t="n"/>
      <x:c r="FZ16" s="28" t="n"/>
    </x:row>
    <x:row r="17" s="27" customFormat="1">
      <x:c r="A17" s="38" t="n"/>
      <x:c r="B17" s="37" t="n"/>
      <x:c r="C17" s="36" t="n">
        <x:f>E17*D$5</x:f>
        <x:v>18</x:v>
      </x:c>
      <x:c r="D17" s="103" t="inlineStr">
        <x:is>
          <x:t xml:space="preserve">Pearl L. Davis</x:t>
        </x:is>
      </x:c>
      <x:c r="E17" s="36" t="n">
        <x:f>SUM(G17:HT17)</x:f>
        <x:v>0.45</x:v>
      </x:c>
      <x:c r="F17" s="35" t="inlineStr">
        <x:is>
          <x:t xml:space="preserve"/>
        </x:is>
      </x:c>
      <x:c r="G17" s="121" t="n"/>
      <x:c r="H17" s="122" t="n"/>
      <x:c r="I17" s="121" t="n"/>
      <x:c r="J17" s="121" t="n">
        <x:v>0.2</x:v>
      </x:c>
      <x:c r="K17" s="121" t="n"/>
      <x:c r="L17" s="121" t="n"/>
      <x:c r="M17" s="121" t="n"/>
      <x:c r="N17" s="121" t="n"/>
      <x:c r="O17" s="121" t="n"/>
      <x:c r="P17" s="121" t="n"/>
      <x:c r="Q17" s="123" t="n"/>
      <x:c r="R17" s="123" t="n"/>
      <x:c r="S17" s="121" t="n"/>
      <x:c r="T17" s="121" t="n"/>
      <x:c r="U17" s="121" t="n"/>
      <x:c r="V17" s="121" t="n"/>
      <x:c r="W17" s="121" t="n"/>
      <x:c r="X17" s="121" t="n"/>
      <x:c r="Y17" s="121" t="n"/>
      <x:c r="Z17" s="121" t="n"/>
      <x:c r="AA17" s="121" t="n"/>
      <x:c r="AB17" s="121" t="n"/>
      <x:c r="AC17" s="121" t="n"/>
      <x:c r="AD17" s="123" t="n"/>
      <x:c r="AE17" s="123" t="n"/>
      <x:c r="AF17" s="123" t="n"/>
      <x:c r="AG17" s="122" t="n"/>
      <x:c r="AH17" s="122" t="n"/>
      <x:c r="AI17" s="122" t="n"/>
      <x:c r="AJ17" s="122" t="n"/>
      <x:c r="AK17" s="121" t="n"/>
      <x:c r="AL17" s="123" t="n"/>
      <x:c r="AM17" s="121" t="n"/>
      <x:c r="AN17" s="123" t="n"/>
      <x:c r="AO17" s="121" t="n"/>
      <x:c r="AP17" s="121" t="n"/>
      <x:c r="AQ17" s="28" t="n"/>
      <x:c r="AR17" s="28" t="n"/>
      <x:c r="AS17" s="28" t="n"/>
      <x:c r="AT17" s="28" t="n"/>
      <x:c r="AU17" s="28" t="n"/>
      <x:c r="AV17" s="28" t="n"/>
      <x:c r="AW17" s="28" t="n"/>
      <x:c r="AX17" s="28" t="n"/>
      <x:c r="AY17" s="28" t="n"/>
      <x:c r="AZ17" s="28" t="n"/>
      <x:c r="BA17" s="28" t="n"/>
      <x:c r="BB17" s="28" t="n"/>
      <x:c r="BC17" s="28" t="n"/>
      <x:c r="BD17" s="28" t="n"/>
      <x:c r="BE17" s="28" t="n"/>
      <x:c r="BF17" s="28" t="n"/>
      <x:c r="BG17" s="28" t="n"/>
      <x:c r="BH17" s="28" t="n"/>
      <x:c r="BI17" s="28" t="n"/>
      <x:c r="BJ17" s="28" t="n"/>
      <x:c r="BK17" s="28" t="n"/>
      <x:c r="BL17" s="28" t="n"/>
      <x:c r="BM17" s="28" t="n"/>
      <x:c r="BN17" s="28" t="n"/>
      <x:c r="BO17" s="28" t="n"/>
      <x:c r="BP17" s="28" t="n"/>
      <x:c r="BQ17" s="28" t="n"/>
      <x:c r="BR17" s="28" t="n"/>
      <x:c r="BS17" s="28" t="n"/>
      <x:c r="BT17" s="28" t="n"/>
      <x:c r="BU17" s="28" t="n"/>
      <x:c r="BV17" s="28" t="n"/>
      <x:c r="BW17" s="28" t="n"/>
      <x:c r="BX17" s="28" t="n"/>
      <x:c r="BY17" s="28" t="n"/>
      <x:c r="BZ17" s="28" t="n"/>
      <x:c r="CA17" s="28" t="n"/>
      <x:c r="CB17" s="28" t="n"/>
      <x:c r="CC17" s="28" t="n"/>
      <x:c r="CD17" s="28" t="n"/>
      <x:c r="CE17" s="28" t="n"/>
      <x:c r="CF17" s="28" t="n">
        <x:v>0.25</x:v>
      </x:c>
      <x:c r="CG17" s="28" t="n"/>
      <x:c r="CH17" s="28" t="n"/>
      <x:c r="CI17" s="28" t="n"/>
      <x:c r="CJ17" s="28" t="n"/>
      <x:c r="CK17" s="28" t="n"/>
      <x:c r="CL17" s="28" t="n"/>
      <x:c r="CM17" s="28" t="n"/>
      <x:c r="CN17" s="28" t="n"/>
      <x:c r="CO17" s="28" t="n"/>
      <x:c r="CP17" s="28" t="n"/>
      <x:c r="CQ17" s="28" t="n"/>
      <x:c r="CR17" s="28" t="n"/>
      <x:c r="CS17" s="28" t="n"/>
      <x:c r="CT17" s="28" t="n"/>
      <x:c r="CU17" s="28" t="n"/>
      <x:c r="CV17" s="28" t="n"/>
      <x:c r="CW17" s="28" t="n"/>
      <x:c r="CX17" s="28" t="n"/>
      <x:c r="CY17" s="28" t="n"/>
      <x:c r="CZ17" s="28" t="n"/>
      <x:c r="DA17" s="28" t="n"/>
      <x:c r="DB17" s="28" t="n"/>
      <x:c r="DC17" s="28" t="n"/>
      <x:c r="DD17" s="28" t="n"/>
      <x:c r="DE17" s="28" t="n"/>
      <x:c r="DF17" s="28" t="n"/>
      <x:c r="DG17" s="28" t="n"/>
      <x:c r="DH17" s="28" t="n"/>
      <x:c r="DI17" s="28" t="n"/>
      <x:c r="DJ17" s="28" t="n"/>
      <x:c r="DK17" s="28" t="n"/>
      <x:c r="DL17" s="28" t="n"/>
      <x:c r="DM17" s="28" t="n"/>
      <x:c r="DN17" s="28" t="n"/>
      <x:c r="DO17" s="28" t="n"/>
      <x:c r="DP17" s="28" t="n"/>
      <x:c r="DQ17" s="28" t="n"/>
      <x:c r="DR17" s="28" t="n"/>
      <x:c r="DS17" s="28" t="n"/>
      <x:c r="DT17" s="28" t="n"/>
      <x:c r="DU17" s="28" t="n"/>
      <x:c r="DV17" s="28" t="n"/>
      <x:c r="DW17" s="28" t="n"/>
      <x:c r="DX17" s="28" t="n"/>
      <x:c r="DY17" s="28" t="n"/>
      <x:c r="DZ17" s="28" t="n"/>
      <x:c r="EA17" s="28" t="n"/>
      <x:c r="EB17" s="28" t="n"/>
      <x:c r="EC17" s="28" t="n"/>
      <x:c r="ED17" s="28" t="n"/>
      <x:c r="EE17" s="28" t="n"/>
      <x:c r="EF17" s="28" t="n"/>
      <x:c r="EG17" s="28" t="n"/>
      <x:c r="EH17" s="28" t="n"/>
      <x:c r="EI17" s="28" t="n"/>
      <x:c r="EJ17" s="28" t="n"/>
      <x:c r="EK17" s="28" t="n"/>
      <x:c r="EL17" s="28" t="n"/>
      <x:c r="EM17" s="28" t="n"/>
      <x:c r="EN17" s="28" t="n"/>
      <x:c r="EO17" s="28" t="n"/>
      <x:c r="EP17" s="28" t="n"/>
      <x:c r="EQ17" s="28" t="n"/>
      <x:c r="ER17" s="28" t="n"/>
      <x:c r="ES17" s="28" t="n"/>
      <x:c r="ET17" s="28" t="n"/>
      <x:c r="EU17" s="28" t="n"/>
      <x:c r="EV17" s="28" t="n"/>
      <x:c r="EW17" s="28" t="n"/>
      <x:c r="EX17" s="28" t="n"/>
      <x:c r="EY17" s="28" t="n"/>
      <x:c r="EZ17" s="28" t="n"/>
      <x:c r="FA17" s="28" t="n"/>
      <x:c r="FB17" s="28" t="n"/>
      <x:c r="FC17" s="28" t="n"/>
      <x:c r="FD17" s="28" t="n"/>
      <x:c r="FE17" s="28" t="n"/>
      <x:c r="FF17" s="28" t="n"/>
      <x:c r="FG17" s="28" t="n"/>
      <x:c r="FH17" s="28" t="n"/>
      <x:c r="FI17" s="28" t="n"/>
      <x:c r="FJ17" s="28" t="n"/>
      <x:c r="FK17" s="28" t="n"/>
      <x:c r="FL17" s="28" t="n"/>
      <x:c r="FM17" s="28" t="n"/>
      <x:c r="FN17" s="28" t="n"/>
      <x:c r="FO17" s="28" t="n"/>
      <x:c r="FP17" s="28" t="n"/>
      <x:c r="FQ17" s="28" t="n"/>
      <x:c r="FR17" s="28" t="n"/>
      <x:c r="FS17" s="28" t="n"/>
      <x:c r="FT17" s="28" t="n"/>
      <x:c r="FU17" s="28" t="n"/>
      <x:c r="FV17" s="28" t="n"/>
      <x:c r="FW17" s="28" t="n"/>
      <x:c r="FX17" s="28" t="n"/>
      <x:c r="FY17" s="28" t="n"/>
      <x:c r="FZ17" s="28" t="n"/>
    </x:row>
    <x:row r="18" s="27" customFormat="1">
      <x:c r="A18" s="38" t="n"/>
      <x:c r="B18" s="39" t="n"/>
      <x:c r="C18" s="36" t="n">
        <x:f>E18*D$5</x:f>
        <x:v>18</x:v>
      </x:c>
      <x:c r="D18" s="103" t="inlineStr">
        <x:is>
          <x:t xml:space="preserve">Roy T. Shotwell</x:t>
        </x:is>
      </x:c>
      <x:c r="E18" s="36" t="n">
        <x:f>SUM(G18:HT18)</x:f>
        <x:v>0.45</x:v>
      </x:c>
      <x:c r="F18" s="35" t="inlineStr">
        <x:is>
          <x:t xml:space="preserve"/>
        </x:is>
      </x:c>
      <x:c r="G18" s="121" t="n"/>
      <x:c r="H18" s="121" t="n"/>
      <x:c r="I18" s="121" t="n"/>
      <x:c r="J18" s="121" t="n">
        <x:v>0.2</x:v>
      </x:c>
      <x:c r="K18" s="121" t="n"/>
      <x:c r="L18" s="121" t="n"/>
      <x:c r="M18" s="121" t="n"/>
      <x:c r="N18" s="121" t="n"/>
      <x:c r="O18" s="122" t="n"/>
      <x:c r="P18" s="128" t="n"/>
      <x:c r="Q18" s="124" t="n"/>
      <x:c r="R18" s="123" t="n"/>
      <x:c r="S18" s="129" t="n"/>
      <x:c r="T18" s="121" t="n"/>
      <x:c r="U18" s="121" t="n"/>
      <x:c r="V18" s="121" t="n"/>
      <x:c r="W18" s="121" t="n"/>
      <x:c r="X18" s="121" t="n"/>
      <x:c r="Y18" s="121" t="n"/>
      <x:c r="Z18" s="121" t="n"/>
      <x:c r="AA18" s="121" t="n"/>
      <x:c r="AB18" s="121" t="n"/>
      <x:c r="AC18" s="121" t="n"/>
      <x:c r="AD18" s="123" t="n"/>
      <x:c r="AE18" s="123" t="n"/>
      <x:c r="AF18" s="123" t="n"/>
      <x:c r="AG18" s="122" t="n"/>
      <x:c r="AH18" s="122" t="n"/>
      <x:c r="AI18" s="122" t="n"/>
      <x:c r="AJ18" s="122" t="n"/>
      <x:c r="AK18" s="121" t="n"/>
      <x:c r="AL18" s="124" t="n"/>
      <x:c r="AM18" s="121" t="n"/>
      <x:c r="AN18" s="123" t="n"/>
      <x:c r="AO18" s="121" t="n"/>
      <x:c r="AP18" s="121" t="n"/>
      <x:c r="AQ18" s="28" t="n"/>
      <x:c r="AR18" s="28" t="n"/>
      <x:c r="AS18" s="28" t="n"/>
      <x:c r="AT18" s="28" t="n"/>
      <x:c r="AU18" s="28" t="n"/>
      <x:c r="AV18" s="28" t="n"/>
      <x:c r="AW18" s="28" t="n"/>
      <x:c r="AX18" s="28" t="n"/>
      <x:c r="AY18" s="28" t="n"/>
      <x:c r="AZ18" s="28" t="n"/>
      <x:c r="BA18" s="28" t="n"/>
      <x:c r="BB18" s="28" t="n"/>
      <x:c r="BC18" s="28" t="n"/>
      <x:c r="BD18" s="28" t="n"/>
      <x:c r="BE18" s="28" t="n"/>
      <x:c r="BF18" s="28" t="n"/>
      <x:c r="BG18" s="28" t="n"/>
      <x:c r="BH18" s="28" t="n"/>
      <x:c r="BI18" s="28" t="n"/>
      <x:c r="BJ18" s="28" t="n"/>
      <x:c r="BK18" s="28" t="n"/>
      <x:c r="BL18" s="28" t="n"/>
      <x:c r="BM18" s="28" t="n"/>
      <x:c r="BN18" s="28" t="n"/>
      <x:c r="BO18" s="28" t="n"/>
      <x:c r="BP18" s="28" t="n"/>
      <x:c r="BQ18" s="28" t="n"/>
      <x:c r="BR18" s="28" t="n"/>
      <x:c r="BS18" s="28" t="n"/>
      <x:c r="BT18" s="28" t="n"/>
      <x:c r="BU18" s="28" t="n"/>
      <x:c r="BV18" s="28" t="n"/>
      <x:c r="BW18" s="28" t="n"/>
      <x:c r="BX18" s="28" t="n"/>
      <x:c r="BY18" s="28" t="n"/>
      <x:c r="BZ18" s="28" t="n"/>
      <x:c r="CA18" s="28" t="n"/>
      <x:c r="CB18" s="28" t="n"/>
      <x:c r="CC18" s="28" t="n"/>
      <x:c r="CD18" s="28" t="n"/>
      <x:c r="CE18" s="28" t="n"/>
      <x:c r="CF18" s="28" t="n">
        <x:v>0.25</x:v>
      </x:c>
      <x:c r="CG18" s="28" t="n"/>
      <x:c r="CH18" s="28" t="n"/>
      <x:c r="CI18" s="28" t="n"/>
      <x:c r="CJ18" s="28" t="n"/>
      <x:c r="CK18" s="28" t="n"/>
      <x:c r="CL18" s="28" t="n"/>
      <x:c r="CM18" s="28" t="n"/>
      <x:c r="CN18" s="28" t="n"/>
      <x:c r="CO18" s="28" t="n"/>
      <x:c r="CP18" s="28" t="n"/>
      <x:c r="CQ18" s="28" t="n"/>
      <x:c r="CR18" s="28" t="n"/>
      <x:c r="CS18" s="28" t="n"/>
      <x:c r="CT18" s="28" t="n"/>
      <x:c r="CU18" s="28" t="n"/>
      <x:c r="CV18" s="28" t="n"/>
      <x:c r="CW18" s="28" t="n"/>
      <x:c r="CX18" s="28" t="n"/>
      <x:c r="CY18" s="28" t="n"/>
      <x:c r="CZ18" s="28" t="n"/>
      <x:c r="DA18" s="28" t="n"/>
      <x:c r="DB18" s="28" t="n"/>
      <x:c r="DC18" s="28" t="n"/>
      <x:c r="DD18" s="28" t="n"/>
      <x:c r="DE18" s="28" t="n"/>
      <x:c r="DF18" s="28" t="n"/>
      <x:c r="DG18" s="28" t="n"/>
      <x:c r="DH18" s="28" t="n"/>
      <x:c r="DI18" s="28" t="n"/>
      <x:c r="DJ18" s="28" t="n"/>
      <x:c r="DK18" s="28" t="n"/>
      <x:c r="DL18" s="28" t="n"/>
      <x:c r="DM18" s="28" t="n"/>
      <x:c r="DN18" s="28" t="n"/>
      <x:c r="DO18" s="28" t="n"/>
      <x:c r="DP18" s="28" t="n"/>
      <x:c r="DQ18" s="28" t="n"/>
      <x:c r="DR18" s="28" t="n"/>
      <x:c r="DS18" s="28" t="n"/>
      <x:c r="DT18" s="28" t="n"/>
      <x:c r="DU18" s="28" t="n"/>
      <x:c r="DV18" s="28" t="n"/>
      <x:c r="DW18" s="28" t="n"/>
      <x:c r="DX18" s="28" t="n"/>
      <x:c r="DY18" s="28" t="n"/>
      <x:c r="DZ18" s="28" t="n"/>
      <x:c r="EA18" s="28" t="n"/>
      <x:c r="EB18" s="28" t="n"/>
      <x:c r="EC18" s="28" t="n"/>
      <x:c r="ED18" s="28" t="n"/>
      <x:c r="EE18" s="28" t="n"/>
      <x:c r="EF18" s="28" t="n"/>
      <x:c r="EG18" s="28" t="n"/>
      <x:c r="EH18" s="28" t="n"/>
      <x:c r="EI18" s="28" t="n"/>
      <x:c r="EJ18" s="28" t="n"/>
      <x:c r="EK18" s="28" t="n"/>
      <x:c r="EL18" s="28" t="n"/>
      <x:c r="EM18" s="28" t="n"/>
      <x:c r="EN18" s="28" t="n"/>
      <x:c r="EO18" s="28" t="n"/>
      <x:c r="EP18" s="28" t="n"/>
      <x:c r="EQ18" s="28" t="n"/>
      <x:c r="ER18" s="28" t="n"/>
      <x:c r="ES18" s="28" t="n"/>
      <x:c r="ET18" s="28" t="n"/>
      <x:c r="EU18" s="28" t="n"/>
      <x:c r="EV18" s="28" t="n"/>
      <x:c r="EW18" s="28" t="n"/>
      <x:c r="EX18" s="28" t="n"/>
      <x:c r="EY18" s="28" t="n"/>
      <x:c r="EZ18" s="28" t="n"/>
      <x:c r="FA18" s="28" t="n"/>
      <x:c r="FB18" s="28" t="n"/>
      <x:c r="FC18" s="28" t="n"/>
      <x:c r="FD18" s="28" t="n"/>
      <x:c r="FE18" s="28" t="n"/>
      <x:c r="FF18" s="28" t="n"/>
      <x:c r="FG18" s="28" t="n"/>
      <x:c r="FH18" s="28" t="n"/>
      <x:c r="FI18" s="28" t="n"/>
      <x:c r="FJ18" s="28" t="n"/>
      <x:c r="FK18" s="28" t="n"/>
      <x:c r="FL18" s="28" t="n"/>
      <x:c r="FM18" s="28" t="n"/>
      <x:c r="FN18" s="28" t="n"/>
      <x:c r="FO18" s="28" t="n"/>
      <x:c r="FP18" s="28" t="n"/>
      <x:c r="FQ18" s="28" t="n"/>
      <x:c r="FR18" s="28" t="n"/>
      <x:c r="FS18" s="28" t="n"/>
      <x:c r="FT18" s="28" t="n"/>
      <x:c r="FU18" s="28" t="n"/>
      <x:c r="FV18" s="28" t="n"/>
      <x:c r="FW18" s="28" t="n"/>
      <x:c r="FX18" s="28" t="n"/>
      <x:c r="FY18" s="28" t="n"/>
      <x:c r="FZ18" s="28" t="n"/>
    </x:row>
    <x:row r="19" s="27" customFormat="1">
      <x:c r="A19" s="38" t="n"/>
      <x:c r="B19" s="39" t="n"/>
      <x:c r="C19" s="36" t="n">
        <x:f>E19*D$5</x:f>
        <x:v>8</x:v>
      </x:c>
      <x:c r="D19" s="104" t="inlineStr">
        <x:is>
          <x:t xml:space="preserve">Ida M. Cuff</x:t>
        </x:is>
      </x:c>
      <x:c r="E19" s="36" t="n">
        <x:f>SUM(G19:HT19)</x:f>
        <x:v>0.2</x:v>
      </x:c>
      <x:c r="F19" s="35" t="inlineStr">
        <x:is>
          <x:t xml:space="preserve"/>
        </x:is>
      </x:c>
      <x:c r="G19" s="121" t="n"/>
      <x:c r="H19" s="121" t="n"/>
      <x:c r="I19" s="121" t="n"/>
      <x:c r="J19" s="121" t="n">
        <x:v>0.2</x:v>
      </x:c>
      <x:c r="K19" s="121" t="n"/>
      <x:c r="L19" s="121" t="n"/>
      <x:c r="M19" s="121" t="n"/>
      <x:c r="N19" s="121" t="n"/>
      <x:c r="O19" s="122" t="n"/>
      <x:c r="P19" s="128" t="n"/>
      <x:c r="Q19" s="128" t="n"/>
      <x:c r="R19" s="123" t="n"/>
      <x:c r="S19" s="129" t="n"/>
      <x:c r="T19" s="121" t="n"/>
      <x:c r="U19" s="121" t="n"/>
      <x:c r="V19" s="121" t="n"/>
      <x:c r="W19" s="121" t="n"/>
      <x:c r="X19" s="121" t="n"/>
      <x:c r="Y19" s="121" t="n"/>
      <x:c r="Z19" s="121" t="n"/>
      <x:c r="AA19" s="121" t="n"/>
      <x:c r="AB19" s="121" t="n"/>
      <x:c r="AC19" s="121" t="n"/>
      <x:c r="AD19" s="123" t="n"/>
      <x:c r="AE19" s="123" t="n"/>
      <x:c r="AF19" s="123" t="n"/>
      <x:c r="AG19" s="122" t="n"/>
      <x:c r="AH19" s="122" t="n"/>
      <x:c r="AI19" s="122" t="n"/>
      <x:c r="AJ19" s="122" t="n"/>
      <x:c r="AK19" s="121" t="n"/>
      <x:c r="AL19" s="123" t="n"/>
      <x:c r="AM19" s="121" t="n"/>
      <x:c r="AN19" s="123" t="n"/>
      <x:c r="AO19" s="121" t="n"/>
      <x:c r="AP19" s="121" t="n"/>
      <x:c r="AQ19" s="28" t="n"/>
      <x:c r="AR19" s="28" t="n"/>
      <x:c r="AS19" s="28" t="n"/>
      <x:c r="AT19" s="28" t="n"/>
      <x:c r="AU19" s="28" t="n"/>
      <x:c r="AV19" s="28" t="n"/>
      <x:c r="AW19" s="28" t="n"/>
      <x:c r="AX19" s="28" t="n"/>
      <x:c r="AY19" s="28" t="n"/>
      <x:c r="AZ19" s="28" t="n"/>
      <x:c r="BA19" s="28" t="n"/>
      <x:c r="BB19" s="28" t="n"/>
      <x:c r="BC19" s="28" t="n"/>
      <x:c r="BD19" s="28" t="n"/>
      <x:c r="BE19" s="28" t="n"/>
      <x:c r="BF19" s="28" t="n"/>
      <x:c r="BG19" s="28" t="n"/>
      <x:c r="BH19" s="28" t="n"/>
      <x:c r="BI19" s="28" t="n"/>
      <x:c r="BJ19" s="28" t="n"/>
      <x:c r="BK19" s="28" t="n"/>
      <x:c r="BL19" s="28" t="n"/>
      <x:c r="BM19" s="28" t="n"/>
      <x:c r="BN19" s="28" t="n"/>
      <x:c r="BO19" s="28" t="n"/>
      <x:c r="BP19" s="28" t="n"/>
      <x:c r="BQ19" s="28" t="n"/>
      <x:c r="BR19" s="28" t="n"/>
      <x:c r="BS19" s="28" t="n"/>
      <x:c r="BT19" s="28" t="n"/>
      <x:c r="BU19" s="28" t="n"/>
      <x:c r="BV19" s="28" t="n"/>
      <x:c r="BW19" s="28" t="n"/>
      <x:c r="BX19" s="28" t="n"/>
      <x:c r="BY19" s="28" t="n"/>
      <x:c r="BZ19" s="28" t="n"/>
      <x:c r="CA19" s="28" t="n"/>
      <x:c r="CB19" s="28" t="n"/>
      <x:c r="CC19" s="28" t="n"/>
      <x:c r="CD19" s="28" t="n"/>
      <x:c r="CE19" s="28" t="n"/>
      <x:c r="CF19" s="28" t="n"/>
      <x:c r="CG19" s="28" t="n"/>
      <x:c r="CH19" s="28" t="n"/>
      <x:c r="CI19" s="28" t="n"/>
      <x:c r="CJ19" s="28" t="n"/>
      <x:c r="CK19" s="28" t="n"/>
      <x:c r="CL19" s="28" t="n"/>
      <x:c r="CM19" s="28" t="n"/>
      <x:c r="CN19" s="28" t="n"/>
      <x:c r="CO19" s="28" t="n"/>
      <x:c r="CP19" s="28" t="n"/>
      <x:c r="CQ19" s="28" t="n"/>
      <x:c r="CR19" s="28" t="n"/>
      <x:c r="CS19" s="28" t="n"/>
      <x:c r="CT19" s="28" t="n"/>
      <x:c r="CU19" s="28" t="n"/>
      <x:c r="CV19" s="28" t="n"/>
      <x:c r="CW19" s="28" t="n"/>
      <x:c r="CX19" s="28" t="n"/>
      <x:c r="CY19" s="28" t="n"/>
      <x:c r="CZ19" s="28" t="n"/>
      <x:c r="DA19" s="28" t="n"/>
      <x:c r="DB19" s="28" t="n"/>
      <x:c r="DC19" s="28" t="n"/>
      <x:c r="DD19" s="28" t="n"/>
      <x:c r="DE19" s="28" t="n"/>
      <x:c r="DF19" s="28" t="n"/>
      <x:c r="DG19" s="28" t="n"/>
      <x:c r="DH19" s="28" t="n"/>
      <x:c r="DI19" s="28" t="n"/>
      <x:c r="DJ19" s="28" t="n"/>
      <x:c r="DK19" s="28" t="n"/>
      <x:c r="DL19" s="28" t="n"/>
      <x:c r="DM19" s="28" t="n"/>
      <x:c r="DN19" s="28" t="n"/>
      <x:c r="DO19" s="28" t="n"/>
      <x:c r="DP19" s="28" t="n"/>
      <x:c r="DQ19" s="28" t="n"/>
      <x:c r="DR19" s="28" t="n"/>
      <x:c r="DS19" s="28" t="n"/>
      <x:c r="DT19" s="28" t="n"/>
      <x:c r="DU19" s="28" t="n"/>
      <x:c r="DV19" s="28" t="n"/>
      <x:c r="DW19" s="28" t="n"/>
      <x:c r="DX19" s="28" t="n"/>
      <x:c r="DY19" s="28" t="n"/>
      <x:c r="DZ19" s="28" t="n"/>
      <x:c r="EA19" s="28" t="n"/>
      <x:c r="EB19" s="28" t="n"/>
      <x:c r="EC19" s="28" t="n"/>
      <x:c r="ED19" s="28" t="n"/>
      <x:c r="EE19" s="28" t="n"/>
      <x:c r="EF19" s="28" t="n"/>
      <x:c r="EG19" s="28" t="n"/>
      <x:c r="EH19" s="28" t="n"/>
      <x:c r="EI19" s="28" t="n"/>
      <x:c r="EJ19" s="28" t="n"/>
      <x:c r="EK19" s="28" t="n"/>
      <x:c r="EL19" s="28" t="n"/>
      <x:c r="EM19" s="28" t="n"/>
      <x:c r="EN19" s="28" t="n"/>
      <x:c r="EO19" s="28" t="n"/>
      <x:c r="EP19" s="28" t="n"/>
      <x:c r="EQ19" s="28" t="n"/>
      <x:c r="ER19" s="28" t="n"/>
      <x:c r="ES19" s="28" t="n"/>
      <x:c r="ET19" s="28" t="n"/>
      <x:c r="EU19" s="28" t="n"/>
      <x:c r="EV19" s="28" t="n"/>
      <x:c r="EW19" s="28" t="n"/>
      <x:c r="EX19" s="28" t="n"/>
      <x:c r="EY19" s="28" t="n"/>
      <x:c r="EZ19" s="28" t="n"/>
      <x:c r="FA19" s="28" t="n"/>
      <x:c r="FB19" s="28" t="n"/>
      <x:c r="FC19" s="28" t="n"/>
      <x:c r="FD19" s="28" t="n"/>
      <x:c r="FE19" s="28" t="n"/>
      <x:c r="FF19" s="28" t="n"/>
      <x:c r="FG19" s="28" t="n"/>
      <x:c r="FH19" s="28" t="n"/>
      <x:c r="FI19" s="28" t="n"/>
      <x:c r="FJ19" s="28" t="n"/>
      <x:c r="FK19" s="28" t="n"/>
      <x:c r="FL19" s="28" t="n"/>
      <x:c r="FM19" s="28" t="n"/>
      <x:c r="FN19" s="28" t="n"/>
      <x:c r="FO19" s="28" t="n"/>
      <x:c r="FP19" s="28" t="n"/>
      <x:c r="FQ19" s="28" t="n"/>
      <x:c r="FR19" s="28" t="n"/>
      <x:c r="FS19" s="28" t="n"/>
      <x:c r="FT19" s="28" t="n"/>
      <x:c r="FU19" s="28" t="n"/>
      <x:c r="FV19" s="28" t="n"/>
      <x:c r="FW19" s="28" t="n"/>
      <x:c r="FX19" s="28" t="n"/>
      <x:c r="FY19" s="28" t="n"/>
      <x:c r="FZ19" s="28" t="n"/>
    </x:row>
    <x:row r="20" s="27" customFormat="1">
      <x:c r="A20" s="38" t="n"/>
      <x:c r="B20" s="39" t="n"/>
      <x:c r="C20" s="86" t="n">
        <x:f>E20*D$5</x:f>
        <x:v>-43.07692307692307</x:v>
      </x:c>
      <x:c r="D20" s="412" t="inlineStr">
        <x:is>
          <x:t xml:space="preserve">H. M. Carter and Ethel Carter, HW</x:t>
        </x:is>
      </x:c>
      <x:c r="E20" s="413" t="n">
        <x:f>SUM(G20:HT20)</x:f>
        <x:v>-1.0769230769230769</x:v>
      </x:c>
      <x:c r="F20" s="35" t="inlineStr">
        <x:is>
          <x:t xml:space="preserve"/>
        </x:is>
      </x:c>
      <x:c r="G20" s="121" t="n"/>
      <x:c r="H20" s="122" t="n"/>
      <x:c r="I20" s="121" t="n"/>
      <x:c r="J20" s="121" t="n"/>
      <x:c r="K20" s="121" t="n">
        <x:v>-0.0769230769230769</x:v>
      </x:c>
      <x:c r="L20" s="121" t="n">
        <x:v>-1</x:v>
      </x:c>
      <x:c r="M20" s="121" t="n"/>
      <x:c r="N20" s="121" t="n"/>
      <x:c r="O20" s="122" t="n"/>
      <x:c r="P20" s="128" t="n"/>
      <x:c r="Q20" s="128" t="n"/>
      <x:c r="R20" s="123" t="n"/>
      <x:c r="S20" s="129" t="n"/>
      <x:c r="T20" s="121" t="n"/>
      <x:c r="U20" s="121" t="n"/>
      <x:c r="V20" s="121" t="n"/>
      <x:c r="W20" s="121" t="n"/>
      <x:c r="X20" s="121" t="n"/>
      <x:c r="Y20" s="121" t="n"/>
      <x:c r="Z20" s="121" t="n"/>
      <x:c r="AA20" s="121" t="n"/>
      <x:c r="AB20" s="121" t="n"/>
      <x:c r="AC20" s="121" t="n"/>
      <x:c r="AD20" s="123" t="n"/>
      <x:c r="AE20" s="123" t="n"/>
      <x:c r="AF20" s="123" t="n"/>
      <x:c r="AG20" s="123" t="n"/>
      <x:c r="AH20" s="123" t="n"/>
      <x:c r="AI20" s="123" t="n"/>
      <x:c r="AJ20" s="123" t="n"/>
      <x:c r="AK20" s="121" t="n"/>
      <x:c r="AL20" s="123" t="n"/>
      <x:c r="AM20" s="121" t="n"/>
      <x:c r="AN20" s="123" t="n"/>
      <x:c r="AO20" s="121" t="n"/>
      <x:c r="AP20" s="121" t="n"/>
      <x:c r="AQ20" s="28" t="n"/>
      <x:c r="AR20" s="28" t="n"/>
      <x:c r="AS20" s="28" t="n"/>
      <x:c r="AT20" s="28" t="n"/>
      <x:c r="AU20" s="28" t="n"/>
      <x:c r="AV20" s="28" t="n"/>
      <x:c r="AW20" s="28" t="n"/>
      <x:c r="AX20" s="28" t="n"/>
      <x:c r="AY20" s="28" t="n"/>
      <x:c r="AZ20" s="28" t="n"/>
      <x:c r="BA20" s="28" t="n"/>
      <x:c r="BB20" s="28" t="n"/>
      <x:c r="BC20" s="28" t="n"/>
      <x:c r="BD20" s="28" t="n"/>
      <x:c r="BE20" s="28" t="n"/>
      <x:c r="BF20" s="28" t="n"/>
      <x:c r="BG20" s="28" t="n"/>
      <x:c r="BH20" s="28" t="n"/>
      <x:c r="BI20" s="28" t="n"/>
      <x:c r="BJ20" s="28" t="n"/>
      <x:c r="BK20" s="28" t="n"/>
      <x:c r="BL20" s="28" t="n"/>
      <x:c r="BM20" s="28" t="n"/>
      <x:c r="BN20" s="28" t="n"/>
      <x:c r="BO20" s="28" t="n"/>
      <x:c r="BP20" s="28" t="n"/>
      <x:c r="BQ20" s="28" t="n"/>
      <x:c r="BR20" s="28" t="n"/>
      <x:c r="BS20" s="28" t="n"/>
      <x:c r="BT20" s="28" t="n"/>
      <x:c r="BU20" s="28" t="n"/>
      <x:c r="BV20" s="28" t="n"/>
      <x:c r="BW20" s="28" t="n"/>
      <x:c r="BX20" s="28" t="n"/>
      <x:c r="BY20" s="28" t="n"/>
      <x:c r="BZ20" s="28" t="n"/>
      <x:c r="CA20" s="28" t="n"/>
      <x:c r="CB20" s="28" t="n"/>
      <x:c r="CC20" s="28" t="n"/>
      <x:c r="CD20" s="28" t="n"/>
      <x:c r="CE20" s="28" t="n"/>
      <x:c r="CF20" s="28" t="n"/>
      <x:c r="CG20" s="28" t="n"/>
      <x:c r="CH20" s="28" t="n"/>
      <x:c r="CI20" s="28" t="n"/>
      <x:c r="CJ20" s="28" t="n"/>
      <x:c r="CK20" s="28" t="n"/>
      <x:c r="CL20" s="28" t="n"/>
      <x:c r="CM20" s="28" t="n"/>
      <x:c r="CN20" s="28" t="n"/>
      <x:c r="CO20" s="28" t="n"/>
      <x:c r="CP20" s="28" t="n"/>
      <x:c r="CQ20" s="28" t="n"/>
      <x:c r="CR20" s="28" t="n"/>
      <x:c r="CS20" s="28" t="n"/>
      <x:c r="CT20" s="28" t="n"/>
      <x:c r="CU20" s="28" t="n"/>
      <x:c r="CV20" s="28" t="n"/>
      <x:c r="CW20" s="28" t="n"/>
      <x:c r="CX20" s="28" t="n"/>
      <x:c r="CY20" s="28" t="n"/>
      <x:c r="CZ20" s="28" t="n"/>
      <x:c r="DA20" s="28" t="n"/>
      <x:c r="DB20" s="28" t="n"/>
      <x:c r="DC20" s="28" t="n"/>
      <x:c r="DD20" s="28" t="n"/>
      <x:c r="DE20" s="28" t="n"/>
      <x:c r="DF20" s="28" t="n"/>
      <x:c r="DG20" s="28" t="n"/>
      <x:c r="DH20" s="28" t="n"/>
      <x:c r="DI20" s="28" t="n"/>
      <x:c r="DJ20" s="28" t="n"/>
      <x:c r="DK20" s="28" t="n"/>
      <x:c r="DL20" s="28" t="n"/>
      <x:c r="DM20" s="28" t="n"/>
      <x:c r="DN20" s="28" t="n"/>
      <x:c r="DO20" s="28" t="n"/>
      <x:c r="DP20" s="28" t="n"/>
      <x:c r="DQ20" s="28" t="n"/>
      <x:c r="DR20" s="28" t="n"/>
      <x:c r="DS20" s="28" t="n"/>
      <x:c r="DT20" s="28" t="n"/>
      <x:c r="DU20" s="28" t="n"/>
      <x:c r="DV20" s="28" t="n"/>
      <x:c r="DW20" s="28" t="n"/>
      <x:c r="DX20" s="28" t="n"/>
      <x:c r="DY20" s="28" t="n"/>
      <x:c r="DZ20" s="28" t="n"/>
      <x:c r="EA20" s="28" t="n"/>
      <x:c r="EB20" s="28" t="n"/>
      <x:c r="EC20" s="28" t="n"/>
      <x:c r="ED20" s="28" t="n"/>
      <x:c r="EE20" s="28" t="n"/>
      <x:c r="EF20" s="28" t="n"/>
      <x:c r="EG20" s="28" t="n"/>
      <x:c r="EH20" s="28" t="n"/>
      <x:c r="EI20" s="28" t="n"/>
      <x:c r="EJ20" s="28" t="n"/>
      <x:c r="EK20" s="28" t="n"/>
      <x:c r="EL20" s="28" t="n"/>
      <x:c r="EM20" s="28" t="n"/>
      <x:c r="EN20" s="28" t="n"/>
      <x:c r="EO20" s="28" t="n"/>
      <x:c r="EP20" s="28" t="n"/>
      <x:c r="EQ20" s="28" t="n"/>
      <x:c r="ER20" s="28" t="n"/>
      <x:c r="ES20" s="28" t="n"/>
      <x:c r="ET20" s="28" t="n"/>
      <x:c r="EU20" s="28" t="n"/>
      <x:c r="EV20" s="28" t="n"/>
      <x:c r="EW20" s="28" t="n"/>
      <x:c r="EX20" s="28" t="n"/>
      <x:c r="EY20" s="28" t="n"/>
      <x:c r="EZ20" s="28" t="n"/>
      <x:c r="FA20" s="28" t="n"/>
      <x:c r="FB20" s="28" t="n"/>
      <x:c r="FC20" s="28" t="n"/>
      <x:c r="FD20" s="28" t="n"/>
      <x:c r="FE20" s="28" t="n"/>
      <x:c r="FF20" s="28" t="n"/>
      <x:c r="FG20" s="28" t="n"/>
      <x:c r="FH20" s="28" t="n"/>
      <x:c r="FI20" s="28" t="n"/>
      <x:c r="FJ20" s="28" t="n"/>
      <x:c r="FK20" s="28" t="n"/>
      <x:c r="FL20" s="28" t="n"/>
      <x:c r="FM20" s="28" t="n"/>
      <x:c r="FN20" s="28" t="n"/>
      <x:c r="FO20" s="28" t="n"/>
      <x:c r="FP20" s="28" t="n"/>
      <x:c r="FQ20" s="28" t="n"/>
      <x:c r="FR20" s="28" t="n"/>
      <x:c r="FS20" s="28" t="n"/>
      <x:c r="FT20" s="28" t="n"/>
      <x:c r="FU20" s="28" t="n"/>
      <x:c r="FV20" s="28" t="n"/>
      <x:c r="FW20" s="28" t="n"/>
      <x:c r="FX20" s="28" t="n"/>
      <x:c r="FY20" s="28" t="n"/>
      <x:c r="FZ20" s="28" t="n"/>
    </x:row>
    <x:row r="21" s="27" customFormat="1">
      <x:c r="A21" s="38" t="n"/>
      <x:c r="B21" s="37" t="n"/>
      <x:c r="C21" s="36" t="n">
        <x:f>E21*D$5</x:f>
        <x:v>1.5384615384615379</x:v>
      </x:c>
      <x:c r="D21" s="103" t="inlineStr">
        <x:is>
          <x:t xml:space="preserve">G. C. Mitchel</x:t>
        </x:is>
      </x:c>
      <x:c r="E21" s="36" t="n">
        <x:f>SUM(G21:HT21)</x:f>
        <x:v>0.03846153846153845</x:v>
      </x:c>
      <x:c r="F21" s="35" t="inlineStr">
        <x:is>
          <x:t xml:space="preserve"/>
        </x:is>
      </x:c>
      <x:c r="G21" s="121" t="n"/>
      <x:c r="H21" s="121" t="n"/>
      <x:c r="I21" s="121" t="n"/>
      <x:c r="J21" s="121" t="n"/>
      <x:c r="K21" s="121" t="n">
        <x:v>0.03846153846153845</x:v>
      </x:c>
      <x:c r="L21" s="121" t="n"/>
      <x:c r="M21" s="121" t="n"/>
      <x:c r="N21" s="121" t="n"/>
      <x:c r="O21" s="121" t="n"/>
      <x:c r="P21" s="128" t="n"/>
      <x:c r="Q21" s="128" t="n"/>
      <x:c r="R21" s="123" t="n"/>
      <x:c r="S21" s="129" t="n"/>
      <x:c r="T21" s="121" t="n"/>
      <x:c r="U21" s="121" t="n"/>
      <x:c r="V21" s="121" t="n"/>
      <x:c r="W21" s="121" t="n"/>
      <x:c r="X21" s="121" t="n"/>
      <x:c r="Y21" s="121" t="n"/>
      <x:c r="Z21" s="121" t="n"/>
      <x:c r="AA21" s="121" t="n"/>
      <x:c r="AB21" s="121" t="n"/>
      <x:c r="AC21" s="121" t="n"/>
      <x:c r="AD21" s="123" t="n"/>
      <x:c r="AE21" s="123" t="n"/>
      <x:c r="AF21" s="123" t="n"/>
      <x:c r="AG21" s="123" t="n"/>
      <x:c r="AH21" s="123" t="n"/>
      <x:c r="AI21" s="123" t="n"/>
      <x:c r="AJ21" s="123" t="n"/>
      <x:c r="AK21" s="121" t="n"/>
      <x:c r="AL21" s="123" t="n"/>
      <x:c r="AM21" s="122" t="n"/>
      <x:c r="AN21" s="123" t="n"/>
      <x:c r="AO21" s="121" t="n"/>
      <x:c r="AP21" s="121" t="n"/>
      <x:c r="AQ21" s="28" t="n"/>
      <x:c r="AR21" s="28" t="n"/>
      <x:c r="AS21" s="28" t="n"/>
      <x:c r="AT21" s="28" t="n"/>
      <x:c r="AU21" s="28" t="n"/>
      <x:c r="AV21" s="28" t="n"/>
      <x:c r="AW21" s="28" t="n"/>
      <x:c r="AX21" s="28" t="n"/>
      <x:c r="AY21" s="28" t="n"/>
      <x:c r="AZ21" s="28" t="n"/>
      <x:c r="BA21" s="28" t="n"/>
      <x:c r="BB21" s="28" t="n"/>
      <x:c r="BC21" s="28" t="n"/>
      <x:c r="BD21" s="28" t="n"/>
      <x:c r="BE21" s="28" t="n"/>
      <x:c r="BF21" s="28" t="n"/>
      <x:c r="BG21" s="28" t="n"/>
      <x:c r="BH21" s="28" t="n"/>
      <x:c r="BI21" s="28" t="n"/>
      <x:c r="BJ21" s="28" t="n"/>
      <x:c r="BK21" s="28" t="n"/>
      <x:c r="BL21" s="28" t="n"/>
      <x:c r="BM21" s="28" t="n"/>
      <x:c r="BN21" s="28" t="n"/>
      <x:c r="BO21" s="28" t="n"/>
      <x:c r="BP21" s="28" t="n"/>
      <x:c r="BQ21" s="28" t="n"/>
      <x:c r="BR21" s="28" t="n"/>
      <x:c r="BS21" s="28" t="n"/>
      <x:c r="BT21" s="28" t="n"/>
      <x:c r="BU21" s="28" t="n"/>
      <x:c r="BV21" s="28" t="n"/>
      <x:c r="BW21" s="28" t="n"/>
      <x:c r="BX21" s="28" t="n"/>
      <x:c r="BY21" s="28" t="n"/>
      <x:c r="BZ21" s="28" t="n"/>
      <x:c r="CA21" s="28" t="n"/>
      <x:c r="CB21" s="28" t="n"/>
      <x:c r="CC21" s="28" t="n"/>
      <x:c r="CD21" s="28" t="n"/>
      <x:c r="CE21" s="28" t="n"/>
      <x:c r="CF21" s="28" t="n"/>
      <x:c r="CG21" s="28" t="n"/>
      <x:c r="CH21" s="28" t="n"/>
      <x:c r="CI21" s="28" t="n"/>
      <x:c r="CJ21" s="28" t="n"/>
      <x:c r="CK21" s="28" t="n"/>
      <x:c r="CL21" s="28" t="n"/>
      <x:c r="CM21" s="28" t="n"/>
      <x:c r="CN21" s="28" t="n"/>
      <x:c r="CO21" s="28" t="n"/>
      <x:c r="CP21" s="28" t="n"/>
      <x:c r="CQ21" s="28" t="n"/>
      <x:c r="CR21" s="28" t="n"/>
      <x:c r="CS21" s="28" t="n"/>
      <x:c r="CT21" s="28" t="n"/>
      <x:c r="CU21" s="28" t="n"/>
      <x:c r="CV21" s="28" t="n"/>
      <x:c r="CW21" s="28" t="n"/>
      <x:c r="CX21" s="28" t="n"/>
      <x:c r="CY21" s="28" t="n"/>
      <x:c r="CZ21" s="28" t="n"/>
      <x:c r="DA21" s="28" t="n"/>
      <x:c r="DB21" s="28" t="n"/>
      <x:c r="DC21" s="28" t="n"/>
      <x:c r="DD21" s="28" t="n"/>
      <x:c r="DE21" s="28" t="n"/>
      <x:c r="DF21" s="28" t="n"/>
      <x:c r="DG21" s="28" t="n"/>
      <x:c r="DH21" s="28" t="n"/>
      <x:c r="DI21" s="28" t="n"/>
      <x:c r="DJ21" s="28" t="n"/>
      <x:c r="DK21" s="28" t="n"/>
      <x:c r="DL21" s="28" t="n"/>
      <x:c r="DM21" s="28" t="n"/>
      <x:c r="DN21" s="28" t="n"/>
      <x:c r="DO21" s="28" t="n"/>
      <x:c r="DP21" s="28" t="n"/>
      <x:c r="DQ21" s="28" t="n"/>
      <x:c r="DR21" s="28" t="n"/>
      <x:c r="DS21" s="28" t="n"/>
      <x:c r="DT21" s="28" t="n"/>
      <x:c r="DU21" s="28" t="n"/>
      <x:c r="DV21" s="28" t="n"/>
      <x:c r="DW21" s="28" t="n"/>
      <x:c r="DX21" s="28" t="n"/>
      <x:c r="DY21" s="28" t="n"/>
      <x:c r="DZ21" s="28" t="n"/>
      <x:c r="EA21" s="28" t="n"/>
      <x:c r="EB21" s="28" t="n"/>
      <x:c r="EC21" s="28" t="n"/>
      <x:c r="ED21" s="28" t="n"/>
      <x:c r="EE21" s="28" t="n"/>
      <x:c r="EF21" s="28" t="n"/>
      <x:c r="EG21" s="28" t="n"/>
      <x:c r="EH21" s="28" t="n"/>
      <x:c r="EI21" s="28" t="n"/>
      <x:c r="EJ21" s="28" t="n"/>
      <x:c r="EK21" s="28" t="n"/>
      <x:c r="EL21" s="28" t="n"/>
      <x:c r="EM21" s="28" t="n"/>
      <x:c r="EN21" s="28" t="n"/>
      <x:c r="EO21" s="28" t="n"/>
      <x:c r="EP21" s="28" t="n"/>
      <x:c r="EQ21" s="28" t="n"/>
      <x:c r="ER21" s="28" t="n"/>
      <x:c r="ES21" s="28" t="n"/>
      <x:c r="ET21" s="28" t="n"/>
      <x:c r="EU21" s="28" t="n"/>
      <x:c r="EV21" s="28" t="n"/>
      <x:c r="EW21" s="28" t="n"/>
      <x:c r="EX21" s="28" t="n"/>
      <x:c r="EY21" s="28" t="n"/>
      <x:c r="EZ21" s="28" t="n"/>
      <x:c r="FA21" s="28" t="n"/>
      <x:c r="FB21" s="28" t="n"/>
      <x:c r="FC21" s="28" t="n"/>
      <x:c r="FD21" s="28" t="n"/>
      <x:c r="FE21" s="28" t="n"/>
      <x:c r="FF21" s="28" t="n"/>
      <x:c r="FG21" s="28" t="n"/>
      <x:c r="FH21" s="28" t="n"/>
      <x:c r="FI21" s="28" t="n"/>
      <x:c r="FJ21" s="28" t="n"/>
      <x:c r="FK21" s="28" t="n"/>
      <x:c r="FL21" s="28" t="n"/>
      <x:c r="FM21" s="28" t="n"/>
      <x:c r="FN21" s="28" t="n"/>
      <x:c r="FO21" s="28" t="n"/>
      <x:c r="FP21" s="28" t="n"/>
      <x:c r="FQ21" s="28" t="n"/>
      <x:c r="FR21" s="28" t="n"/>
      <x:c r="FS21" s="28" t="n"/>
      <x:c r="FT21" s="28" t="n"/>
      <x:c r="FU21" s="28" t="n"/>
      <x:c r="FV21" s="28" t="n"/>
      <x:c r="FW21" s="28" t="n"/>
      <x:c r="FX21" s="28" t="n"/>
      <x:c r="FY21" s="28" t="n"/>
      <x:c r="FZ21" s="28" t="n"/>
    </x:row>
    <x:row r="22" s="27" customFormat="1">
      <x:c r="A22" s="38" t="n"/>
      <x:c r="B22" s="37" t="n"/>
      <x:c r="C22" s="86" t="n">
        <x:f>E22*D$5</x:f>
        <x:v>14.871794871794856</x:v>
      </x:c>
      <x:c r="D22" s="103" t="inlineStr">
        <x:is>
          <x:t xml:space="preserve">Glenn D. Mitchel</x:t>
        </x:is>
      </x:c>
      <x:c r="E22" s="86" t="n">
        <x:f>SUM(G22:HT22)</x:f>
        <x:v>0.3717948717948714</x:v>
      </x:c>
      <x:c r="F22" s="35" t="inlineStr">
        <x:is>
          <x:t xml:space="preserve"/>
        </x:is>
      </x:c>
      <x:c r="G22" s="121" t="n"/>
      <x:c r="H22" s="121" t="n"/>
      <x:c r="I22" s="121" t="n"/>
      <x:c r="J22" s="121" t="n"/>
      <x:c r="K22" s="121" t="n">
        <x:v>0.03846153846153845</x:v>
      </x:c>
      <x:c r="L22" s="121" t="n"/>
      <x:c r="M22" s="121" t="n"/>
      <x:c r="N22" s="121" t="n"/>
      <x:c r="O22" s="121" t="n"/>
      <x:c r="P22" s="128" t="n"/>
      <x:c r="Q22" s="128" t="n"/>
      <x:c r="R22" s="123" t="n"/>
      <x:c r="S22" s="129" t="n"/>
      <x:c r="T22" s="121" t="n"/>
      <x:c r="U22" s="121" t="n"/>
      <x:c r="V22" s="121" t="n"/>
      <x:c r="W22" s="121" t="n"/>
      <x:c r="X22" s="121" t="n"/>
      <x:c r="Y22" s="121" t="n"/>
      <x:c r="Z22" s="121" t="n"/>
      <x:c r="AA22" s="121" t="n"/>
      <x:c r="AB22" s="121" t="n"/>
      <x:c r="AC22" s="121" t="n"/>
      <x:c r="AD22" s="123" t="n"/>
      <x:c r="AE22" s="123" t="n"/>
      <x:c r="AF22" s="123" t="n"/>
      <x:c r="AG22" s="123" t="n"/>
      <x:c r="AH22" s="123" t="n">
        <x:v>0.333333333333333</x:v>
      </x:c>
      <x:c r="AI22" s="123" t="n"/>
      <x:c r="AJ22" s="123" t="n"/>
      <x:c r="AK22" s="121" t="n"/>
      <x:c r="AL22" s="123" t="n"/>
      <x:c r="AM22" s="122" t="n"/>
      <x:c r="AN22" s="123" t="n"/>
      <x:c r="AO22" s="121" t="n"/>
      <x:c r="AP22" s="121" t="n"/>
      <x:c r="AQ22" s="28" t="n"/>
      <x:c r="AR22" s="28" t="n"/>
      <x:c r="AS22" s="28" t="n"/>
      <x:c r="AT22" s="28" t="n"/>
      <x:c r="AU22" s="28" t="n"/>
      <x:c r="AV22" s="28" t="n"/>
      <x:c r="AW22" s="28" t="n"/>
      <x:c r="AX22" s="28" t="n"/>
      <x:c r="AY22" s="28" t="n"/>
      <x:c r="AZ22" s="28" t="n"/>
      <x:c r="BA22" s="28" t="n"/>
      <x:c r="BB22" s="28" t="n"/>
      <x:c r="BC22" s="28" t="n"/>
      <x:c r="BD22" s="28" t="n"/>
      <x:c r="BE22" s="28" t="n"/>
      <x:c r="BF22" s="28" t="n"/>
      <x:c r="BG22" s="28" t="n"/>
      <x:c r="BH22" s="28" t="n"/>
      <x:c r="BI22" s="28" t="n"/>
      <x:c r="BJ22" s="28" t="n"/>
      <x:c r="BK22" s="28" t="n"/>
      <x:c r="BL22" s="28" t="n"/>
      <x:c r="BM22" s="28" t="n"/>
      <x:c r="BN22" s="28" t="n"/>
      <x:c r="BO22" s="28" t="n"/>
      <x:c r="BP22" s="28" t="n"/>
      <x:c r="BQ22" s="28" t="n"/>
      <x:c r="BR22" s="28" t="n"/>
      <x:c r="BS22" s="28" t="n"/>
      <x:c r="BT22" s="28" t="n"/>
      <x:c r="BU22" s="28" t="n"/>
      <x:c r="BV22" s="28" t="n"/>
      <x:c r="BW22" s="28" t="n"/>
      <x:c r="BX22" s="28" t="n"/>
      <x:c r="BY22" s="28" t="n"/>
      <x:c r="BZ22" s="28" t="n"/>
      <x:c r="CA22" s="28" t="n"/>
      <x:c r="CB22" s="28" t="n"/>
      <x:c r="CC22" s="28" t="n"/>
      <x:c r="CD22" s="28" t="n"/>
      <x:c r="CE22" s="28" t="n"/>
      <x:c r="CF22" s="28" t="n"/>
      <x:c r="CG22" s="28" t="n"/>
      <x:c r="CH22" s="28" t="n"/>
      <x:c r="CI22" s="28" t="n"/>
      <x:c r="CJ22" s="28" t="n"/>
      <x:c r="CK22" s="28" t="n"/>
      <x:c r="CL22" s="28" t="n"/>
      <x:c r="CM22" s="28" t="n"/>
      <x:c r="CN22" s="28" t="n"/>
      <x:c r="CO22" s="28" t="n"/>
      <x:c r="CP22" s="28" t="n"/>
      <x:c r="CQ22" s="28" t="n"/>
      <x:c r="CR22" s="28" t="n"/>
      <x:c r="CS22" s="28" t="n"/>
      <x:c r="CT22" s="28" t="n"/>
      <x:c r="CU22" s="28" t="n"/>
      <x:c r="CV22" s="28" t="n"/>
      <x:c r="CW22" s="28" t="n"/>
      <x:c r="CX22" s="28" t="n"/>
      <x:c r="CY22" s="28" t="n"/>
      <x:c r="CZ22" s="28" t="n"/>
      <x:c r="DA22" s="28" t="n"/>
      <x:c r="DB22" s="28" t="n"/>
      <x:c r="DC22" s="28" t="n"/>
      <x:c r="DD22" s="28" t="n"/>
      <x:c r="DE22" s="28" t="n"/>
      <x:c r="DF22" s="28" t="n"/>
      <x:c r="DG22" s="28" t="n"/>
      <x:c r="DH22" s="28" t="n"/>
      <x:c r="DI22" s="28" t="n"/>
      <x:c r="DJ22" s="28" t="n"/>
      <x:c r="DK22" s="28" t="n"/>
      <x:c r="DL22" s="28" t="n"/>
      <x:c r="DM22" s="28" t="n"/>
      <x:c r="DN22" s="28" t="n"/>
      <x:c r="DO22" s="28" t="n"/>
      <x:c r="DP22" s="28" t="n"/>
      <x:c r="DQ22" s="28" t="n"/>
      <x:c r="DR22" s="28" t="n"/>
      <x:c r="DS22" s="28" t="n"/>
      <x:c r="DT22" s="28" t="n"/>
      <x:c r="DU22" s="28" t="n"/>
      <x:c r="DV22" s="28" t="n"/>
      <x:c r="DW22" s="28" t="n"/>
      <x:c r="DX22" s="28" t="n"/>
      <x:c r="DY22" s="28" t="n"/>
      <x:c r="DZ22" s="28" t="n"/>
      <x:c r="EA22" s="28" t="n"/>
      <x:c r="EB22" s="28" t="n"/>
      <x:c r="EC22" s="28" t="n"/>
      <x:c r="ED22" s="28" t="n"/>
      <x:c r="EE22" s="28" t="n"/>
      <x:c r="EF22" s="28" t="n"/>
      <x:c r="EG22" s="28" t="n"/>
      <x:c r="EH22" s="28" t="n"/>
      <x:c r="EI22" s="28" t="n"/>
      <x:c r="EJ22" s="28" t="n"/>
      <x:c r="EK22" s="28" t="n"/>
      <x:c r="EL22" s="28" t="n"/>
      <x:c r="EM22" s="28" t="n"/>
      <x:c r="EN22" s="28" t="n"/>
      <x:c r="EO22" s="28" t="n"/>
      <x:c r="EP22" s="28" t="n"/>
      <x:c r="EQ22" s="28" t="n"/>
      <x:c r="ER22" s="28" t="n"/>
      <x:c r="ES22" s="28" t="n"/>
      <x:c r="ET22" s="28" t="n"/>
      <x:c r="EU22" s="28" t="n"/>
      <x:c r="EV22" s="28" t="n"/>
      <x:c r="EW22" s="28" t="n"/>
      <x:c r="EX22" s="28" t="n"/>
      <x:c r="EY22" s="28" t="n"/>
      <x:c r="EZ22" s="28" t="n"/>
      <x:c r="FA22" s="28" t="n"/>
      <x:c r="FB22" s="28" t="n"/>
      <x:c r="FC22" s="28" t="n"/>
      <x:c r="FD22" s="28" t="n"/>
      <x:c r="FE22" s="28" t="n"/>
      <x:c r="FF22" s="28" t="n"/>
      <x:c r="FG22" s="28" t="n"/>
      <x:c r="FH22" s="28" t="n"/>
      <x:c r="FI22" s="28" t="n"/>
      <x:c r="FJ22" s="28" t="n"/>
      <x:c r="FK22" s="28" t="n"/>
      <x:c r="FL22" s="28" t="n"/>
      <x:c r="FM22" s="28" t="n"/>
      <x:c r="FN22" s="28" t="n"/>
      <x:c r="FO22" s="28" t="n"/>
      <x:c r="FP22" s="28" t="n"/>
      <x:c r="FQ22" s="28" t="n"/>
      <x:c r="FR22" s="28" t="n"/>
      <x:c r="FS22" s="28" t="n"/>
      <x:c r="FT22" s="28" t="n"/>
      <x:c r="FU22" s="28" t="n"/>
      <x:c r="FV22" s="28" t="n"/>
      <x:c r="FW22" s="28" t="n"/>
      <x:c r="FX22" s="28" t="n"/>
      <x:c r="FY22" s="28" t="n"/>
      <x:c r="FZ22" s="28" t="n"/>
    </x:row>
    <x:row r="23" s="27" customFormat="1">
      <x:c r="A23" s="125" t="n"/>
      <x:c r="B23" s="39" t="n"/>
      <x:c r="C23" s="86" t="n">
        <x:f>E23*D$5</x:f>
        <x:v>80</x:v>
      </x:c>
      <x:c r="D23" s="4" t="inlineStr">
        <x:is>
          <x:t xml:space="preserve">Marvin G. Mitchell and Carrie Lou Mitchell, HW, JTWROS</x:t>
        </x:is>
      </x:c>
      <x:c r="E23" s="86" t="n">
        <x:f>SUM(G23:HT23)</x:f>
        <x:v>2</x:v>
      </x:c>
      <x:c r="F23" s="35" t="inlineStr">
        <x:is>
          <x:t xml:space="preserve"/>
        </x:is>
      </x:c>
      <x:c r="G23" s="121" t="n"/>
      <x:c r="H23" s="121" t="n"/>
      <x:c r="I23" s="121" t="n"/>
      <x:c r="J23" s="121" t="n"/>
      <x:c r="K23" s="121" t="n"/>
      <x:c r="L23" s="121" t="n">
        <x:v>1</x:v>
      </x:c>
      <x:c r="M23" s="121" t="n"/>
      <x:c r="N23" s="121" t="n"/>
      <x:c r="O23" s="121" t="n"/>
      <x:c r="P23" s="121" t="n"/>
      <x:c r="Q23" s="124" t="n"/>
      <x:c r="R23" s="123" t="n"/>
      <x:c r="S23" s="121" t="n"/>
      <x:c r="T23" s="129" t="n"/>
      <x:c r="U23" s="121" t="n"/>
      <x:c r="V23" s="121" t="n"/>
      <x:c r="W23" s="121" t="n"/>
      <x:c r="X23" s="121" t="n"/>
      <x:c r="Y23" s="121" t="n"/>
      <x:c r="Z23" s="121" t="n"/>
      <x:c r="AA23" s="121" t="n"/>
      <x:c r="AB23" s="121" t="n"/>
      <x:c r="AC23" s="121" t="n"/>
      <x:c r="AD23" s="123" t="n"/>
      <x:c r="AE23" s="123" t="n"/>
      <x:c r="AF23" s="123" t="n"/>
      <x:c r="AG23" s="123" t="n"/>
      <x:c r="AH23" s="123" t="n"/>
      <x:c r="AI23" s="123" t="n"/>
      <x:c r="AJ23" s="123" t="n"/>
      <x:c r="AK23" s="121" t="n"/>
      <x:c r="AL23" s="123" t="n"/>
      <x:c r="AM23" s="122" t="n"/>
      <x:c r="AN23" s="123" t="n"/>
      <x:c r="AO23" s="121" t="n"/>
      <x:c r="AP23" s="121" t="n"/>
      <x:c r="AQ23" s="28" t="n"/>
      <x:c r="AR23" s="28" t="n"/>
      <x:c r="AS23" s="28" t="n"/>
      <x:c r="AT23" s="28" t="n"/>
      <x:c r="AU23" s="28" t="n"/>
      <x:c r="AV23" s="28" t="n"/>
      <x:c r="AW23" s="28" t="n"/>
      <x:c r="AX23" s="28" t="n"/>
      <x:c r="AY23" s="28" t="n"/>
      <x:c r="AZ23" s="28" t="n"/>
      <x:c r="BA23" s="28" t="n"/>
      <x:c r="BB23" s="28" t="n"/>
      <x:c r="BC23" s="28" t="n"/>
      <x:c r="BD23" s="28" t="n"/>
      <x:c r="BE23" s="28" t="n"/>
      <x:c r="BF23" s="28" t="n"/>
      <x:c r="BG23" s="28" t="n"/>
      <x:c r="BH23" s="28" t="n"/>
      <x:c r="BI23" s="28" t="n"/>
      <x:c r="BJ23" s="28" t="n"/>
      <x:c r="BK23" s="28" t="n"/>
      <x:c r="BL23" s="28" t="n"/>
      <x:c r="BM23" s="28" t="n"/>
      <x:c r="BN23" s="28" t="n"/>
      <x:c r="BO23" s="28" t="n"/>
      <x:c r="BP23" s="28" t="n"/>
      <x:c r="BQ23" s="28" t="n"/>
      <x:c r="BR23" s="28" t="n"/>
      <x:c r="BS23" s="28" t="n"/>
      <x:c r="BT23" s="28" t="n"/>
      <x:c r="BU23" s="28" t="n"/>
      <x:c r="BV23" s="28" t="n"/>
      <x:c r="BW23" s="28" t="n"/>
      <x:c r="BX23" s="28" t="n"/>
      <x:c r="BY23" s="28" t="n"/>
      <x:c r="BZ23" s="28" t="n"/>
      <x:c r="CA23" s="28" t="n"/>
      <x:c r="CB23" s="28" t="n"/>
      <x:c r="CC23" s="28" t="n"/>
      <x:c r="CD23" s="28" t="n"/>
      <x:c r="CE23" s="28" t="n"/>
      <x:c r="CF23" s="28" t="n"/>
      <x:c r="CG23" s="28" t="n"/>
      <x:c r="CH23" s="28" t="n">
        <x:v>1</x:v>
      </x:c>
      <x:c r="CI23" s="28" t="n"/>
      <x:c r="CJ23" s="28" t="n"/>
      <x:c r="CK23" s="28" t="n"/>
      <x:c r="CL23" s="28" t="n"/>
      <x:c r="CM23" s="28" t="n"/>
      <x:c r="CN23" s="28" t="n"/>
      <x:c r="CO23" s="28" t="n"/>
      <x:c r="CP23" s="28" t="n"/>
      <x:c r="CQ23" s="28" t="n"/>
      <x:c r="CR23" s="28" t="n"/>
      <x:c r="CS23" s="28" t="n"/>
      <x:c r="CT23" s="28" t="n"/>
      <x:c r="CU23" s="28" t="n"/>
      <x:c r="CV23" s="28" t="n"/>
      <x:c r="CW23" s="28" t="n"/>
      <x:c r="CX23" s="28" t="n"/>
      <x:c r="CY23" s="28" t="n"/>
      <x:c r="CZ23" s="28" t="n"/>
      <x:c r="DA23" s="28" t="n"/>
      <x:c r="DB23" s="28" t="n"/>
      <x:c r="DC23" s="28" t="n"/>
      <x:c r="DD23" s="28" t="n"/>
      <x:c r="DE23" s="28" t="n"/>
      <x:c r="DF23" s="28" t="n"/>
      <x:c r="DG23" s="28" t="n"/>
      <x:c r="DH23" s="28" t="n"/>
      <x:c r="DI23" s="28" t="n"/>
      <x:c r="DJ23" s="28" t="n"/>
      <x:c r="DK23" s="28" t="n"/>
      <x:c r="DL23" s="28" t="n"/>
      <x:c r="DM23" s="28" t="n"/>
      <x:c r="DN23" s="28" t="n"/>
      <x:c r="DO23" s="28" t="n"/>
      <x:c r="DP23" s="28" t="n"/>
      <x:c r="DQ23" s="28" t="n"/>
      <x:c r="DR23" s="28" t="n"/>
      <x:c r="DS23" s="28" t="n"/>
      <x:c r="DT23" s="28" t="n"/>
      <x:c r="DU23" s="28" t="n"/>
      <x:c r="DV23" s="28" t="n"/>
      <x:c r="DW23" s="28" t="n"/>
      <x:c r="DX23" s="28" t="n"/>
      <x:c r="DY23" s="28" t="n"/>
      <x:c r="DZ23" s="28" t="n"/>
      <x:c r="EA23" s="28" t="n"/>
      <x:c r="EB23" s="28" t="n"/>
      <x:c r="EC23" s="28" t="n"/>
      <x:c r="ED23" s="28" t="n"/>
      <x:c r="EE23" s="28" t="n"/>
      <x:c r="EF23" s="28" t="n"/>
      <x:c r="EG23" s="28" t="n"/>
      <x:c r="EH23" s="28" t="n"/>
      <x:c r="EI23" s="28" t="n"/>
      <x:c r="EJ23" s="28" t="n"/>
      <x:c r="EK23" s="28" t="n"/>
      <x:c r="EL23" s="28" t="n"/>
      <x:c r="EM23" s="28" t="n"/>
      <x:c r="EN23" s="28" t="n"/>
      <x:c r="EO23" s="28" t="n"/>
      <x:c r="EP23" s="28" t="n"/>
      <x:c r="EQ23" s="28" t="n"/>
      <x:c r="ER23" s="28" t="n"/>
      <x:c r="ES23" s="28" t="n"/>
      <x:c r="ET23" s="28" t="n"/>
      <x:c r="EU23" s="28" t="n"/>
      <x:c r="EV23" s="28" t="n"/>
      <x:c r="EW23" s="28" t="n"/>
      <x:c r="EX23" s="28" t="n"/>
      <x:c r="EY23" s="28" t="n"/>
      <x:c r="EZ23" s="28" t="n"/>
      <x:c r="FA23" s="28" t="n"/>
      <x:c r="FB23" s="28" t="n"/>
      <x:c r="FC23" s="28" t="n"/>
      <x:c r="FD23" s="28" t="n"/>
      <x:c r="FE23" s="28" t="n"/>
      <x:c r="FF23" s="28" t="n"/>
      <x:c r="FG23" s="28" t="n"/>
      <x:c r="FH23" s="28" t="n"/>
      <x:c r="FI23" s="28" t="n"/>
      <x:c r="FJ23" s="28" t="n"/>
      <x:c r="FK23" s="28" t="n"/>
      <x:c r="FL23" s="28" t="n"/>
      <x:c r="FM23" s="28" t="n"/>
      <x:c r="FN23" s="28" t="n"/>
      <x:c r="FO23" s="28" t="n"/>
      <x:c r="FP23" s="28" t="n"/>
      <x:c r="FQ23" s="28" t="n"/>
      <x:c r="FR23" s="28" t="n"/>
      <x:c r="FS23" s="28" t="n"/>
      <x:c r="FT23" s="28" t="n"/>
      <x:c r="FU23" s="28" t="n"/>
      <x:c r="FV23" s="28" t="n"/>
      <x:c r="FW23" s="28" t="n"/>
      <x:c r="FX23" s="28" t="n"/>
      <x:c r="FY23" s="28" t="n"/>
      <x:c r="FZ23" s="28" t="n"/>
    </x:row>
    <x:row r="24" s="27" customFormat="1">
      <x:c r="A24" s="125" t="n"/>
      <x:c r="B24" s="39" t="n"/>
      <x:c r="C24" s="86" t="n">
        <x:f>E24*D$5</x:f>
        <x:v>-40</x:v>
      </x:c>
      <x:c r="D24" s="410" t="inlineStr">
        <x:is>
          <x:t xml:space="preserve">Elvin J. Ridling and Dorothy Jean Ridling, HW</x:t>
        </x:is>
      </x:c>
      <x:c r="E24" s="413" t="n">
        <x:f>SUM(G24:HT24)</x:f>
        <x:v>-1</x:v>
      </x:c>
      <x:c r="F24" s="35" t="inlineStr">
        <x:is>
          <x:t xml:space="preserve"/>
        </x:is>
      </x:c>
      <x:c r="G24" s="121" t="n"/>
      <x:c r="H24" s="121" t="n"/>
      <x:c r="I24" s="121" t="n"/>
      <x:c r="J24" s="121" t="n"/>
      <x:c r="K24" s="121" t="n"/>
      <x:c r="L24" s="121" t="n"/>
      <x:c r="M24" s="121" t="n">
        <x:v>-1</x:v>
      </x:c>
      <x:c r="N24" s="121" t="n"/>
      <x:c r="O24" s="121" t="n"/>
      <x:c r="P24" s="121" t="n"/>
      <x:c r="Q24" s="124" t="n"/>
      <x:c r="R24" s="123" t="n"/>
      <x:c r="S24" s="121" t="n"/>
      <x:c r="T24" s="129" t="n"/>
      <x:c r="U24" s="121" t="n"/>
      <x:c r="V24" s="121" t="n"/>
      <x:c r="W24" s="121" t="n"/>
      <x:c r="X24" s="121" t="n"/>
      <x:c r="Y24" s="121" t="n"/>
      <x:c r="Z24" s="121" t="n"/>
      <x:c r="AA24" s="121" t="n"/>
      <x:c r="AB24" s="121" t="n"/>
      <x:c r="AC24" s="121" t="n"/>
      <x:c r="AD24" s="123" t="n"/>
      <x:c r="AE24" s="123" t="n"/>
      <x:c r="AF24" s="123" t="n"/>
      <x:c r="AG24" s="123" t="n"/>
      <x:c r="AH24" s="123" t="n"/>
      <x:c r="AI24" s="123" t="n"/>
      <x:c r="AJ24" s="123" t="n"/>
      <x:c r="AK24" s="121" t="n"/>
      <x:c r="AL24" s="123" t="n"/>
      <x:c r="AM24" s="122" t="n"/>
      <x:c r="AN24" s="123" t="n"/>
      <x:c r="AO24" s="121" t="n"/>
      <x:c r="AP24" s="121" t="n"/>
      <x:c r="AQ24" s="28" t="n"/>
      <x:c r="AR24" s="28" t="n"/>
      <x:c r="AS24" s="28" t="n"/>
      <x:c r="AT24" s="28" t="n"/>
      <x:c r="AU24" s="28" t="n"/>
      <x:c r="AV24" s="28" t="n"/>
      <x:c r="AW24" s="28" t="n"/>
      <x:c r="AX24" s="28" t="n"/>
      <x:c r="AY24" s="28" t="n"/>
      <x:c r="AZ24" s="28" t="n"/>
      <x:c r="BA24" s="28" t="n"/>
      <x:c r="BB24" s="28" t="n"/>
      <x:c r="BC24" s="28" t="n"/>
      <x:c r="BD24" s="28" t="n"/>
      <x:c r="BE24" s="28" t="n"/>
      <x:c r="BF24" s="28" t="n"/>
      <x:c r="BG24" s="28" t="n"/>
      <x:c r="BH24" s="28" t="n"/>
      <x:c r="BI24" s="28" t="n"/>
      <x:c r="BJ24" s="28" t="n"/>
      <x:c r="BK24" s="28" t="n"/>
      <x:c r="BL24" s="28" t="n"/>
      <x:c r="BM24" s="28" t="n"/>
      <x:c r="BN24" s="28" t="n"/>
      <x:c r="BO24" s="28" t="n"/>
      <x:c r="BP24" s="28" t="n"/>
      <x:c r="BQ24" s="28" t="n"/>
      <x:c r="BR24" s="28" t="n"/>
      <x:c r="BS24" s="28" t="n"/>
      <x:c r="BT24" s="28" t="n"/>
      <x:c r="BU24" s="28" t="n"/>
      <x:c r="BV24" s="28" t="n"/>
      <x:c r="BW24" s="28" t="n"/>
      <x:c r="BX24" s="28" t="n"/>
      <x:c r="BY24" s="28" t="n"/>
      <x:c r="BZ24" s="28" t="n"/>
      <x:c r="CA24" s="28" t="n"/>
      <x:c r="CB24" s="28" t="n"/>
      <x:c r="CC24" s="28" t="n"/>
      <x:c r="CD24" s="28" t="n"/>
      <x:c r="CE24" s="28" t="n"/>
      <x:c r="CF24" s="28" t="n"/>
      <x:c r="CG24" s="28" t="n"/>
      <x:c r="CH24" s="28" t="n"/>
      <x:c r="CI24" s="28" t="n"/>
      <x:c r="CJ24" s="28" t="n"/>
      <x:c r="CK24" s="28" t="n"/>
      <x:c r="CL24" s="28" t="n"/>
      <x:c r="CM24" s="28" t="n"/>
      <x:c r="CN24" s="28" t="n"/>
      <x:c r="CO24" s="28" t="n"/>
      <x:c r="CP24" s="28" t="n"/>
      <x:c r="CQ24" s="28" t="n"/>
      <x:c r="CR24" s="28" t="n"/>
      <x:c r="CS24" s="28" t="n"/>
      <x:c r="CT24" s="28" t="n"/>
      <x:c r="CU24" s="28" t="n"/>
      <x:c r="CV24" s="28" t="n"/>
      <x:c r="CW24" s="28" t="n"/>
      <x:c r="CX24" s="28" t="n"/>
      <x:c r="CY24" s="28" t="n"/>
      <x:c r="CZ24" s="28" t="n"/>
      <x:c r="DA24" s="28" t="n"/>
      <x:c r="DB24" s="28" t="n"/>
      <x:c r="DC24" s="28" t="n"/>
      <x:c r="DD24" s="28" t="n"/>
      <x:c r="DE24" s="28" t="n"/>
      <x:c r="DF24" s="28" t="n"/>
      <x:c r="DG24" s="28" t="n"/>
      <x:c r="DH24" s="28" t="n"/>
      <x:c r="DI24" s="28" t="n"/>
      <x:c r="DJ24" s="28" t="n"/>
      <x:c r="DK24" s="28" t="n"/>
      <x:c r="DL24" s="28" t="n"/>
      <x:c r="DM24" s="28" t="n"/>
      <x:c r="DN24" s="28" t="n"/>
      <x:c r="DO24" s="28" t="n"/>
      <x:c r="DP24" s="28" t="n"/>
      <x:c r="DQ24" s="28" t="n"/>
      <x:c r="DR24" s="28" t="n"/>
      <x:c r="DS24" s="28" t="n"/>
      <x:c r="DT24" s="28" t="n"/>
      <x:c r="DU24" s="28" t="n"/>
      <x:c r="DV24" s="28" t="n"/>
      <x:c r="DW24" s="28" t="n"/>
      <x:c r="DX24" s="28" t="n"/>
      <x:c r="DY24" s="28" t="n"/>
      <x:c r="DZ24" s="28" t="n"/>
      <x:c r="EA24" s="28" t="n"/>
      <x:c r="EB24" s="28" t="n"/>
      <x:c r="EC24" s="28" t="n"/>
      <x:c r="ED24" s="28" t="n"/>
      <x:c r="EE24" s="28" t="n"/>
      <x:c r="EF24" s="28" t="n"/>
      <x:c r="EG24" s="28" t="n"/>
      <x:c r="EH24" s="28" t="n"/>
      <x:c r="EI24" s="28" t="n"/>
      <x:c r="EJ24" s="28" t="n"/>
      <x:c r="EK24" s="28" t="n"/>
      <x:c r="EL24" s="28" t="n"/>
      <x:c r="EM24" s="28" t="n"/>
      <x:c r="EN24" s="28" t="n"/>
      <x:c r="EO24" s="28" t="n"/>
      <x:c r="EP24" s="28" t="n"/>
      <x:c r="EQ24" s="28" t="n"/>
      <x:c r="ER24" s="28" t="n"/>
      <x:c r="ES24" s="28" t="n"/>
      <x:c r="ET24" s="28" t="n"/>
      <x:c r="EU24" s="28" t="n"/>
      <x:c r="EV24" s="28" t="n"/>
      <x:c r="EW24" s="28" t="n"/>
      <x:c r="EX24" s="28" t="n"/>
      <x:c r="EY24" s="28" t="n"/>
      <x:c r="EZ24" s="28" t="n"/>
      <x:c r="FA24" s="28" t="n"/>
      <x:c r="FB24" s="28" t="n"/>
      <x:c r="FC24" s="28" t="n"/>
      <x:c r="FD24" s="28" t="n"/>
      <x:c r="FE24" s="28" t="n"/>
      <x:c r="FF24" s="28" t="n"/>
      <x:c r="FG24" s="28" t="n"/>
      <x:c r="FH24" s="28" t="n"/>
      <x:c r="FI24" s="28" t="n"/>
      <x:c r="FJ24" s="28" t="n"/>
      <x:c r="FK24" s="28" t="n"/>
      <x:c r="FL24" s="28" t="n"/>
      <x:c r="FM24" s="28" t="n"/>
      <x:c r="FN24" s="28" t="n"/>
      <x:c r="FO24" s="28" t="n"/>
      <x:c r="FP24" s="28" t="n"/>
      <x:c r="FQ24" s="28" t="n"/>
      <x:c r="FR24" s="28" t="n"/>
      <x:c r="FS24" s="28" t="n"/>
      <x:c r="FT24" s="28" t="n"/>
      <x:c r="FU24" s="28" t="n"/>
      <x:c r="FV24" s="28" t="n"/>
      <x:c r="FW24" s="28" t="n"/>
      <x:c r="FX24" s="28" t="n"/>
      <x:c r="FY24" s="28" t="n"/>
      <x:c r="FZ24" s="28" t="n"/>
    </x:row>
    <x:row r="25" s="27" customFormat="1">
      <x:c r="A25" s="125" t="n"/>
      <x:c r="B25" s="39" t="n"/>
      <x:c r="C25" s="86" t="n">
        <x:f>E25*D$5</x:f>
        <x:v>40</x:v>
      </x:c>
      <x:c r="D25" s="104" t="inlineStr">
        <x:is>
          <x:t xml:space="preserve">M. G. Mitchell and Carrie Lou Mitchell, HW, JTWROS</x:t>
        </x:is>
      </x:c>
      <x:c r="E25" s="86" t="n">
        <x:f>SUM(G25:HT25)</x:f>
        <x:v>1</x:v>
      </x:c>
      <x:c r="F25" s="35" t="inlineStr">
        <x:is>
          <x:t xml:space="preserve"/>
        </x:is>
      </x:c>
      <x:c r="G25" s="121" t="n"/>
      <x:c r="H25" s="121" t="n"/>
      <x:c r="I25" s="121" t="n"/>
      <x:c r="J25" s="121" t="n"/>
      <x:c r="K25" s="121" t="n"/>
      <x:c r="L25" s="121" t="n"/>
      <x:c r="M25" s="121" t="n">
        <x:v>1</x:v>
      </x:c>
      <x:c r="N25" s="121" t="n"/>
      <x:c r="O25" s="121" t="n"/>
      <x:c r="P25" s="121" t="n"/>
      <x:c r="Q25" s="124" t="n"/>
      <x:c r="R25" s="123" t="n"/>
      <x:c r="S25" s="121" t="n"/>
      <x:c r="T25" s="121" t="n"/>
      <x:c r="U25" s="129" t="n"/>
      <x:c r="V25" s="121" t="n"/>
      <x:c r="W25" s="121" t="n"/>
      <x:c r="X25" s="121" t="n"/>
      <x:c r="Y25" s="121" t="n"/>
      <x:c r="Z25" s="121" t="n"/>
      <x:c r="AA25" s="121" t="n"/>
      <x:c r="AB25" s="121" t="n"/>
      <x:c r="AC25" s="121" t="n"/>
      <x:c r="AD25" s="123" t="n"/>
      <x:c r="AE25" s="123" t="n"/>
      <x:c r="AF25" s="123" t="n"/>
      <x:c r="AG25" s="123" t="n"/>
      <x:c r="AH25" s="123" t="n"/>
      <x:c r="AI25" s="6" t="n"/>
      <x:c r="AJ25" s="123" t="n"/>
      <x:c r="AK25" s="121" t="n"/>
      <x:c r="AL25" s="123" t="n"/>
      <x:c r="AM25" s="121" t="n"/>
      <x:c r="AN25" s="123" t="n"/>
      <x:c r="AO25" s="121" t="n"/>
      <x:c r="AP25" s="121" t="n"/>
      <x:c r="AQ25" s="28" t="n"/>
      <x:c r="AR25" s="28" t="n"/>
      <x:c r="AS25" s="28" t="n"/>
      <x:c r="AT25" s="28" t="n"/>
      <x:c r="AU25" s="28" t="n"/>
      <x:c r="AV25" s="28" t="n"/>
      <x:c r="AW25" s="28" t="n"/>
      <x:c r="AX25" s="28" t="n"/>
      <x:c r="AY25" s="28" t="n"/>
      <x:c r="AZ25" s="28" t="n"/>
      <x:c r="BA25" s="28" t="n"/>
      <x:c r="BB25" s="28" t="n"/>
      <x:c r="BC25" s="28" t="n"/>
      <x:c r="BD25" s="28" t="n"/>
      <x:c r="BE25" s="28" t="n"/>
      <x:c r="BF25" s="28" t="n"/>
      <x:c r="BG25" s="28" t="n"/>
      <x:c r="BH25" s="28" t="n"/>
      <x:c r="BI25" s="28" t="n"/>
      <x:c r="BJ25" s="28" t="n"/>
      <x:c r="BK25" s="28" t="n"/>
      <x:c r="BL25" s="28" t="n"/>
      <x:c r="BM25" s="28" t="n"/>
      <x:c r="BN25" s="28" t="n"/>
      <x:c r="BO25" s="28" t="n"/>
      <x:c r="BP25" s="28" t="n"/>
      <x:c r="BQ25" s="28" t="n"/>
      <x:c r="BR25" s="28" t="n"/>
      <x:c r="BS25" s="28" t="n"/>
      <x:c r="BT25" s="28" t="n"/>
      <x:c r="BU25" s="28" t="n"/>
      <x:c r="BV25" s="28" t="n"/>
      <x:c r="BW25" s="28" t="n"/>
      <x:c r="BX25" s="28" t="n"/>
      <x:c r="BY25" s="28" t="n"/>
      <x:c r="BZ25" s="28" t="n"/>
      <x:c r="CA25" s="28" t="n"/>
      <x:c r="CB25" s="28" t="n"/>
      <x:c r="CC25" s="28" t="n"/>
      <x:c r="CD25" s="28" t="n"/>
      <x:c r="CE25" s="28" t="n"/>
      <x:c r="CF25" s="28" t="n"/>
      <x:c r="CG25" s="28" t="n"/>
      <x:c r="CH25" s="28" t="n"/>
      <x:c r="CI25" s="28" t="n"/>
      <x:c r="CJ25" s="28" t="n"/>
      <x:c r="CK25" s="28" t="n"/>
      <x:c r="CL25" s="28" t="n"/>
      <x:c r="CM25" s="28" t="n"/>
      <x:c r="CN25" s="28" t="n"/>
      <x:c r="CO25" s="28" t="n"/>
      <x:c r="CP25" s="28" t="n"/>
      <x:c r="CQ25" s="28" t="n"/>
      <x:c r="CR25" s="28" t="n"/>
      <x:c r="CS25" s="28" t="n"/>
      <x:c r="CT25" s="28" t="n"/>
      <x:c r="CU25" s="28" t="n"/>
      <x:c r="CV25" s="28" t="n"/>
      <x:c r="CW25" s="28" t="n"/>
      <x:c r="CX25" s="28" t="n"/>
      <x:c r="CY25" s="28" t="n"/>
      <x:c r="CZ25" s="28" t="n"/>
      <x:c r="DA25" s="28" t="n"/>
      <x:c r="DB25" s="28" t="n"/>
      <x:c r="DC25" s="28" t="n"/>
      <x:c r="DD25" s="28" t="n"/>
      <x:c r="DE25" s="28" t="n"/>
      <x:c r="DF25" s="28" t="n"/>
      <x:c r="DG25" s="28" t="n"/>
      <x:c r="DH25" s="28" t="n"/>
      <x:c r="DI25" s="28" t="n"/>
      <x:c r="DJ25" s="28" t="n"/>
      <x:c r="DK25" s="28" t="n"/>
      <x:c r="DL25" s="28" t="n"/>
      <x:c r="DM25" s="28" t="n"/>
      <x:c r="DN25" s="28" t="n"/>
      <x:c r="DO25" s="28" t="n"/>
      <x:c r="DP25" s="28" t="n"/>
      <x:c r="DQ25" s="28" t="n"/>
      <x:c r="DR25" s="28" t="n"/>
      <x:c r="DS25" s="28" t="n"/>
      <x:c r="DT25" s="28" t="n"/>
      <x:c r="DU25" s="28" t="n"/>
      <x:c r="DV25" s="28" t="n"/>
      <x:c r="DW25" s="28" t="n"/>
      <x:c r="DX25" s="28" t="n"/>
      <x:c r="DY25" s="28" t="n"/>
      <x:c r="DZ25" s="28" t="n"/>
      <x:c r="EA25" s="28" t="n"/>
      <x:c r="EB25" s="28" t="n"/>
      <x:c r="EC25" s="28" t="n"/>
      <x:c r="ED25" s="28" t="n"/>
      <x:c r="EE25" s="28" t="n"/>
      <x:c r="EF25" s="28" t="n"/>
      <x:c r="EG25" s="28" t="n"/>
      <x:c r="EH25" s="28" t="n"/>
      <x:c r="EI25" s="28" t="n"/>
      <x:c r="EJ25" s="28" t="n"/>
      <x:c r="EK25" s="28" t="n"/>
      <x:c r="EL25" s="28" t="n"/>
      <x:c r="EM25" s="28" t="n"/>
      <x:c r="EN25" s="28" t="n"/>
      <x:c r="EO25" s="28" t="n"/>
      <x:c r="EP25" s="28" t="n"/>
      <x:c r="EQ25" s="28" t="n"/>
      <x:c r="ER25" s="28" t="n"/>
      <x:c r="ES25" s="28" t="n"/>
      <x:c r="ET25" s="28" t="n"/>
      <x:c r="EU25" s="28" t="n"/>
      <x:c r="EV25" s="28" t="n"/>
      <x:c r="EW25" s="28" t="n"/>
      <x:c r="EX25" s="28" t="n"/>
      <x:c r="EY25" s="28" t="n"/>
      <x:c r="EZ25" s="28" t="n"/>
      <x:c r="FA25" s="28" t="n"/>
      <x:c r="FB25" s="28" t="n"/>
      <x:c r="FC25" s="28" t="n"/>
      <x:c r="FD25" s="28" t="n"/>
      <x:c r="FE25" s="28" t="n"/>
      <x:c r="FF25" s="28" t="n"/>
      <x:c r="FG25" s="28" t="n"/>
      <x:c r="FH25" s="28" t="n"/>
      <x:c r="FI25" s="28" t="n"/>
      <x:c r="FJ25" s="28" t="n"/>
      <x:c r="FK25" s="28" t="n"/>
      <x:c r="FL25" s="28" t="n"/>
      <x:c r="FM25" s="28" t="n"/>
      <x:c r="FN25" s="28" t="n"/>
      <x:c r="FO25" s="28" t="n"/>
      <x:c r="FP25" s="28" t="n"/>
      <x:c r="FQ25" s="28" t="n"/>
      <x:c r="FR25" s="28" t="n"/>
      <x:c r="FS25" s="28" t="n"/>
      <x:c r="FT25" s="28" t="n"/>
      <x:c r="FU25" s="28" t="n"/>
      <x:c r="FV25" s="28" t="n"/>
      <x:c r="FW25" s="28" t="n"/>
      <x:c r="FX25" s="28" t="n"/>
      <x:c r="FY25" s="28" t="n"/>
      <x:c r="FZ25" s="28" t="n"/>
    </x:row>
    <x:row r="26" s="27" customFormat="1">
      <x:c r="A26" s="125" t="n"/>
      <x:c r="B26" s="39" t="n"/>
      <x:c r="C26" s="86" t="n">
        <x:f>E26*D$5</x:f>
        <x:v>-26.01005722212588</x:v>
      </x:c>
      <x:c r="D26" s="412" t="inlineStr">
        <x:is>
          <x:t xml:space="preserve">L. E. Thurman and Veronica Thurman, HW</x:t>
        </x:is>
      </x:c>
      <x:c r="E26" s="413" t="n">
        <x:f>SUM(G26:HT26)</x:f>
        <x:v>-0.650251430553147</x:v>
      </x:c>
      <x:c r="F26" s="35" t="inlineStr">
        <x:is>
          <x:t xml:space="preserve"/>
        </x:is>
      </x:c>
      <x:c r="G26" s="121" t="n"/>
      <x:c r="H26" s="121" t="n"/>
      <x:c r="I26" s="121" t="n"/>
      <x:c r="J26" s="121" t="n"/>
      <x:c r="K26" s="121" t="n"/>
      <x:c r="L26" s="121" t="n"/>
      <x:c r="M26" s="121" t="n"/>
      <x:c r="N26" s="121" t="n">
        <x:v>-0.650251430553147</x:v>
      </x:c>
      <x:c r="O26" s="121" t="n"/>
      <x:c r="P26" s="121" t="n"/>
      <x:c r="Q26" s="123" t="n"/>
      <x:c r="R26" s="123" t="n"/>
      <x:c r="S26" s="121" t="n"/>
      <x:c r="T26" s="121" t="n"/>
      <x:c r="U26" s="129" t="n"/>
      <x:c r="V26" s="121" t="n"/>
      <x:c r="W26" s="121" t="n"/>
      <x:c r="X26" s="121" t="n"/>
      <x:c r="Y26" s="121" t="n"/>
      <x:c r="Z26" s="121" t="n"/>
      <x:c r="AA26" s="121" t="n"/>
      <x:c r="AB26" s="121" t="n"/>
      <x:c r="AC26" s="121" t="n"/>
      <x:c r="AD26" s="123" t="n"/>
      <x:c r="AE26" s="123" t="n"/>
      <x:c r="AF26" s="123" t="n"/>
      <x:c r="AG26" s="123" t="n"/>
      <x:c r="AH26" s="123" t="n"/>
      <x:c r="AI26" s="5" t="n"/>
      <x:c r="AJ26" s="123" t="n"/>
      <x:c r="AK26" s="121" t="n"/>
      <x:c r="AL26" s="123" t="n"/>
      <x:c r="AM26" s="122" t="n"/>
      <x:c r="AN26" s="123" t="n"/>
      <x:c r="AO26" s="121" t="n"/>
      <x:c r="AP26" s="121" t="n"/>
      <x:c r="AQ26" s="28" t="n"/>
      <x:c r="AR26" s="28" t="n"/>
      <x:c r="AS26" s="28" t="n"/>
      <x:c r="AT26" s="28" t="n"/>
      <x:c r="AU26" s="28" t="n"/>
      <x:c r="AV26" s="28" t="n"/>
      <x:c r="AW26" s="28" t="n"/>
      <x:c r="AX26" s="28" t="n"/>
      <x:c r="AY26" s="28" t="n"/>
      <x:c r="AZ26" s="28" t="n"/>
      <x:c r="BA26" s="28" t="n"/>
      <x:c r="BB26" s="28" t="n"/>
      <x:c r="BC26" s="28" t="n"/>
      <x:c r="BD26" s="28" t="n"/>
      <x:c r="BE26" s="28" t="n"/>
      <x:c r="BF26" s="28" t="n"/>
      <x:c r="BG26" s="28" t="n"/>
      <x:c r="BH26" s="28" t="n"/>
      <x:c r="BI26" s="28" t="n"/>
      <x:c r="BJ26" s="28" t="n"/>
      <x:c r="BK26" s="28" t="n"/>
      <x:c r="BL26" s="28" t="n"/>
      <x:c r="BM26" s="28" t="n"/>
      <x:c r="BN26" s="28" t="n"/>
      <x:c r="BO26" s="28" t="n"/>
      <x:c r="BP26" s="28" t="n"/>
      <x:c r="BQ26" s="28" t="n"/>
      <x:c r="BR26" s="28" t="n"/>
      <x:c r="BS26" s="28" t="n"/>
      <x:c r="BT26" s="28" t="n"/>
      <x:c r="BU26" s="28" t="n"/>
      <x:c r="BV26" s="28" t="n"/>
      <x:c r="BW26" s="28" t="n"/>
      <x:c r="BX26" s="28" t="n"/>
      <x:c r="BY26" s="28" t="n"/>
      <x:c r="BZ26" s="28" t="n"/>
      <x:c r="CA26" s="28" t="n"/>
      <x:c r="CB26" s="28" t="n"/>
      <x:c r="CC26" s="28" t="n"/>
      <x:c r="CD26" s="28" t="n"/>
      <x:c r="CE26" s="28" t="n"/>
      <x:c r="CF26" s="28" t="n"/>
      <x:c r="CG26" s="28" t="n"/>
      <x:c r="CH26" s="28" t="n"/>
      <x:c r="CI26" s="28" t="n"/>
      <x:c r="CJ26" s="28" t="n"/>
      <x:c r="CK26" s="28" t="n"/>
      <x:c r="CL26" s="28" t="n"/>
      <x:c r="CM26" s="28" t="n"/>
      <x:c r="CN26" s="28" t="n"/>
      <x:c r="CO26" s="28" t="n"/>
      <x:c r="CP26" s="28" t="n"/>
      <x:c r="CQ26" s="28" t="n"/>
      <x:c r="CR26" s="28" t="n"/>
      <x:c r="CS26" s="28" t="n"/>
      <x:c r="CT26" s="28" t="n"/>
      <x:c r="CU26" s="28" t="n"/>
      <x:c r="CV26" s="28" t="n"/>
      <x:c r="CW26" s="28" t="n"/>
      <x:c r="CX26" s="28" t="n"/>
      <x:c r="CY26" s="28" t="n"/>
      <x:c r="CZ26" s="28" t="n"/>
      <x:c r="DA26" s="28" t="n"/>
      <x:c r="DB26" s="28" t="n"/>
      <x:c r="DC26" s="28" t="n"/>
      <x:c r="DD26" s="28" t="n"/>
      <x:c r="DE26" s="28" t="n"/>
      <x:c r="DF26" s="28" t="n"/>
      <x:c r="DG26" s="28" t="n"/>
      <x:c r="DH26" s="28" t="n"/>
      <x:c r="DI26" s="28" t="n"/>
      <x:c r="DJ26" s="28" t="n"/>
      <x:c r="DK26" s="28" t="n"/>
      <x:c r="DL26" s="28" t="n"/>
      <x:c r="DM26" s="28" t="n"/>
      <x:c r="DN26" s="28" t="n"/>
      <x:c r="DO26" s="28" t="n"/>
      <x:c r="DP26" s="28" t="n"/>
      <x:c r="DQ26" s="28" t="n"/>
      <x:c r="DR26" s="28" t="n"/>
      <x:c r="DS26" s="28" t="n"/>
      <x:c r="DT26" s="28" t="n"/>
      <x:c r="DU26" s="28" t="n"/>
      <x:c r="DV26" s="28" t="n"/>
      <x:c r="DW26" s="28" t="n"/>
      <x:c r="DX26" s="28" t="n"/>
      <x:c r="DY26" s="28" t="n"/>
      <x:c r="DZ26" s="28" t="n"/>
      <x:c r="EA26" s="28" t="n"/>
      <x:c r="EB26" s="28" t="n"/>
      <x:c r="EC26" s="28" t="n"/>
      <x:c r="ED26" s="28" t="n"/>
      <x:c r="EE26" s="28" t="n"/>
      <x:c r="EF26" s="28" t="n"/>
      <x:c r="EG26" s="28" t="n"/>
      <x:c r="EH26" s="28" t="n"/>
      <x:c r="EI26" s="28" t="n"/>
      <x:c r="EJ26" s="28" t="n"/>
      <x:c r="EK26" s="28" t="n"/>
      <x:c r="EL26" s="28" t="n"/>
      <x:c r="EM26" s="28" t="n"/>
      <x:c r="EN26" s="28" t="n"/>
      <x:c r="EO26" s="28" t="n"/>
      <x:c r="EP26" s="28" t="n"/>
      <x:c r="EQ26" s="28" t="n"/>
      <x:c r="ER26" s="28" t="n"/>
      <x:c r="ES26" s="28" t="n"/>
      <x:c r="ET26" s="28" t="n"/>
      <x:c r="EU26" s="28" t="n"/>
      <x:c r="EV26" s="28" t="n"/>
      <x:c r="EW26" s="28" t="n"/>
      <x:c r="EX26" s="28" t="n"/>
      <x:c r="EY26" s="28" t="n"/>
      <x:c r="EZ26" s="28" t="n"/>
      <x:c r="FA26" s="28" t="n"/>
      <x:c r="FB26" s="28" t="n"/>
      <x:c r="FC26" s="28" t="n"/>
      <x:c r="FD26" s="28" t="n"/>
      <x:c r="FE26" s="28" t="n"/>
      <x:c r="FF26" s="28" t="n"/>
      <x:c r="FG26" s="28" t="n"/>
      <x:c r="FH26" s="28" t="n"/>
      <x:c r="FI26" s="28" t="n"/>
      <x:c r="FJ26" s="28" t="n"/>
      <x:c r="FK26" s="28" t="n"/>
      <x:c r="FL26" s="28" t="n"/>
      <x:c r="FM26" s="28" t="n"/>
      <x:c r="FN26" s="28" t="n"/>
      <x:c r="FO26" s="28" t="n"/>
      <x:c r="FP26" s="28" t="n"/>
      <x:c r="FQ26" s="28" t="n"/>
      <x:c r="FR26" s="28" t="n"/>
      <x:c r="FS26" s="28" t="n"/>
      <x:c r="FT26" s="28" t="n"/>
      <x:c r="FU26" s="28" t="n"/>
      <x:c r="FV26" s="28" t="n"/>
      <x:c r="FW26" s="28" t="n"/>
      <x:c r="FX26" s="28" t="n"/>
      <x:c r="FY26" s="28" t="n"/>
      <x:c r="FZ26" s="28" t="n"/>
    </x:row>
    <x:row r="27" s="27" customFormat="1">
      <x:c r="A27" s="125" t="n"/>
      <x:c r="B27" s="39" t="n"/>
      <x:c r="C27" s="36" t="n">
        <x:f>E27*D$5</x:f>
        <x:v>-6.661338147750939e-15</x:v>
      </x:c>
      <x:c r="D27" s="523" t="inlineStr">
        <x:is>
          <x:t xml:space="preserve">Marie Lister</x:t>
        </x:is>
      </x:c>
      <x:c r="E27" s="36" t="n">
        <x:f>SUM(G27:HT27)</x:f>
        <x:v>-1.6653345369377348e-16</x:v>
      </x:c>
      <x:c r="F27" s="35" t="inlineStr">
        <x:is>
          <x:t xml:space="preserve"/>
        </x:is>
      </x:c>
      <x:c r="G27" s="121" t="n"/>
      <x:c r="H27" s="121" t="n"/>
      <x:c r="I27" s="121" t="n"/>
      <x:c r="J27" s="121" t="n"/>
      <x:c r="K27" s="121" t="n"/>
      <x:c r="L27" s="121" t="n"/>
      <x:c r="M27" s="6" t="n"/>
      <x:c r="N27" s="121" t="n">
        <x:v>0.650251430553147</x:v>
      </x:c>
      <x:c r="O27" s="121" t="n">
        <x:v>-0.476851049072308</x:v>
      </x:c>
      <x:c r="P27" s="121" t="n">
        <x:v>-0.0867001907404196</x:v>
      </x:c>
      <x:c r="Q27" s="123" t="n">
        <x:v>-0.0867001907404196</x:v>
      </x:c>
      <x:c r="R27" s="123" t="n"/>
      <x:c r="S27" s="121" t="n"/>
      <x:c r="T27" s="121" t="n"/>
      <x:c r="U27" s="121" t="n"/>
      <x:c r="V27" s="129" t="n"/>
      <x:c r="W27" s="121" t="n"/>
      <x:c r="X27" s="121" t="n"/>
      <x:c r="Y27" s="121" t="n"/>
      <x:c r="Z27" s="121" t="n"/>
      <x:c r="AA27" s="121" t="n"/>
      <x:c r="AB27" s="121" t="n"/>
      <x:c r="AC27" s="121" t="n"/>
      <x:c r="AD27" s="123" t="n"/>
      <x:c r="AE27" s="123" t="n"/>
      <x:c r="AF27" s="123" t="n"/>
      <x:c r="AG27" s="123" t="n"/>
      <x:c r="AH27" s="123" t="n"/>
      <x:c r="AI27" s="5" t="n"/>
      <x:c r="AJ27" s="123" t="n"/>
      <x:c r="AK27" s="121" t="n"/>
      <x:c r="AL27" s="123" t="n"/>
      <x:c r="AM27" s="121" t="n"/>
      <x:c r="AN27" s="123" t="n"/>
      <x:c r="AO27" s="121" t="n"/>
      <x:c r="AP27" s="121" t="n"/>
      <x:c r="AQ27" s="28" t="n"/>
      <x:c r="AR27" s="28" t="n"/>
      <x:c r="AS27" s="28" t="n"/>
    </x:row>
    <x:row r="28" s="27" customFormat="1">
      <x:c r="A28" s="125" t="n"/>
      <x:c r="B28" s="39" t="n"/>
      <x:c r="C28" s="36" t="n">
        <x:f>E28*D$5</x:f>
        <x:v>17.53558042443078</x:v>
      </x:c>
      <x:c r="D28" s="4" t="inlineStr">
        <x:is>
          <x:t xml:space="preserve">W. H. Sorenson</x:t>
        </x:is>
      </x:c>
      <x:c r="E28" s="36" t="n">
        <x:f>SUM(G28:HT28)</x:f>
        <x:v>0.43838951061076953</x:v>
      </x:c>
      <x:c r="F28" s="35" t="inlineStr">
        <x:is>
          <x:t xml:space="preserve"/>
        </x:is>
      </x:c>
      <x:c r="G28" s="121" t="n"/>
      <x:c r="H28" s="121" t="n"/>
      <x:c r="I28" s="121" t="n"/>
      <x:c r="J28" s="121" t="n"/>
      <x:c r="K28" s="121" t="n"/>
      <x:c r="L28" s="121" t="n"/>
      <x:c r="M28" s="5" t="n"/>
      <x:c r="N28" s="121" t="n"/>
      <x:c r="O28" s="121" t="n">
        <x:v>0.476851049072308</x:v>
      </x:c>
      <x:c r="P28" s="121" t="n"/>
      <x:c r="Q28" s="123" t="n"/>
      <x:c r="R28" s="123" t="n"/>
      <x:c r="S28" s="121" t="n"/>
      <x:c r="T28" s="121" t="n">
        <x:v>-0.0384615384615385</x:v>
      </x:c>
      <x:c r="U28" s="121" t="n"/>
      <x:c r="V28" s="129" t="n"/>
      <x:c r="W28" s="121" t="n"/>
      <x:c r="X28" s="121" t="n"/>
      <x:c r="Y28" s="121" t="n"/>
      <x:c r="Z28" s="121" t="n"/>
      <x:c r="AA28" s="121" t="n"/>
      <x:c r="AB28" s="121" t="n"/>
      <x:c r="AC28" s="121" t="n"/>
      <x:c r="AD28" s="123" t="n"/>
      <x:c r="AE28" s="123" t="n"/>
      <x:c r="AF28" s="123" t="n"/>
      <x:c r="AG28" s="123" t="n"/>
      <x:c r="AH28" s="123" t="n"/>
      <x:c r="AI28" s="5" t="n"/>
      <x:c r="AJ28" s="123" t="n"/>
      <x:c r="AK28" s="121" t="n"/>
      <x:c r="AL28" s="123" t="n"/>
      <x:c r="AM28" s="121" t="n"/>
      <x:c r="AN28" s="123" t="n"/>
      <x:c r="AO28" s="121" t="n"/>
      <x:c r="AP28" s="121" t="n"/>
      <x:c r="AQ28" s="28" t="n"/>
      <x:c r="AR28" s="28" t="n"/>
      <x:c r="AS28" s="28" t="n"/>
    </x:row>
    <x:row r="29" s="27" customFormat="1">
      <x:c r="A29" s="125" t="n"/>
      <x:c r="B29" s="39" t="n"/>
      <x:c r="C29" s="86" t="n">
        <x:f>E29*D$5</x:f>
        <x:v>3.4680076296167837</x:v>
      </x:c>
      <x:c r="D29" s="4" t="inlineStr">
        <x:is>
          <x:t xml:space="preserve">Mann Childrens Trust</x:t>
        </x:is>
      </x:c>
      <x:c r="E29" s="86" t="n">
        <x:f>SUM(G29:HT29)</x:f>
        <x:v>0.0867001907404196</x:v>
      </x:c>
      <x:c r="F29" s="35" t="inlineStr">
        <x:is>
          <x:t xml:space="preserve"/>
        </x:is>
      </x:c>
      <x:c r="G29" s="121" t="n"/>
      <x:c r="H29" s="121" t="n"/>
      <x:c r="I29" s="121" t="n"/>
      <x:c r="J29" s="121" t="n"/>
      <x:c r="K29" s="121" t="n"/>
      <x:c r="L29" s="121" t="n"/>
      <x:c r="M29" s="5" t="n"/>
      <x:c r="N29" s="121" t="n"/>
      <x:c r="O29" s="121" t="n"/>
      <x:c r="P29" s="121" t="n">
        <x:v>0.0867001907404196</x:v>
      </x:c>
      <x:c r="Q29" s="123" t="n"/>
      <x:c r="R29" s="123" t="n"/>
      <x:c r="S29" s="121" t="n"/>
      <x:c r="T29" s="121" t="n"/>
      <x:c r="U29" s="121" t="n"/>
      <x:c r="V29" s="129" t="n"/>
      <x:c r="W29" s="121" t="n"/>
      <x:c r="X29" s="121" t="n"/>
      <x:c r="Y29" s="121" t="n"/>
      <x:c r="Z29" s="121" t="n"/>
      <x:c r="AA29" s="121" t="n"/>
      <x:c r="AB29" s="121" t="n"/>
      <x:c r="AC29" s="121" t="n"/>
      <x:c r="AD29" s="123" t="n"/>
      <x:c r="AE29" s="123" t="n"/>
      <x:c r="AF29" s="123" t="n"/>
      <x:c r="AG29" s="123" t="n"/>
      <x:c r="AH29" s="123" t="n"/>
      <x:c r="AI29" s="5" t="n"/>
      <x:c r="AJ29" s="123" t="n"/>
      <x:c r="AK29" s="121" t="n"/>
      <x:c r="AL29" s="123" t="n"/>
      <x:c r="AM29" s="121" t="n"/>
      <x:c r="AN29" s="123" t="n"/>
      <x:c r="AO29" s="121" t="n"/>
      <x:c r="AP29" s="121" t="n"/>
      <x:c r="AQ29" s="28" t="n"/>
      <x:c r="AR29" s="28" t="n"/>
      <x:c r="AS29" s="28" t="n"/>
    </x:row>
    <x:row r="30" s="27" customFormat="1">
      <x:c r="A30" s="125" t="n"/>
      <x:c r="B30" s="39" t="n"/>
      <x:c r="C30" s="36" t="n">
        <x:f>E30*D$5</x:f>
        <x:v>3.4680076296167837</x:v>
      </x:c>
      <x:c r="D30" s="103" t="inlineStr">
        <x:is>
          <x:t xml:space="preserve">J. E. Barnett</x:t>
        </x:is>
      </x:c>
      <x:c r="E30" s="36" t="n">
        <x:f>SUM(G30:HT30)</x:f>
        <x:v>0.0867001907404196</x:v>
      </x:c>
      <x:c r="F30" s="35" t="inlineStr">
        <x:is>
          <x:t xml:space="preserve"/>
        </x:is>
      </x:c>
      <x:c r="G30" s="121" t="n"/>
      <x:c r="H30" s="121" t="n"/>
      <x:c r="I30" s="121" t="n"/>
      <x:c r="J30" s="121" t="n"/>
      <x:c r="K30" s="121" t="n"/>
      <x:c r="L30" s="121" t="n"/>
      <x:c r="M30" s="117" t="n"/>
      <x:c r="N30" s="121" t="n"/>
      <x:c r="O30" s="121" t="n"/>
      <x:c r="P30" s="121" t="n"/>
      <x:c r="Q30" s="123" t="n">
        <x:v>0.0867001907404196</x:v>
      </x:c>
      <x:c r="R30" s="123" t="n"/>
      <x:c r="S30" s="121" t="n"/>
      <x:c r="T30" s="121" t="n"/>
      <x:c r="U30" s="121" t="n"/>
      <x:c r="V30" s="121" t="n"/>
      <x:c r="W30" s="129" t="n"/>
      <x:c r="X30" s="129" t="n"/>
      <x:c r="Y30" s="129" t="n"/>
      <x:c r="Z30" s="129" t="n"/>
      <x:c r="AA30" s="129" t="n"/>
      <x:c r="AB30" s="121" t="n"/>
      <x:c r="AC30" s="121" t="n"/>
      <x:c r="AD30" s="123" t="n"/>
      <x:c r="AE30" s="123" t="n"/>
      <x:c r="AF30" s="123" t="n"/>
      <x:c r="AG30" s="123" t="n"/>
      <x:c r="AH30" s="123" t="n"/>
      <x:c r="AI30" s="118" t="n"/>
      <x:c r="AJ30" s="123" t="n"/>
      <x:c r="AK30" s="121" t="n"/>
      <x:c r="AL30" s="123" t="n"/>
      <x:c r="AM30" s="121" t="n"/>
      <x:c r="AN30" s="123" t="n"/>
      <x:c r="AO30" s="121" t="n"/>
      <x:c r="AP30" s="121" t="n"/>
      <x:c r="AQ30" s="28" t="n"/>
      <x:c r="AR30" s="28" t="n"/>
      <x:c r="AS30" s="28" t="n"/>
    </x:row>
    <x:row r="31" s="27" customFormat="1">
      <x:c r="A31" s="125" t="n"/>
      <x:c r="B31" s="39" t="n"/>
      <x:c r="C31" s="86" t="n">
        <x:f>E31*D$5</x:f>
        <x:v>-9.23076923076924</x:v>
      </x:c>
      <x:c r="D31" s="410" t="inlineStr">
        <x:is>
          <x:t xml:space="preserve">Glenn D. Mitchel Hazel P. Mitchel, HW</x:t>
        </x:is>
      </x:c>
      <x:c r="E31" s="413" t="n">
        <x:f>SUM(G31:HT31)</x:f>
        <x:v>-0.230769230769231</x:v>
      </x:c>
      <x:c r="F31" s="35" t="inlineStr">
        <x:is>
          <x:t xml:space="preserve"/>
        </x:is>
      </x:c>
      <x:c r="G31" s="121" t="n"/>
      <x:c r="H31" s="121" t="n"/>
      <x:c r="I31" s="121" t="n"/>
      <x:c r="J31" s="121" t="n"/>
      <x:c r="K31" s="121" t="n"/>
      <x:c r="L31" s="121" t="n"/>
      <x:c r="M31" s="117" t="n"/>
      <x:c r="N31" s="121" t="n"/>
      <x:c r="O31" s="121" t="n"/>
      <x:c r="P31" s="121" t="n"/>
      <x:c r="Q31" s="123" t="n"/>
      <x:c r="R31" s="123" t="n">
        <x:v>-0.230769230769231</x:v>
      </x:c>
      <x:c r="S31" s="121" t="n"/>
      <x:c r="T31" s="121" t="n"/>
      <x:c r="U31" s="121" t="n"/>
      <x:c r="V31" s="121" t="n"/>
      <x:c r="W31" s="129" t="n"/>
      <x:c r="X31" s="129" t="n"/>
      <x:c r="Y31" s="121" t="n"/>
      <x:c r="Z31" s="121" t="n"/>
      <x:c r="AA31" s="121" t="n"/>
      <x:c r="AB31" s="121" t="n"/>
      <x:c r="AC31" s="121" t="n"/>
      <x:c r="AD31" s="123" t="n"/>
      <x:c r="AE31" s="123" t="n"/>
      <x:c r="AF31" s="123" t="n"/>
      <x:c r="AG31" s="123" t="n"/>
      <x:c r="AH31" s="123" t="n"/>
      <x:c r="AI31" s="118" t="n"/>
      <x:c r="AJ31" s="123" t="n"/>
      <x:c r="AK31" s="121" t="n"/>
      <x:c r="AL31" s="123" t="n"/>
      <x:c r="AM31" s="121" t="n"/>
      <x:c r="AN31" s="123" t="n"/>
      <x:c r="AO31" s="121" t="n"/>
      <x:c r="AP31" s="121" t="n"/>
      <x:c r="AQ31" s="28" t="n"/>
      <x:c r="AR31" s="28" t="n"/>
      <x:c r="AS31" s="28" t="n"/>
    </x:row>
    <x:row r="32" s="27" customFormat="1">
      <x:c r="A32" s="125" t="n"/>
      <x:c r="B32" s="39" t="n"/>
      <x:c r="C32" s="86" t="n">
        <x:f>E32*D$5</x:f>
        <x:v>3.07692307692308</x:v>
      </x:c>
      <x:c r="D32" s="103" t="inlineStr">
        <x:is>
          <x:t xml:space="preserve">Nolan E. Britton, Inc.</x:t>
        </x:is>
      </x:c>
      <x:c r="E32" s="86" t="n">
        <x:f>SUM(G32:HT32)</x:f>
        <x:v>0.07692307692307701</x:v>
      </x:c>
      <x:c r="F32" s="35" t="inlineStr">
        <x:is>
          <x:t xml:space="preserve"/>
        </x:is>
      </x:c>
      <x:c r="G32" s="121" t="n"/>
      <x:c r="H32" s="121" t="n"/>
      <x:c r="I32" s="121" t="n"/>
      <x:c r="J32" s="121" t="n"/>
      <x:c r="K32" s="121" t="n"/>
      <x:c r="L32" s="121" t="n"/>
      <x:c r="M32" s="117" t="n"/>
      <x:c r="N32" s="121" t="n"/>
      <x:c r="O32" s="121" t="n"/>
      <x:c r="P32" s="121" t="n"/>
      <x:c r="Q32" s="123" t="n"/>
      <x:c r="R32" s="123" t="n">
        <x:v>0.230769230769231</x:v>
      </x:c>
      <x:c r="S32" s="121" t="n">
        <x:v>-0.153846153846154</x:v>
      </x:c>
      <x:c r="T32" s="121" t="n"/>
      <x:c r="U32" s="121" t="n"/>
      <x:c r="V32" s="121" t="n"/>
      <x:c r="W32" s="129" t="n"/>
      <x:c r="X32" s="121" t="n"/>
      <x:c r="Y32" s="129" t="n"/>
      <x:c r="Z32" s="121" t="n"/>
      <x:c r="AA32" s="121" t="n"/>
      <x:c r="AB32" s="121" t="n"/>
      <x:c r="AC32" s="121" t="n"/>
      <x:c r="AD32" s="123" t="n"/>
      <x:c r="AE32" s="123" t="n"/>
      <x:c r="AF32" s="123" t="n"/>
      <x:c r="AG32" s="123" t="n"/>
      <x:c r="AH32" s="123" t="n"/>
      <x:c r="AI32" s="118" t="n"/>
      <x:c r="AJ32" s="123" t="n"/>
      <x:c r="AK32" s="121" t="n"/>
      <x:c r="AL32" s="123" t="n"/>
      <x:c r="AM32" s="121" t="n"/>
      <x:c r="AN32" s="123" t="n"/>
      <x:c r="AO32" s="121" t="n"/>
      <x:c r="AP32" s="121" t="n"/>
      <x:c r="AQ32" s="28" t="n"/>
      <x:c r="AR32" s="28" t="n"/>
      <x:c r="AS32" s="28" t="n"/>
    </x:row>
    <x:row r="33" s="27" customFormat="1">
      <x:c r="A33" s="125" t="n"/>
      <x:c r="B33" s="39" t="n"/>
      <x:c r="C33" s="36" t="n">
        <x:f>E33*D$5</x:f>
        <x:v>4.61538461538462</x:v>
      </x:c>
      <x:c r="D33" s="103" t="inlineStr">
        <x:is>
          <x:t xml:space="preserve">Chinook Resources, Inc.</x:t>
        </x:is>
      </x:c>
      <x:c r="E33" s="36" t="n">
        <x:f>SUM(G33:HT33)</x:f>
        <x:v>0.1153846153846155</x:v>
      </x:c>
      <x:c r="F33" s="35" t="inlineStr">
        <x:is>
          <x:t xml:space="preserve"/>
        </x:is>
      </x:c>
      <x:c r="G33" s="121" t="n"/>
      <x:c r="H33" s="121" t="n"/>
      <x:c r="I33" s="121" t="n"/>
      <x:c r="J33" s="121" t="n"/>
      <x:c r="K33" s="121" t="n"/>
      <x:c r="L33" s="121" t="n"/>
      <x:c r="M33" s="121" t="n"/>
      <x:c r="N33" s="121" t="n"/>
      <x:c r="O33" s="121" t="n"/>
      <x:c r="P33" s="121" t="n"/>
      <x:c r="Q33" s="123" t="n"/>
      <x:c r="R33" s="123" t="n"/>
      <x:c r="S33" s="121" t="n">
        <x:v>0.153846153846154</x:v>
      </x:c>
      <x:c r="T33" s="121" t="n"/>
      <x:c r="U33" s="121" t="n"/>
      <x:c r="V33" s="121" t="n">
        <x:v>-0.0384615384615385</x:v>
      </x:c>
      <x:c r="W33" s="129" t="n"/>
      <x:c r="X33" s="121" t="n"/>
      <x:c r="Y33" s="121" t="n"/>
      <x:c r="Z33" s="129" t="n"/>
      <x:c r="AA33" s="121" t="n"/>
      <x:c r="AB33" s="121" t="n"/>
      <x:c r="AC33" s="121" t="n"/>
      <x:c r="AD33" s="123" t="n"/>
      <x:c r="AE33" s="123" t="n"/>
      <x:c r="AF33" s="123" t="n"/>
      <x:c r="AG33" s="123" t="n"/>
      <x:c r="AH33" s="123" t="n"/>
      <x:c r="AI33" s="123" t="n"/>
      <x:c r="AJ33" s="123" t="n"/>
      <x:c r="AK33" s="121" t="n"/>
      <x:c r="AL33" s="123" t="n"/>
      <x:c r="AM33" s="121" t="n"/>
      <x:c r="AN33" s="123" t="n"/>
      <x:c r="AO33" s="121" t="n"/>
      <x:c r="AP33" s="121" t="n"/>
      <x:c r="AQ33" s="28" t="n"/>
      <x:c r="AR33" s="28" t="n"/>
      <x:c r="AS33" s="28" t="n"/>
    </x:row>
    <x:row r="34" s="27" customFormat="1" ht="24" customHeight="1">
      <x:c r="A34" s="125" t="n"/>
      <x:c r="B34" s="39" t="n"/>
      <x:c r="C34" s="36" t="n">
        <x:f>E34*D$5</x:f>
        <x:v>1.5384615384615399</x:v>
      </x:c>
      <x:c r="D34" s="103" t="inlineStr">
        <x:is>
          <x:t xml:space="preserve">Sorenson Oil &amp; Gas Trust, Michelle Sorenson Johnson, Trustee, Marchelle Sorenson Uaigle, Trustee</x:t>
        </x:is>
      </x:c>
      <x:c r="E34" s="36" t="n">
        <x:f>SUM(G34:HT34)</x:f>
        <x:v>0.0384615384615385</x:v>
      </x:c>
      <x:c r="F34" s="35" t="inlineStr">
        <x:is>
          <x:t xml:space="preserve"/>
        </x:is>
      </x:c>
      <x:c r="G34" s="121" t="n"/>
      <x:c r="H34" s="121" t="n"/>
      <x:c r="I34" s="121" t="n"/>
      <x:c r="J34" s="121" t="n"/>
      <x:c r="K34" s="121" t="n"/>
      <x:c r="L34" s="121" t="n"/>
      <x:c r="M34" s="121" t="n"/>
      <x:c r="N34" s="121" t="n"/>
      <x:c r="O34" s="121" t="n"/>
      <x:c r="P34" s="121" t="n"/>
      <x:c r="Q34" s="123" t="n"/>
      <x:c r="R34" s="123" t="n"/>
      <x:c r="S34" s="121" t="n"/>
      <x:c r="T34" s="121" t="n">
        <x:v>0.0384615384615385</x:v>
      </x:c>
      <x:c r="U34" s="121" t="n"/>
      <x:c r="V34" s="121" t="n"/>
      <x:c r="W34" s="129" t="n"/>
      <x:c r="X34" s="121" t="n"/>
      <x:c r="Y34" s="121" t="n"/>
      <x:c r="Z34" s="121" t="n"/>
      <x:c r="AA34" s="129" t="n"/>
      <x:c r="AB34" s="121" t="n"/>
      <x:c r="AC34" s="121" t="n"/>
      <x:c r="AD34" s="121" t="n"/>
      <x:c r="AE34" s="123" t="n"/>
      <x:c r="AF34" s="123" t="n"/>
      <x:c r="AG34" s="123" t="n"/>
      <x:c r="AH34" s="123" t="n"/>
      <x:c r="AI34" s="123" t="n"/>
      <x:c r="AJ34" s="123" t="n"/>
      <x:c r="AK34" s="121" t="n"/>
      <x:c r="AL34" s="123" t="n"/>
      <x:c r="AM34" s="121" t="n"/>
      <x:c r="AN34" s="123" t="n"/>
      <x:c r="AO34" s="121" t="n"/>
      <x:c r="AP34" s="121" t="n"/>
      <x:c r="AQ34" s="28" t="n"/>
      <x:c r="AR34" s="28" t="n"/>
      <x:c r="AS34" s="28" t="n"/>
    </x:row>
    <x:row r="35" s="27" customFormat="1" ht="24" customHeight="1">
      <x:c r="A35" s="125" t="n"/>
      <x:c r="B35" s="39" t="n"/>
      <x:c r="C35" s="36" t="n">
        <x:f>E35*D$5</x:f>
        <x:v>-1.5384615384615399</x:v>
      </x:c>
      <x:c r="D35" s="410" t="inlineStr">
        <x:is>
          <x:t xml:space="preserve">Roger Mills County Court RE: In the Matter of the Estate of Jesse G. French, Deceased</x:t>
        </x:is>
      </x:c>
      <x:c r="E35" s="411" t="n">
        <x:f>SUM(G35:HT35)</x:f>
        <x:v>-0.0384615384615385</x:v>
      </x:c>
      <x:c r="F35" s="35" t="inlineStr">
        <x:is>
          <x:t xml:space="preserve"/>
        </x:is>
      </x:c>
      <x:c r="G35" s="121" t="n"/>
      <x:c r="H35" s="121" t="n"/>
      <x:c r="I35" s="121" t="n"/>
      <x:c r="J35" s="121" t="n"/>
      <x:c r="K35" s="121" t="n"/>
      <x:c r="L35" s="121" t="n"/>
      <x:c r="M35" s="121" t="n"/>
      <x:c r="N35" s="121" t="n"/>
      <x:c r="O35" s="121" t="n"/>
      <x:c r="P35" s="121" t="n"/>
      <x:c r="Q35" s="123" t="n"/>
      <x:c r="R35" s="123" t="n"/>
      <x:c r="S35" s="121" t="n"/>
      <x:c r="T35" s="121" t="n"/>
      <x:c r="U35" s="121" t="n">
        <x:v>-0.0384615384615385</x:v>
      </x:c>
      <x:c r="V35" s="121" t="n"/>
      <x:c r="W35" s="129" t="n"/>
      <x:c r="X35" s="121" t="n"/>
      <x:c r="Y35" s="121" t="n"/>
      <x:c r="Z35" s="121" t="n"/>
      <x:c r="AA35" s="121" t="n"/>
      <x:c r="AB35" s="121" t="n"/>
      <x:c r="AC35" s="121" t="n"/>
      <x:c r="AD35" s="121" t="n"/>
      <x:c r="AE35" s="123" t="n"/>
      <x:c r="AF35" s="123" t="n"/>
      <x:c r="AG35" s="123" t="n"/>
      <x:c r="AH35" s="123" t="n"/>
      <x:c r="AI35" s="123" t="n"/>
      <x:c r="AJ35" s="123" t="n"/>
      <x:c r="AK35" s="121" t="n"/>
      <x:c r="AL35" s="121" t="n"/>
      <x:c r="AM35" s="121" t="n"/>
      <x:c r="AN35" s="123" t="n"/>
      <x:c r="AO35" s="121" t="n"/>
      <x:c r="AP35" s="121" t="n"/>
      <x:c r="AQ35" s="28" t="n"/>
      <x:c r="AR35" s="28" t="n"/>
      <x:c r="AS35" s="28" t="n"/>
    </x:row>
    <x:row r="36" s="27" customFormat="1">
      <x:c r="A36" s="125" t="n"/>
      <x:c r="B36" s="39" t="n"/>
      <x:c r="C36" s="36" t="n">
        <x:f>E36*D$5</x:f>
        <x:v>1.5384615384615399</x:v>
      </x:c>
      <x:c r="D36" s="103" t="inlineStr">
        <x:is>
          <x:t xml:space="preserve">Lola B. French</x:t>
        </x:is>
      </x:c>
      <x:c r="E36" s="36" t="n">
        <x:f>SUM(G36:HT36)</x:f>
        <x:v>0.0384615384615385</x:v>
      </x:c>
      <x:c r="F36" s="35" t="inlineStr">
        <x:is>
          <x:t xml:space="preserve"/>
        </x:is>
      </x:c>
      <x:c r="G36" s="121" t="n"/>
      <x:c r="H36" s="121" t="n"/>
      <x:c r="I36" s="121" t="n"/>
      <x:c r="J36" s="121" t="n"/>
      <x:c r="K36" s="121" t="n"/>
      <x:c r="L36" s="121" t="n"/>
      <x:c r="M36" s="121" t="n"/>
      <x:c r="N36" s="121" t="n"/>
      <x:c r="O36" s="121" t="n"/>
      <x:c r="P36" s="121" t="n"/>
      <x:c r="Q36" s="123" t="n"/>
      <x:c r="R36" s="123" t="n"/>
      <x:c r="S36" s="121" t="n"/>
      <x:c r="T36" s="121" t="n"/>
      <x:c r="U36" s="121" t="n">
        <x:v>0.0384615384615385</x:v>
      </x:c>
      <x:c r="V36" s="121" t="n"/>
      <x:c r="W36" s="121" t="n"/>
      <x:c r="X36" s="121" t="n"/>
      <x:c r="Y36" s="121" t="n"/>
      <x:c r="Z36" s="121" t="n"/>
      <x:c r="AA36" s="121" t="n"/>
      <x:c r="AB36" s="121" t="n"/>
      <x:c r="AC36" s="121" t="n"/>
      <x:c r="AD36" s="121" t="n"/>
      <x:c r="AE36" s="123" t="n"/>
      <x:c r="AF36" s="124" t="n"/>
      <x:c r="AG36" s="123" t="n"/>
      <x:c r="AH36" s="123" t="n"/>
      <x:c r="AI36" s="123" t="n"/>
      <x:c r="AJ36" s="123" t="n"/>
      <x:c r="AK36" s="121" t="n"/>
      <x:c r="AL36" s="123" t="n"/>
      <x:c r="AM36" s="121" t="n"/>
      <x:c r="AN36" s="124" t="n"/>
      <x:c r="AO36" s="121" t="n"/>
      <x:c r="AP36" s="121" t="n"/>
      <x:c r="AQ36" s="28" t="n"/>
      <x:c r="AR36" s="28" t="n"/>
      <x:c r="AS36" s="28" t="n"/>
    </x:row>
    <x:row r="37" s="27" customFormat="1">
      <x:c r="A37" s="125" t="n"/>
      <x:c r="B37" s="39" t="n"/>
      <x:c r="C37" s="86" t="n">
        <x:f>E37*D$5</x:f>
        <x:v>1.5384615384615399</x:v>
      </x:c>
      <x:c r="D37" s="103" t="inlineStr">
        <x:is>
          <x:t xml:space="preserve">Continental Illinois Energy Development Corp</x:t>
        </x:is>
      </x:c>
      <x:c r="E37" s="86" t="n">
        <x:f>SUM(G37:HY37)</x:f>
        <x:v>0.0384615384615385</x:v>
      </x:c>
      <x:c r="F37" s="35" t="inlineStr">
        <x:is>
          <x:t xml:space="preserve"/>
        </x:is>
      </x:c>
      <x:c r="G37" s="121" t="n"/>
      <x:c r="H37" s="122" t="n"/>
      <x:c r="I37" s="121" t="n"/>
      <x:c r="J37" s="122" t="n"/>
      <x:c r="K37" s="122" t="n"/>
      <x:c r="L37" s="123" t="n"/>
      <x:c r="M37" s="123" t="n"/>
      <x:c r="N37" s="123" t="n"/>
      <x:c r="O37" s="123" t="n"/>
      <x:c r="P37" s="123" t="n"/>
      <x:c r="Q37" s="123" t="n"/>
      <x:c r="R37" s="123" t="n"/>
      <x:c r="S37" s="123" t="n"/>
      <x:c r="T37" s="123" t="n"/>
      <x:c r="U37" s="123" t="n"/>
      <x:c r="V37" s="123" t="n">
        <x:v>0.0384615384615385</x:v>
      </x:c>
      <x:c r="W37" s="123" t="n"/>
      <x:c r="X37" s="123" t="n"/>
      <x:c r="Y37" s="121" t="n"/>
      <x:c r="Z37" s="123" t="n"/>
      <x:c r="AA37" s="123" t="n"/>
      <x:c r="AB37" s="123" t="n"/>
      <x:c r="AC37" s="123" t="n"/>
      <x:c r="AD37" s="121" t="n"/>
      <x:c r="AE37" s="123" t="n"/>
      <x:c r="AF37" s="124" t="n"/>
      <x:c r="AG37" s="124" t="n"/>
      <x:c r="AH37" s="124" t="n"/>
      <x:c r="AI37" s="123" t="n"/>
      <x:c r="AJ37" s="123" t="n"/>
      <x:c r="AK37" s="123" t="n"/>
      <x:c r="AL37" s="121" t="n"/>
      <x:c r="AM37" s="123" t="n"/>
      <x:c r="AN37" s="123" t="n"/>
      <x:c r="AO37" s="123" t="n"/>
      <x:c r="AP37" s="123" t="n"/>
      <x:c r="AQ37" s="100" t="n"/>
      <x:c r="AR37" s="100" t="n"/>
      <x:c r="AS37" s="100" t="n"/>
      <x:c r="AT37" s="100" t="n"/>
      <x:c r="AU37" s="100" t="n"/>
      <x:c r="AV37" s="100" t="n"/>
      <x:c r="AW37" s="100" t="n"/>
      <x:c r="AX37" s="100" t="n"/>
      <x:c r="AY37" s="100" t="n"/>
      <x:c r="AZ37" s="100" t="n"/>
      <x:c r="BA37" s="100" t="n"/>
      <x:c r="BB37" s="100" t="n"/>
      <x:c r="BC37" s="100" t="n"/>
      <x:c r="BD37" s="100" t="n"/>
      <x:c r="BE37" s="100" t="n"/>
      <x:c r="BF37" s="100" t="n"/>
      <x:c r="BG37" s="100" t="n"/>
      <x:c r="BH37" s="100" t="n"/>
      <x:c r="BI37" s="100" t="n"/>
      <x:c r="BJ37" s="100" t="n"/>
      <x:c r="BK37" s="100" t="n"/>
      <x:c r="BL37" s="100" t="n"/>
      <x:c r="BM37" s="100" t="n"/>
      <x:c r="BN37" s="100" t="n"/>
      <x:c r="BO37" s="100" t="n"/>
      <x:c r="BP37" s="100" t="n"/>
      <x:c r="BQ37" s="100" t="n"/>
      <x:c r="BR37" s="100" t="n"/>
      <x:c r="BS37" s="100" t="n"/>
      <x:c r="BT37" s="100" t="n"/>
      <x:c r="BU37" s="100" t="n"/>
      <x:c r="BV37" s="100" t="n"/>
      <x:c r="BW37" s="100" t="n"/>
      <x:c r="BX37" s="100" t="n"/>
      <x:c r="BY37" s="100" t="n"/>
      <x:c r="BZ37" s="100" t="n"/>
      <x:c r="CA37" s="100" t="n"/>
      <x:c r="CB37" s="100" t="n"/>
      <x:c r="CC37" s="100" t="n"/>
      <x:c r="CD37" s="100" t="n"/>
      <x:c r="CE37" s="100" t="n"/>
      <x:c r="CF37" s="100" t="n"/>
      <x:c r="CG37" s="100" t="n"/>
      <x:c r="CH37" s="100" t="n"/>
      <x:c r="CI37" s="100" t="n"/>
      <x:c r="CJ37" s="100" t="n"/>
      <x:c r="CK37" s="100" t="n"/>
      <x:c r="CL37" s="100" t="n"/>
      <x:c r="CM37" s="100" t="n"/>
      <x:c r="CN37" s="100" t="n"/>
      <x:c r="CO37" s="100" t="n"/>
      <x:c r="CP37" s="100" t="n"/>
      <x:c r="CQ37" s="100" t="n"/>
      <x:c r="CR37" s="100" t="n"/>
      <x:c r="CS37" s="100" t="n"/>
      <x:c r="CT37" s="100" t="n"/>
      <x:c r="CU37" s="100" t="n"/>
      <x:c r="CV37" s="100" t="n"/>
      <x:c r="CW37" s="100" t="n"/>
      <x:c r="CX37" s="100" t="n"/>
      <x:c r="CY37" s="100" t="n"/>
      <x:c r="CZ37" s="100" t="n"/>
      <x:c r="DA37" s="100" t="n"/>
      <x:c r="DB37" s="100" t="n"/>
      <x:c r="DC37" s="100" t="n"/>
      <x:c r="DD37" s="100" t="n"/>
      <x:c r="DE37" s="100" t="n"/>
      <x:c r="DF37" s="100" t="n"/>
      <x:c r="DG37" s="100" t="n"/>
      <x:c r="DH37" s="100" t="n"/>
      <x:c r="DI37" s="100" t="n"/>
      <x:c r="DJ37" s="100" t="n"/>
      <x:c r="DK37" s="100" t="n"/>
      <x:c r="DL37" s="100" t="n"/>
      <x:c r="DM37" s="100" t="n"/>
      <x:c r="DN37" s="100" t="n"/>
      <x:c r="DO37" s="100" t="n"/>
      <x:c r="DP37" s="100" t="n"/>
      <x:c r="DQ37" s="100" t="n"/>
      <x:c r="DR37" s="100" t="n"/>
      <x:c r="DS37" s="100" t="n"/>
      <x:c r="DT37" s="100" t="n"/>
      <x:c r="DU37" s="100" t="n"/>
      <x:c r="DV37" s="100" t="n"/>
      <x:c r="DW37" s="100" t="n"/>
      <x:c r="DX37" s="100" t="n"/>
      <x:c r="DY37" s="100" t="n"/>
      <x:c r="DZ37" s="100" t="n"/>
      <x:c r="EA37" s="100" t="n"/>
      <x:c r="EB37" s="100" t="n"/>
      <x:c r="EC37" s="100" t="n"/>
      <x:c r="ED37" s="100" t="n"/>
      <x:c r="EE37" s="100" t="n"/>
      <x:c r="EF37" s="100" t="n"/>
      <x:c r="EG37" s="100" t="n"/>
      <x:c r="EH37" s="100" t="n"/>
      <x:c r="EI37" s="100" t="n"/>
      <x:c r="EJ37" s="100" t="n"/>
      <x:c r="EK37" s="100" t="n"/>
      <x:c r="EL37" s="100" t="n"/>
      <x:c r="EM37" s="100" t="n"/>
      <x:c r="EN37" s="100" t="n"/>
      <x:c r="EO37" s="100" t="n"/>
      <x:c r="EP37" s="100" t="n"/>
      <x:c r="EQ37" s="100" t="n"/>
      <x:c r="ER37" s="100" t="n"/>
      <x:c r="ES37" s="100" t="n"/>
      <x:c r="ET37" s="100" t="n"/>
      <x:c r="EU37" s="100" t="n"/>
      <x:c r="EV37" s="100" t="n"/>
      <x:c r="EW37" s="100" t="n"/>
      <x:c r="EX37" s="100" t="n"/>
      <x:c r="EY37" s="100" t="n"/>
      <x:c r="EZ37" s="100" t="n"/>
      <x:c r="FA37" s="100" t="n"/>
      <x:c r="FB37" s="100" t="n"/>
      <x:c r="FC37" s="100" t="n"/>
      <x:c r="FD37" s="100" t="n"/>
      <x:c r="FE37" s="100" t="n"/>
      <x:c r="FF37" s="100" t="n"/>
      <x:c r="FG37" s="100" t="n"/>
      <x:c r="FH37" s="100" t="n"/>
      <x:c r="FI37" s="100" t="n"/>
      <x:c r="FJ37" s="100" t="n"/>
      <x:c r="FK37" s="100" t="n"/>
      <x:c r="FL37" s="100" t="n"/>
      <x:c r="FM37" s="100" t="n"/>
      <x:c r="FN37" s="100" t="n"/>
      <x:c r="FO37" s="100" t="n"/>
      <x:c r="FP37" s="100" t="n"/>
      <x:c r="FQ37" s="100" t="n"/>
      <x:c r="FR37" s="100" t="n"/>
      <x:c r="FS37" s="100" t="n"/>
      <x:c r="FT37" s="100" t="n"/>
      <x:c r="FU37" s="100" t="n"/>
      <x:c r="FV37" s="100" t="n"/>
      <x:c r="FW37" s="100" t="n"/>
      <x:c r="FX37" s="100" t="n"/>
      <x:c r="FY37" s="100" t="n"/>
      <x:c r="FZ37" s="100" t="n"/>
      <x:c r="GA37" s="100" t="n"/>
      <x:c r="GB37" s="100" t="n"/>
      <x:c r="GC37" s="100" t="n"/>
      <x:c r="GD37" s="100" t="n"/>
      <x:c r="GE37" s="100" t="n"/>
    </x:row>
    <x:row r="38" s="27" customFormat="1" ht="24" customHeight="1">
      <x:c r="A38" s="125" t="n"/>
      <x:c r="B38" s="39" t="n"/>
      <x:c r="C38" s="36" t="n">
        <x:f>E38*D$5</x:f>
        <x:v>-0.769230769230768</x:v>
      </x:c>
      <x:c r="D38" s="421" t="inlineStr">
        <x:is>
          <x:t xml:space="preserve">Liberty National Bank &amp; Trust Company, Trustee of C. W. Hall, Deceased</x:t>
        </x:is>
      </x:c>
      <x:c r="E38" s="411" t="n">
        <x:f>SUM(G38:HT38)</x:f>
        <x:v>-0.0192307692307692</x:v>
      </x:c>
      <x:c r="F38" s="35" t="inlineStr">
        <x:is>
          <x:t xml:space="preserve"/>
        </x:is>
      </x:c>
      <x:c r="G38" s="121" t="n"/>
      <x:c r="H38" s="121" t="n"/>
      <x:c r="I38" s="121" t="n"/>
      <x:c r="J38" s="121" t="n"/>
      <x:c r="K38" s="121" t="n"/>
      <x:c r="L38" s="121" t="n"/>
      <x:c r="M38" s="121" t="n"/>
      <x:c r="N38" s="121" t="n"/>
      <x:c r="O38" s="121" t="n"/>
      <x:c r="P38" s="121" t="n"/>
      <x:c r="Q38" s="123" t="n"/>
      <x:c r="R38" s="123" t="n"/>
      <x:c r="S38" s="121" t="n"/>
      <x:c r="T38" s="121" t="n"/>
      <x:c r="U38" s="121" t="n"/>
      <x:c r="V38" s="121" t="n"/>
      <x:c r="W38" s="121" t="n">
        <x:v>-0.0192307692307692</x:v>
      </x:c>
      <x:c r="X38" s="121" t="n"/>
      <x:c r="Y38" s="121" t="n"/>
      <x:c r="Z38" s="121" t="n"/>
      <x:c r="AA38" s="121" t="n"/>
      <x:c r="AB38" s="121" t="n"/>
      <x:c r="AC38" s="121" t="n"/>
      <x:c r="AD38" s="121" t="n"/>
      <x:c r="AE38" s="123" t="n"/>
      <x:c r="AF38" s="124" t="n"/>
      <x:c r="AG38" s="124" t="n"/>
      <x:c r="AH38" s="123" t="n"/>
      <x:c r="AI38" s="123" t="n"/>
      <x:c r="AJ38" s="124" t="n"/>
      <x:c r="AK38" s="121" t="n"/>
      <x:c r="AL38" s="121" t="n"/>
      <x:c r="AM38" s="121" t="n"/>
      <x:c r="AN38" s="124" t="n"/>
      <x:c r="AO38" s="121" t="n"/>
      <x:c r="AP38" s="121" t="n"/>
      <x:c r="AQ38" s="28" t="n"/>
      <x:c r="AR38" s="28" t="n"/>
      <x:c r="AS38" s="28" t="n"/>
    </x:row>
    <x:row r="39" s="27" customFormat="1">
      <x:c r="A39" s="125" t="n"/>
      <x:c r="B39" s="39" t="n"/>
      <x:c r="C39" s="36" t="n">
        <x:f>E39*D$5</x:f>
        <x:v>0.576923076923076</x:v>
      </x:c>
      <x:c r="D39" s="103" t="inlineStr">
        <x:is>
          <x:t xml:space="preserve">Darlene Hall Cox</x:t>
        </x:is>
      </x:c>
      <x:c r="E39" s="36" t="n">
        <x:f>SUM(G39:HH39)</x:f>
        <x:v>0.0144230769230769</x:v>
      </x:c>
      <x:c r="F39" s="35" t="inlineStr">
        <x:is>
          <x:t xml:space="preserve"/>
        </x:is>
      </x:c>
      <x:c r="G39" s="121" t="n"/>
      <x:c r="H39" s="122" t="n"/>
      <x:c r="I39" s="122" t="n"/>
      <x:c r="J39" s="122" t="n"/>
      <x:c r="K39" s="122" t="n"/>
      <x:c r="L39" s="123" t="n"/>
      <x:c r="M39" s="123" t="n"/>
      <x:c r="N39" s="123" t="n"/>
      <x:c r="O39" s="123" t="n"/>
      <x:c r="P39" s="123" t="n"/>
      <x:c r="Q39" s="123" t="n"/>
      <x:c r="R39" s="123" t="n"/>
      <x:c r="S39" s="123" t="n"/>
      <x:c r="T39" s="123" t="n"/>
      <x:c r="U39" s="123" t="n"/>
      <x:c r="V39" s="123" t="n"/>
      <x:c r="W39" s="123" t="n">
        <x:v>0.0144230769230769</x:v>
      </x:c>
      <x:c r="X39" s="123" t="n"/>
      <x:c r="Y39" s="123" t="n"/>
      <x:c r="Z39" s="123" t="n"/>
      <x:c r="AA39" s="123" t="n"/>
      <x:c r="AB39" s="123" t="n"/>
      <x:c r="AC39" s="123" t="n"/>
      <x:c r="AD39" s="123" t="n"/>
      <x:c r="AE39" s="123" t="n"/>
      <x:c r="AF39" s="124" t="n"/>
      <x:c r="AG39" s="124" t="n"/>
      <x:c r="AH39" s="124" t="n"/>
      <x:c r="AI39" s="123" t="n"/>
      <x:c r="AJ39" s="123" t="n"/>
      <x:c r="AK39" s="123" t="n"/>
      <x:c r="AL39" s="123" t="n"/>
      <x:c r="AM39" s="123" t="n"/>
      <x:c r="AN39" s="123" t="n"/>
      <x:c r="AO39" s="123" t="n"/>
      <x:c r="AP39" s="123" t="n"/>
      <x:c r="AQ39" s="100" t="n"/>
      <x:c r="AR39" s="100" t="n"/>
      <x:c r="AS39" s="100" t="n"/>
      <x:c r="AT39" s="100" t="n"/>
      <x:c r="AU39" s="100" t="n"/>
      <x:c r="AV39" s="100" t="n"/>
      <x:c r="AW39" s="100" t="n"/>
      <x:c r="AX39" s="100" t="n"/>
      <x:c r="AY39" s="100" t="n"/>
      <x:c r="AZ39" s="100" t="n"/>
      <x:c r="BA39" s="100" t="n"/>
      <x:c r="BB39" s="100" t="n"/>
      <x:c r="BC39" s="100" t="n"/>
      <x:c r="BD39" s="100" t="n"/>
      <x:c r="BE39" s="100" t="n"/>
      <x:c r="BF39" s="100" t="n"/>
      <x:c r="BG39" s="100" t="n"/>
      <x:c r="BH39" s="100" t="n"/>
      <x:c r="BI39" s="100" t="n"/>
      <x:c r="BJ39" s="100" t="n"/>
      <x:c r="BK39" s="100" t="n"/>
      <x:c r="BL39" s="100" t="n"/>
      <x:c r="BM39" s="100" t="n"/>
      <x:c r="BN39" s="100" t="n"/>
      <x:c r="BO39" s="100" t="n"/>
      <x:c r="BP39" s="100" t="n"/>
      <x:c r="BQ39" s="100" t="n"/>
      <x:c r="BR39" s="100" t="n"/>
      <x:c r="BS39" s="100" t="n"/>
      <x:c r="BT39" s="100" t="n"/>
      <x:c r="BU39" s="100" t="n"/>
      <x:c r="BV39" s="100" t="n"/>
      <x:c r="BW39" s="100" t="n"/>
      <x:c r="BX39" s="100" t="n"/>
      <x:c r="BY39" s="100" t="n"/>
      <x:c r="BZ39" s="100" t="n"/>
      <x:c r="CA39" s="100" t="n"/>
      <x:c r="CB39" s="100" t="n"/>
      <x:c r="CC39" s="100" t="n"/>
      <x:c r="CD39" s="100" t="n"/>
      <x:c r="CE39" s="100" t="n"/>
      <x:c r="CF39" s="100" t="n"/>
      <x:c r="CG39" s="100" t="n"/>
      <x:c r="CH39" s="100" t="n"/>
      <x:c r="CI39" s="100" t="n"/>
      <x:c r="CJ39" s="100" t="n"/>
      <x:c r="CK39" s="100" t="n"/>
      <x:c r="CL39" s="100" t="n"/>
      <x:c r="CM39" s="100" t="n"/>
      <x:c r="CN39" s="100" t="n"/>
      <x:c r="CO39" s="100" t="n"/>
      <x:c r="CP39" s="100" t="n"/>
      <x:c r="CQ39" s="100" t="n"/>
      <x:c r="CR39" s="100" t="n"/>
      <x:c r="CS39" s="100" t="n"/>
      <x:c r="CT39" s="100" t="n"/>
      <x:c r="CU39" s="100" t="n"/>
      <x:c r="CV39" s="100" t="n"/>
      <x:c r="CW39" s="100" t="n"/>
      <x:c r="CX39" s="100" t="n"/>
      <x:c r="CY39" s="100" t="n"/>
      <x:c r="CZ39" s="100" t="n"/>
      <x:c r="DA39" s="100" t="n"/>
      <x:c r="DB39" s="100" t="n"/>
      <x:c r="DC39" s="100" t="n"/>
      <x:c r="DD39" s="100" t="n"/>
      <x:c r="DE39" s="100" t="n"/>
      <x:c r="DF39" s="100" t="n"/>
      <x:c r="DG39" s="100" t="n"/>
      <x:c r="DH39" s="100" t="n"/>
      <x:c r="DI39" s="100" t="n"/>
      <x:c r="DJ39" s="100" t="n"/>
      <x:c r="DK39" s="100" t="n"/>
      <x:c r="DL39" s="100" t="n"/>
      <x:c r="DM39" s="100" t="n"/>
      <x:c r="DN39" s="100" t="n"/>
      <x:c r="DO39" s="100" t="n"/>
      <x:c r="DP39" s="100" t="n"/>
      <x:c r="DQ39" s="100" t="n"/>
      <x:c r="DR39" s="100" t="n"/>
      <x:c r="DS39" s="100" t="n"/>
      <x:c r="DT39" s="100" t="n"/>
      <x:c r="DU39" s="100" t="n"/>
      <x:c r="DV39" s="100" t="n"/>
      <x:c r="DW39" s="100" t="n"/>
      <x:c r="DX39" s="100" t="n"/>
      <x:c r="DY39" s="100" t="n"/>
      <x:c r="DZ39" s="100" t="n"/>
      <x:c r="EA39" s="100" t="n"/>
      <x:c r="EB39" s="100" t="n"/>
      <x:c r="EC39" s="100" t="n"/>
      <x:c r="ED39" s="100" t="n"/>
      <x:c r="EE39" s="100" t="n"/>
      <x:c r="EF39" s="100" t="n"/>
      <x:c r="EG39" s="100" t="n"/>
      <x:c r="EH39" s="100" t="n"/>
      <x:c r="EI39" s="100" t="n"/>
      <x:c r="EJ39" s="100" t="n"/>
      <x:c r="EK39" s="100" t="n"/>
      <x:c r="EL39" s="100" t="n"/>
      <x:c r="EM39" s="100" t="n"/>
      <x:c r="EN39" s="100" t="n"/>
      <x:c r="EO39" s="100" t="n"/>
      <x:c r="EP39" s="100" t="n"/>
      <x:c r="EQ39" s="100" t="n"/>
      <x:c r="ER39" s="100" t="n"/>
      <x:c r="ES39" s="100" t="n"/>
      <x:c r="ET39" s="100" t="n"/>
      <x:c r="EU39" s="100" t="n"/>
      <x:c r="EV39" s="100" t="n"/>
      <x:c r="EW39" s="100" t="n"/>
      <x:c r="EX39" s="100" t="n"/>
      <x:c r="EY39" s="100" t="n"/>
      <x:c r="EZ39" s="100" t="n"/>
      <x:c r="FA39" s="100" t="n"/>
      <x:c r="FB39" s="100" t="n"/>
      <x:c r="FC39" s="100" t="n"/>
      <x:c r="FD39" s="100" t="n"/>
      <x:c r="FE39" s="100" t="n"/>
      <x:c r="FF39" s="100" t="n"/>
      <x:c r="FG39" s="100" t="n"/>
      <x:c r="FH39" s="100" t="n"/>
      <x:c r="FI39" s="100" t="n"/>
      <x:c r="FJ39" s="100" t="n"/>
      <x:c r="FK39" s="100" t="n"/>
      <x:c r="FL39" s="100" t="n"/>
      <x:c r="FM39" s="100" t="n"/>
      <x:c r="FN39" s="100" t="n"/>
    </x:row>
    <x:row r="40" s="27" customFormat="1">
      <x:c r="A40" s="125" t="n"/>
      <x:c r="B40" s="39" t="n"/>
      <x:c r="C40" s="86" t="n">
        <x:f>E40*D$5</x:f>
        <x:v>0.192307692307692</x:v>
      </x:c>
      <x:c r="D40" s="103" t="inlineStr">
        <x:is>
          <x:t xml:space="preserve">Sunya Lee Westkaemper</x:t>
        </x:is>
      </x:c>
      <x:c r="E40" s="86" t="n">
        <x:f>SUM(G40:HH40)</x:f>
        <x:v>0.0048076923076923</x:v>
      </x:c>
      <x:c r="F40" s="35" t="inlineStr">
        <x:is>
          <x:t xml:space="preserve"/>
        </x:is>
      </x:c>
      <x:c r="G40" s="121" t="n"/>
      <x:c r="H40" s="122" t="n"/>
      <x:c r="I40" s="122" t="n"/>
      <x:c r="J40" s="122" t="n"/>
      <x:c r="K40" s="122" t="n"/>
      <x:c r="L40" s="123" t="n"/>
      <x:c r="M40" s="123" t="n"/>
      <x:c r="N40" s="123" t="n"/>
      <x:c r="O40" s="123" t="n"/>
      <x:c r="P40" s="123" t="n"/>
      <x:c r="Q40" s="123" t="n"/>
      <x:c r="R40" s="123" t="n"/>
      <x:c r="S40" s="123" t="n"/>
      <x:c r="T40" s="123" t="n"/>
      <x:c r="U40" s="123" t="n"/>
      <x:c r="V40" s="123" t="n"/>
      <x:c r="W40" s="123" t="n">
        <x:v>0.0048076923076923</x:v>
      </x:c>
      <x:c r="X40" s="123" t="n"/>
      <x:c r="Y40" s="123" t="n"/>
      <x:c r="Z40" s="123" t="n"/>
      <x:c r="AA40" s="123" t="n"/>
      <x:c r="AB40" s="123" t="n"/>
      <x:c r="AC40" s="123" t="n"/>
      <x:c r="AD40" s="123" t="n"/>
      <x:c r="AE40" s="123" t="n"/>
      <x:c r="AF40" s="123" t="n"/>
      <x:c r="AG40" s="124" t="n"/>
      <x:c r="AH40" s="123" t="n"/>
      <x:c r="AI40" s="123" t="n"/>
      <x:c r="AJ40" s="124" t="n"/>
      <x:c r="AK40" s="123" t="n"/>
      <x:c r="AL40" s="123" t="n"/>
      <x:c r="AM40" s="123" t="n"/>
      <x:c r="AN40" s="123" t="n"/>
      <x:c r="AO40" s="123" t="n"/>
      <x:c r="AP40" s="123" t="n"/>
      <x:c r="AQ40" s="100" t="n"/>
      <x:c r="AR40" s="100" t="n"/>
      <x:c r="AS40" s="100" t="n"/>
      <x:c r="AT40" s="100" t="n"/>
      <x:c r="AU40" s="100" t="n"/>
      <x:c r="AV40" s="100" t="n"/>
      <x:c r="AW40" s="100" t="n"/>
      <x:c r="AX40" s="100" t="n"/>
      <x:c r="AY40" s="100" t="n"/>
      <x:c r="AZ40" s="100" t="n"/>
      <x:c r="BA40" s="100" t="n"/>
      <x:c r="BB40" s="100" t="n"/>
      <x:c r="BC40" s="100" t="n"/>
      <x:c r="BD40" s="100" t="n"/>
      <x:c r="BE40" s="100" t="n"/>
      <x:c r="BF40" s="100" t="n"/>
      <x:c r="BG40" s="100" t="n"/>
      <x:c r="BH40" s="100" t="n"/>
      <x:c r="BI40" s="100" t="n"/>
      <x:c r="BJ40" s="100" t="n"/>
      <x:c r="BK40" s="100" t="n"/>
      <x:c r="BL40" s="100" t="n"/>
      <x:c r="BM40" s="100" t="n"/>
      <x:c r="BN40" s="100" t="n"/>
      <x:c r="BO40" s="100" t="n"/>
      <x:c r="BP40" s="100" t="n"/>
      <x:c r="BQ40" s="100" t="n"/>
      <x:c r="BR40" s="100" t="n"/>
      <x:c r="BS40" s="100" t="n"/>
      <x:c r="BT40" s="100" t="n"/>
      <x:c r="BU40" s="100" t="n"/>
      <x:c r="BV40" s="100" t="n"/>
      <x:c r="BW40" s="100" t="n"/>
      <x:c r="BX40" s="100" t="n"/>
      <x:c r="BY40" s="100" t="n"/>
      <x:c r="BZ40" s="100" t="n"/>
      <x:c r="CA40" s="100" t="n"/>
      <x:c r="CB40" s="100" t="n"/>
      <x:c r="CC40" s="100" t="n"/>
      <x:c r="CD40" s="100" t="n"/>
      <x:c r="CE40" s="100" t="n"/>
      <x:c r="CF40" s="100" t="n"/>
      <x:c r="CG40" s="100" t="n"/>
      <x:c r="CH40" s="100" t="n"/>
      <x:c r="CI40" s="100" t="n"/>
      <x:c r="CJ40" s="100" t="n"/>
      <x:c r="CK40" s="100" t="n"/>
      <x:c r="CL40" s="100" t="n"/>
      <x:c r="CM40" s="100" t="n"/>
      <x:c r="CN40" s="100" t="n"/>
      <x:c r="CO40" s="100" t="n"/>
      <x:c r="CP40" s="100" t="n"/>
      <x:c r="CQ40" s="100" t="n"/>
      <x:c r="CR40" s="100" t="n"/>
      <x:c r="CS40" s="100" t="n"/>
      <x:c r="CT40" s="100" t="n"/>
      <x:c r="CU40" s="100" t="n"/>
      <x:c r="CV40" s="100" t="n"/>
      <x:c r="CW40" s="100" t="n"/>
      <x:c r="CX40" s="100" t="n"/>
      <x:c r="CY40" s="100" t="n"/>
      <x:c r="CZ40" s="100" t="n"/>
      <x:c r="DA40" s="100" t="n"/>
      <x:c r="DB40" s="100" t="n"/>
      <x:c r="DC40" s="100" t="n"/>
      <x:c r="DD40" s="100" t="n"/>
      <x:c r="DE40" s="100" t="n"/>
      <x:c r="DF40" s="100" t="n"/>
      <x:c r="DG40" s="100" t="n"/>
      <x:c r="DH40" s="100" t="n"/>
      <x:c r="DI40" s="100" t="n"/>
      <x:c r="DJ40" s="100" t="n"/>
      <x:c r="DK40" s="100" t="n"/>
      <x:c r="DL40" s="100" t="n"/>
      <x:c r="DM40" s="100" t="n"/>
      <x:c r="DN40" s="100" t="n"/>
      <x:c r="DO40" s="100" t="n"/>
      <x:c r="DP40" s="100" t="n"/>
      <x:c r="DQ40" s="100" t="n"/>
      <x:c r="DR40" s="100" t="n"/>
      <x:c r="DS40" s="100" t="n"/>
      <x:c r="DT40" s="100" t="n"/>
      <x:c r="DU40" s="100" t="n"/>
      <x:c r="DV40" s="100" t="n"/>
      <x:c r="DW40" s="100" t="n"/>
      <x:c r="DX40" s="100" t="n"/>
      <x:c r="DY40" s="100" t="n"/>
      <x:c r="DZ40" s="100" t="n"/>
      <x:c r="EA40" s="100" t="n"/>
      <x:c r="EB40" s="100" t="n"/>
      <x:c r="EC40" s="100" t="n"/>
      <x:c r="ED40" s="100" t="n"/>
      <x:c r="EE40" s="100" t="n"/>
      <x:c r="EF40" s="100" t="n"/>
      <x:c r="EG40" s="100" t="n"/>
      <x:c r="EH40" s="100" t="n"/>
      <x:c r="EI40" s="100" t="n"/>
      <x:c r="EJ40" s="100" t="n"/>
      <x:c r="EK40" s="100" t="n"/>
      <x:c r="EL40" s="100" t="n"/>
      <x:c r="EM40" s="100" t="n"/>
      <x:c r="EN40" s="100" t="n"/>
      <x:c r="EO40" s="100" t="n"/>
      <x:c r="EP40" s="100" t="n"/>
      <x:c r="EQ40" s="100" t="n"/>
      <x:c r="ER40" s="100" t="n"/>
      <x:c r="ES40" s="100" t="n"/>
      <x:c r="ET40" s="100" t="n"/>
      <x:c r="EU40" s="100" t="n"/>
      <x:c r="EV40" s="100" t="n"/>
      <x:c r="EW40" s="100" t="n"/>
      <x:c r="EX40" s="100" t="n"/>
      <x:c r="EY40" s="100" t="n"/>
      <x:c r="EZ40" s="100" t="n"/>
      <x:c r="FA40" s="100" t="n"/>
      <x:c r="FB40" s="100" t="n"/>
      <x:c r="FC40" s="100" t="n"/>
      <x:c r="FD40" s="100" t="n"/>
      <x:c r="FE40" s="100" t="n"/>
      <x:c r="FF40" s="100" t="n"/>
      <x:c r="FG40" s="100" t="n"/>
      <x:c r="FH40" s="100" t="n"/>
      <x:c r="FI40" s="100" t="n"/>
      <x:c r="FJ40" s="100" t="n"/>
      <x:c r="FK40" s="100" t="n"/>
      <x:c r="FL40" s="100" t="n"/>
      <x:c r="FM40" s="100" t="n"/>
      <x:c r="FN40" s="100" t="n"/>
    </x:row>
    <x:row r="41" s="27" customFormat="1">
      <x:c r="A41" s="125" t="n"/>
      <x:c r="B41" s="39" t="n"/>
      <x:c r="C41" s="36" t="n">
        <x:f>E41*D$5</x:f>
        <x:v>-6.1538461538461595</x:v>
      </x:c>
      <x:c r="D41" s="421" t="inlineStr">
        <x:is>
          <x:t xml:space="preserve">Mann Childrens Trust, by Walter J. Rusek, Trustee</x:t>
        </x:is>
      </x:c>
      <x:c r="E41" s="411" t="n">
        <x:f>SUM(G41:HH41)</x:f>
        <x:v>-0.153846153846154</x:v>
      </x:c>
      <x:c r="F41" s="35" t="inlineStr">
        <x:is>
          <x:t xml:space="preserve"/>
        </x:is>
      </x:c>
      <x:c r="G41" s="121" t="n"/>
      <x:c r="H41" s="122" t="n"/>
      <x:c r="I41" s="122" t="n"/>
      <x:c r="J41" s="122" t="n"/>
      <x:c r="K41" s="122" t="n"/>
      <x:c r="L41" s="123" t="n"/>
      <x:c r="M41" s="123" t="n"/>
      <x:c r="N41" s="123" t="n"/>
      <x:c r="O41" s="123" t="n"/>
      <x:c r="P41" s="123" t="n"/>
      <x:c r="Q41" s="123" t="n"/>
      <x:c r="R41" s="123" t="n"/>
      <x:c r="S41" s="123" t="n"/>
      <x:c r="T41" s="123" t="n"/>
      <x:c r="U41" s="123" t="n"/>
      <x:c r="V41" s="123" t="n"/>
      <x:c r="W41" s="123" t="n"/>
      <x:c r="X41" s="123" t="n">
        <x:v>-0.153846153846154</x:v>
      </x:c>
      <x:c r="Y41" s="123" t="n"/>
      <x:c r="Z41" s="123" t="n"/>
      <x:c r="AA41" s="123" t="n"/>
      <x:c r="AB41" s="123" t="n"/>
      <x:c r="AC41" s="123" t="n"/>
      <x:c r="AD41" s="123" t="n"/>
      <x:c r="AE41" s="123" t="n"/>
      <x:c r="AF41" s="123" t="n"/>
      <x:c r="AG41" s="123" t="n"/>
      <x:c r="AH41" s="124" t="n"/>
      <x:c r="AI41" s="124" t="n"/>
      <x:c r="AJ41" s="123" t="n"/>
      <x:c r="AK41" s="123" t="n"/>
      <x:c r="AL41" s="123" t="n"/>
      <x:c r="AM41" s="123" t="n"/>
      <x:c r="AN41" s="123" t="n"/>
      <x:c r="AO41" s="123" t="n"/>
      <x:c r="AP41" s="123" t="n"/>
      <x:c r="AQ41" s="100" t="n"/>
      <x:c r="AR41" s="100" t="n"/>
      <x:c r="AS41" s="100" t="n"/>
      <x:c r="AT41" s="100" t="n"/>
      <x:c r="AU41" s="100" t="n"/>
      <x:c r="AV41" s="100" t="n"/>
      <x:c r="AW41" s="100" t="n"/>
      <x:c r="AX41" s="100" t="n"/>
      <x:c r="AY41" s="100" t="n"/>
      <x:c r="AZ41" s="100" t="n"/>
      <x:c r="BA41" s="100" t="n"/>
      <x:c r="BB41" s="100" t="n"/>
      <x:c r="BC41" s="100" t="n"/>
      <x:c r="BD41" s="100" t="n"/>
      <x:c r="BE41" s="100" t="n"/>
      <x:c r="BF41" s="100" t="n"/>
      <x:c r="BG41" s="100" t="n"/>
      <x:c r="BH41" s="100" t="n"/>
      <x:c r="BI41" s="100" t="n"/>
      <x:c r="BJ41" s="100" t="n"/>
      <x:c r="BK41" s="100" t="n"/>
      <x:c r="BL41" s="100" t="n"/>
      <x:c r="BM41" s="100" t="n"/>
      <x:c r="BN41" s="100" t="n"/>
      <x:c r="BO41" s="100" t="n"/>
      <x:c r="BP41" s="100" t="n"/>
      <x:c r="BQ41" s="100" t="n"/>
      <x:c r="BR41" s="100" t="n"/>
      <x:c r="BS41" s="100" t="n"/>
      <x:c r="BT41" s="100" t="n"/>
      <x:c r="BU41" s="100" t="n"/>
      <x:c r="BV41" s="100" t="n"/>
      <x:c r="BW41" s="100" t="n"/>
      <x:c r="BX41" s="100" t="n"/>
      <x:c r="BY41" s="100" t="n"/>
      <x:c r="BZ41" s="100" t="n"/>
      <x:c r="CA41" s="100" t="n"/>
      <x:c r="CB41" s="100" t="n"/>
      <x:c r="CC41" s="100" t="n"/>
      <x:c r="CD41" s="100" t="n"/>
      <x:c r="CE41" s="100" t="n"/>
      <x:c r="CF41" s="100" t="n"/>
      <x:c r="CG41" s="100" t="n"/>
      <x:c r="CH41" s="100" t="n"/>
      <x:c r="CI41" s="100" t="n"/>
      <x:c r="CJ41" s="100" t="n"/>
      <x:c r="CK41" s="100" t="n"/>
      <x:c r="CL41" s="100" t="n"/>
      <x:c r="CM41" s="100" t="n"/>
      <x:c r="CN41" s="100" t="n"/>
      <x:c r="CO41" s="100" t="n"/>
      <x:c r="CP41" s="100" t="n"/>
      <x:c r="CQ41" s="100" t="n"/>
      <x:c r="CR41" s="100" t="n"/>
      <x:c r="CS41" s="100" t="n"/>
      <x:c r="CT41" s="100" t="n"/>
      <x:c r="CU41" s="100" t="n"/>
      <x:c r="CV41" s="100" t="n"/>
      <x:c r="CW41" s="100" t="n"/>
      <x:c r="CX41" s="100" t="n"/>
      <x:c r="CY41" s="100" t="n"/>
      <x:c r="CZ41" s="100" t="n"/>
      <x:c r="DA41" s="100" t="n"/>
      <x:c r="DB41" s="100" t="n"/>
      <x:c r="DC41" s="100" t="n"/>
      <x:c r="DD41" s="100" t="n"/>
      <x:c r="DE41" s="100" t="n"/>
      <x:c r="DF41" s="100" t="n"/>
      <x:c r="DG41" s="100" t="n"/>
      <x:c r="DH41" s="100" t="n"/>
      <x:c r="DI41" s="100" t="n"/>
      <x:c r="DJ41" s="100" t="n"/>
      <x:c r="DK41" s="100" t="n"/>
      <x:c r="DL41" s="100" t="n"/>
      <x:c r="DM41" s="100" t="n"/>
      <x:c r="DN41" s="100" t="n"/>
      <x:c r="DO41" s="100" t="n"/>
      <x:c r="DP41" s="100" t="n"/>
      <x:c r="DQ41" s="100" t="n"/>
      <x:c r="DR41" s="100" t="n"/>
      <x:c r="DS41" s="100" t="n"/>
      <x:c r="DT41" s="100" t="n"/>
      <x:c r="DU41" s="100" t="n"/>
      <x:c r="DV41" s="100" t="n"/>
      <x:c r="DW41" s="100" t="n"/>
      <x:c r="DX41" s="100" t="n"/>
      <x:c r="DY41" s="100" t="n"/>
      <x:c r="DZ41" s="100" t="n"/>
      <x:c r="EA41" s="100" t="n"/>
      <x:c r="EB41" s="100" t="n"/>
      <x:c r="EC41" s="100" t="n"/>
      <x:c r="ED41" s="100" t="n"/>
      <x:c r="EE41" s="100" t="n"/>
      <x:c r="EF41" s="100" t="n"/>
      <x:c r="EG41" s="100" t="n"/>
      <x:c r="EH41" s="100" t="n"/>
      <x:c r="EI41" s="100" t="n"/>
      <x:c r="EJ41" s="100" t="n"/>
      <x:c r="EK41" s="100" t="n"/>
      <x:c r="EL41" s="100" t="n"/>
      <x:c r="EM41" s="100" t="n"/>
      <x:c r="EN41" s="100" t="n"/>
      <x:c r="EO41" s="100" t="n"/>
      <x:c r="EP41" s="100" t="n"/>
      <x:c r="EQ41" s="100" t="n"/>
      <x:c r="ER41" s="100" t="n"/>
      <x:c r="ES41" s="100" t="n"/>
      <x:c r="ET41" s="100" t="n"/>
      <x:c r="EU41" s="100" t="n"/>
      <x:c r="EV41" s="100" t="n"/>
      <x:c r="EW41" s="100" t="n"/>
      <x:c r="EX41" s="100" t="n"/>
      <x:c r="EY41" s="100" t="n"/>
      <x:c r="EZ41" s="100" t="n"/>
      <x:c r="FA41" s="100" t="n"/>
      <x:c r="FB41" s="100" t="n"/>
      <x:c r="FC41" s="100" t="n"/>
      <x:c r="FD41" s="100" t="n"/>
      <x:c r="FE41" s="100" t="n"/>
      <x:c r="FF41" s="100" t="n"/>
      <x:c r="FG41" s="100" t="n"/>
      <x:c r="FH41" s="100" t="n"/>
      <x:c r="FI41" s="100" t="n"/>
      <x:c r="FJ41" s="100" t="n"/>
      <x:c r="FK41" s="100" t="n"/>
      <x:c r="FL41" s="100" t="n"/>
      <x:c r="FM41" s="100" t="n"/>
      <x:c r="FN41" s="100" t="n"/>
    </x:row>
    <x:row r="42" s="27" customFormat="1">
      <x:c r="A42" s="125" t="n"/>
      <x:c r="B42" s="39" t="n"/>
      <x:c r="C42" s="86" t="n">
        <x:f>E42*D$5</x:f>
        <x:v>5.846153846153852</x:v>
      </x:c>
      <x:c r="D42" s="523" t="inlineStr">
        <x:is>
          <x:t xml:space="preserve">Mann Group Investment Company</x:t>
        </x:is>
      </x:c>
      <x:c r="E42" s="86" t="n">
        <x:f>SUM(G42:HH42)</x:f>
        <x:v>0.1461538461538463</x:v>
      </x:c>
      <x:c r="F42" s="35" t="inlineStr">
        <x:is>
          <x:t xml:space="preserve"/>
        </x:is>
      </x:c>
      <x:c r="G42" s="121" t="n"/>
      <x:c r="H42" s="122" t="n"/>
      <x:c r="I42" s="122" t="n"/>
      <x:c r="J42" s="122" t="n"/>
      <x:c r="K42" s="122" t="n"/>
      <x:c r="L42" s="123" t="n"/>
      <x:c r="M42" s="123" t="n"/>
      <x:c r="N42" s="123" t="n"/>
      <x:c r="O42" s="123" t="n"/>
      <x:c r="P42" s="123" t="n"/>
      <x:c r="Q42" s="123" t="n"/>
      <x:c r="R42" s="123" t="n"/>
      <x:c r="S42" s="124" t="n"/>
      <x:c r="T42" s="124" t="n"/>
      <x:c r="U42" s="123" t="n"/>
      <x:c r="V42" s="123" t="n"/>
      <x:c r="W42" s="123" t="n"/>
      <x:c r="X42" s="123" t="n">
        <x:v>0.153846153846154</x:v>
      </x:c>
      <x:c r="Y42" s="123" t="n"/>
      <x:c r="Z42" s="123" t="n">
        <x:v>-0.00769230769230769</x:v>
      </x:c>
      <x:c r="AA42" s="123" t="n"/>
      <x:c r="AB42" s="123" t="n"/>
      <x:c r="AC42" s="123" t="n"/>
      <x:c r="AD42" s="123" t="n"/>
      <x:c r="AE42" s="123" t="n"/>
      <x:c r="AF42" s="123" t="n"/>
      <x:c r="AG42" s="123" t="n"/>
      <x:c r="AH42" s="123" t="n"/>
      <x:c r="AI42" s="123" t="n"/>
      <x:c r="AJ42" s="124" t="n"/>
      <x:c r="AK42" s="123" t="n"/>
      <x:c r="AL42" s="123" t="n"/>
      <x:c r="AM42" s="123" t="n"/>
      <x:c r="AN42" s="123" t="n"/>
      <x:c r="AO42" s="123" t="n"/>
      <x:c r="AP42" s="123" t="n"/>
      <x:c r="AQ42" s="100" t="n"/>
      <x:c r="AR42" s="100" t="n"/>
      <x:c r="AS42" s="100" t="n"/>
      <x:c r="AT42" s="100" t="n"/>
      <x:c r="AU42" s="100" t="n"/>
      <x:c r="AV42" s="100" t="n"/>
      <x:c r="AW42" s="100" t="n"/>
      <x:c r="AX42" s="100" t="n"/>
      <x:c r="AY42" s="100" t="n"/>
      <x:c r="AZ42" s="100" t="n"/>
      <x:c r="BA42" s="100" t="n"/>
      <x:c r="BB42" s="100" t="n"/>
      <x:c r="BC42" s="100" t="n"/>
      <x:c r="BD42" s="100" t="n"/>
      <x:c r="BE42" s="100" t="n"/>
      <x:c r="BF42" s="100" t="n"/>
      <x:c r="BG42" s="100" t="n"/>
      <x:c r="BH42" s="100" t="n"/>
      <x:c r="BI42" s="100" t="n"/>
      <x:c r="BJ42" s="100" t="n"/>
      <x:c r="BK42" s="100" t="n"/>
      <x:c r="BL42" s="100" t="n"/>
      <x:c r="BM42" s="100" t="n"/>
      <x:c r="BN42" s="100" t="n"/>
      <x:c r="BO42" s="100" t="n"/>
      <x:c r="BP42" s="100" t="n"/>
      <x:c r="BQ42" s="100" t="n"/>
      <x:c r="BR42" s="100" t="n"/>
      <x:c r="BS42" s="100" t="n"/>
      <x:c r="BT42" s="100" t="n"/>
      <x:c r="BU42" s="100" t="n"/>
      <x:c r="BV42" s="100" t="n"/>
      <x:c r="BW42" s="100" t="n"/>
      <x:c r="BX42" s="100" t="n"/>
      <x:c r="BY42" s="100" t="n"/>
      <x:c r="BZ42" s="100" t="n"/>
      <x:c r="CA42" s="100" t="n"/>
      <x:c r="CB42" s="100" t="n"/>
      <x:c r="CC42" s="100" t="n"/>
      <x:c r="CD42" s="100" t="n"/>
      <x:c r="CE42" s="100" t="n"/>
      <x:c r="CF42" s="100" t="n"/>
      <x:c r="CG42" s="100" t="n"/>
      <x:c r="CH42" s="100" t="n"/>
      <x:c r="CI42" s="100" t="n"/>
      <x:c r="CJ42" s="100" t="n"/>
      <x:c r="CK42" s="100" t="n"/>
      <x:c r="CL42" s="100" t="n"/>
      <x:c r="CM42" s="100" t="n"/>
      <x:c r="CN42" s="100" t="n"/>
      <x:c r="CO42" s="100" t="n"/>
      <x:c r="CP42" s="100" t="n"/>
      <x:c r="CQ42" s="100" t="n"/>
      <x:c r="CR42" s="100" t="n"/>
      <x:c r="CS42" s="100" t="n"/>
      <x:c r="CT42" s="100" t="n"/>
      <x:c r="CU42" s="100" t="n"/>
      <x:c r="CV42" s="100" t="n"/>
      <x:c r="CW42" s="100" t="n"/>
      <x:c r="CX42" s="100" t="n"/>
      <x:c r="CY42" s="100" t="n"/>
      <x:c r="CZ42" s="100" t="n"/>
      <x:c r="DA42" s="100" t="n"/>
      <x:c r="DB42" s="100" t="n"/>
      <x:c r="DC42" s="100" t="n"/>
      <x:c r="DD42" s="100" t="n"/>
      <x:c r="DE42" s="100" t="n"/>
      <x:c r="DF42" s="100" t="n"/>
      <x:c r="DG42" s="100" t="n"/>
      <x:c r="DH42" s="100" t="n"/>
      <x:c r="DI42" s="100" t="n"/>
      <x:c r="DJ42" s="100" t="n"/>
      <x:c r="DK42" s="100" t="n"/>
      <x:c r="DL42" s="100" t="n"/>
      <x:c r="DM42" s="100" t="n"/>
      <x:c r="DN42" s="100" t="n"/>
      <x:c r="DO42" s="100" t="n"/>
      <x:c r="DP42" s="100" t="n"/>
      <x:c r="DQ42" s="100" t="n"/>
      <x:c r="DR42" s="100" t="n"/>
      <x:c r="DS42" s="100" t="n"/>
      <x:c r="DT42" s="100" t="n"/>
      <x:c r="DU42" s="100" t="n"/>
      <x:c r="DV42" s="100" t="n"/>
      <x:c r="DW42" s="100" t="n"/>
      <x:c r="DX42" s="100" t="n"/>
      <x:c r="DY42" s="100" t="n"/>
      <x:c r="DZ42" s="100" t="n"/>
      <x:c r="EA42" s="100" t="n"/>
      <x:c r="EB42" s="100" t="n"/>
      <x:c r="EC42" s="100" t="n"/>
      <x:c r="ED42" s="100" t="n"/>
      <x:c r="EE42" s="100" t="n"/>
      <x:c r="EF42" s="100" t="n"/>
      <x:c r="EG42" s="100" t="n"/>
      <x:c r="EH42" s="100" t="n"/>
      <x:c r="EI42" s="100" t="n"/>
      <x:c r="EJ42" s="100" t="n"/>
      <x:c r="EK42" s="100" t="n"/>
      <x:c r="EL42" s="100" t="n"/>
      <x:c r="EM42" s="100" t="n"/>
      <x:c r="EN42" s="100" t="n"/>
      <x:c r="EO42" s="100" t="n"/>
      <x:c r="EP42" s="100" t="n"/>
      <x:c r="EQ42" s="100" t="n"/>
      <x:c r="ER42" s="100" t="n"/>
      <x:c r="ES42" s="100" t="n"/>
      <x:c r="ET42" s="100" t="n"/>
      <x:c r="EU42" s="100" t="n"/>
      <x:c r="EV42" s="100" t="n"/>
      <x:c r="EW42" s="100" t="n"/>
      <x:c r="EX42" s="100" t="n"/>
      <x:c r="EY42" s="100" t="n"/>
      <x:c r="EZ42" s="100" t="n"/>
      <x:c r="FA42" s="100" t="n"/>
      <x:c r="FB42" s="100" t="n"/>
      <x:c r="FC42" s="100" t="n"/>
      <x:c r="FD42" s="100" t="n"/>
      <x:c r="FE42" s="100" t="n"/>
      <x:c r="FF42" s="100" t="n"/>
      <x:c r="FG42" s="100" t="n"/>
      <x:c r="FH42" s="100" t="n"/>
      <x:c r="FI42" s="100" t="n"/>
      <x:c r="FJ42" s="100" t="n"/>
      <x:c r="FK42" s="100" t="n"/>
      <x:c r="FL42" s="100" t="n"/>
      <x:c r="FM42" s="100" t="n"/>
      <x:c r="FN42" s="100" t="n"/>
    </x:row>
    <x:row r="43" s="27" customFormat="1">
      <x:c r="A43" s="125" t="n"/>
      <x:c r="B43" s="39" t="n"/>
      <x:c r="C43" s="86" t="n">
        <x:f>E43*D$5</x:f>
        <x:v>-40</x:v>
      </x:c>
      <x:c r="D43" s="422" t="inlineStr">
        <x:is>
          <x:t xml:space="preserve">Cimarron Mineral Corporation</x:t>
        </x:is>
      </x:c>
      <x:c r="E43" s="413" t="n">
        <x:f>SUM(G43:HH43)</x:f>
        <x:v>-1</x:v>
      </x:c>
      <x:c r="F43" s="35" t="inlineStr">
        <x:is>
          <x:t xml:space="preserve"/>
        </x:is>
      </x:c>
      <x:c r="G43" s="121" t="n"/>
      <x:c r="H43" s="122" t="n"/>
      <x:c r="I43" s="122" t="n"/>
      <x:c r="J43" s="122" t="n"/>
      <x:c r="K43" s="122" t="n"/>
      <x:c r="L43" s="123" t="n"/>
      <x:c r="M43" s="123" t="n"/>
      <x:c r="N43" s="123" t="n"/>
      <x:c r="O43" s="124" t="n"/>
      <x:c r="P43" s="123" t="n"/>
      <x:c r="Q43" s="123" t="n"/>
      <x:c r="R43" s="123" t="n"/>
      <x:c r="S43" s="123" t="n"/>
      <x:c r="T43" s="123" t="n"/>
      <x:c r="U43" s="123" t="n"/>
      <x:c r="V43" s="123" t="n"/>
      <x:c r="W43" s="123" t="n"/>
      <x:c r="X43" s="123" t="n"/>
      <x:c r="Y43" s="123" t="n">
        <x:v>-1</x:v>
      </x:c>
      <x:c r="Z43" s="123" t="n"/>
      <x:c r="AA43" s="123" t="n"/>
      <x:c r="AB43" s="123" t="n"/>
      <x:c r="AC43" s="123" t="n"/>
      <x:c r="AD43" s="123" t="n"/>
      <x:c r="AE43" s="123" t="n"/>
      <x:c r="AF43" s="123" t="n"/>
      <x:c r="AG43" s="123" t="n"/>
      <x:c r="AH43" s="123" t="n"/>
      <x:c r="AI43" s="123" t="n"/>
      <x:c r="AJ43" s="124" t="n"/>
      <x:c r="AK43" s="123" t="n"/>
      <x:c r="AL43" s="123" t="n"/>
      <x:c r="AM43" s="123" t="n"/>
      <x:c r="AN43" s="123" t="n"/>
      <x:c r="AO43" s="123" t="n"/>
      <x:c r="AP43" s="123" t="n"/>
      <x:c r="AQ43" s="100" t="n"/>
      <x:c r="AR43" s="100" t="n"/>
      <x:c r="AS43" s="100" t="n"/>
      <x:c r="AT43" s="100" t="n"/>
      <x:c r="AU43" s="100" t="n"/>
      <x:c r="AV43" s="100" t="n"/>
      <x:c r="AW43" s="100" t="n"/>
      <x:c r="AX43" s="100" t="n"/>
      <x:c r="AY43" s="100" t="n"/>
      <x:c r="AZ43" s="100" t="n"/>
      <x:c r="BA43" s="100" t="n"/>
      <x:c r="BB43" s="100" t="n"/>
      <x:c r="BC43" s="100" t="n"/>
      <x:c r="BD43" s="100" t="n"/>
      <x:c r="BE43" s="100" t="n"/>
      <x:c r="BF43" s="100" t="n"/>
      <x:c r="BG43" s="100" t="n"/>
      <x:c r="BH43" s="100" t="n"/>
      <x:c r="BI43" s="100" t="n"/>
      <x:c r="BJ43" s="100" t="n"/>
      <x:c r="BK43" s="100" t="n"/>
      <x:c r="BL43" s="100" t="n"/>
      <x:c r="BM43" s="100" t="n"/>
      <x:c r="BN43" s="100" t="n"/>
      <x:c r="BO43" s="100" t="n"/>
      <x:c r="BP43" s="100" t="n"/>
      <x:c r="BQ43" s="100" t="n"/>
      <x:c r="BR43" s="100" t="n"/>
      <x:c r="BS43" s="100" t="n"/>
      <x:c r="BT43" s="100" t="n"/>
      <x:c r="BU43" s="100" t="n"/>
      <x:c r="BV43" s="100" t="n"/>
      <x:c r="BW43" s="100" t="n"/>
      <x:c r="BX43" s="100" t="n"/>
      <x:c r="BY43" s="100" t="n"/>
      <x:c r="BZ43" s="100" t="n"/>
      <x:c r="CA43" s="100" t="n"/>
      <x:c r="CB43" s="100" t="n"/>
      <x:c r="CC43" s="100" t="n"/>
      <x:c r="CD43" s="100" t="n"/>
      <x:c r="CE43" s="100" t="n"/>
      <x:c r="CF43" s="100" t="n"/>
      <x:c r="CG43" s="100" t="n"/>
      <x:c r="CH43" s="100" t="n"/>
      <x:c r="CI43" s="100" t="n"/>
      <x:c r="CJ43" s="100" t="n"/>
      <x:c r="CK43" s="100" t="n"/>
      <x:c r="CL43" s="100" t="n"/>
      <x:c r="CM43" s="100" t="n"/>
      <x:c r="CN43" s="100" t="n"/>
      <x:c r="CO43" s="100" t="n"/>
      <x:c r="CP43" s="100" t="n"/>
      <x:c r="CQ43" s="100" t="n"/>
      <x:c r="CR43" s="100" t="n"/>
      <x:c r="CS43" s="100" t="n"/>
      <x:c r="CT43" s="100" t="n"/>
      <x:c r="CU43" s="100" t="n"/>
      <x:c r="CV43" s="100" t="n"/>
      <x:c r="CW43" s="100" t="n"/>
      <x:c r="CX43" s="100" t="n"/>
      <x:c r="CY43" s="100" t="n"/>
      <x:c r="CZ43" s="100" t="n"/>
      <x:c r="DA43" s="100" t="n"/>
      <x:c r="DB43" s="100" t="n"/>
      <x:c r="DC43" s="100" t="n"/>
      <x:c r="DD43" s="100" t="n"/>
      <x:c r="DE43" s="100" t="n"/>
      <x:c r="DF43" s="100" t="n"/>
      <x:c r="DG43" s="100" t="n"/>
      <x:c r="DH43" s="100" t="n"/>
      <x:c r="DI43" s="100" t="n"/>
      <x:c r="DJ43" s="100" t="n"/>
      <x:c r="DK43" s="100" t="n"/>
      <x:c r="DL43" s="100" t="n"/>
      <x:c r="DM43" s="100" t="n"/>
      <x:c r="DN43" s="100" t="n"/>
      <x:c r="DO43" s="100" t="n"/>
      <x:c r="DP43" s="100" t="n"/>
      <x:c r="DQ43" s="100" t="n"/>
      <x:c r="DR43" s="100" t="n"/>
      <x:c r="DS43" s="100" t="n"/>
      <x:c r="DT43" s="100" t="n"/>
      <x:c r="DU43" s="100" t="n"/>
      <x:c r="DV43" s="100" t="n"/>
      <x:c r="DW43" s="100" t="n"/>
      <x:c r="DX43" s="100" t="n"/>
      <x:c r="DY43" s="100" t="n"/>
      <x:c r="DZ43" s="100" t="n"/>
      <x:c r="EA43" s="100" t="n"/>
      <x:c r="EB43" s="100" t="n"/>
      <x:c r="EC43" s="100" t="n"/>
      <x:c r="ED43" s="100" t="n"/>
      <x:c r="EE43" s="100" t="n"/>
      <x:c r="EF43" s="100" t="n"/>
      <x:c r="EG43" s="100" t="n"/>
      <x:c r="EH43" s="100" t="n"/>
      <x:c r="EI43" s="100" t="n"/>
      <x:c r="EJ43" s="100" t="n"/>
      <x:c r="EK43" s="100" t="n"/>
      <x:c r="EL43" s="100" t="n"/>
      <x:c r="EM43" s="100" t="n"/>
      <x:c r="EN43" s="100" t="n"/>
      <x:c r="EO43" s="100" t="n"/>
      <x:c r="EP43" s="100" t="n"/>
      <x:c r="EQ43" s="100" t="n"/>
      <x:c r="ER43" s="100" t="n"/>
      <x:c r="ES43" s="100" t="n"/>
      <x:c r="ET43" s="100" t="n"/>
      <x:c r="EU43" s="100" t="n"/>
      <x:c r="EV43" s="100" t="n"/>
      <x:c r="EW43" s="100" t="n"/>
      <x:c r="EX43" s="100" t="n"/>
      <x:c r="EY43" s="100" t="n"/>
      <x:c r="EZ43" s="100" t="n"/>
      <x:c r="FA43" s="100" t="n"/>
      <x:c r="FB43" s="100" t="n"/>
      <x:c r="FC43" s="100" t="n"/>
      <x:c r="FD43" s="100" t="n"/>
      <x:c r="FE43" s="100" t="n"/>
      <x:c r="FF43" s="100" t="n"/>
      <x:c r="FG43" s="100" t="n"/>
      <x:c r="FH43" s="100" t="n"/>
      <x:c r="FI43" s="100" t="n"/>
      <x:c r="FJ43" s="100" t="n"/>
      <x:c r="FK43" s="100" t="n"/>
      <x:c r="FL43" s="100" t="n"/>
      <x:c r="FM43" s="100" t="n"/>
      <x:c r="FN43" s="100" t="n"/>
    </x:row>
    <x:row r="44" s="27" customFormat="1" ht="12" customHeight="1">
      <x:c r="A44" s="125" t="n"/>
      <x:c r="B44" s="39" t="n"/>
      <x:c r="C44" s="86" t="n">
        <x:f>E44*D$5</x:f>
        <x:v>0</x:v>
      </x:c>
      <x:c r="D44" s="4" t="inlineStr">
        <x:is>
          <x:t xml:space="preserve">Inter-American Corporation</x:t>
        </x:is>
      </x:c>
      <x:c r="E44" s="86" t="n">
        <x:f>SUM(G44:HT44)</x:f>
        <x:v>0</x:v>
      </x:c>
      <x:c r="F44" s="35" t="inlineStr">
        <x:is>
          <x:t xml:space="preserve"/>
        </x:is>
      </x:c>
      <x:c r="G44" s="121" t="n"/>
      <x:c r="H44" s="121" t="n"/>
      <x:c r="I44" s="121" t="n"/>
      <x:c r="J44" s="121" t="n"/>
      <x:c r="K44" s="121" t="n"/>
      <x:c r="L44" s="121" t="n"/>
      <x:c r="M44" s="121" t="n"/>
      <x:c r="N44" s="121" t="n"/>
      <x:c r="O44" s="121" t="n"/>
      <x:c r="P44" s="121" t="n"/>
      <x:c r="Q44" s="123" t="n"/>
      <x:c r="R44" s="123" t="n"/>
      <x:c r="S44" s="121" t="n"/>
      <x:c r="T44" s="121" t="n"/>
      <x:c r="U44" s="121" t="n"/>
      <x:c r="V44" s="121" t="n"/>
      <x:c r="W44" s="121" t="n"/>
      <x:c r="X44" s="121" t="n"/>
      <x:c r="Y44" s="121" t="n">
        <x:v>1</x:v>
      </x:c>
      <x:c r="Z44" s="121" t="n"/>
      <x:c r="AA44" s="121" t="n"/>
      <x:c r="AB44" s="121" t="n"/>
      <x:c r="AC44" s="121" t="n"/>
      <x:c r="AD44" s="123" t="n"/>
      <x:c r="AE44" s="123" t="n"/>
      <x:c r="AF44" s="123" t="n">
        <x:v>-1</x:v>
      </x:c>
      <x:c r="AG44" s="123" t="n"/>
      <x:c r="AH44" s="124" t="n"/>
      <x:c r="AI44" s="124" t="n"/>
      <x:c r="AJ44" s="123" t="n"/>
      <x:c r="AK44" s="121" t="n"/>
      <x:c r="AL44" s="123" t="n"/>
      <x:c r="AM44" s="121" t="n"/>
      <x:c r="AN44" s="123" t="n"/>
      <x:c r="AO44" s="121" t="n"/>
      <x:c r="AP44" s="121" t="n"/>
      <x:c r="AQ44" s="28" t="n"/>
      <x:c r="AR44" s="28" t="n"/>
      <x:c r="AS44" s="28" t="n"/>
    </x:row>
    <x:row r="45" s="27" customFormat="1">
      <x:c r="A45" s="125" t="n"/>
      <x:c r="B45" s="39" t="n"/>
      <x:c r="C45" s="86" t="n">
        <x:f>E45*D$5</x:f>
        <x:v>-39.69230769230769</x:v>
      </x:c>
      <x:c r="D45" s="422" t="inlineStr">
        <x:is>
          <x:t xml:space="preserve">Bluebonnet Investments, Ltd.</x:t>
        </x:is>
      </x:c>
      <x:c r="E45" s="413" t="n">
        <x:f>SUM(G45:HP45)</x:f>
        <x:v>-0.9923076923076923</x:v>
      </x:c>
      <x:c r="F45" s="35" t="inlineStr">
        <x:is>
          <x:t xml:space="preserve"/>
        </x:is>
      </x:c>
      <x:c r="G45" s="121" t="n"/>
      <x:c r="H45" s="123" t="n"/>
      <x:c r="I45" s="123" t="n"/>
      <x:c r="J45" s="123" t="n"/>
      <x:c r="K45" s="123" t="n"/>
      <x:c r="L45" s="123" t="n"/>
      <x:c r="M45" s="124" t="n"/>
      <x:c r="N45" s="124" t="n"/>
      <x:c r="O45" s="123" t="n"/>
      <x:c r="P45" s="123" t="n"/>
      <x:c r="Q45" s="123" t="n"/>
      <x:c r="R45" s="123" t="n"/>
      <x:c r="S45" s="123" t="n"/>
      <x:c r="T45" s="123" t="n"/>
      <x:c r="U45" s="123" t="n"/>
      <x:c r="V45" s="123" t="n"/>
      <x:c r="W45" s="123" t="n"/>
      <x:c r="X45" s="123" t="n"/>
      <x:c r="Y45" s="123" t="n"/>
      <x:c r="Z45" s="123" t="n">
        <x:v>0.00769230769230769</x:v>
      </x:c>
      <x:c r="AA45" s="123" t="n"/>
      <x:c r="AB45" s="121" t="n"/>
      <x:c r="AC45" s="123" t="n"/>
      <x:c r="AD45" s="123" t="n"/>
      <x:c r="AE45" s="123" t="n"/>
      <x:c r="AF45" s="123" t="n"/>
      <x:c r="AG45" s="123" t="n"/>
      <x:c r="AH45" s="123" t="n"/>
      <x:c r="AI45" s="123" t="n"/>
      <x:c r="AJ45" s="124" t="n"/>
      <x:c r="AK45" s="123" t="n"/>
      <x:c r="AL45" s="121" t="n"/>
      <x:c r="AM45" s="123" t="n"/>
      <x:c r="AN45" s="123" t="n"/>
      <x:c r="AO45" s="123" t="n"/>
      <x:c r="AP45" s="123" t="n"/>
      <x:c r="AQ45" s="100" t="n"/>
      <x:c r="AR45" s="100" t="n"/>
      <x:c r="AS45" s="100" t="n"/>
      <x:c r="AT45" s="100" t="n"/>
      <x:c r="AU45" s="100" t="n"/>
      <x:c r="AV45" s="100" t="n"/>
      <x:c r="AW45" s="100" t="n"/>
      <x:c r="AX45" s="100" t="n">
        <x:v>-1</x:v>
      </x:c>
      <x:c r="AY45" s="100" t="n"/>
      <x:c r="AZ45" s="100" t="n"/>
      <x:c r="BA45" s="100" t="n"/>
      <x:c r="BB45" s="100" t="n"/>
      <x:c r="BC45" s="100" t="n"/>
      <x:c r="BD45" s="100" t="n"/>
      <x:c r="BE45" s="100" t="n"/>
      <x:c r="BF45" s="100" t="n"/>
      <x:c r="BG45" s="100" t="n"/>
      <x:c r="BH45" s="100" t="n"/>
      <x:c r="BI45" s="100" t="n"/>
      <x:c r="BJ45" s="100" t="n"/>
      <x:c r="BK45" s="100" t="n"/>
      <x:c r="BL45" s="100" t="n"/>
      <x:c r="BM45" s="100" t="n"/>
      <x:c r="BN45" s="100" t="n"/>
      <x:c r="BO45" s="100" t="n"/>
      <x:c r="BP45" s="100" t="n"/>
      <x:c r="BQ45" s="100" t="n"/>
      <x:c r="BR45" s="100" t="n"/>
      <x:c r="BS45" s="100" t="n"/>
      <x:c r="BT45" s="100" t="n"/>
      <x:c r="BU45" s="100" t="n"/>
      <x:c r="BV45" s="100" t="n"/>
      <x:c r="BW45" s="100" t="n"/>
      <x:c r="BX45" s="100" t="n"/>
      <x:c r="BY45" s="100" t="n"/>
      <x:c r="BZ45" s="100" t="n"/>
      <x:c r="CA45" s="100" t="n"/>
      <x:c r="CB45" s="100" t="n"/>
      <x:c r="CC45" s="100" t="n"/>
      <x:c r="CD45" s="100" t="n"/>
      <x:c r="CE45" s="100" t="n"/>
      <x:c r="CF45" s="100" t="n"/>
      <x:c r="CG45" s="100" t="n"/>
      <x:c r="CH45" s="100" t="n"/>
      <x:c r="CI45" s="100" t="n"/>
      <x:c r="CJ45" s="100" t="n"/>
      <x:c r="CK45" s="100" t="n"/>
      <x:c r="CL45" s="100" t="n"/>
      <x:c r="CM45" s="100" t="n"/>
      <x:c r="CN45" s="100" t="n"/>
      <x:c r="CO45" s="100" t="n"/>
      <x:c r="CP45" s="100" t="n"/>
      <x:c r="CQ45" s="100" t="n"/>
      <x:c r="CR45" s="100" t="n"/>
      <x:c r="CS45" s="100" t="n"/>
      <x:c r="CT45" s="100" t="n"/>
      <x:c r="CU45" s="100" t="n"/>
      <x:c r="CV45" s="100" t="n"/>
      <x:c r="CW45" s="100" t="n"/>
      <x:c r="CX45" s="100" t="n"/>
      <x:c r="CY45" s="100" t="n"/>
      <x:c r="CZ45" s="100" t="n"/>
      <x:c r="DA45" s="100" t="n"/>
      <x:c r="DB45" s="100" t="n"/>
      <x:c r="DC45" s="100" t="n"/>
      <x:c r="DD45" s="100" t="n"/>
      <x:c r="DE45" s="100" t="n"/>
      <x:c r="DF45" s="100" t="n"/>
      <x:c r="DG45" s="100" t="n"/>
      <x:c r="DH45" s="100" t="n"/>
      <x:c r="DI45" s="100" t="n"/>
      <x:c r="DJ45" s="100" t="n"/>
      <x:c r="DK45" s="100" t="n"/>
      <x:c r="DL45" s="100" t="n"/>
      <x:c r="DM45" s="100" t="n"/>
      <x:c r="DN45" s="100" t="n"/>
      <x:c r="DO45" s="100" t="n"/>
      <x:c r="DP45" s="100" t="n"/>
      <x:c r="DQ45" s="100" t="n"/>
      <x:c r="DR45" s="100" t="n"/>
      <x:c r="DS45" s="100" t="n"/>
      <x:c r="DT45" s="100" t="n"/>
      <x:c r="DU45" s="100" t="n"/>
      <x:c r="DV45" s="100" t="n"/>
      <x:c r="DW45" s="100" t="n"/>
      <x:c r="DX45" s="100" t="n"/>
      <x:c r="DY45" s="100" t="n"/>
      <x:c r="DZ45" s="100" t="n"/>
      <x:c r="EA45" s="100" t="n"/>
      <x:c r="EB45" s="100" t="n"/>
      <x:c r="EC45" s="100" t="n"/>
      <x:c r="ED45" s="100" t="n"/>
      <x:c r="EE45" s="100" t="n"/>
      <x:c r="EF45" s="100" t="n"/>
      <x:c r="EG45" s="100" t="n"/>
      <x:c r="EH45" s="100" t="n"/>
      <x:c r="EI45" s="100" t="n"/>
      <x:c r="EJ45" s="100" t="n"/>
      <x:c r="EK45" s="100" t="n"/>
      <x:c r="EL45" s="100" t="n"/>
      <x:c r="EM45" s="100" t="n"/>
      <x:c r="EN45" s="100" t="n"/>
      <x:c r="EO45" s="100" t="n"/>
      <x:c r="EP45" s="100" t="n"/>
      <x:c r="EQ45" s="100" t="n"/>
      <x:c r="ER45" s="100" t="n"/>
      <x:c r="ES45" s="100" t="n"/>
      <x:c r="ET45" s="100" t="n"/>
      <x:c r="EU45" s="100" t="n"/>
      <x:c r="EV45" s="100" t="n"/>
      <x:c r="EW45" s="100" t="n"/>
      <x:c r="EX45" s="100" t="n"/>
      <x:c r="EY45" s="100" t="n"/>
      <x:c r="EZ45" s="100" t="n"/>
      <x:c r="FA45" s="100" t="n"/>
      <x:c r="FB45" s="100" t="n"/>
      <x:c r="FC45" s="100" t="n"/>
      <x:c r="FD45" s="100" t="n"/>
      <x:c r="FE45" s="100" t="n"/>
      <x:c r="FF45" s="100" t="n"/>
      <x:c r="FG45" s="100" t="n"/>
      <x:c r="FH45" s="100" t="n"/>
      <x:c r="FI45" s="100" t="n"/>
      <x:c r="FJ45" s="100" t="n"/>
      <x:c r="FK45" s="100" t="n"/>
      <x:c r="FL45" s="100" t="n"/>
      <x:c r="FM45" s="100" t="n"/>
      <x:c r="FN45" s="100" t="n"/>
      <x:c r="FO45" s="100" t="n"/>
      <x:c r="FP45" s="100" t="n"/>
      <x:c r="FQ45" s="100" t="n"/>
      <x:c r="FR45" s="100" t="n"/>
      <x:c r="FS45" s="100" t="n"/>
      <x:c r="FT45" s="100" t="n"/>
      <x:c r="FU45" s="100" t="n"/>
      <x:c r="FV45" s="100" t="n"/>
    </x:row>
    <x:row r="46" s="27" customFormat="1">
      <x:c r="A46" s="125" t="n"/>
      <x:c r="B46" s="39" t="n"/>
      <x:c r="C46" s="86" t="n">
        <x:f>E46*D$5</x:f>
        <x:v>-40</x:v>
      </x:c>
      <x:c r="D46" s="421" t="inlineStr">
        <x:is>
          <x:t xml:space="preserve">Federal Deposit Insurance Corporation</x:t>
        </x:is>
      </x:c>
      <x:c r="E46" s="413" t="n">
        <x:f>SUM(G46:HT46)</x:f>
        <x:v>-1</x:v>
      </x:c>
      <x:c r="F46" s="35" t="inlineStr">
        <x:is>
          <x:t xml:space="preserve"/>
        </x:is>
      </x:c>
      <x:c r="G46" s="121" t="n"/>
      <x:c r="H46" s="121" t="n"/>
      <x:c r="I46" s="121" t="n"/>
      <x:c r="J46" s="121" t="n"/>
      <x:c r="K46" s="121" t="n"/>
      <x:c r="L46" s="121" t="n"/>
      <x:c r="M46" s="121" t="n"/>
      <x:c r="N46" s="121" t="n"/>
      <x:c r="O46" s="121" t="n"/>
      <x:c r="P46" s="121" t="n"/>
      <x:c r="Q46" s="123" t="n"/>
      <x:c r="R46" s="123" t="n"/>
      <x:c r="S46" s="121" t="n"/>
      <x:c r="T46" s="121" t="n"/>
      <x:c r="U46" s="121" t="n"/>
      <x:c r="V46" s="121" t="n"/>
      <x:c r="W46" s="121" t="n"/>
      <x:c r="X46" s="121" t="n"/>
      <x:c r="Y46" s="121" t="n"/>
      <x:c r="Z46" s="121" t="n"/>
      <x:c r="AA46" s="121" t="n">
        <x:v>-1</x:v>
      </x:c>
      <x:c r="AB46" s="121" t="n"/>
      <x:c r="AC46" s="121" t="n"/>
      <x:c r="AD46" s="123" t="n"/>
      <x:c r="AE46" s="123" t="n"/>
      <x:c r="AF46" s="123" t="n"/>
      <x:c r="AG46" s="123" t="n"/>
      <x:c r="AH46" s="123" t="n"/>
      <x:c r="AI46" s="123" t="n"/>
      <x:c r="AJ46" s="124" t="n"/>
      <x:c r="AK46" s="121" t="n"/>
      <x:c r="AL46" s="123" t="n"/>
      <x:c r="AM46" s="129" t="n"/>
      <x:c r="AN46" s="123" t="n"/>
      <x:c r="AO46" s="121" t="n"/>
      <x:c r="AP46" s="121" t="n"/>
      <x:c r="AQ46" s="28" t="n"/>
      <x:c r="AR46" s="28" t="n"/>
      <x:c r="AS46" s="28" t="n"/>
    </x:row>
    <x:row r="47" s="27" customFormat="1">
      <x:c r="A47" s="125" t="n"/>
      <x:c r="B47" s="39" t="n"/>
      <x:c r="C47" s="86" t="n">
        <x:f>E47*D$5</x:f>
        <x:v>0</x:v>
      </x:c>
      <x:c r="D47" s="523" t="inlineStr">
        <x:is>
          <x:t xml:space="preserve">First State Bank &amp; Trust Company</x:t>
        </x:is>
      </x:c>
      <x:c r="E47" s="86" t="n">
        <x:f>SUM(G47:HT47)</x:f>
        <x:v>0</x:v>
      </x:c>
      <x:c r="F47" s="35" t="inlineStr">
        <x:is>
          <x:t xml:space="preserve"/>
        </x:is>
      </x:c>
      <x:c r="G47" s="121" t="n"/>
      <x:c r="H47" s="121" t="n"/>
      <x:c r="I47" s="121" t="n"/>
      <x:c r="J47" s="121" t="n"/>
      <x:c r="K47" s="121" t="n"/>
      <x:c r="L47" s="121" t="n"/>
      <x:c r="M47" s="121" t="n"/>
      <x:c r="N47" s="121" t="n"/>
      <x:c r="O47" s="121" t="n"/>
      <x:c r="P47" s="121" t="n"/>
      <x:c r="Q47" s="123" t="n"/>
      <x:c r="R47" s="123" t="n"/>
      <x:c r="S47" s="121" t="n"/>
      <x:c r="T47" s="121" t="n"/>
      <x:c r="U47" s="121" t="n"/>
      <x:c r="V47" s="121" t="n"/>
      <x:c r="W47" s="121" t="n"/>
      <x:c r="X47" s="121" t="n"/>
      <x:c r="Y47" s="121" t="n"/>
      <x:c r="Z47" s="121" t="n"/>
      <x:c r="AA47" s="121" t="n">
        <x:v>1</x:v>
      </x:c>
      <x:c r="AB47" s="121" t="n"/>
      <x:c r="AC47" s="121" t="n"/>
      <x:c r="AD47" s="123" t="n">
        <x:v>-1</x:v>
      </x:c>
      <x:c r="AE47" s="123" t="n"/>
      <x:c r="AF47" s="123" t="n"/>
      <x:c r="AG47" s="123" t="n"/>
      <x:c r="AH47" s="123" t="n"/>
      <x:c r="AI47" s="123" t="n"/>
      <x:c r="AJ47" s="123" t="n"/>
      <x:c r="AK47" s="121" t="n"/>
      <x:c r="AL47" s="123" t="n"/>
      <x:c r="AM47" s="129" t="n"/>
      <x:c r="AN47" s="124" t="n"/>
      <x:c r="AO47" s="121" t="n"/>
      <x:c r="AP47" s="121" t="n"/>
      <x:c r="AQ47" s="28" t="n"/>
      <x:c r="AR47" s="28" t="n"/>
      <x:c r="AS47" s="28" t="n"/>
    </x:row>
    <x:row r="48" s="27" customFormat="1">
      <x:c r="A48" s="125" t="n"/>
      <x:c r="B48" s="39" t="n"/>
      <x:c r="C48" s="36" t="n">
        <x:f>E48*D$5</x:f>
        <x:v>-1.5384615384615399</x:v>
      </x:c>
      <x:c r="D48" s="421" t="inlineStr">
        <x:is>
          <x:t xml:space="preserve">State Bank &amp; Trust Company</x:t>
        </x:is>
      </x:c>
      <x:c r="E48" s="411" t="n">
        <x:f>SUM(G48:HT48)</x:f>
        <x:v>-0.0384615384615385</x:v>
      </x:c>
      <x:c r="F48" s="35" t="inlineStr">
        <x:is>
          <x:t xml:space="preserve"/>
        </x:is>
      </x:c>
      <x:c r="G48" s="121" t="n"/>
      <x:c r="H48" s="121" t="n"/>
      <x:c r="I48" s="121" t="n"/>
      <x:c r="J48" s="121" t="n"/>
      <x:c r="K48" s="121" t="n"/>
      <x:c r="L48" s="121" t="n"/>
      <x:c r="M48" s="121" t="n"/>
      <x:c r="N48" s="121" t="n"/>
      <x:c r="O48" s="121" t="n"/>
      <x:c r="P48" s="121" t="n"/>
      <x:c r="Q48" s="123" t="n"/>
      <x:c r="R48" s="123" t="n"/>
      <x:c r="S48" s="121" t="n"/>
      <x:c r="T48" s="121" t="n"/>
      <x:c r="U48" s="121" t="n"/>
      <x:c r="V48" s="121" t="n"/>
      <x:c r="W48" s="121" t="n"/>
      <x:c r="X48" s="121" t="n"/>
      <x:c r="Y48" s="121" t="n"/>
      <x:c r="Z48" s="121" t="n"/>
      <x:c r="AA48" s="121" t="n"/>
      <x:c r="AB48" s="121" t="n">
        <x:v>-0.0384615384615385</x:v>
      </x:c>
      <x:c r="AC48" s="121" t="n"/>
      <x:c r="AD48" s="123" t="n"/>
      <x:c r="AE48" s="123" t="n"/>
      <x:c r="AF48" s="123" t="n"/>
      <x:c r="AG48" s="123" t="n"/>
      <x:c r="AH48" s="123" t="n"/>
      <x:c r="AI48" s="123" t="n"/>
      <x:c r="AJ48" s="123" t="n"/>
      <x:c r="AK48" s="121" t="n"/>
      <x:c r="AL48" s="123" t="n"/>
      <x:c r="AM48" s="129" t="n"/>
      <x:c r="AN48" s="124" t="n"/>
      <x:c r="AO48" s="121" t="n"/>
      <x:c r="AP48" s="121" t="n"/>
      <x:c r="AQ48" s="28" t="n"/>
      <x:c r="AR48" s="28" t="n"/>
      <x:c r="AS48" s="28" t="n"/>
    </x:row>
    <x:row r="49" s="27" customFormat="1">
      <x:c r="A49" s="125" t="n"/>
      <x:c r="B49" s="39" t="n"/>
      <x:c r="C49" s="86" t="n">
        <x:f>E49*D$5</x:f>
        <x:v>41.53846153846153</x:v>
      </x:c>
      <x:c r="D49" s="523" t="inlineStr">
        <x:is>
          <x:t xml:space="preserve">Arrowhead Resources, Inc.</x:t>
        </x:is>
      </x:c>
      <x:c r="E49" s="36" t="n">
        <x:f>SUM(G49:HT49)</x:f>
        <x:v>1.0384615384615383</x:v>
      </x:c>
      <x:c r="F49" s="35" t="inlineStr">
        <x:is>
          <x:t xml:space="preserve"/>
        </x:is>
      </x:c>
      <x:c r="G49" s="121" t="n"/>
      <x:c r="H49" s="121" t="n"/>
      <x:c r="I49" s="121" t="n"/>
      <x:c r="J49" s="121" t="n"/>
      <x:c r="K49" s="121" t="n"/>
      <x:c r="L49" s="121" t="n"/>
      <x:c r="M49" s="121" t="n"/>
      <x:c r="N49" s="121" t="n"/>
      <x:c r="O49" s="121" t="n"/>
      <x:c r="P49" s="121" t="n"/>
      <x:c r="Q49" s="123" t="n"/>
      <x:c r="R49" s="123" t="n"/>
      <x:c r="S49" s="121" t="n"/>
      <x:c r="T49" s="121" t="n"/>
      <x:c r="U49" s="121" t="n"/>
      <x:c r="V49" s="121" t="n"/>
      <x:c r="W49" s="121" t="n"/>
      <x:c r="X49" s="121" t="n"/>
      <x:c r="Y49" s="121" t="n"/>
      <x:c r="Z49" s="121" t="n"/>
      <x:c r="AA49" s="121" t="n"/>
      <x:c r="AB49" s="121" t="n">
        <x:v>0.0384615384615385</x:v>
      </x:c>
      <x:c r="AC49" s="121" t="n">
        <x:v>-1</x:v>
      </x:c>
      <x:c r="AD49" s="123" t="n">
        <x:v>1</x:v>
      </x:c>
      <x:c r="AE49" s="123" t="n">
        <x:v>-1</x:v>
      </x:c>
      <x:c r="AF49" s="123" t="n"/>
      <x:c r="AG49" s="123" t="n"/>
      <x:c r="AH49" s="123" t="n"/>
      <x:c r="AI49" s="123" t="n"/>
      <x:c r="AJ49" s="123" t="n"/>
      <x:c r="AK49" s="121" t="n"/>
      <x:c r="AL49" s="123" t="n"/>
      <x:c r="AM49" s="121" t="n"/>
      <x:c r="AN49" s="124" t="n"/>
      <x:c r="AO49" s="121" t="n"/>
      <x:c r="AP49" s="121" t="n"/>
      <x:c r="AQ49" s="28" t="n">
        <x:v>1</x:v>
      </x:c>
      <x:c r="AR49" s="28" t="n">
        <x:v>1</x:v>
      </x:c>
      <x:c r="AS49" s="28" t="n">
        <x:v>1</x:v>
      </x:c>
      <x:c r="AU49" s="27" t="n">
        <x:v>-1</x:v>
      </x:c>
    </x:row>
    <x:row r="50" s="27" customFormat="1">
      <x:c r="A50" s="38" t="n"/>
      <x:c r="B50" s="37" t="n"/>
      <x:c r="C50" s="36" t="n">
        <x:f>E50*D$5</x:f>
        <x:v>40</x:v>
      </x:c>
      <x:c r="D50" s="4" t="inlineStr">
        <x:is>
          <x:t xml:space="preserve">Daniel D. Ferson</x:t>
        </x:is>
      </x:c>
      <x:c r="E50" s="36" t="n">
        <x:f>SUM(G50:HT50)</x:f>
        <x:v>1</x:v>
      </x:c>
      <x:c r="F50" s="35" t="inlineStr">
        <x:is>
          <x:t xml:space="preserve"/>
        </x:is>
      </x:c>
      <x:c r="G50" s="121" t="n"/>
      <x:c r="H50" s="121" t="n"/>
      <x:c r="I50" s="121" t="n"/>
      <x:c r="J50" s="121" t="n"/>
      <x:c r="K50" s="121" t="n"/>
      <x:c r="L50" s="121" t="n"/>
      <x:c r="M50" s="121" t="n"/>
      <x:c r="N50" s="121" t="n"/>
      <x:c r="O50" s="121" t="n"/>
      <x:c r="P50" s="121" t="n"/>
      <x:c r="Q50" s="123" t="n"/>
      <x:c r="R50" s="123" t="n"/>
      <x:c r="S50" s="121" t="n"/>
      <x:c r="T50" s="121" t="n"/>
      <x:c r="U50" s="121" t="n"/>
      <x:c r="V50" s="121" t="n"/>
      <x:c r="W50" s="121" t="n"/>
      <x:c r="X50" s="121" t="n"/>
      <x:c r="Y50" s="121" t="n"/>
      <x:c r="Z50" s="121" t="n"/>
      <x:c r="AA50" s="121" t="n"/>
      <x:c r="AB50" s="122" t="n"/>
      <x:c r="AC50" s="121" t="n">
        <x:v>1</x:v>
      </x:c>
      <x:c r="AD50" s="123" t="n"/>
      <x:c r="AE50" s="123" t="n"/>
      <x:c r="AF50" s="123" t="n"/>
      <x:c r="AG50" s="123" t="n"/>
      <x:c r="AH50" s="123" t="n"/>
      <x:c r="AI50" s="123" t="n"/>
      <x:c r="AJ50" s="123" t="n"/>
      <x:c r="AK50" s="121" t="n"/>
      <x:c r="AL50" s="123" t="n"/>
      <x:c r="AM50" s="121" t="n"/>
      <x:c r="AN50" s="123" t="n"/>
      <x:c r="AO50" s="121" t="n"/>
      <x:c r="AP50" s="121" t="n"/>
      <x:c r="AQ50" s="28" t="n"/>
      <x:c r="AR50" s="28" t="n"/>
      <x:c r="AS50" s="28" t="n"/>
    </x:row>
    <x:row r="51" s="27" customFormat="1">
      <x:c r="A51" s="38" t="n"/>
      <x:c r="B51" s="37" t="n"/>
      <x:c r="C51" s="36" t="n">
        <x:f>E51*D$5</x:f>
        <x:v>40</x:v>
      </x:c>
      <x:c r="D51" s="4" t="inlineStr">
        <x:is>
          <x:t xml:space="preserve">The Hefner Corporation</x:t>
        </x:is>
      </x:c>
      <x:c r="E51" s="36" t="n">
        <x:f>SUM(G51:HT51)</x:f>
        <x:v>1</x:v>
      </x:c>
      <x:c r="F51" s="35" t="inlineStr">
        <x:is>
          <x:t xml:space="preserve"/>
        </x:is>
      </x:c>
      <x:c r="G51" s="121" t="n"/>
      <x:c r="H51" s="121" t="n"/>
      <x:c r="I51" s="121" t="n"/>
      <x:c r="J51" s="121" t="n"/>
      <x:c r="K51" s="121" t="n"/>
      <x:c r="L51" s="121" t="n"/>
      <x:c r="M51" s="121" t="n"/>
      <x:c r="N51" s="121" t="n"/>
      <x:c r="O51" s="121" t="n"/>
      <x:c r="P51" s="121" t="n"/>
      <x:c r="Q51" s="123" t="n"/>
      <x:c r="R51" s="123" t="n"/>
      <x:c r="S51" s="121" t="n"/>
      <x:c r="T51" s="121" t="n"/>
      <x:c r="U51" s="121" t="n"/>
      <x:c r="V51" s="121" t="n"/>
      <x:c r="W51" s="121" t="n"/>
      <x:c r="X51" s="121" t="n"/>
      <x:c r="Y51" s="121" t="n"/>
      <x:c r="Z51" s="121" t="n"/>
      <x:c r="AA51" s="121" t="n"/>
      <x:c r="AB51" s="121" t="n"/>
      <x:c r="AC51" s="121" t="n"/>
      <x:c r="AD51" s="123" t="n"/>
      <x:c r="AE51" s="123" t="n">
        <x:v>1</x:v>
      </x:c>
      <x:c r="AF51" s="123" t="n"/>
      <x:c r="AG51" s="123" t="n"/>
      <x:c r="AH51" s="123" t="n"/>
      <x:c r="AI51" s="123" t="n"/>
      <x:c r="AJ51" s="123" t="n"/>
      <x:c r="AK51" s="121" t="n"/>
      <x:c r="AL51" s="123" t="n"/>
      <x:c r="AM51" s="121" t="n"/>
      <x:c r="AN51" s="123" t="n"/>
      <x:c r="AO51" s="121" t="n"/>
      <x:c r="AP51" s="121" t="n"/>
      <x:c r="AQ51" s="28" t="n"/>
      <x:c r="AR51" s="28" t="n"/>
      <x:c r="AS51" s="28" t="n"/>
    </x:row>
    <x:row r="52" s="27" customFormat="1">
      <x:c r="A52" s="38" t="n"/>
      <x:c r="B52" s="37" t="n"/>
      <x:c r="C52" s="86" t="n">
        <x:f>E52*D$5</x:f>
        <x:v>39.84615384615385</x:v>
      </x:c>
      <x:c r="D52" s="4" t="inlineStr">
        <x:is>
          <x:t xml:space="preserve">Hayhurst Oil Properties, Inc.</x:t>
        </x:is>
      </x:c>
      <x:c r="E52" s="86" t="n">
        <x:f>SUM(G52:HT52)</x:f>
        <x:v>0.9961538461538462</x:v>
      </x:c>
      <x:c r="F52" s="35" t="inlineStr">
        <x:is>
          <x:t xml:space="preserve"/>
        </x:is>
      </x:c>
      <x:c r="G52" s="121" t="n"/>
      <x:c r="H52" s="121" t="n"/>
      <x:c r="I52" s="121" t="n"/>
      <x:c r="J52" s="121" t="n"/>
      <x:c r="K52" s="121" t="n"/>
      <x:c r="L52" s="121" t="n"/>
      <x:c r="M52" s="121" t="n"/>
      <x:c r="N52" s="121" t="n"/>
      <x:c r="O52" s="121" t="n"/>
      <x:c r="P52" s="121" t="n"/>
      <x:c r="Q52" s="123" t="n"/>
      <x:c r="R52" s="123" t="n"/>
      <x:c r="S52" s="121" t="n"/>
      <x:c r="T52" s="121" t="n"/>
      <x:c r="U52" s="121" t="n"/>
      <x:c r="V52" s="121" t="n"/>
      <x:c r="W52" s="121" t="n"/>
      <x:c r="X52" s="121" t="n"/>
      <x:c r="Y52" s="121" t="n"/>
      <x:c r="Z52" s="121" t="n"/>
      <x:c r="AA52" s="121" t="n"/>
      <x:c r="AB52" s="121" t="n"/>
      <x:c r="AC52" s="121" t="n"/>
      <x:c r="AD52" s="123" t="n"/>
      <x:c r="AE52" s="123" t="n"/>
      <x:c r="AF52" s="123" t="n">
        <x:v>1</x:v>
      </x:c>
      <x:c r="AG52" s="123" t="n">
        <x:v>1</x:v>
      </x:c>
      <x:c r="AH52" s="123" t="n"/>
      <x:c r="AI52" s="123" t="n"/>
      <x:c r="AJ52" s="123" t="n"/>
      <x:c r="AK52" s="121" t="n">
        <x:v>-1</x:v>
      </x:c>
      <x:c r="AL52" s="123" t="n"/>
      <x:c r="AM52" s="121" t="n">
        <x:v>-0.00384615384615385</x:v>
      </x:c>
      <x:c r="AN52" s="123" t="n"/>
      <x:c r="AO52" s="121" t="n"/>
      <x:c r="AP52" s="121" t="n"/>
      <x:c r="AQ52" s="28" t="n"/>
      <x:c r="AR52" s="28" t="n"/>
      <x:c r="AS52" s="28" t="n"/>
    </x:row>
    <x:row r="53" s="27" customFormat="1">
      <x:c r="A53" s="38" t="n"/>
      <x:c r="B53" s="37" t="n"/>
      <x:c r="C53" s="86" t="n">
        <x:f>E53*D$5</x:f>
        <x:v>-40</x:v>
      </x:c>
      <x:c r="D53" s="421" t="inlineStr">
        <x:is>
          <x:t xml:space="preserve">Termo Company</x:t>
        </x:is>
      </x:c>
      <x:c r="E53" s="413" t="n">
        <x:f>SUM(G53:HT53)</x:f>
        <x:v>-1</x:v>
      </x:c>
      <x:c r="F53" s="35" t="inlineStr">
        <x:is>
          <x:t xml:space="preserve"/>
        </x:is>
      </x:c>
      <x:c r="G53" s="121" t="n"/>
      <x:c r="H53" s="121" t="n"/>
      <x:c r="I53" s="121" t="n"/>
      <x:c r="J53" s="121" t="n"/>
      <x:c r="K53" s="121" t="n"/>
      <x:c r="L53" s="121" t="n"/>
      <x:c r="M53" s="121" t="n"/>
      <x:c r="N53" s="121" t="n"/>
      <x:c r="O53" s="121" t="n"/>
      <x:c r="P53" s="121" t="n"/>
      <x:c r="Q53" s="123" t="n"/>
      <x:c r="R53" s="123" t="n"/>
      <x:c r="S53" s="121" t="n"/>
      <x:c r="T53" s="121" t="n"/>
      <x:c r="U53" s="121" t="n"/>
      <x:c r="V53" s="121" t="n"/>
      <x:c r="W53" s="121" t="n"/>
      <x:c r="X53" s="121" t="n"/>
      <x:c r="Y53" s="121" t="n"/>
      <x:c r="Z53" s="121" t="n"/>
      <x:c r="AA53" s="121" t="n"/>
      <x:c r="AB53" s="121" t="n"/>
      <x:c r="AC53" s="121" t="n"/>
      <x:c r="AD53" s="123" t="n"/>
      <x:c r="AE53" s="123" t="n"/>
      <x:c r="AF53" s="123" t="n"/>
      <x:c r="AG53" s="123" t="n">
        <x:v>-1</x:v>
      </x:c>
      <x:c r="AH53" s="123" t="n"/>
      <x:c r="AI53" s="123" t="n"/>
      <x:c r="AJ53" s="123" t="n"/>
      <x:c r="AK53" s="121" t="n"/>
      <x:c r="AL53" s="123" t="n"/>
      <x:c r="AM53" s="121" t="n"/>
      <x:c r="AN53" s="123" t="n"/>
      <x:c r="AO53" s="121" t="n"/>
      <x:c r="AP53" s="121" t="n"/>
      <x:c r="AQ53" s="28" t="n"/>
      <x:c r="AR53" s="28" t="n"/>
      <x:c r="AS53" s="28" t="n"/>
    </x:row>
    <x:row r="54" s="27" customFormat="1" ht="12.949999809265137" customHeight="1">
      <x:c r="A54" s="38" t="n"/>
      <x:c r="B54" s="37" t="n"/>
      <x:c r="C54" s="36" t="n">
        <x:f>E54*D$5</x:f>
        <x:v>-40</x:v>
      </x:c>
      <x:c r="D54" s="421" t="inlineStr">
        <x:is>
          <x:t xml:space="preserve">Beckham County Court, RE: In the Matter of the Estate of Annie E. Mitchel, Deceased</x:t>
        </x:is>
      </x:c>
      <x:c r="E54" s="411" t="n">
        <x:f>SUM(G54:HT54)</x:f>
        <x:v>-1</x:v>
      </x:c>
      <x:c r="F54" s="35" t="inlineStr">
        <x:is>
          <x:t xml:space="preserve"/>
        </x:is>
      </x:c>
      <x:c r="G54" s="121" t="n"/>
      <x:c r="H54" s="121" t="n"/>
      <x:c r="I54" s="121" t="n"/>
      <x:c r="J54" s="121" t="n"/>
      <x:c r="K54" s="121" t="n"/>
      <x:c r="L54" s="121" t="n"/>
      <x:c r="M54" s="121" t="n"/>
      <x:c r="N54" s="121" t="n"/>
      <x:c r="O54" s="121" t="n"/>
      <x:c r="P54" s="121" t="n"/>
      <x:c r="Q54" s="123" t="n"/>
      <x:c r="R54" s="123" t="n"/>
      <x:c r="S54" s="121" t="n"/>
      <x:c r="T54" s="121" t="n"/>
      <x:c r="U54" s="121" t="n"/>
      <x:c r="V54" s="121" t="n"/>
      <x:c r="W54" s="121" t="n"/>
      <x:c r="X54" s="121" t="n"/>
      <x:c r="Y54" s="121" t="n"/>
      <x:c r="Z54" s="121" t="n"/>
      <x:c r="AA54" s="121" t="n"/>
      <x:c r="AB54" s="121" t="n"/>
      <x:c r="AC54" s="121" t="n"/>
      <x:c r="AD54" s="123" t="n"/>
      <x:c r="AE54" s="123" t="n"/>
      <x:c r="AF54" s="123" t="n"/>
      <x:c r="AG54" s="123" t="n"/>
      <x:c r="AH54" s="123" t="n">
        <x:v>-1</x:v>
      </x:c>
      <x:c r="AI54" s="123" t="n"/>
      <x:c r="AJ54" s="123" t="n"/>
      <x:c r="AK54" s="121" t="n"/>
      <x:c r="AL54" s="123" t="n"/>
      <x:c r="AM54" s="121" t="n"/>
      <x:c r="AN54" s="123" t="n"/>
      <x:c r="AO54" s="121" t="n"/>
      <x:c r="AP54" s="121" t="n"/>
      <x:c r="AQ54" s="28" t="n"/>
      <x:c r="AR54" s="28" t="n"/>
      <x:c r="AS54" s="28" t="n"/>
    </x:row>
    <x:row r="55" s="27" customFormat="1" ht="14.100000381469727" customHeight="1">
      <x:c r="A55" s="38" t="n"/>
      <x:c r="B55" s="37" t="n"/>
      <x:c r="C55" s="36" t="n">
        <x:f>E55*D$5</x:f>
        <x:v>-6.66666666666668</x:v>
      </x:c>
      <x:c r="D55" s="421" t="inlineStr">
        <x:is>
          <x:t xml:space="preserve">Louise Ormand</x:t>
        </x:is>
      </x:c>
      <x:c r="E55" s="411" t="n">
        <x:f>SUM(G55:HT55)</x:f>
        <x:v>-0.16666666666666702</x:v>
      </x:c>
      <x:c r="F55" s="35" t="inlineStr">
        <x:is>
          <x:t xml:space="preserve"/>
        </x:is>
      </x:c>
      <x:c r="G55" s="121" t="n"/>
      <x:c r="H55" s="121" t="n"/>
      <x:c r="I55" s="121" t="n"/>
      <x:c r="J55" s="121" t="n"/>
      <x:c r="K55" s="121" t="n"/>
      <x:c r="L55" s="121" t="n"/>
      <x:c r="M55" s="121" t="n"/>
      <x:c r="N55" s="121" t="n"/>
      <x:c r="O55" s="121" t="n"/>
      <x:c r="P55" s="121" t="n"/>
      <x:c r="Q55" s="123" t="n"/>
      <x:c r="R55" s="123" t="n"/>
      <x:c r="S55" s="121" t="n"/>
      <x:c r="T55" s="121" t="n"/>
      <x:c r="U55" s="121" t="n"/>
      <x:c r="V55" s="121" t="n"/>
      <x:c r="W55" s="121" t="n"/>
      <x:c r="X55" s="121" t="n"/>
      <x:c r="Y55" s="121" t="n"/>
      <x:c r="Z55" s="121" t="n"/>
      <x:c r="AA55" s="121" t="n"/>
      <x:c r="AB55" s="121" t="n"/>
      <x:c r="AC55" s="121" t="n"/>
      <x:c r="AD55" s="123" t="n"/>
      <x:c r="AE55" s="123" t="n"/>
      <x:c r="AF55" s="123" t="n"/>
      <x:c r="AG55" s="123" t="n"/>
      <x:c r="AH55" s="123" t="n">
        <x:v>0.333333333333333</x:v>
      </x:c>
      <x:c r="AI55" s="123" t="n"/>
      <x:c r="AJ55" s="123" t="n"/>
      <x:c r="AK55" s="121" t="n"/>
      <x:c r="AL55" s="123" t="n"/>
      <x:c r="AM55" s="121" t="n"/>
      <x:c r="AN55" s="124" t="n"/>
      <x:c r="AO55" s="121" t="n"/>
      <x:c r="AP55" s="121" t="n"/>
      <x:c r="AQ55" s="28" t="n"/>
      <x:c r="AR55" s="28" t="n">
        <x:v>-0.5</x:v>
      </x:c>
      <x:c r="AS55" s="28" t="n"/>
    </x:row>
    <x:row r="56" s="27" customFormat="1" ht="17.450000762939453" customHeight="1">
      <x:c r="A56" s="38" t="n"/>
      <x:c r="B56" s="37" t="n"/>
      <x:c r="C56" s="36" t="n">
        <x:f>E56*D$5</x:f>
        <x:v>13.33333333333332</x:v>
      </x:c>
      <x:c r="D56" s="87" t="inlineStr">
        <x:is>
          <x:t xml:space="preserve">Mattie Britton</x:t>
        </x:is>
      </x:c>
      <x:c r="E56" s="36" t="n">
        <x:f>SUM(G56:HT56)</x:f>
        <x:v>0.333333333333333</x:v>
      </x:c>
      <x:c r="F56" s="35" t="inlineStr">
        <x:is>
          <x:t xml:space="preserve"/>
        </x:is>
      </x:c>
      <x:c r="G56" s="121" t="n"/>
      <x:c r="H56" s="28" t="n"/>
      <x:c r="I56" s="28" t="n"/>
      <x:c r="J56" s="28" t="n"/>
      <x:c r="K56" s="28" t="n"/>
      <x:c r="L56" s="28" t="n"/>
      <x:c r="M56" s="28" t="n"/>
      <x:c r="N56" s="28" t="n"/>
      <x:c r="O56" s="28" t="n"/>
      <x:c r="P56" s="28" t="n"/>
      <x:c r="Q56" s="100" t="n"/>
      <x:c r="R56" s="100" t="n"/>
      <x:c r="S56" s="28" t="n"/>
      <x:c r="T56" s="28" t="n"/>
      <x:c r="U56" s="28" t="n"/>
      <x:c r="V56" s="28" t="n"/>
      <x:c r="W56" s="28" t="n"/>
      <x:c r="X56" s="28" t="n"/>
      <x:c r="Y56" s="28" t="n"/>
      <x:c r="Z56" s="28" t="n"/>
      <x:c r="AA56" s="28" t="n"/>
      <x:c r="AB56" s="28" t="n"/>
      <x:c r="AC56" s="28" t="n"/>
      <x:c r="AD56" s="100" t="n"/>
      <x:c r="AE56" s="100" t="n"/>
      <x:c r="AF56" s="100" t="n"/>
      <x:c r="AG56" s="100" t="n"/>
      <x:c r="AH56" s="100" t="n">
        <x:v>0.333333333333333</x:v>
      </x:c>
      <x:c r="AI56" s="100" t="n"/>
      <x:c r="AJ56" s="100" t="n"/>
      <x:c r="AK56" s="28" t="n"/>
      <x:c r="AL56" s="100" t="n"/>
      <x:c r="AM56" s="28" t="n"/>
      <x:c r="AN56" s="123" t="n"/>
      <x:c r="AO56" s="28" t="n"/>
      <x:c r="AP56" s="28" t="n"/>
      <x:c r="AQ56" s="28" t="n"/>
      <x:c r="AR56" s="28" t="n"/>
      <x:c r="AS56" s="28" t="n"/>
    </x:row>
    <x:row r="57" s="27" customFormat="1" ht="17.450000762939453" customHeight="1">
      <x:c r="A57" s="38" t="n"/>
      <x:c r="B57" s="37" t="n"/>
      <x:c r="C57" s="36" t="n">
        <x:f>E57*D$5</x:f>
        <x:v>-0.769230769230768</x:v>
      </x:c>
      <x:c r="D57" s="425" t="inlineStr">
        <x:is>
          <x:t xml:space="preserve">El Paso Natural Gas Company</x:t>
        </x:is>
      </x:c>
      <x:c r="E57" s="411" t="n">
        <x:f>SUM(G57:HT57)</x:f>
        <x:v>-0.0192307692307692</x:v>
      </x:c>
      <x:c r="F57" s="35" t="inlineStr">
        <x:is>
          <x:t xml:space="preserve"/>
        </x:is>
      </x:c>
      <x:c r="G57" s="121" t="n"/>
      <x:c r="H57" s="28" t="n"/>
      <x:c r="I57" s="28" t="n"/>
      <x:c r="J57" s="28" t="n"/>
      <x:c r="K57" s="28" t="n"/>
      <x:c r="L57" s="28" t="n"/>
      <x:c r="M57" s="28" t="n"/>
      <x:c r="N57" s="28" t="n"/>
      <x:c r="O57" s="28" t="n"/>
      <x:c r="P57" s="28" t="n"/>
      <x:c r="Q57" s="100" t="n"/>
      <x:c r="R57" s="100" t="n"/>
      <x:c r="S57" s="28" t="n"/>
      <x:c r="T57" s="28" t="n"/>
      <x:c r="U57" s="28" t="n"/>
      <x:c r="V57" s="28" t="n"/>
      <x:c r="W57" s="28" t="n"/>
      <x:c r="X57" s="28" t="n"/>
      <x:c r="Y57" s="28" t="n"/>
      <x:c r="Z57" s="28" t="n"/>
      <x:c r="AA57" s="28" t="n"/>
      <x:c r="AB57" s="28" t="n"/>
      <x:c r="AC57" s="28" t="n"/>
      <x:c r="AD57" s="100" t="n"/>
      <x:c r="AE57" s="100" t="n"/>
      <x:c r="AF57" s="100" t="n"/>
      <x:c r="AG57" s="100" t="n"/>
      <x:c r="AH57" s="100" t="n"/>
      <x:c r="AI57" s="100" t="n">
        <x:v>-0.0192307692307692</x:v>
      </x:c>
      <x:c r="AJ57" s="100" t="n"/>
      <x:c r="AK57" s="28" t="n"/>
      <x:c r="AL57" s="100" t="n"/>
      <x:c r="AM57" s="28" t="n"/>
      <x:c r="AN57" s="123" t="n"/>
      <x:c r="AO57" s="28" t="n"/>
      <x:c r="AP57" s="28" t="n"/>
      <x:c r="AQ57" s="28" t="n"/>
      <x:c r="AR57" s="28" t="n"/>
      <x:c r="AS57" s="28" t="n"/>
    </x:row>
    <x:row r="58" s="27" customFormat="1" ht="17.450000762939453" customHeight="1">
      <x:c r="A58" s="38" t="n"/>
      <x:c r="B58" s="37" t="n"/>
      <x:c r="C58" s="36" t="n">
        <x:f>E58*D$5</x:f>
        <x:v>0.769230769230768</x:v>
      </x:c>
      <x:c r="D58" s="87" t="inlineStr">
        <x:is>
          <x:t xml:space="preserve">El Paso Production Company</x:t>
        </x:is>
      </x:c>
      <x:c r="E58" s="36" t="n">
        <x:f>SUM(G58:HT58)</x:f>
        <x:v>0.0192307692307692</x:v>
      </x:c>
      <x:c r="F58" s="35" t="inlineStr">
        <x:is>
          <x:t xml:space="preserve"/>
        </x:is>
      </x:c>
      <x:c r="G58" s="121" t="n"/>
      <x:c r="H58" s="28" t="n"/>
      <x:c r="I58" s="28" t="n"/>
      <x:c r="J58" s="28" t="n"/>
      <x:c r="K58" s="28" t="n"/>
      <x:c r="L58" s="28" t="n"/>
      <x:c r="M58" s="28" t="n"/>
      <x:c r="N58" s="28" t="n"/>
      <x:c r="O58" s="28" t="n"/>
      <x:c r="P58" s="28" t="n"/>
      <x:c r="Q58" s="100" t="n"/>
      <x:c r="R58" s="100" t="n"/>
      <x:c r="S58" s="28" t="n"/>
      <x:c r="T58" s="28" t="n"/>
      <x:c r="U58" s="28" t="n"/>
      <x:c r="V58" s="28" t="n"/>
      <x:c r="W58" s="28" t="n"/>
      <x:c r="X58" s="28" t="n"/>
      <x:c r="Y58" s="28" t="n"/>
      <x:c r="Z58" s="28" t="n"/>
      <x:c r="AA58" s="28" t="n"/>
      <x:c r="AB58" s="28" t="n"/>
      <x:c r="AC58" s="28" t="n"/>
      <x:c r="AD58" s="100" t="n"/>
      <x:c r="AE58" s="100" t="n"/>
      <x:c r="AF58" s="100" t="n"/>
      <x:c r="AG58" s="100" t="n"/>
      <x:c r="AH58" s="100" t="n"/>
      <x:c r="AI58" s="100" t="n">
        <x:v>0.0192307692307692</x:v>
      </x:c>
      <x:c r="AJ58" s="100" t="n"/>
      <x:c r="AK58" s="28" t="n"/>
      <x:c r="AL58" s="100" t="n"/>
      <x:c r="AM58" s="28" t="n"/>
      <x:c r="AN58" s="123" t="n"/>
      <x:c r="AO58" s="28" t="n"/>
      <x:c r="AP58" s="28" t="n"/>
      <x:c r="AQ58" s="28" t="n"/>
      <x:c r="AR58" s="28" t="n"/>
      <x:c r="AS58" s="28" t="n"/>
    </x:row>
    <x:row r="59" s="27" customFormat="1" ht="17.450000762939453" customHeight="1">
      <x:c r="A59" s="38" t="n"/>
      <x:c r="B59" s="37" t="n"/>
      <x:c r="C59" s="36" t="n">
        <x:f>E59*D$5</x:f>
        <x:v>-40</x:v>
      </x:c>
      <x:c r="D59" s="423" t="inlineStr">
        <x:is>
          <x:t xml:space="preserve">Mattie C. Britton</x:t>
        </x:is>
      </x:c>
      <x:c r="E59" s="411" t="n">
        <x:f>SUM(G59:HT59)</x:f>
        <x:v>-1</x:v>
      </x:c>
      <x:c r="F59" s="35" t="inlineStr">
        <x:is>
          <x:t xml:space="preserve"/>
        </x:is>
      </x:c>
      <x:c r="G59" s="121" t="n"/>
      <x:c r="H59" s="28" t="n"/>
      <x:c r="I59" s="28" t="n"/>
      <x:c r="J59" s="28" t="n"/>
      <x:c r="K59" s="28" t="n"/>
      <x:c r="L59" s="28" t="n"/>
      <x:c r="M59" s="28" t="n"/>
      <x:c r="N59" s="28" t="n"/>
      <x:c r="O59" s="28" t="n"/>
      <x:c r="P59" s="28" t="n"/>
      <x:c r="Q59" s="100" t="n"/>
      <x:c r="R59" s="100" t="n"/>
      <x:c r="S59" s="28" t="n"/>
      <x:c r="T59" s="28" t="n"/>
      <x:c r="U59" s="28" t="n"/>
      <x:c r="V59" s="28" t="n"/>
      <x:c r="W59" s="28" t="n"/>
      <x:c r="X59" s="28" t="n"/>
      <x:c r="Y59" s="28" t="n"/>
      <x:c r="Z59" s="28" t="n"/>
      <x:c r="AA59" s="28" t="n"/>
      <x:c r="AB59" s="28" t="n"/>
      <x:c r="AC59" s="28" t="n"/>
      <x:c r="AD59" s="100" t="n"/>
      <x:c r="AE59" s="100" t="n"/>
      <x:c r="AF59" s="100" t="n"/>
      <x:c r="AG59" s="100" t="n"/>
      <x:c r="AH59" s="100" t="n"/>
      <x:c r="AI59" s="100" t="n"/>
      <x:c r="AJ59" s="100" t="n">
        <x:v>-1</x:v>
      </x:c>
      <x:c r="AK59" s="28" t="n"/>
      <x:c r="AL59" s="100" t="n"/>
      <x:c r="AM59" s="28" t="n"/>
      <x:c r="AN59" s="123" t="n"/>
      <x:c r="AO59" s="28" t="n"/>
      <x:c r="AP59" s="28" t="n"/>
      <x:c r="AQ59" s="28" t="n"/>
      <x:c r="AR59" s="28" t="n"/>
      <x:c r="AS59" s="28" t="n"/>
    </x:row>
    <x:row r="60" s="27" customFormat="1" ht="16.5" customHeight="1">
      <x:c r="A60" s="38" t="n"/>
      <x:c r="B60" s="37" t="n"/>
      <x:c r="C60" s="36" t="n">
        <x:f>E60*D$5</x:f>
        <x:v>40</x:v>
      </x:c>
      <x:c r="D60" s="87" t="inlineStr">
        <x:is>
          <x:t xml:space="preserve">Joe Britton and Anna R. Britton, HW, JTWROS</x:t>
        </x:is>
      </x:c>
      <x:c r="E60" s="36" t="n">
        <x:f>SUM(G60:HT60)</x:f>
        <x:v>1</x:v>
      </x:c>
      <x:c r="F60" s="35" t="inlineStr">
        <x:is>
          <x:t xml:space="preserve"/>
        </x:is>
      </x:c>
      <x:c r="G60" s="121" t="n"/>
      <x:c r="H60" s="28" t="n"/>
      <x:c r="I60" s="28" t="n"/>
      <x:c r="J60" s="28" t="n"/>
      <x:c r="K60" s="28" t="n"/>
      <x:c r="L60" s="28" t="n"/>
      <x:c r="M60" s="28" t="n"/>
      <x:c r="N60" s="28" t="n"/>
      <x:c r="O60" s="28" t="n"/>
      <x:c r="P60" s="28" t="n"/>
      <x:c r="Q60" s="100" t="n"/>
      <x:c r="R60" s="100" t="n"/>
      <x:c r="S60" s="28" t="n"/>
      <x:c r="T60" s="28" t="n"/>
      <x:c r="U60" s="28" t="n"/>
      <x:c r="V60" s="28" t="n"/>
      <x:c r="W60" s="28" t="n"/>
      <x:c r="X60" s="28" t="n"/>
      <x:c r="Y60" s="28" t="n"/>
      <x:c r="Z60" s="28" t="n"/>
      <x:c r="AA60" s="28" t="n"/>
      <x:c r="AB60" s="28" t="n"/>
      <x:c r="AC60" s="28" t="n"/>
      <x:c r="AD60" s="100" t="n"/>
      <x:c r="AE60" s="100" t="n"/>
      <x:c r="AF60" s="100" t="n"/>
      <x:c r="AG60" s="100" t="n"/>
      <x:c r="AH60" s="100" t="n"/>
      <x:c r="AI60" s="100" t="n"/>
      <x:c r="AJ60" s="100" t="n">
        <x:v>1</x:v>
      </x:c>
      <x:c r="AK60" s="28" t="n"/>
      <x:c r="AL60" s="100" t="n"/>
      <x:c r="AM60" s="28" t="n"/>
      <x:c r="AN60" s="123" t="n"/>
      <x:c r="AO60" s="28" t="n"/>
      <x:c r="AP60" s="28" t="n"/>
      <x:c r="AQ60" s="28" t="n"/>
      <x:c r="AR60" s="28" t="n"/>
      <x:c r="AS60" s="28" t="n"/>
    </x:row>
    <x:row r="61" s="27" customFormat="1">
      <x:c r="A61" s="38" t="n"/>
      <x:c r="B61" s="37" t="n"/>
      <x:c r="C61" s="36" t="n">
        <x:f>E61*D$5</x:f>
        <x:v>40</x:v>
      </x:c>
      <x:c r="D61" s="4" t="inlineStr">
        <x:is>
          <x:t xml:space="preserve">Minion Investment Company</x:t>
        </x:is>
      </x:c>
      <x:c r="E61" s="36" t="n">
        <x:f>SUM(G61:HT61)</x:f>
        <x:v>1</x:v>
      </x:c>
      <x:c r="F61" s="35" t="inlineStr">
        <x:is>
          <x:t xml:space="preserve"/>
        </x:is>
      </x:c>
      <x:c r="G61" s="121" t="n"/>
      <x:c r="H61" s="28" t="n"/>
      <x:c r="I61" s="28" t="n"/>
      <x:c r="J61" s="28" t="n"/>
      <x:c r="K61" s="28" t="n"/>
      <x:c r="L61" s="28" t="n"/>
      <x:c r="M61" s="28" t="n"/>
      <x:c r="N61" s="28" t="n"/>
      <x:c r="O61" s="28" t="n"/>
      <x:c r="P61" s="28" t="n"/>
      <x:c r="Q61" s="100" t="n"/>
      <x:c r="R61" s="100" t="n"/>
      <x:c r="S61" s="28" t="n"/>
      <x:c r="T61" s="28" t="n"/>
      <x:c r="U61" s="28" t="n"/>
      <x:c r="V61" s="28" t="n"/>
      <x:c r="W61" s="28" t="n"/>
      <x:c r="X61" s="28" t="n"/>
      <x:c r="Y61" s="28" t="n"/>
      <x:c r="Z61" s="28" t="n"/>
      <x:c r="AA61" s="28" t="n"/>
      <x:c r="AB61" s="28" t="n"/>
      <x:c r="AC61" s="28" t="n"/>
      <x:c r="AD61" s="100" t="n"/>
      <x:c r="AE61" s="100" t="n"/>
      <x:c r="AF61" s="100" t="n"/>
      <x:c r="AG61" s="100" t="n"/>
      <x:c r="AH61" s="100" t="n"/>
      <x:c r="AI61" s="100" t="n"/>
      <x:c r="AJ61" s="100" t="n"/>
      <x:c r="AK61" s="28" t="n">
        <x:v>1</x:v>
      </x:c>
      <x:c r="AL61" s="100" t="n"/>
      <x:c r="AM61" s="28" t="n"/>
      <x:c r="AN61" s="123" t="n"/>
      <x:c r="AO61" s="28" t="n"/>
      <x:c r="AP61" s="28" t="n"/>
      <x:c r="AQ61" s="28" t="n"/>
      <x:c r="AR61" s="28" t="n"/>
      <x:c r="AS61" s="28" t="n"/>
    </x:row>
    <x:row r="62" s="27" customFormat="1" ht="24" customHeight="1">
      <x:c r="A62" s="38" t="n"/>
      <x:c r="B62" s="37" t="n"/>
      <x:c r="C62" s="86" t="n">
        <x:f>E62*D$5</x:f>
        <x:v>-40</x:v>
      </x:c>
      <x:c r="D62" s="422" t="inlineStr">
        <x:is>
          <x:t xml:space="preserve">Transok Gas Company (formerly known as TEX/CON Gas Marketing COMPANY)</x:t>
        </x:is>
      </x:c>
      <x:c r="E62" s="413" t="n">
        <x:f>SUM(G62:HT62)</x:f>
        <x:v>-1</x:v>
      </x:c>
      <x:c r="F62" s="35" t="inlineStr">
        <x:is>
          <x:t xml:space="preserve"/>
        </x:is>
      </x:c>
      <x:c r="G62" s="121" t="n"/>
      <x:c r="H62" s="28" t="n"/>
      <x:c r="I62" s="28" t="n"/>
      <x:c r="J62" s="28" t="n"/>
      <x:c r="K62" s="28" t="n"/>
      <x:c r="L62" s="28" t="n"/>
      <x:c r="M62" s="28" t="n"/>
      <x:c r="N62" s="28" t="n"/>
      <x:c r="O62" s="28" t="n"/>
      <x:c r="P62" s="28" t="n"/>
      <x:c r="Q62" s="100" t="n"/>
      <x:c r="R62" s="100" t="n"/>
      <x:c r="S62" s="28" t="n"/>
      <x:c r="T62" s="28" t="n"/>
      <x:c r="U62" s="28" t="n"/>
      <x:c r="V62" s="28" t="n"/>
      <x:c r="W62" s="28" t="n"/>
      <x:c r="X62" s="28" t="n"/>
      <x:c r="Y62" s="28" t="n"/>
      <x:c r="Z62" s="28" t="n"/>
      <x:c r="AA62" s="28" t="n"/>
      <x:c r="AB62" s="28" t="n"/>
      <x:c r="AC62" s="28" t="n"/>
      <x:c r="AD62" s="100" t="n"/>
      <x:c r="AE62" s="100" t="n"/>
      <x:c r="AF62" s="100" t="n"/>
      <x:c r="AG62" s="100" t="n"/>
      <x:c r="AH62" s="100" t="n"/>
      <x:c r="AI62" s="100" t="n"/>
      <x:c r="AJ62" s="100" t="n"/>
      <x:c r="AK62" s="28" t="n"/>
      <x:c r="AL62" s="100" t="n">
        <x:v>-1</x:v>
      </x:c>
      <x:c r="AM62" s="28" t="n"/>
      <x:c r="AN62" s="123" t="n"/>
      <x:c r="AO62" s="28" t="n"/>
      <x:c r="AP62" s="28" t="n"/>
      <x:c r="AQ62" s="28" t="n"/>
      <x:c r="AR62" s="28" t="n"/>
      <x:c r="AS62" s="28" t="n"/>
    </x:row>
    <x:row r="63" s="27" customFormat="1">
      <x:c r="A63" s="38" t="n"/>
      <x:c r="B63" s="37" t="n"/>
      <x:c r="C63" s="86" t="n">
        <x:f>E63*D$5</x:f>
        <x:v>40</x:v>
      </x:c>
      <x:c r="D63" s="523" t="inlineStr">
        <x:is>
          <x:t xml:space="preserve">West Anadarko Gas Gathering System</x:t>
        </x:is>
      </x:c>
      <x:c r="E63" s="86" t="n">
        <x:f>SUM(G63:HT63)</x:f>
        <x:v>1</x:v>
      </x:c>
      <x:c r="F63" s="35" t="inlineStr">
        <x:is>
          <x:t xml:space="preserve"/>
        </x:is>
      </x:c>
      <x:c r="G63" s="121" t="n"/>
      <x:c r="H63" s="28" t="n"/>
      <x:c r="I63" s="28" t="n"/>
      <x:c r="J63" s="28" t="n"/>
      <x:c r="K63" s="28" t="n"/>
      <x:c r="L63" s="28" t="n"/>
      <x:c r="M63" s="28" t="n"/>
      <x:c r="N63" s="28" t="n"/>
      <x:c r="O63" s="28" t="n"/>
      <x:c r="P63" s="28" t="n"/>
      <x:c r="Q63" s="100" t="n"/>
      <x:c r="R63" s="100" t="n"/>
      <x:c r="S63" s="28" t="n"/>
      <x:c r="T63" s="28" t="n"/>
      <x:c r="U63" s="28" t="n"/>
      <x:c r="V63" s="28" t="n"/>
      <x:c r="W63" s="28" t="n"/>
      <x:c r="X63" s="28" t="n"/>
      <x:c r="Y63" s="28" t="n"/>
      <x:c r="Z63" s="28" t="n"/>
      <x:c r="AA63" s="28" t="n"/>
      <x:c r="AB63" s="28" t="n"/>
      <x:c r="AC63" s="28" t="n"/>
      <x:c r="AD63" s="100" t="n"/>
      <x:c r="AE63" s="100" t="n"/>
      <x:c r="AF63" s="100" t="n"/>
      <x:c r="AG63" s="100" t="n"/>
      <x:c r="AH63" s="100" t="n"/>
      <x:c r="AI63" s="100" t="n"/>
      <x:c r="AJ63" s="100" t="n"/>
      <x:c r="AK63" s="28" t="n"/>
      <x:c r="AL63" s="100" t="n">
        <x:v>1</x:v>
      </x:c>
      <x:c r="AM63" s="28" t="n"/>
      <x:c r="AN63" s="123" t="n"/>
      <x:c r="AO63" s="28" t="n"/>
      <x:c r="AP63" s="28" t="n"/>
      <x:c r="AQ63" s="28" t="n"/>
      <x:c r="AR63" s="28" t="n"/>
      <x:c r="AS63" s="28" t="n"/>
    </x:row>
    <x:row r="64" s="27" customFormat="1">
      <x:c r="A64" s="38" t="n"/>
      <x:c r="B64" s="37" t="n"/>
      <x:c r="C64" s="36" t="n">
        <x:f>E64*D$5</x:f>
        <x:v>0.076923076923077</x:v>
      </x:c>
      <x:c r="D64" s="4" t="inlineStr">
        <x:is>
          <x:t xml:space="preserve">Nam Corporation</x:t>
        </x:is>
      </x:c>
      <x:c r="E64" s="36" t="n">
        <x:f>SUM(G64:HT64)</x:f>
        <x:v>0.001923076923076925</x:v>
      </x:c>
      <x:c r="F64" s="35" t="inlineStr">
        <x:is>
          <x:t xml:space="preserve"/>
        </x:is>
      </x:c>
      <x:c r="G64" s="121" t="n"/>
      <x:c r="H64" s="28" t="n"/>
      <x:c r="I64" s="28" t="n"/>
      <x:c r="K64" s="28" t="n"/>
      <x:c r="L64" s="28" t="n"/>
      <x:c r="M64" s="28" t="n"/>
      <x:c r="N64" s="28" t="n"/>
      <x:c r="O64" s="28" t="n"/>
      <x:c r="P64" s="28" t="n"/>
      <x:c r="Q64" s="100" t="n"/>
      <x:c r="R64" s="100" t="n"/>
      <x:c r="S64" s="28" t="n"/>
      <x:c r="T64" s="28" t="n"/>
      <x:c r="U64" s="28" t="n"/>
      <x:c r="V64" s="28" t="n"/>
      <x:c r="W64" s="28" t="n"/>
      <x:c r="X64" s="28" t="n"/>
      <x:c r="Y64" s="28" t="n"/>
      <x:c r="Z64" s="28" t="n"/>
      <x:c r="AA64" s="28" t="n"/>
      <x:c r="AB64" s="28" t="n"/>
      <x:c r="AC64" s="28" t="n"/>
      <x:c r="AD64" s="100" t="n"/>
      <x:c r="AE64" s="100" t="n"/>
      <x:c r="AF64" s="100" t="n"/>
      <x:c r="AG64" s="100" t="n"/>
      <x:c r="AH64" s="100" t="n"/>
      <x:c r="AI64" s="100" t="n"/>
      <x:c r="AJ64" s="100" t="n"/>
      <x:c r="AK64" s="28" t="n"/>
      <x:c r="AL64" s="100" t="n"/>
      <x:c r="AM64" s="28" t="n">
        <x:v>0.001923076923076925</x:v>
      </x:c>
      <x:c r="AN64" s="123" t="n"/>
      <x:c r="AO64" s="28" t="n"/>
      <x:c r="AP64" s="28" t="n"/>
      <x:c r="AQ64" s="28" t="n"/>
      <x:c r="AR64" s="28" t="n"/>
      <x:c r="AS64" s="28" t="n"/>
    </x:row>
    <x:row r="65" s="27" customFormat="1">
      <x:c r="A65" s="38" t="n"/>
      <x:c r="B65" s="37" t="n"/>
      <x:c r="C65" s="86" t="n">
        <x:f>E65*D$5</x:f>
        <x:v>-39.92307692307692</x:v>
      </x:c>
      <x:c r="D65" s="422" t="inlineStr">
        <x:is>
          <x:t xml:space="preserve">Tripco, Inc.</x:t>
        </x:is>
      </x:c>
      <x:c r="E65" s="413" t="n">
        <x:f>SUM(G65:HT65)</x:f>
        <x:v>-0.9980769230769231</x:v>
      </x:c>
      <x:c r="F65" s="35" t="inlineStr">
        <x:is>
          <x:t xml:space="preserve"/>
        </x:is>
      </x:c>
      <x:c r="G65" s="121" t="n"/>
      <x:c r="H65" s="28" t="n"/>
      <x:c r="I65" s="28" t="n"/>
      <x:c r="L65" s="28" t="n"/>
      <x:c r="M65" s="28" t="n"/>
      <x:c r="N65" s="28" t="n"/>
      <x:c r="O65" s="28" t="n"/>
      <x:c r="P65" s="28" t="n"/>
      <x:c r="Q65" s="100" t="n"/>
      <x:c r="R65" s="100" t="n"/>
      <x:c r="S65" s="28" t="n"/>
      <x:c r="T65" s="28" t="n"/>
      <x:c r="U65" s="28" t="n"/>
      <x:c r="V65" s="28" t="n"/>
      <x:c r="W65" s="28" t="n"/>
      <x:c r="X65" s="28" t="n"/>
      <x:c r="Y65" s="28" t="n"/>
      <x:c r="Z65" s="28" t="n"/>
      <x:c r="AA65" s="28" t="n"/>
      <x:c r="AB65" s="28" t="n"/>
      <x:c r="AC65" s="28" t="n"/>
      <x:c r="AD65" s="100" t="n"/>
      <x:c r="AE65" s="100" t="n"/>
      <x:c r="AF65" s="100" t="n"/>
      <x:c r="AG65" s="100" t="n"/>
      <x:c r="AH65" s="100" t="n"/>
      <x:c r="AI65" s="100" t="n"/>
      <x:c r="AJ65" s="100" t="n"/>
      <x:c r="AK65" s="28" t="n"/>
      <x:c r="AL65" s="100" t="n"/>
      <x:c r="AM65" s="28" t="n">
        <x:v>0.001923076923076925</x:v>
      </x:c>
      <x:c r="AN65" s="123" t="n">
        <x:v>0</x:v>
      </x:c>
      <x:c r="AO65" s="28" t="n"/>
      <x:c r="AP65" s="28" t="n"/>
      <x:c r="AQ65" s="28" t="n"/>
      <x:c r="AR65" s="28" t="n"/>
      <x:c r="AS65" s="28" t="n"/>
      <x:c r="BB65" s="27" t="n">
        <x:v>-1</x:v>
      </x:c>
    </x:row>
    <x:row r="66" s="27" customFormat="1">
      <x:c r="A66" s="38" t="n"/>
      <x:c r="B66" s="37" t="n"/>
      <x:c r="C66" s="86" t="n">
        <x:f>E66*D$5</x:f>
        <x:v>0</x:v>
      </x:c>
      <x:c r="D66" s="523" t="inlineStr">
        <x:is>
          <x:t xml:space="preserve">Prudential Securities</x:t>
        </x:is>
      </x:c>
      <x:c r="E66" s="86" t="n">
        <x:f>SUM(G66:HT66)</x:f>
        <x:v>0</x:v>
      </x:c>
      <x:c r="F66" s="35" t="inlineStr">
        <x:is>
          <x:t xml:space="preserve"/>
        </x:is>
      </x:c>
      <x:c r="G66" s="121" t="n"/>
      <x:c r="H66" s="28" t="n"/>
      <x:c r="I66" s="28" t="n"/>
      <x:c r="L66" s="28" t="n"/>
      <x:c r="M66" s="28" t="n"/>
      <x:c r="N66" s="28" t="n"/>
      <x:c r="O66" s="28" t="n"/>
      <x:c r="P66" s="28" t="n"/>
      <x:c r="Q66" s="100" t="n"/>
      <x:c r="R66" s="100" t="n"/>
      <x:c r="S66" s="28" t="n"/>
      <x:c r="T66" s="28" t="n"/>
      <x:c r="U66" s="28" t="n"/>
      <x:c r="V66" s="28" t="n"/>
      <x:c r="W66" s="28" t="n"/>
      <x:c r="X66" s="28" t="n"/>
      <x:c r="Y66" s="28" t="n"/>
      <x:c r="Z66" s="28" t="n"/>
      <x:c r="AA66" s="28" t="n"/>
      <x:c r="AB66" s="28" t="n"/>
      <x:c r="AC66" s="28" t="n"/>
      <x:c r="AD66" s="100" t="n"/>
      <x:c r="AE66" s="100" t="n"/>
      <x:c r="AF66" s="100" t="n"/>
      <x:c r="AG66" s="101" t="n"/>
      <x:c r="AH66" s="101" t="n"/>
      <x:c r="AI66" s="100" t="n"/>
      <x:c r="AJ66" s="100" t="n"/>
      <x:c r="AK66" s="28" t="n"/>
      <x:c r="AL66" s="100" t="n"/>
      <x:c r="AM66" s="28" t="n"/>
      <x:c r="AN66" s="123" t="n">
        <x:v>0</x:v>
      </x:c>
      <x:c r="AO66" s="28" t="n"/>
      <x:c r="AP66" s="28" t="n"/>
      <x:c r="AQ66" s="28" t="n"/>
      <x:c r="AR66" s="28" t="n"/>
      <x:c r="AS66" s="28" t="n"/>
    </x:row>
    <x:row r="67" s="27" customFormat="1">
      <x:c r="A67" s="38" t="n"/>
      <x:c r="B67" s="37" t="n"/>
      <x:c r="C67" s="36" t="n">
        <x:f>E67*D$5</x:f>
        <x:v>0</x:v>
      </x:c>
      <x:c r="D67" s="4" t="inlineStr">
        <x:is>
          <x:t xml:space="preserve">C/F Cynthia L. Pipkin I.R.A. Rollover Dated January 23</x:t>
        </x:is>
      </x:c>
      <x:c r="E67" s="36" t="n">
        <x:f>SUM(G67:HT67)</x:f>
        <x:v>0</x:v>
      </x:c>
      <x:c r="F67" s="35" t="inlineStr">
        <x:is>
          <x:t xml:space="preserve"/>
        </x:is>
      </x:c>
      <x:c r="G67" s="121" t="n"/>
      <x:c r="H67" s="28" t="n"/>
      <x:c r="I67" s="28" t="n"/>
      <x:c r="J67" s="28" t="n"/>
      <x:c r="K67" s="28" t="n"/>
      <x:c r="L67" s="28" t="n"/>
      <x:c r="M67" s="28" t="n"/>
      <x:c r="N67" s="28" t="n"/>
      <x:c r="O67" s="28" t="n"/>
      <x:c r="P67" s="28" t="n"/>
      <x:c r="Q67" s="100" t="n"/>
      <x:c r="R67" s="100" t="n"/>
      <x:c r="S67" s="28" t="n"/>
      <x:c r="T67" s="28" t="n"/>
      <x:c r="U67" s="28" t="n"/>
      <x:c r="V67" s="28" t="n"/>
      <x:c r="W67" s="28" t="n"/>
      <x:c r="X67" s="28" t="n"/>
      <x:c r="Y67" s="28" t="n"/>
      <x:c r="Z67" s="28" t="n"/>
      <x:c r="AA67" s="28" t="n"/>
      <x:c r="AB67" s="28" t="n"/>
      <x:c r="AC67" s="28" t="n"/>
      <x:c r="AD67" s="100" t="n"/>
      <x:c r="AE67" s="100" t="n"/>
      <x:c r="AF67" s="100" t="n"/>
      <x:c r="AG67" s="101" t="n"/>
      <x:c r="AH67" s="100" t="n"/>
      <x:c r="AI67" s="100" t="n"/>
      <x:c r="AJ67" s="101" t="n"/>
      <x:c r="AK67" s="28" t="n"/>
      <x:c r="AL67" s="100" t="n"/>
      <x:c r="AM67" s="28" t="n"/>
      <x:c r="AN67" s="123" t="n">
        <x:v>0</x:v>
      </x:c>
      <x:c r="AO67" s="28" t="n"/>
      <x:c r="AP67" s="28" t="n"/>
      <x:c r="AQ67" s="28" t="n"/>
      <x:c r="AR67" s="28" t="n"/>
      <x:c r="AS67" s="28" t="n"/>
    </x:row>
    <x:row r="68" s="27" customFormat="1">
      <x:c r="A68" s="38" t="n"/>
      <x:c r="B68" s="37" t="n"/>
      <x:c r="C68" s="36" t="n">
        <x:f>E68*D$5</x:f>
        <x:v>0</x:v>
      </x:c>
      <x:c r="D68" s="4" t="n">
        <x:v>1995</x:v>
      </x:c>
      <x:c r="E68" s="36" t="n">
        <x:f>SUM(G68:HT68)</x:f>
        <x:v>0</x:v>
      </x:c>
      <x:c r="F68" s="35" t="inlineStr">
        <x:is>
          <x:t xml:space="preserve"/>
        </x:is>
      </x:c>
      <x:c r="G68" s="121" t="n"/>
      <x:c r="H68" s="28" t="n"/>
      <x:c r="I68" s="28" t="n"/>
      <x:c r="J68" s="28" t="n"/>
      <x:c r="K68" s="28" t="n"/>
      <x:c r="L68" s="28" t="n"/>
      <x:c r="M68" s="28" t="n"/>
      <x:c r="N68" s="28" t="n"/>
      <x:c r="O68" s="28" t="n"/>
      <x:c r="P68" s="28" t="n"/>
      <x:c r="Q68" s="100" t="n"/>
      <x:c r="R68" s="100" t="n"/>
      <x:c r="S68" s="28" t="n"/>
      <x:c r="T68" s="28" t="n"/>
      <x:c r="U68" s="28" t="n"/>
      <x:c r="V68" s="28" t="n"/>
      <x:c r="W68" s="28" t="n"/>
      <x:c r="X68" s="28" t="n"/>
      <x:c r="Y68" s="28" t="n"/>
      <x:c r="Z68" s="28" t="n"/>
      <x:c r="AA68" s="28" t="n"/>
      <x:c r="AB68" s="28" t="n"/>
      <x:c r="AC68" s="28" t="n"/>
      <x:c r="AD68" s="100" t="n"/>
      <x:c r="AE68" s="100" t="n"/>
      <x:c r="AF68" s="100" t="n"/>
      <x:c r="AG68" s="100" t="n"/>
      <x:c r="AH68" s="101" t="n"/>
      <x:c r="AI68" s="101" t="n"/>
      <x:c r="AJ68" s="100" t="n"/>
      <x:c r="AK68" s="28" t="n"/>
      <x:c r="AL68" s="100" t="n"/>
      <x:c r="AM68" s="28" t="n"/>
      <x:c r="AN68" s="124" t="n">
        <x:v>0</x:v>
      </x:c>
      <x:c r="AO68" s="28" t="n"/>
      <x:c r="AP68" s="28" t="n"/>
      <x:c r="AQ68" s="28" t="n"/>
      <x:c r="AR68" s="28" t="n"/>
      <x:c r="AS68" s="28" t="n"/>
    </x:row>
    <x:row r="69" s="27" customFormat="1">
      <x:c r="A69" s="38" t="n"/>
      <x:c r="B69" s="37" t="n"/>
      <x:c r="C69" s="36" t="n">
        <x:f>E69*D$5</x:f>
        <x:v>0</x:v>
      </x:c>
      <x:c r="D69" s="4" t="inlineStr">
        <x:is>
          <x:t xml:space="preserve">Jack Mahoney</x:t>
        </x:is>
      </x:c>
      <x:c r="E69" s="36" t="n">
        <x:f>SUM(G69:HT69)</x:f>
        <x:v>0</x:v>
      </x:c>
      <x:c r="F69" s="35" t="inlineStr">
        <x:is>
          <x:t xml:space="preserve"/>
        </x:is>
      </x:c>
      <x:c r="G69" s="121" t="n"/>
      <x:c r="H69" s="28" t="n"/>
      <x:c r="I69" s="28" t="n"/>
      <x:c r="J69" s="28" t="n"/>
      <x:c r="K69" s="28" t="n"/>
      <x:c r="L69" s="28" t="n"/>
      <x:c r="M69" s="28" t="n"/>
      <x:c r="N69" s="28" t="n"/>
      <x:c r="O69" s="28" t="n"/>
      <x:c r="P69" s="28" t="n"/>
      <x:c r="Q69" s="100" t="n"/>
      <x:c r="R69" s="100" t="n"/>
      <x:c r="S69" s="28" t="n"/>
      <x:c r="T69" s="28" t="n"/>
      <x:c r="U69" s="28" t="n"/>
      <x:c r="V69" s="28" t="n"/>
      <x:c r="W69" s="28" t="n"/>
      <x:c r="X69" s="28" t="n"/>
      <x:c r="Y69" s="28" t="n"/>
      <x:c r="Z69" s="28" t="n"/>
      <x:c r="AA69" s="28" t="n"/>
      <x:c r="AB69" s="28" t="n"/>
      <x:c r="AC69" s="28" t="n"/>
      <x:c r="AD69" s="100" t="n"/>
      <x:c r="AE69" s="100" t="n"/>
      <x:c r="AF69" s="100" t="n"/>
      <x:c r="AG69" s="100" t="n"/>
      <x:c r="AH69" s="100" t="n"/>
      <x:c r="AI69" s="100" t="n"/>
      <x:c r="AJ69" s="101" t="n"/>
      <x:c r="AK69" s="28" t="n"/>
      <x:c r="AL69" s="100" t="n"/>
      <x:c r="AM69" s="28" t="n"/>
      <x:c r="AN69" s="123" t="n"/>
      <x:c r="AO69" s="28" t="n">
        <x:v>0</x:v>
      </x:c>
      <x:c r="AP69" s="28" t="n"/>
      <x:c r="AQ69" s="28" t="n"/>
      <x:c r="AR69" s="28" t="n"/>
      <x:c r="AS69" s="28" t="n"/>
    </x:row>
    <x:row r="70" s="27" customFormat="1">
      <x:c r="A70" s="38" t="n"/>
      <x:c r="B70" s="37" t="n"/>
      <x:c r="C70" s="36" t="n">
        <x:f>E70*D$5</x:f>
        <x:v>0</x:v>
      </x:c>
      <x:c r="D70" s="89" t="inlineStr">
        <x:is>
          <x:t xml:space="preserve">The Mahoney Childrens Trust</x:t>
        </x:is>
      </x:c>
      <x:c r="E70" s="36" t="n">
        <x:f>SUM(G70:HT70)</x:f>
        <x:v>0</x:v>
      </x:c>
      <x:c r="F70" s="35" t="inlineStr">
        <x:is>
          <x:t xml:space="preserve"/>
        </x:is>
      </x:c>
      <x:c r="G70" s="121" t="n"/>
      <x:c r="H70" s="28" t="n"/>
      <x:c r="I70" s="28" t="n"/>
      <x:c r="J70" s="28" t="n"/>
      <x:c r="K70" s="28" t="n"/>
      <x:c r="L70" s="28" t="n"/>
      <x:c r="M70" s="28" t="n"/>
      <x:c r="N70" s="28" t="n"/>
      <x:c r="O70" s="28" t="n"/>
      <x:c r="P70" s="28" t="n"/>
      <x:c r="Q70" s="100" t="n"/>
      <x:c r="R70" s="100" t="n"/>
      <x:c r="S70" s="28" t="n"/>
      <x:c r="T70" s="28" t="n"/>
      <x:c r="U70" s="28" t="n"/>
      <x:c r="V70" s="28" t="n"/>
      <x:c r="W70" s="28" t="n"/>
      <x:c r="X70" s="28" t="n"/>
      <x:c r="Y70" s="28" t="n"/>
      <x:c r="Z70" s="28" t="n"/>
      <x:c r="AA70" s="28" t="n"/>
      <x:c r="AB70" s="28" t="n"/>
      <x:c r="AC70" s="28" t="n"/>
      <x:c r="AD70" s="100" t="n"/>
      <x:c r="AE70" s="100" t="n"/>
      <x:c r="AF70" s="100" t="n"/>
      <x:c r="AG70" s="100" t="n"/>
      <x:c r="AH70" s="100" t="n"/>
      <x:c r="AI70" s="100" t="n"/>
      <x:c r="AJ70" s="101" t="n"/>
      <x:c r="AK70" s="28" t="n"/>
      <x:c r="AL70" s="100" t="n"/>
      <x:c r="AM70" s="28" t="n"/>
      <x:c r="AN70" s="123" t="n"/>
      <x:c r="AO70" s="28" t="n">
        <x:v>0</x:v>
      </x:c>
      <x:c r="AP70" s="28" t="n"/>
      <x:c r="AQ70" s="28" t="n"/>
      <x:c r="AR70" s="28" t="n"/>
      <x:c r="AS70" s="28" t="n"/>
    </x:row>
    <x:row r="71" s="27" customFormat="1">
      <x:c r="A71" s="38" t="n"/>
      <x:c r="B71" s="37" t="n"/>
      <x:c r="C71" s="36" t="n">
        <x:f>E71*D$5</x:f>
        <x:v>-0.3076923076923076</x:v>
      </x:c>
      <x:c r="D71" s="418" t="inlineStr">
        <x:is>
          <x:t xml:space="preserve">Fer-Scher Exploration, LLC</x:t>
        </x:is>
      </x:c>
      <x:c r="E71" s="411" t="n">
        <x:f>SUM(G71:HT71)</x:f>
        <x:v>-0.00769230769230769</x:v>
      </x:c>
      <x:c r="F71" s="35" t="inlineStr">
        <x:is>
          <x:t xml:space="preserve"/>
        </x:is>
      </x:c>
      <x:c r="G71" s="121" t="n"/>
      <x:c r="H71" s="28" t="n"/>
      <x:c r="I71" s="28" t="n"/>
      <x:c r="J71" s="28" t="n"/>
      <x:c r="K71" s="28" t="n"/>
      <x:c r="L71" s="28" t="n"/>
      <x:c r="M71" s="28" t="n"/>
      <x:c r="N71" s="28" t="n"/>
      <x:c r="O71" s="28" t="n"/>
      <x:c r="P71" s="28" t="n"/>
      <x:c r="Q71" s="100" t="n"/>
      <x:c r="R71" s="100" t="n"/>
      <x:c r="S71" s="28" t="n"/>
      <x:c r="T71" s="28" t="n"/>
      <x:c r="U71" s="28" t="n"/>
      <x:c r="V71" s="28" t="n"/>
      <x:c r="W71" s="28" t="n"/>
      <x:c r="X71" s="28" t="n"/>
      <x:c r="Y71" s="28" t="n"/>
      <x:c r="Z71" s="28" t="n"/>
      <x:c r="AA71" s="28" t="n"/>
      <x:c r="AB71" s="28" t="n"/>
      <x:c r="AC71" s="28" t="n"/>
      <x:c r="AD71" s="100" t="n"/>
      <x:c r="AE71" s="100" t="n"/>
      <x:c r="AF71" s="100" t="n"/>
      <x:c r="AG71" s="100" t="n"/>
      <x:c r="AH71" s="100" t="n"/>
      <x:c r="AI71" s="100" t="n"/>
      <x:c r="AJ71" s="101" t="n"/>
      <x:c r="AK71" s="28" t="n"/>
      <x:c r="AL71" s="100" t="n"/>
      <x:c r="AM71" s="28" t="n"/>
      <x:c r="AN71" s="123" t="n"/>
      <x:c r="AO71" s="28" t="n"/>
      <x:c r="AP71" s="28" t="n">
        <x:v>-0.00769230769230769</x:v>
      </x:c>
      <x:c r="AQ71" s="28" t="n"/>
      <x:c r="AR71" s="28" t="n"/>
      <x:c r="AS71" s="28" t="n"/>
    </x:row>
    <x:row r="72" s="27" customFormat="1">
      <x:c r="A72" s="38" t="n"/>
      <x:c r="B72" s="37" t="n"/>
      <x:c r="C72" s="36" t="n">
        <x:f>E72*D$5</x:f>
        <x:v>0.3076923076923076</x:v>
      </x:c>
      <x:c r="D72" s="66" t="inlineStr">
        <x:is>
          <x:t xml:space="preserve">Aspen Minerals Group</x:t>
        </x:is>
      </x:c>
      <x:c r="E72" s="36" t="n">
        <x:f>SUM(G72:HT72)</x:f>
        <x:v>0.00769230769230769</x:v>
      </x:c>
      <x:c r="F72" s="35" t="inlineStr">
        <x:is>
          <x:t xml:space="preserve"/>
        </x:is>
      </x:c>
      <x:c r="G72" s="121" t="n"/>
      <x:c r="H72" s="28" t="n"/>
      <x:c r="I72" s="28" t="n"/>
      <x:c r="J72" s="28" t="n"/>
      <x:c r="K72" s="28" t="n"/>
      <x:c r="L72" s="28" t="n"/>
      <x:c r="M72" s="28" t="n"/>
      <x:c r="N72" s="28" t="n"/>
      <x:c r="O72" s="28" t="n"/>
      <x:c r="P72" s="28" t="n"/>
      <x:c r="Q72" s="100" t="n"/>
      <x:c r="R72" s="100" t="n"/>
      <x:c r="S72" s="28" t="n"/>
      <x:c r="T72" s="28" t="n"/>
      <x:c r="U72" s="28" t="n"/>
      <x:c r="V72" s="28" t="n"/>
      <x:c r="W72" s="28" t="n"/>
      <x:c r="X72" s="28" t="n"/>
      <x:c r="Y72" s="28" t="n"/>
      <x:c r="Z72" s="28" t="n"/>
      <x:c r="AA72" s="28" t="n"/>
      <x:c r="AB72" s="28" t="n"/>
      <x:c r="AC72" s="28" t="n"/>
      <x:c r="AD72" s="100" t="n"/>
      <x:c r="AE72" s="100" t="n"/>
      <x:c r="AF72" s="100" t="n"/>
      <x:c r="AG72" s="100" t="n"/>
      <x:c r="AH72" s="100" t="n"/>
      <x:c r="AI72" s="100" t="n"/>
      <x:c r="AJ72" s="101" t="n"/>
      <x:c r="AK72" s="28" t="n"/>
      <x:c r="AL72" s="100" t="n"/>
      <x:c r="AM72" s="28" t="n"/>
      <x:c r="AN72" s="123" t="n"/>
      <x:c r="AO72" s="28" t="n"/>
      <x:c r="AP72" s="28" t="n">
        <x:v>0.00769230769230769</x:v>
      </x:c>
      <x:c r="AQ72" s="28" t="n"/>
      <x:c r="AR72" s="28" t="n"/>
      <x:c r="AS72" s="28" t="n"/>
    </x:row>
    <x:row r="73" s="27" customFormat="1">
      <x:c r="A73" s="38" t="n"/>
      <x:c r="B73" s="37" t="n"/>
      <x:c r="C73" s="86" t="n">
        <x:f>E73*D$5</x:f>
        <x:v>0</x:v>
      </x:c>
      <x:c r="D73" s="66" t="inlineStr">
        <x:is>
          <x:t xml:space="preserve">Nanalee Faye Barnett</x:t>
        </x:is>
      </x:c>
      <x:c r="E73" s="86" t="n">
        <x:f>SUM(G73:HT73)</x:f>
        <x:v>0</x:v>
      </x:c>
      <x:c r="F73" s="35" t="inlineStr">
        <x:is>
          <x:t xml:space="preserve"/>
        </x:is>
      </x:c>
      <x:c r="G73" s="121" t="n"/>
      <x:c r="H73" s="28" t="n"/>
      <x:c r="I73" s="28" t="n"/>
      <x:c r="J73" s="28" t="n"/>
      <x:c r="K73" s="28" t="n"/>
      <x:c r="L73" s="28" t="n"/>
      <x:c r="M73" s="28" t="n"/>
      <x:c r="N73" s="28" t="n"/>
      <x:c r="O73" s="28" t="n"/>
      <x:c r="P73" s="28" t="n"/>
      <x:c r="Q73" s="100" t="n"/>
      <x:c r="R73" s="100" t="n"/>
      <x:c r="S73" s="28" t="n"/>
      <x:c r="T73" s="28" t="n"/>
      <x:c r="U73" s="28" t="n"/>
      <x:c r="V73" s="28" t="n"/>
      <x:c r="W73" s="28" t="n"/>
      <x:c r="X73" s="28" t="n"/>
      <x:c r="Y73" s="28" t="n"/>
      <x:c r="Z73" s="28" t="n"/>
      <x:c r="AA73" s="28" t="n"/>
      <x:c r="AB73" s="28" t="n"/>
      <x:c r="AC73" s="28" t="n"/>
      <x:c r="AD73" s="100" t="n"/>
      <x:c r="AE73" s="100" t="n"/>
      <x:c r="AF73" s="100" t="n"/>
      <x:c r="AG73" s="100" t="n"/>
      <x:c r="AH73" s="100" t="n"/>
      <x:c r="AI73" s="100" t="n"/>
      <x:c r="AJ73" s="100" t="n"/>
      <x:c r="AK73" s="28" t="n"/>
      <x:c r="AL73" s="100" t="n"/>
      <x:c r="AM73" s="28" t="n"/>
      <x:c r="AN73" s="123" t="n"/>
      <x:c r="AO73" s="28" t="n"/>
      <x:c r="AP73" s="28" t="n"/>
      <x:c r="AQ73" s="28" t="n">
        <x:v>-1</x:v>
      </x:c>
      <x:c r="AR73" s="28" t="n"/>
      <x:c r="AS73" s="28" t="n"/>
      <x:c r="AT73" s="27" t="n">
        <x:v>1</x:v>
      </x:c>
    </x:row>
    <x:row r="74" s="27" customFormat="1">
      <x:c r="A74" s="38" t="n"/>
      <x:c r="B74" s="37" t="n"/>
      <x:c r="C74" s="86" t="n">
        <x:f>E74*D$5</x:f>
        <x:v>-20</x:v>
      </x:c>
      <x:c r="D74" s="418" t="inlineStr">
        <x:is>
          <x:t xml:space="preserve">now Louise Ormand McLerran</x:t>
        </x:is>
      </x:c>
      <x:c r="E74" s="413" t="n">
        <x:f>SUM(G74:HT74)</x:f>
        <x:v>-0.5</x:v>
      </x:c>
      <x:c r="F74" s="35" t="inlineStr">
        <x:is>
          <x:t xml:space="preserve"/>
        </x:is>
      </x:c>
      <x:c r="G74" s="121" t="n"/>
      <x:c r="H74" s="28" t="n"/>
      <x:c r="I74" s="28" t="n"/>
      <x:c r="J74" s="28" t="n"/>
      <x:c r="K74" s="28" t="n"/>
      <x:c r="L74" s="28" t="n"/>
      <x:c r="M74" s="28" t="n"/>
      <x:c r="N74" s="28" t="n"/>
      <x:c r="O74" s="28" t="n"/>
      <x:c r="P74" s="28" t="n"/>
      <x:c r="Q74" s="100" t="n"/>
      <x:c r="R74" s="100" t="n"/>
      <x:c r="S74" s="28" t="n"/>
      <x:c r="T74" s="28" t="n"/>
      <x:c r="U74" s="28" t="n"/>
      <x:c r="V74" s="28" t="n"/>
      <x:c r="W74" s="28" t="n"/>
      <x:c r="X74" s="28" t="n"/>
      <x:c r="Y74" s="28" t="n"/>
      <x:c r="Z74" s="28" t="n"/>
      <x:c r="AA74" s="28" t="n"/>
      <x:c r="AB74" s="28" t="n"/>
      <x:c r="AC74" s="28" t="n"/>
      <x:c r="AD74" s="100" t="n"/>
      <x:c r="AE74" s="100" t="n"/>
      <x:c r="AF74" s="100" t="n"/>
      <x:c r="AG74" s="100" t="n"/>
      <x:c r="AH74" s="100" t="n"/>
      <x:c r="AI74" s="100" t="n"/>
      <x:c r="AJ74" s="100" t="n"/>
      <x:c r="AK74" s="28" t="n"/>
      <x:c r="AL74" s="100" t="n"/>
      <x:c r="AM74" s="28" t="n"/>
      <x:c r="AN74" s="123" t="n"/>
      <x:c r="AO74" s="28" t="n"/>
      <x:c r="AP74" s="28" t="n"/>
      <x:c r="AQ74" s="28" t="n"/>
      <x:c r="AR74" s="28" t="n">
        <x:v>-0.5</x:v>
      </x:c>
      <x:c r="AS74" s="28" t="n"/>
    </x:row>
    <x:row r="75" s="27" customFormat="1">
      <x:c r="A75" s="38" t="n"/>
      <x:c r="B75" s="37" t="n"/>
      <x:c r="C75" s="36" t="n">
        <x:f>E75*D$5</x:f>
        <x:v>-40</x:v>
      </x:c>
      <x:c r="D75" s="418" t="inlineStr">
        <x:is>
          <x:t xml:space="preserve">Glenn D. Mitchel, a/k/a Glen D. Mitchel</x:t>
        </x:is>
      </x:c>
      <x:c r="E75" s="411" t="n">
        <x:f>SUM(G75:HT75)</x:f>
        <x:v>-1</x:v>
      </x:c>
      <x:c r="F75" s="35" t="inlineStr">
        <x:is>
          <x:t xml:space="preserve"/>
        </x:is>
      </x:c>
      <x:c r="G75" s="121" t="n"/>
      <x:c r="H75" s="28" t="n"/>
      <x:c r="I75" s="28" t="n"/>
      <x:c r="J75" s="28" t="n"/>
      <x:c r="K75" s="28" t="n"/>
      <x:c r="L75" s="28" t="n"/>
      <x:c r="M75" s="28" t="n"/>
      <x:c r="N75" s="28" t="n"/>
      <x:c r="O75" s="28" t="n"/>
      <x:c r="P75" s="28" t="n"/>
      <x:c r="Q75" s="100" t="n"/>
      <x:c r="R75" s="100" t="n"/>
      <x:c r="S75" s="28" t="n"/>
      <x:c r="T75" s="28" t="n"/>
      <x:c r="U75" s="28" t="n"/>
      <x:c r="V75" s="28" t="n"/>
      <x:c r="W75" s="28" t="n"/>
      <x:c r="X75" s="28" t="n"/>
      <x:c r="Y75" s="28" t="n"/>
      <x:c r="Z75" s="28" t="n"/>
      <x:c r="AA75" s="28" t="n"/>
      <x:c r="AB75" s="28" t="n"/>
      <x:c r="AC75" s="28" t="n"/>
      <x:c r="AD75" s="100" t="n"/>
      <x:c r="AE75" s="100" t="n"/>
      <x:c r="AF75" s="100" t="n"/>
      <x:c r="AG75" s="100" t="n"/>
      <x:c r="AH75" s="100" t="n"/>
      <x:c r="AI75" s="100" t="n"/>
      <x:c r="AJ75" s="100" t="n"/>
      <x:c r="AK75" s="28" t="n"/>
      <x:c r="AL75" s="100" t="n"/>
      <x:c r="AM75" s="28" t="n"/>
      <x:c r="AN75" s="100" t="n"/>
      <x:c r="AO75" s="28" t="n"/>
      <x:c r="AP75" s="28" t="n"/>
      <x:c r="AQ75" s="28" t="n"/>
      <x:c r="AR75" s="28" t="n"/>
      <x:c r="AS75" s="28" t="n">
        <x:v>-1</x:v>
      </x:c>
    </x:row>
    <x:row r="76" s="27" customFormat="1" ht="24" customHeight="1">
      <x:c r="A76" s="38" t="n"/>
      <x:c r="B76" s="37" t="n"/>
      <x:c r="C76" s="36" t="n">
        <x:f>E76*D$5</x:f>
        <x:v>-40</x:v>
      </x:c>
      <x:c r="D76" s="418" t="inlineStr">
        <x:is>
          <x:t xml:space="preserve">Roger Mills County Court RE: In the Matter of the Estate of Jack E. Barnett, Deceased</x:t>
        </x:is>
      </x:c>
      <x:c r="E76" s="411" t="n">
        <x:f>SUM(G76:HT76)</x:f>
        <x:v>-1</x:v>
      </x:c>
      <x:c r="F76" s="35" t="inlineStr">
        <x:is>
          <x:t xml:space="preserve"/>
        </x:is>
      </x:c>
      <x:c r="G76" s="121" t="n"/>
      <x:c r="H76" s="28" t="n"/>
      <x:c r="I76" s="28" t="n"/>
      <x:c r="J76" s="28" t="n"/>
      <x:c r="K76" s="28" t="n"/>
      <x:c r="L76" s="28" t="n"/>
      <x:c r="M76" s="28" t="n"/>
      <x:c r="N76" s="28" t="n"/>
      <x:c r="O76" s="28" t="n"/>
      <x:c r="P76" s="28" t="n"/>
      <x:c r="Q76" s="100" t="n"/>
      <x:c r="R76" s="100" t="n"/>
      <x:c r="S76" s="28" t="n"/>
      <x:c r="T76" s="28" t="n"/>
      <x:c r="U76" s="28" t="n"/>
      <x:c r="V76" s="28" t="n"/>
      <x:c r="W76" s="28" t="n"/>
      <x:c r="X76" s="28" t="n"/>
      <x:c r="Y76" s="28" t="n"/>
      <x:c r="Z76" s="28" t="n"/>
      <x:c r="AA76" s="28" t="n"/>
      <x:c r="AB76" s="28" t="n"/>
      <x:c r="AC76" s="28" t="n"/>
      <x:c r="AD76" s="100" t="n"/>
      <x:c r="AE76" s="100" t="n"/>
      <x:c r="AF76" s="100" t="n"/>
      <x:c r="AG76" s="100" t="n"/>
      <x:c r="AH76" s="100" t="n"/>
      <x:c r="AI76" s="100" t="n"/>
      <x:c r="AJ76" s="100" t="n"/>
      <x:c r="AK76" s="28" t="n"/>
      <x:c r="AL76" s="100" t="n"/>
      <x:c r="AM76" s="28" t="n"/>
      <x:c r="AN76" s="100" t="n"/>
      <x:c r="AO76" s="28" t="n"/>
      <x:c r="AP76" s="28" t="n"/>
      <x:c r="AQ76" s="28" t="n"/>
      <x:c r="AR76" s="28" t="n"/>
      <x:c r="AS76" s="28" t="n"/>
      <x:c r="AT76" s="27" t="n">
        <x:v>-1</x:v>
      </x:c>
    </x:row>
    <x:row r="77" s="27" customFormat="1">
      <x:c r="A77" s="38" t="n"/>
      <x:c r="B77" s="37" t="n"/>
      <x:c r="C77" s="36" t="n">
        <x:f>E77*D$5</x:f>
        <x:v>19</x:v>
      </x:c>
      <x:c r="D77" s="88" t="inlineStr">
        <x:is>
          <x:t xml:space="preserve">Bhch Mineral Ltd.</x:t>
        </x:is>
      </x:c>
      <x:c r="E77" s="36" t="n">
        <x:f>SUM(G77:HT77)</x:f>
        <x:v>0.475</x:v>
      </x:c>
      <x:c r="F77" s="35" t="inlineStr">
        <x:is>
          <x:t xml:space="preserve"/>
        </x:is>
      </x:c>
      <x:c r="G77" s="121" t="n"/>
      <x:c r="H77" s="28" t="n"/>
      <x:c r="I77" s="28" t="n"/>
      <x:c r="J77" s="28" t="n"/>
      <x:c r="K77" s="28" t="n"/>
      <x:c r="L77" s="28" t="n"/>
      <x:c r="M77" s="28" t="n"/>
      <x:c r="N77" s="28" t="n"/>
      <x:c r="O77" s="28" t="n"/>
      <x:c r="P77" s="28" t="n"/>
      <x:c r="Q77" s="100" t="n"/>
      <x:c r="R77" s="100" t="n"/>
      <x:c r="S77" s="28" t="n"/>
      <x:c r="T77" s="28" t="n"/>
      <x:c r="U77" s="28" t="n"/>
      <x:c r="V77" s="28" t="n"/>
      <x:c r="W77" s="28" t="n"/>
      <x:c r="X77" s="28" t="n"/>
      <x:c r="Y77" s="28" t="n"/>
      <x:c r="Z77" s="28" t="n"/>
      <x:c r="AA77" s="28" t="n"/>
      <x:c r="AB77" s="28" t="n"/>
      <x:c r="AC77" s="28" t="n"/>
      <x:c r="AD77" s="100" t="n"/>
      <x:c r="AE77" s="100" t="n"/>
      <x:c r="AF77" s="100" t="n"/>
      <x:c r="AG77" s="100" t="n"/>
      <x:c r="AH77" s="100" t="n"/>
      <x:c r="AI77" s="100" t="n"/>
      <x:c r="AJ77" s="100" t="n"/>
      <x:c r="AK77" s="28" t="n"/>
      <x:c r="AL77" s="100" t="n"/>
      <x:c r="AM77" s="28" t="n"/>
      <x:c r="AN77" s="100" t="n"/>
      <x:c r="AO77" s="28" t="n"/>
      <x:c r="AP77" s="28" t="n"/>
      <x:c r="AQ77" s="28" t="n"/>
      <x:c r="AR77" s="28" t="n"/>
      <x:c r="AS77" s="28" t="n"/>
      <x:c r="AU77" s="27" t="n">
        <x:v>0.475</x:v>
      </x:c>
    </x:row>
    <x:row r="78" s="27" customFormat="1">
      <x:c r="A78" s="38" t="n"/>
      <x:c r="B78" s="37" t="n"/>
      <x:c r="C78" s="36" t="n">
        <x:f>E78*D$5</x:f>
        <x:v>1</x:v>
      </x:c>
      <x:c r="D78" s="66" t="inlineStr">
        <x:is>
          <x:t xml:space="preserve">Bhch Properties Ltd.</x:t>
        </x:is>
      </x:c>
      <x:c r="E78" s="36" t="n">
        <x:f>SUM(G78:HT78)</x:f>
        <x:v>0.025</x:v>
      </x:c>
      <x:c r="F78" s="35" t="inlineStr">
        <x:is>
          <x:t xml:space="preserve"/>
        </x:is>
      </x:c>
      <x:c r="G78" s="121" t="n"/>
      <x:c r="H78" s="28" t="n"/>
      <x:c r="I78" s="28" t="n"/>
      <x:c r="J78" s="28" t="n"/>
      <x:c r="K78" s="28" t="n"/>
      <x:c r="L78" s="28" t="n"/>
      <x:c r="M78" s="28" t="n"/>
      <x:c r="N78" s="28" t="n"/>
      <x:c r="O78" s="28" t="n"/>
      <x:c r="P78" s="28" t="n"/>
      <x:c r="Q78" s="100" t="n"/>
      <x:c r="R78" s="100" t="n"/>
      <x:c r="S78" s="28" t="n"/>
      <x:c r="T78" s="28" t="n"/>
      <x:c r="U78" s="28" t="n"/>
      <x:c r="V78" s="28" t="n"/>
      <x:c r="W78" s="28" t="n"/>
      <x:c r="X78" s="28" t="n"/>
      <x:c r="Y78" s="28" t="n"/>
      <x:c r="Z78" s="28" t="n"/>
      <x:c r="AA78" s="28" t="n"/>
      <x:c r="AB78" s="28" t="n"/>
      <x:c r="AC78" s="28" t="n"/>
      <x:c r="AD78" s="100" t="n"/>
      <x:c r="AE78" s="100" t="n"/>
      <x:c r="AF78" s="100" t="n"/>
      <x:c r="AG78" s="100" t="n"/>
      <x:c r="AH78" s="100" t="n"/>
      <x:c r="AI78" s="100" t="n"/>
      <x:c r="AJ78" s="100" t="n"/>
      <x:c r="AK78" s="28" t="n"/>
      <x:c r="AL78" s="100" t="n"/>
      <x:c r="AM78" s="28" t="n"/>
      <x:c r="AN78" s="100" t="n"/>
      <x:c r="AO78" s="28" t="n"/>
      <x:c r="AP78" s="28" t="n"/>
      <x:c r="AQ78" s="28" t="n"/>
      <x:c r="AR78" s="28" t="n"/>
      <x:c r="AS78" s="28" t="n"/>
      <x:c r="AU78" s="27" t="n">
        <x:v>0.025</x:v>
      </x:c>
    </x:row>
    <x:row r="79" s="27" customFormat="1">
      <x:c r="A79" s="38" t="n"/>
      <x:c r="B79" s="37" t="n"/>
      <x:c r="C79" s="86" t="n">
        <x:f>E79*D$5</x:f>
        <x:v>20</x:v>
      </x:c>
      <x:c r="D79" s="523" t="inlineStr">
        <x:is>
          <x:t xml:space="preserve">Garg Oil</x:t>
        </x:is>
      </x:c>
      <x:c r="E79" s="86" t="n">
        <x:f>SUM(G79:HT79)</x:f>
        <x:v>0.5</x:v>
      </x:c>
      <x:c r="F79" s="35" t="inlineStr">
        <x:is>
          <x:t xml:space="preserve"/>
        </x:is>
      </x:c>
      <x:c r="G79" s="121" t="n"/>
      <x:c r="H79" s="28" t="n"/>
      <x:c r="I79" s="28" t="n"/>
      <x:c r="J79" s="28" t="n"/>
      <x:c r="K79" s="28" t="n"/>
      <x:c r="L79" s="28" t="n"/>
      <x:c r="M79" s="28" t="n"/>
      <x:c r="N79" s="28" t="n"/>
      <x:c r="O79" s="28" t="n"/>
      <x:c r="P79" s="28" t="n"/>
      <x:c r="Q79" s="100" t="n"/>
      <x:c r="R79" s="100" t="n"/>
      <x:c r="S79" s="28" t="n"/>
      <x:c r="T79" s="28" t="n"/>
      <x:c r="U79" s="28" t="n"/>
      <x:c r="V79" s="28" t="n"/>
      <x:c r="W79" s="28" t="n"/>
      <x:c r="X79" s="28" t="n"/>
      <x:c r="Y79" s="28" t="n"/>
      <x:c r="Z79" s="28" t="n"/>
      <x:c r="AA79" s="28" t="n"/>
      <x:c r="AB79" s="28" t="n"/>
      <x:c r="AC79" s="28" t="n"/>
      <x:c r="AD79" s="100" t="n"/>
      <x:c r="AE79" s="100" t="n"/>
      <x:c r="AF79" s="100" t="n"/>
      <x:c r="AG79" s="100" t="n"/>
      <x:c r="AH79" s="100" t="n"/>
      <x:c r="AI79" s="100" t="n"/>
      <x:c r="AJ79" s="100" t="n"/>
      <x:c r="AK79" s="28" t="n"/>
      <x:c r="AL79" s="100" t="n"/>
      <x:c r="AM79" s="28" t="n"/>
      <x:c r="AN79" s="100" t="n"/>
      <x:c r="AO79" s="28" t="n"/>
      <x:c r="AP79" s="28" t="n"/>
      <x:c r="AQ79" s="28" t="n"/>
      <x:c r="AR79" s="28" t="n"/>
      <x:c r="AS79" s="28" t="n"/>
      <x:c r="AU79" s="27" t="n">
        <x:v>0.5</x:v>
      </x:c>
    </x:row>
    <x:row r="80" s="27" customFormat="1" ht="24" customHeight="1">
      <x:c r="A80" s="38" t="n"/>
      <x:c r="B80" s="37" t="n"/>
      <x:c r="C80" s="36" t="n">
        <x:f>E80*D$5</x:f>
        <x:v>0</x:v>
      </x:c>
      <x:c r="D80" s="66" t="inlineStr">
        <x:is>
          <x:t xml:space="preserve">Peggy J. HAYHURST, TRUSTEE, of the Peggy J. Hayhurst Revocable Trust datedrNovember 9, 1993</x:t>
        </x:is>
      </x:c>
      <x:c r="E80" s="36" t="n">
        <x:f>SUM(G80:HT80)</x:f>
        <x:v>0</x:v>
      </x:c>
      <x:c r="F80" s="35" t="inlineStr">
        <x:is>
          <x:t xml:space="preserve"/>
        </x:is>
      </x:c>
      <x:c r="G80" s="121" t="n"/>
      <x:c r="H80" s="28" t="n"/>
      <x:c r="I80" s="28" t="n"/>
      <x:c r="J80" s="28" t="n"/>
      <x:c r="K80" s="28" t="n"/>
      <x:c r="L80" s="28" t="n"/>
      <x:c r="M80" s="28" t="n"/>
      <x:c r="N80" s="28" t="n"/>
      <x:c r="O80" s="28" t="n"/>
      <x:c r="P80" s="28" t="n"/>
      <x:c r="Q80" s="100" t="n"/>
      <x:c r="R80" s="100" t="n"/>
      <x:c r="S80" s="28" t="n"/>
      <x:c r="T80" s="28" t="n"/>
      <x:c r="U80" s="28" t="n"/>
      <x:c r="V80" s="28" t="n"/>
      <x:c r="W80" s="28" t="n"/>
      <x:c r="X80" s="28" t="n"/>
      <x:c r="Y80" s="28" t="n"/>
      <x:c r="Z80" s="28" t="n"/>
      <x:c r="AA80" s="28" t="n"/>
      <x:c r="AB80" s="28" t="n"/>
      <x:c r="AC80" s="28" t="n"/>
      <x:c r="AD80" s="100" t="n"/>
      <x:c r="AE80" s="100" t="n"/>
      <x:c r="AF80" s="100" t="n"/>
      <x:c r="AG80" s="100" t="n"/>
      <x:c r="AH80" s="100" t="n"/>
      <x:c r="AI80" s="100" t="n"/>
      <x:c r="AJ80" s="100" t="n"/>
      <x:c r="AK80" s="28" t="n"/>
      <x:c r="AL80" s="100" t="n"/>
      <x:c r="AM80" s="28" t="n"/>
      <x:c r="AN80" s="100" t="n"/>
      <x:c r="AO80" s="28" t="n"/>
      <x:c r="AP80" s="28" t="n"/>
      <x:c r="AQ80" s="28" t="n"/>
      <x:c r="AR80" s="28" t="n"/>
      <x:c r="AS80" s="28" t="n"/>
    </x:row>
    <x:row r="81" s="27" customFormat="1">
      <x:c r="A81" s="38" t="n"/>
      <x:c r="B81" s="37" t="n"/>
      <x:c r="C81" s="86" t="n">
        <x:f>E81*D$5</x:f>
        <x:v>0</x:v>
      </x:c>
      <x:c r="D81" s="523" t="inlineStr">
        <x:is>
          <x:t xml:space="preserve">Confirm — Missing conveyed interest 2002-004595</x:t>
        </x:is>
      </x:c>
      <x:c r="E81" s="86" t="n">
        <x:f>SUM(G81:HT81)</x:f>
        <x:v>0</x:v>
      </x:c>
      <x:c r="F81" s="35" t="inlineStr">
        <x:is>
          <x:t xml:space="preserve"/>
        </x:is>
      </x:c>
      <x:c r="G81" s="121" t="n"/>
      <x:c r="H81" s="28" t="n"/>
      <x:c r="I81" s="28" t="n"/>
      <x:c r="J81" s="28" t="n"/>
      <x:c r="K81" s="28" t="n"/>
      <x:c r="L81" s="28" t="n"/>
      <x:c r="M81" s="28" t="n"/>
      <x:c r="N81" s="28" t="n"/>
      <x:c r="O81" s="28" t="n"/>
      <x:c r="P81" s="28" t="n"/>
      <x:c r="Q81" s="100" t="n"/>
      <x:c r="R81" s="100" t="n"/>
      <x:c r="S81" s="28" t="n"/>
      <x:c r="T81" s="28" t="n"/>
      <x:c r="U81" s="28" t="n"/>
      <x:c r="V81" s="28" t="n"/>
      <x:c r="W81" s="28" t="n"/>
      <x:c r="X81" s="28" t="n"/>
      <x:c r="Y81" s="28" t="n"/>
      <x:c r="Z81" s="28" t="n"/>
      <x:c r="AA81" s="28" t="n"/>
      <x:c r="AB81" s="28" t="n"/>
      <x:c r="AC81" s="28" t="n"/>
      <x:c r="AD81" s="100" t="n"/>
      <x:c r="AE81" s="100" t="n"/>
      <x:c r="AF81" s="100" t="n"/>
      <x:c r="AG81" s="100" t="n"/>
      <x:c r="AH81" s="100" t="n"/>
      <x:c r="AI81" s="100" t="n"/>
      <x:c r="AJ81" s="100" t="n"/>
      <x:c r="AK81" s="28" t="n"/>
      <x:c r="AL81" s="100" t="n"/>
      <x:c r="AM81" s="28" t="n"/>
      <x:c r="AN81" s="100" t="n"/>
      <x:c r="AO81" s="28" t="n"/>
      <x:c r="AP81" s="28" t="n"/>
      <x:c r="AQ81" s="28" t="n"/>
      <x:c r="AR81" s="28" t="n"/>
      <x:c r="AS81" s="28" t="n"/>
    </x:row>
    <x:row r="82" s="27" customFormat="1" ht="24" customHeight="1">
      <x:c r="A82" s="38" t="n"/>
      <x:c r="B82" s="37" t="n"/>
      <x:c r="C82" s="36" t="n">
        <x:f>E82*D$5</x:f>
        <x:v>0</x:v>
      </x:c>
      <x:c r="D82" s="66" t="inlineStr">
        <x:is>
          <x:t xml:space="preserve">Beckham County Court, RE: In the Matter of the Estate of Glenn Douglas Mitchel, Deceased</x:t>
        </x:is>
      </x:c>
      <x:c r="E82" s="36" t="n">
        <x:f>SUM(G82:HT82)</x:f>
        <x:v>0</x:v>
      </x:c>
      <x:c r="F82" s="35" t="inlineStr">
        <x:is>
          <x:t xml:space="preserve"/>
        </x:is>
      </x:c>
      <x:c r="G82" s="121" t="n"/>
      <x:c r="H82" s="28" t="n"/>
      <x:c r="I82" s="28" t="n"/>
      <x:c r="J82" s="28" t="n"/>
      <x:c r="K82" s="28" t="n"/>
      <x:c r="L82" s="28" t="n"/>
      <x:c r="M82" s="28" t="n"/>
      <x:c r="N82" s="28" t="n"/>
      <x:c r="O82" s="28" t="n"/>
      <x:c r="P82" s="28" t="n"/>
      <x:c r="Q82" s="100" t="n"/>
      <x:c r="R82" s="100" t="n"/>
      <x:c r="S82" s="28" t="n"/>
      <x:c r="T82" s="28" t="n"/>
      <x:c r="U82" s="28" t="n"/>
      <x:c r="V82" s="28" t="n"/>
      <x:c r="W82" s="28" t="n"/>
      <x:c r="X82" s="28" t="n"/>
      <x:c r="Y82" s="28" t="n"/>
      <x:c r="Z82" s="28" t="n"/>
      <x:c r="AA82" s="28" t="n"/>
      <x:c r="AB82" s="28" t="n"/>
      <x:c r="AC82" s="28" t="n"/>
      <x:c r="AD82" s="100" t="n"/>
      <x:c r="AE82" s="100" t="n"/>
      <x:c r="AF82" s="100" t="n"/>
      <x:c r="AG82" s="100" t="n"/>
      <x:c r="AH82" s="100" t="n"/>
      <x:c r="AI82" s="100" t="n"/>
      <x:c r="AJ82" s="100" t="n"/>
      <x:c r="AK82" s="28" t="n"/>
      <x:c r="AL82" s="100" t="n"/>
      <x:c r="AM82" s="28" t="n"/>
      <x:c r="AN82" s="100" t="n"/>
      <x:c r="AO82" s="28" t="n"/>
      <x:c r="AP82" s="28" t="n"/>
      <x:c r="AQ82" s="28" t="n"/>
      <x:c r="AR82" s="28" t="n"/>
      <x:c r="AS82" s="28" t="n"/>
      <x:c r="AW82" s="27" t="n">
        <x:v>0</x:v>
      </x:c>
    </x:row>
    <x:row r="83" s="27" customFormat="1">
      <x:c r="A83" s="38" t="n"/>
      <x:c r="B83" s="37" t="n"/>
      <x:c r="C83" s="86" t="n">
        <x:f>E83*D$5</x:f>
        <x:v>36.66666666666668</x:v>
      </x:c>
      <x:c r="D83" s="523" t="inlineStr">
        <x:is>
          <x:t xml:space="preserve">The Public</x:t>
        </x:is>
      </x:c>
      <x:c r="E83" s="86" t="n">
        <x:f>SUM(G83:HT83)</x:f>
        <x:v>0.916666666666667</x:v>
      </x:c>
      <x:c r="F83" s="35" t="inlineStr">
        <x:is>
          <x:t xml:space="preserve"/>
        </x:is>
      </x:c>
      <x:c r="G83" s="121" t="n"/>
      <x:c r="H83" s="28" t="n"/>
      <x:c r="I83" s="28" t="n"/>
      <x:c r="J83" s="28" t="n"/>
      <x:c r="K83" s="28" t="n"/>
      <x:c r="L83" s="28" t="n"/>
      <x:c r="M83" s="28" t="n"/>
      <x:c r="N83" s="28" t="n"/>
      <x:c r="O83" s="28" t="n"/>
      <x:c r="P83" s="28" t="n"/>
      <x:c r="Q83" s="100" t="n"/>
      <x:c r="R83" s="100" t="n"/>
      <x:c r="S83" s="28" t="n"/>
      <x:c r="T83" s="28" t="n"/>
      <x:c r="U83" s="28" t="n"/>
      <x:c r="V83" s="28" t="n"/>
      <x:c r="W83" s="28" t="n"/>
      <x:c r="X83" s="28" t="n"/>
      <x:c r="Y83" s="28" t="n"/>
      <x:c r="Z83" s="28" t="n"/>
      <x:c r="AA83" s="28" t="n"/>
      <x:c r="AB83" s="28" t="n"/>
      <x:c r="AC83" s="28" t="n"/>
      <x:c r="AD83" s="100" t="n"/>
      <x:c r="AE83" s="100" t="n"/>
      <x:c r="AF83" s="100" t="n"/>
      <x:c r="AG83" s="100" t="n"/>
      <x:c r="AH83" s="100" t="n"/>
      <x:c r="AI83" s="100" t="n"/>
      <x:c r="AJ83" s="100" t="n"/>
      <x:c r="AK83" s="28" t="n"/>
      <x:c r="AL83" s="100" t="n"/>
      <x:c r="AM83" s="28" t="n"/>
      <x:c r="AN83" s="100" t="n"/>
      <x:c r="AO83" s="28" t="n"/>
      <x:c r="AP83" s="28" t="n"/>
      <x:c r="AQ83" s="28" t="n"/>
      <x:c r="AR83" s="28" t="n"/>
      <x:c r="AS83" s="28" t="n"/>
      <x:c r="AW83" s="27" t="n">
        <x:v>0</x:v>
      </x:c>
      <x:c r="BC83" s="27" t="n">
        <x:v>0.916666666666667</x:v>
      </x:c>
    </x:row>
    <x:row r="84" s="27" customFormat="1">
      <x:c r="A84" s="38" t="n"/>
      <x:c r="B84" s="37" t="n"/>
      <x:c r="C84" s="36" t="n">
        <x:f>E84*D$5</x:f>
        <x:v>20</x:v>
      </x:c>
      <x:c r="D84" s="66" t="inlineStr">
        <x:is>
          <x:t xml:space="preserve">White Birch</x:t>
        </x:is>
      </x:c>
      <x:c r="E84" s="36" t="n">
        <x:f>SUM(G84:HT84)</x:f>
        <x:v>0.5</x:v>
      </x:c>
      <x:c r="F84" s="35" t="inlineStr">
        <x:is>
          <x:t xml:space="preserve"/>
        </x:is>
      </x:c>
      <x:c r="G84" s="121" t="n"/>
      <x:c r="H84" s="28" t="n"/>
      <x:c r="I84" s="28" t="n"/>
      <x:c r="J84" s="28" t="n"/>
      <x:c r="K84" s="28" t="n"/>
      <x:c r="L84" s="28" t="n"/>
      <x:c r="M84" s="28" t="n"/>
      <x:c r="N84" s="28" t="n"/>
      <x:c r="O84" s="28" t="n"/>
      <x:c r="P84" s="28" t="n"/>
      <x:c r="Q84" s="100" t="n"/>
      <x:c r="R84" s="100" t="n"/>
      <x:c r="S84" s="28" t="n"/>
      <x:c r="T84" s="28" t="n"/>
      <x:c r="U84" s="28" t="n"/>
      <x:c r="V84" s="28" t="n"/>
      <x:c r="W84" s="28" t="n"/>
      <x:c r="X84" s="28" t="n"/>
      <x:c r="Y84" s="28" t="n"/>
      <x:c r="Z84" s="28" t="n"/>
      <x:c r="AA84" s="28" t="n"/>
      <x:c r="AB84" s="28" t="n"/>
      <x:c r="AC84" s="28" t="n"/>
      <x:c r="AD84" s="100" t="n"/>
      <x:c r="AE84" s="100" t="n"/>
      <x:c r="AF84" s="100" t="n"/>
      <x:c r="AG84" s="100" t="n"/>
      <x:c r="AH84" s="100" t="n"/>
      <x:c r="AI84" s="100" t="n"/>
      <x:c r="AJ84" s="100" t="n"/>
      <x:c r="AK84" s="28" t="n"/>
      <x:c r="AL84" s="100" t="n"/>
      <x:c r="AM84" s="28" t="n"/>
      <x:c r="AN84" s="100" t="n"/>
      <x:c r="AO84" s="28" t="n"/>
      <x:c r="AP84" s="28" t="n"/>
      <x:c r="AQ84" s="28" t="n"/>
      <x:c r="AR84" s="28" t="n"/>
      <x:c r="AS84" s="28" t="n"/>
      <x:c r="AX84" s="27" t="n">
        <x:v>0.5</x:v>
      </x:c>
    </x:row>
    <x:row r="85" s="27" customFormat="1">
      <x:c r="A85" s="38" t="n"/>
      <x:c r="B85" s="37" t="n"/>
      <x:c r="C85" s="36" t="n">
        <x:f>E85*D$5</x:f>
        <x:v>20</x:v>
      </x:c>
      <x:c r="D85" s="66" t="inlineStr">
        <x:is>
          <x:t xml:space="preserve">L.P.</x:t>
        </x:is>
      </x:c>
      <x:c r="E85" s="36" t="n">
        <x:f>SUM(G85:HT85)</x:f>
        <x:v>0.5</x:v>
      </x:c>
      <x:c r="F85" s="35" t="inlineStr">
        <x:is>
          <x:t xml:space="preserve"/>
        </x:is>
      </x:c>
      <x:c r="G85" s="121" t="n"/>
      <x:c r="H85" s="28" t="n"/>
      <x:c r="I85" s="28" t="n"/>
      <x:c r="J85" s="28" t="n"/>
      <x:c r="K85" s="28" t="n"/>
      <x:c r="L85" s="28" t="n"/>
      <x:c r="M85" s="28" t="n"/>
      <x:c r="N85" s="28" t="n"/>
      <x:c r="O85" s="28" t="n"/>
      <x:c r="P85" s="28" t="n"/>
      <x:c r="Q85" s="100" t="n"/>
      <x:c r="R85" s="100" t="n"/>
      <x:c r="S85" s="28" t="n"/>
      <x:c r="T85" s="28" t="n"/>
      <x:c r="U85" s="28" t="n"/>
      <x:c r="V85" s="28" t="n"/>
      <x:c r="W85" s="28" t="n"/>
      <x:c r="X85" s="28" t="n"/>
      <x:c r="Y85" s="28" t="n"/>
      <x:c r="Z85" s="28" t="n"/>
      <x:c r="AA85" s="28" t="n"/>
      <x:c r="AB85" s="28" t="n"/>
      <x:c r="AC85" s="28" t="n"/>
      <x:c r="AD85" s="100" t="n"/>
      <x:c r="AE85" s="100" t="n"/>
      <x:c r="AF85" s="100" t="n"/>
      <x:c r="AG85" s="100" t="n"/>
      <x:c r="AH85" s="100" t="n"/>
      <x:c r="AI85" s="100" t="n"/>
      <x:c r="AJ85" s="100" t="n"/>
      <x:c r="AK85" s="28" t="n"/>
      <x:c r="AL85" s="100" t="n"/>
      <x:c r="AM85" s="28" t="n"/>
      <x:c r="AN85" s="100" t="n"/>
      <x:c r="AO85" s="28" t="n"/>
      <x:c r="AP85" s="28" t="n"/>
      <x:c r="AQ85" s="28" t="n"/>
      <x:c r="AR85" s="28" t="n"/>
      <x:c r="AS85" s="28" t="n"/>
      <x:c r="AX85" s="27" t="n">
        <x:v>0.5</x:v>
      </x:c>
    </x:row>
    <x:row r="86" s="27" customFormat="1" ht="24" customHeight="1">
      <x:c r="A86" s="38" t="n"/>
      <x:c r="B86" s="37" t="n"/>
      <x:c r="C86" s="36" t="n">
        <x:f>E86*D$5</x:f>
        <x:v>-40</x:v>
      </x:c>
      <x:c r="D86" s="418" t="inlineStr">
        <x:is>
          <x:t xml:space="preserve">Beckham County Court, RE: In the Matter of the Estate of Evelyn Louise McLerran, Deceased</x:t>
        </x:is>
      </x:c>
      <x:c r="E86" s="411" t="n">
        <x:f>SUM(G86:HT86)</x:f>
        <x:v>-1</x:v>
      </x:c>
      <x:c r="F86" s="35" t="inlineStr">
        <x:is>
          <x:t xml:space="preserve"/>
        </x:is>
      </x:c>
      <x:c r="G86" s="121" t="n"/>
      <x:c r="H86" s="28" t="n"/>
      <x:c r="I86" s="28" t="n"/>
      <x:c r="J86" s="28" t="n"/>
      <x:c r="K86" s="28" t="n"/>
      <x:c r="L86" s="28" t="n"/>
      <x:c r="M86" s="28" t="n"/>
      <x:c r="N86" s="28" t="n"/>
      <x:c r="O86" s="28" t="n"/>
      <x:c r="P86" s="28" t="n"/>
      <x:c r="Q86" s="100" t="n"/>
      <x:c r="R86" s="100" t="n"/>
      <x:c r="S86" s="28" t="n"/>
      <x:c r="T86" s="28" t="n"/>
      <x:c r="U86" s="28" t="n"/>
      <x:c r="V86" s="28" t="n"/>
      <x:c r="W86" s="28" t="n"/>
      <x:c r="X86" s="28" t="n"/>
      <x:c r="Y86" s="28" t="n"/>
      <x:c r="Z86" s="28" t="n"/>
      <x:c r="AA86" s="28" t="n"/>
      <x:c r="AB86" s="28" t="n"/>
      <x:c r="AC86" s="28" t="n"/>
      <x:c r="AD86" s="100" t="n"/>
      <x:c r="AE86" s="100" t="n"/>
      <x:c r="AF86" s="100" t="n"/>
      <x:c r="AG86" s="100" t="n"/>
      <x:c r="AH86" s="100" t="n"/>
      <x:c r="AI86" s="100" t="n"/>
      <x:c r="AJ86" s="100" t="n"/>
      <x:c r="AK86" s="28" t="n"/>
      <x:c r="AL86" s="100" t="n"/>
      <x:c r="AM86" s="28" t="n"/>
      <x:c r="AN86" s="100" t="n"/>
      <x:c r="AO86" s="28" t="n"/>
      <x:c r="AP86" s="28" t="n"/>
      <x:c r="AQ86" s="28" t="n"/>
      <x:c r="AR86" s="28" t="n"/>
      <x:c r="AS86" s="28" t="n"/>
      <x:c r="AY86" s="27" t="n">
        <x:v>-1</x:v>
      </x:c>
    </x:row>
    <x:row r="87" s="27" customFormat="1">
      <x:c r="A87" s="38" t="n"/>
      <x:c r="B87" s="37" t="n"/>
      <x:c r="C87" s="36" t="n">
        <x:f>E87*D$5</x:f>
        <x:v>40</x:v>
      </x:c>
      <x:c r="D87" s="66" t="inlineStr">
        <x:is>
          <x:t xml:space="preserve">Nana Lou Jones</x:t>
        </x:is>
      </x:c>
      <x:c r="E87" s="36" t="n">
        <x:f>SUM(G87:HT87)</x:f>
        <x:v>1</x:v>
      </x:c>
      <x:c r="F87" s="35" t="inlineStr">
        <x:is>
          <x:t xml:space="preserve"/>
        </x:is>
      </x:c>
      <x:c r="G87" s="121" t="n"/>
      <x:c r="Q87" s="100" t="n"/>
      <x:c r="R87" s="100" t="n"/>
      <x:c r="AD87" s="100" t="n"/>
      <x:c r="AE87" s="100" t="n"/>
      <x:c r="AF87" s="100" t="n"/>
      <x:c r="AG87" s="100" t="n"/>
      <x:c r="AH87" s="100" t="n"/>
      <x:c r="AI87" s="100" t="n"/>
      <x:c r="AJ87" s="100" t="n"/>
      <x:c r="AL87" s="100" t="n"/>
      <x:c r="AN87" s="100" t="n"/>
      <x:c r="AY87" s="27" t="n">
        <x:v>1</x:v>
      </x:c>
    </x:row>
    <x:row r="88" s="27" customFormat="1">
      <x:c r="A88" s="38" t="n"/>
      <x:c r="B88" s="37" t="n"/>
      <x:c r="C88" s="86" t="n">
        <x:f>E88*D$5</x:f>
        <x:v>-40</x:v>
      </x:c>
      <x:c r="D88" s="422" t="inlineStr">
        <x:is>
          <x:t xml:space="preserve">Aspen Energy Group, Inc.</x:t>
        </x:is>
      </x:c>
      <x:c r="E88" s="413" t="n">
        <x:f>SUM(G88:HT88)</x:f>
        <x:v>-1</x:v>
      </x:c>
      <x:c r="F88" s="35" t="inlineStr">
        <x:is>
          <x:t xml:space="preserve"/>
        </x:is>
      </x:c>
      <x:c r="G88" s="121" t="n"/>
      <x:c r="Q88" s="100" t="n"/>
      <x:c r="R88" s="100" t="n"/>
      <x:c r="AD88" s="100" t="n"/>
      <x:c r="AE88" s="100" t="n"/>
      <x:c r="AF88" s="100" t="n"/>
      <x:c r="AG88" s="100" t="n"/>
      <x:c r="AH88" s="100" t="n"/>
      <x:c r="AI88" s="100" t="n"/>
      <x:c r="AJ88" s="100" t="n"/>
      <x:c r="AL88" s="100" t="n"/>
      <x:c r="AN88" s="100" t="n"/>
      <x:c r="AZ88" s="27" t="n">
        <x:v>-1</x:v>
      </x:c>
    </x:row>
    <x:row r="89" s="27" customFormat="1">
      <x:c r="A89" s="38" t="n"/>
      <x:c r="B89" s="37" t="n"/>
      <x:c r="C89" s="36" t="n">
        <x:f>E89*D$5</x:f>
        <x:v>40</x:v>
      </x:c>
      <x:c r="D89" s="66" t="inlineStr">
        <x:is>
          <x:t xml:space="preserve">Crusader Energy Corporation</x:t>
        </x:is>
      </x:c>
      <x:c r="E89" s="36" t="n">
        <x:f>SUM(G89:HT89)</x:f>
        <x:v>1</x:v>
      </x:c>
      <x:c r="F89" s="35" t="inlineStr">
        <x:is>
          <x:t xml:space="preserve"/>
        </x:is>
      </x:c>
      <x:c r="G89" s="121" t="n"/>
      <x:c r="Q89" s="100" t="n"/>
      <x:c r="R89" s="100" t="n"/>
      <x:c r="AD89" s="100" t="n"/>
      <x:c r="AE89" s="100" t="n"/>
      <x:c r="AF89" s="100" t="n"/>
      <x:c r="AG89" s="100" t="n"/>
      <x:c r="AH89" s="100" t="n"/>
      <x:c r="AI89" s="100" t="n"/>
      <x:c r="AJ89" s="100" t="n"/>
      <x:c r="AL89" s="100" t="n"/>
      <x:c r="AN89" s="100" t="n"/>
      <x:c r="AZ89" s="27" t="n">
        <x:v>1</x:v>
      </x:c>
    </x:row>
    <x:row r="90" s="27" customFormat="1">
      <x:c r="A90" s="38" t="n"/>
      <x:c r="B90" s="37" t="n"/>
      <x:c r="C90" s="36" t="n">
        <x:f>E90*D$5</x:f>
        <x:v>-40</x:v>
      </x:c>
      <x:c r="D90" s="418" t="inlineStr">
        <x:is>
          <x:t xml:space="preserve">Minion Investment Co, Brian L. Rice</x:t>
        </x:is>
      </x:c>
      <x:c r="E90" s="413" t="n">
        <x:f>SUM(G90:HT90)</x:f>
        <x:v>-1</x:v>
      </x:c>
      <x:c r="F90" s="35" t="inlineStr">
        <x:is>
          <x:t xml:space="preserve"/>
        </x:is>
      </x:c>
      <x:c r="G90" s="121" t="n"/>
      <x:c r="Q90" s="100" t="n"/>
      <x:c r="R90" s="100" t="n"/>
      <x:c r="AD90" s="100" t="n"/>
      <x:c r="AE90" s="100" t="n"/>
      <x:c r="AF90" s="100" t="n"/>
      <x:c r="AG90" s="100" t="n"/>
      <x:c r="AH90" s="100" t="n"/>
      <x:c r="AI90" s="100" t="n"/>
      <x:c r="AJ90" s="100" t="n"/>
      <x:c r="AL90" s="100" t="n"/>
      <x:c r="AN90" s="100" t="n"/>
      <x:c r="BA90" s="27" t="n">
        <x:v>-1</x:v>
      </x:c>
    </x:row>
    <x:row r="91" s="27" customFormat="1">
      <x:c r="A91" s="38" t="n"/>
      <x:c r="B91" s="37" t="n"/>
      <x:c r="C91" s="86" t="n">
        <x:f>E91*D$5</x:f>
        <x:v>80</x:v>
      </x:c>
      <x:c r="D91" s="66" t="inlineStr">
        <x:is>
          <x:t xml:space="preserve">Prism Energy, Inc.</x:t>
        </x:is>
      </x:c>
      <x:c r="E91" s="86" t="n">
        <x:f>SUM(G91:HT91)</x:f>
        <x:v>2</x:v>
      </x:c>
      <x:c r="F91" s="35" t="inlineStr">
        <x:is>
          <x:t xml:space="preserve"/>
        </x:is>
      </x:c>
      <x:c r="G91" s="121" t="n"/>
      <x:c r="Q91" s="100" t="n"/>
      <x:c r="R91" s="100" t="n"/>
      <x:c r="AD91" s="100" t="n"/>
      <x:c r="AE91" s="100" t="n"/>
      <x:c r="AF91" s="100" t="n"/>
      <x:c r="AG91" s="100" t="n"/>
      <x:c r="AH91" s="100" t="n"/>
      <x:c r="AI91" s="100" t="n"/>
      <x:c r="AJ91" s="100" t="n"/>
      <x:c r="AL91" s="100" t="n"/>
      <x:c r="AN91" s="100" t="n"/>
      <x:c r="BA91" s="27" t="n">
        <x:v>1</x:v>
      </x:c>
      <x:c r="BB91" s="27" t="n">
        <x:v>1</x:v>
      </x:c>
    </x:row>
    <x:row r="92" s="27" customFormat="1" ht="24" customHeight="1">
      <x:c r="A92" s="38" t="n"/>
      <x:c r="B92" s="37" t="n"/>
      <x:c r="C92" s="36" t="n">
        <x:f>E92*D$5</x:f>
        <x:v>-36.66666666666668</x:v>
      </x:c>
      <x:c r="D92" s="418" t="inlineStr">
        <x:is>
          <x:t xml:space="preserve">Glenda A. Palmer, Trustee of the Glenn Douglas Mitchel and Hazel Pearl Mitchel Trust</x:t>
        </x:is>
      </x:c>
      <x:c r="E92" s="413" t="n">
        <x:f>SUM(G92:HT92)</x:f>
        <x:v>-0.916666666666667</x:v>
      </x:c>
      <x:c r="F92" s="35" t="inlineStr">
        <x:is>
          <x:t xml:space="preserve"/>
        </x:is>
      </x:c>
      <x:c r="G92" s="121" t="n"/>
      <x:c r="Q92" s="100" t="n"/>
      <x:c r="R92" s="100" t="n"/>
      <x:c r="AD92" s="100" t="n"/>
      <x:c r="AE92" s="100" t="n"/>
      <x:c r="AF92" s="100" t="n"/>
      <x:c r="AG92" s="100" t="n"/>
      <x:c r="AH92" s="100" t="n"/>
      <x:c r="AI92" s="100" t="n"/>
      <x:c r="AJ92" s="100" t="n"/>
      <x:c r="AL92" s="100" t="n"/>
      <x:c r="AN92" s="100" t="n"/>
      <x:c r="BC92" s="27" t="n">
        <x:v>-0.916666666666667</x:v>
      </x:c>
    </x:row>
    <x:row r="93" s="27" customFormat="1">
      <x:c r="A93" s="38" t="n"/>
      <x:c r="B93" s="37" t="n"/>
      <x:c r="C93" s="86" t="n">
        <x:f>E93*D$5</x:f>
        <x:v>-40</x:v>
      </x:c>
      <x:c r="D93" s="418" t="inlineStr">
        <x:is>
          <x:t xml:space="preserve">Floyd W. Atha and Nancy D. Atha, HW</x:t>
        </x:is>
      </x:c>
      <x:c r="E93" s="413" t="n">
        <x:f>SUM(G93:HT93)</x:f>
        <x:v>-1</x:v>
      </x:c>
      <x:c r="F93" s="35" t="inlineStr">
        <x:is>
          <x:t xml:space="preserve"/>
        </x:is>
      </x:c>
      <x:c r="G93" s="121" t="n"/>
      <x:c r="Q93" s="100" t="n"/>
      <x:c r="R93" s="100" t="n"/>
      <x:c r="AD93" s="100" t="n"/>
      <x:c r="AE93" s="100" t="n"/>
      <x:c r="AF93" s="100" t="n"/>
      <x:c r="AG93" s="100" t="n"/>
      <x:c r="AH93" s="100" t="n"/>
      <x:c r="AI93" s="100" t="n"/>
      <x:c r="AJ93" s="100" t="n"/>
      <x:c r="AL93" s="100" t="n"/>
      <x:c r="AN93" s="100" t="n"/>
      <x:c r="BD93" s="27" t="n">
        <x:v>-1</x:v>
      </x:c>
    </x:row>
    <x:row r="94" s="27" customFormat="1" ht="24" customHeight="1">
      <x:c r="A94" s="38" t="n"/>
      <x:c r="B94" s="37" t="n"/>
      <x:c r="C94" s="36" t="n">
        <x:f>E94*D$5</x:f>
        <x:v>40</x:v>
      </x:c>
      <x:c r="D94" s="66" t="inlineStr">
        <x:is>
          <x:t xml:space="preserve">loyd Atha and Nancy Atha, Co-Trustees of the Floyd Atha and Nancy Atha Revocable Trust Dated March 21st, 2007</x:t>
        </x:is>
      </x:c>
      <x:c r="E94" s="86" t="n">
        <x:f>SUM(G94:HT94)</x:f>
        <x:v>1</x:v>
      </x:c>
      <x:c r="F94" s="35" t="inlineStr">
        <x:is>
          <x:t xml:space="preserve"/>
        </x:is>
      </x:c>
      <x:c r="G94" s="121" t="n"/>
      <x:c r="Q94" s="100" t="n"/>
      <x:c r="R94" s="100" t="n"/>
      <x:c r="AD94" s="100" t="n"/>
      <x:c r="AE94" s="100" t="n"/>
      <x:c r="AF94" s="100" t="n"/>
      <x:c r="AG94" s="100" t="n"/>
      <x:c r="AH94" s="100" t="n"/>
      <x:c r="AI94" s="100" t="n"/>
      <x:c r="AJ94" s="100" t="n"/>
      <x:c r="AL94" s="100" t="n"/>
      <x:c r="AN94" s="100" t="n"/>
      <x:c r="BD94" s="27" t="n">
        <x:v>1</x:v>
      </x:c>
    </x:row>
    <x:row r="95" s="27" customFormat="1">
      <x:c r="A95" s="38" t="n"/>
      <x:c r="B95" s="37" t="n"/>
      <x:c r="C95" s="86" t="n">
        <x:f>E95*D$5</x:f>
        <x:v>0</x:v>
      </x:c>
      <x:c r="D95" s="66" t="inlineStr">
        <x:is>
          <x:t xml:space="preserve">Hefner Company, Inc.</x:t>
        </x:is>
      </x:c>
      <x:c r="E95" s="86" t="n">
        <x:f>SUM(G95:HT95)</x:f>
        <x:v>0</x:v>
      </x:c>
      <x:c r="F95" s="35" t="inlineStr">
        <x:is>
          <x:t xml:space="preserve"/>
        </x:is>
      </x:c>
      <x:c r="G95" s="121" t="n"/>
      <x:c r="Q95" s="100" t="n"/>
      <x:c r="R95" s="100" t="n"/>
      <x:c r="AD95" s="100" t="n"/>
      <x:c r="AE95" s="100" t="n"/>
      <x:c r="AF95" s="100" t="n"/>
      <x:c r="AG95" s="100" t="n"/>
      <x:c r="AH95" s="100" t="n"/>
      <x:c r="AI95" s="100" t="n"/>
      <x:c r="AJ95" s="100" t="n"/>
      <x:c r="AL95" s="100" t="n"/>
      <x:c r="AN95" s="100" t="n"/>
      <x:c r="BE95" s="27" t="n">
        <x:v>0</x:v>
      </x:c>
    </x:row>
    <x:row r="96" s="27" customFormat="1">
      <x:c r="A96" s="38" t="n"/>
      <x:c r="B96" s="37" t="n"/>
      <x:c r="C96" s="36" t="n">
        <x:f>E96*D$5</x:f>
        <x:v>0</x:v>
      </x:c>
      <x:c r="D96" s="66" t="inlineStr">
        <x:is>
          <x:t xml:space="preserve">Cheyenne Resources, LLC</x:t>
        </x:is>
      </x:c>
      <x:c r="E96" s="36" t="n">
        <x:f>SUM(G96:HT96)</x:f>
        <x:v>0</x:v>
      </x:c>
      <x:c r="F96" s="35" t="inlineStr">
        <x:is>
          <x:t xml:space="preserve"/>
        </x:is>
      </x:c>
      <x:c r="G96" s="121" t="n"/>
      <x:c r="Q96" s="100" t="n"/>
      <x:c r="R96" s="100" t="n"/>
      <x:c r="AD96" s="100" t="n"/>
      <x:c r="AE96" s="100" t="n"/>
      <x:c r="AF96" s="100" t="n"/>
      <x:c r="AG96" s="100" t="n"/>
      <x:c r="AH96" s="100" t="n"/>
      <x:c r="AI96" s="100" t="n"/>
      <x:c r="AJ96" s="100" t="n"/>
      <x:c r="AL96" s="100" t="n"/>
      <x:c r="AN96" s="100" t="n"/>
      <x:c r="BE96" s="27" t="n">
        <x:v>0</x:v>
      </x:c>
    </x:row>
    <x:row r="97" s="27" customFormat="1">
      <x:c r="A97" s="38" t="n"/>
      <x:c r="B97" s="37" t="n"/>
      <x:c r="C97" s="36" t="n">
        <x:f>E97*D$5</x:f>
        <x:v>-16.92307692307692</x:v>
      </x:c>
      <x:c r="D97" s="418" t="inlineStr">
        <x:is>
          <x:t xml:space="preserve">Richard Palmer and Glenda Palmer, HW</x:t>
        </x:is>
      </x:c>
      <x:c r="E97" s="411" t="n">
        <x:f>SUM(G97:HT97)</x:f>
        <x:v>-0.423076923076923</x:v>
      </x:c>
      <x:c r="F97" s="35" t="inlineStr">
        <x:is>
          <x:t xml:space="preserve"/>
        </x:is>
      </x:c>
      <x:c r="G97" s="121" t="n"/>
      <x:c r="Q97" s="100" t="n"/>
      <x:c r="R97" s="100" t="n"/>
      <x:c r="AD97" s="100" t="n"/>
      <x:c r="AE97" s="100" t="n"/>
      <x:c r="AF97" s="100" t="n"/>
      <x:c r="AG97" s="100" t="n"/>
      <x:c r="AH97" s="100" t="n"/>
      <x:c r="AI97" s="100" t="n"/>
      <x:c r="AJ97" s="100" t="n"/>
      <x:c r="AL97" s="100" t="n"/>
      <x:c r="AN97" s="100" t="n"/>
      <x:c r="BF97" s="27" t="n">
        <x:v>-0.423076923076923</x:v>
      </x:c>
    </x:row>
    <x:row r="98" s="27" customFormat="1" ht="24" customHeight="1">
      <x:c r="A98" s="38" t="n"/>
      <x:c r="B98" s="37" t="n"/>
      <x:c r="C98" s="36" t="n">
        <x:f>E98*D$5</x:f>
        <x:v>18.974358974358957</x:v>
      </x:c>
      <x:c r="D98" s="66" t="inlineStr">
        <x:is>
          <x:t xml:space="preserve">Glenda Ann Palmer and Richard Royce Palmer, as Trustees of The Palmer Family Trust, u/t/a dated November 19, 2010</x:t>
        </x:is>
      </x:c>
      <x:c r="E98" s="36" t="n">
        <x:f>SUM(G98:HT98)</x:f>
        <x:v>0.4743589743589739</x:v>
      </x:c>
      <x:c r="F98" s="35" t="inlineStr">
        <x:is>
          <x:t xml:space="preserve"/>
        </x:is>
      </x:c>
      <x:c r="G98" s="121" t="n"/>
      <x:c r="Q98" s="100" t="n"/>
      <x:c r="R98" s="100" t="n"/>
      <x:c r="AD98" s="100" t="n"/>
      <x:c r="AE98" s="100" t="n"/>
      <x:c r="AF98" s="100" t="n"/>
      <x:c r="AG98" s="100" t="n"/>
      <x:c r="AH98" s="100" t="n"/>
      <x:c r="AI98" s="100" t="n"/>
      <x:c r="AJ98" s="100" t="n"/>
      <x:c r="AL98" s="100" t="n"/>
      <x:c r="AN98" s="100" t="n"/>
      <x:c r="BF98" s="27" t="n">
        <x:v>0.1410256410256409</x:v>
      </x:c>
      <x:c r="BG98" s="27" t="n">
        <x:v>0.333333333333333</x:v>
      </x:c>
    </x:row>
    <x:row r="99" s="27" customFormat="1" ht="36" customHeight="1">
      <x:c r="A99" s="38" t="n"/>
      <x:c r="B99" s="37" t="n"/>
      <x:c r="C99" s="36" t="n">
        <x:f>E99*D$5</x:f>
        <x:v>18.974358974358957</x:v>
      </x:c>
      <x:c r="D99" s="523" t="inlineStr">
        <x:is>
          <x:t xml:space="preserve">Shonna Arlene Mitchel, as Trustee of the Jack D. Mitchel and Shonna A. Mitchel Family Trust, u/t/a dated September 13, 1990</x:t>
        </x:is>
      </x:c>
      <x:c r="E99" s="36" t="n">
        <x:f>SUM(G99:HT99)</x:f>
        <x:v>0.4743589743589739</x:v>
      </x:c>
      <x:c r="F99" s="35" t="inlineStr">
        <x:is>
          <x:t xml:space="preserve"/>
        </x:is>
      </x:c>
      <x:c r="G99" s="121" t="n"/>
      <x:c r="Q99" s="100" t="n"/>
      <x:c r="R99" s="100" t="n"/>
      <x:c r="AD99" s="100" t="n"/>
      <x:c r="AE99" s="100" t="n"/>
      <x:c r="AF99" s="100" t="n"/>
      <x:c r="AG99" s="100" t="n"/>
      <x:c r="AH99" s="100" t="n"/>
      <x:c r="AI99" s="100" t="n"/>
      <x:c r="AJ99" s="100" t="n"/>
      <x:c r="AL99" s="100" t="n"/>
      <x:c r="AN99" s="100" t="n"/>
      <x:c r="BF99" s="27" t="n">
        <x:v>0.1410256410256409</x:v>
      </x:c>
      <x:c r="BG99" s="27" t="n">
        <x:v>0.333333333333333</x:v>
      </x:c>
    </x:row>
    <x:row r="100" s="27" customFormat="1">
      <x:c r="A100" s="38" t="n"/>
      <x:c r="B100" s="37" t="n"/>
      <x:c r="C100" s="36" t="n">
        <x:f>E100*D$5</x:f>
        <x:v>18.974358974358957</x:v>
      </x:c>
      <x:c r="D100" s="523" t="inlineStr">
        <x:is>
          <x:t xml:space="preserve">Shanti Jonathan Mitchel</x:t>
        </x:is>
      </x:c>
      <x:c r="E100" s="36" t="n">
        <x:f>SUM(G100:HT100)</x:f>
        <x:v>0.4743589743589739</x:v>
      </x:c>
      <x:c r="F100" s="35" t="inlineStr">
        <x:is>
          <x:t xml:space="preserve"/>
        </x:is>
      </x:c>
      <x:c r="G100" s="121" t="n"/>
      <x:c r="Q100" s="100" t="n"/>
      <x:c r="R100" s="100" t="n"/>
      <x:c r="AD100" s="100" t="n"/>
      <x:c r="AE100" s="100" t="n"/>
      <x:c r="AF100" s="100" t="n"/>
      <x:c r="AG100" s="100" t="n"/>
      <x:c r="AH100" s="100" t="n"/>
      <x:c r="AI100" s="100" t="n"/>
      <x:c r="AJ100" s="100" t="n"/>
      <x:c r="AL100" s="100" t="n"/>
      <x:c r="AN100" s="100" t="n"/>
      <x:c r="BF100" s="27" t="n">
        <x:v>0.1410256410256409</x:v>
      </x:c>
      <x:c r="BG100" s="27" t="n">
        <x:v>0.333333333333333</x:v>
      </x:c>
    </x:row>
    <x:row r="101" s="27" customFormat="1" ht="25.5" customHeight="1">
      <x:c r="A101" s="38" t="n"/>
      <x:c r="B101" s="37" t="n"/>
      <x:c r="C101" s="36" t="n">
        <x:f>E101*D$5</x:f>
        <x:v>-40</x:v>
      </x:c>
      <x:c r="D101" s="420" t="inlineStr">
        <x:is>
          <x:t xml:space="preserve">Glenda Ann Palmer, as Trustee of the Glenn Douglas Mitchel and Hazel Pearl Mitchel Trust</x:t>
        </x:is>
      </x:c>
      <x:c r="E101" s="411" t="n">
        <x:f>SUM(G101:HT101)</x:f>
        <x:v>-1</x:v>
      </x:c>
      <x:c r="F101" s="35" t="inlineStr">
        <x:is>
          <x:t xml:space="preserve"/>
        </x:is>
      </x:c>
      <x:c r="G101" s="121" t="n"/>
      <x:c r="Q101" s="100" t="n"/>
      <x:c r="R101" s="100" t="n"/>
      <x:c r="AD101" s="100" t="n"/>
      <x:c r="AE101" s="100" t="n"/>
      <x:c r="AF101" s="100" t="n"/>
      <x:c r="AG101" s="100" t="n"/>
      <x:c r="AH101" s="100" t="n"/>
      <x:c r="AI101" s="100" t="n"/>
      <x:c r="AJ101" s="100" t="n"/>
      <x:c r="AL101" s="100" t="n"/>
      <x:c r="AN101" s="100" t="n"/>
      <x:c r="BG101" s="27" t="n">
        <x:v>-1</x:v>
      </x:c>
    </x:row>
    <x:row r="102" s="27" customFormat="1">
      <x:c r="A102" s="38" t="n"/>
      <x:c r="B102" s="37" t="n"/>
      <x:c r="C102" s="36" t="n">
        <x:f>E102*D$5</x:f>
        <x:v>-13.33333333333332</x:v>
      </x:c>
      <x:c r="D102" s="420" t="inlineStr">
        <x:is>
          <x:t xml:space="preserve">Shonna Mitchel</x:t>
        </x:is>
      </x:c>
      <x:c r="E102" s="411" t="n">
        <x:f>SUM(G102:HT102)</x:f>
        <x:v>-0.333333333333333</x:v>
      </x:c>
      <x:c r="F102" s="35" t="inlineStr">
        <x:is>
          <x:t xml:space="preserve"/>
        </x:is>
      </x:c>
      <x:c r="G102" s="121" t="n"/>
      <x:c r="Q102" s="100" t="n"/>
      <x:c r="R102" s="100" t="n"/>
      <x:c r="AD102" s="100" t="n"/>
      <x:c r="AE102" s="100" t="n"/>
      <x:c r="AF102" s="100" t="n"/>
      <x:c r="AG102" s="100" t="n"/>
      <x:c r="AH102" s="100" t="n"/>
      <x:c r="AI102" s="100" t="n"/>
      <x:c r="AJ102" s="100" t="n"/>
      <x:c r="AL102" s="100" t="n"/>
      <x:c r="AN102" s="100" t="n"/>
      <x:c r="BH102" s="27" t="n">
        <x:v>-0.333333333333333</x:v>
      </x:c>
    </x:row>
    <x:row r="103" s="27" customFormat="1" ht="25.5" customHeight="1">
      <x:c r="A103" s="38" t="n"/>
      <x:c r="B103" s="37" t="n"/>
      <x:c r="C103" s="36" t="n">
        <x:f>E103*D$5</x:f>
        <x:v>-13.33333333333332</x:v>
      </x:c>
      <x:c r="D103" s="420" t="inlineStr">
        <x:is>
          <x:t xml:space="preserve">same person as Shonna A. Mitchel and as Shonna Arlene Mitchel</x:t>
        </x:is>
      </x:c>
      <x:c r="E103" s="411" t="n">
        <x:f>SUM(G103:HT103)</x:f>
        <x:v>-0.333333333333333</x:v>
      </x:c>
      <x:c r="F103" s="35" t="inlineStr">
        <x:is>
          <x:t xml:space="preserve"/>
        </x:is>
      </x:c>
      <x:c r="G103" s="121" t="n"/>
      <x:c r="Q103" s="100" t="n"/>
      <x:c r="R103" s="100" t="n"/>
      <x:c r="AD103" s="100" t="n"/>
      <x:c r="AE103" s="100" t="n"/>
      <x:c r="AF103" s="100" t="n"/>
      <x:c r="AG103" s="100" t="n"/>
      <x:c r="AH103" s="100" t="n"/>
      <x:c r="AI103" s="100" t="n"/>
      <x:c r="AJ103" s="100" t="n"/>
      <x:c r="AL103" s="100" t="n"/>
      <x:c r="AN103" s="100" t="n"/>
      <x:c r="BH103" s="27" t="n">
        <x:v>-0.333333333333333</x:v>
      </x:c>
    </x:row>
    <x:row r="104" s="27" customFormat="1">
      <x:c r="A104" s="38" t="n"/>
      <x:c r="B104" s="37" t="n"/>
      <x:c r="C104" s="36" t="n">
        <x:f>E104*D$5</x:f>
        <x:v>-13.33333333333332</x:v>
      </x:c>
      <x:c r="D104" s="420" t="inlineStr">
        <x:is>
          <x:t xml:space="preserve">single person</x:t>
        </x:is>
      </x:c>
      <x:c r="E104" s="411" t="n">
        <x:f>SUM(G104:HT104)</x:f>
        <x:v>-0.333333333333333</x:v>
      </x:c>
      <x:c r="F104" s="35" t="inlineStr">
        <x:is>
          <x:t xml:space="preserve"/>
        </x:is>
      </x:c>
      <x:c r="G104" s="121" t="n"/>
      <x:c r="Q104" s="100" t="n"/>
      <x:c r="R104" s="100" t="n"/>
      <x:c r="AD104" s="100" t="n"/>
      <x:c r="AE104" s="100" t="n"/>
      <x:c r="AF104" s="100" t="n"/>
      <x:c r="AG104" s="100" t="n"/>
      <x:c r="AH104" s="100" t="n"/>
      <x:c r="AI104" s="100" t="n"/>
      <x:c r="AJ104" s="100" t="n"/>
      <x:c r="AL104" s="100" t="n"/>
      <x:c r="AN104" s="100" t="n"/>
      <x:c r="BH104" s="27" t="n">
        <x:v>-0.333333333333333</x:v>
      </x:c>
    </x:row>
    <x:row r="105" s="27" customFormat="1" ht="38.25" customHeight="1">
      <x:c r="A105" s="38" t="n"/>
      <x:c r="B105" s="37" t="n"/>
      <x:c r="C105" s="36" t="n">
        <x:f>E105*D$5</x:f>
        <x:v>40</x:v>
      </x:c>
      <x:c r="D105" s="20" t="inlineStr">
        <x:is>
          <x:t xml:space="preserve">Shonna Arlene Mitchel, same person as Shonna A. Mitchel, as Trustee of The Jack D. Mitchel and Shonna A. Mitchel Family Trust, u/t/a dated September 13, 1990</x:t>
        </x:is>
      </x:c>
      <x:c r="E105" s="36" t="n">
        <x:f>SUM(G105:HT105)</x:f>
        <x:v>1</x:v>
      </x:c>
      <x:c r="F105" s="35" t="inlineStr">
        <x:is>
          <x:t xml:space="preserve"/>
        </x:is>
      </x:c>
      <x:c r="G105" s="121" t="n"/>
      <x:c r="Q105" s="100" t="n"/>
      <x:c r="R105" s="100" t="n"/>
      <x:c r="AD105" s="100" t="n"/>
      <x:c r="AE105" s="100" t="n"/>
      <x:c r="AF105" s="100" t="n"/>
      <x:c r="AG105" s="100" t="n"/>
      <x:c r="AH105" s="100" t="n"/>
      <x:c r="AI105" s="100" t="n"/>
      <x:c r="AJ105" s="100" t="n"/>
      <x:c r="AL105" s="100" t="n"/>
      <x:c r="AN105" s="100" t="n"/>
      <x:c r="BH105" s="27" t="n">
        <x:v>1</x:v>
      </x:c>
    </x:row>
    <x:row r="106" s="27" customFormat="1" ht="25.5" customHeight="1">
      <x:c r="A106" s="38" t="n"/>
      <x:c r="B106" s="37" t="n"/>
      <x:c r="C106" s="36" t="n">
        <x:f>E106*D$5</x:f>
        <x:v>0</x:v>
      </x:c>
      <x:c r="D106" s="20" t="inlineStr">
        <x:is>
          <x:t xml:space="preserve">Michelle Sorenson Johnson, Sole Trustee of the Sorenson Oil and Gas Trust</x:t>
        </x:is>
      </x:c>
      <x:c r="E106" s="36" t="n">
        <x:f>SUM(G106:HT106)</x:f>
        <x:v>0</x:v>
      </x:c>
      <x:c r="F106" s="35" t="inlineStr">
        <x:is>
          <x:t xml:space="preserve"/>
        </x:is>
      </x:c>
      <x:c r="G106" s="121" t="n"/>
      <x:c r="Q106" s="100" t="n"/>
      <x:c r="R106" s="100" t="n"/>
      <x:c r="AD106" s="100" t="n"/>
      <x:c r="AE106" s="100" t="n"/>
      <x:c r="AF106" s="100" t="n"/>
      <x:c r="AG106" s="100" t="n"/>
      <x:c r="AH106" s="100" t="n"/>
      <x:c r="AI106" s="100" t="n"/>
      <x:c r="AJ106" s="100" t="n"/>
      <x:c r="AL106" s="100" t="n"/>
      <x:c r="AN106" s="100" t="n"/>
    </x:row>
    <x:row r="107" s="27" customFormat="1">
      <x:c r="A107" s="38" t="n"/>
      <x:c r="B107" s="37" t="inlineStr">
        <x:is>
          <x:t xml:space="preserve">24, 68</x:t>
        </x:is>
      </x:c>
      <x:c r="C107" s="36" t="n">
        <x:f>E107*D$5</x:f>
        <x:v>13.319999999999961</x:v>
      </x:c>
      <x:c r="D107" s="20" t="inlineStr">
        <x:is>
          <x:t xml:space="preserve">Mark Ashley Daigle Trust</x:t>
        </x:is>
      </x:c>
      <x:c r="E107" s="36" t="n">
        <x:f>SUM(G107:HT107)</x:f>
        <x:v>0.332999999999999</x:v>
      </x:c>
      <x:c r="F107" s="35" t="inlineStr">
        <x:is>
          <x:t xml:space="preserve"/>
        </x:is>
      </x:c>
      <x:c r="G107" s="121" t="n"/>
      <x:c r="Q107" s="100" t="n"/>
      <x:c r="R107" s="100" t="n"/>
      <x:c r="AD107" s="100" t="n"/>
      <x:c r="AE107" s="100" t="n"/>
      <x:c r="AF107" s="100" t="n"/>
      <x:c r="AG107" s="100" t="n"/>
      <x:c r="AH107" s="100" t="n"/>
      <x:c r="AI107" s="100" t="n"/>
      <x:c r="AJ107" s="100" t="n"/>
      <x:c r="AL107" s="100" t="n"/>
      <x:c r="AN107" s="100" t="n"/>
      <x:c r="BK107" s="27" t="n">
        <x:v>0.332999999999999</x:v>
      </x:c>
    </x:row>
    <x:row r="108" s="27" customFormat="1">
      <x:c r="A108" s="38" t="n"/>
      <x:c r="B108" s="37" t="inlineStr">
        <x:is>
          <x:t xml:space="preserve">24, 67</x:t>
        </x:is>
      </x:c>
      <x:c r="C108" s="36" t="n">
        <x:f>E108*D$5</x:f>
        <x:v>13.319999999999961</x:v>
      </x:c>
      <x:c r="D108" s="335" t="inlineStr">
        <x:is>
          <x:t xml:space="preserve">Keri Lee Daigle Trust</x:t>
        </x:is>
      </x:c>
      <x:c r="E108" s="36" t="n">
        <x:f>SUM(G108:HT108)</x:f>
        <x:v>0.332999999999999</x:v>
      </x:c>
      <x:c r="F108" s="35" t="inlineStr">
        <x:is>
          <x:t xml:space="preserve"/>
        </x:is>
      </x:c>
      <x:c r="G108" s="121" t="n"/>
      <x:c r="Q108" s="100" t="n"/>
      <x:c r="R108" s="100" t="n"/>
      <x:c r="AD108" s="100" t="n"/>
      <x:c r="AE108" s="100" t="n"/>
      <x:c r="AF108" s="100" t="n"/>
      <x:c r="AG108" s="100" t="n"/>
      <x:c r="AH108" s="100" t="n"/>
      <x:c r="AI108" s="100" t="n"/>
      <x:c r="AJ108" s="100" t="n"/>
      <x:c r="AL108" s="100" t="n"/>
      <x:c r="AN108" s="100" t="n"/>
      <x:c r="BK108" s="27" t="n">
        <x:v>0.332999999999999</x:v>
      </x:c>
    </x:row>
    <x:row r="109" s="27" customFormat="1">
      <x:c r="A109" s="38" t="n"/>
      <x:c r="B109" s="37" t="inlineStr">
        <x:is>
          <x:t xml:space="preserve">24, 69</x:t>
        </x:is>
      </x:c>
      <x:c r="C109" s="36" t="n">
        <x:f>E109*D$5</x:f>
        <x:v>13.35999999999996</x:v>
      </x:c>
      <x:c r="D109" s="20" t="inlineStr">
        <x:is>
          <x:t xml:space="preserve">Kevin Warner Johnson Trust</x:t>
        </x:is>
      </x:c>
      <x:c r="E109" s="36" t="n">
        <x:f>SUM(G109:HT109)</x:f>
        <x:v>0.333999999999999</x:v>
      </x:c>
      <x:c r="F109" s="35" t="inlineStr">
        <x:is>
          <x:t xml:space="preserve"/>
        </x:is>
      </x:c>
      <x:c r="G109" s="121" t="n"/>
      <x:c r="Q109" s="100" t="n"/>
      <x:c r="R109" s="100" t="n"/>
      <x:c r="AD109" s="100" t="n"/>
      <x:c r="AE109" s="100" t="n"/>
      <x:c r="AF109" s="100" t="n"/>
      <x:c r="AG109" s="100" t="n"/>
      <x:c r="AH109" s="100" t="n"/>
      <x:c r="AI109" s="100" t="n"/>
      <x:c r="AJ109" s="100" t="n"/>
      <x:c r="AL109" s="100" t="n"/>
      <x:c r="AN109" s="100" t="n"/>
      <x:c r="BK109" s="27" t="n">
        <x:v>0.333999999999999</x:v>
      </x:c>
    </x:row>
    <x:row r="110" s="27" customFormat="1">
      <x:c r="A110" s="38" t="n"/>
      <x:c r="B110" s="37" t="n"/>
      <x:c r="C110" s="36" t="n">
        <x:f>E110*D$5</x:f>
        <x:v>0</x:v>
      </x:c>
      <x:c r="D110" s="20" t="inlineStr">
        <x:is>
          <x:t xml:space="preserve">Confirm — Missing conveyed interest 2011-005695</x:t>
        </x:is>
      </x:c>
      <x:c r="E110" s="36" t="n">
        <x:f>SUM(G110:HT110)</x:f>
        <x:v>0</x:v>
      </x:c>
      <x:c r="F110" s="35" t="inlineStr">
        <x:is>
          <x:t xml:space="preserve"/>
        </x:is>
      </x:c>
      <x:c r="G110" s="121" t="n"/>
      <x:c r="Q110" s="100" t="n"/>
      <x:c r="R110" s="100" t="n"/>
      <x:c r="AD110" s="100" t="n"/>
      <x:c r="AE110" s="100" t="n"/>
      <x:c r="AF110" s="100" t="n"/>
      <x:c r="AG110" s="100" t="n"/>
      <x:c r="AH110" s="100" t="n"/>
      <x:c r="AI110" s="100" t="n"/>
      <x:c r="AJ110" s="100" t="n"/>
      <x:c r="AL110" s="100" t="n"/>
      <x:c r="AN110" s="100" t="n"/>
    </x:row>
    <x:row r="111" s="27" customFormat="1">
      <x:c r="A111" s="38" t="n"/>
      <x:c r="B111" s="37" t="n"/>
      <x:c r="C111" s="36" t="n">
        <x:f>E111*D$5</x:f>
        <x:v>0</x:v>
      </x:c>
      <x:c r="D111" s="20" t="inlineStr">
        <x:is>
          <x:t xml:space="preserve">Confirm — Missing conveyed interest 2011-005926</x:t>
        </x:is>
      </x:c>
      <x:c r="E111" s="36" t="n">
        <x:f>SUM(G111:HT111)</x:f>
        <x:v>0</x:v>
      </x:c>
      <x:c r="F111" s="35" t="inlineStr">
        <x:is>
          <x:t xml:space="preserve"/>
        </x:is>
      </x:c>
      <x:c r="G111" s="121" t="n"/>
      <x:c r="Q111" s="100" t="n"/>
      <x:c r="R111" s="100" t="n"/>
      <x:c r="AD111" s="100" t="n"/>
      <x:c r="AE111" s="100" t="n"/>
      <x:c r="AF111" s="100" t="n"/>
      <x:c r="AG111" s="100" t="n"/>
      <x:c r="AH111" s="100" t="n"/>
      <x:c r="AI111" s="100" t="n"/>
      <x:c r="AJ111" s="100" t="n"/>
      <x:c r="AL111" s="100" t="n"/>
      <x:c r="AN111" s="100" t="n"/>
    </x:row>
    <x:row r="112" s="27" customFormat="1">
      <x:c r="A112" s="38" t="n"/>
      <x:c r="B112" s="37" t="n"/>
      <x:c r="C112" s="36" t="n">
        <x:f>E112*D$5</x:f>
        <x:v>-40</x:v>
      </x:c>
      <x:c r="D112" s="420" t="inlineStr">
        <x:is>
          <x:t xml:space="preserve">Michelle Sorenson Johnson</x:t>
        </x:is>
      </x:c>
      <x:c r="E112" s="411" t="n">
        <x:f>SUM(G112:HT112)</x:f>
        <x:v>-1</x:v>
      </x:c>
      <x:c r="F112" s="35" t="inlineStr">
        <x:is>
          <x:t xml:space="preserve"/>
        </x:is>
      </x:c>
      <x:c r="G112" s="121" t="n"/>
      <x:c r="Q112" s="100" t="n"/>
      <x:c r="R112" s="100" t="n"/>
      <x:c r="AD112" s="100" t="n"/>
      <x:c r="AE112" s="100" t="n"/>
      <x:c r="AF112" s="100" t="n"/>
      <x:c r="AG112" s="100" t="n"/>
      <x:c r="AH112" s="100" t="n"/>
      <x:c r="AI112" s="100" t="n"/>
      <x:c r="AJ112" s="100" t="n"/>
      <x:c r="AL112" s="100" t="n"/>
      <x:c r="AN112" s="100" t="n"/>
      <x:c r="BK112" s="27" t="n">
        <x:v>-1</x:v>
      </x:c>
    </x:row>
    <x:row r="113" s="27" customFormat="1" ht="38.25" customHeight="1">
      <x:c r="A113" s="38" t="n"/>
      <x:c r="B113" s="37" t="n"/>
      <x:c r="C113" s="36" t="n">
        <x:f>E113*D$5</x:f>
        <x:v>-40</x:v>
      </x:c>
      <x:c r="D113" s="420" t="inlineStr">
        <x:is>
          <x:t xml:space="preserve">Kiowa County Court, RE: In the Matter of the Probate of The Last Will and Testament of Nancy Mitchell WILLIAMS, Deceased</x:t>
        </x:is>
      </x:c>
      <x:c r="E113" s="411" t="n">
        <x:f>SUM(G113:HT113)</x:f>
        <x:v>-1</x:v>
      </x:c>
      <x:c r="F113" s="35" t="inlineStr">
        <x:is>
          <x:t xml:space="preserve"/>
        </x:is>
      </x:c>
      <x:c r="G113" s="121" t="n"/>
      <x:c r="Q113" s="100" t="n"/>
      <x:c r="R113" s="100" t="n"/>
      <x:c r="AD113" s="100" t="n"/>
      <x:c r="AE113" s="100" t="n"/>
      <x:c r="AF113" s="100" t="n"/>
      <x:c r="AG113" s="100" t="n"/>
      <x:c r="AH113" s="100" t="n"/>
      <x:c r="AI113" s="100" t="n"/>
      <x:c r="AJ113" s="100" t="n"/>
      <x:c r="AL113" s="100" t="n"/>
      <x:c r="AN113" s="100" t="n"/>
      <x:c r="BL113" s="27" t="n">
        <x:v>-1</x:v>
      </x:c>
    </x:row>
    <x:row r="114" s="27" customFormat="1">
      <x:c r="A114" s="38" t="n"/>
      <x:c r="B114" s="37" t="n"/>
      <x:c r="C114" s="36" t="n">
        <x:f>E114*D$5</x:f>
        <x:v>40</x:v>
      </x:c>
      <x:c r="D114" s="20" t="inlineStr">
        <x:is>
          <x:t xml:space="preserve">Gene G. Williams</x:t>
        </x:is>
      </x:c>
      <x:c r="E114" s="36" t="n">
        <x:f>SUM(G114:HT114)</x:f>
        <x:v>1</x:v>
      </x:c>
      <x:c r="F114" s="35" t="inlineStr">
        <x:is>
          <x:t xml:space="preserve"/>
        </x:is>
      </x:c>
      <x:c r="G114" s="121" t="n"/>
      <x:c r="Q114" s="100" t="n"/>
      <x:c r="R114" s="100" t="n"/>
      <x:c r="AD114" s="100" t="n"/>
      <x:c r="AE114" s="100" t="n"/>
      <x:c r="AF114" s="100" t="n"/>
      <x:c r="AG114" s="100" t="n"/>
      <x:c r="AH114" s="100" t="n"/>
      <x:c r="AI114" s="100" t="n"/>
      <x:c r="AJ114" s="100" t="n"/>
      <x:c r="AL114" s="100" t="n"/>
      <x:c r="AN114" s="100" t="n"/>
      <x:c r="BL114" s="27" t="n">
        <x:v>1</x:v>
      </x:c>
    </x:row>
    <x:row r="115" s="27" customFormat="1">
      <x:c r="A115" s="38" t="n"/>
      <x:c r="B115" s="37" t="n"/>
      <x:c r="C115" s="36" t="n">
        <x:f>E115*D$5</x:f>
        <x:v>0</x:v>
      </x:c>
      <x:c r="D115" s="20" t="inlineStr">
        <x:is>
          <x:t xml:space="preserve">Chisholm Royalty Partners</x:t>
        </x:is>
      </x:c>
      <x:c r="E115" s="36" t="n">
        <x:f>SUM(G115:HT115)</x:f>
        <x:v>0</x:v>
      </x:c>
      <x:c r="F115" s="35" t="inlineStr">
        <x:is>
          <x:t xml:space="preserve"/>
        </x:is>
      </x:c>
      <x:c r="G115" s="121" t="n"/>
      <x:c r="Q115" s="100" t="n"/>
      <x:c r="R115" s="100" t="n"/>
      <x:c r="AD115" s="100" t="n"/>
      <x:c r="AE115" s="100" t="n"/>
      <x:c r="AF115" s="100" t="n"/>
      <x:c r="AG115" s="100" t="n"/>
      <x:c r="AH115" s="100" t="n"/>
      <x:c r="AI115" s="100" t="n"/>
      <x:c r="AJ115" s="100" t="n"/>
      <x:c r="AL115" s="100" t="n"/>
      <x:c r="AN115" s="100" t="n"/>
    </x:row>
    <x:row r="116" s="27" customFormat="1">
      <x:c r="A116" s="38" t="n"/>
      <x:c r="B116" s="37" t="n"/>
      <x:c r="C116" s="36" t="n">
        <x:f>E116*D$5</x:f>
        <x:v>-40</x:v>
      </x:c>
      <x:c r="D116" s="420" t="inlineStr">
        <x:is>
          <x:t xml:space="preserve">Fleshman Agency, Inc.</x:t>
        </x:is>
      </x:c>
      <x:c r="E116" s="411" t="n">
        <x:f>SUM(G116:HT116)</x:f>
        <x:v>-1</x:v>
      </x:c>
      <x:c r="F116" s="35" t="inlineStr">
        <x:is>
          <x:t xml:space="preserve"/>
        </x:is>
      </x:c>
      <x:c r="G116" s="121" t="n"/>
      <x:c r="Q116" s="100" t="n"/>
      <x:c r="R116" s="100" t="n"/>
      <x:c r="AD116" s="100" t="n"/>
      <x:c r="AE116" s="100" t="n"/>
      <x:c r="AF116" s="100" t="n"/>
      <x:c r="AG116" s="100" t="n"/>
      <x:c r="AH116" s="100" t="n"/>
      <x:c r="AI116" s="100" t="n"/>
      <x:c r="AJ116" s="100" t="n"/>
      <x:c r="AL116" s="100" t="n"/>
      <x:c r="AN116" s="100" t="n"/>
      <x:c r="BN116" s="27" t="n">
        <x:v>-1</x:v>
      </x:c>
    </x:row>
    <x:row r="117" s="27" customFormat="1">
      <x:c r="A117" s="38" t="n"/>
      <x:c r="B117" s="37" t="n"/>
      <x:c r="C117" s="36" t="n">
        <x:f>E117*D$5</x:f>
        <x:v>0</x:v>
      </x:c>
      <x:c r="D117" s="20" t="inlineStr">
        <x:is>
          <x:t xml:space="preserve">Confirm — Missing conveyed interest 2013-001272</x:t>
        </x:is>
      </x:c>
      <x:c r="E117" s="36" t="n">
        <x:f>SUM(G117:HT117)</x:f>
        <x:v>0</x:v>
      </x:c>
      <x:c r="F117" s="35" t="inlineStr">
        <x:is>
          <x:t xml:space="preserve"/>
        </x:is>
      </x:c>
      <x:c r="G117" s="121" t="n"/>
      <x:c r="Q117" s="100" t="n"/>
      <x:c r="R117" s="100" t="n"/>
      <x:c r="AD117" s="100" t="n"/>
      <x:c r="AE117" s="100" t="n"/>
      <x:c r="AF117" s="100" t="n"/>
      <x:c r="AG117" s="100" t="n"/>
      <x:c r="AH117" s="100" t="n"/>
      <x:c r="AI117" s="100" t="n"/>
      <x:c r="AJ117" s="100" t="n"/>
      <x:c r="AL117" s="100" t="n"/>
      <x:c r="AN117" s="100" t="n"/>
    </x:row>
    <x:row r="118" s="27" customFormat="1">
      <x:c r="A118" s="38" t="n"/>
      <x:c r="B118" s="37" t="n"/>
      <x:c r="C118" s="36" t="n">
        <x:f>E118*D$5</x:f>
        <x:v>40</x:v>
      </x:c>
      <x:c r="D118" s="20" t="inlineStr">
        <x:is>
          <x:t xml:space="preserve">Mekusukey Oil Company, LLC</x:t>
        </x:is>
      </x:c>
      <x:c r="E118" s="36" t="n">
        <x:f>SUM(G118:HT118)</x:f>
        <x:v>1</x:v>
      </x:c>
      <x:c r="F118" s="35" t="inlineStr">
        <x:is>
          <x:t xml:space="preserve"/>
        </x:is>
      </x:c>
      <x:c r="G118" s="121" t="n"/>
      <x:c r="Q118" s="100" t="n"/>
      <x:c r="R118" s="100" t="n"/>
      <x:c r="AD118" s="100" t="n"/>
      <x:c r="AE118" s="100" t="n"/>
      <x:c r="AF118" s="100" t="n"/>
      <x:c r="AG118" s="100" t="n"/>
      <x:c r="AH118" s="100" t="n"/>
      <x:c r="AI118" s="100" t="n"/>
      <x:c r="AJ118" s="100" t="n"/>
      <x:c r="AL118" s="100" t="n"/>
      <x:c r="AN118" s="100" t="n"/>
      <x:c r="BN118" s="27" t="n">
        <x:v>1</x:v>
      </x:c>
    </x:row>
    <x:row r="119" s="27" customFormat="1" ht="25.5" customHeight="1">
      <x:c r="A119" s="38" t="n"/>
      <x:c r="B119" s="37" t="n"/>
      <x:c r="C119" s="36" t="n">
        <x:f>E119*D$5</x:f>
        <x:v>-40</x:v>
      </x:c>
      <x:c r="D119" s="420" t="inlineStr">
        <x:is>
          <x:t xml:space="preserve">David Silverberg, a/k/a David S. Silverberg, a married man dealing in his sole and separate property</x:t>
        </x:is>
      </x:c>
      <x:c r="E119" s="411" t="n">
        <x:f>SUM(G119:HT119)</x:f>
        <x:v>-1</x:v>
      </x:c>
      <x:c r="F119" s="35" t="inlineStr">
        <x:is>
          <x:t xml:space="preserve"/>
        </x:is>
      </x:c>
      <x:c r="G119" s="121" t="n"/>
      <x:c r="Q119" s="100" t="n"/>
      <x:c r="R119" s="100" t="n"/>
      <x:c r="AD119" s="100" t="n"/>
      <x:c r="AE119" s="100" t="n"/>
      <x:c r="AF119" s="100" t="n"/>
      <x:c r="AG119" s="100" t="n"/>
      <x:c r="AH119" s="100" t="n"/>
      <x:c r="AI119" s="100" t="n"/>
      <x:c r="AJ119" s="100" t="n"/>
      <x:c r="AL119" s="100" t="n"/>
      <x:c r="AN119" s="100" t="n"/>
      <x:c r="BO119" s="27" t="n">
        <x:v>-1</x:v>
      </x:c>
    </x:row>
    <x:row r="120" s="27" customFormat="1">
      <x:c r="A120" s="38" t="n"/>
      <x:c r="B120" s="37" t="n"/>
      <x:c r="C120" s="36" t="n">
        <x:f>E120*D$5</x:f>
        <x:v>60</x:v>
      </x:c>
      <x:c r="D120" s="20" t="inlineStr">
        <x:is>
          <x:t xml:space="preserve">Cambria Energy, LLC</x:t>
        </x:is>
      </x:c>
      <x:c r="E120" s="36" t="n">
        <x:f>SUM(G120:HT120)</x:f>
        <x:v>1.5</x:v>
      </x:c>
      <x:c r="F120" s="35" t="inlineStr">
        <x:is>
          <x:t xml:space="preserve"/>
        </x:is>
      </x:c>
      <x:c r="G120" s="121" t="n"/>
      <x:c r="Q120" s="100" t="n"/>
      <x:c r="R120" s="100" t="n"/>
      <x:c r="AD120" s="100" t="n"/>
      <x:c r="AE120" s="100" t="n"/>
      <x:c r="AF120" s="100" t="n"/>
      <x:c r="AG120" s="100" t="n"/>
      <x:c r="AH120" s="100" t="n"/>
      <x:c r="AI120" s="100" t="n"/>
      <x:c r="AJ120" s="100" t="n"/>
      <x:c r="AL120" s="100" t="n"/>
      <x:c r="AN120" s="100" t="n"/>
      <x:c r="BO120" s="27" t="n">
        <x:v>1</x:v>
      </x:c>
      <x:c r="BP120" s="27" t="n">
        <x:v>0.5</x:v>
      </x:c>
    </x:row>
    <x:row r="121" s="27" customFormat="1" ht="25.5" customHeight="1">
      <x:c r="A121" s="38" t="n"/>
      <x:c r="B121" s="37" t="n"/>
      <x:c r="C121" s="36" t="n">
        <x:f>E121*D$5</x:f>
        <x:v>-20</x:v>
      </x:c>
      <x:c r="D121" s="420" t="inlineStr">
        <x:is>
          <x:t xml:space="preserve">Mary Ellen Silverberg, a/k/a Mary Ellen Sitzmann, a married woman dealing in her sole and separate property</x:t>
        </x:is>
      </x:c>
      <x:c r="E121" s="411" t="n">
        <x:f>SUM(G121:HT121)</x:f>
        <x:v>-0.5</x:v>
      </x:c>
      <x:c r="F121" s="35" t="inlineStr">
        <x:is>
          <x:t xml:space="preserve"/>
        </x:is>
      </x:c>
      <x:c r="G121" s="121" t="n"/>
      <x:c r="Q121" s="100" t="n"/>
      <x:c r="R121" s="100" t="n"/>
      <x:c r="AD121" s="100" t="n"/>
      <x:c r="AE121" s="100" t="n"/>
      <x:c r="AF121" s="100" t="n"/>
      <x:c r="AG121" s="100" t="n"/>
      <x:c r="AH121" s="100" t="n"/>
      <x:c r="AI121" s="100" t="n"/>
      <x:c r="AJ121" s="100" t="n"/>
      <x:c r="AL121" s="100" t="n"/>
      <x:c r="AN121" s="100" t="n"/>
      <x:c r="BP121" s="27" t="n">
        <x:v>-0.5</x:v>
      </x:c>
    </x:row>
    <x:row r="122" s="27" customFormat="1">
      <x:c r="A122" s="38" t="n"/>
      <x:c r="B122" s="37" t="n"/>
      <x:c r="C122" s="36" t="n">
        <x:f>E122*D$5</x:f>
        <x:v>-40</x:v>
      </x:c>
      <x:c r="D122" s="420" t="inlineStr">
        <x:is>
          <x:t xml:space="preserve">Luther Ervin Thurman and Veronica Gentry Thurman, HW</x:t>
        </x:is>
      </x:c>
      <x:c r="E122" s="411" t="n">
        <x:f>SUM(G122:HT122)</x:f>
        <x:v>-1</x:v>
      </x:c>
      <x:c r="F122" s="35" t="inlineStr">
        <x:is>
          <x:t xml:space="preserve"/>
        </x:is>
      </x:c>
      <x:c r="G122" s="121" t="n"/>
      <x:c r="Q122" s="100" t="n"/>
      <x:c r="R122" s="100" t="n"/>
      <x:c r="AD122" s="100" t="n"/>
      <x:c r="AE122" s="100" t="n"/>
      <x:c r="AF122" s="100" t="n"/>
      <x:c r="AG122" s="100" t="n"/>
      <x:c r="AH122" s="100" t="n"/>
      <x:c r="AI122" s="100" t="n"/>
      <x:c r="AJ122" s="100" t="n"/>
      <x:c r="AL122" s="100" t="n"/>
      <x:c r="AN122" s="100" t="n"/>
      <x:c r="BQ122" s="27" t="n">
        <x:v>-1</x:v>
      </x:c>
    </x:row>
    <x:row r="123" s="27" customFormat="1" ht="51" customHeight="1">
      <x:c r="A123" s="38" t="n"/>
      <x:c r="B123" s="37" t="n"/>
      <x:c r="C123" s="36" t="n">
        <x:f>E123*D$5</x:f>
        <x:v>40</x:v>
      </x:c>
      <x:c r="D123" s="20" t="inlineStr">
        <x:is>
          <x:t xml:space="preserve">Luther Ervin Thurman and Veronica Gentry Thurman, Trustees or their successors in Trust under the Luther and Veronica Thurman Living Trust, a Revocable Trust, dated April 17, 2014, and any amendments thereto</x:t>
        </x:is>
      </x:c>
      <x:c r="E123" s="36" t="n">
        <x:f>SUM(G123:HT123)</x:f>
        <x:v>1</x:v>
      </x:c>
      <x:c r="F123" s="35" t="inlineStr">
        <x:is>
          <x:t xml:space="preserve"/>
        </x:is>
      </x:c>
      <x:c r="G123" s="121" t="n"/>
      <x:c r="Q123" s="100" t="n"/>
      <x:c r="R123" s="100" t="n"/>
      <x:c r="AD123" s="100" t="n"/>
      <x:c r="AE123" s="100" t="n"/>
      <x:c r="AF123" s="100" t="n"/>
      <x:c r="AG123" s="100" t="n"/>
      <x:c r="AH123" s="100" t="n"/>
      <x:c r="AI123" s="100" t="n"/>
      <x:c r="AJ123" s="100" t="n"/>
      <x:c r="AL123" s="100" t="n"/>
      <x:c r="AN123" s="100" t="n"/>
      <x:c r="BQ123" s="27" t="n">
        <x:v>1</x:v>
      </x:c>
    </x:row>
    <x:row r="124" s="27" customFormat="1" ht="25.5" customHeight="1">
      <x:c r="A124" s="38" t="n"/>
      <x:c r="B124" s="37" t="n"/>
      <x:c r="C124" s="36" t="n">
        <x:f>E124*D$5</x:f>
        <x:v>-40</x:v>
      </x:c>
      <x:c r="D124" s="420" t="inlineStr">
        <x:is>
          <x:t xml:space="preserve">Joe Britton, same person as Joe H. Britton and Joe Harold Britton, Grantor, joined by his wife, Etta Britton</x:t>
        </x:is>
      </x:c>
      <x:c r="E124" s="411" t="n">
        <x:f>SUM(G124:HT124)</x:f>
        <x:v>-1</x:v>
      </x:c>
      <x:c r="F124" s="35" t="inlineStr">
        <x:is>
          <x:t xml:space="preserve"/>
        </x:is>
      </x:c>
      <x:c r="G124" s="121" t="n"/>
      <x:c r="Q124" s="100" t="n"/>
      <x:c r="R124" s="100" t="n"/>
      <x:c r="AD124" s="100" t="n"/>
      <x:c r="AE124" s="100" t="n"/>
      <x:c r="AF124" s="100" t="n"/>
      <x:c r="AG124" s="100" t="n"/>
      <x:c r="AH124" s="100" t="n"/>
      <x:c r="AI124" s="100" t="n"/>
      <x:c r="AJ124" s="100" t="n"/>
      <x:c r="AL124" s="100" t="n"/>
      <x:c r="AN124" s="100" t="n"/>
      <x:c r="BR124" s="27" t="n">
        <x:v>-1</x:v>
      </x:c>
    </x:row>
    <x:row r="125" s="27" customFormat="1">
      <x:c r="A125" s="38" t="n"/>
      <x:c r="B125" s="37" t="n"/>
      <x:c r="C125" s="36" t="n">
        <x:f>E125*D$5</x:f>
        <x:v>40</x:v>
      </x:c>
      <x:c r="D125" s="20" t="inlineStr">
        <x:is>
          <x:t xml:space="preserve">Linda C. Browning</x:t>
        </x:is>
      </x:c>
      <x:c r="E125" s="36" t="n">
        <x:f>SUM(G125:HT125)</x:f>
        <x:v>1</x:v>
      </x:c>
      <x:c r="F125" s="35" t="inlineStr">
        <x:is>
          <x:t xml:space="preserve"/>
        </x:is>
      </x:c>
      <x:c r="G125" s="121" t="n"/>
      <x:c r="Q125" s="100" t="n"/>
      <x:c r="R125" s="100" t="n"/>
      <x:c r="AD125" s="100" t="n"/>
      <x:c r="AE125" s="100" t="n"/>
      <x:c r="AF125" s="100" t="n"/>
      <x:c r="AG125" s="100" t="n"/>
      <x:c r="AH125" s="100" t="n"/>
      <x:c r="AI125" s="100" t="n"/>
      <x:c r="AJ125" s="100" t="n"/>
      <x:c r="AL125" s="100" t="n"/>
      <x:c r="AN125" s="100" t="n"/>
      <x:c r="BR125" s="27" t="n">
        <x:v>1</x:v>
      </x:c>
    </x:row>
    <x:row r="126" s="27" customFormat="1" ht="25.5" customHeight="1">
      <x:c r="A126" s="38" t="n"/>
      <x:c r="B126" s="37" t="n"/>
      <x:c r="C126" s="36" t="n">
        <x:f>E126*D$5</x:f>
        <x:v>0</x:v>
      </x:c>
      <x:c r="D126" s="20" t="inlineStr">
        <x:is>
          <x:t xml:space="preserve">EnerVest Energy Institutional Fund XIII-WIC, L.P. c/o EnerVest, Ltd.</x:t>
        </x:is>
      </x:c>
      <x:c r="E126" s="36" t="n">
        <x:f>SUM(G126:HT126)</x:f>
        <x:v>0</x:v>
      </x:c>
      <x:c r="F126" s="35" t="inlineStr">
        <x:is>
          <x:t xml:space="preserve"/>
        </x:is>
      </x:c>
      <x:c r="G126" s="121" t="n"/>
      <x:c r="Q126" s="100" t="n"/>
      <x:c r="R126" s="100" t="n"/>
      <x:c r="AD126" s="100" t="n"/>
      <x:c r="AE126" s="100" t="n"/>
      <x:c r="AF126" s="100" t="n"/>
      <x:c r="AG126" s="100" t="n"/>
      <x:c r="AH126" s="100" t="n"/>
      <x:c r="AI126" s="100" t="n"/>
      <x:c r="AJ126" s="100" t="n"/>
      <x:c r="AL126" s="100" t="n"/>
      <x:c r="AN126" s="100" t="n"/>
    </x:row>
    <x:row r="127" s="27" customFormat="1" ht="25.5" customHeight="1">
      <x:c r="A127" s="38" t="n"/>
      <x:c r="B127" s="37" t="n"/>
      <x:c r="C127" s="36" t="n">
        <x:f>E127*D$5</x:f>
        <x:v>0</x:v>
      </x:c>
      <x:c r="D127" s="20" t="inlineStr">
        <x:is>
          <x:t xml:space="preserve">EnerVest Energy Institutional Fund XIII-C, L.P. c/o EnerVest, Ltd.</x:t>
        </x:is>
      </x:c>
      <x:c r="E127" s="36" t="n">
        <x:f>SUM(G127:HT127)</x:f>
        <x:v>0</x:v>
      </x:c>
      <x:c r="F127" s="35" t="inlineStr">
        <x:is>
          <x:t xml:space="preserve"/>
        </x:is>
      </x:c>
      <x:c r="G127" s="121" t="n"/>
      <x:c r="Q127" s="100" t="n"/>
      <x:c r="R127" s="100" t="n"/>
      <x:c r="AD127" s="100" t="n"/>
      <x:c r="AE127" s="100" t="n"/>
      <x:c r="AF127" s="100" t="n"/>
      <x:c r="AG127" s="100" t="n"/>
      <x:c r="AH127" s="100" t="n"/>
      <x:c r="AI127" s="100" t="n"/>
      <x:c r="AJ127" s="100" t="n"/>
      <x:c r="AL127" s="100" t="n"/>
      <x:c r="AN127" s="100" t="n"/>
    </x:row>
    <x:row r="128" s="27" customFormat="1">
      <x:c r="A128" s="38" t="n"/>
      <x:c r="B128" s="37" t="n"/>
      <x:c r="C128" s="36" t="n">
        <x:f>E128*D$5</x:f>
        <x:v>0</x:v>
      </x:c>
      <x:c r="D128" s="20" t="inlineStr">
        <x:is>
          <x:t xml:space="preserve">Confirm — Missing conveyed interest 2015-003022</x:t>
        </x:is>
      </x:c>
      <x:c r="E128" s="36" t="n">
        <x:f>SUM(G128:HT128)</x:f>
        <x:v>0</x:v>
      </x:c>
      <x:c r="F128" s="35" t="inlineStr">
        <x:is>
          <x:t xml:space="preserve"/>
        </x:is>
      </x:c>
      <x:c r="G128" s="121" t="n"/>
      <x:c r="Q128" s="100" t="n"/>
      <x:c r="R128" s="100" t="n"/>
      <x:c r="AD128" s="100" t="n"/>
      <x:c r="AE128" s="100" t="n"/>
      <x:c r="AF128" s="100" t="n"/>
      <x:c r="AG128" s="100" t="n"/>
      <x:c r="AH128" s="100" t="n"/>
      <x:c r="AI128" s="100" t="n"/>
      <x:c r="AJ128" s="100" t="n"/>
      <x:c r="AL128" s="100" t="n"/>
      <x:c r="AN128" s="100" t="n"/>
    </x:row>
    <x:row r="129" s="27" customFormat="1" ht="25.5" customHeight="1">
      <x:c r="A129" s="38" t="n"/>
      <x:c r="B129" s="37" t="n"/>
      <x:c r="C129" s="36" t="n">
        <x:f>E129*D$5</x:f>
        <x:v>0</x:v>
      </x:c>
      <x:c r="D129" s="20" t="inlineStr">
        <x:is>
          <x:t xml:space="preserve">EnerVest Energy Institutional Fund XIII-WIB, L.P. c/o EnerVest, Ltd.</x:t>
        </x:is>
      </x:c>
      <x:c r="E129" s="36" t="n">
        <x:f>SUM(G129:HT129)</x:f>
        <x:v>0</x:v>
      </x:c>
      <x:c r="F129" s="35" t="inlineStr">
        <x:is>
          <x:t xml:space="preserve"/>
        </x:is>
      </x:c>
      <x:c r="G129" s="121" t="n"/>
      <x:c r="Q129" s="100" t="n"/>
      <x:c r="R129" s="100" t="n"/>
      <x:c r="AD129" s="100" t="n"/>
      <x:c r="AE129" s="100" t="n"/>
      <x:c r="AF129" s="100" t="n"/>
      <x:c r="AG129" s="100" t="n"/>
      <x:c r="AH129" s="100" t="n"/>
      <x:c r="AI129" s="100" t="n"/>
      <x:c r="AJ129" s="100" t="n"/>
      <x:c r="AL129" s="100" t="n"/>
      <x:c r="AN129" s="100" t="n"/>
    </x:row>
    <x:row r="130" s="27" customFormat="1" ht="25.5" customHeight="1">
      <x:c r="A130" s="38" t="n"/>
      <x:c r="B130" s="37" t="n"/>
      <x:c r="C130" s="36" t="n">
        <x:f>E130*D$5</x:f>
        <x:v>0</x:v>
      </x:c>
      <x:c r="D130" s="20" t="inlineStr">
        <x:is>
          <x:t xml:space="preserve">EnerVest Energy Institutional Fund XIII-B, L.P. c/o EnerVest, Ltd.</x:t>
        </x:is>
      </x:c>
      <x:c r="E130" s="36" t="n">
        <x:f>SUM(G130:HT130)</x:f>
        <x:v>0</x:v>
      </x:c>
      <x:c r="F130" s="35" t="inlineStr">
        <x:is>
          <x:t xml:space="preserve"/>
        </x:is>
      </x:c>
      <x:c r="G130" s="121" t="n"/>
      <x:c r="Q130" s="100" t="n"/>
      <x:c r="R130" s="100" t="n"/>
      <x:c r="AD130" s="100" t="n"/>
      <x:c r="AE130" s="100" t="n"/>
      <x:c r="AF130" s="100" t="n"/>
      <x:c r="AG130" s="100" t="n"/>
      <x:c r="AH130" s="100" t="n"/>
      <x:c r="AI130" s="100" t="n"/>
      <x:c r="AJ130" s="100" t="n"/>
      <x:c r="AL130" s="100" t="n"/>
      <x:c r="AN130" s="100" t="n"/>
    </x:row>
    <x:row r="131" s="27" customFormat="1">
      <x:c r="A131" s="38" t="n"/>
      <x:c r="B131" s="37" t="n"/>
      <x:c r="C131" s="36" t="n">
        <x:f>E131*D$5</x:f>
        <x:v>0</x:v>
      </x:c>
      <x:c r="D131" s="20" t="inlineStr">
        <x:is>
          <x:t xml:space="preserve">Confirm — Missing conveyed interest 2015-003023</x:t>
        </x:is>
      </x:c>
      <x:c r="E131" s="36" t="n">
        <x:f>SUM(G131:HT131)</x:f>
        <x:v>0</x:v>
      </x:c>
      <x:c r="F131" s="35" t="inlineStr">
        <x:is>
          <x:t xml:space="preserve"/>
        </x:is>
      </x:c>
      <x:c r="G131" s="121" t="n"/>
      <x:c r="Q131" s="100" t="n"/>
      <x:c r="R131" s="100" t="n"/>
      <x:c r="AD131" s="100" t="n"/>
      <x:c r="AE131" s="100" t="n"/>
      <x:c r="AF131" s="100" t="n"/>
      <x:c r="AG131" s="100" t="n"/>
      <x:c r="AH131" s="100" t="n"/>
      <x:c r="AI131" s="100" t="n"/>
      <x:c r="AJ131" s="100" t="n"/>
      <x:c r="AL131" s="100" t="n"/>
      <x:c r="AN131" s="100" t="n"/>
    </x:row>
    <x:row r="132" s="27" customFormat="1">
      <x:c r="A132" s="38" t="n"/>
      <x:c r="B132" s="37" t="n"/>
      <x:c r="C132" s="36" t="n">
        <x:f>E132*D$5</x:f>
        <x:v>0</x:v>
      </x:c>
      <x:c r="D132" s="20" t="inlineStr">
        <x:is>
          <x:t xml:space="preserve">Ella Pearl Kirk</x:t>
        </x:is>
      </x:c>
      <x:c r="E132" s="36" t="n">
        <x:f>SUM(G132:HT132)</x:f>
        <x:v>0</x:v>
      </x:c>
      <x:c r="F132" s="35" t="inlineStr">
        <x:is>
          <x:t xml:space="preserve"/>
        </x:is>
      </x:c>
      <x:c r="G132" s="121" t="n"/>
      <x:c r="Q132" s="100" t="n"/>
      <x:c r="R132" s="100" t="n"/>
      <x:c r="AD132" s="100" t="n"/>
      <x:c r="AE132" s="100" t="n"/>
      <x:c r="AF132" s="100" t="n"/>
      <x:c r="AG132" s="100" t="n"/>
      <x:c r="AH132" s="100" t="n"/>
      <x:c r="AI132" s="100" t="n"/>
      <x:c r="AJ132" s="100" t="n"/>
      <x:c r="AL132" s="100" t="n"/>
      <x:c r="AN132" s="100" t="n"/>
    </x:row>
    <x:row r="133" s="27" customFormat="1">
      <x:c r="A133" s="38" t="n"/>
      <x:c r="B133" s="37" t="n"/>
      <x:c r="C133" s="36" t="n">
        <x:f>E133*D$5</x:f>
        <x:v>0</x:v>
      </x:c>
      <x:c r="D133" s="20" t="inlineStr">
        <x:is>
          <x:t xml:space="preserve">Calvin Wayne Kirk Box 524 Cheyenne</x:t>
        </x:is>
      </x:c>
      <x:c r="E133" s="36" t="n">
        <x:f>SUM(G133:HT133)</x:f>
        <x:v>0</x:v>
      </x:c>
      <x:c r="F133" s="35" t="inlineStr">
        <x:is>
          <x:t xml:space="preserve"/>
        </x:is>
      </x:c>
      <x:c r="G133" s="121" t="n"/>
      <x:c r="Q133" s="100" t="n"/>
      <x:c r="R133" s="100" t="n"/>
      <x:c r="AD133" s="100" t="n"/>
      <x:c r="AE133" s="100" t="n"/>
      <x:c r="AF133" s="100" t="n"/>
      <x:c r="AG133" s="100" t="n"/>
      <x:c r="AH133" s="100" t="n"/>
      <x:c r="AI133" s="100" t="n"/>
      <x:c r="AJ133" s="100" t="n"/>
      <x:c r="AL133" s="100" t="n"/>
      <x:c r="AN133" s="100" t="n"/>
    </x:row>
    <x:row r="134" s="27" customFormat="1">
      <x:c r="A134" s="38" t="n"/>
      <x:c r="B134" s="37" t="n"/>
      <x:c r="C134" s="36" t="n">
        <x:f>E134*D$5</x:f>
        <x:v>0</x:v>
      </x:c>
      <x:c r="D134" s="20" t="inlineStr">
        <x:is>
          <x:t xml:space="preserve">Oklahoma 73628</x:t>
        </x:is>
      </x:c>
      <x:c r="E134" s="36" t="n">
        <x:f>SUM(G134:HT134)</x:f>
        <x:v>0</x:v>
      </x:c>
      <x:c r="F134" s="35" t="inlineStr">
        <x:is>
          <x:t xml:space="preserve"/>
        </x:is>
      </x:c>
      <x:c r="G134" s="121" t="n"/>
      <x:c r="Q134" s="100" t="n"/>
      <x:c r="R134" s="100" t="n"/>
      <x:c r="AD134" s="100" t="n"/>
      <x:c r="AE134" s="100" t="n"/>
      <x:c r="AF134" s="100" t="n"/>
      <x:c r="AG134" s="100" t="n"/>
      <x:c r="AH134" s="100" t="n"/>
      <x:c r="AI134" s="100" t="n"/>
      <x:c r="AJ134" s="100" t="n"/>
      <x:c r="AL134" s="100" t="n"/>
      <x:c r="AN134" s="100" t="n"/>
    </x:row>
    <x:row r="135" s="27" customFormat="1">
      <x:c r="A135" s="38" t="n"/>
      <x:c r="B135" s="37" t="n"/>
      <x:c r="C135" s="36" t="n">
        <x:f>E135*D$5</x:f>
        <x:v>0</x:v>
      </x:c>
      <x:c r="D135" s="20" t="inlineStr">
        <x:is>
          <x:t xml:space="preserve">Confirm — Missing conveyed interest 2017-000951</x:t>
        </x:is>
      </x:c>
      <x:c r="E135" s="36" t="n">
        <x:f>SUM(G135:HT135)</x:f>
        <x:v>0</x:v>
      </x:c>
      <x:c r="F135" s="35" t="inlineStr">
        <x:is>
          <x:t xml:space="preserve"/>
        </x:is>
      </x:c>
      <x:c r="G135" s="121" t="n"/>
      <x:c r="Q135" s="100" t="n"/>
      <x:c r="R135" s="100" t="n"/>
      <x:c r="AD135" s="100" t="n"/>
      <x:c r="AE135" s="100" t="n"/>
      <x:c r="AF135" s="100" t="n"/>
      <x:c r="AG135" s="100" t="n"/>
      <x:c r="AH135" s="100" t="n"/>
      <x:c r="AI135" s="100" t="n"/>
      <x:c r="AJ135" s="100" t="n"/>
      <x:c r="AL135" s="100" t="n"/>
      <x:c r="AN135" s="100" t="n"/>
    </x:row>
    <x:row r="136" s="27" customFormat="1">
      <x:c r="A136" s="38" t="n"/>
      <x:c r="B136" s="37" t="n"/>
      <x:c r="C136" s="36" t="n">
        <x:f>E136*D$5</x:f>
        <x:v>-40</x:v>
      </x:c>
      <x:c r="D136" s="420" t="inlineStr">
        <x:is>
          <x:t xml:space="preserve">Jon N. Wilkerson</x:t>
        </x:is>
      </x:c>
      <x:c r="E136" s="411" t="n">
        <x:f>SUM(G136:HT136)</x:f>
        <x:v>-1</x:v>
      </x:c>
      <x:c r="F136" s="35" t="inlineStr">
        <x:is>
          <x:t xml:space="preserve"/>
        </x:is>
      </x:c>
      <x:c r="G136" s="121" t="n"/>
      <x:c r="Q136" s="100" t="n"/>
      <x:c r="R136" s="100" t="n"/>
      <x:c r="AD136" s="100" t="n"/>
      <x:c r="AE136" s="100" t="n"/>
      <x:c r="AF136" s="100" t="n"/>
      <x:c r="AG136" s="100" t="n"/>
      <x:c r="AH136" s="100" t="n"/>
      <x:c r="AI136" s="100" t="n"/>
      <x:c r="AJ136" s="100" t="n"/>
      <x:c r="AL136" s="100" t="n"/>
      <x:c r="AN136" s="100" t="n"/>
      <x:c r="BV136" s="27" t="n">
        <x:v>-1</x:v>
      </x:c>
    </x:row>
    <x:row r="137" s="27" customFormat="1">
      <x:c r="A137" s="38" t="n"/>
      <x:c r="B137" s="37" t="n"/>
      <x:c r="C137" s="36" t="n">
        <x:f>E137*D$5</x:f>
        <x:v>40</x:v>
      </x:c>
      <x:c r="D137" s="20" t="inlineStr">
        <x:is>
          <x:t xml:space="preserve">Tamara K. Wilkerson</x:t>
        </x:is>
      </x:c>
      <x:c r="E137" s="36" t="n">
        <x:f>SUM(G137:HT137)</x:f>
        <x:v>1</x:v>
      </x:c>
      <x:c r="F137" s="35" t="inlineStr">
        <x:is>
          <x:t xml:space="preserve"/>
        </x:is>
      </x:c>
      <x:c r="G137" s="121" t="n"/>
      <x:c r="Q137" s="100" t="n"/>
      <x:c r="R137" s="100" t="n"/>
      <x:c r="AD137" s="100" t="n"/>
      <x:c r="AE137" s="100" t="n"/>
      <x:c r="AF137" s="100" t="n"/>
      <x:c r="AG137" s="100" t="n"/>
      <x:c r="AH137" s="100" t="n"/>
      <x:c r="AI137" s="100" t="n"/>
      <x:c r="AJ137" s="100" t="n"/>
      <x:c r="AL137" s="100" t="n"/>
      <x:c r="AN137" s="100" t="n"/>
      <x:c r="BV137" s="27" t="n">
        <x:v>1</x:v>
      </x:c>
    </x:row>
    <x:row r="138" s="27" customFormat="1" ht="38.25" customHeight="1">
      <x:c r="A138" s="38" t="n"/>
      <x:c r="B138" s="37" t="n"/>
      <x:c r="C138" s="36" t="n">
        <x:f>E138*D$5</x:f>
        <x:v>-40</x:v>
      </x:c>
      <x:c r="D138" s="420" t="inlineStr">
        <x:is>
          <x:t xml:space="preserve">Cindy Lou Vignal, Trustee under the Luther and Veronica Thurman Living Trust, a Revocable Trust, dated April 17, 2014</x:t>
        </x:is>
      </x:c>
      <x:c r="E138" s="411" t="n">
        <x:f>SUM(G138:HT138)</x:f>
        <x:v>-1</x:v>
      </x:c>
      <x:c r="F138" s="35" t="inlineStr">
        <x:is>
          <x:t xml:space="preserve"/>
        </x:is>
      </x:c>
      <x:c r="G138" s="121" t="n"/>
      <x:c r="Q138" s="100" t="n"/>
      <x:c r="R138" s="100" t="n"/>
      <x:c r="AD138" s="100" t="n"/>
      <x:c r="AE138" s="100" t="n"/>
      <x:c r="AF138" s="100" t="n"/>
      <x:c r="AG138" s="100" t="n"/>
      <x:c r="AH138" s="100" t="n"/>
      <x:c r="AI138" s="100" t="n"/>
      <x:c r="AJ138" s="100" t="n"/>
      <x:c r="AL138" s="100" t="n"/>
      <x:c r="AN138" s="100" t="n"/>
      <x:c r="BW138" s="27" t="n">
        <x:v>-1</x:v>
      </x:c>
    </x:row>
    <x:row r="139" s="27" customFormat="1" ht="63.75" customHeight="1">
      <x:c r="A139" s="38" t="n"/>
      <x:c r="B139" s="37" t="n"/>
      <x:c r="C139" s="36" t="n">
        <x:f>E139*D$5</x:f>
        <x:v>40</x:v>
      </x:c>
      <x:c r="D139" s="20" t="inlineStr">
        <x:is>
          <x:t xml:space="preserve">Gary Wayne Vignal and Cindy Lou Vignal, Co-Trustees or their successors in Trust under the Gary and Cindy Vignal Living Trust, a Revocable Trust, dated September 20, 2018, and any amendments thereto 11598 N. 1800 Road Sayre, OK 73662</x:t>
        </x:is>
      </x:c>
      <x:c r="E139" s="36" t="n">
        <x:f>SUM(G139:HT139)</x:f>
        <x:v>1</x:v>
      </x:c>
      <x:c r="F139" s="35" t="inlineStr">
        <x:is>
          <x:t xml:space="preserve"/>
        </x:is>
      </x:c>
      <x:c r="G139" s="121" t="n"/>
      <x:c r="Q139" s="100" t="n"/>
      <x:c r="R139" s="100" t="n"/>
      <x:c r="AD139" s="100" t="n"/>
      <x:c r="AE139" s="100" t="n"/>
      <x:c r="AF139" s="100" t="n"/>
      <x:c r="AG139" s="100" t="n"/>
      <x:c r="AH139" s="100" t="n"/>
      <x:c r="AI139" s="100" t="n"/>
      <x:c r="AJ139" s="100" t="n"/>
      <x:c r="AL139" s="100" t="n"/>
      <x:c r="AN139" s="100" t="n"/>
      <x:c r="BW139" s="27" t="n">
        <x:v>1</x:v>
      </x:c>
    </x:row>
    <x:row r="140" s="27" customFormat="1" ht="25.5" customHeight="1">
      <x:c r="A140" s="38" t="n"/>
      <x:c r="B140" s="37" t="n"/>
      <x:c r="C140" s="36" t="n">
        <x:f>E140*D$5</x:f>
        <x:v>0</x:v>
      </x:c>
      <x:c r="D140" s="20" t="inlineStr">
        <x:is>
          <x:t xml:space="preserve">Blackbeard Operating, LLC, Tecolote Holdings, LLC, Tecolote Royalty, L.P.</x:t>
        </x:is>
      </x:c>
      <x:c r="E140" s="36" t="n">
        <x:f>SUM(G140:HT140)</x:f>
        <x:v>0</x:v>
      </x:c>
      <x:c r="F140" s="35" t="inlineStr">
        <x:is>
          <x:t xml:space="preserve"/>
        </x:is>
      </x:c>
      <x:c r="G140" s="121" t="n"/>
      <x:c r="Q140" s="100" t="n"/>
      <x:c r="R140" s="100" t="n"/>
      <x:c r="AD140" s="100" t="n"/>
      <x:c r="AE140" s="100" t="n"/>
      <x:c r="AF140" s="100" t="n"/>
      <x:c r="AG140" s="100" t="n"/>
      <x:c r="AH140" s="100" t="n"/>
      <x:c r="AI140" s="100" t="n"/>
      <x:c r="AJ140" s="100" t="n"/>
      <x:c r="AL140" s="100" t="n"/>
      <x:c r="AN140" s="100" t="n"/>
    </x:row>
    <x:row r="141" s="27" customFormat="1">
      <x:c r="A141" s="38" t="n"/>
      <x:c r="B141" s="37" t="n"/>
      <x:c r="C141" s="36" t="n">
        <x:f>E141*D$5</x:f>
        <x:v>0</x:v>
      </x:c>
      <x:c r="D141" s="20" t="inlineStr">
        <x:is>
          <x:t xml:space="preserve">Mustang Fuel Corporation</x:t>
        </x:is>
      </x:c>
      <x:c r="E141" s="36" t="n">
        <x:f>SUM(G141:HT141)</x:f>
        <x:v>0</x:v>
      </x:c>
      <x:c r="F141" s="35" t="inlineStr">
        <x:is>
          <x:t xml:space="preserve"/>
        </x:is>
      </x:c>
      <x:c r="G141" s="121" t="n"/>
      <x:c r="Q141" s="100" t="n"/>
      <x:c r="R141" s="100" t="n"/>
      <x:c r="AD141" s="100" t="n"/>
      <x:c r="AE141" s="100" t="n"/>
      <x:c r="AF141" s="100" t="n"/>
      <x:c r="AG141" s="100" t="n"/>
      <x:c r="AH141" s="100" t="n"/>
      <x:c r="AI141" s="100" t="n"/>
      <x:c r="AJ141" s="100" t="n"/>
      <x:c r="AL141" s="100" t="n"/>
      <x:c r="AN141" s="100" t="n"/>
    </x:row>
    <x:row r="142" s="27" customFormat="1">
      <x:c r="A142" s="38" t="n"/>
      <x:c r="B142" s="37" t="n"/>
      <x:c r="C142" s="36" t="n">
        <x:f>E142*D$5</x:f>
        <x:v>0</x:v>
      </x:c>
      <x:c r="D142" s="20" t="inlineStr">
        <x:is>
          <x:t xml:space="preserve">Confirm — Missing conveyed interest 2021-001486</x:t>
        </x:is>
      </x:c>
      <x:c r="E142" s="36" t="n">
        <x:f>SUM(G142:HT142)</x:f>
        <x:v>0</x:v>
      </x:c>
      <x:c r="F142" s="35" t="inlineStr">
        <x:is>
          <x:t xml:space="preserve"/>
        </x:is>
      </x:c>
      <x:c r="G142" s="121" t="n"/>
      <x:c r="Q142" s="100" t="n"/>
      <x:c r="R142" s="100" t="n"/>
      <x:c r="AD142" s="100" t="n"/>
      <x:c r="AE142" s="100" t="n"/>
      <x:c r="AF142" s="100" t="n"/>
      <x:c r="AG142" s="100" t="n"/>
      <x:c r="AH142" s="100" t="n"/>
      <x:c r="AI142" s="100" t="n"/>
      <x:c r="AJ142" s="100" t="n"/>
      <x:c r="AL142" s="100" t="n"/>
      <x:c r="AN142" s="100" t="n"/>
    </x:row>
    <x:row r="143" s="27" customFormat="1">
      <x:c r="A143" s="38" t="n"/>
      <x:c r="B143" s="37" t="n"/>
      <x:c r="C143" s="36" t="n">
        <x:f>E143*D$5</x:f>
        <x:v>-40</x:v>
      </x:c>
      <x:c r="D143" s="420" t="inlineStr">
        <x:is>
          <x:t xml:space="preserve">Payday Holdings, LLC</x:t>
        </x:is>
      </x:c>
      <x:c r="E143" s="411" t="n">
        <x:f>SUM(G143:HT143)</x:f>
        <x:v>-1</x:v>
      </x:c>
      <x:c r="F143" s="35" t="inlineStr">
        <x:is>
          <x:t xml:space="preserve"/>
        </x:is>
      </x:c>
      <x:c r="G143" s="121" t="n"/>
      <x:c r="Q143" s="100" t="n"/>
      <x:c r="R143" s="100" t="n"/>
      <x:c r="AD143" s="100" t="n"/>
      <x:c r="AE143" s="100" t="n"/>
      <x:c r="AF143" s="100" t="n"/>
      <x:c r="AG143" s="100" t="n"/>
      <x:c r="AH143" s="100" t="n"/>
      <x:c r="AI143" s="100" t="n"/>
      <x:c r="AJ143" s="100" t="n"/>
      <x:c r="AL143" s="100" t="n"/>
      <x:c r="AN143" s="100" t="n"/>
      <x:c r="BY143" s="27" t="n">
        <x:v>-1</x:v>
      </x:c>
    </x:row>
    <x:row r="144" s="27" customFormat="1">
      <x:c r="A144" s="38" t="n"/>
      <x:c r="B144" s="37" t="n"/>
      <x:c r="C144" s="36" t="n">
        <x:f>E144*D$5</x:f>
        <x:v>40</x:v>
      </x:c>
      <x:c r="D144" s="20" t="inlineStr">
        <x:is>
          <x:t xml:space="preserve">Andrew Pennington</x:t>
        </x:is>
      </x:c>
      <x:c r="E144" s="36" t="n">
        <x:f>SUM(G144:HT144)</x:f>
        <x:v>1</x:v>
      </x:c>
      <x:c r="F144" s="35" t="inlineStr">
        <x:is>
          <x:t xml:space="preserve"/>
        </x:is>
      </x:c>
      <x:c r="G144" s="121" t="n"/>
      <x:c r="Q144" s="100" t="n"/>
      <x:c r="R144" s="100" t="n"/>
      <x:c r="AD144" s="100" t="n"/>
      <x:c r="AE144" s="100" t="n"/>
      <x:c r="AF144" s="100" t="n"/>
      <x:c r="AG144" s="100" t="n"/>
      <x:c r="AH144" s="100" t="n"/>
      <x:c r="AI144" s="100" t="n"/>
      <x:c r="AJ144" s="100" t="n"/>
      <x:c r="AL144" s="100" t="n"/>
      <x:c r="AN144" s="100" t="n"/>
      <x:c r="BY144" s="27" t="n">
        <x:v>1</x:v>
      </x:c>
    </x:row>
    <x:row r="145" s="27" customFormat="1">
      <x:c r="A145" s="38" t="n"/>
      <x:c r="B145" s="37" t="n"/>
      <x:c r="C145" s="36" t="n">
        <x:f>E145*D$5</x:f>
        <x:v>-40</x:v>
      </x:c>
      <x:c r="D145" s="420" t="inlineStr">
        <x:is>
          <x:t xml:space="preserve">Grizzly Operating, LLC, Vanguard Operating, LLC</x:t>
        </x:is>
      </x:c>
      <x:c r="E145" s="411" t="n">
        <x:f>SUM(G145:HT145)</x:f>
        <x:v>-1</x:v>
      </x:c>
      <x:c r="F145" s="35" t="inlineStr">
        <x:is>
          <x:t xml:space="preserve"/>
        </x:is>
      </x:c>
      <x:c r="G145" s="121" t="n"/>
      <x:c r="Q145" s="100" t="n"/>
      <x:c r="R145" s="100" t="n"/>
      <x:c r="AD145" s="100" t="n"/>
      <x:c r="AE145" s="100" t="n"/>
      <x:c r="AF145" s="100" t="n"/>
      <x:c r="AG145" s="100" t="n"/>
      <x:c r="AH145" s="100" t="n"/>
      <x:c r="AI145" s="100" t="n"/>
      <x:c r="AJ145" s="100" t="n"/>
      <x:c r="AL145" s="100" t="n"/>
      <x:c r="AN145" s="100" t="n"/>
      <x:c r="BZ145" s="27" t="n">
        <x:v>-1</x:v>
      </x:c>
    </x:row>
    <x:row r="146" s="27" customFormat="1">
      <x:c r="A146" s="38" t="n"/>
      <x:c r="B146" s="37" t="n"/>
      <x:c r="C146" s="36" t="n">
        <x:f>E146*D$5</x:f>
        <x:v>0</x:v>
      </x:c>
      <x:c r="D146" s="20" t="inlineStr">
        <x:is>
          <x:t xml:space="preserve">Psi Lke, LLC</x:t>
        </x:is>
      </x:c>
      <x:c r="E146" s="36" t="n">
        <x:f>SUM(G146:HT146)</x:f>
        <x:v>0</x:v>
      </x:c>
      <x:c r="F146" s="35" t="inlineStr">
        <x:is>
          <x:t xml:space="preserve"/>
        </x:is>
      </x:c>
      <x:c r="G146" s="121" t="n"/>
      <x:c r="Q146" s="100" t="n"/>
      <x:c r="R146" s="100" t="n"/>
      <x:c r="AD146" s="100" t="n"/>
      <x:c r="AE146" s="100" t="n"/>
      <x:c r="AF146" s="100" t="n"/>
      <x:c r="AG146" s="100" t="n"/>
      <x:c r="AH146" s="100" t="n"/>
      <x:c r="AI146" s="100" t="n"/>
      <x:c r="AJ146" s="100" t="n"/>
      <x:c r="AL146" s="100" t="n"/>
      <x:c r="AN146" s="100" t="n"/>
      <x:c r="BZ146" s="27" t="n">
        <x:v>1</x:v>
      </x:c>
      <x:c r="CA146" s="27" t="n">
        <x:v>-1</x:v>
      </x:c>
    </x:row>
    <x:row r="147" s="27" customFormat="1">
      <x:c r="A147" s="38" t="n"/>
      <x:c r="B147" s="37" t="n"/>
      <x:c r="C147" s="36" t="n">
        <x:f>E147*D$5</x:f>
        <x:v>28</x:v>
      </x:c>
      <x:c r="D147" s="20" t="inlineStr">
        <x:is>
          <x:t xml:space="preserve">Cummins Minerals, Limited</x:t>
        </x:is>
      </x:c>
      <x:c r="E147" s="36" t="n">
        <x:f>SUM(G147:HT147)</x:f>
        <x:v>0.7</x:v>
      </x:c>
      <x:c r="F147" s="35" t="inlineStr">
        <x:is>
          <x:t xml:space="preserve"/>
        </x:is>
      </x:c>
      <x:c r="G147" s="121" t="n"/>
      <x:c r="Q147" s="100" t="n"/>
      <x:c r="R147" s="100" t="n"/>
      <x:c r="AD147" s="100" t="n"/>
      <x:c r="AE147" s="100" t="n"/>
      <x:c r="AF147" s="100" t="n"/>
      <x:c r="AG147" s="100" t="n"/>
      <x:c r="AH147" s="100" t="n"/>
      <x:c r="AI147" s="100" t="n"/>
      <x:c r="AJ147" s="100" t="n"/>
      <x:c r="AL147" s="100" t="n"/>
      <x:c r="AN147" s="100" t="n"/>
      <x:c r="CA147" s="27" t="n">
        <x:v>0.7</x:v>
      </x:c>
    </x:row>
    <x:row r="148" s="27" customFormat="1">
      <x:c r="A148" s="38" t="n"/>
      <x:c r="B148" s="37" t="n"/>
      <x:c r="C148" s="36" t="n">
        <x:f>E148*D$5</x:f>
        <x:v>12</x:v>
      </x:c>
      <x:c r="D148" s="20" t="inlineStr">
        <x:is>
          <x:t xml:space="preserve">Eagle Owl LP</x:t>
        </x:is>
      </x:c>
      <x:c r="E148" s="36" t="n">
        <x:f>SUM(G148:HT148)</x:f>
        <x:v>0.3</x:v>
      </x:c>
      <x:c r="F148" s="35" t="inlineStr">
        <x:is>
          <x:t xml:space="preserve"/>
        </x:is>
      </x:c>
      <x:c r="G148" s="121" t="n"/>
      <x:c r="Q148" s="100" t="n"/>
      <x:c r="R148" s="100" t="n"/>
      <x:c r="AD148" s="100" t="n"/>
      <x:c r="AE148" s="100" t="n"/>
      <x:c r="AF148" s="100" t="n"/>
      <x:c r="AG148" s="100" t="n"/>
      <x:c r="AH148" s="100" t="n"/>
      <x:c r="AI148" s="100" t="n"/>
      <x:c r="AJ148" s="100" t="n"/>
      <x:c r="AL148" s="100" t="n"/>
      <x:c r="AN148" s="100" t="n"/>
      <x:c r="CA148" s="27" t="n">
        <x:v>0.3</x:v>
      </x:c>
    </x:row>
    <x:row r="149" s="27" customFormat="1">
      <x:c r="A149" s="38" t="n"/>
      <x:c r="B149" s="37" t="n"/>
      <x:c r="C149" s="36" t="n">
        <x:f>E149*D$5</x:f>
        <x:v>-40</x:v>
      </x:c>
      <x:c r="D149" s="420" t="inlineStr">
        <x:is>
          <x:t xml:space="preserve">Onigbe Consulting, LLC</x:t>
        </x:is>
      </x:c>
      <x:c r="E149" s="411" t="n">
        <x:f>SUM(G149:HT149)</x:f>
        <x:v>-1</x:v>
      </x:c>
      <x:c r="F149" s="35" t="inlineStr">
        <x:is>
          <x:t xml:space="preserve"/>
        </x:is>
      </x:c>
      <x:c r="G149" s="121" t="n"/>
      <x:c r="Q149" s="100" t="n"/>
      <x:c r="R149" s="100" t="n"/>
      <x:c r="AD149" s="100" t="n"/>
      <x:c r="AE149" s="100" t="n"/>
      <x:c r="AF149" s="100" t="n"/>
      <x:c r="AG149" s="100" t="n"/>
      <x:c r="AH149" s="100" t="n"/>
      <x:c r="AI149" s="100" t="n"/>
      <x:c r="AJ149" s="100" t="n"/>
      <x:c r="AL149" s="100" t="n"/>
      <x:c r="AN149" s="100" t="n"/>
      <x:c r="CB149" s="27" t="n">
        <x:v>-1</x:v>
      </x:c>
    </x:row>
    <x:row r="150" s="27" customFormat="1" ht="38.25" customHeight="1">
      <x:c r="A150" s="38" t="n"/>
      <x:c r="B150" s="37" t="n"/>
      <x:c r="C150" s="36" t="n">
        <x:f>E150*D$5</x:f>
        <x:v>10.4</x:v>
      </x:c>
      <x:c r="D150" s="20" t="inlineStr">
        <x:is>
          <x:t xml:space="preserve">Comanche Oil &amp; Gas, Inc. ("COG"), c/o Kandletop Operating, LLC, 301 W. Britton Rd. #13190, Oklahoma City, OK 73113</x:t>
        </x:is>
      </x:c>
      <x:c r="E150" s="36" t="n">
        <x:f>SUM(G150:HT150)</x:f>
        <x:v>0.26</x:v>
      </x:c>
      <x:c r="F150" s="35" t="inlineStr">
        <x:is>
          <x:t xml:space="preserve"/>
        </x:is>
      </x:c>
      <x:c r="G150" s="121" t="n"/>
      <x:c r="Q150" s="100" t="n"/>
      <x:c r="R150" s="100" t="n"/>
      <x:c r="AD150" s="100" t="n"/>
      <x:c r="AE150" s="100" t="n"/>
      <x:c r="AF150" s="100" t="n"/>
      <x:c r="AG150" s="100" t="n"/>
      <x:c r="AH150" s="100" t="n"/>
      <x:c r="AI150" s="100" t="n"/>
      <x:c r="AJ150" s="100" t="n"/>
      <x:c r="AL150" s="100" t="n"/>
      <x:c r="AN150" s="100" t="n"/>
      <x:c r="CB150" s="27" t="n">
        <x:v>0.26</x:v>
      </x:c>
    </x:row>
    <x:row r="151" s="27" customFormat="1" ht="25.5" customHeight="1">
      <x:c r="A151" s="38" t="n"/>
      <x:c r="B151" s="37" t="n"/>
      <x:c r="C151" s="36" t="n">
        <x:f>E151*D$5</x:f>
        <x:v>8</x:v>
      </x:c>
      <x:c r="D151" s="20" t="inlineStr">
        <x:is>
          <x:t xml:space="preserve">Redhawk Asset Series, LLC ("RAS"), 1629 N. Marion Ave., Oklahoma City, OK 73106</x:t>
        </x:is>
      </x:c>
      <x:c r="E151" s="36" t="n">
        <x:f>SUM(G151:HT151)</x:f>
        <x:v>0.2</x:v>
      </x:c>
      <x:c r="F151" s="35" t="inlineStr">
        <x:is>
          <x:t xml:space="preserve"/>
        </x:is>
      </x:c>
      <x:c r="G151" s="121" t="n"/>
      <x:c r="Q151" s="100" t="n"/>
      <x:c r="R151" s="100" t="n"/>
      <x:c r="AD151" s="100" t="n"/>
      <x:c r="AE151" s="100" t="n"/>
      <x:c r="AF151" s="100" t="n"/>
      <x:c r="AG151" s="100" t="n"/>
      <x:c r="AH151" s="100" t="n"/>
      <x:c r="AI151" s="100" t="n"/>
      <x:c r="AJ151" s="100" t="n"/>
      <x:c r="AL151" s="100" t="n"/>
      <x:c r="AN151" s="100" t="n"/>
      <x:c r="CB151" s="27" t="n">
        <x:v>0.2</x:v>
      </x:c>
    </x:row>
    <x:row r="152" s="27" customFormat="1" ht="25.5" customHeight="1">
      <x:c r="A152" s="38" t="n"/>
      <x:c r="B152" s="37" t="n"/>
      <x:c r="C152" s="36" t="n">
        <x:f>E152*D$5</x:f>
        <x:v>4</x:v>
      </x:c>
      <x:c r="D152" s="20" t="inlineStr">
        <x:is>
          <x:t xml:space="preserve">Redhawk Resources - Fund II, LP ("RRF"), 4131 N. Central Expwy, Ste. 900, Dallas, TX 75204</x:t>
        </x:is>
      </x:c>
      <x:c r="E152" s="36" t="n">
        <x:f>SUM(G152:HT152)</x:f>
        <x:v>0.1</x:v>
      </x:c>
      <x:c r="F152" s="35" t="inlineStr">
        <x:is>
          <x:t xml:space="preserve"/>
        </x:is>
      </x:c>
      <x:c r="G152" s="121" t="n"/>
      <x:c r="Q152" s="100" t="n"/>
      <x:c r="R152" s="100" t="n"/>
      <x:c r="AD152" s="100" t="n"/>
      <x:c r="AE152" s="100" t="n"/>
      <x:c r="AF152" s="100" t="n"/>
      <x:c r="AG152" s="100" t="n"/>
      <x:c r="AH152" s="100" t="n"/>
      <x:c r="AI152" s="100" t="n"/>
      <x:c r="AJ152" s="100" t="n"/>
      <x:c r="AL152" s="100" t="n"/>
      <x:c r="AN152" s="100" t="n"/>
      <x:c r="CB152" s="27" t="n">
        <x:v>0.1</x:v>
      </x:c>
    </x:row>
    <x:row r="153" s="27" customFormat="1" ht="25.5" customHeight="1">
      <x:c r="A153" s="38" t="n"/>
      <x:c r="B153" s="37" t="n"/>
      <x:c r="C153" s="36" t="n">
        <x:f>E153*D$5</x:f>
        <x:v>4</x:v>
      </x:c>
      <x:c r="D153" s="20" t="inlineStr">
        <x:is>
          <x:t xml:space="preserve">Rumrich, LLC, 6608 N. Western Ave., Ste. 236, Oklahoma City, OK 73116</x:t>
        </x:is>
      </x:c>
      <x:c r="E153" s="36" t="n">
        <x:f>SUM(G153:HT153)</x:f>
        <x:v>0.1</x:v>
      </x:c>
      <x:c r="F153" s="35" t="inlineStr">
        <x:is>
          <x:t xml:space="preserve"/>
        </x:is>
      </x:c>
      <x:c r="G153" s="121" t="n"/>
      <x:c r="Q153" s="100" t="n"/>
      <x:c r="R153" s="100" t="n"/>
      <x:c r="AD153" s="100" t="n"/>
      <x:c r="AE153" s="100" t="n"/>
      <x:c r="AF153" s="100" t="n"/>
      <x:c r="AG153" s="100" t="n"/>
      <x:c r="AH153" s="100" t="n"/>
      <x:c r="AI153" s="100" t="n"/>
      <x:c r="AJ153" s="100" t="n"/>
      <x:c r="AL153" s="100" t="n"/>
      <x:c r="AN153" s="100" t="n"/>
      <x:c r="CB153" s="27" t="n">
        <x:v>0.1</x:v>
      </x:c>
    </x:row>
    <x:row r="154" s="27" customFormat="1">
      <x:c r="A154" s="38" t="n"/>
      <x:c r="B154" s="37" t="n"/>
      <x:c r="C154" s="36" t="n">
        <x:f>E154*D$5</x:f>
        <x:v>13.600000000000001</x:v>
      </x:c>
      <x:c r="D154" s="20" t="inlineStr">
        <x:is>
          <x:t xml:space="preserve">Brr OK III, LLC ("BRR"), PO Box 6310, Edmond, OK 73083</x:t>
        </x:is>
      </x:c>
      <x:c r="E154" s="36" t="n">
        <x:f>SUM(G154:HT154)</x:f>
        <x:v>0.34</x:v>
      </x:c>
      <x:c r="F154" s="35" t="inlineStr">
        <x:is>
          <x:t xml:space="preserve"/>
        </x:is>
      </x:c>
      <x:c r="G154" s="121" t="n"/>
      <x:c r="Q154" s="100" t="n"/>
      <x:c r="R154" s="100" t="n"/>
      <x:c r="AD154" s="100" t="n"/>
      <x:c r="AE154" s="100" t="n"/>
      <x:c r="AF154" s="100" t="n"/>
      <x:c r="AG154" s="100" t="n"/>
      <x:c r="AH154" s="100" t="n"/>
      <x:c r="AI154" s="100" t="n"/>
      <x:c r="AJ154" s="100" t="n"/>
      <x:c r="AL154" s="100" t="n"/>
      <x:c r="AN154" s="100" t="n"/>
      <x:c r="CB154" s="27" t="n">
        <x:v>0.34</x:v>
      </x:c>
    </x:row>
    <x:row r="155" s="27" customFormat="1">
      <x:c r="A155" s="38" t="n"/>
      <x:c r="B155" s="37" t="n"/>
      <x:c r="C155" s="36" t="n">
        <x:f>E155*D$5</x:f>
        <x:v>0</x:v>
      </x:c>
      <x:c r="D155" s="20" t="n"/>
      <x:c r="E155" s="36" t="n">
        <x:f>SUM(G155:HT155)</x:f>
        <x:v>0</x:v>
      </x:c>
      <x:c r="F155" s="35" t="inlineStr">
        <x:is>
          <x:t xml:space="preserve"/>
        </x:is>
      </x:c>
      <x:c r="G155" s="121" t="n"/>
      <x:c r="Q155" s="100" t="n"/>
      <x:c r="R155" s="100" t="n"/>
      <x:c r="AD155" s="100" t="n"/>
      <x:c r="AE155" s="100" t="n"/>
      <x:c r="AF155" s="100" t="n"/>
      <x:c r="AG155" s="100" t="n"/>
      <x:c r="AH155" s="100" t="n"/>
      <x:c r="AI155" s="100" t="n"/>
      <x:c r="AJ155" s="100" t="n"/>
      <x:c r="AL155" s="100" t="n"/>
      <x:c r="AN155" s="100" t="n"/>
    </x:row>
    <x:row r="156" s="27" customFormat="1">
      <x:c r="A156" s="38" t="n"/>
      <x:c r="B156" s="37" t="n"/>
      <x:c r="C156" s="36" t="n">
        <x:f>E156*D$5</x:f>
        <x:v>0</x:v>
      </x:c>
      <x:c r="D156" s="20" t="n"/>
      <x:c r="E156" s="36" t="n">
        <x:f>SUM(G156:HT156)</x:f>
        <x:v>0</x:v>
      </x:c>
      <x:c r="F156" s="35" t="inlineStr">
        <x:is>
          <x:t xml:space="preserve"/>
        </x:is>
      </x:c>
      <x:c r="G156" s="121" t="n"/>
      <x:c r="Q156" s="100" t="n"/>
      <x:c r="R156" s="100" t="n"/>
      <x:c r="AD156" s="100" t="n"/>
      <x:c r="AE156" s="100" t="n"/>
      <x:c r="AF156" s="100" t="n"/>
      <x:c r="AG156" s="100" t="n"/>
      <x:c r="AH156" s="100" t="n"/>
      <x:c r="AI156" s="100" t="n"/>
      <x:c r="AJ156" s="100" t="n"/>
      <x:c r="AL156" s="100" t="n"/>
      <x:c r="AN156" s="100" t="n"/>
    </x:row>
    <x:row r="157" s="27" customFormat="1">
      <x:c r="A157" s="38" t="n"/>
      <x:c r="B157" s="37" t="n"/>
      <x:c r="C157" s="36" t="n">
        <x:f>E157*D$5</x:f>
        <x:v>0</x:v>
      </x:c>
      <x:c r="D157" s="20" t="n"/>
      <x:c r="E157" s="36" t="n">
        <x:f>SUM(G157:HT157)</x:f>
        <x:v>0</x:v>
      </x:c>
      <x:c r="F157" s="35" t="inlineStr">
        <x:is>
          <x:t xml:space="preserve"/>
        </x:is>
      </x:c>
      <x:c r="G157" s="121" t="n"/>
      <x:c r="Q157" s="100" t="n"/>
      <x:c r="R157" s="100" t="n"/>
      <x:c r="AD157" s="100" t="n"/>
      <x:c r="AE157" s="100" t="n"/>
      <x:c r="AF157" s="100" t="n"/>
      <x:c r="AG157" s="100" t="n"/>
      <x:c r="AH157" s="100" t="n"/>
      <x:c r="AI157" s="100" t="n"/>
      <x:c r="AJ157" s="100" t="n"/>
      <x:c r="AL157" s="100" t="n"/>
      <x:c r="AN157" s="100" t="n"/>
    </x:row>
    <x:row r="158" s="27" customFormat="1">
      <x:c r="A158" s="38" t="n"/>
      <x:c r="B158" s="37" t="n"/>
      <x:c r="C158" s="36" t="n">
        <x:f>E158*D$5</x:f>
        <x:v>0</x:v>
      </x:c>
      <x:c r="D158" s="20" t="n"/>
      <x:c r="E158" s="36" t="n">
        <x:f>SUM(G158:HT158)</x:f>
        <x:v>0</x:v>
      </x:c>
      <x:c r="F158" s="35" t="inlineStr">
        <x:is>
          <x:t xml:space="preserve"/>
        </x:is>
      </x:c>
      <x:c r="G158" s="121" t="n"/>
      <x:c r="Q158" s="100" t="n"/>
      <x:c r="R158" s="100" t="n"/>
      <x:c r="AD158" s="100" t="n"/>
      <x:c r="AE158" s="100" t="n"/>
      <x:c r="AF158" s="100" t="n"/>
      <x:c r="AG158" s="100" t="n"/>
      <x:c r="AH158" s="100" t="n"/>
      <x:c r="AI158" s="100" t="n"/>
      <x:c r="AJ158" s="100" t="n"/>
      <x:c r="AL158" s="100" t="n"/>
      <x:c r="AN158" s="100" t="n"/>
    </x:row>
    <x:row r="159" s="27" customFormat="1">
      <x:c r="A159" s="38" t="n"/>
      <x:c r="B159" s="37" t="n"/>
      <x:c r="C159" s="36" t="n">
        <x:f>E159*D$5</x:f>
        <x:v>-40</x:v>
      </x:c>
      <x:c r="D159" s="420" t="inlineStr">
        <x:is>
          <x:t xml:space="preserve">Carrie Leeann Mitchell</x:t>
        </x:is>
      </x:c>
      <x:c r="E159" s="411" t="n">
        <x:f>SUM(G159:HT159)</x:f>
        <x:v>-1</x:v>
      </x:c>
      <x:c r="F159" s="35" t="inlineStr">
        <x:is>
          <x:t xml:space="preserve"/>
        </x:is>
      </x:c>
      <x:c r="G159" s="121" t="n"/>
      <x:c r="Q159" s="100" t="n"/>
      <x:c r="R159" s="100" t="n"/>
      <x:c r="AD159" s="100" t="n"/>
      <x:c r="AE159" s="100" t="n"/>
      <x:c r="AF159" s="100" t="n"/>
      <x:c r="AG159" s="100" t="n"/>
      <x:c r="AH159" s="100" t="n"/>
      <x:c r="AI159" s="100" t="n"/>
      <x:c r="AJ159" s="100" t="n"/>
      <x:c r="AL159" s="100" t="n"/>
      <x:c r="AN159" s="100" t="n"/>
      <x:c r="CC159" s="27" t="n">
        <x:v>-1</x:v>
      </x:c>
    </x:row>
    <x:row r="160" s="27" customFormat="1" ht="25.5" customHeight="1">
      <x:c r="A160" s="38" t="n"/>
      <x:c r="B160" s="37" t="n"/>
      <x:c r="C160" s="36" t="n">
        <x:f>E160*D$5</x:f>
        <x:v>40</x:v>
      </x:c>
      <x:c r="D160" s="335" t="inlineStr">
        <x:is>
          <x:t xml:space="preserve">James Gerard Buonaccorsi, Mitchell-Buonaccorsi Living Trust, Carrie Leeann Mitchell, Trustee</x:t>
        </x:is>
      </x:c>
      <x:c r="E160" s="36" t="n">
        <x:f>SUM(G160:HT160)</x:f>
        <x:v>1</x:v>
      </x:c>
      <x:c r="F160" s="35" t="inlineStr">
        <x:is>
          <x:t xml:space="preserve"/>
        </x:is>
      </x:c>
      <x:c r="G160" s="121" t="n"/>
      <x:c r="Q160" s="100" t="n"/>
      <x:c r="R160" s="100" t="n"/>
      <x:c r="AD160" s="100" t="n"/>
      <x:c r="AE160" s="100" t="n"/>
      <x:c r="AF160" s="100" t="n"/>
      <x:c r="AG160" s="100" t="n"/>
      <x:c r="AH160" s="100" t="n"/>
      <x:c r="AI160" s="100" t="n"/>
      <x:c r="AJ160" s="100" t="n"/>
      <x:c r="AL160" s="100" t="n"/>
      <x:c r="AN160" s="100" t="n"/>
      <x:c r="CC160" s="27" t="n">
        <x:v>1</x:v>
      </x:c>
    </x:row>
    <x:row r="161" s="27" customFormat="1">
      <x:c r="A161" s="38" t="n"/>
      <x:c r="B161" s="37" t="n"/>
      <x:c r="C161" s="36" t="n">
        <x:f>E161*D$5</x:f>
        <x:v>-40</x:v>
      </x:c>
      <x:c r="D161" s="420" t="inlineStr">
        <x:is>
          <x:t xml:space="preserve">Herbert E. McGuire and Claude J. McGuire, HW</x:t>
        </x:is>
      </x:c>
      <x:c r="E161" s="411" t="n">
        <x:f>SUM(G161:HT161)</x:f>
        <x:v>-1</x:v>
      </x:c>
      <x:c r="F161" s="35" t="inlineStr">
        <x:is>
          <x:t xml:space="preserve"/>
        </x:is>
      </x:c>
      <x:c r="G161" s="121" t="n"/>
      <x:c r="Q161" s="100" t="n"/>
      <x:c r="R161" s="100" t="n"/>
      <x:c r="AD161" s="100" t="n"/>
      <x:c r="AE161" s="100" t="n"/>
      <x:c r="AF161" s="100" t="n"/>
      <x:c r="AG161" s="100" t="n"/>
      <x:c r="AH161" s="100" t="n"/>
      <x:c r="AI161" s="100" t="n"/>
      <x:c r="AJ161" s="100" t="n"/>
      <x:c r="AL161" s="100" t="n"/>
      <x:c r="AN161" s="100" t="n"/>
      <x:c r="CD161" s="27" t="n">
        <x:v>-1</x:v>
      </x:c>
    </x:row>
    <x:row r="162" s="27" customFormat="1">
      <x:c r="A162" s="38" t="n"/>
      <x:c r="B162" s="37" t="n"/>
      <x:c r="C162" s="36" t="n">
        <x:f>E162*D$5</x:f>
        <x:v>40</x:v>
      </x:c>
      <x:c r="D162" s="20" t="inlineStr">
        <x:is>
          <x:t xml:space="preserve">Mark Hambrook</x:t>
        </x:is>
      </x:c>
      <x:c r="E162" s="36" t="n">
        <x:f>SUM(G162:HT162)</x:f>
        <x:v>1</x:v>
      </x:c>
      <x:c r="F162" s="35" t="inlineStr">
        <x:is>
          <x:t xml:space="preserve"/>
        </x:is>
      </x:c>
      <x:c r="G162" s="121" t="n"/>
      <x:c r="Q162" s="100" t="n"/>
      <x:c r="R162" s="100" t="n"/>
      <x:c r="AD162" s="100" t="n"/>
      <x:c r="AE162" s="100" t="n"/>
      <x:c r="AF162" s="100" t="n"/>
      <x:c r="AG162" s="100" t="n"/>
      <x:c r="AH162" s="100" t="n"/>
      <x:c r="AI162" s="100" t="n"/>
      <x:c r="AJ162" s="100" t="n"/>
      <x:c r="AL162" s="100" t="n"/>
      <x:c r="AN162" s="100" t="n"/>
      <x:c r="CD162" s="27" t="n">
        <x:v>1</x:v>
      </x:c>
    </x:row>
    <x:row r="163" s="27" customFormat="1">
      <x:c r="A163" s="38" t="n"/>
      <x:c r="B163" s="37" t="n"/>
      <x:c r="C163" s="36" t="n">
        <x:f>E163*D$5</x:f>
        <x:v>-40</x:v>
      </x:c>
      <x:c r="D163" s="420" t="inlineStr">
        <x:is>
          <x:t xml:space="preserve">W. C. Danforth and Susie Danforth, HW</x:t>
        </x:is>
      </x:c>
      <x:c r="E163" s="411" t="n">
        <x:f>SUM(G163:HT163)</x:f>
        <x:v>-1</x:v>
      </x:c>
      <x:c r="F163" s="35" t="inlineStr">
        <x:is>
          <x:t xml:space="preserve"/>
        </x:is>
      </x:c>
      <x:c r="G163" s="121" t="n"/>
      <x:c r="Q163" s="100" t="n"/>
      <x:c r="R163" s="100" t="n"/>
      <x:c r="AD163" s="100" t="n"/>
      <x:c r="AE163" s="100" t="n"/>
      <x:c r="AF163" s="100" t="n"/>
      <x:c r="AG163" s="100" t="n"/>
      <x:c r="AH163" s="100" t="n"/>
      <x:c r="AI163" s="100" t="n"/>
      <x:c r="AJ163" s="100" t="n"/>
      <x:c r="AL163" s="100" t="n"/>
      <x:c r="AN163" s="100" t="n"/>
      <x:c r="CE163" s="27" t="n">
        <x:v>-1</x:v>
      </x:c>
    </x:row>
    <x:row r="164" s="27" customFormat="1">
      <x:c r="A164" s="38" t="n"/>
      <x:c r="B164" s="37" t="n"/>
      <x:c r="C164" s="36" t="n">
        <x:f>E164*D$5</x:f>
        <x:v>40</x:v>
      </x:c>
      <x:c r="D164" s="20" t="inlineStr">
        <x:is>
          <x:t xml:space="preserve">Benjamin H. Shotwell</x:t>
        </x:is>
      </x:c>
      <x:c r="E164" s="36" t="n">
        <x:f>SUM(G164:HT164)</x:f>
        <x:v>1</x:v>
      </x:c>
      <x:c r="F164" s="35" t="inlineStr">
        <x:is>
          <x:t xml:space="preserve"/>
        </x:is>
      </x:c>
      <x:c r="G164" s="121" t="n"/>
      <x:c r="Q164" s="100" t="n"/>
      <x:c r="R164" s="100" t="n"/>
      <x:c r="AD164" s="100" t="n"/>
      <x:c r="AE164" s="100" t="n"/>
      <x:c r="AF164" s="100" t="n"/>
      <x:c r="AG164" s="100" t="n"/>
      <x:c r="AH164" s="100" t="n"/>
      <x:c r="AI164" s="100" t="n"/>
      <x:c r="AJ164" s="100" t="n"/>
      <x:c r="AL164" s="100" t="n"/>
      <x:c r="AN164" s="100" t="n"/>
      <x:c r="CE164" s="27" t="n">
        <x:v>1</x:v>
      </x:c>
    </x:row>
    <x:row r="165" s="27" customFormat="1">
      <x:c r="A165" s="38" t="n"/>
      <x:c r="B165" s="37" t="n"/>
      <x:c r="C165" s="36" t="n">
        <x:f>E165*D$5</x:f>
        <x:v>-40</x:v>
      </x:c>
      <x:c r="D165" s="420" t="inlineStr">
        <x:is>
          <x:t xml:space="preserve">Lawrence E. Shotwell and Ethel Shotwell, HW</x:t>
        </x:is>
      </x:c>
      <x:c r="E165" s="411" t="n">
        <x:f>SUM(G165:HT165)</x:f>
        <x:v>-1</x:v>
      </x:c>
      <x:c r="F165" s="35" t="inlineStr">
        <x:is>
          <x:t xml:space="preserve"/>
        </x:is>
      </x:c>
      <x:c r="G165" s="121" t="n"/>
      <x:c r="Q165" s="100" t="n"/>
      <x:c r="R165" s="100" t="n"/>
      <x:c r="AD165" s="100" t="n"/>
      <x:c r="AE165" s="100" t="n"/>
      <x:c r="AF165" s="100" t="n"/>
      <x:c r="AG165" s="100" t="n"/>
      <x:c r="AH165" s="100" t="n"/>
      <x:c r="AI165" s="100" t="n"/>
      <x:c r="AJ165" s="100" t="n"/>
      <x:c r="AL165" s="100" t="n"/>
      <x:c r="AN165" s="100" t="n"/>
      <x:c r="CF165" s="27" t="n">
        <x:v>-1</x:v>
      </x:c>
    </x:row>
    <x:row r="166" s="27" customFormat="1" ht="25.5" customHeight="1">
      <x:c r="A166" s="38" t="n"/>
      <x:c r="B166" s="37" t="n"/>
      <x:c r="C166" s="36" t="n">
        <x:f>E166*D$5</x:f>
        <x:v>-8</x:v>
      </x:c>
      <x:c r="D166" s="420" t="inlineStr">
        <x:is>
          <x:t xml:space="preserve">Maggie Davis, formerly Maggie Bennett &amp; H. V. Davis, wife and husband</x:t>
        </x:is>
      </x:c>
      <x:c r="E166" s="411" t="n">
        <x:f>SUM(G166:HT166)</x:f>
        <x:v>-0.2</x:v>
      </x:c>
      <x:c r="F166" s="35" t="inlineStr">
        <x:is>
          <x:t xml:space="preserve"/>
        </x:is>
      </x:c>
      <x:c r="G166" s="121" t="n"/>
      <x:c r="Q166" s="100" t="n"/>
      <x:c r="R166" s="100" t="n"/>
      <x:c r="AD166" s="100" t="n"/>
      <x:c r="AE166" s="100" t="n"/>
      <x:c r="AF166" s="100" t="n"/>
      <x:c r="AG166" s="100" t="n"/>
      <x:c r="AH166" s="100" t="n"/>
      <x:c r="AI166" s="100" t="n"/>
      <x:c r="AJ166" s="100" t="n"/>
      <x:c r="AL166" s="100" t="n"/>
      <x:c r="AN166" s="100" t="n"/>
      <x:c r="CG166" s="27" t="n">
        <x:v>-0.2</x:v>
      </x:c>
    </x:row>
    <x:row r="167" s="27" customFormat="1">
      <x:c r="A167" s="38" t="n"/>
      <x:c r="B167" s="37" t="n"/>
      <x:c r="C167" s="36" t="n">
        <x:f>E167*D$5</x:f>
        <x:v>-8</x:v>
      </x:c>
      <x:c r="D167" s="420" t="inlineStr">
        <x:is>
          <x:t xml:space="preserve">Eli L. Shotwell &amp; Ida M. Shotwell husband &amp; wife</x:t>
        </x:is>
      </x:c>
      <x:c r="E167" s="411" t="n">
        <x:f>SUM(G167:HT167)</x:f>
        <x:v>-0.2</x:v>
      </x:c>
      <x:c r="F167" s="35" t="inlineStr">
        <x:is>
          <x:t xml:space="preserve"/>
        </x:is>
      </x:c>
      <x:c r="G167" s="121" t="n"/>
      <x:c r="Q167" s="100" t="n"/>
      <x:c r="R167" s="100" t="n"/>
      <x:c r="AD167" s="100" t="n"/>
      <x:c r="AE167" s="100" t="n"/>
      <x:c r="AF167" s="100" t="n"/>
      <x:c r="AG167" s="100" t="n"/>
      <x:c r="AH167" s="100" t="n"/>
      <x:c r="AI167" s="100" t="n"/>
      <x:c r="AJ167" s="100" t="n"/>
      <x:c r="AL167" s="100" t="n"/>
      <x:c r="AN167" s="100" t="n"/>
      <x:c r="CG167" s="27" t="n">
        <x:v>-0.2</x:v>
      </x:c>
    </x:row>
    <x:row r="168" s="27" customFormat="1">
      <x:c r="A168" s="38" t="n"/>
      <x:c r="B168" s="37" t="n"/>
      <x:c r="C168" s="36" t="n">
        <x:f>E168*D$5</x:f>
        <x:v>-8</x:v>
      </x:c>
      <x:c r="D168" s="420" t="inlineStr">
        <x:is>
          <x:t xml:space="preserve">Pearl L. Davis, &amp; O. L. Davis, wife &amp; husband</x:t>
        </x:is>
      </x:c>
      <x:c r="E168" s="411" t="n">
        <x:f>SUM(G168:HT168)</x:f>
        <x:v>-0.2</x:v>
      </x:c>
      <x:c r="F168" s="35" t="inlineStr">
        <x:is>
          <x:t xml:space="preserve"/>
        </x:is>
      </x:c>
      <x:c r="G168" s="121" t="n"/>
      <x:c r="Q168" s="100" t="n"/>
      <x:c r="R168" s="100" t="n"/>
      <x:c r="AD168" s="100" t="n"/>
      <x:c r="AE168" s="100" t="n"/>
      <x:c r="AF168" s="100" t="n"/>
      <x:c r="AG168" s="100" t="n"/>
      <x:c r="AH168" s="100" t="n"/>
      <x:c r="AI168" s="100" t="n"/>
      <x:c r="AJ168" s="100" t="n"/>
      <x:c r="AL168" s="100" t="n"/>
      <x:c r="AN168" s="100" t="n"/>
      <x:c r="CG168" s="27" t="n">
        <x:v>-0.2</x:v>
      </x:c>
    </x:row>
    <x:row r="169" s="27" customFormat="1">
      <x:c r="A169" s="38" t="n"/>
      <x:c r="B169" s="37" t="n"/>
      <x:c r="C169" s="36" t="n">
        <x:f>E169*D$5</x:f>
        <x:v>-8</x:v>
      </x:c>
      <x:c r="D169" s="420" t="inlineStr">
        <x:is>
          <x:t xml:space="preserve">Roy T. Shotwell &amp; Josie A. Shotwell, husband &amp; wife</x:t>
        </x:is>
      </x:c>
      <x:c r="E169" s="411" t="n">
        <x:f>SUM(G169:HT169)</x:f>
        <x:v>-0.2</x:v>
      </x:c>
      <x:c r="F169" s="35" t="inlineStr">
        <x:is>
          <x:t xml:space="preserve"/>
        </x:is>
      </x:c>
      <x:c r="G169" s="121" t="n"/>
      <x:c r="Q169" s="100" t="n"/>
      <x:c r="R169" s="100" t="n"/>
      <x:c r="AD169" s="100" t="n"/>
      <x:c r="AE169" s="100" t="n"/>
      <x:c r="AF169" s="100" t="n"/>
      <x:c r="AG169" s="100" t="n"/>
      <x:c r="AH169" s="100" t="n"/>
      <x:c r="AI169" s="100" t="n"/>
      <x:c r="AJ169" s="100" t="n"/>
      <x:c r="AL169" s="100" t="n"/>
      <x:c r="AN169" s="100" t="n"/>
      <x:c r="CG169" s="27" t="n">
        <x:v>-0.2</x:v>
      </x:c>
    </x:row>
    <x:row r="170" s="27" customFormat="1">
      <x:c r="A170" s="38" t="n"/>
      <x:c r="B170" s="37" t="n"/>
      <x:c r="C170" s="36" t="n">
        <x:f>E170*D$5</x:f>
        <x:v>-8</x:v>
      </x:c>
      <x:c r="D170" s="420" t="inlineStr">
        <x:is>
          <x:t xml:space="preserve">Ida M. Cuff and A. M. Cuff, wife and husband</x:t>
        </x:is>
      </x:c>
      <x:c r="E170" s="411" t="n">
        <x:f>SUM(G170:HT170)</x:f>
        <x:v>-0.2</x:v>
      </x:c>
      <x:c r="F170" s="35" t="inlineStr">
        <x:is>
          <x:t xml:space="preserve"/>
        </x:is>
      </x:c>
      <x:c r="G170" s="121" t="n"/>
      <x:c r="Q170" s="100" t="n"/>
      <x:c r="R170" s="100" t="n"/>
      <x:c r="AD170" s="100" t="n"/>
      <x:c r="AE170" s="100" t="n"/>
      <x:c r="AF170" s="100" t="n"/>
      <x:c r="AG170" s="100" t="n"/>
      <x:c r="AH170" s="100" t="n"/>
      <x:c r="AI170" s="100" t="n"/>
      <x:c r="AJ170" s="100" t="n"/>
      <x:c r="AL170" s="100" t="n"/>
      <x:c r="AN170" s="100" t="n"/>
      <x:c r="CG170" s="27" t="n">
        <x:v>-0.2</x:v>
      </x:c>
    </x:row>
    <x:row r="171" s="27" customFormat="1">
      <x:c r="A171" s="38" t="n"/>
      <x:c r="B171" s="37" t="n"/>
      <x:c r="C171" s="36" t="n">
        <x:f>E171*D$5</x:f>
        <x:v>40</x:v>
      </x:c>
      <x:c r="D171" s="20" t="inlineStr">
        <x:is>
          <x:t xml:space="preserve">H. M. Carter</x:t>
        </x:is>
      </x:c>
      <x:c r="E171" s="36" t="n">
        <x:f>SUM(G171:HT171)</x:f>
        <x:v>1</x:v>
      </x:c>
      <x:c r="F171" s="35" t="inlineStr">
        <x:is>
          <x:t xml:space="preserve"/>
        </x:is>
      </x:c>
      <x:c r="G171" s="121" t="n"/>
      <x:c r="Q171" s="100" t="n"/>
      <x:c r="R171" s="100" t="n"/>
      <x:c r="AD171" s="100" t="n"/>
      <x:c r="AE171" s="100" t="n"/>
      <x:c r="AF171" s="100" t="n"/>
      <x:c r="AG171" s="100" t="n"/>
      <x:c r="AH171" s="100" t="n"/>
      <x:c r="AI171" s="100" t="n"/>
      <x:c r="AJ171" s="100" t="n"/>
      <x:c r="AL171" s="100" t="n"/>
      <x:c r="AN171" s="100" t="n"/>
      <x:c r="CG171" s="27" t="n">
        <x:v>1</x:v>
      </x:c>
    </x:row>
    <x:row r="172" s="27" customFormat="1">
      <x:c r="A172" s="38" t="n"/>
      <x:c r="B172" s="37" t="n"/>
      <x:c r="C172" s="36" t="n">
        <x:f>E172*D$5</x:f>
        <x:v>-40</x:v>
      </x:c>
      <x:c r="D172" s="420" t="inlineStr">
        <x:is>
          <x:t xml:space="preserve">H. M. Carter and Mrs Ethel Carter, HW</x:t>
        </x:is>
      </x:c>
      <x:c r="E172" s="411" t="n">
        <x:f>SUM(G172:HT172)</x:f>
        <x:v>-1</x:v>
      </x:c>
      <x:c r="F172" s="35" t="inlineStr">
        <x:is>
          <x:t xml:space="preserve"/>
        </x:is>
      </x:c>
      <x:c r="G172" s="121" t="n"/>
      <x:c r="Q172" s="100" t="n"/>
      <x:c r="R172" s="100" t="n"/>
      <x:c r="AD172" s="100" t="n"/>
      <x:c r="AE172" s="100" t="n"/>
      <x:c r="AF172" s="100" t="n"/>
      <x:c r="AG172" s="100" t="n"/>
      <x:c r="AH172" s="100" t="n"/>
      <x:c r="AI172" s="100" t="n"/>
      <x:c r="AJ172" s="100" t="n"/>
      <x:c r="AL172" s="100" t="n"/>
      <x:c r="AN172" s="100" t="n"/>
      <x:c r="CH172" s="27" t="n">
        <x:v>-1</x:v>
      </x:c>
    </x:row>
    <x:row r="173" s="27" customFormat="1">
      <x:c r="A173" s="38" t="n"/>
      <x:c r="B173" s="37" t="n"/>
      <x:c r="C173" s="36" t="n">
        <x:f>E173*D$5</x:f>
        <x:v>-40</x:v>
      </x:c>
      <x:c r="D173" s="420" t="inlineStr">
        <x:is>
          <x:t xml:space="preserve">United States of America</x:t>
        </x:is>
      </x:c>
      <x:c r="E173" s="411" t="n">
        <x:f>SUM(G173:HT173)</x:f>
        <x:v>-1</x:v>
      </x:c>
      <x:c r="F173" s="35" t="inlineStr">
        <x:is>
          <x:t xml:space="preserve"/>
        </x:is>
      </x:c>
      <x:c r="G173" s="121" t="n"/>
      <x:c r="Q173" s="100" t="n"/>
      <x:c r="R173" s="100" t="n"/>
      <x:c r="AD173" s="100" t="n"/>
      <x:c r="AE173" s="100" t="n"/>
      <x:c r="AF173" s="100" t="n"/>
      <x:c r="AG173" s="100" t="n"/>
      <x:c r="AH173" s="100" t="n"/>
      <x:c r="AI173" s="100" t="n"/>
      <x:c r="AJ173" s="100" t="n"/>
      <x:c r="AL173" s="100" t="n"/>
      <x:c r="AN173" s="100" t="n"/>
      <x:c r="CI173" s="27" t="n">
        <x:v>-1</x:v>
      </x:c>
    </x:row>
    <x:row r="174" s="27" customFormat="1">
      <x:c r="A174" s="38" t="n"/>
      <x:c r="B174" s="37" t="n"/>
      <x:c r="C174" s="36" t="n">
        <x:f>E174*D$5</x:f>
        <x:v>40</x:v>
      </x:c>
      <x:c r="D174" s="20" t="inlineStr">
        <x:is>
          <x:t xml:space="preserve">Ernest Brooks</x:t>
        </x:is>
      </x:c>
      <x:c r="E174" s="36" t="n">
        <x:f>SUM(G174:HT174)</x:f>
        <x:v>1</x:v>
      </x:c>
      <x:c r="F174" s="35" t="inlineStr">
        <x:is>
          <x:t xml:space="preserve"/>
        </x:is>
      </x:c>
      <x:c r="G174" s="121" t="n"/>
      <x:c r="Q174" s="100" t="n"/>
      <x:c r="R174" s="100" t="n"/>
      <x:c r="AD174" s="100" t="n"/>
      <x:c r="AE174" s="100" t="n"/>
      <x:c r="AF174" s="100" t="n"/>
      <x:c r="AG174" s="100" t="n"/>
      <x:c r="AH174" s="100" t="n"/>
      <x:c r="AI174" s="100" t="n"/>
      <x:c r="AJ174" s="100" t="n"/>
      <x:c r="AL174" s="100" t="n"/>
      <x:c r="AN174" s="100" t="n"/>
      <x:c r="CI174" s="27" t="n">
        <x:v>1</x:v>
      </x:c>
    </x:row>
    <x:row r="175" s="27" customFormat="1">
      <x:c r="A175" s="38" t="n"/>
      <x:c r="B175" s="37" t="n"/>
      <x:c r="C175" s="36" t="n">
        <x:f>E175*D$5</x:f>
        <x:v>0</x:v>
      </x:c>
      <x:c r="D175" s="20" t="n"/>
      <x:c r="E175" s="36" t="n">
        <x:f>SUM(G175:HS175)</x:f>
        <x:v>0</x:v>
      </x:c>
      <x:c r="Q175" s="100" t="n"/>
      <x:c r="R175" s="100" t="n"/>
      <x:c r="AD175" s="100" t="n"/>
      <x:c r="AE175" s="100" t="n"/>
      <x:c r="AF175" s="100" t="n"/>
      <x:c r="AG175" s="100" t="n"/>
      <x:c r="AH175" s="100" t="n"/>
      <x:c r="AI175" s="100" t="n"/>
      <x:c r="AJ175" s="100" t="n"/>
      <x:c r="AL175" s="100" t="n"/>
      <x:c r="AN175" s="100" t="n"/>
    </x:row>
    <x:row r="176" s="27" customFormat="1">
      <x:c r="A176" s="38" t="n"/>
      <x:c r="B176" s="37" t="n"/>
      <x:c r="C176" s="36" t="n">
        <x:f>E176*D$5</x:f>
        <x:v>0</x:v>
      </x:c>
      <x:c r="D176" s="20" t="n"/>
      <x:c r="E176" s="36" t="n">
        <x:f>SUM(G176:HS176)</x:f>
        <x:v>0</x:v>
      </x:c>
      <x:c r="Q176" s="100" t="n"/>
      <x:c r="R176" s="100" t="n"/>
      <x:c r="AD176" s="100" t="n"/>
      <x:c r="AE176" s="100" t="n"/>
      <x:c r="AF176" s="100" t="n"/>
      <x:c r="AG176" s="100" t="n"/>
      <x:c r="AH176" s="100" t="n"/>
      <x:c r="AI176" s="100" t="n"/>
      <x:c r="AJ176" s="100" t="n"/>
      <x:c r="AL176" s="100" t="n"/>
      <x:c r="AN176" s="100" t="n"/>
    </x:row>
    <x:row r="177" s="27" customFormat="1">
      <x:c r="A177" s="38" t="n"/>
      <x:c r="B177" s="37" t="n"/>
      <x:c r="C177" s="36" t="n">
        <x:f>E177*D$5</x:f>
        <x:v>0</x:v>
      </x:c>
      <x:c r="D177" s="20" t="n"/>
      <x:c r="E177" s="36" t="n">
        <x:f>SUM(G177:HS177)</x:f>
        <x:v>0</x:v>
      </x:c>
      <x:c r="Q177" s="100" t="n"/>
      <x:c r="R177" s="100" t="n"/>
      <x:c r="AD177" s="100" t="n"/>
      <x:c r="AE177" s="100" t="n"/>
      <x:c r="AF177" s="100" t="n"/>
      <x:c r="AG177" s="100" t="n"/>
      <x:c r="AH177" s="100" t="n"/>
      <x:c r="AI177" s="100" t="n"/>
      <x:c r="AJ177" s="100" t="n"/>
      <x:c r="AL177" s="100" t="n"/>
      <x:c r="AN177" s="100" t="n"/>
    </x:row>
    <x:row r="178" s="27" customFormat="1">
      <x:c r="A178" s="38" t="n"/>
      <x:c r="B178" s="37" t="n"/>
      <x:c r="C178" s="36" t="n">
        <x:f>E178*D$5</x:f>
        <x:v>0</x:v>
      </x:c>
      <x:c r="D178" s="20" t="n"/>
      <x:c r="E178" s="36" t="n">
        <x:f>SUM(G178:HS178)</x:f>
        <x:v>0</x:v>
      </x:c>
      <x:c r="Q178" s="100" t="n"/>
      <x:c r="R178" s="100" t="n"/>
      <x:c r="AD178" s="100" t="n"/>
      <x:c r="AE178" s="100" t="n"/>
      <x:c r="AF178" s="100" t="n"/>
      <x:c r="AG178" s="100" t="n"/>
      <x:c r="AH178" s="100" t="n"/>
      <x:c r="AI178" s="100" t="n"/>
      <x:c r="AJ178" s="100" t="n"/>
      <x:c r="AL178" s="100" t="n"/>
      <x:c r="AN178" s="100" t="n"/>
    </x:row>
    <x:row r="179" s="27" customFormat="1">
      <x:c r="A179" s="38" t="n"/>
      <x:c r="B179" s="37" t="n"/>
      <x:c r="C179" s="36" t="n">
        <x:f>E179*D$5</x:f>
        <x:v>0</x:v>
      </x:c>
      <x:c r="D179" s="20" t="n"/>
      <x:c r="E179" s="36" t="n">
        <x:f>SUM(G179:HS179)</x:f>
        <x:v>0</x:v>
      </x:c>
      <x:c r="Q179" s="100" t="n"/>
      <x:c r="R179" s="100" t="n"/>
      <x:c r="AD179" s="100" t="n"/>
      <x:c r="AE179" s="100" t="n"/>
      <x:c r="AF179" s="100" t="n"/>
      <x:c r="AG179" s="100" t="n"/>
      <x:c r="AH179" s="100" t="n"/>
      <x:c r="AI179" s="100" t="n"/>
      <x:c r="AJ179" s="100" t="n"/>
      <x:c r="AL179" s="100" t="n"/>
      <x:c r="AN179" s="100" t="n"/>
    </x:row>
    <x:row r="180" s="27" customFormat="1">
      <x:c r="A180" s="38" t="n"/>
      <x:c r="B180" s="37" t="n"/>
      <x:c r="C180" s="36" t="n">
        <x:f>E180*D$5</x:f>
        <x:v>0</x:v>
      </x:c>
      <x:c r="D180" s="20" t="n"/>
      <x:c r="E180" s="36" t="n">
        <x:f>SUM(G180:HS180)</x:f>
        <x:v>0</x:v>
      </x:c>
      <x:c r="Q180" s="100" t="n"/>
      <x:c r="R180" s="100" t="n"/>
      <x:c r="AD180" s="100" t="n"/>
      <x:c r="AE180" s="100" t="n"/>
      <x:c r="AF180" s="100" t="n"/>
      <x:c r="AG180" s="100" t="n"/>
      <x:c r="AH180" s="100" t="n"/>
      <x:c r="AI180" s="100" t="n"/>
      <x:c r="AJ180" s="100" t="n"/>
      <x:c r="AL180" s="100" t="n"/>
      <x:c r="AN180" s="100" t="n"/>
    </x:row>
    <x:row r="181" s="27" customFormat="1">
      <x:c r="A181" s="38" t="n"/>
      <x:c r="B181" s="37" t="n"/>
      <x:c r="C181" s="36" t="n">
        <x:f>E181*D$5</x:f>
        <x:v>0</x:v>
      </x:c>
      <x:c r="D181" s="20" t="n"/>
      <x:c r="E181" s="36" t="n">
        <x:f>SUM(G181:HS181)</x:f>
        <x:v>0</x:v>
      </x:c>
      <x:c r="Q181" s="100" t="n"/>
      <x:c r="R181" s="100" t="n"/>
      <x:c r="AD181" s="100" t="n"/>
      <x:c r="AE181" s="100" t="n"/>
      <x:c r="AF181" s="100" t="n"/>
      <x:c r="AG181" s="100" t="n"/>
      <x:c r="AH181" s="100" t="n"/>
      <x:c r="AI181" s="100" t="n"/>
      <x:c r="AJ181" s="100" t="n"/>
      <x:c r="AL181" s="100" t="n"/>
      <x:c r="AN181" s="100" t="n"/>
    </x:row>
    <x:row r="182" s="27" customFormat="1">
      <x:c r="A182" s="38" t="n"/>
      <x:c r="B182" s="37" t="n"/>
      <x:c r="C182" s="36" t="n">
        <x:f>E182*D$5</x:f>
        <x:v>0</x:v>
      </x:c>
      <x:c r="D182" s="20" t="n"/>
      <x:c r="E182" s="36" t="n">
        <x:f>SUM(G182:HS182)</x:f>
        <x:v>0</x:v>
      </x:c>
      <x:c r="Q182" s="100" t="n"/>
      <x:c r="R182" s="100" t="n"/>
      <x:c r="AD182" s="100" t="n"/>
      <x:c r="AE182" s="100" t="n"/>
      <x:c r="AF182" s="100" t="n"/>
      <x:c r="AG182" s="100" t="n"/>
      <x:c r="AH182" s="100" t="n"/>
      <x:c r="AI182" s="100" t="n"/>
      <x:c r="AJ182" s="100" t="n"/>
      <x:c r="AL182" s="100" t="n"/>
      <x:c r="AN182" s="100" t="n"/>
    </x:row>
    <x:row r="183" s="27" customFormat="1">
      <x:c r="A183" s="38" t="n"/>
      <x:c r="B183" s="37" t="n"/>
      <x:c r="C183" s="36" t="n">
        <x:f>E183*D$5</x:f>
        <x:v>0</x:v>
      </x:c>
      <x:c r="D183" s="20" t="n"/>
      <x:c r="E183" s="36" t="n">
        <x:f>SUM(G183:HS183)</x:f>
        <x:v>0</x:v>
      </x:c>
      <x:c r="Q183" s="100" t="n"/>
      <x:c r="R183" s="100" t="n"/>
      <x:c r="AD183" s="100" t="n"/>
      <x:c r="AE183" s="100" t="n"/>
      <x:c r="AF183" s="100" t="n"/>
      <x:c r="AG183" s="100" t="n"/>
      <x:c r="AH183" s="100" t="n"/>
      <x:c r="AI183" s="100" t="n"/>
      <x:c r="AJ183" s="100" t="n"/>
      <x:c r="AL183" s="100" t="n"/>
      <x:c r="AN183" s="100" t="n"/>
    </x:row>
    <x:row r="184" s="27" customFormat="1">
      <x:c r="A184" s="38" t="n"/>
      <x:c r="B184" s="37" t="n"/>
      <x:c r="C184" s="36" t="n">
        <x:f>E184*D$5</x:f>
        <x:v>0</x:v>
      </x:c>
      <x:c r="D184" s="20" t="n"/>
      <x:c r="E184" s="36" t="n">
        <x:f>SUM(G184:HT184)</x:f>
        <x:v>0</x:v>
      </x:c>
      <x:c r="R184" s="100" t="n"/>
      <x:c r="S184" s="100" t="n"/>
      <x:c r="AE184" s="100" t="n"/>
      <x:c r="AF184" s="100" t="n"/>
      <x:c r="AG184" s="100" t="n"/>
      <x:c r="AH184" s="100" t="n"/>
      <x:c r="AI184" s="100" t="n"/>
      <x:c r="AJ184" s="100" t="n"/>
      <x:c r="AK184" s="100" t="n"/>
      <x:c r="AM184" s="100" t="n"/>
      <x:c r="AO184" s="100" t="n"/>
    </x:row>
    <x:row r="185" s="27" customFormat="1">
      <x:c r="A185" s="38" t="n"/>
      <x:c r="B185" s="37" t="n"/>
      <x:c r="C185" s="36" t="n">
        <x:f>E185*D$5</x:f>
        <x:v>0</x:v>
      </x:c>
      <x:c r="D185" s="20" t="n"/>
      <x:c r="E185" s="36" t="n">
        <x:f>SUM(G185:HT185)</x:f>
        <x:v>0</x:v>
      </x:c>
      <x:c r="R185" s="100" t="n"/>
      <x:c r="S185" s="100" t="n"/>
      <x:c r="AE185" s="100" t="n"/>
      <x:c r="AF185" s="100" t="n"/>
      <x:c r="AG185" s="100" t="n"/>
      <x:c r="AH185" s="100" t="n"/>
      <x:c r="AI185" s="100" t="n"/>
      <x:c r="AJ185" s="100" t="n"/>
      <x:c r="AK185" s="100" t="n"/>
      <x:c r="AM185" s="100" t="n"/>
      <x:c r="AO185" s="100" t="n"/>
    </x:row>
    <x:row r="186" s="27" customFormat="1">
      <x:c r="A186" s="38" t="n"/>
      <x:c r="B186" s="37" t="n"/>
      <x:c r="C186" s="36" t="n">
        <x:f>E186*D$5</x:f>
        <x:v>0</x:v>
      </x:c>
      <x:c r="D186" s="20" t="n"/>
      <x:c r="E186" s="36" t="n">
        <x:f>SUM(G186:HT186)</x:f>
        <x:v>0</x:v>
      </x:c>
      <x:c r="R186" s="100" t="n"/>
      <x:c r="S186" s="100" t="n"/>
      <x:c r="AE186" s="100" t="n"/>
      <x:c r="AF186" s="100" t="n"/>
      <x:c r="AG186" s="100" t="n"/>
      <x:c r="AH186" s="100" t="n"/>
      <x:c r="AI186" s="100" t="n"/>
      <x:c r="AJ186" s="100" t="n"/>
      <x:c r="AK186" s="100" t="n"/>
      <x:c r="AM186" s="100" t="n"/>
      <x:c r="AO186" s="100" t="n"/>
    </x:row>
    <x:row r="187" s="27" customFormat="1">
      <x:c r="A187" s="38" t="n"/>
      <x:c r="B187" s="37" t="n"/>
      <x:c r="C187" s="36" t="n">
        <x:f>E187*D$5</x:f>
        <x:v>0</x:v>
      </x:c>
      <x:c r="D187" s="20" t="n"/>
      <x:c r="E187" s="36" t="n">
        <x:f>SUM(G187:HT187)</x:f>
        <x:v>0</x:v>
      </x:c>
      <x:c r="R187" s="100" t="n"/>
      <x:c r="S187" s="100" t="n"/>
      <x:c r="AE187" s="100" t="n"/>
      <x:c r="AF187" s="100" t="n"/>
      <x:c r="AG187" s="100" t="n"/>
      <x:c r="AH187" s="100" t="n"/>
      <x:c r="AI187" s="100" t="n"/>
      <x:c r="AJ187" s="100" t="n"/>
      <x:c r="AK187" s="100" t="n"/>
      <x:c r="AM187" s="100" t="n"/>
      <x:c r="AO187" s="100" t="n"/>
    </x:row>
    <x:row r="188" s="27" customFormat="1">
      <x:c r="A188" s="38" t="n"/>
      <x:c r="B188" s="37" t="n"/>
      <x:c r="C188" s="36" t="n">
        <x:f>E188*D$5</x:f>
        <x:v>0</x:v>
      </x:c>
      <x:c r="D188" s="20" t="n"/>
      <x:c r="E188" s="36" t="n">
        <x:f>SUM(G188:HT188)</x:f>
        <x:v>0</x:v>
      </x:c>
      <x:c r="R188" s="100" t="n"/>
      <x:c r="S188" s="100" t="n"/>
      <x:c r="AE188" s="100" t="n"/>
      <x:c r="AF188" s="100" t="n"/>
      <x:c r="AG188" s="100" t="n"/>
      <x:c r="AH188" s="100" t="n"/>
      <x:c r="AI188" s="100" t="n"/>
      <x:c r="AJ188" s="100" t="n"/>
      <x:c r="AK188" s="100" t="n"/>
      <x:c r="AM188" s="100" t="n"/>
      <x:c r="AO188" s="100" t="n"/>
    </x:row>
    <x:row r="189" s="27" customFormat="1">
      <x:c r="A189" s="38" t="n"/>
      <x:c r="B189" s="37" t="n"/>
      <x:c r="C189" s="36" t="n">
        <x:f>E189*D$5</x:f>
        <x:v>0</x:v>
      </x:c>
      <x:c r="D189" s="20" t="n"/>
      <x:c r="E189" s="36" t="n">
        <x:f>SUM(G189:HT189)</x:f>
        <x:v>0</x:v>
      </x:c>
      <x:c r="R189" s="100" t="n"/>
      <x:c r="S189" s="100" t="n"/>
      <x:c r="AE189" s="100" t="n"/>
      <x:c r="AF189" s="100" t="n"/>
      <x:c r="AG189" s="100" t="n"/>
      <x:c r="AH189" s="100" t="n"/>
      <x:c r="AI189" s="100" t="n"/>
      <x:c r="AJ189" s="100" t="n"/>
      <x:c r="AK189" s="100" t="n"/>
      <x:c r="AM189" s="100" t="n"/>
      <x:c r="AO189" s="100" t="n"/>
    </x:row>
    <x:row r="190" s="27" customFormat="1">
      <x:c r="A190" s="38" t="n"/>
      <x:c r="B190" s="37" t="n"/>
      <x:c r="C190" s="36" t="n">
        <x:f>E190*D$5</x:f>
        <x:v>0</x:v>
      </x:c>
      <x:c r="D190" s="20" t="n"/>
      <x:c r="E190" s="36" t="n">
        <x:f>SUM(G190:HT190)</x:f>
        <x:v>0</x:v>
      </x:c>
      <x:c r="R190" s="100" t="n"/>
      <x:c r="S190" s="100" t="n"/>
      <x:c r="AE190" s="100" t="n"/>
      <x:c r="AF190" s="100" t="n"/>
      <x:c r="AG190" s="100" t="n"/>
      <x:c r="AH190" s="100" t="n"/>
      <x:c r="AI190" s="100" t="n"/>
      <x:c r="AJ190" s="100" t="n"/>
      <x:c r="AK190" s="100" t="n"/>
      <x:c r="AM190" s="100" t="n"/>
      <x:c r="AO190" s="100" t="n"/>
    </x:row>
    <x:row r="191" s="27" customFormat="1">
      <x:c r="A191" s="38" t="n"/>
      <x:c r="B191" s="37" t="n"/>
      <x:c r="C191" s="36" t="n">
        <x:f>E191*D$5</x:f>
        <x:v>0</x:v>
      </x:c>
      <x:c r="D191" s="20" t="n"/>
      <x:c r="E191" s="36" t="n">
        <x:f>SUM(G191:HT191)</x:f>
        <x:v>0</x:v>
      </x:c>
      <x:c r="R191" s="100" t="n"/>
      <x:c r="S191" s="100" t="n"/>
      <x:c r="AE191" s="100" t="n"/>
      <x:c r="AF191" s="100" t="n"/>
      <x:c r="AG191" s="100" t="n"/>
      <x:c r="AH191" s="100" t="n"/>
      <x:c r="AI191" s="100" t="n"/>
      <x:c r="AJ191" s="100" t="n"/>
      <x:c r="AK191" s="100" t="n"/>
      <x:c r="AM191" s="100" t="n"/>
      <x:c r="AO191" s="100" t="n"/>
    </x:row>
    <x:row r="192" s="27" customFormat="1">
      <x:c r="A192" s="38" t="n"/>
      <x:c r="B192" s="37" t="n"/>
      <x:c r="C192" s="36" t="n">
        <x:f>E192*D$5</x:f>
        <x:v>0</x:v>
      </x:c>
      <x:c r="D192" s="20" t="n"/>
      <x:c r="E192" s="36" t="n">
        <x:f>SUM(G192:HT192)</x:f>
        <x:v>0</x:v>
      </x:c>
      <x:c r="R192" s="100" t="n"/>
      <x:c r="S192" s="100" t="n"/>
      <x:c r="AE192" s="100" t="n"/>
      <x:c r="AF192" s="100" t="n"/>
      <x:c r="AG192" s="100" t="n"/>
      <x:c r="AH192" s="100" t="n"/>
      <x:c r="AI192" s="100" t="n"/>
      <x:c r="AJ192" s="100" t="n"/>
      <x:c r="AK192" s="100" t="n"/>
      <x:c r="AM192" s="100" t="n"/>
      <x:c r="AO192" s="100" t="n"/>
    </x:row>
    <x:row r="193" s="27" customFormat="1">
      <x:c r="A193" s="38" t="n"/>
      <x:c r="B193" s="37" t="n"/>
      <x:c r="C193" s="36" t="n">
        <x:f>E193*D$5</x:f>
        <x:v>0</x:v>
      </x:c>
      <x:c r="D193" s="20" t="n"/>
      <x:c r="E193" s="36" t="n">
        <x:f>SUM(G193:HT193)</x:f>
        <x:v>0</x:v>
      </x:c>
      <x:c r="R193" s="100" t="n"/>
      <x:c r="S193" s="100" t="n"/>
      <x:c r="AE193" s="100" t="n"/>
      <x:c r="AF193" s="100" t="n"/>
      <x:c r="AG193" s="100" t="n"/>
      <x:c r="AH193" s="100" t="n"/>
      <x:c r="AI193" s="100" t="n"/>
      <x:c r="AJ193" s="100" t="n"/>
      <x:c r="AK193" s="100" t="n"/>
      <x:c r="AM193" s="100" t="n"/>
      <x:c r="AO193" s="100" t="n"/>
    </x:row>
    <x:row r="194" s="27" customFormat="1">
      <x:c r="A194" s="38" t="n"/>
      <x:c r="B194" s="37" t="n"/>
      <x:c r="C194" s="36" t="n">
        <x:f>E194*D$5</x:f>
        <x:v>0</x:v>
      </x:c>
      <x:c r="D194" s="20" t="n"/>
      <x:c r="E194" s="36" t="n">
        <x:f>SUM(G194:HT194)</x:f>
        <x:v>0</x:v>
      </x:c>
      <x:c r="R194" s="100" t="n"/>
      <x:c r="S194" s="100" t="n"/>
      <x:c r="AE194" s="100" t="n"/>
      <x:c r="AF194" s="100" t="n"/>
      <x:c r="AG194" s="100" t="n"/>
      <x:c r="AH194" s="100" t="n"/>
      <x:c r="AI194" s="100" t="n"/>
      <x:c r="AJ194" s="100" t="n"/>
      <x:c r="AK194" s="100" t="n"/>
      <x:c r="AM194" s="100" t="n"/>
      <x:c r="AO194" s="100" t="n"/>
    </x:row>
    <x:row r="195" s="27" customFormat="1">
      <x:c r="A195" s="38" t="n"/>
      <x:c r="B195" s="37" t="n"/>
      <x:c r="C195" s="36" t="n">
        <x:f>E195*D$5</x:f>
        <x:v>0</x:v>
      </x:c>
      <x:c r="D195" s="20" t="n"/>
      <x:c r="E195" s="36" t="n">
        <x:f>SUM(G195:HT195)</x:f>
        <x:v>0</x:v>
      </x:c>
      <x:c r="R195" s="100" t="n"/>
      <x:c r="S195" s="100" t="n"/>
      <x:c r="AE195" s="100" t="n"/>
      <x:c r="AF195" s="100" t="n"/>
      <x:c r="AG195" s="100" t="n"/>
      <x:c r="AH195" s="100" t="n"/>
      <x:c r="AI195" s="100" t="n"/>
      <x:c r="AJ195" s="100" t="n"/>
      <x:c r="AK195" s="100" t="n"/>
      <x:c r="AM195" s="100" t="n"/>
      <x:c r="AO195" s="100" t="n"/>
    </x:row>
    <x:row r="196" s="27" customFormat="1">
      <x:c r="A196" s="38" t="n"/>
      <x:c r="B196" s="37" t="n"/>
      <x:c r="C196" s="36" t="n">
        <x:f>E196*D$5</x:f>
        <x:v>0</x:v>
      </x:c>
      <x:c r="D196" s="20" t="n"/>
      <x:c r="E196" s="36" t="n">
        <x:f>SUM(G196:HT196)</x:f>
        <x:v>0</x:v>
      </x:c>
      <x:c r="R196" s="100" t="n"/>
      <x:c r="S196" s="100" t="n"/>
      <x:c r="AE196" s="100" t="n"/>
      <x:c r="AF196" s="100" t="n"/>
      <x:c r="AG196" s="100" t="n"/>
      <x:c r="AH196" s="100" t="n"/>
      <x:c r="AI196" s="100" t="n"/>
      <x:c r="AJ196" s="100" t="n"/>
      <x:c r="AK196" s="100" t="n"/>
      <x:c r="AM196" s="100" t="n"/>
      <x:c r="AO196" s="100" t="n"/>
    </x:row>
    <x:row r="197" s="27" customFormat="1">
      <x:c r="A197" s="38" t="n"/>
      <x:c r="B197" s="37" t="n"/>
      <x:c r="C197" s="36" t="n">
        <x:f>E197*D$5</x:f>
        <x:v>0</x:v>
      </x:c>
      <x:c r="D197" s="20" t="n"/>
      <x:c r="E197" s="36" t="n">
        <x:f>SUM(G197:HT197)</x:f>
        <x:v>0</x:v>
      </x:c>
      <x:c r="R197" s="100" t="n"/>
      <x:c r="S197" s="100" t="n"/>
      <x:c r="AE197" s="100" t="n"/>
      <x:c r="AF197" s="100" t="n"/>
      <x:c r="AG197" s="100" t="n"/>
      <x:c r="AH197" s="100" t="n"/>
      <x:c r="AI197" s="100" t="n"/>
      <x:c r="AJ197" s="100" t="n"/>
      <x:c r="AK197" s="100" t="n"/>
      <x:c r="AM197" s="100" t="n"/>
      <x:c r="AO197" s="100" t="n"/>
    </x:row>
    <x:row r="198" s="27" customFormat="1">
      <x:c r="A198" s="38" t="n"/>
      <x:c r="B198" s="37" t="n"/>
      <x:c r="C198" s="36" t="n">
        <x:f>E198*D$5</x:f>
        <x:v>0</x:v>
      </x:c>
      <x:c r="D198" s="20" t="n"/>
      <x:c r="E198" s="36" t="n">
        <x:f>SUM(G198:HT198)</x:f>
        <x:v>0</x:v>
      </x:c>
      <x:c r="R198" s="100" t="n"/>
      <x:c r="S198" s="100" t="n"/>
      <x:c r="AE198" s="100" t="n"/>
      <x:c r="AF198" s="100" t="n"/>
      <x:c r="AG198" s="100" t="n"/>
      <x:c r="AH198" s="100" t="n"/>
      <x:c r="AI198" s="100" t="n"/>
      <x:c r="AJ198" s="100" t="n"/>
      <x:c r="AK198" s="100" t="n"/>
      <x:c r="AM198" s="100" t="n"/>
      <x:c r="AO198" s="100" t="n"/>
    </x:row>
    <x:row r="199" s="27" customFormat="1">
      <x:c r="A199" s="38" t="n"/>
      <x:c r="B199" s="37" t="n"/>
      <x:c r="C199" s="36" t="n">
        <x:f>E199*D$5</x:f>
        <x:v>0</x:v>
      </x:c>
      <x:c r="D199" s="20" t="n"/>
      <x:c r="E199" s="36" t="n">
        <x:f>SUM(G199:HT199)</x:f>
        <x:v>0</x:v>
      </x:c>
      <x:c r="R199" s="100" t="n"/>
      <x:c r="S199" s="100" t="n"/>
      <x:c r="AE199" s="100" t="n"/>
      <x:c r="AF199" s="100" t="n"/>
      <x:c r="AG199" s="100" t="n"/>
      <x:c r="AH199" s="100" t="n"/>
      <x:c r="AI199" s="100" t="n"/>
      <x:c r="AJ199" s="100" t="n"/>
      <x:c r="AK199" s="100" t="n"/>
      <x:c r="AM199" s="100" t="n"/>
      <x:c r="AO199" s="100" t="n"/>
    </x:row>
    <x:row r="200" s="27" customFormat="1">
      <x:c r="A200" s="38" t="n"/>
      <x:c r="B200" s="37" t="n"/>
      <x:c r="C200" s="36" t="n">
        <x:f>E200*D$5</x:f>
        <x:v>0</x:v>
      </x:c>
      <x:c r="D200" s="20" t="n"/>
      <x:c r="E200" s="36" t="n">
        <x:f>SUM(G200:HT200)</x:f>
        <x:v>0</x:v>
      </x:c>
      <x:c r="R200" s="100" t="n"/>
      <x:c r="S200" s="100" t="n"/>
      <x:c r="AE200" s="100" t="n"/>
      <x:c r="AF200" s="100" t="n"/>
      <x:c r="AG200" s="100" t="n"/>
      <x:c r="AH200" s="100" t="n"/>
      <x:c r="AI200" s="100" t="n"/>
      <x:c r="AJ200" s="100" t="n"/>
      <x:c r="AK200" s="100" t="n"/>
      <x:c r="AM200" s="100" t="n"/>
      <x:c r="AO200" s="100" t="n"/>
    </x:row>
    <x:row r="201" s="27" customFormat="1">
      <x:c r="A201" s="38" t="n"/>
      <x:c r="B201" s="37" t="n"/>
      <x:c r="C201" s="36" t="n">
        <x:f>E201*D$5</x:f>
        <x:v>0</x:v>
      </x:c>
      <x:c r="D201" s="20" t="n"/>
      <x:c r="E201" s="36" t="n">
        <x:f>SUM(G201:HT201)</x:f>
        <x:v>0</x:v>
      </x:c>
      <x:c r="R201" s="100" t="n"/>
      <x:c r="S201" s="100" t="n"/>
      <x:c r="AE201" s="100" t="n"/>
      <x:c r="AF201" s="100" t="n"/>
      <x:c r="AG201" s="100" t="n"/>
      <x:c r="AH201" s="100" t="n"/>
      <x:c r="AI201" s="100" t="n"/>
      <x:c r="AJ201" s="100" t="n"/>
      <x:c r="AK201" s="100" t="n"/>
      <x:c r="AM201" s="100" t="n"/>
      <x:c r="AO201" s="100" t="n"/>
    </x:row>
    <x:row r="202" s="27" customFormat="1">
      <x:c r="A202" s="38" t="n"/>
      <x:c r="B202" s="37" t="n"/>
      <x:c r="C202" s="36" t="n">
        <x:f>E202*D$5</x:f>
        <x:v>0</x:v>
      </x:c>
      <x:c r="D202" s="20" t="n"/>
      <x:c r="E202" s="36" t="n">
        <x:f>SUM(G202:HT202)</x:f>
        <x:v>0</x:v>
      </x:c>
      <x:c r="R202" s="100" t="n"/>
      <x:c r="S202" s="100" t="n"/>
      <x:c r="AE202" s="100" t="n"/>
      <x:c r="AF202" s="100" t="n"/>
      <x:c r="AG202" s="100" t="n"/>
      <x:c r="AH202" s="100" t="n"/>
      <x:c r="AI202" s="100" t="n"/>
      <x:c r="AJ202" s="100" t="n"/>
      <x:c r="AK202" s="100" t="n"/>
      <x:c r="AM202" s="100" t="n"/>
      <x:c r="AO202" s="100" t="n"/>
    </x:row>
    <x:row r="203" s="27" customFormat="1">
      <x:c r="A203" s="38" t="n"/>
      <x:c r="B203" s="37" t="n"/>
      <x:c r="C203" s="36" t="n">
        <x:f>E203*D$5</x:f>
        <x:v>0</x:v>
      </x:c>
      <x:c r="D203" s="20" t="n"/>
      <x:c r="E203" s="36" t="n">
        <x:f>SUM(G203:HT203)</x:f>
        <x:v>0</x:v>
      </x:c>
      <x:c r="R203" s="100" t="n"/>
      <x:c r="S203" s="100" t="n"/>
      <x:c r="AE203" s="100" t="n"/>
      <x:c r="AF203" s="100" t="n"/>
      <x:c r="AG203" s="100" t="n"/>
      <x:c r="AH203" s="100" t="n"/>
      <x:c r="AI203" s="100" t="n"/>
      <x:c r="AJ203" s="100" t="n"/>
      <x:c r="AK203" s="100" t="n"/>
      <x:c r="AM203" s="102" t="n"/>
      <x:c r="AO203" s="100" t="n"/>
    </x:row>
    <x:row r="204" s="29" customFormat="1">
      <x:c r="A204" s="34" t="n"/>
      <x:c r="B204" s="33" t="n"/>
      <x:c r="C204" s="32" t="n"/>
      <x:c r="D204" s="31" t="n"/>
      <x:c r="E204" s="30" t="n"/>
      <x:c r="R204" s="100" t="n"/>
      <x:c r="S204" s="100" t="n"/>
      <x:c r="AE204" s="100" t="n"/>
      <x:c r="AF204" s="100" t="n"/>
      <x:c r="AG204" s="100" t="n"/>
      <x:c r="AH204" s="100" t="n"/>
      <x:c r="AI204" s="100" t="n"/>
      <x:c r="AJ204" s="100" t="n"/>
      <x:c r="AK204" s="100" t="n"/>
      <x:c r="AM204" s="95" t="n"/>
      <x:c r="AO204" s="100" t="n"/>
    </x:row>
    <x:row r="205" s="26" customFormat="1">
      <x:c r="A205" s="25" t="n"/>
      <x:c r="B205" s="24" t="n"/>
      <x:c r="C205" s="23" t="n"/>
      <x:c r="D205" s="22" t="n"/>
      <x:c r="E205" s="21" t="n"/>
      <x:c r="R205" s="100" t="n"/>
      <x:c r="S205" s="100" t="n"/>
      <x:c r="AE205" s="100" t="n"/>
      <x:c r="AF205" s="100" t="n"/>
      <x:c r="AG205" s="100" t="n"/>
      <x:c r="AH205" s="100" t="n"/>
      <x:c r="AI205" s="100" t="n"/>
      <x:c r="AJ205" s="100" t="n"/>
      <x:c r="AK205" s="100" t="n"/>
      <x:c r="AM205" s="95" t="n"/>
      <x:c r="AO205" s="100" t="n"/>
    </x:row>
    <x:row r="206">
      <x:c r="A206" s="25" t="n"/>
      <x:c r="B206" s="24" t="n"/>
      <x:c r="C206" s="23" t="n"/>
      <x:c r="D206" s="22" t="n"/>
      <x:c r="E206" s="21" t="n"/>
      <x:c r="R206" s="100" t="n"/>
      <x:c r="S206" s="100" t="n"/>
      <x:c r="AE206" s="100" t="n"/>
      <x:c r="AF206" s="100" t="n"/>
      <x:c r="AG206" s="100" t="n"/>
      <x:c r="AH206" s="102" t="n"/>
      <x:c r="AI206" s="102" t="n"/>
      <x:c r="AJ206" s="102" t="n"/>
      <x:c r="AK206" s="102" t="n"/>
      <x:c r="AO206" s="102" t="n"/>
    </x:row>
    <x:row r="207">
      <x:c r="R207" s="100" t="n"/>
      <x:c r="S207" s="100" t="n"/>
      <x:c r="AE207" s="102" t="n"/>
      <x:c r="AF207" s="100" t="n"/>
      <x:c r="AG207" s="100" t="n"/>
    </x:row>
    <x:row r="208">
      <x:c r="R208" s="102" t="n"/>
      <x:c r="S208" s="102" t="n"/>
      <x:c r="AF208" s="102" t="n"/>
      <x:c r="AG208" s="100" t="n"/>
    </x:row>
    <x:row r="209">
      <x:c r="AG209" s="100" t="n"/>
    </x:row>
    <x:row r="210">
      <x:c r="AG210" s="100" t="n"/>
    </x:row>
    <x:row r="211">
      <x:c r="AG211" s="100" t="n"/>
    </x:row>
    <x:row r="212">
      <x:c r="AG212" s="102" t="n"/>
    </x:row>
  </x:sheetData>
  <x:mergeCells>
    <x:mergeCell ref="CG7:CG8"/>
    <x:mergeCell ref="EX7:EX8"/>
    <x:mergeCell ref="EZ7:EZ8"/>
    <x:mergeCell ref="DH7:DH8"/>
    <x:mergeCell ref="BR7:BR8"/>
    <x:mergeCell ref="BA7:BA8"/>
    <x:mergeCell ref="BC7:BC8"/>
    <x:mergeCell ref="DT7:DT8"/>
    <x:mergeCell ref="M7:M8"/>
    <x:mergeCell ref="DV7:DV8"/>
    <x:mergeCell ref="FD7:FD8"/>
    <x:mergeCell ref="FV7:FV8"/>
    <x:mergeCell ref="BO7:BO8"/>
    <x:mergeCell ref="FX7:FX8"/>
    <x:mergeCell ref="CI7:CI8"/>
    <x:mergeCell ref="DS7:DS8"/>
    <x:mergeCell ref="E1:F1"/>
    <x:mergeCell ref="P7:P8"/>
    <x:mergeCell ref="AM7:AM8"/>
    <x:mergeCell ref="FF7:FF8"/>
    <x:mergeCell ref="CA7:CA8"/>
    <x:mergeCell ref="T7:T8"/>
    <x:mergeCell ref="V7:V8"/>
    <x:mergeCell ref="CM7:CM8"/>
    <x:mergeCell ref="AN7:AN8"/>
    <x:mergeCell ref="AP7:AP8"/>
    <x:mergeCell ref="AF7:AF8"/>
    <x:mergeCell ref="DG7:DG8"/>
    <x:mergeCell ref="EO7:EO8"/>
    <x:mergeCell ref="AH7:AH8"/>
    <x:mergeCell ref="EQ7:EQ8"/>
    <x:mergeCell ref="D2:D4"/>
    <x:mergeCell ref="FI7:FI8"/>
    <x:mergeCell ref="CJ7:CJ8"/>
    <x:mergeCell ref="BB7:BB8"/>
    <x:mergeCell ref="FA7:FA8"/>
    <x:mergeCell ref="BD7:BD8"/>
    <x:mergeCell ref="FC7:FC8"/>
    <x:mergeCell ref="EN7:EN8"/>
    <x:mergeCell ref="AT7:AT8"/>
    <x:mergeCell ref="DK7:DK8"/>
    <x:mergeCell ref="AV7:AV8"/>
    <x:mergeCell ref="CP7:CP8"/>
    <x:mergeCell ref="DM7:DM8"/>
    <x:mergeCell ref="C6:C7"/>
    <x:mergeCell ref="BF7:BF8"/>
    <x:mergeCell ref="FO7:FO8"/>
    <x:mergeCell ref="BH7:BH8"/>
    <x:mergeCell ref="E3:F3"/>
    <x:mergeCell ref="FQ7:FQ8"/>
    <x:mergeCell ref="DY7:DY8"/>
    <x:mergeCell ref="EA7:EA8"/>
    <x:mergeCell ref="DJ7:DJ8"/>
    <x:mergeCell ref="GA7:GA8"/>
    <x:mergeCell ref="BT7:BT8"/>
    <x:mergeCell ref="B3:C3"/>
    <x:mergeCell ref="A2:A6"/>
    <x:mergeCell ref="E5:F5"/>
    <x:mergeCell ref="G7:G8"/>
    <x:mergeCell ref="DP7:DP8"/>
    <x:mergeCell ref="I7:I8"/>
    <x:mergeCell ref="BI7:BI8"/>
    <x:mergeCell ref="S7:S8"/>
    <x:mergeCell ref="EB7:EB8"/>
    <x:mergeCell ref="U7:U8"/>
    <x:mergeCell ref="FL7:FL8"/>
    <x:mergeCell ref="W7:W8"/>
    <x:mergeCell ref="E4:F4"/>
    <x:mergeCell ref="BW7:BW8"/>
    <x:mergeCell ref="CT7:CT8"/>
    <x:mergeCell ref="B2:C2"/>
    <x:mergeCell ref="CF7:CF8"/>
    <x:mergeCell ref="EF7:EF8"/>
    <x:mergeCell ref="AI7:AI8"/>
    <x:mergeCell ref="Y7:Y8"/>
    <x:mergeCell ref="EH7:EH8"/>
    <x:mergeCell ref="CZ7:CZ8"/>
    <x:mergeCell ref="AA7:AA8"/>
    <x:mergeCell ref="CR7:CR8"/>
    <x:mergeCell ref="AS7:AS8"/>
    <x:mergeCell ref="CC7:CC8"/>
    <x:mergeCell ref="AU7:AU8"/>
    <x:mergeCell ref="ET7:ET8"/>
    <x:mergeCell ref="F6:F8"/>
    <x:mergeCell ref="EV7:EV8"/>
    <x:mergeCell ref="CW7:CW8"/>
    <x:mergeCell ref="FN7:FN8"/>
    <x:mergeCell ref="CO7:CO8"/>
    <x:mergeCell ref="FP7:FP8"/>
    <x:mergeCell ref="DI7:DI8"/>
    <x:mergeCell ref="AY7:AY8"/>
    <x:mergeCell ref="AD7:AD8"/>
    <x:mergeCell ref="CU7:CU8"/>
    <x:mergeCell ref="DR7:DR8"/>
    <x:mergeCell ref="FR7:FR8"/>
    <x:mergeCell ref="BK7:BK8"/>
    <x:mergeCell ref="FT7:FT8"/>
    <x:mergeCell ref="DO7:DO8"/>
    <x:mergeCell ref="BQ7:BQ8"/>
    <x:mergeCell ref="DA7:DA8"/>
    <x:mergeCell ref="L7:L8"/>
    <x:mergeCell ref="DU7:DU8"/>
    <x:mergeCell ref="N7:N8"/>
    <x:mergeCell ref="BN7:BN8"/>
    <x:mergeCell ref="BP7:BP8"/>
    <x:mergeCell ref="EG7:EG8"/>
    <x:mergeCell ref="BZ7:BZ8"/>
    <x:mergeCell ref="CB7:CB8"/>
    <x:mergeCell ref="R7:R8"/>
    <x:mergeCell ref="CE7:CE8"/>
    <x:mergeCell ref="AJ7:AJ8"/>
    <x:mergeCell ref="CK7:CK8"/>
    <x:mergeCell ref="AL7:AL8"/>
    <x:mergeCell ref="EK7:EK8"/>
    <x:mergeCell ref="DC7:DC8"/>
    <x:mergeCell ref="EM7:EM8"/>
    <x:mergeCell ref="CN7:CN8"/>
    <x:mergeCell ref="FE7:FE8"/>
    <x:mergeCell ref="AX7:AX8"/>
    <x:mergeCell ref="FG7:FG8"/>
    <x:mergeCell ref="EW7:EW8"/>
    <x:mergeCell ref="EY7:EY8"/>
    <x:mergeCell ref="DB7:DB8"/>
    <x:mergeCell ref="CL7:CL8"/>
    <x:mergeCell ref="AG7:AG8"/>
    <x:mergeCell ref="EP7:EP8"/>
    <x:mergeCell ref="FW7:FW8"/>
    <x:mergeCell ref="FB7:FB8"/>
    <x:mergeCell ref="FY7:FY8"/>
    <x:mergeCell ref="DL7:DL8"/>
    <x:mergeCell ref="DD7:DD8"/>
    <x:mergeCell ref="BV7:BV8"/>
    <x:mergeCell ref="BE7:BE8"/>
    <x:mergeCell ref="DF7:DF8"/>
    <x:mergeCell ref="BG7:BG8"/>
    <x:mergeCell ref="O7:O8"/>
    <x:mergeCell ref="DX7:DX8"/>
    <x:mergeCell ref="Q7:Q8"/>
    <x:mergeCell ref="FH7:FH8"/>
    <x:mergeCell ref="DZ7:DZ8"/>
    <x:mergeCell ref="FZ7:FZ8"/>
    <x:mergeCell ref="BS7:BS8"/>
    <x:mergeCell ref="EJ7:EJ8"/>
    <x:mergeCell ref="BU7:BU8"/>
    <x:mergeCell ref="DW7:DW8"/>
    <x:mergeCell ref="AR7:AR8"/>
    <x:mergeCell ref="B5:C5"/>
    <x:mergeCell ref="EI7:EI8"/>
    <x:mergeCell ref="ED7:ED8"/>
    <x:mergeCell ref="AO7:AO8"/>
    <x:mergeCell ref="D6:D7"/>
    <x:mergeCell ref="BY7:BY8"/>
    <x:mergeCell ref="AQ7:AQ8"/>
    <x:mergeCell ref="B6:B8"/>
    <x:mergeCell ref="B4:C4"/>
    <x:mergeCell ref="ER7:ER8"/>
    <x:mergeCell ref="CS7:CS8"/>
    <x:mergeCell ref="FJ7:FJ8"/>
    <x:mergeCell ref="DE7:DE8"/>
    <x:mergeCell ref="X7:X8"/>
    <x:mergeCell ref="Z7:Z8"/>
    <x:mergeCell ref="CQ7:CQ8"/>
    <x:mergeCell ref="ES7:ES8"/>
    <x:mergeCell ref="EU7:EU8"/>
    <x:mergeCell ref="BM7:BM8"/>
    <x:mergeCell ref="AZ7:AZ8"/>
    <x:mergeCell ref="H7:H8"/>
    <x:mergeCell ref="DQ7:DQ8"/>
    <x:mergeCell ref="J7:J8"/>
    <x:mergeCell ref="E6:E7"/>
    <x:mergeCell ref="BJ7:BJ8"/>
    <x:mergeCell ref="AB7:AB8"/>
    <x:mergeCell ref="FS7:FS8"/>
    <x:mergeCell ref="BL7:BL8"/>
    <x:mergeCell ref="FU7:FU8"/>
    <x:mergeCell ref="FK7:FK8"/>
    <x:mergeCell ref="EC7:EC8"/>
    <x:mergeCell ref="FM7:FM8"/>
    <x:mergeCell ref="EE7:EE8"/>
    <x:mergeCell ref="DN7:DN8"/>
    <x:mergeCell ref="CD7:CD8"/>
    <x:mergeCell ref="BX7:BX8"/>
    <x:mergeCell ref="E2:F2"/>
    <x:mergeCell ref="K7:K8"/>
    <x:mergeCell ref="CY7:CY8"/>
    <x:mergeCell ref="CX7:CX8"/>
    <x:mergeCell ref="CH7:CH8"/>
    <x:mergeCell ref="AK7:AK8"/>
    <x:mergeCell ref="AC7:AC8"/>
    <x:mergeCell ref="EL7:EL8"/>
    <x:mergeCell ref="AE7:AE8"/>
    <x:mergeCell ref="CV7:CV8"/>
    <x:mergeCell ref="AW7:AW8"/>
  </x:mergeCells>
  <x:pageMargins left="0.7" right="0.7" top="0.75" bottom="0.75" header="0.3" footer="0.3"/>
</x:worksheet>
</file>

<file path=xl/worksheets/sheet16.xml><?xml version="1.0" encoding="utf-8"?>
<x:worksheet xmlns:x="http://schemas.openxmlformats.org/spreadsheetml/2006/main">
  <x:sheetFormatPr baseColWidth="8" defaultColWidth="14.42578125" defaultRowHeight="12.75"/>
  <x:cols>
    <x:col min="1" max="1" width="8.140625" style="19" customWidth="1"/>
    <x:col min="2" max="2" width="6.85546875" style="18" customWidth="1"/>
    <x:col min="3" max="3" width="12.5703125" style="17" customWidth="1"/>
    <x:col min="4" max="4" width="40.85546875" style="16" customWidth="1"/>
    <x:col min="5" max="5" width="11.140625" style="15" customWidth="1"/>
    <x:col min="6" max="6" width="6.85546875" style="13" customWidth="1"/>
    <x:col min="7" max="7" width="13" style="13" customWidth="1"/>
    <x:col min="8" max="18" width="11.5703125" style="81" customWidth="1"/>
    <x:col min="19" max="19" width="19" style="81" customWidth="1"/>
    <x:col min="20" max="23" width="11.5703125" style="81" customWidth="1"/>
    <x:col min="24" max="25" width="19" style="81" customWidth="1"/>
    <x:col min="26" max="82" width="8.5703125" style="81" customWidth="1"/>
    <x:col min="83" max="172" width="13" style="13" customWidth="1"/>
    <x:col min="173" max="173" width="13" style="14" customWidth="1"/>
    <x:col min="174" max="179" width="13" style="13" customWidth="1"/>
    <x:col min="180" max="16384" width="14.42578125" style="13" customWidth="1"/>
  </x:cols>
  <x:sheetData>
    <x:row r="1" s="569" customFormat="1" ht="13.5" customHeight="1">
      <x:c r="E1" s="477" t="inlineStr">
        <x:is>
          <x:t xml:space="preserve">Instrument</x:t>
        </x:is>
      </x:c>
      <x:c r="F1" s="592" t="n"/>
      <x:c r="G1" s="63" t="n"/>
      <x:c r="H1" s="117" t="inlineStr">
        <x:is>
          <x:t xml:space="preserve">Assignment</x:t>
        </x:is>
      </x:c>
      <x:c r="I1" s="117" t="inlineStr">
        <x:is>
          <x:t xml:space="preserve">Assignment</x:t>
        </x:is>
      </x:c>
      <x:c r="J1" s="117" t="inlineStr">
        <x:is>
          <x:t xml:space="preserve">Assignment</x:t>
        </x:is>
      </x:c>
      <x:c r="K1" s="117" t="inlineStr">
        <x:is>
          <x:t xml:space="preserve">Assignment</x:t>
        </x:is>
      </x:c>
      <x:c r="L1" s="117" t="inlineStr">
        <x:is>
          <x:t xml:space="preserve">Assignment</x:t>
        </x:is>
      </x:c>
      <x:c r="M1" s="95" t="inlineStr">
        <x:is>
          <x:t xml:space="preserve">Assignment</x:t>
        </x:is>
      </x:c>
      <x:c r="N1" s="95" t="inlineStr">
        <x:is>
          <x:t xml:space="preserve">Assignment</x:t>
        </x:is>
      </x:c>
      <x:c r="O1" s="95" t="inlineStr">
        <x:is>
          <x:t xml:space="preserve">Assignment</x:t>
        </x:is>
      </x:c>
      <x:c r="P1" s="95" t="inlineStr">
        <x:is>
          <x:t xml:space="preserve">Assignment</x:t>
        </x:is>
      </x:c>
      <x:c r="Q1" s="95" t="inlineStr">
        <x:is>
          <x:t xml:space="preserve">Assignment</x:t>
        </x:is>
      </x:c>
      <x:c r="R1" s="95" t="inlineStr">
        <x:is>
          <x:t xml:space="preserve">Assignment</x:t>
        </x:is>
      </x:c>
      <x:c r="S1" s="95" t="inlineStr">
        <x:is>
          <x:t xml:space="preserve">Wellbore Assignment</x:t>
        </x:is>
      </x:c>
      <x:c r="T1" s="95" t="inlineStr">
        <x:is>
          <x:t xml:space="preserve">Assignment</x:t>
        </x:is>
      </x:c>
      <x:c r="U1" s="95" t="inlineStr">
        <x:is>
          <x:t xml:space="preserve">Assignment</x:t>
        </x:is>
      </x:c>
      <x:c r="V1" s="95" t="inlineStr">
        <x:is>
          <x:t xml:space="preserve">Assignment</x:t>
        </x:is>
      </x:c>
      <x:c r="W1" s="95" t="inlineStr">
        <x:is>
          <x:t xml:space="preserve">Assignment</x:t>
        </x:is>
      </x:c>
      <x:c r="X1" s="95" t="inlineStr">
        <x:is>
          <x:t xml:space="preserve">Wellbore Assignment</x:t>
        </x:is>
      </x:c>
      <x:c r="Y1" s="95" t="inlineStr">
        <x:is>
          <x:t xml:space="preserve">Wellbore Assignment</x:t>
        </x:is>
      </x:c>
      <x:c r="Z1" s="95" t="n"/>
      <x:c r="AA1" s="95" t="n"/>
      <x:c r="AB1" s="95" t="n"/>
      <x:c r="AC1" s="95" t="n"/>
      <x:c r="AD1" s="95" t="n"/>
      <x:c r="AE1" s="95" t="n"/>
      <x:c r="AF1" s="95" t="n"/>
      <x:c r="AG1" s="95" t="n"/>
      <x:c r="AH1" s="95" t="n"/>
      <x:c r="AI1" s="95" t="n"/>
      <x:c r="AJ1" s="95" t="n"/>
      <x:c r="AK1" s="95" t="n"/>
      <x:c r="AL1" s="95" t="n"/>
      <x:c r="AM1" s="95" t="n"/>
      <x:c r="AN1" s="95" t="n"/>
      <x:c r="AO1" s="95" t="n"/>
      <x:c r="AP1" s="95" t="n"/>
      <x:c r="AQ1" s="95" t="n"/>
      <x:c r="AR1" s="95" t="n"/>
      <x:c r="AS1" s="95" t="n"/>
      <x:c r="AT1" s="95" t="n"/>
      <x:c r="AU1" s="95" t="n"/>
      <x:c r="AV1" s="95" t="n"/>
      <x:c r="AW1" s="95" t="n"/>
      <x:c r="AX1" s="95" t="n"/>
      <x:c r="AY1" s="95" t="n"/>
      <x:c r="AZ1" s="95" t="n"/>
      <x:c r="BA1" s="95" t="n"/>
      <x:c r="BB1" s="95" t="n"/>
      <x:c r="BC1" s="95" t="n"/>
      <x:c r="BD1" s="95" t="n"/>
      <x:c r="BE1" s="95" t="n"/>
      <x:c r="BF1" s="95" t="n"/>
      <x:c r="BG1" s="95" t="n"/>
      <x:c r="BH1" s="95" t="n"/>
      <x:c r="BI1" s="95" t="n"/>
      <x:c r="BJ1" s="95" t="n"/>
      <x:c r="BK1" s="95" t="n"/>
      <x:c r="BL1" s="95" t="n"/>
      <x:c r="BM1" s="95" t="n"/>
      <x:c r="BN1" s="95" t="n"/>
      <x:c r="BO1" s="95" t="n"/>
      <x:c r="BP1" s="95" t="n"/>
      <x:c r="BQ1" s="95" t="n"/>
      <x:c r="BR1" s="95" t="n"/>
      <x:c r="BS1" s="95" t="n"/>
      <x:c r="BT1" s="95" t="n"/>
      <x:c r="BU1" s="95" t="n"/>
      <x:c r="BV1" s="95" t="n"/>
      <x:c r="BW1" s="95" t="n"/>
      <x:c r="BX1" s="95" t="n"/>
      <x:c r="BY1" s="95" t="n"/>
      <x:c r="BZ1" s="95" t="n"/>
      <x:c r="CA1" s="95" t="n"/>
      <x:c r="CB1" s="95" t="n"/>
      <x:c r="CC1" s="95" t="n"/>
      <x:c r="CD1" s="95" t="n"/>
      <x:c r="CE1" s="95" t="n"/>
      <x:c r="CF1" s="95" t="n"/>
      <x:c r="CG1" s="95" t="n"/>
      <x:c r="CH1" s="95" t="n"/>
      <x:c r="CI1" s="95" t="n"/>
      <x:c r="CJ1" s="95" t="n"/>
      <x:c r="CK1" s="95" t="n"/>
      <x:c r="CL1" s="95" t="n"/>
      <x:c r="CM1" s="95" t="n"/>
      <x:c r="CN1" s="95" t="n"/>
      <x:c r="CO1" s="95" t="n"/>
      <x:c r="CP1" s="95" t="n"/>
      <x:c r="CQ1" s="95" t="n"/>
      <x:c r="CR1" s="95" t="n"/>
      <x:c r="CS1" s="95" t="n"/>
      <x:c r="CT1" s="95" t="n"/>
      <x:c r="CU1" s="95" t="n"/>
      <x:c r="CV1" s="95" t="n"/>
      <x:c r="CW1" s="95" t="n"/>
      <x:c r="CX1" s="95" t="n"/>
      <x:c r="CY1" s="95" t="n"/>
      <x:c r="CZ1" s="95" t="n"/>
      <x:c r="DA1" s="95" t="n"/>
      <x:c r="DB1" s="95" t="n"/>
      <x:c r="DC1" s="95" t="n"/>
      <x:c r="DD1" s="95" t="n"/>
      <x:c r="DE1" s="95" t="n"/>
      <x:c r="DF1" s="95" t="n"/>
      <x:c r="DG1" s="95" t="n"/>
      <x:c r="DH1" s="95" t="n"/>
      <x:c r="DI1" s="95" t="n"/>
      <x:c r="DJ1" s="95" t="n"/>
      <x:c r="DK1" s="95" t="n"/>
      <x:c r="DL1" s="95" t="n"/>
      <x:c r="DM1" s="95" t="n"/>
      <x:c r="DN1" s="95" t="n"/>
      <x:c r="DO1" s="95" t="n"/>
      <x:c r="DP1" s="95" t="n"/>
      <x:c r="DQ1" s="95" t="n"/>
      <x:c r="DR1" s="95" t="n"/>
      <x:c r="DS1" s="95" t="n"/>
      <x:c r="DT1" s="95" t="n"/>
      <x:c r="DU1" s="95" t="n"/>
      <x:c r="DV1" s="95" t="n"/>
      <x:c r="DW1" s="95" t="n"/>
      <x:c r="DX1" s="95" t="n"/>
      <x:c r="DY1" s="95" t="n"/>
      <x:c r="DZ1" s="95" t="n"/>
      <x:c r="EA1" s="95" t="n"/>
      <x:c r="EB1" s="95" t="n"/>
      <x:c r="EC1" s="95" t="n"/>
      <x:c r="ED1" s="95" t="n"/>
      <x:c r="EE1" s="95" t="n"/>
      <x:c r="EF1" s="95" t="n"/>
      <x:c r="EG1" s="95" t="n"/>
      <x:c r="EH1" s="95" t="n"/>
      <x:c r="EI1" s="95" t="n"/>
      <x:c r="EJ1" s="95" t="n"/>
      <x:c r="EK1" s="95" t="n"/>
      <x:c r="EL1" s="95" t="n"/>
      <x:c r="EM1" s="95" t="n"/>
      <x:c r="EN1" s="95" t="n"/>
      <x:c r="EO1" s="95" t="n"/>
      <x:c r="EP1" s="95" t="n"/>
      <x:c r="EQ1" s="95" t="n"/>
      <x:c r="ER1" s="95" t="n"/>
      <x:c r="ES1" s="95" t="n"/>
      <x:c r="ET1" s="95" t="n"/>
      <x:c r="EU1" s="95" t="n"/>
      <x:c r="EV1" s="95" t="n"/>
      <x:c r="EW1" s="95" t="n"/>
      <x:c r="EX1" s="95" t="n"/>
      <x:c r="EY1" s="95" t="n"/>
      <x:c r="EZ1" s="95" t="n"/>
      <x:c r="FA1" s="95" t="n"/>
      <x:c r="FB1" s="95" t="n"/>
      <x:c r="FC1" s="95" t="n"/>
      <x:c r="FD1" s="95" t="n"/>
      <x:c r="FE1" s="95" t="n"/>
      <x:c r="FF1" s="95" t="n"/>
      <x:c r="FG1" s="95" t="n"/>
      <x:c r="FH1" s="95" t="n"/>
      <x:c r="FI1" s="95" t="n"/>
      <x:c r="FJ1" s="95" t="n"/>
      <x:c r="FK1" s="95" t="n"/>
      <x:c r="FL1" s="95" t="n"/>
      <x:c r="FM1" s="95" t="n"/>
      <x:c r="FN1" s="95" t="n"/>
      <x:c r="FO1" s="95" t="n"/>
      <x:c r="FP1" s="95" t="n"/>
      <x:c r="FQ1" s="95" t="n"/>
      <x:c r="FR1" s="95" t="n"/>
      <x:c r="FS1" s="95" t="n"/>
      <x:c r="FT1" s="95" t="n"/>
      <x:c r="FU1" s="95" t="n"/>
      <x:c r="FV1" s="95" t="n"/>
      <x:c r="FW1" s="14" t="n"/>
    </x:row>
    <x:row r="2" s="62" customFormat="1" ht="12.75" customHeight="1">
      <x:c r="A2" s="614" t="inlineStr">
        <x:is>
          <x:t xml:space="preserve">1</x:t>
        </x:is>
      </x:c>
      <x:c r="B2" s="615" t="inlineStr">
        <x:is>
          <x:t xml:space="preserve">TRACT</x:t>
        </x:is>
      </x:c>
      <x:c r="C2" s="593" t="n"/>
      <x:c r="D2" s="646" t="inlineStr">
        <x:is>
          <x:t xml:space="preserve">All rights to the Alexander 1-31 wellbore </x:t>
        </x:is>
      </x:c>
      <x:c r="E2" s="617" t="inlineStr">
        <x:is>
          <x:t xml:space="preserve">Image Number</x:t>
        </x:is>
      </x:c>
      <x:c r="F2" s="618" t="n"/>
      <x:c r="G2" s="63" t="n"/>
      <x:c r="H2" s="117" t="inlineStr">
        <x:is>
          <x:t xml:space="preserve">2007-008043</x:t>
        </x:is>
      </x:c>
      <x:c r="I2" s="117" t="inlineStr">
        <x:is>
          <x:t xml:space="preserve">2016-001883</x:t>
        </x:is>
      </x:c>
      <x:c r="J2" s="117" t="inlineStr">
        <x:is>
          <x:t xml:space="preserve">2016-002793</x:t>
        </x:is>
      </x:c>
      <x:c r="K2" s="117" t="inlineStr">
        <x:is>
          <x:t xml:space="preserve">2017-000083</x:t>
        </x:is>
      </x:c>
      <x:c r="L2" s="117" t="inlineStr">
        <x:is>
          <x:t xml:space="preserve">2018-000119</x:t>
        </x:is>
      </x:c>
      <x:c r="M2" s="59" t="inlineStr">
        <x:is>
          <x:t xml:space="preserve">2019-001779</x:t>
        </x:is>
      </x:c>
      <x:c r="N2" s="59" t="inlineStr">
        <x:is>
          <x:t xml:space="preserve">2020-001283</x:t>
        </x:is>
      </x:c>
      <x:c r="O2" s="59" t="inlineStr">
        <x:is>
          <x:t xml:space="preserve">2020-001577</x:t>
        </x:is>
      </x:c>
      <x:c r="P2" s="59" t="inlineStr">
        <x:is>
          <x:t xml:space="preserve">2020-001954</x:t>
        </x:is>
      </x:c>
      <x:c r="Q2" s="59" t="inlineStr">
        <x:is>
          <x:t xml:space="preserve">2021-001561</x:t>
        </x:is>
      </x:c>
      <x:c r="R2" s="59" t="inlineStr">
        <x:is>
          <x:t xml:space="preserve">2021-001605</x:t>
        </x:is>
      </x:c>
      <x:c r="S2" s="59" t="inlineStr">
        <x:is>
          <x:t xml:space="preserve">2023-003590</x:t>
        </x:is>
      </x:c>
      <x:c r="T2" s="59" t="inlineStr">
        <x:is>
          <x:t xml:space="preserve">2024-002310</x:t>
        </x:is>
      </x:c>
      <x:c r="U2" s="59" t="inlineStr">
        <x:is>
          <x:t xml:space="preserve">2024-003107</x:t>
        </x:is>
      </x:c>
      <x:c r="V2" s="59" t="inlineStr">
        <x:is>
          <x:t xml:space="preserve">2024-004916</x:t>
        </x:is>
      </x:c>
      <x:c r="W2" s="59" t="inlineStr">
        <x:is>
          <x:t xml:space="preserve">2024-007734</x:t>
        </x:is>
      </x:c>
      <x:c r="X2" s="59" t="inlineStr">
        <x:is>
          <x:t xml:space="preserve">2025-006987</x:t>
        </x:is>
      </x:c>
      <x:c r="Y2" s="59" t="inlineStr">
        <x:is>
          <x:t xml:space="preserve">2026-002547</x:t>
        </x:is>
      </x:c>
      <x:c r="Z2" s="59" t="n"/>
      <x:c r="AA2" s="59" t="n"/>
      <x:c r="AB2" s="59" t="n"/>
      <x:c r="AC2" s="59" t="n"/>
      <x:c r="AD2" s="59" t="n"/>
      <x:c r="AE2" s="59" t="n"/>
      <x:c r="AF2" s="59" t="n"/>
      <x:c r="AG2" s="59" t="n"/>
      <x:c r="AH2" s="59" t="n"/>
      <x:c r="AI2" s="59" t="n"/>
      <x:c r="AJ2" s="59" t="n"/>
      <x:c r="AK2" s="59" t="n"/>
      <x:c r="AL2" s="59" t="n"/>
      <x:c r="AM2" s="59" t="n"/>
      <x:c r="AN2" s="59" t="n"/>
      <x:c r="AO2" s="59" t="n"/>
      <x:c r="AP2" s="59" t="n"/>
      <x:c r="AQ2" s="59" t="n"/>
      <x:c r="AR2" s="59" t="n"/>
      <x:c r="AS2" s="59" t="n"/>
      <x:c r="AT2" s="59" t="n"/>
      <x:c r="AU2" s="59" t="n"/>
      <x:c r="AV2" s="59" t="n"/>
      <x:c r="AW2" s="59" t="n"/>
      <x:c r="AX2" s="59" t="n"/>
      <x:c r="AY2" s="59" t="n"/>
      <x:c r="AZ2" s="59" t="n"/>
      <x:c r="BA2" s="59" t="n"/>
      <x:c r="BB2" s="59" t="n"/>
      <x:c r="BC2" s="59" t="n"/>
      <x:c r="BD2" s="59" t="n"/>
      <x:c r="BE2" s="59" t="n"/>
      <x:c r="BF2" s="59" t="n"/>
      <x:c r="BG2" s="59" t="n"/>
      <x:c r="BH2" s="59" t="n"/>
      <x:c r="BI2" s="59" t="n"/>
      <x:c r="BJ2" s="59" t="n"/>
      <x:c r="BK2" s="59" t="n"/>
      <x:c r="BL2" s="59" t="n"/>
      <x:c r="BM2" s="59" t="n"/>
      <x:c r="BN2" s="59" t="n"/>
      <x:c r="BO2" s="59" t="n"/>
      <x:c r="BP2" s="59" t="n"/>
      <x:c r="BQ2" s="59" t="n"/>
      <x:c r="BR2" s="59" t="n"/>
      <x:c r="BS2" s="59" t="n"/>
      <x:c r="BT2" s="59" t="n"/>
      <x:c r="BU2" s="59" t="n"/>
      <x:c r="BV2" s="59" t="n"/>
      <x:c r="BW2" s="59" t="n"/>
      <x:c r="BX2" s="59" t="n"/>
      <x:c r="BY2" s="59" t="n"/>
      <x:c r="BZ2" s="59" t="n"/>
      <x:c r="CA2" s="59" t="n"/>
      <x:c r="CB2" s="59" t="n"/>
      <x:c r="CC2" s="59" t="n"/>
      <x:c r="CD2" s="59" t="n"/>
      <x:c r="CE2" s="59" t="n"/>
      <x:c r="CF2" s="59" t="n"/>
      <x:c r="CG2" s="59" t="n"/>
      <x:c r="CH2" s="59" t="n"/>
      <x:c r="CI2" s="59" t="n"/>
      <x:c r="CJ2" s="59" t="n"/>
      <x:c r="CK2" s="59" t="n"/>
      <x:c r="CL2" s="59" t="n"/>
      <x:c r="CM2" s="59" t="n"/>
      <x:c r="CN2" s="59" t="n"/>
      <x:c r="CO2" s="59" t="n"/>
      <x:c r="CP2" s="59" t="n"/>
      <x:c r="CQ2" s="59" t="n"/>
      <x:c r="CR2" s="59" t="n"/>
      <x:c r="CS2" s="59" t="n"/>
      <x:c r="CT2" s="59" t="n"/>
      <x:c r="CU2" s="59" t="n"/>
      <x:c r="CV2" s="59" t="n"/>
      <x:c r="CW2" s="59" t="n"/>
      <x:c r="CX2" s="59" t="n"/>
      <x:c r="CY2" s="59" t="n"/>
      <x:c r="CZ2" s="59" t="n"/>
      <x:c r="DA2" s="59" t="n"/>
      <x:c r="DB2" s="59" t="n"/>
      <x:c r="DC2" s="59" t="n"/>
      <x:c r="DD2" s="59" t="n"/>
      <x:c r="DE2" s="59" t="n"/>
      <x:c r="DF2" s="59" t="n"/>
      <x:c r="DG2" s="59" t="n"/>
      <x:c r="DH2" s="59" t="n"/>
      <x:c r="DI2" s="59" t="n"/>
      <x:c r="DJ2" s="59" t="n"/>
      <x:c r="DK2" s="59" t="n"/>
      <x:c r="DL2" s="59" t="n"/>
      <x:c r="DM2" s="59" t="n"/>
      <x:c r="DN2" s="59" t="n"/>
      <x:c r="DO2" s="59" t="n"/>
      <x:c r="DP2" s="59" t="n"/>
      <x:c r="DQ2" s="59" t="n"/>
      <x:c r="DR2" s="59" t="n"/>
      <x:c r="DS2" s="59" t="n"/>
      <x:c r="DT2" s="59" t="n"/>
      <x:c r="DU2" s="59" t="n"/>
      <x:c r="DV2" s="59" t="n"/>
      <x:c r="DW2" s="59" t="n"/>
      <x:c r="DX2" s="59" t="n"/>
      <x:c r="DY2" s="59" t="n"/>
      <x:c r="DZ2" s="59" t="n"/>
      <x:c r="EA2" s="59" t="n"/>
      <x:c r="EB2" s="59" t="n"/>
      <x:c r="EC2" s="59" t="n"/>
      <x:c r="ED2" s="59" t="n"/>
      <x:c r="EE2" s="59" t="n"/>
      <x:c r="EF2" s="59" t="n"/>
      <x:c r="EG2" s="59" t="n"/>
      <x:c r="EH2" s="59" t="n"/>
      <x:c r="EI2" s="59" t="n"/>
      <x:c r="EJ2" s="59" t="n"/>
      <x:c r="EK2" s="59" t="n"/>
      <x:c r="EL2" s="59" t="n"/>
      <x:c r="EM2" s="59" t="n"/>
      <x:c r="EN2" s="59" t="n"/>
      <x:c r="EO2" s="59" t="n"/>
      <x:c r="EP2" s="59" t="n"/>
      <x:c r="EQ2" s="59" t="n"/>
      <x:c r="ER2" s="59" t="n"/>
      <x:c r="ES2" s="59" t="n"/>
      <x:c r="ET2" s="59" t="n"/>
      <x:c r="EU2" s="59" t="n"/>
      <x:c r="EV2" s="59" t="n"/>
      <x:c r="EW2" s="59" t="n"/>
      <x:c r="EX2" s="59" t="n"/>
      <x:c r="EY2" s="59" t="n"/>
      <x:c r="EZ2" s="59" t="n"/>
      <x:c r="FA2" s="59" t="n"/>
      <x:c r="FB2" s="59" t="n"/>
      <x:c r="FC2" s="59" t="n"/>
      <x:c r="FD2" s="59" t="n"/>
      <x:c r="FE2" s="59" t="n"/>
      <x:c r="FF2" s="59" t="n"/>
      <x:c r="FG2" s="59" t="n"/>
      <x:c r="FH2" s="59" t="n"/>
      <x:c r="FI2" s="59" t="n"/>
      <x:c r="FJ2" s="59" t="n"/>
      <x:c r="FK2" s="59" t="n"/>
      <x:c r="FL2" s="59" t="n"/>
      <x:c r="FM2" s="59" t="n"/>
      <x:c r="FN2" s="59" t="n"/>
      <x:c r="FO2" s="59" t="n"/>
      <x:c r="FP2" s="59" t="n"/>
    </x:row>
    <x:row r="3" s="62" customFormat="1" ht="12.75" customHeight="1">
      <x:c r="A3" s="619" t="n"/>
      <x:c r="B3" s="620" t="inlineStr">
        <x:is>
          <x:t xml:space="preserve">DESCRIPTION</x:t>
        </x:is>
      </x:c>
      <x:c r="C3" s="593" t="n"/>
      <x:c r="D3" s="647" t="n"/>
      <x:c r="E3" s="622" t="inlineStr">
        <x:is>
          <x:t xml:space="preserve">Book / Page </x:t>
        </x:is>
      </x:c>
      <x:c r="F3" s="618" t="n"/>
      <x:c r="G3" s="63" t="n"/>
      <x:c r="H3" s="6" t="inlineStr">
        <x:is>
          <x:t xml:space="preserve">1567/0006</x:t>
        </x:is>
      </x:c>
      <x:c r="I3" s="8" t="inlineStr">
        <x:is>
          <x:t xml:space="preserve">2343/0001</x:t>
        </x:is>
      </x:c>
      <x:c r="J3" s="8" t="inlineStr">
        <x:is>
          <x:t xml:space="preserve">2354/0229</x:t>
        </x:is>
      </x:c>
      <x:c r="K3" s="8" t="inlineStr">
        <x:is>
          <x:t xml:space="preserve">2356/0399</x:t>
        </x:is>
      </x:c>
      <x:c r="L3" s="8" t="inlineStr">
        <x:is>
          <x:t xml:space="preserve">2385/0072</x:t>
        </x:is>
      </x:c>
      <x:c r="M3" s="8" t="inlineStr">
        <x:is>
          <x:t xml:space="preserve">2425/0380</x:t>
        </x:is>
      </x:c>
      <x:c r="N3" s="8" t="inlineStr">
        <x:is>
          <x:t xml:space="preserve">2449/0333</x:t>
        </x:is>
      </x:c>
      <x:c r="O3" s="8" t="inlineStr">
        <x:is>
          <x:t xml:space="preserve">2452/0235</x:t>
        </x:is>
      </x:c>
      <x:c r="P3" s="8" t="inlineStr">
        <x:is>
          <x:t xml:space="preserve">2455/0446</x:t>
        </x:is>
      </x:c>
      <x:c r="Q3" s="8" t="inlineStr">
        <x:is>
          <x:t xml:space="preserve">2479/0001</x:t>
        </x:is>
      </x:c>
      <x:c r="R3" s="8" t="inlineStr">
        <x:is>
          <x:t xml:space="preserve">2480/0297</x:t>
        </x:is>
      </x:c>
      <x:c r="S3" s="8" t="inlineStr">
        <x:is>
          <x:t xml:space="preserve">2542/0413</x:t>
        </x:is>
      </x:c>
      <x:c r="T3" s="8" t="inlineStr">
        <x:is>
          <x:t xml:space="preserve">2567/0102</x:t>
        </x:is>
      </x:c>
      <x:c r="U3" s="8" t="inlineStr">
        <x:is>
          <x:t xml:space="preserve">2571/0579</x:t>
        </x:is>
      </x:c>
      <x:c r="V3" s="8" t="inlineStr">
        <x:is>
          <x:t xml:space="preserve">2584/0149</x:t>
        </x:is>
      </x:c>
      <x:c r="W3" s="8" t="inlineStr">
        <x:is>
          <x:t xml:space="preserve">2604/0111</x:t>
        </x:is>
      </x:c>
      <x:c r="X3" s="8" t="inlineStr">
        <x:is>
          <x:t xml:space="preserve">2664/0169</x:t>
        </x:is>
      </x:c>
      <x:c r="Y3" s="8" t="inlineStr">
        <x:is>
          <x:t xml:space="preserve">2698/0069</x:t>
        </x:is>
      </x:c>
      <x:c r="Z3" s="8" t="n"/>
      <x:c r="AA3" s="8" t="n"/>
      <x:c r="AB3" s="6" t="n"/>
      <x:c r="AC3" s="6" t="n"/>
      <x:c r="AD3" s="6" t="n"/>
      <x:c r="AE3" s="6" t="n"/>
      <x:c r="AF3" s="6" t="n"/>
      <x:c r="AH3" s="59" t="n"/>
      <x:c r="AI3" s="59" t="n"/>
      <x:c r="AJ3" s="59" t="n"/>
      <x:c r="AK3" s="59" t="n"/>
      <x:c r="AL3" s="59" t="n"/>
      <x:c r="AM3" s="59" t="n"/>
      <x:c r="AN3" s="59" t="n"/>
      <x:c r="AO3" s="59" t="n"/>
      <x:c r="AP3" s="59" t="n"/>
      <x:c r="AQ3" s="59" t="n"/>
      <x:c r="AR3" s="59" t="n"/>
      <x:c r="AS3" s="59" t="n"/>
      <x:c r="AT3" s="59" t="n"/>
      <x:c r="AU3" s="59" t="n"/>
      <x:c r="AV3" s="59" t="n"/>
      <x:c r="AW3" s="59" t="n"/>
      <x:c r="AX3" s="59" t="n"/>
      <x:c r="AY3" s="59" t="n"/>
      <x:c r="AZ3" s="59" t="n"/>
      <x:c r="BA3" s="59" t="n"/>
      <x:c r="BB3" s="59" t="n"/>
      <x:c r="BC3" s="59" t="n"/>
      <x:c r="BD3" s="59" t="n"/>
      <x:c r="BE3" s="59" t="n"/>
      <x:c r="BF3" s="59" t="n"/>
      <x:c r="BG3" s="59" t="n"/>
      <x:c r="BH3" s="59" t="n"/>
      <x:c r="BI3" s="59" t="n"/>
      <x:c r="BJ3" s="59" t="n"/>
      <x:c r="BK3" s="59" t="n"/>
      <x:c r="BL3" s="59" t="n"/>
      <x:c r="BM3" s="59" t="n"/>
      <x:c r="BN3" s="59" t="n"/>
      <x:c r="BO3" s="59" t="n"/>
      <x:c r="BP3" s="59" t="n"/>
      <x:c r="BQ3" s="59" t="n"/>
      <x:c r="BR3" s="59" t="n"/>
      <x:c r="BS3" s="59" t="n"/>
      <x:c r="BT3" s="59" t="n"/>
      <x:c r="BU3" s="59" t="n"/>
      <x:c r="BV3" s="59" t="n"/>
      <x:c r="BW3" s="59" t="n"/>
      <x:c r="BX3" s="59" t="n"/>
      <x:c r="BY3" s="59" t="n"/>
      <x:c r="BZ3" s="59" t="n"/>
      <x:c r="CA3" s="59" t="n"/>
      <x:c r="CB3" s="59" t="n"/>
      <x:c r="CC3" s="59" t="n"/>
      <x:c r="CD3" s="59" t="n"/>
      <x:c r="CE3" s="59" t="n"/>
      <x:c r="CF3" s="59" t="n"/>
      <x:c r="CG3" s="59" t="n"/>
      <x:c r="CH3" s="59" t="n"/>
      <x:c r="CI3" s="59" t="n"/>
      <x:c r="CJ3" s="59" t="n"/>
      <x:c r="CK3" s="59" t="n"/>
      <x:c r="CL3" s="59" t="n"/>
      <x:c r="CM3" s="59" t="n"/>
      <x:c r="CN3" s="59" t="n"/>
      <x:c r="CO3" s="59" t="n"/>
      <x:c r="CP3" s="59" t="n"/>
      <x:c r="CQ3" s="59" t="n"/>
      <x:c r="CR3" s="59" t="n"/>
      <x:c r="CS3" s="59" t="n"/>
      <x:c r="CT3" s="59" t="n"/>
      <x:c r="CU3" s="59" t="n"/>
      <x:c r="CV3" s="59" t="n"/>
      <x:c r="CW3" s="59" t="n"/>
      <x:c r="CX3" s="59" t="n"/>
      <x:c r="CY3" s="59" t="n"/>
      <x:c r="CZ3" s="59" t="n"/>
      <x:c r="DA3" s="59" t="n"/>
      <x:c r="DB3" s="59" t="n"/>
      <x:c r="DC3" s="59" t="n"/>
      <x:c r="DD3" s="59" t="n"/>
      <x:c r="DE3" s="59" t="n"/>
      <x:c r="DF3" s="59" t="n"/>
      <x:c r="DG3" s="59" t="n"/>
      <x:c r="DH3" s="59" t="n"/>
      <x:c r="DI3" s="59" t="n"/>
      <x:c r="DJ3" s="59" t="n"/>
      <x:c r="DK3" s="59" t="n"/>
      <x:c r="DL3" s="59" t="n"/>
      <x:c r="DM3" s="59" t="n"/>
      <x:c r="DN3" s="59" t="n"/>
      <x:c r="DO3" s="59" t="n"/>
      <x:c r="DP3" s="59" t="n"/>
      <x:c r="DQ3" s="59" t="n"/>
      <x:c r="DR3" s="59" t="n"/>
      <x:c r="DS3" s="59" t="n"/>
      <x:c r="DT3" s="59" t="n"/>
      <x:c r="DU3" s="59" t="n"/>
      <x:c r="DV3" s="59" t="n"/>
      <x:c r="DW3" s="59" t="n"/>
      <x:c r="DX3" s="59" t="n"/>
      <x:c r="DY3" s="59" t="n"/>
      <x:c r="DZ3" s="59" t="n"/>
      <x:c r="EA3" s="59" t="n"/>
      <x:c r="EB3" s="59" t="n"/>
      <x:c r="EC3" s="59" t="n"/>
      <x:c r="ED3" s="59" t="n"/>
      <x:c r="EE3" s="59" t="n"/>
      <x:c r="EF3" s="59" t="n"/>
      <x:c r="EG3" s="59" t="n"/>
      <x:c r="EH3" s="59" t="n"/>
      <x:c r="EI3" s="59" t="n"/>
      <x:c r="EJ3" s="59" t="n"/>
      <x:c r="EK3" s="59" t="n"/>
      <x:c r="EL3" s="59" t="n"/>
      <x:c r="EM3" s="59" t="n"/>
      <x:c r="EN3" s="59" t="n"/>
      <x:c r="EO3" s="59" t="n"/>
      <x:c r="EP3" s="59" t="n"/>
      <x:c r="EQ3" s="59" t="n"/>
      <x:c r="ER3" s="59" t="n"/>
      <x:c r="ES3" s="59" t="n"/>
      <x:c r="ET3" s="59" t="n"/>
      <x:c r="EU3" s="59" t="n"/>
      <x:c r="EV3" s="59" t="n"/>
      <x:c r="EW3" s="59" t="n"/>
      <x:c r="EX3" s="59" t="n"/>
      <x:c r="EY3" s="59" t="n"/>
      <x:c r="EZ3" s="59" t="n"/>
      <x:c r="FA3" s="59" t="n"/>
      <x:c r="FB3" s="59" t="n"/>
      <x:c r="FC3" s="59" t="n"/>
      <x:c r="FD3" s="59" t="n"/>
      <x:c r="FE3" s="59" t="n"/>
      <x:c r="FF3" s="59" t="n"/>
      <x:c r="FG3" s="59" t="n"/>
      <x:c r="FH3" s="59" t="n"/>
      <x:c r="FI3" s="59" t="n"/>
      <x:c r="FJ3" s="59" t="n"/>
      <x:c r="FK3" s="59" t="n"/>
      <x:c r="FL3" s="59" t="n"/>
      <x:c r="FM3" s="59" t="n"/>
      <x:c r="FN3" s="59" t="n"/>
      <x:c r="FO3" s="59" t="n"/>
      <x:c r="FP3" s="59" t="n"/>
    </x:row>
    <x:row r="4" s="62" customFormat="1" ht="12.75" customHeight="1">
      <x:c r="A4" s="619" t="n"/>
      <x:c r="B4" s="623" t="n"/>
      <x:c r="C4" s="593" t="n"/>
      <x:c r="D4" s="648" t="n"/>
      <x:c r="E4" s="491" t="inlineStr">
        <x:is>
          <x:t xml:space="preserve">Date </x:t>
        </x:is>
      </x:c>
      <x:c r="F4" s="618" t="n"/>
      <x:c r="G4" s="63" t="n"/>
      <x:c r="H4" s="7" t="n">
        <x:v>39336</x:v>
      </x:c>
      <x:c r="I4" s="12" t="n">
        <x:v>42593</x:v>
      </x:c>
      <x:c r="J4" s="12" t="n">
        <x:v>42719</x:v>
      </x:c>
      <x:c r="K4" s="12" t="n">
        <x:v>42752</x:v>
      </x:c>
      <x:c r="L4" s="12" t="n">
        <x:v>43119</x:v>
      </x:c>
      <x:c r="M4" s="12" t="n">
        <x:v>43698</x:v>
      </x:c>
      <x:c r="N4" s="12" t="n">
        <x:v>44060</x:v>
      </x:c>
      <x:c r="O4" s="12" t="n">
        <x:v>44118</x:v>
      </x:c>
      <x:c r="P4" s="12" t="n">
        <x:v>44175</x:v>
      </x:c>
      <x:c r="Q4" s="5" t="n">
        <x:v>44463</x:v>
      </x:c>
      <x:c r="R4" s="58" t="n">
        <x:v>44476</x:v>
      </x:c>
      <x:c r="S4" s="58" t="n">
        <x:v>45247</x:v>
      </x:c>
      <x:c r="T4" s="5" t="n">
        <x:v>45401</x:v>
      </x:c>
      <x:c r="U4" s="5" t="n">
        <x:v>45432</x:v>
      </x:c>
      <x:c r="V4" s="5" t="n">
        <x:v>45509</x:v>
      </x:c>
      <x:c r="W4" s="5" t="n">
        <x:v>45642</x:v>
      </x:c>
      <x:c r="X4" s="5" t="n">
        <x:v>45975</x:v>
      </x:c>
      <x:c r="Y4" s="5" t="n">
        <x:v>46146</x:v>
      </x:c>
      <x:c r="Z4" s="5" t="n"/>
      <x:c r="AA4" s="5" t="n"/>
      <x:c r="AB4" s="5" t="n"/>
      <x:c r="AC4" s="5" t="n"/>
      <x:c r="AD4" s="5" t="n"/>
      <x:c r="AE4" s="5" t="n"/>
      <x:c r="AF4" s="5" t="n"/>
      <x:c r="AH4" s="58" t="n"/>
      <x:c r="AI4" s="58" t="n"/>
      <x:c r="AJ4" s="58" t="n"/>
      <x:c r="AK4" s="58" t="n"/>
      <x:c r="AL4" s="58" t="n"/>
      <x:c r="AM4" s="58" t="n"/>
      <x:c r="AN4" s="58" t="n"/>
      <x:c r="AO4" s="58" t="n"/>
      <x:c r="AP4" s="58" t="n"/>
      <x:c r="AQ4" s="58" t="n"/>
      <x:c r="AR4" s="58" t="n"/>
      <x:c r="AS4" s="58" t="n"/>
      <x:c r="AT4" s="58" t="n"/>
      <x:c r="AU4" s="58" t="n"/>
      <x:c r="AV4" s="58" t="n"/>
      <x:c r="AW4" s="58" t="n"/>
      <x:c r="AX4" s="58" t="n"/>
      <x:c r="AY4" s="58" t="n"/>
      <x:c r="AZ4" s="58" t="n"/>
      <x:c r="BA4" s="58" t="n"/>
      <x:c r="BB4" s="58" t="n"/>
      <x:c r="BC4" s="58" t="n"/>
      <x:c r="BD4" s="58" t="n"/>
      <x:c r="BE4" s="58" t="n"/>
      <x:c r="BF4" s="58" t="n"/>
      <x:c r="BG4" s="58" t="n"/>
      <x:c r="BH4" s="58" t="n"/>
      <x:c r="BI4" s="58" t="n"/>
      <x:c r="BJ4" s="58" t="n"/>
      <x:c r="BK4" s="58" t="n"/>
      <x:c r="BL4" s="58" t="n"/>
      <x:c r="BM4" s="58" t="n"/>
      <x:c r="BN4" s="58" t="n"/>
      <x:c r="BO4" s="58" t="n"/>
      <x:c r="BP4" s="58" t="n"/>
      <x:c r="BQ4" s="58" t="n"/>
      <x:c r="BR4" s="58" t="n"/>
      <x:c r="BS4" s="58" t="n"/>
      <x:c r="BT4" s="58" t="n"/>
      <x:c r="BU4" s="58" t="n"/>
      <x:c r="BV4" s="58" t="n"/>
      <x:c r="BW4" s="58" t="n"/>
      <x:c r="BX4" s="58" t="n"/>
      <x:c r="BY4" s="58" t="n"/>
      <x:c r="BZ4" s="58" t="n"/>
      <x:c r="CA4" s="58" t="n"/>
      <x:c r="CB4" s="58" t="n"/>
      <x:c r="CC4" s="58" t="n"/>
      <x:c r="CD4" s="58" t="n"/>
      <x:c r="CE4" s="58" t="n"/>
      <x:c r="CF4" s="58" t="n"/>
      <x:c r="CG4" s="58" t="n"/>
      <x:c r="CH4" s="58" t="n"/>
      <x:c r="CI4" s="58" t="n"/>
      <x:c r="CJ4" s="58" t="n"/>
      <x:c r="CK4" s="58" t="n"/>
      <x:c r="CL4" s="58" t="n"/>
      <x:c r="CM4" s="58" t="n"/>
      <x:c r="CN4" s="58" t="n"/>
      <x:c r="CO4" s="58" t="n"/>
      <x:c r="CP4" s="58" t="n"/>
      <x:c r="CQ4" s="58" t="n"/>
      <x:c r="CR4" s="58" t="n"/>
      <x:c r="CS4" s="58" t="n"/>
      <x:c r="CT4" s="58" t="n"/>
      <x:c r="CU4" s="58" t="n"/>
      <x:c r="CV4" s="58" t="n"/>
      <x:c r="CW4" s="58" t="n"/>
      <x:c r="CX4" s="58" t="n"/>
      <x:c r="CY4" s="58" t="n"/>
      <x:c r="CZ4" s="58" t="n"/>
      <x:c r="DA4" s="58" t="n"/>
      <x:c r="DB4" s="58" t="n"/>
      <x:c r="DC4" s="58" t="n"/>
      <x:c r="DD4" s="58" t="n"/>
      <x:c r="DE4" s="58" t="n"/>
      <x:c r="DF4" s="58" t="n"/>
      <x:c r="DG4" s="58" t="n"/>
      <x:c r="DH4" s="58" t="n"/>
      <x:c r="DI4" s="58" t="n"/>
      <x:c r="DJ4" s="58" t="n"/>
      <x:c r="DK4" s="58" t="n"/>
      <x:c r="DL4" s="58" t="n"/>
      <x:c r="DM4" s="58" t="n"/>
      <x:c r="DN4" s="58" t="n"/>
      <x:c r="DO4" s="58" t="n"/>
      <x:c r="DP4" s="58" t="n"/>
      <x:c r="DQ4" s="58" t="n"/>
      <x:c r="DR4" s="58" t="n"/>
      <x:c r="DS4" s="58" t="n"/>
      <x:c r="DT4" s="58" t="n"/>
      <x:c r="DU4" s="58" t="n"/>
      <x:c r="DV4" s="58" t="n"/>
      <x:c r="DW4" s="58" t="n"/>
      <x:c r="DX4" s="58" t="n"/>
      <x:c r="DY4" s="58" t="n"/>
      <x:c r="DZ4" s="58" t="n"/>
      <x:c r="EA4" s="58" t="n"/>
      <x:c r="EB4" s="58" t="n"/>
      <x:c r="EC4" s="58" t="n"/>
      <x:c r="ED4" s="58" t="n"/>
      <x:c r="EE4" s="58" t="n"/>
      <x:c r="EF4" s="58" t="n"/>
      <x:c r="EG4" s="58" t="n"/>
      <x:c r="EH4" s="58" t="n"/>
      <x:c r="EI4" s="58" t="n"/>
      <x:c r="EJ4" s="58" t="n"/>
      <x:c r="EK4" s="58" t="n"/>
      <x:c r="EL4" s="58" t="n"/>
      <x:c r="EM4" s="58" t="n"/>
      <x:c r="EN4" s="58" t="n"/>
      <x:c r="EO4" s="58" t="n"/>
      <x:c r="EP4" s="58" t="n"/>
      <x:c r="EQ4" s="58" t="n"/>
      <x:c r="ER4" s="58" t="n"/>
      <x:c r="ES4" s="58" t="n"/>
      <x:c r="ET4" s="58" t="n"/>
      <x:c r="EU4" s="58" t="n"/>
      <x:c r="EV4" s="58" t="n"/>
      <x:c r="EW4" s="58" t="n"/>
      <x:c r="EX4" s="58" t="n"/>
      <x:c r="EY4" s="58" t="n"/>
      <x:c r="EZ4" s="58" t="n"/>
      <x:c r="FA4" s="58" t="n"/>
      <x:c r="FB4" s="58" t="n"/>
      <x:c r="FC4" s="58" t="n"/>
      <x:c r="FD4" s="58" t="n"/>
      <x:c r="FE4" s="58" t="n"/>
      <x:c r="FF4" s="58" t="n"/>
      <x:c r="FG4" s="58" t="n"/>
      <x:c r="FH4" s="58" t="n"/>
      <x:c r="FI4" s="58" t="n"/>
      <x:c r="FJ4" s="58" t="n"/>
      <x:c r="FK4" s="58" t="n"/>
      <x:c r="FL4" s="58" t="n"/>
      <x:c r="FM4" s="58" t="n"/>
      <x:c r="FN4" s="58" t="n"/>
      <x:c r="FO4" s="58" t="n"/>
      <x:c r="FP4" s="58" t="n"/>
    </x:row>
    <x:row r="5" s="57" customFormat="1" ht="27.75" customHeight="1">
      <x:c r="A5" s="619" t="n"/>
      <x:c r="B5" s="625" t="inlineStr">
        <x:is>
          <x:t xml:space="preserve">TRACT ACRES</x:t>
        </x:is>
      </x:c>
      <x:c r="C5" s="626" t="n"/>
      <x:c r="D5" s="61" t="n">
        <x:v>637.42</x:v>
      </x:c>
      <x:c r="E5" s="627" t="inlineStr">
        <x:is>
          <x:t xml:space="preserve">Conveyance </x:t>
        </x:is>
      </x:c>
      <x:c r="F5" s="628" t="n"/>
      <x:c r="G5" s="60" t="n"/>
      <x:c r="H5" s="117" t="inlineStr">
        <x:is>
          <x:t xml:space="preserve">ARTI</x:t>
        </x:is>
      </x:c>
      <x:c r="I5" s="117" t="inlineStr">
        <x:is>
          <x:t xml:space="preserve">ARTI</x:t>
        </x:is>
      </x:c>
      <x:c r="J5" s="117" t="inlineStr">
        <x:is>
          <x:t xml:space="preserve">ARTI</x:t>
        </x:is>
      </x:c>
      <x:c r="K5" s="117" t="inlineStr">
        <x:is>
          <x:t xml:space="preserve">ARTI</x:t>
        </x:is>
      </x:c>
      <x:c r="L5" s="117" t="inlineStr">
        <x:is>
          <x:t xml:space="preserve">ARTI</x:t>
        </x:is>
      </x:c>
      <x:c r="M5" s="59" t="inlineStr">
        <x:is>
          <x:t xml:space="preserve">ARTI</x:t>
        </x:is>
      </x:c>
      <x:c r="N5" s="59" t="inlineStr">
        <x:is>
          <x:t xml:space="preserve">ARTI</x:t>
        </x:is>
      </x:c>
      <x:c r="O5" s="59" t="inlineStr">
        <x:is>
          <x:t xml:space="preserve">ARTI</x:t>
        </x:is>
      </x:c>
      <x:c r="P5" s="59" t="inlineStr">
        <x:is>
          <x:t xml:space="preserve">ARTI</x:t>
        </x:is>
      </x:c>
      <x:c r="Q5" s="59" t="inlineStr">
        <x:is>
          <x:t xml:space="preserve">ARTI</x:t>
        </x:is>
      </x:c>
      <x:c r="R5" s="59" t="inlineStr">
        <x:is>
          <x:t xml:space="preserve">ARTI</x:t>
        </x:is>
      </x:c>
      <x:c r="S5" s="59" t="inlineStr">
        <x:is>
          <x:t xml:space="preserve">Wellbore</x:t>
        </x:is>
      </x:c>
      <x:c r="T5" s="59" t="inlineStr">
        <x:is>
          <x:t xml:space="preserve">ARTI</x:t>
        </x:is>
      </x:c>
      <x:c r="U5" s="59" t="inlineStr">
        <x:is>
          <x:t xml:space="preserve">ARTI</x:t>
        </x:is>
      </x:c>
      <x:c r="V5" s="59" t="inlineStr">
        <x:is>
          <x:t xml:space="preserve">ARTI</x:t>
        </x:is>
      </x:c>
      <x:c r="W5" s="59" t="inlineStr">
        <x:is>
          <x:t xml:space="preserve">ARTI</x:t>
        </x:is>
      </x:c>
      <x:c r="X5" s="59" t="inlineStr">
        <x:is>
          <x:t xml:space="preserve">Wellbore</x:t>
        </x:is>
      </x:c>
      <x:c r="Y5" s="59" t="inlineStr">
        <x:is>
          <x:t xml:space="preserve">Wellbore</x:t>
        </x:is>
      </x:c>
      <x:c r="Z5" s="59" t="n"/>
      <x:c r="AA5" s="59" t="n"/>
      <x:c r="AB5" s="59" t="n"/>
      <x:c r="AC5" s="59" t="n"/>
      <x:c r="AD5" s="59" t="n"/>
      <x:c r="AE5" s="59" t="n"/>
      <x:c r="AF5" s="59" t="n"/>
      <x:c r="AH5" s="59" t="n"/>
      <x:c r="AI5" s="59" t="n"/>
      <x:c r="AJ5" s="59" t="n"/>
      <x:c r="AK5" s="59" t="n"/>
      <x:c r="AL5" s="59" t="n"/>
      <x:c r="AM5" s="59" t="n"/>
      <x:c r="AN5" s="59" t="n"/>
      <x:c r="AO5" s="59" t="n"/>
      <x:c r="AP5" s="59" t="n"/>
      <x:c r="AQ5" s="59" t="n"/>
      <x:c r="AR5" s="59" t="n"/>
      <x:c r="AS5" s="59" t="n"/>
      <x:c r="AT5" s="59" t="n"/>
      <x:c r="AU5" s="59" t="n"/>
      <x:c r="AV5" s="59" t="n"/>
      <x:c r="AW5" s="59" t="n"/>
      <x:c r="AX5" s="59" t="n"/>
      <x:c r="AY5" s="59" t="n"/>
      <x:c r="AZ5" s="59" t="n"/>
      <x:c r="BA5" s="59" t="n"/>
      <x:c r="BB5" s="59" t="n"/>
      <x:c r="BC5" s="59" t="n"/>
      <x:c r="BD5" s="59" t="n"/>
      <x:c r="BE5" s="59" t="n"/>
      <x:c r="BF5" s="59" t="n"/>
      <x:c r="BG5" s="59" t="n"/>
      <x:c r="BH5" s="59" t="n"/>
      <x:c r="BI5" s="59" t="n"/>
      <x:c r="BJ5" s="59" t="n"/>
      <x:c r="BK5" s="59" t="n"/>
      <x:c r="BL5" s="59" t="n"/>
      <x:c r="BM5" s="59" t="n"/>
      <x:c r="BN5" s="59" t="n"/>
      <x:c r="BO5" s="59" t="n"/>
      <x:c r="BP5" s="59" t="n"/>
      <x:c r="BQ5" s="59" t="n"/>
      <x:c r="BR5" s="59" t="n"/>
      <x:c r="BS5" s="59" t="n"/>
      <x:c r="BT5" s="59" t="n"/>
      <x:c r="BU5" s="59" t="n"/>
      <x:c r="BV5" s="59" t="n"/>
      <x:c r="BW5" s="59" t="n"/>
      <x:c r="BX5" s="59" t="n"/>
      <x:c r="BY5" s="59" t="n"/>
      <x:c r="BZ5" s="59" t="n"/>
      <x:c r="CA5" s="59" t="n"/>
      <x:c r="CB5" s="59" t="n"/>
      <x:c r="CC5" s="59" t="n"/>
      <x:c r="CD5" s="59" t="n"/>
      <x:c r="CE5" s="59" t="n"/>
      <x:c r="CF5" s="59" t="n"/>
      <x:c r="CG5" s="59" t="n"/>
      <x:c r="CH5" s="59" t="n"/>
      <x:c r="CI5" s="59" t="n"/>
      <x:c r="CJ5" s="59" t="n"/>
      <x:c r="CK5" s="59" t="n"/>
      <x:c r="CL5" s="59" t="n"/>
      <x:c r="CM5" s="59" t="n"/>
      <x:c r="CN5" s="59" t="n"/>
      <x:c r="CO5" s="59" t="n"/>
      <x:c r="CP5" s="59" t="n"/>
      <x:c r="CQ5" s="59" t="n"/>
      <x:c r="CR5" s="59" t="n"/>
      <x:c r="CS5" s="59" t="n"/>
      <x:c r="CT5" s="59" t="n"/>
      <x:c r="CU5" s="59" t="n"/>
      <x:c r="CV5" s="59" t="n"/>
      <x:c r="CW5" s="59" t="n"/>
      <x:c r="CX5" s="59" t="n"/>
      <x:c r="CY5" s="59" t="n"/>
      <x:c r="CZ5" s="59" t="n"/>
      <x:c r="DA5" s="59" t="n"/>
      <x:c r="DB5" s="59" t="n"/>
      <x:c r="DC5" s="59" t="n"/>
      <x:c r="DD5" s="59" t="n"/>
      <x:c r="DE5" s="59" t="n"/>
      <x:c r="DF5" s="59" t="n"/>
      <x:c r="DG5" s="59" t="n"/>
      <x:c r="DH5" s="59" t="n"/>
      <x:c r="DI5" s="59" t="n"/>
      <x:c r="DJ5" s="59" t="n"/>
      <x:c r="DK5" s="59" t="n"/>
      <x:c r="DL5" s="59" t="n"/>
      <x:c r="DM5" s="59" t="n"/>
      <x:c r="DN5" s="59" t="n"/>
      <x:c r="DO5" s="59" t="n"/>
      <x:c r="DP5" s="59" t="n"/>
      <x:c r="DQ5" s="59" t="n"/>
      <x:c r="DR5" s="59" t="n"/>
      <x:c r="DS5" s="59" t="n"/>
      <x:c r="DT5" s="59" t="n"/>
      <x:c r="DU5" s="59" t="n"/>
      <x:c r="DV5" s="59" t="n"/>
      <x:c r="DW5" s="59" t="n"/>
      <x:c r="DX5" s="59" t="n"/>
      <x:c r="DY5" s="59" t="n"/>
      <x:c r="DZ5" s="59" t="n"/>
      <x:c r="EA5" s="59" t="n"/>
      <x:c r="EB5" s="59" t="n"/>
      <x:c r="EC5" s="59" t="n"/>
      <x:c r="ED5" s="59" t="n"/>
      <x:c r="EE5" s="59" t="n"/>
      <x:c r="EF5" s="59" t="n"/>
      <x:c r="EG5" s="59" t="n"/>
      <x:c r="EH5" s="59" t="n"/>
      <x:c r="EI5" s="59" t="n"/>
      <x:c r="EJ5" s="59" t="n"/>
      <x:c r="EK5" s="59" t="n"/>
      <x:c r="EL5" s="59" t="n"/>
      <x:c r="EM5" s="59" t="n"/>
      <x:c r="EN5" s="59" t="n"/>
      <x:c r="EO5" s="59" t="n"/>
      <x:c r="EP5" s="59" t="n"/>
      <x:c r="EQ5" s="59" t="n"/>
      <x:c r="ER5" s="59" t="n"/>
      <x:c r="ES5" s="59" t="n"/>
      <x:c r="ET5" s="59" t="n"/>
      <x:c r="EU5" s="59" t="n"/>
      <x:c r="EV5" s="59" t="n"/>
      <x:c r="EW5" s="59" t="n"/>
      <x:c r="EX5" s="59" t="n"/>
      <x:c r="EY5" s="59" t="n"/>
      <x:c r="EZ5" s="59" t="n"/>
      <x:c r="FA5" s="59" t="n"/>
      <x:c r="FB5" s="59" t="n"/>
      <x:c r="FC5" s="59" t="n"/>
      <x:c r="FD5" s="59" t="n"/>
      <x:c r="FE5" s="59" t="n"/>
      <x:c r="FF5" s="59" t="n"/>
      <x:c r="FG5" s="59" t="n"/>
      <x:c r="FH5" s="59" t="n"/>
      <x:c r="FI5" s="59" t="n"/>
      <x:c r="FJ5" s="59" t="n"/>
      <x:c r="FK5" s="59" t="n"/>
      <x:c r="FL5" s="59" t="n"/>
      <x:c r="FM5" s="59" t="n"/>
      <x:c r="FN5" s="59" t="n"/>
      <x:c r="FO5" s="59" t="n"/>
      <x:c r="FP5" s="59" t="n"/>
    </x:row>
    <x:row r="6" s="55" customFormat="1" ht="14.25" customHeight="1">
      <x:c r="A6" s="629" t="n"/>
      <x:c r="B6" s="630" t="inlineStr">
        <x:is>
          <x:t xml:space="preserve">BASE OGL</x:t>
        </x:is>
      </x:c>
      <x:c r="C6" s="631" t="n">
        <x:v>637.42</x:v>
      </x:c>
      <x:c r="D6" s="649" t="inlineStr">
        <x:is>
          <x:t xml:space="preserve">Working Interest 1</x:t>
        </x:is>
      </x:c>
      <x:c r="E6" s="631" t="n">
        <x:f>SUBTOTAL(9,E9:E161)</x:f>
        <x:v>0</x:v>
      </x:c>
      <x:c r="F6" s="633" t="inlineStr">
        <x:is>
          <x:t xml:space="preserve">SURFACE</x:t>
        </x:is>
      </x:c>
      <x:c r="G6" s="56" t="n"/>
      <x:c r="H6" s="56" t="n"/>
      <x:c r="I6" s="56" t="n"/>
      <x:c r="J6" s="56" t="str">
        <x:f>IF(J7=0,"","RECHECK")</x:f>
      </x:c>
      <x:c r="K6" s="56" t="str">
        <x:f>IF(K7=0,"","RECHECK")</x:f>
      </x:c>
      <x:c r="L6" s="56" t="str">
        <x:f>IF(L7=0,"","RECHECK")</x:f>
      </x:c>
      <x:c r="M6" s="56" t="str">
        <x:f>IF(M7=0,"","RECHECK")</x:f>
      </x:c>
      <x:c r="N6" s="56" t="str">
        <x:f>IF(N7=0,"","RECHECK")</x:f>
      </x:c>
      <x:c r="O6" s="56" t="str">
        <x:f>IF(O7=0,"","RECHECK")</x:f>
      </x:c>
      <x:c r="P6" s="56" t="n"/>
      <x:c r="Q6" s="56" t="str">
        <x:f>IF(Q7=0,"","RECHECK")</x:f>
      </x:c>
      <x:c r="R6" s="56" t="str">
        <x:f>IF(R7=0,"","RECHECK")</x:f>
      </x:c>
      <x:c r="S6" s="56" t="str">
        <x:f>IF(S7=0,"","RECHECK")</x:f>
      </x:c>
      <x:c r="T6" s="56" t="str">
        <x:f>IF(T7=0,"","RECHECK")</x:f>
      </x:c>
      <x:c r="U6" s="56" t="str">
        <x:f>IF(U7=0,"","RECHECK")</x:f>
      </x:c>
      <x:c r="V6" s="56" t="str">
        <x:f>IF(V7=0,"","RECHECK")</x:f>
      </x:c>
      <x:c r="W6" s="56" t="str">
        <x:f>IF(W7=0,"","RECHECK")</x:f>
      </x:c>
      <x:c r="X6" s="56" t="str">
        <x:f>IF(X7=0,"","RECHECK")</x:f>
      </x:c>
      <x:c r="Y6" s="56" t="str">
        <x:f>IF(Y7=0,"","RECHECK")</x:f>
      </x:c>
      <x:c r="Z6" s="56" t="n"/>
      <x:c r="AA6" s="56" t="str">
        <x:f>IF(AA7=0,"","RECHECK")</x:f>
      </x:c>
      <x:c r="AB6" s="56" t="str">
        <x:f>IF(AB7=0,"","RECHECK")</x:f>
      </x:c>
      <x:c r="AC6" s="56" t="str">
        <x:f>IF(AC7=0,"","RECHECK")</x:f>
      </x:c>
      <x:c r="AD6" s="56" t="str">
        <x:f>IF(AD7=0,"","RECHECK")</x:f>
      </x:c>
      <x:c r="AE6" s="56" t="str">
        <x:f>IF(AE7=0,"","RECHECK")</x:f>
      </x:c>
      <x:c r="AF6" s="56" t="str">
        <x:f>IF(AF7=0,"","RECHECK")</x:f>
      </x:c>
      <x:c r="AG6" s="56" t="str">
        <x:f>IF(AG7=0,"","RECHECK")</x:f>
      </x:c>
      <x:c r="AH6" s="56" t="str">
        <x:f>IF(AH7=0,"","RECHECK")</x:f>
      </x:c>
      <x:c r="AI6" s="56" t="str">
        <x:f>IF(AI7=0,"","RECHECK")</x:f>
      </x:c>
      <x:c r="AJ6" s="56" t="str">
        <x:f>IF(AJ7=0,"","RECHECK")</x:f>
      </x:c>
      <x:c r="AK6" s="56" t="str">
        <x:f>IF(AK7=0,"","RECHECK")</x:f>
      </x:c>
      <x:c r="AL6" s="56" t="str">
        <x:f>IF(AL7=0,"","RECHECK")</x:f>
      </x:c>
      <x:c r="AM6" s="56" t="str">
        <x:f>IF(AM7=0,"","RECHECK")</x:f>
      </x:c>
      <x:c r="AN6" s="56" t="str">
        <x:f>IF(AN7=0,"","RECHECK")</x:f>
      </x:c>
      <x:c r="AO6" s="56" t="str">
        <x:f>IF(AO7=0,"","RECHECK")</x:f>
      </x:c>
      <x:c r="AP6" s="56" t="str">
        <x:f>IF(AP7=0,"","RECHECK")</x:f>
      </x:c>
      <x:c r="AQ6" s="56" t="str">
        <x:f>IF(AQ7=0,"","RECHECK")</x:f>
      </x:c>
      <x:c r="AR6" s="56" t="str">
        <x:f>IF(AR7=0,"","RECHECK")</x:f>
      </x:c>
      <x:c r="AS6" s="56" t="str">
        <x:f>IF(AS7=0,"","RECHECK")</x:f>
      </x:c>
      <x:c r="AT6" s="56" t="str">
        <x:f>IF(AT7=0,"","RECHECK")</x:f>
      </x:c>
      <x:c r="AU6" s="56" t="str">
        <x:f>IF(AU7=0,"","RECHECK")</x:f>
      </x:c>
      <x:c r="AV6" s="56" t="str">
        <x:f>IF(AV7=0,"","RECHECK")</x:f>
      </x:c>
      <x:c r="AW6" s="56" t="str">
        <x:f>IF(AW7=0,"","RECHECK")</x:f>
      </x:c>
      <x:c r="AX6" s="56" t="str">
        <x:f>IF(AX7=0,"","RECHECK")</x:f>
      </x:c>
      <x:c r="AY6" s="56" t="str">
        <x:f>IF(AY7=0,"","RECHECK")</x:f>
      </x:c>
      <x:c r="AZ6" s="56" t="str">
        <x:f>IF(AZ7=0,"","RECHECK")</x:f>
      </x:c>
      <x:c r="BA6" s="56" t="str">
        <x:f>IF(BA7=0,"","RECHECK")</x:f>
      </x:c>
      <x:c r="BB6" s="56" t="str">
        <x:f>IF(BB7=0,"","RECHECK")</x:f>
      </x:c>
      <x:c r="BC6" s="56" t="str">
        <x:f>IF(BC7=0,"","RECHECK")</x:f>
      </x:c>
      <x:c r="BD6" s="56" t="str">
        <x:f>IF(BD7=0,"","RECHECK")</x:f>
      </x:c>
      <x:c r="BE6" s="56" t="str">
        <x:f>IF(BE7=0,"","RECHECK")</x:f>
      </x:c>
      <x:c r="BF6" s="56" t="str">
        <x:f>IF(BF7=0,"","RECHECK")</x:f>
      </x:c>
      <x:c r="BG6" s="56" t="str">
        <x:f>IF(BG7=0,"","RECHECK")</x:f>
      </x:c>
      <x:c r="BH6" s="56" t="str">
        <x:f>IF(BH7=0,"","RECHECK")</x:f>
      </x:c>
      <x:c r="BI6" s="56" t="str">
        <x:f>IF(BI7=0,"","RECHECK")</x:f>
      </x:c>
      <x:c r="BJ6" s="56" t="str">
        <x:f>IF(BJ7=0,"","RECHECK")</x:f>
      </x:c>
      <x:c r="BK6" s="56" t="str">
        <x:f>IF(BK7=0,"","RECHECK")</x:f>
      </x:c>
      <x:c r="BL6" s="56" t="str">
        <x:f>IF(BL7=0,"","RECHECK")</x:f>
      </x:c>
      <x:c r="BM6" s="56" t="str">
        <x:f>IF(BM7=0,"","RECHECK")</x:f>
      </x:c>
      <x:c r="BN6" s="56" t="str">
        <x:f>IF(BN7=0,"","RECHECK")</x:f>
      </x:c>
      <x:c r="BO6" s="56" t="str">
        <x:f>IF(BO7=0,"","RECHECK")</x:f>
      </x:c>
      <x:c r="BP6" s="56" t="str">
        <x:f>IF(BP7=0,"","RECHECK")</x:f>
      </x:c>
      <x:c r="BQ6" s="56" t="str">
        <x:f>IF(BQ7=0,"","RECHECK")</x:f>
      </x:c>
      <x:c r="BR6" s="56" t="str">
        <x:f>IF(BR7=0,"","RECHECK")</x:f>
      </x:c>
      <x:c r="BS6" s="56" t="str">
        <x:f>IF(BS7=0,"","RECHECK")</x:f>
      </x:c>
      <x:c r="BT6" s="56" t="str">
        <x:f>IF(BT7=0,"","RECHECK")</x:f>
      </x:c>
      <x:c r="BU6" s="56" t="str">
        <x:f>IF(BU7=0,"","RECHECK")</x:f>
      </x:c>
      <x:c r="BV6" s="56" t="str">
        <x:f>IF(BV7=0,"","RECHECK")</x:f>
      </x:c>
      <x:c r="BW6" s="56" t="str">
        <x:f>IF(BW7=0,"","RECHECK")</x:f>
      </x:c>
      <x:c r="BX6" s="56" t="str">
        <x:f>IF(BX7=0,"","RECHECK")</x:f>
      </x:c>
      <x:c r="BY6" s="56" t="str">
        <x:f>IF(BY7=0,"","RECHECK")</x:f>
      </x:c>
      <x:c r="BZ6" s="56" t="str">
        <x:f>IF(BZ7=0,"","RECHECK")</x:f>
      </x:c>
      <x:c r="CA6" s="56" t="str">
        <x:f>IF(CA7=0,"","RECHECK")</x:f>
      </x:c>
      <x:c r="CB6" s="56" t="str">
        <x:f>IF(CB7=0,"","RECHECK")</x:f>
      </x:c>
      <x:c r="CC6" s="56" t="str">
        <x:f>IF(CC7=0,"","RECHECK")</x:f>
      </x:c>
      <x:c r="CD6" s="56" t="str">
        <x:f>IF(CD7=0,"","RECHECK")</x:f>
      </x:c>
      <x:c r="CE6" s="56" t="str">
        <x:f>IF(CE7=0,"","RECHECK")</x:f>
      </x:c>
      <x:c r="CF6" s="56" t="str">
        <x:f>IF(CF7=0,"","RECHECK")</x:f>
      </x:c>
      <x:c r="CG6" s="56" t="str">
        <x:f>IF(CG7=0,"","RECHECK")</x:f>
      </x:c>
      <x:c r="CH6" s="56" t="str">
        <x:f>IF(CH7=0,"","RECHECK")</x:f>
      </x:c>
      <x:c r="CI6" s="56" t="str">
        <x:f>IF(CI7=0,"","RECHECK")</x:f>
      </x:c>
      <x:c r="CJ6" s="56" t="str">
        <x:f>IF(CJ7=0,"","RECHECK")</x:f>
      </x:c>
      <x:c r="CK6" s="56" t="str">
        <x:f>IF(CK7=0,"","RECHECK")</x:f>
      </x:c>
      <x:c r="CL6" s="56" t="str">
        <x:f>IF(CL7=0,"","RECHECK")</x:f>
      </x:c>
      <x:c r="CM6" s="56" t="str">
        <x:f>IF(CM7=0,"","RECHECK")</x:f>
      </x:c>
      <x:c r="CN6" s="56" t="str">
        <x:f>IF(CN7=0,"","RECHECK")</x:f>
      </x:c>
      <x:c r="CO6" s="56" t="str">
        <x:f>IF(CO7=0,"","RECHECK")</x:f>
      </x:c>
      <x:c r="CP6" s="56" t="str">
        <x:f>IF(CP7=0,"","RECHECK")</x:f>
      </x:c>
      <x:c r="CQ6" s="56" t="str">
        <x:f>IF(CQ7=0,"","RECHECK")</x:f>
      </x:c>
      <x:c r="CR6" s="56" t="str">
        <x:f>IF(CR7=0,"","RECHECK")</x:f>
      </x:c>
      <x:c r="CS6" s="56" t="str">
        <x:f>IF(CS7=0,"","RECHECK")</x:f>
      </x:c>
      <x:c r="CT6" s="56" t="str">
        <x:f>IF(CT7=0,"","RECHECK")</x:f>
      </x:c>
      <x:c r="CU6" s="56" t="str">
        <x:f>IF(CU7=0,"","RECHECK")</x:f>
      </x:c>
      <x:c r="CV6" s="56" t="str">
        <x:f>IF(CV7=0,"","RECHECK")</x:f>
      </x:c>
      <x:c r="CW6" s="56" t="str">
        <x:f>IF(CW7=0,"","RECHECK")</x:f>
      </x:c>
      <x:c r="CX6" s="56" t="str">
        <x:f>IF(CX7=0,"","RECHECK")</x:f>
      </x:c>
      <x:c r="CY6" s="56" t="str">
        <x:f>IF(CY7=0,"","RECHECK")</x:f>
      </x:c>
      <x:c r="CZ6" s="56" t="str">
        <x:f>IF(CZ7=0,"","RECHECK")</x:f>
      </x:c>
      <x:c r="DA6" s="56" t="str">
        <x:f>IF(DA7=0,"","RECHECK")</x:f>
      </x:c>
      <x:c r="DB6" s="56" t="str">
        <x:f>IF(DB7=0,"","RECHECK")</x:f>
      </x:c>
      <x:c r="DC6" s="56" t="str">
        <x:f>IF(DC7=0,"","RECHECK")</x:f>
      </x:c>
      <x:c r="DD6" s="56" t="str">
        <x:f>IF(DD7=0,"","RECHECK")</x:f>
      </x:c>
      <x:c r="DE6" s="56" t="str">
        <x:f>IF(DE7=0,"","RECHECK")</x:f>
      </x:c>
      <x:c r="DF6" s="56" t="str">
        <x:f>IF(DF7=0,"","RECHECK")</x:f>
      </x:c>
      <x:c r="DG6" s="56" t="str">
        <x:f>IF(DG7=0,"","RECHECK")</x:f>
      </x:c>
      <x:c r="DH6" s="56" t="str">
        <x:f>IF(DH7=0,"","RECHECK")</x:f>
      </x:c>
      <x:c r="DI6" s="56" t="str">
        <x:f>IF(DI7=0,"","RECHECK")</x:f>
      </x:c>
      <x:c r="DJ6" s="56" t="str">
        <x:f>IF(DJ7=0,"","RECHECK")</x:f>
      </x:c>
      <x:c r="DK6" s="56" t="str">
        <x:f>IF(DK7=0,"","RECHECK")</x:f>
      </x:c>
      <x:c r="DL6" s="56" t="str">
        <x:f>IF(DL7=0,"","RECHECK")</x:f>
      </x:c>
      <x:c r="DM6" s="56" t="str">
        <x:f>IF(DM7=0,"","RECHECK")</x:f>
      </x:c>
      <x:c r="DN6" s="56" t="str">
        <x:f>IF(DN7=0,"","RECHECK")</x:f>
      </x:c>
      <x:c r="DO6" s="56" t="str">
        <x:f>IF(DO7=0,"","RECHECK")</x:f>
      </x:c>
      <x:c r="DP6" s="56" t="str">
        <x:f>IF(DP7=0,"","RECHECK")</x:f>
      </x:c>
      <x:c r="DQ6" s="56" t="str">
        <x:f>IF(DQ7=0,"","RECHECK")</x:f>
      </x:c>
      <x:c r="DR6" s="56" t="str">
        <x:f>IF(DR7=0,"","RECHECK")</x:f>
      </x:c>
      <x:c r="DS6" s="56" t="str">
        <x:f>IF(DS7=0,"","RECHECK")</x:f>
      </x:c>
      <x:c r="DT6" s="56" t="str">
        <x:f>IF(DT7=0,"","RECHECK")</x:f>
      </x:c>
      <x:c r="DU6" s="56" t="str">
        <x:f>IF(DU7=0,"","RECHECK")</x:f>
      </x:c>
      <x:c r="DV6" s="56" t="str">
        <x:f>IF(DV7=0,"","RECHECK")</x:f>
      </x:c>
      <x:c r="DW6" s="56" t="str">
        <x:f>IF(DW7=0,"","RECHECK")</x:f>
      </x:c>
      <x:c r="DX6" s="56" t="str">
        <x:f>IF(DX7=0,"","RECHECK")</x:f>
      </x:c>
      <x:c r="DY6" s="56" t="str">
        <x:f>IF(DY7=0,"","RECHECK")</x:f>
      </x:c>
      <x:c r="DZ6" s="56" t="str">
        <x:f>IF(DZ7=0,"","RECHECK")</x:f>
      </x:c>
      <x:c r="EA6" s="56" t="str">
        <x:f>IF(EA7=0,"","RECHECK")</x:f>
      </x:c>
      <x:c r="EB6" s="56" t="str">
        <x:f>IF(EB7=0,"","RECHECK")</x:f>
      </x:c>
      <x:c r="EC6" s="56" t="str">
        <x:f>IF(EC7=0,"","RECHECK")</x:f>
      </x:c>
      <x:c r="ED6" s="56" t="str">
        <x:f>IF(ED7=0,"","RECHECK")</x:f>
      </x:c>
      <x:c r="EE6" s="56" t="str">
        <x:f>IF(EE7=0,"","RECHECK")</x:f>
      </x:c>
      <x:c r="EF6" s="56" t="str">
        <x:f>IF(EF7=0,"","RECHECK")</x:f>
      </x:c>
      <x:c r="EG6" s="56" t="str">
        <x:f>IF(EG7=0,"","RECHECK")</x:f>
      </x:c>
      <x:c r="EH6" s="56" t="str">
        <x:f>IF(EH7=0,"","RECHECK")</x:f>
      </x:c>
      <x:c r="EI6" s="56" t="str">
        <x:f>IF(EI7=0,"","RECHECK")</x:f>
      </x:c>
      <x:c r="EJ6" s="56" t="str">
        <x:f>IF(EJ7=0,"","RECHECK")</x:f>
      </x:c>
      <x:c r="EK6" s="56" t="str">
        <x:f>IF(EK7=0,"","RECHECK")</x:f>
      </x:c>
      <x:c r="EL6" s="56" t="str">
        <x:f>IF(EL7=0,"","RECHECK")</x:f>
      </x:c>
      <x:c r="EM6" s="56" t="str">
        <x:f>IF(EM7=0,"","RECHECK")</x:f>
      </x:c>
      <x:c r="EN6" s="56" t="str">
        <x:f>IF(EN7=0,"","RECHECK")</x:f>
      </x:c>
      <x:c r="EO6" s="56" t="str">
        <x:f>IF(EO7=0,"","RECHECK")</x:f>
      </x:c>
      <x:c r="EP6" s="56" t="str">
        <x:f>IF(EP7=0,"","RECHECK")</x:f>
      </x:c>
      <x:c r="EQ6" s="56" t="str">
        <x:f>IF(EQ7=0,"","RECHECK")</x:f>
      </x:c>
      <x:c r="ER6" s="56" t="str">
        <x:f>IF(ER7=0,"","RECHECK")</x:f>
      </x:c>
      <x:c r="ES6" s="56" t="str">
        <x:f>IF(ES7=0,"","RECHECK")</x:f>
      </x:c>
      <x:c r="ET6" s="56" t="str">
        <x:f>IF(ET7=0,"","RECHECK")</x:f>
      </x:c>
      <x:c r="EU6" s="56" t="str">
        <x:f>IF(EU7=0,"","RECHECK")</x:f>
      </x:c>
      <x:c r="EV6" s="56" t="str">
        <x:f>IF(EV7=0,"","RECHECK")</x:f>
      </x:c>
      <x:c r="EW6" s="56" t="str">
        <x:f>IF(EW7=0,"","RECHECK")</x:f>
      </x:c>
      <x:c r="EX6" s="56" t="str">
        <x:f>IF(EX7=0,"","RECHECK")</x:f>
      </x:c>
      <x:c r="EY6" s="56" t="str">
        <x:f>IF(EY7=0,"","RECHECK")</x:f>
      </x:c>
      <x:c r="EZ6" s="56" t="str">
        <x:f>IF(EZ7=0,"","RECHECK")</x:f>
      </x:c>
      <x:c r="FA6" s="56" t="str">
        <x:f>IF(FA7=0,"","RECHECK")</x:f>
      </x:c>
      <x:c r="FB6" s="56" t="str">
        <x:f>IF(FB7=0,"","RECHECK")</x:f>
      </x:c>
      <x:c r="FC6" s="56" t="str">
        <x:f>IF(FC7=0,"","RECHECK")</x:f>
      </x:c>
      <x:c r="FD6" s="56" t="str">
        <x:f>IF(FD7=0,"","RECHECK")</x:f>
      </x:c>
      <x:c r="FE6" s="56" t="str">
        <x:f>IF(FE7=0,"","RECHECK")</x:f>
      </x:c>
      <x:c r="FF6" s="56" t="str">
        <x:f>IF(FF7=0,"","RECHECK")</x:f>
      </x:c>
      <x:c r="FG6" s="56" t="str">
        <x:f>IF(FG7=0,"","RECHECK")</x:f>
      </x:c>
      <x:c r="FH6" s="56" t="str">
        <x:f>IF(FH7=0,"","RECHECK")</x:f>
      </x:c>
      <x:c r="FI6" s="56" t="str">
        <x:f>IF(FI7=0,"","RECHECK")</x:f>
      </x:c>
      <x:c r="FJ6" s="56" t="str">
        <x:f>IF(FJ7=0,"","RECHECK")</x:f>
      </x:c>
      <x:c r="FK6" s="56" t="str">
        <x:f>IF(FK7=0,"","RECHECK")</x:f>
      </x:c>
      <x:c r="FL6" s="56" t="str">
        <x:f>IF(FL7=0,"","RECHECK")</x:f>
      </x:c>
      <x:c r="FM6" s="56" t="str">
        <x:f>IF(FM7=0,"","RECHECK")</x:f>
      </x:c>
      <x:c r="FN6" s="56" t="str">
        <x:f>IF(FN7=0,"","RECHECK")</x:f>
      </x:c>
      <x:c r="FO6" s="56" t="str">
        <x:f>IF(FO7=0,"","RECHECK")</x:f>
      </x:c>
      <x:c r="FP6" s="56" t="str">
        <x:f>IF(FP7=0,"","RECHECK")</x:f>
      </x:c>
    </x:row>
    <x:row r="7" s="53" customFormat="1" ht="14.25" customHeight="1">
      <x:c r="A7" s="54" t="n"/>
      <x:c r="B7" s="593" t="n"/>
      <x:c r="C7" s="634" t="n"/>
      <x:c r="D7" s="634" t="n"/>
      <x:c r="E7" s="634" t="n"/>
      <x:c r="F7" s="635" t="n"/>
      <x:c r="G7" s="636" t="n">
        <x:f>SUBTOTAL(9,G10:G162)</x:f>
        <x:v>0</x:v>
      </x:c>
      <x:c r="H7" s="638" t="n">
        <x:f>SUBTOTAL(9,H10:H162)</x:f>
        <x:v>0</x:v>
      </x:c>
      <x:c r="I7" s="638" t="n">
        <x:f>SUBTOTAL(9,I10:I162)</x:f>
        <x:v>0</x:v>
      </x:c>
      <x:c r="J7" s="638" t="n">
        <x:f>SUBTOTAL(9,J10:J162)</x:f>
        <x:v>0</x:v>
      </x:c>
      <x:c r="K7" s="638" t="n">
        <x:f>SUBTOTAL(9,K10:K162)</x:f>
        <x:v>0</x:v>
      </x:c>
      <x:c r="L7" s="638" t="n">
        <x:f>SUBTOTAL(9,L10:L162)</x:f>
        <x:v>0</x:v>
      </x:c>
      <x:c r="M7" s="638" t="n">
        <x:f>SUBTOTAL(9,M10:M162)</x:f>
        <x:v>0</x:v>
      </x:c>
      <x:c r="N7" s="638" t="n">
        <x:f>SUBTOTAL(9,N10:N162)</x:f>
        <x:v>0</x:v>
      </x:c>
      <x:c r="O7" s="638" t="n">
        <x:f>SUBTOTAL(9,O10:O162)</x:f>
        <x:v>0</x:v>
      </x:c>
      <x:c r="P7" s="638" t="n">
        <x:f>SUBTOTAL(9,P10:P162)</x:f>
        <x:v>0</x:v>
      </x:c>
      <x:c r="Q7" s="638" t="n">
        <x:f>SUBTOTAL(9,Q10:Q162)</x:f>
        <x:v>0</x:v>
      </x:c>
      <x:c r="R7" s="638" t="n">
        <x:f>SUBTOTAL(9,R10:R162)</x:f>
        <x:v>0</x:v>
      </x:c>
      <x:c r="S7" s="638" t="n">
        <x:f>SUBTOTAL(9,S10:S162)</x:f>
        <x:v>0</x:v>
      </x:c>
      <x:c r="T7" s="638" t="n">
        <x:f>SUBTOTAL(9,T10:T162)</x:f>
        <x:v>0</x:v>
      </x:c>
      <x:c r="U7" s="638" t="n">
        <x:f>SUBTOTAL(9,U10:U162)</x:f>
        <x:v>0</x:v>
      </x:c>
      <x:c r="V7" s="638" t="n">
        <x:f>SUBTOTAL(9,V10:V162)</x:f>
        <x:v>0</x:v>
      </x:c>
      <x:c r="W7" s="638" t="n">
        <x:f>SUBTOTAL(9,W10:W162)</x:f>
        <x:v>0</x:v>
      </x:c>
      <x:c r="X7" s="638" t="n">
        <x:f>SUBTOTAL(9,X10:X162)</x:f>
        <x:v>0</x:v>
      </x:c>
      <x:c r="Y7" s="638" t="n">
        <x:f>SUBTOTAL(9,Y10:Y162)</x:f>
        <x:v>0</x:v>
      </x:c>
      <x:c r="Z7" s="638" t="n">
        <x:f>SUBTOTAL(9,Z10:Z162)</x:f>
        <x:v>0</x:v>
      </x:c>
      <x:c r="AA7" s="638" t="n">
        <x:f>SUBTOTAL(9,AA10:AA162)</x:f>
        <x:v>0</x:v>
      </x:c>
      <x:c r="AB7" s="638" t="n">
        <x:f>SUBTOTAL(9,AB10:AB162)</x:f>
        <x:v>0</x:v>
      </x:c>
      <x:c r="AC7" s="638" t="n">
        <x:f>SUBTOTAL(9,AC10:AC162)</x:f>
        <x:v>0</x:v>
      </x:c>
      <x:c r="AD7" s="638" t="n">
        <x:f>SUBTOTAL(9,AD10:AD162)</x:f>
        <x:v>0</x:v>
      </x:c>
      <x:c r="AE7" s="638" t="n">
        <x:f>SUBTOTAL(9,AE10:AE162)</x:f>
        <x:v>0</x:v>
      </x:c>
      <x:c r="AF7" s="638" t="n">
        <x:f>SUBTOTAL(9,AF10:AF162)</x:f>
        <x:v>0</x:v>
      </x:c>
      <x:c r="AG7" s="638" t="n">
        <x:f>SUBTOTAL(9,AG10:AG162)</x:f>
        <x:v>0</x:v>
      </x:c>
      <x:c r="AH7" s="638" t="n">
        <x:f>SUBTOTAL(9,AH10:AH162)</x:f>
        <x:v>0</x:v>
      </x:c>
      <x:c r="AI7" s="638" t="n">
        <x:f>SUBTOTAL(9,AI10:AI162)</x:f>
        <x:v>0</x:v>
      </x:c>
      <x:c r="AJ7" s="638" t="n">
        <x:f>SUBTOTAL(9,AJ10:AJ162)</x:f>
        <x:v>0</x:v>
      </x:c>
      <x:c r="AK7" s="638" t="n">
        <x:f>SUBTOTAL(9,AK10:AK162)</x:f>
        <x:v>0</x:v>
      </x:c>
      <x:c r="AL7" s="638" t="n">
        <x:f>SUBTOTAL(9,AL10:AL162)</x:f>
        <x:v>0</x:v>
      </x:c>
      <x:c r="AM7" s="638" t="n">
        <x:f>SUBTOTAL(9,AM10:AM162)</x:f>
        <x:v>0</x:v>
      </x:c>
      <x:c r="AN7" s="638" t="n">
        <x:f>SUBTOTAL(9,AN10:AN162)</x:f>
        <x:v>0</x:v>
      </x:c>
      <x:c r="AO7" s="638" t="n">
        <x:f>SUBTOTAL(9,AO10:AO162)</x:f>
        <x:v>0</x:v>
      </x:c>
      <x:c r="AP7" s="638" t="n">
        <x:f>SUBTOTAL(9,AP10:AP162)</x:f>
        <x:v>0</x:v>
      </x:c>
      <x:c r="AQ7" s="638" t="n">
        <x:f>SUBTOTAL(9,AQ10:AQ162)</x:f>
        <x:v>0</x:v>
      </x:c>
      <x:c r="AR7" s="638" t="n">
        <x:f>SUBTOTAL(9,AR10:AR162)</x:f>
        <x:v>0</x:v>
      </x:c>
      <x:c r="AS7" s="638" t="n">
        <x:f>SUBTOTAL(9,AS10:AS162)</x:f>
        <x:v>0</x:v>
      </x:c>
      <x:c r="AT7" s="638" t="n">
        <x:f>SUBTOTAL(9,AT10:AT162)</x:f>
        <x:v>0</x:v>
      </x:c>
      <x:c r="AU7" s="638" t="n">
        <x:f>SUBTOTAL(9,AU10:AU162)</x:f>
        <x:v>0</x:v>
      </x:c>
      <x:c r="AV7" s="638" t="n">
        <x:f>SUBTOTAL(9,AV10:AV162)</x:f>
        <x:v>0</x:v>
      </x:c>
      <x:c r="AW7" s="638" t="n">
        <x:f>SUBTOTAL(9,AW10:AW162)</x:f>
        <x:v>0</x:v>
      </x:c>
      <x:c r="AX7" s="638" t="n">
        <x:f>SUBTOTAL(9,AX10:AX162)</x:f>
        <x:v>0</x:v>
      </x:c>
      <x:c r="AY7" s="638" t="n">
        <x:f>SUBTOTAL(9,AY10:AY162)</x:f>
        <x:v>0</x:v>
      </x:c>
      <x:c r="AZ7" s="638" t="n">
        <x:f>SUBTOTAL(9,AZ10:AZ162)</x:f>
        <x:v>0</x:v>
      </x:c>
      <x:c r="BA7" s="638" t="n">
        <x:f>SUBTOTAL(9,BA10:BA162)</x:f>
        <x:v>0</x:v>
      </x:c>
      <x:c r="BB7" s="638" t="n">
        <x:f>SUBTOTAL(9,BB10:BB162)</x:f>
        <x:v>0</x:v>
      </x:c>
      <x:c r="BC7" s="638" t="n">
        <x:f>SUBTOTAL(9,BC10:BC162)</x:f>
        <x:v>0</x:v>
      </x:c>
      <x:c r="BD7" s="638" t="n">
        <x:f>SUBTOTAL(9,BD10:BD162)</x:f>
        <x:v>0</x:v>
      </x:c>
      <x:c r="BE7" s="638" t="n">
        <x:f>SUBTOTAL(9,BE10:BE162)</x:f>
        <x:v>0</x:v>
      </x:c>
      <x:c r="BF7" s="638" t="n">
        <x:f>SUBTOTAL(9,BF10:BF162)</x:f>
        <x:v>0</x:v>
      </x:c>
      <x:c r="BG7" s="638" t="n">
        <x:f>SUBTOTAL(9,BG10:BG162)</x:f>
        <x:v>0</x:v>
      </x:c>
      <x:c r="BH7" s="638" t="n">
        <x:f>SUBTOTAL(9,BH10:BH162)</x:f>
        <x:v>0</x:v>
      </x:c>
      <x:c r="BI7" s="638" t="n">
        <x:f>SUBTOTAL(9,BI10:BI162)</x:f>
        <x:v>0</x:v>
      </x:c>
      <x:c r="BJ7" s="638" t="n">
        <x:f>SUBTOTAL(9,BJ10:BJ162)</x:f>
        <x:v>0</x:v>
      </x:c>
      <x:c r="BK7" s="638" t="n">
        <x:f>SUBTOTAL(9,BK10:BK162)</x:f>
        <x:v>0</x:v>
      </x:c>
      <x:c r="BL7" s="638" t="n">
        <x:f>SUBTOTAL(9,BL10:BL162)</x:f>
        <x:v>0</x:v>
      </x:c>
      <x:c r="BM7" s="638" t="n">
        <x:f>SUBTOTAL(9,BM10:BM162)</x:f>
        <x:v>0</x:v>
      </x:c>
      <x:c r="BN7" s="638" t="n">
        <x:f>SUBTOTAL(9,BN10:BN162)</x:f>
        <x:v>0</x:v>
      </x:c>
      <x:c r="BO7" s="638" t="n">
        <x:f>SUBTOTAL(9,BO10:BO162)</x:f>
        <x:v>0</x:v>
      </x:c>
      <x:c r="BP7" s="638" t="n">
        <x:f>SUBTOTAL(9,BP10:BP162)</x:f>
        <x:v>0</x:v>
      </x:c>
      <x:c r="BQ7" s="638" t="n">
        <x:f>SUBTOTAL(9,BQ10:BQ162)</x:f>
        <x:v>0</x:v>
      </x:c>
      <x:c r="BR7" s="638" t="n">
        <x:f>SUBTOTAL(9,BR10:BR162)</x:f>
        <x:v>0</x:v>
      </x:c>
      <x:c r="BS7" s="638" t="n">
        <x:f>SUBTOTAL(9,BS10:BS162)</x:f>
        <x:v>0</x:v>
      </x:c>
      <x:c r="BT7" s="638" t="n">
        <x:f>SUBTOTAL(9,BT10:BT162)</x:f>
        <x:v>0</x:v>
      </x:c>
      <x:c r="BU7" s="638" t="n">
        <x:f>SUBTOTAL(9,BU10:BU162)</x:f>
        <x:v>0</x:v>
      </x:c>
      <x:c r="BV7" s="638" t="n">
        <x:f>SUBTOTAL(9,BV10:BV162)</x:f>
        <x:v>0</x:v>
      </x:c>
      <x:c r="BW7" s="638" t="n">
        <x:f>SUBTOTAL(9,BW10:BW162)</x:f>
        <x:v>0</x:v>
      </x:c>
      <x:c r="BX7" s="638" t="n">
        <x:f>SUBTOTAL(9,BX10:BX162)</x:f>
        <x:v>0</x:v>
      </x:c>
      <x:c r="BY7" s="638" t="n">
        <x:f>SUBTOTAL(9,BY10:BY162)</x:f>
        <x:v>0</x:v>
      </x:c>
      <x:c r="BZ7" s="638" t="n">
        <x:f>SUBTOTAL(9,BZ10:BZ162)</x:f>
        <x:v>0</x:v>
      </x:c>
      <x:c r="CA7" s="638" t="n">
        <x:f>SUBTOTAL(9,CA10:CA162)</x:f>
        <x:v>0</x:v>
      </x:c>
      <x:c r="CB7" s="638" t="n">
        <x:f>SUBTOTAL(9,CB10:CB162)</x:f>
        <x:v>0</x:v>
      </x:c>
      <x:c r="CC7" s="638" t="n">
        <x:f>SUBTOTAL(9,CC10:CC162)</x:f>
        <x:v>0</x:v>
      </x:c>
      <x:c r="CD7" s="638" t="n">
        <x:f>SUBTOTAL(9,CD10:CD162)</x:f>
        <x:v>0</x:v>
      </x:c>
      <x:c r="CE7" s="637" t="n">
        <x:f>SUBTOTAL(9,CE10:CE162)</x:f>
        <x:v>0</x:v>
      </x:c>
      <x:c r="CF7" s="637" t="n">
        <x:f>SUBTOTAL(9,CF10:CF162)</x:f>
        <x:v>0</x:v>
      </x:c>
      <x:c r="CG7" s="637" t="n">
        <x:f>SUBTOTAL(9,CG10:CG162)</x:f>
        <x:v>0</x:v>
      </x:c>
      <x:c r="CH7" s="637" t="n">
        <x:f>SUBTOTAL(9,CH10:CH162)</x:f>
        <x:v>0</x:v>
      </x:c>
      <x:c r="CI7" s="637" t="n">
        <x:f>SUBTOTAL(9,CI10:CI162)</x:f>
        <x:v>0</x:v>
      </x:c>
      <x:c r="CJ7" s="637" t="n">
        <x:f>SUBTOTAL(9,CJ10:CJ162)</x:f>
        <x:v>0</x:v>
      </x:c>
      <x:c r="CK7" s="637" t="n">
        <x:f>SUBTOTAL(9,CK10:CK162)</x:f>
        <x:v>0</x:v>
      </x:c>
      <x:c r="CL7" s="637" t="n">
        <x:f>SUBTOTAL(9,CL10:CL162)</x:f>
        <x:v>0</x:v>
      </x:c>
      <x:c r="CM7" s="637" t="n">
        <x:f>SUBTOTAL(9,CM10:CM162)</x:f>
        <x:v>0</x:v>
      </x:c>
      <x:c r="CN7" s="637" t="n">
        <x:f>SUBTOTAL(9,CN10:CN162)</x:f>
        <x:v>0</x:v>
      </x:c>
      <x:c r="CO7" s="637" t="n">
        <x:f>SUBTOTAL(9,CO10:CO162)</x:f>
        <x:v>0</x:v>
      </x:c>
      <x:c r="CP7" s="637" t="n">
        <x:f>SUBTOTAL(9,CP10:CP162)</x:f>
        <x:v>0</x:v>
      </x:c>
      <x:c r="CQ7" s="637" t="n">
        <x:f>SUBTOTAL(9,CQ10:CQ162)</x:f>
        <x:v>0</x:v>
      </x:c>
      <x:c r="CR7" s="637" t="n">
        <x:f>SUBTOTAL(9,CR10:CR162)</x:f>
        <x:v>0</x:v>
      </x:c>
      <x:c r="CS7" s="637" t="n">
        <x:f>SUBTOTAL(9,CS10:CS162)</x:f>
        <x:v>0</x:v>
      </x:c>
      <x:c r="CT7" s="637" t="n">
        <x:f>SUBTOTAL(9,CT10:CT162)</x:f>
        <x:v>0</x:v>
      </x:c>
      <x:c r="CU7" s="637" t="n">
        <x:f>SUBTOTAL(9,CU10:CU162)</x:f>
        <x:v>0</x:v>
      </x:c>
      <x:c r="CV7" s="637" t="n">
        <x:f>SUBTOTAL(9,CV10:CV162)</x:f>
        <x:v>0</x:v>
      </x:c>
      <x:c r="CW7" s="637" t="n">
        <x:f>SUBTOTAL(9,CW10:CW162)</x:f>
        <x:v>0</x:v>
      </x:c>
      <x:c r="CX7" s="637" t="n">
        <x:f>SUBTOTAL(9,CX10:CX162)</x:f>
        <x:v>0</x:v>
      </x:c>
      <x:c r="CY7" s="637" t="n">
        <x:f>SUBTOTAL(9,CY10:CY162)</x:f>
        <x:v>0</x:v>
      </x:c>
      <x:c r="CZ7" s="637" t="n">
        <x:f>SUBTOTAL(9,CZ10:CZ162)</x:f>
        <x:v>0</x:v>
      </x:c>
      <x:c r="DA7" s="637" t="n">
        <x:f>SUBTOTAL(9,DA10:DA162)</x:f>
        <x:v>0</x:v>
      </x:c>
      <x:c r="DB7" s="637" t="n">
        <x:f>SUBTOTAL(9,DB10:DB162)</x:f>
        <x:v>0</x:v>
      </x:c>
      <x:c r="DC7" s="637" t="n">
        <x:f>SUBTOTAL(9,DC10:DC162)</x:f>
        <x:v>0</x:v>
      </x:c>
      <x:c r="DD7" s="637" t="n">
        <x:f>SUBTOTAL(9,DD10:DD162)</x:f>
        <x:v>0</x:v>
      </x:c>
      <x:c r="DE7" s="637" t="n">
        <x:f>SUBTOTAL(9,DE10:DE162)</x:f>
        <x:v>0</x:v>
      </x:c>
      <x:c r="DF7" s="637" t="n">
        <x:f>SUBTOTAL(9,DF10:DF162)</x:f>
        <x:v>0</x:v>
      </x:c>
      <x:c r="DG7" s="637" t="n">
        <x:f>SUBTOTAL(9,DG10:DG162)</x:f>
        <x:v>0</x:v>
      </x:c>
      <x:c r="DH7" s="637" t="n">
        <x:f>SUBTOTAL(9,DH10:DH162)</x:f>
        <x:v>0</x:v>
      </x:c>
      <x:c r="DI7" s="637" t="n">
        <x:f>SUBTOTAL(9,DI10:DI162)</x:f>
        <x:v>0</x:v>
      </x:c>
      <x:c r="DJ7" s="637" t="n">
        <x:f>SUBTOTAL(9,DJ10:DJ162)</x:f>
        <x:v>0</x:v>
      </x:c>
      <x:c r="DK7" s="637" t="n">
        <x:f>SUBTOTAL(9,DK10:DK162)</x:f>
        <x:v>0</x:v>
      </x:c>
      <x:c r="DL7" s="637" t="n">
        <x:f>SUBTOTAL(9,DL10:DL162)</x:f>
        <x:v>0</x:v>
      </x:c>
      <x:c r="DM7" s="637" t="n">
        <x:f>SUBTOTAL(9,DM10:DM162)</x:f>
        <x:v>0</x:v>
      </x:c>
      <x:c r="DN7" s="637" t="n">
        <x:f>SUBTOTAL(9,DN10:DN162)</x:f>
        <x:v>0</x:v>
      </x:c>
      <x:c r="DO7" s="637" t="n">
        <x:f>SUBTOTAL(9,DO10:DO162)</x:f>
        <x:v>0</x:v>
      </x:c>
      <x:c r="DP7" s="637" t="n">
        <x:f>SUBTOTAL(9,DP10:DP162)</x:f>
        <x:v>0</x:v>
      </x:c>
      <x:c r="DQ7" s="637" t="n">
        <x:f>SUBTOTAL(9,DQ10:DQ162)</x:f>
        <x:v>0</x:v>
      </x:c>
      <x:c r="DR7" s="637" t="n">
        <x:f>SUBTOTAL(9,DR10:DR162)</x:f>
        <x:v>0</x:v>
      </x:c>
      <x:c r="DS7" s="637" t="n">
        <x:f>SUBTOTAL(9,DS10:DS162)</x:f>
        <x:v>0</x:v>
      </x:c>
      <x:c r="DT7" s="637" t="n">
        <x:f>SUBTOTAL(9,DT10:DT162)</x:f>
        <x:v>0</x:v>
      </x:c>
      <x:c r="DU7" s="637" t="n">
        <x:f>SUBTOTAL(9,DU10:DU162)</x:f>
        <x:v>0</x:v>
      </x:c>
      <x:c r="DV7" s="637" t="n">
        <x:f>SUBTOTAL(9,DV10:DV162)</x:f>
        <x:v>0</x:v>
      </x:c>
      <x:c r="DW7" s="637" t="n">
        <x:f>SUBTOTAL(9,DW10:DW162)</x:f>
        <x:v>0</x:v>
      </x:c>
      <x:c r="DX7" s="637" t="n">
        <x:f>SUBTOTAL(9,DX10:DX162)</x:f>
        <x:v>0</x:v>
      </x:c>
      <x:c r="DY7" s="637" t="n">
        <x:f>SUBTOTAL(9,DY10:DY162)</x:f>
        <x:v>0</x:v>
      </x:c>
      <x:c r="DZ7" s="637" t="n">
        <x:f>SUBTOTAL(9,DZ10:DZ162)</x:f>
        <x:v>0</x:v>
      </x:c>
      <x:c r="EA7" s="637" t="n">
        <x:f>SUBTOTAL(9,EA10:EA162)</x:f>
        <x:v>0</x:v>
      </x:c>
      <x:c r="EB7" s="637" t="n">
        <x:f>SUBTOTAL(9,EB10:EB162)</x:f>
        <x:v>0</x:v>
      </x:c>
      <x:c r="EC7" s="637" t="n">
        <x:f>SUBTOTAL(9,EC10:EC162)</x:f>
        <x:v>0</x:v>
      </x:c>
      <x:c r="ED7" s="637" t="n">
        <x:f>SUBTOTAL(9,ED10:ED162)</x:f>
        <x:v>0</x:v>
      </x:c>
      <x:c r="EE7" s="637" t="n">
        <x:f>SUBTOTAL(9,EE10:EE162)</x:f>
        <x:v>0</x:v>
      </x:c>
      <x:c r="EF7" s="637" t="n">
        <x:f>SUBTOTAL(9,EF10:EF162)</x:f>
        <x:v>0</x:v>
      </x:c>
      <x:c r="EG7" s="637" t="n">
        <x:f>SUBTOTAL(9,EG10:EG162)</x:f>
        <x:v>0</x:v>
      </x:c>
      <x:c r="EH7" s="637" t="n">
        <x:f>SUBTOTAL(9,EH10:EH162)</x:f>
        <x:v>0</x:v>
      </x:c>
      <x:c r="EI7" s="637" t="n">
        <x:f>SUBTOTAL(9,EI10:EI162)</x:f>
        <x:v>0</x:v>
      </x:c>
      <x:c r="EJ7" s="637" t="n">
        <x:f>SUBTOTAL(9,EJ10:EJ162)</x:f>
        <x:v>0</x:v>
      </x:c>
      <x:c r="EK7" s="637" t="n">
        <x:f>SUBTOTAL(9,EK10:EK162)</x:f>
        <x:v>0</x:v>
      </x:c>
      <x:c r="EL7" s="637" t="n">
        <x:f>SUBTOTAL(9,EL10:EL162)</x:f>
        <x:v>0</x:v>
      </x:c>
      <x:c r="EM7" s="637" t="n">
        <x:f>SUBTOTAL(9,EM10:EM162)</x:f>
        <x:v>0</x:v>
      </x:c>
      <x:c r="EN7" s="637" t="n">
        <x:f>SUBTOTAL(9,EN10:EN162)</x:f>
        <x:v>0</x:v>
      </x:c>
      <x:c r="EO7" s="637" t="n">
        <x:f>SUBTOTAL(9,EO10:EO162)</x:f>
        <x:v>0</x:v>
      </x:c>
      <x:c r="EP7" s="637" t="n">
        <x:f>SUBTOTAL(9,EP10:EP162)</x:f>
        <x:v>0</x:v>
      </x:c>
      <x:c r="EQ7" s="637" t="n">
        <x:f>SUBTOTAL(9,EQ10:EQ162)</x:f>
        <x:v>0</x:v>
      </x:c>
      <x:c r="ER7" s="637" t="n">
        <x:f>SUBTOTAL(9,ER10:ER162)</x:f>
        <x:v>0</x:v>
      </x:c>
      <x:c r="ES7" s="637" t="n">
        <x:f>SUBTOTAL(9,ES10:ES162)</x:f>
        <x:v>0</x:v>
      </x:c>
      <x:c r="ET7" s="637" t="n">
        <x:f>SUBTOTAL(9,ET10:ET162)</x:f>
        <x:v>0</x:v>
      </x:c>
      <x:c r="EU7" s="637" t="n">
        <x:f>SUBTOTAL(9,EU10:EU162)</x:f>
        <x:v>0</x:v>
      </x:c>
      <x:c r="EV7" s="637" t="n">
        <x:f>SUBTOTAL(9,EV10:EV162)</x:f>
        <x:v>0</x:v>
      </x:c>
      <x:c r="EW7" s="637" t="n">
        <x:f>SUBTOTAL(9,EW10:EW162)</x:f>
        <x:v>0</x:v>
      </x:c>
      <x:c r="EX7" s="637" t="n">
        <x:f>SUBTOTAL(9,EX10:EX162)</x:f>
        <x:v>0</x:v>
      </x:c>
      <x:c r="EY7" s="637" t="n">
        <x:f>SUBTOTAL(9,EY10:EY162)</x:f>
        <x:v>0</x:v>
      </x:c>
      <x:c r="EZ7" s="637" t="n">
        <x:f>SUBTOTAL(9,EZ10:EZ162)</x:f>
        <x:v>0</x:v>
      </x:c>
      <x:c r="FA7" s="637" t="n">
        <x:f>SUBTOTAL(9,FA10:FA162)</x:f>
        <x:v>0</x:v>
      </x:c>
      <x:c r="FB7" s="637" t="n">
        <x:f>SUBTOTAL(9,FB10:FB162)</x:f>
        <x:v>0</x:v>
      </x:c>
      <x:c r="FC7" s="637" t="n">
        <x:f>SUBTOTAL(9,FC10:FC162)</x:f>
        <x:v>0</x:v>
      </x:c>
      <x:c r="FD7" s="637" t="n">
        <x:f>SUBTOTAL(9,FD10:FD162)</x:f>
        <x:v>0</x:v>
      </x:c>
      <x:c r="FE7" s="637" t="n">
        <x:f>SUBTOTAL(9,FE10:FE162)</x:f>
        <x:v>0</x:v>
      </x:c>
      <x:c r="FF7" s="637" t="n">
        <x:f>SUBTOTAL(9,FF10:FF162)</x:f>
        <x:v>0</x:v>
      </x:c>
      <x:c r="FG7" s="637" t="n">
        <x:f>SUBTOTAL(9,FG10:FG162)</x:f>
        <x:v>0</x:v>
      </x:c>
      <x:c r="FH7" s="637" t="n">
        <x:f>SUBTOTAL(9,FH10:FH162)</x:f>
        <x:v>0</x:v>
      </x:c>
      <x:c r="FI7" s="637" t="n">
        <x:f>SUBTOTAL(9,FI10:FI162)</x:f>
        <x:v>0</x:v>
      </x:c>
      <x:c r="FJ7" s="637" t="n">
        <x:f>SUBTOTAL(9,FJ10:FJ162)</x:f>
        <x:v>0</x:v>
      </x:c>
      <x:c r="FK7" s="637" t="n">
        <x:f>SUBTOTAL(9,FK10:FK162)</x:f>
        <x:v>0</x:v>
      </x:c>
      <x:c r="FL7" s="637" t="n">
        <x:f>SUBTOTAL(9,FL10:FL162)</x:f>
        <x:v>0</x:v>
      </x:c>
      <x:c r="FM7" s="637" t="n">
        <x:f>SUBTOTAL(9,FM10:FM162)</x:f>
        <x:v>0</x:v>
      </x:c>
      <x:c r="FN7" s="637" t="n">
        <x:f>SUBTOTAL(9,FN10:FN162)</x:f>
        <x:v>0</x:v>
      </x:c>
      <x:c r="FO7" s="637" t="n">
        <x:f>SUBTOTAL(9,FO10:FO162)</x:f>
        <x:v>0</x:v>
      </x:c>
      <x:c r="FP7" s="637" t="n">
        <x:f>SUBTOTAL(9,FP10:FP162)</x:f>
        <x:v>0</x:v>
      </x:c>
    </x:row>
    <x:row r="8" s="26" customFormat="1" ht="14.25" customHeight="1">
      <x:c r="A8" s="52" t="inlineStr">
        <x:is>
          <x:t xml:space="preserve">NOTES</x:t>
        </x:is>
      </x:c>
      <x:c r="B8" s="639" t="n"/>
      <x:c r="C8" s="51" t="inlineStr">
        <x:is>
          <x:t xml:space="preserve">NET ACRES</x:t>
        </x:is>
      </x:c>
      <x:c r="D8" s="50" t="inlineStr">
        <x:is>
          <x:t xml:space="preserve">OWNERS</x:t>
        </x:is>
      </x:c>
      <x:c r="E8" s="49" t="inlineStr">
        <x:is>
          <x:t xml:space="preserve">TOTAL </x:t>
        </x:is>
      </x:c>
      <x:c r="F8" s="640" t="n"/>
      <x:c r="G8" s="641" t="n"/>
      <x:c r="H8" s="642" t="n"/>
      <x:c r="I8" s="642" t="n"/>
      <x:c r="J8" s="642" t="n"/>
      <x:c r="K8" s="642" t="n"/>
      <x:c r="L8" s="642" t="n"/>
      <x:c r="M8" s="642" t="n"/>
      <x:c r="N8" s="642" t="n"/>
      <x:c r="O8" s="642" t="n"/>
      <x:c r="P8" s="642" t="n"/>
      <x:c r="Q8" s="642" t="n"/>
      <x:c r="R8" s="642" t="n"/>
      <x:c r="S8" s="642" t="n"/>
      <x:c r="T8" s="642" t="n"/>
      <x:c r="U8" s="642" t="n"/>
      <x:c r="V8" s="642" t="n"/>
      <x:c r="W8" s="642" t="n"/>
      <x:c r="X8" s="642" t="n"/>
      <x:c r="Y8" s="642" t="n"/>
      <x:c r="Z8" s="642" t="n"/>
      <x:c r="AA8" s="642" t="n"/>
      <x:c r="AB8" s="642" t="n"/>
      <x:c r="AC8" s="642" t="n"/>
      <x:c r="AD8" s="642" t="n"/>
      <x:c r="AE8" s="642" t="n"/>
      <x:c r="AF8" s="642" t="n"/>
      <x:c r="AG8" s="642" t="n"/>
      <x:c r="AH8" s="642" t="n"/>
      <x:c r="AI8" s="642" t="n"/>
      <x:c r="AJ8" s="642" t="n"/>
      <x:c r="AK8" s="642" t="n"/>
      <x:c r="AL8" s="642" t="n"/>
      <x:c r="AM8" s="642" t="n"/>
      <x:c r="AN8" s="642" t="n"/>
      <x:c r="AO8" s="642" t="n"/>
      <x:c r="AP8" s="642" t="n"/>
      <x:c r="AQ8" s="642" t="n"/>
      <x:c r="AR8" s="642" t="n"/>
      <x:c r="AS8" s="642" t="n"/>
      <x:c r="AT8" s="642" t="n"/>
      <x:c r="AU8" s="642" t="n"/>
      <x:c r="AV8" s="642" t="n"/>
      <x:c r="AW8" s="642" t="n"/>
      <x:c r="AX8" s="642" t="n"/>
      <x:c r="AY8" s="642" t="n"/>
      <x:c r="AZ8" s="642" t="n"/>
      <x:c r="BA8" s="642" t="n"/>
      <x:c r="BB8" s="642" t="n"/>
      <x:c r="BC8" s="642" t="n"/>
      <x:c r="BD8" s="642" t="n"/>
      <x:c r="BE8" s="642" t="n"/>
      <x:c r="BF8" s="642" t="n"/>
      <x:c r="BG8" s="642" t="n"/>
      <x:c r="BH8" s="642" t="n"/>
      <x:c r="BI8" s="642" t="n"/>
      <x:c r="BJ8" s="642" t="n"/>
      <x:c r="BK8" s="642" t="n"/>
      <x:c r="BL8" s="642" t="n"/>
      <x:c r="BM8" s="642" t="n"/>
      <x:c r="BN8" s="642" t="n"/>
      <x:c r="BO8" s="642" t="n"/>
      <x:c r="BP8" s="642" t="n"/>
      <x:c r="BQ8" s="642" t="n"/>
      <x:c r="BR8" s="642" t="n"/>
      <x:c r="BS8" s="642" t="n"/>
      <x:c r="BT8" s="642" t="n"/>
      <x:c r="BU8" s="642" t="n"/>
      <x:c r="BV8" s="642" t="n"/>
      <x:c r="BW8" s="642" t="n"/>
      <x:c r="BX8" s="642" t="n"/>
      <x:c r="BY8" s="642" t="n"/>
      <x:c r="BZ8" s="642" t="n"/>
      <x:c r="CA8" s="642" t="n"/>
      <x:c r="CB8" s="642" t="n"/>
      <x:c r="CC8" s="642" t="n"/>
      <x:c r="CD8" s="642" t="n"/>
      <x:c r="CE8" s="642" t="n"/>
      <x:c r="CF8" s="642" t="n"/>
      <x:c r="CG8" s="642" t="n"/>
      <x:c r="CH8" s="642" t="n"/>
      <x:c r="CI8" s="642" t="n"/>
      <x:c r="CJ8" s="642" t="n"/>
      <x:c r="CK8" s="642" t="n"/>
      <x:c r="CL8" s="642" t="n"/>
      <x:c r="CM8" s="642" t="n"/>
      <x:c r="CN8" s="642" t="n"/>
      <x:c r="CO8" s="642" t="n"/>
      <x:c r="CP8" s="642" t="n"/>
      <x:c r="CQ8" s="642" t="n"/>
      <x:c r="CR8" s="642" t="n"/>
      <x:c r="CS8" s="642" t="n"/>
      <x:c r="CT8" s="642" t="n"/>
      <x:c r="CU8" s="642" t="n"/>
      <x:c r="CV8" s="642" t="n"/>
      <x:c r="CW8" s="642" t="n"/>
      <x:c r="CX8" s="642" t="n"/>
      <x:c r="CY8" s="642" t="n"/>
      <x:c r="CZ8" s="642" t="n"/>
      <x:c r="DA8" s="642" t="n"/>
      <x:c r="DB8" s="642" t="n"/>
      <x:c r="DC8" s="642" t="n"/>
      <x:c r="DD8" s="642" t="n"/>
      <x:c r="DE8" s="642" t="n"/>
      <x:c r="DF8" s="642" t="n"/>
      <x:c r="DG8" s="642" t="n"/>
      <x:c r="DH8" s="642" t="n"/>
      <x:c r="DI8" s="642" t="n"/>
      <x:c r="DJ8" s="642" t="n"/>
      <x:c r="DK8" s="642" t="n"/>
      <x:c r="DL8" s="642" t="n"/>
      <x:c r="DM8" s="642" t="n"/>
      <x:c r="DN8" s="642" t="n"/>
      <x:c r="DO8" s="642" t="n"/>
      <x:c r="DP8" s="642" t="n"/>
      <x:c r="DQ8" s="642" t="n"/>
      <x:c r="DR8" s="642" t="n"/>
      <x:c r="DS8" s="642" t="n"/>
      <x:c r="DT8" s="642" t="n"/>
      <x:c r="DU8" s="642" t="n"/>
      <x:c r="DV8" s="642" t="n"/>
      <x:c r="DW8" s="642" t="n"/>
      <x:c r="DX8" s="642" t="n"/>
      <x:c r="DY8" s="642" t="n"/>
      <x:c r="DZ8" s="642" t="n"/>
      <x:c r="EA8" s="642" t="n"/>
      <x:c r="EB8" s="642" t="n"/>
      <x:c r="EC8" s="642" t="n"/>
      <x:c r="ED8" s="642" t="n"/>
      <x:c r="EE8" s="642" t="n"/>
      <x:c r="EF8" s="642" t="n"/>
      <x:c r="EG8" s="642" t="n"/>
      <x:c r="EH8" s="642" t="n"/>
      <x:c r="EI8" s="642" t="n"/>
      <x:c r="EJ8" s="642" t="n"/>
      <x:c r="EK8" s="642" t="n"/>
      <x:c r="EL8" s="642" t="n"/>
      <x:c r="EM8" s="642" t="n"/>
      <x:c r="EN8" s="642" t="n"/>
      <x:c r="EO8" s="642" t="n"/>
      <x:c r="EP8" s="642" t="n"/>
      <x:c r="EQ8" s="642" t="n"/>
      <x:c r="ER8" s="642" t="n"/>
      <x:c r="ES8" s="642" t="n"/>
      <x:c r="ET8" s="642" t="n"/>
      <x:c r="EU8" s="642" t="n"/>
      <x:c r="EV8" s="642" t="n"/>
      <x:c r="EW8" s="642" t="n"/>
      <x:c r="EX8" s="642" t="n"/>
      <x:c r="EY8" s="642" t="n"/>
      <x:c r="EZ8" s="642" t="n"/>
      <x:c r="FA8" s="642" t="n"/>
      <x:c r="FB8" s="642" t="n"/>
      <x:c r="FC8" s="642" t="n"/>
      <x:c r="FD8" s="642" t="n"/>
      <x:c r="FE8" s="642" t="n"/>
      <x:c r="FF8" s="642" t="n"/>
      <x:c r="FG8" s="642" t="n"/>
      <x:c r="FH8" s="642" t="n"/>
      <x:c r="FI8" s="642" t="n"/>
      <x:c r="FJ8" s="642" t="n"/>
      <x:c r="FK8" s="642" t="n"/>
      <x:c r="FL8" s="642" t="n"/>
      <x:c r="FM8" s="642" t="n"/>
      <x:c r="FN8" s="642" t="n"/>
      <x:c r="FO8" s="642" t="n"/>
      <x:c r="FP8" s="642" t="n"/>
    </x:row>
    <x:row r="9" s="40" customFormat="1" ht="12.75" customHeight="1">
      <x:c r="A9" s="48" t="n"/>
      <x:c r="B9" s="47" t="n"/>
      <x:c r="C9" s="45" t="n"/>
      <x:c r="D9" s="92" t="n"/>
      <x:c r="E9" s="45" t="n"/>
      <x:c r="F9" s="44" t="n"/>
      <x:c r="G9" s="43" t="n"/>
      <x:c r="H9" s="296" t="n"/>
      <x:c r="I9" s="296" t="n"/>
      <x:c r="J9" s="296" t="n"/>
      <x:c r="K9" s="296" t="n"/>
      <x:c r="L9" s="296" t="n"/>
      <x:c r="M9" s="296" t="n"/>
      <x:c r="N9" s="296" t="n"/>
      <x:c r="O9" s="296" t="n"/>
      <x:c r="P9" s="296" t="n"/>
      <x:c r="Q9" s="296" t="n"/>
      <x:c r="R9" s="296" t="n"/>
      <x:c r="S9" s="296" t="n"/>
      <x:c r="T9" s="296" t="n"/>
      <x:c r="U9" s="296" t="n"/>
      <x:c r="V9" s="296" t="n"/>
      <x:c r="W9" s="296" t="n"/>
      <x:c r="X9" s="296" t="n"/>
      <x:c r="Y9" s="296" t="n"/>
      <x:c r="Z9" s="296" t="n"/>
      <x:c r="AA9" s="296" t="n"/>
      <x:c r="AB9" s="296" t="n"/>
      <x:c r="AC9" s="296" t="n"/>
      <x:c r="AD9" s="296" t="n"/>
      <x:c r="AE9" s="296" t="n"/>
      <x:c r="AF9" s="296" t="n"/>
      <x:c r="AG9" s="296" t="n"/>
      <x:c r="AH9" s="296" t="n"/>
      <x:c r="AI9" s="296" t="n"/>
      <x:c r="AJ9" s="296" t="n"/>
      <x:c r="AK9" s="296" t="n"/>
      <x:c r="AL9" s="296" t="n"/>
      <x:c r="AM9" s="296" t="n"/>
      <x:c r="AN9" s="296" t="n"/>
      <x:c r="AO9" s="296" t="n"/>
      <x:c r="AP9" s="296" t="n"/>
      <x:c r="AQ9" s="296" t="n"/>
      <x:c r="AR9" s="296" t="n"/>
      <x:c r="AS9" s="296" t="n"/>
      <x:c r="AT9" s="296" t="n"/>
      <x:c r="AU9" s="296" t="n"/>
      <x:c r="AV9" s="296" t="n"/>
      <x:c r="AW9" s="296" t="n"/>
      <x:c r="AX9" s="296" t="n"/>
      <x:c r="AY9" s="296" t="n"/>
      <x:c r="AZ9" s="296" t="n"/>
      <x:c r="BA9" s="296" t="n"/>
      <x:c r="BB9" s="296" t="n"/>
      <x:c r="BC9" s="296" t="n"/>
      <x:c r="BD9" s="296" t="n"/>
      <x:c r="BE9" s="296" t="n"/>
      <x:c r="BF9" s="296" t="n"/>
      <x:c r="BG9" s="296" t="n"/>
      <x:c r="BH9" s="296" t="n"/>
      <x:c r="BI9" s="296" t="n"/>
      <x:c r="BJ9" s="296" t="n"/>
      <x:c r="BK9" s="296" t="n"/>
      <x:c r="BL9" s="296" t="n"/>
      <x:c r="BM9" s="296" t="n"/>
      <x:c r="BN9" s="296" t="n"/>
      <x:c r="BO9" s="296" t="n"/>
      <x:c r="BP9" s="296" t="n"/>
      <x:c r="BQ9" s="296" t="n"/>
      <x:c r="BR9" s="296" t="n"/>
      <x:c r="BS9" s="296" t="n"/>
      <x:c r="BT9" s="296" t="n"/>
      <x:c r="BU9" s="296" t="n"/>
      <x:c r="BV9" s="296" t="n"/>
      <x:c r="BW9" s="296" t="n"/>
      <x:c r="BX9" s="296" t="n"/>
      <x:c r="BY9" s="296" t="n"/>
      <x:c r="BZ9" s="296" t="n"/>
      <x:c r="CA9" s="296" t="n"/>
      <x:c r="CB9" s="296" t="n"/>
      <x:c r="CC9" s="296" t="n"/>
      <x:c r="CD9" s="296" t="n"/>
      <x:c r="CE9" s="41" t="n"/>
      <x:c r="CF9" s="41" t="n"/>
      <x:c r="CG9" s="41" t="n"/>
      <x:c r="CH9" s="41" t="n"/>
      <x:c r="CI9" s="41" t="n"/>
      <x:c r="CJ9" s="41" t="n"/>
      <x:c r="CK9" s="41" t="n"/>
      <x:c r="CL9" s="41" t="n"/>
      <x:c r="CM9" s="41" t="n"/>
      <x:c r="CN9" s="41" t="n"/>
      <x:c r="CO9" s="41" t="n"/>
      <x:c r="CP9" s="41" t="n"/>
      <x:c r="CQ9" s="41" t="n"/>
      <x:c r="CR9" s="41" t="n"/>
      <x:c r="CS9" s="41" t="n"/>
      <x:c r="CT9" s="41" t="n"/>
      <x:c r="CU9" s="41" t="n"/>
      <x:c r="CV9" s="41" t="n"/>
      <x:c r="CW9" s="41" t="n"/>
      <x:c r="CX9" s="41" t="n"/>
      <x:c r="CY9" s="41" t="n"/>
      <x:c r="CZ9" s="41" t="n"/>
      <x:c r="DA9" s="41" t="n"/>
      <x:c r="DB9" s="41" t="n"/>
      <x:c r="DC9" s="41" t="n"/>
      <x:c r="DD9" s="41" t="n"/>
      <x:c r="DE9" s="41" t="n"/>
      <x:c r="DF9" s="41" t="n"/>
      <x:c r="DG9" s="41" t="n"/>
      <x:c r="DH9" s="41" t="n"/>
      <x:c r="DI9" s="41" t="n"/>
      <x:c r="DJ9" s="41" t="n"/>
      <x:c r="DK9" s="41" t="n"/>
      <x:c r="DL9" s="41" t="n"/>
      <x:c r="DM9" s="41" t="n"/>
      <x:c r="DN9" s="41" t="n"/>
      <x:c r="DO9" s="41" t="n"/>
      <x:c r="DP9" s="41" t="n"/>
      <x:c r="DQ9" s="41" t="n"/>
      <x:c r="DR9" s="41" t="n"/>
      <x:c r="DS9" s="41" t="n"/>
      <x:c r="DT9" s="41" t="n"/>
      <x:c r="DU9" s="41" t="n"/>
      <x:c r="DV9" s="41" t="n"/>
      <x:c r="DW9" s="41" t="n"/>
      <x:c r="DX9" s="41" t="n"/>
      <x:c r="DY9" s="41" t="n"/>
      <x:c r="DZ9" s="41" t="n"/>
      <x:c r="EA9" s="41" t="n"/>
      <x:c r="EB9" s="41" t="n"/>
      <x:c r="EC9" s="41" t="n"/>
      <x:c r="ED9" s="41" t="n"/>
      <x:c r="EE9" s="41" t="n"/>
      <x:c r="EF9" s="41" t="n"/>
      <x:c r="EG9" s="41" t="n"/>
      <x:c r="EH9" s="41" t="n"/>
      <x:c r="EI9" s="41" t="n"/>
      <x:c r="EJ9" s="41" t="n"/>
      <x:c r="EK9" s="41" t="n"/>
      <x:c r="EL9" s="41" t="n"/>
      <x:c r="EM9" s="41" t="n"/>
      <x:c r="EN9" s="41" t="n"/>
      <x:c r="EO9" s="41" t="n"/>
      <x:c r="EP9" s="41" t="n"/>
      <x:c r="EQ9" s="41" t="n"/>
      <x:c r="ER9" s="41" t="n"/>
      <x:c r="ES9" s="41" t="n"/>
      <x:c r="ET9" s="41" t="n"/>
      <x:c r="EU9" s="41" t="n"/>
      <x:c r="EV9" s="41" t="n"/>
      <x:c r="EW9" s="41" t="n"/>
      <x:c r="EX9" s="41" t="n"/>
      <x:c r="EY9" s="41" t="n"/>
      <x:c r="EZ9" s="41" t="n"/>
      <x:c r="FA9" s="41" t="n"/>
      <x:c r="FB9" s="41" t="n"/>
      <x:c r="FC9" s="41" t="n"/>
      <x:c r="FD9" s="41" t="n"/>
      <x:c r="FE9" s="41" t="n"/>
      <x:c r="FF9" s="41" t="n"/>
      <x:c r="FG9" s="41" t="n"/>
      <x:c r="FH9" s="41" t="n"/>
      <x:c r="FI9" s="41" t="n"/>
      <x:c r="FJ9" s="41" t="n"/>
      <x:c r="FK9" s="41" t="n"/>
      <x:c r="FL9" s="41" t="n"/>
      <x:c r="FM9" s="41" t="n"/>
      <x:c r="FN9" s="41" t="n"/>
      <x:c r="FO9" s="41" t="n"/>
      <x:c r="FP9" s="41" t="n"/>
    </x:row>
    <x:row r="10" s="27" customFormat="1">
      <x:c r="A10" s="38" t="n"/>
      <x:c r="B10" s="39" t="n"/>
      <x:c r="C10" s="90" t="inlineStr">
        <x:is>
          <x:t xml:space="preserve">N/A</x:t>
        </x:is>
      </x:c>
      <x:c r="D10" s="662" t="inlineStr">
        <x:is>
          <x:t xml:space="preserve">Ocean Energy, Inc.
401 South Boston Avenue, Suite 1900
Tulsa, OK 74103</x:t>
        </x:is>
      </x:c>
      <x:c r="E10" s="91" t="n">
        <x:f>SUM(G10:HI10)</x:f>
        <x:v>-1</x:v>
      </x:c>
      <x:c r="F10" s="35" t="n"/>
      <x:c r="G10" s="129" t="n"/>
      <x:c r="H10" s="298" t="n">
        <x:v>-1</x:v>
      </x:c>
      <x:c r="I10" s="298" t="n"/>
      <x:c r="J10" s="298" t="n"/>
      <x:c r="K10" s="298" t="n"/>
      <x:c r="L10" s="298" t="n"/>
      <x:c r="M10" s="298" t="n"/>
      <x:c r="N10" s="299" t="n"/>
      <x:c r="O10" s="299" t="n"/>
      <x:c r="P10" s="299" t="n"/>
      <x:c r="Q10" s="299" t="n"/>
      <x:c r="R10" s="299" t="n"/>
      <x:c r="S10" s="299" t="n"/>
      <x:c r="T10" s="299" t="n"/>
      <x:c r="U10" s="299" t="n"/>
      <x:c r="V10" s="299" t="n"/>
      <x:c r="W10" s="299" t="n"/>
      <x:c r="X10" s="299" t="n"/>
      <x:c r="Y10" s="299" t="n"/>
      <x:c r="Z10" s="299" t="n"/>
      <x:c r="AA10" s="299" t="n"/>
      <x:c r="AB10" s="299" t="n"/>
      <x:c r="AC10" s="299" t="n"/>
      <x:c r="AD10" s="299" t="n"/>
      <x:c r="AE10" s="299" t="n"/>
      <x:c r="AF10" s="299" t="n"/>
      <x:c r="AG10" s="299" t="n"/>
      <x:c r="AH10" s="299" t="n"/>
      <x:c r="AI10" s="299" t="n"/>
      <x:c r="AJ10" s="299" t="n"/>
      <x:c r="AK10" s="299" t="n"/>
      <x:c r="AL10" s="299" t="n"/>
      <x:c r="AM10" s="299" t="n"/>
      <x:c r="AN10" s="299" t="n"/>
      <x:c r="AO10" s="299" t="n"/>
      <x:c r="AP10" s="299" t="n"/>
      <x:c r="AQ10" s="299" t="n"/>
      <x:c r="AR10" s="299" t="n"/>
      <x:c r="AS10" s="299" t="n"/>
      <x:c r="AT10" s="299" t="n"/>
      <x:c r="AU10" s="299" t="n"/>
      <x:c r="AV10" s="299" t="n"/>
      <x:c r="AW10" s="299" t="n"/>
      <x:c r="AX10" s="299" t="n"/>
      <x:c r="AY10" s="299" t="n"/>
      <x:c r="AZ10" s="299" t="n"/>
      <x:c r="BA10" s="299" t="n"/>
      <x:c r="BB10" s="299" t="n"/>
      <x:c r="BC10" s="299" t="n"/>
      <x:c r="BD10" s="299" t="n"/>
      <x:c r="BE10" s="299" t="n"/>
      <x:c r="BF10" s="299" t="n"/>
      <x:c r="BG10" s="299" t="n"/>
      <x:c r="BH10" s="299" t="n"/>
      <x:c r="BI10" s="299" t="n"/>
      <x:c r="BJ10" s="299" t="n"/>
      <x:c r="BK10" s="299" t="n"/>
      <x:c r="BL10" s="299" t="n"/>
      <x:c r="BM10" s="299" t="n"/>
      <x:c r="BN10" s="299" t="n"/>
      <x:c r="BO10" s="299" t="n"/>
      <x:c r="BP10" s="299" t="n"/>
      <x:c r="BQ10" s="299" t="n"/>
      <x:c r="BR10" s="299" t="n"/>
      <x:c r="BS10" s="299" t="n"/>
      <x:c r="BT10" s="299" t="n"/>
      <x:c r="BU10" s="299" t="n"/>
      <x:c r="BV10" s="299" t="n"/>
      <x:c r="BW10" s="299" t="n"/>
      <x:c r="BX10" s="299" t="n"/>
      <x:c r="BY10" s="299" t="n"/>
      <x:c r="BZ10" s="299" t="n"/>
      <x:c r="CA10" s="299" t="n"/>
      <x:c r="CB10" s="299" t="n"/>
      <x:c r="CC10" s="299" t="n"/>
      <x:c r="CD10" s="299" t="n"/>
      <x:c r="CE10" s="28" t="n"/>
      <x:c r="CF10" s="28" t="n"/>
      <x:c r="CG10" s="28" t="n"/>
      <x:c r="CH10" s="28" t="n"/>
      <x:c r="CI10" s="28" t="n"/>
      <x:c r="CJ10" s="28" t="n"/>
      <x:c r="CK10" s="28" t="n"/>
      <x:c r="CL10" s="28" t="n"/>
      <x:c r="CM10" s="28" t="n"/>
      <x:c r="CN10" s="28" t="n"/>
      <x:c r="CO10" s="28" t="n"/>
      <x:c r="CP10" s="28" t="n"/>
      <x:c r="CQ10" s="28" t="n"/>
      <x:c r="CR10" s="28" t="n"/>
      <x:c r="CS10" s="28" t="n"/>
      <x:c r="CT10" s="28" t="n"/>
      <x:c r="CU10" s="28" t="n"/>
      <x:c r="CV10" s="28" t="n"/>
      <x:c r="CW10" s="28" t="n"/>
      <x:c r="CX10" s="28" t="n"/>
      <x:c r="CY10" s="28" t="n"/>
      <x:c r="CZ10" s="28" t="n"/>
      <x:c r="DA10" s="28" t="n"/>
      <x:c r="DB10" s="28" t="n"/>
      <x:c r="DC10" s="28" t="n"/>
      <x:c r="DD10" s="28" t="n"/>
      <x:c r="DE10" s="28" t="n"/>
      <x:c r="DF10" s="28" t="n"/>
      <x:c r="DG10" s="28" t="n"/>
      <x:c r="DH10" s="28" t="n"/>
      <x:c r="DI10" s="28" t="n"/>
      <x:c r="DJ10" s="28" t="n"/>
      <x:c r="DK10" s="28" t="n"/>
      <x:c r="DL10" s="28" t="n"/>
      <x:c r="DM10" s="28" t="n"/>
      <x:c r="DN10" s="28" t="n"/>
      <x:c r="DO10" s="28" t="n"/>
      <x:c r="DP10" s="28" t="n"/>
      <x:c r="DQ10" s="28" t="n"/>
      <x:c r="DR10" s="28" t="n"/>
      <x:c r="DS10" s="28" t="n"/>
      <x:c r="DT10" s="28" t="n"/>
      <x:c r="DU10" s="28" t="n"/>
      <x:c r="DV10" s="28" t="n"/>
      <x:c r="DW10" s="28" t="n"/>
      <x:c r="DX10" s="28" t="n"/>
      <x:c r="DY10" s="28" t="n"/>
      <x:c r="DZ10" s="28" t="n"/>
      <x:c r="EA10" s="28" t="n"/>
      <x:c r="EB10" s="28" t="n"/>
      <x:c r="EC10" s="28" t="n"/>
      <x:c r="ED10" s="28" t="n"/>
      <x:c r="EE10" s="28" t="n"/>
      <x:c r="EF10" s="28" t="n"/>
      <x:c r="EG10" s="28" t="n"/>
      <x:c r="EH10" s="28" t="n"/>
      <x:c r="EI10" s="28" t="n"/>
      <x:c r="EJ10" s="28" t="n"/>
      <x:c r="EK10" s="28" t="n"/>
      <x:c r="EL10" s="28" t="n"/>
      <x:c r="EM10" s="28" t="n"/>
      <x:c r="EN10" s="28" t="n"/>
      <x:c r="EO10" s="28" t="n"/>
      <x:c r="EP10" s="28" t="n"/>
      <x:c r="EQ10" s="28" t="n"/>
      <x:c r="ER10" s="28" t="n"/>
      <x:c r="ES10" s="28" t="n"/>
      <x:c r="ET10" s="28" t="n"/>
      <x:c r="EU10" s="28" t="n"/>
      <x:c r="EV10" s="28" t="n"/>
      <x:c r="EW10" s="28" t="n"/>
      <x:c r="EX10" s="28" t="n"/>
      <x:c r="EY10" s="28" t="n"/>
      <x:c r="EZ10" s="28" t="n"/>
      <x:c r="FA10" s="28" t="n"/>
      <x:c r="FB10" s="28" t="n"/>
      <x:c r="FC10" s="28" t="n"/>
      <x:c r="FD10" s="28" t="n"/>
      <x:c r="FE10" s="28" t="n"/>
      <x:c r="FF10" s="28" t="n"/>
      <x:c r="FG10" s="28" t="n"/>
      <x:c r="FH10" s="28" t="n"/>
      <x:c r="FI10" s="28" t="n"/>
      <x:c r="FJ10" s="28" t="n"/>
      <x:c r="FK10" s="28" t="n"/>
      <x:c r="FL10" s="28" t="n"/>
      <x:c r="FM10" s="28" t="n"/>
      <x:c r="FN10" s="28" t="n"/>
      <x:c r="FO10" s="28" t="n"/>
      <x:c r="FP10" s="28" t="n"/>
    </x:row>
    <x:row r="11" s="27" customFormat="1">
      <x:c r="A11" s="38" t="n"/>
      <x:c r="B11" s="39" t="n"/>
      <x:c r="C11" s="90" t="inlineStr">
        <x:is>
          <x:t xml:space="preserve">N/A</x:t>
        </x:is>
      </x:c>
      <x:c r="D11" s="663" t="inlineStr">
        <x:is>
          <x:t xml:space="preserve">Ocean Energy Resources, Inc.
401 South Boston Avenue, Suite 1900
Tulsa, OK 74103</x:t>
        </x:is>
      </x:c>
      <x:c r="E11" s="91" t="n">
        <x:f>SUM(G11:HI11)</x:f>
        <x:v>1</x:v>
      </x:c>
      <x:c r="F11" s="35" t="n"/>
      <x:c r="G11" s="129" t="n"/>
      <x:c r="H11" s="298" t="n">
        <x:v>1</x:v>
      </x:c>
      <x:c r="I11" s="298" t="n"/>
      <x:c r="J11" s="298" t="n"/>
      <x:c r="K11" s="301" t="n"/>
      <x:c r="L11" s="298" t="n"/>
      <x:c r="M11" s="298" t="n"/>
      <x:c r="N11" s="299" t="n"/>
      <x:c r="O11" s="299" t="n"/>
      <x:c r="P11" s="299" t="n"/>
      <x:c r="Q11" s="302" t="n"/>
      <x:c r="R11" s="299" t="n"/>
      <x:c r="S11" s="299" t="n"/>
      <x:c r="T11" s="299" t="n"/>
      <x:c r="U11" s="299" t="n"/>
      <x:c r="V11" s="299" t="n"/>
      <x:c r="W11" s="299" t="n"/>
      <x:c r="X11" s="299" t="n"/>
      <x:c r="Y11" s="299" t="n"/>
      <x:c r="Z11" s="299" t="n"/>
      <x:c r="AA11" s="299" t="n"/>
      <x:c r="AB11" s="299" t="n"/>
      <x:c r="AC11" s="299" t="n"/>
      <x:c r="AD11" s="299" t="n"/>
      <x:c r="AE11" s="299" t="n"/>
      <x:c r="AF11" s="299" t="n"/>
      <x:c r="AG11" s="299" t="n"/>
      <x:c r="AH11" s="299" t="n"/>
      <x:c r="AI11" s="299" t="n"/>
      <x:c r="AJ11" s="299" t="n"/>
      <x:c r="AK11" s="299" t="n"/>
      <x:c r="AL11" s="299" t="n"/>
      <x:c r="AM11" s="299" t="n"/>
      <x:c r="AN11" s="299" t="n"/>
      <x:c r="AO11" s="299" t="n"/>
      <x:c r="AP11" s="299" t="n"/>
      <x:c r="AQ11" s="299" t="n"/>
      <x:c r="AR11" s="299" t="n"/>
      <x:c r="AS11" s="299" t="n"/>
      <x:c r="AT11" s="299" t="n"/>
      <x:c r="AU11" s="299" t="n"/>
      <x:c r="AV11" s="299" t="n"/>
      <x:c r="AW11" s="299" t="n"/>
      <x:c r="AX11" s="299" t="n"/>
      <x:c r="AY11" s="299" t="n"/>
      <x:c r="AZ11" s="299" t="n"/>
      <x:c r="BA11" s="299" t="n"/>
      <x:c r="BB11" s="299" t="n"/>
      <x:c r="BC11" s="299" t="n"/>
      <x:c r="BD11" s="299" t="n"/>
      <x:c r="BE11" s="299" t="n"/>
      <x:c r="BF11" s="299" t="n"/>
      <x:c r="BG11" s="299" t="n"/>
      <x:c r="BH11" s="299" t="n"/>
      <x:c r="BI11" s="299" t="n"/>
      <x:c r="BJ11" s="299" t="n"/>
      <x:c r="BK11" s="299" t="n"/>
      <x:c r="BL11" s="299" t="n"/>
      <x:c r="BM11" s="299" t="n"/>
      <x:c r="BN11" s="299" t="n"/>
      <x:c r="BO11" s="299" t="n"/>
      <x:c r="BP11" s="299" t="n"/>
      <x:c r="BQ11" s="299" t="n"/>
      <x:c r="BR11" s="299" t="n"/>
      <x:c r="BS11" s="299" t="n"/>
      <x:c r="BT11" s="299" t="n"/>
      <x:c r="BU11" s="299" t="n"/>
      <x:c r="BV11" s="299" t="n"/>
      <x:c r="BW11" s="299" t="n"/>
      <x:c r="BX11" s="299" t="n"/>
      <x:c r="BY11" s="299" t="n"/>
      <x:c r="BZ11" s="299" t="n"/>
      <x:c r="CA11" s="299" t="n"/>
      <x:c r="CB11" s="299" t="n"/>
      <x:c r="CC11" s="299" t="n"/>
      <x:c r="CD11" s="299" t="n"/>
      <x:c r="CE11" s="28" t="n"/>
      <x:c r="CF11" s="28" t="n"/>
      <x:c r="CG11" s="28" t="n"/>
      <x:c r="CH11" s="28" t="n"/>
      <x:c r="CI11" s="28" t="n"/>
      <x:c r="CJ11" s="28" t="n"/>
      <x:c r="CK11" s="28" t="n"/>
      <x:c r="CL11" s="28" t="n"/>
      <x:c r="CM11" s="28" t="n"/>
      <x:c r="CN11" s="28" t="n"/>
      <x:c r="CO11" s="28" t="n"/>
      <x:c r="CP11" s="28" t="n"/>
      <x:c r="CQ11" s="28" t="n"/>
      <x:c r="CR11" s="28" t="n"/>
      <x:c r="CS11" s="28" t="n"/>
      <x:c r="CT11" s="28" t="n"/>
      <x:c r="CU11" s="28" t="n"/>
      <x:c r="CV11" s="28" t="n"/>
      <x:c r="CW11" s="28" t="n"/>
      <x:c r="CX11" s="28" t="n"/>
      <x:c r="CY11" s="28" t="n"/>
      <x:c r="CZ11" s="28" t="n"/>
      <x:c r="DA11" s="28" t="n"/>
      <x:c r="DB11" s="28" t="n"/>
      <x:c r="DC11" s="28" t="n"/>
      <x:c r="DD11" s="28" t="n"/>
      <x:c r="DE11" s="28" t="n"/>
      <x:c r="DF11" s="28" t="n"/>
      <x:c r="DG11" s="28" t="n"/>
      <x:c r="DH11" s="28" t="n"/>
      <x:c r="DI11" s="28" t="n"/>
      <x:c r="DJ11" s="28" t="n"/>
      <x:c r="DK11" s="28" t="n"/>
      <x:c r="DL11" s="28" t="n"/>
      <x:c r="DM11" s="28" t="n"/>
      <x:c r="DN11" s="28" t="n"/>
      <x:c r="DO11" s="28" t="n"/>
      <x:c r="DP11" s="28" t="n"/>
      <x:c r="DQ11" s="28" t="n"/>
      <x:c r="DR11" s="28" t="n"/>
      <x:c r="DS11" s="28" t="n"/>
      <x:c r="DT11" s="28" t="n"/>
      <x:c r="DU11" s="28" t="n"/>
      <x:c r="DV11" s="28" t="n"/>
      <x:c r="DW11" s="28" t="n"/>
      <x:c r="DX11" s="28" t="n"/>
      <x:c r="DY11" s="28" t="n"/>
      <x:c r="DZ11" s="28" t="n"/>
      <x:c r="EA11" s="28" t="n"/>
      <x:c r="EB11" s="28" t="n"/>
      <x:c r="EC11" s="28" t="n"/>
      <x:c r="ED11" s="28" t="n"/>
      <x:c r="EE11" s="28" t="n"/>
      <x:c r="EF11" s="28" t="n"/>
      <x:c r="EG11" s="28" t="n"/>
      <x:c r="EH11" s="28" t="n"/>
      <x:c r="EI11" s="28" t="n"/>
      <x:c r="EJ11" s="28" t="n"/>
      <x:c r="EK11" s="28" t="n"/>
      <x:c r="EL11" s="28" t="n"/>
      <x:c r="EM11" s="28" t="n"/>
      <x:c r="EN11" s="28" t="n"/>
      <x:c r="EO11" s="28" t="n"/>
      <x:c r="EP11" s="28" t="n"/>
      <x:c r="EQ11" s="28" t="n"/>
      <x:c r="ER11" s="28" t="n"/>
      <x:c r="ES11" s="28" t="n"/>
      <x:c r="ET11" s="28" t="n"/>
      <x:c r="EU11" s="28" t="n"/>
      <x:c r="EV11" s="28" t="n"/>
      <x:c r="EW11" s="28" t="n"/>
      <x:c r="EX11" s="28" t="n"/>
      <x:c r="EY11" s="28" t="n"/>
      <x:c r="EZ11" s="28" t="n"/>
      <x:c r="FA11" s="28" t="n"/>
      <x:c r="FB11" s="28" t="n"/>
      <x:c r="FC11" s="28" t="n"/>
      <x:c r="FD11" s="28" t="n"/>
      <x:c r="FE11" s="28" t="n"/>
      <x:c r="FF11" s="28" t="n"/>
      <x:c r="FG11" s="28" t="n"/>
      <x:c r="FH11" s="28" t="n"/>
      <x:c r="FI11" s="28" t="n"/>
      <x:c r="FJ11" s="28" t="n"/>
      <x:c r="FK11" s="28" t="n"/>
      <x:c r="FL11" s="28" t="n"/>
      <x:c r="FM11" s="28" t="n"/>
      <x:c r="FN11" s="28" t="n"/>
      <x:c r="FO11" s="28" t="n"/>
      <x:c r="FP11" s="28" t="n"/>
    </x:row>
    <x:row r="12" s="27" customFormat="1">
      <x:c r="A12" s="38" t="n"/>
      <x:c r="B12" s="39" t="n"/>
      <x:c r="C12" s="90" t="inlineStr">
        <x:is>
          <x:t xml:space="preserve">N/A</x:t>
        </x:is>
      </x:c>
      <x:c r="D12" s="663" t="inlineStr">
        <x:is>
          <x:t xml:space="preserve">Devon Energy Production Co.
20 N. Broadway, Suite 1500,
Oklahoma City, OK 73102</x:t>
        </x:is>
      </x:c>
      <x:c r="E12" s="91" t="n">
        <x:f>SUM(G12:HI12)</x:f>
        <x:v>-1</x:v>
      </x:c>
      <x:c r="F12" s="35" t="n"/>
      <x:c r="G12" s="129" t="n"/>
      <x:c r="H12" s="298" t="n"/>
      <x:c r="I12" s="301" t="n">
        <x:v>-1</x:v>
      </x:c>
      <x:c r="J12" s="300" t="n"/>
      <x:c r="K12" s="300" t="n"/>
      <x:c r="L12" s="300" t="n"/>
      <x:c r="M12" s="298" t="n"/>
      <x:c r="N12" s="299" t="n"/>
      <x:c r="O12" s="299" t="n"/>
      <x:c r="P12" s="299" t="n"/>
      <x:c r="Q12" s="299" t="n"/>
      <x:c r="R12" s="299" t="n"/>
      <x:c r="S12" s="299" t="n"/>
      <x:c r="T12" s="299" t="n"/>
      <x:c r="U12" s="299" t="n"/>
      <x:c r="V12" s="299" t="n"/>
      <x:c r="W12" s="299" t="n"/>
      <x:c r="X12" s="299" t="n"/>
      <x:c r="Y12" s="299" t="n"/>
      <x:c r="Z12" s="299" t="n"/>
      <x:c r="AA12" s="299" t="n"/>
      <x:c r="AB12" s="299" t="n"/>
      <x:c r="AC12" s="299" t="n"/>
      <x:c r="AD12" s="299" t="n"/>
      <x:c r="AE12" s="299" t="n"/>
      <x:c r="AF12" s="299" t="n"/>
      <x:c r="AG12" s="299" t="n"/>
      <x:c r="AH12" s="299" t="n"/>
      <x:c r="AI12" s="299" t="n"/>
      <x:c r="AJ12" s="299" t="n"/>
      <x:c r="AK12" s="299" t="n"/>
      <x:c r="AL12" s="299" t="n"/>
      <x:c r="AM12" s="299" t="n"/>
      <x:c r="AN12" s="299" t="n"/>
      <x:c r="AO12" s="299" t="n"/>
      <x:c r="AP12" s="299" t="n"/>
      <x:c r="AQ12" s="299" t="n"/>
      <x:c r="AR12" s="299" t="n"/>
      <x:c r="AS12" s="299" t="n"/>
      <x:c r="AT12" s="299" t="n"/>
      <x:c r="AU12" s="299" t="n"/>
      <x:c r="AV12" s="299" t="n"/>
      <x:c r="AW12" s="299" t="n"/>
      <x:c r="AX12" s="299" t="n"/>
      <x:c r="AY12" s="299" t="n"/>
      <x:c r="AZ12" s="299" t="n"/>
      <x:c r="BA12" s="299" t="n"/>
      <x:c r="BB12" s="299" t="n"/>
      <x:c r="BC12" s="299" t="n"/>
      <x:c r="BD12" s="299" t="n"/>
      <x:c r="BE12" s="299" t="n"/>
      <x:c r="BF12" s="299" t="n"/>
      <x:c r="BG12" s="299" t="n"/>
      <x:c r="BH12" s="299" t="n"/>
      <x:c r="BI12" s="299" t="n"/>
      <x:c r="BJ12" s="299" t="n"/>
      <x:c r="BK12" s="299" t="n"/>
      <x:c r="BL12" s="299" t="n"/>
      <x:c r="BM12" s="299" t="n"/>
      <x:c r="BN12" s="299" t="n"/>
      <x:c r="BO12" s="299" t="n"/>
      <x:c r="BP12" s="299" t="n"/>
      <x:c r="BQ12" s="299" t="n"/>
      <x:c r="BR12" s="299" t="n"/>
      <x:c r="BS12" s="299" t="n"/>
      <x:c r="BT12" s="299" t="n"/>
      <x:c r="BU12" s="299" t="n"/>
      <x:c r="BV12" s="299" t="n"/>
      <x:c r="BW12" s="299" t="n"/>
      <x:c r="BX12" s="299" t="n"/>
      <x:c r="BY12" s="299" t="n"/>
      <x:c r="BZ12" s="299" t="n"/>
      <x:c r="CA12" s="299" t="n"/>
      <x:c r="CB12" s="299" t="n"/>
      <x:c r="CC12" s="299" t="n"/>
      <x:c r="CD12" s="299" t="n"/>
      <x:c r="CE12" s="28" t="n"/>
      <x:c r="CF12" s="28" t="n"/>
      <x:c r="CG12" s="28" t="n"/>
      <x:c r="CH12" s="28" t="n"/>
      <x:c r="CI12" s="28" t="n"/>
      <x:c r="CJ12" s="28" t="n"/>
      <x:c r="CK12" s="28" t="n"/>
      <x:c r="CL12" s="28" t="n"/>
      <x:c r="CM12" s="28" t="n"/>
      <x:c r="CN12" s="28" t="n"/>
      <x:c r="CO12" s="28" t="n"/>
      <x:c r="CP12" s="28" t="n"/>
      <x:c r="CQ12" s="28" t="n"/>
      <x:c r="CR12" s="28" t="n"/>
      <x:c r="CS12" s="28" t="n"/>
      <x:c r="CT12" s="28" t="n"/>
      <x:c r="CU12" s="28" t="n"/>
      <x:c r="CV12" s="28" t="n"/>
      <x:c r="CW12" s="28" t="n"/>
      <x:c r="CX12" s="28" t="n"/>
      <x:c r="CY12" s="28" t="n"/>
      <x:c r="CZ12" s="28" t="n"/>
      <x:c r="DA12" s="28" t="n"/>
      <x:c r="DB12" s="28" t="n"/>
      <x:c r="DC12" s="28" t="n"/>
      <x:c r="DD12" s="28" t="n"/>
      <x:c r="DE12" s="28" t="n"/>
      <x:c r="DF12" s="28" t="n"/>
      <x:c r="DG12" s="28" t="n"/>
      <x:c r="DH12" s="28" t="n"/>
      <x:c r="DI12" s="28" t="n"/>
      <x:c r="DJ12" s="28" t="n"/>
      <x:c r="DK12" s="28" t="n"/>
      <x:c r="DL12" s="28" t="n"/>
      <x:c r="DM12" s="28" t="n"/>
      <x:c r="DN12" s="28" t="n"/>
      <x:c r="DO12" s="28" t="n"/>
      <x:c r="DP12" s="28" t="n"/>
      <x:c r="DQ12" s="28" t="n"/>
      <x:c r="DR12" s="28" t="n"/>
      <x:c r="DS12" s="28" t="n"/>
      <x:c r="DT12" s="28" t="n"/>
      <x:c r="DU12" s="28" t="n"/>
      <x:c r="DV12" s="28" t="n"/>
      <x:c r="DW12" s="28" t="n"/>
      <x:c r="DX12" s="28" t="n"/>
      <x:c r="DY12" s="28" t="n"/>
      <x:c r="DZ12" s="28" t="n"/>
      <x:c r="EA12" s="28" t="n"/>
      <x:c r="EB12" s="28" t="n"/>
      <x:c r="EC12" s="28" t="n"/>
      <x:c r="ED12" s="28" t="n"/>
      <x:c r="EE12" s="28" t="n"/>
      <x:c r="EF12" s="28" t="n"/>
      <x:c r="EG12" s="28" t="n"/>
      <x:c r="EH12" s="28" t="n"/>
      <x:c r="EI12" s="28" t="n"/>
      <x:c r="EJ12" s="28" t="n"/>
      <x:c r="EK12" s="28" t="n"/>
      <x:c r="EL12" s="28" t="n"/>
      <x:c r="EM12" s="28" t="n"/>
      <x:c r="EN12" s="28" t="n"/>
      <x:c r="EO12" s="28" t="n"/>
      <x:c r="EP12" s="28" t="n"/>
      <x:c r="EQ12" s="28" t="n"/>
      <x:c r="ER12" s="28" t="n"/>
      <x:c r="ES12" s="28" t="n"/>
      <x:c r="ET12" s="28" t="n"/>
      <x:c r="EU12" s="28" t="n"/>
      <x:c r="EV12" s="28" t="n"/>
      <x:c r="EW12" s="28" t="n"/>
      <x:c r="EX12" s="28" t="n"/>
      <x:c r="EY12" s="28" t="n"/>
      <x:c r="EZ12" s="28" t="n"/>
      <x:c r="FA12" s="28" t="n"/>
      <x:c r="FB12" s="28" t="n"/>
      <x:c r="FC12" s="28" t="n"/>
      <x:c r="FD12" s="28" t="n"/>
      <x:c r="FE12" s="28" t="n"/>
      <x:c r="FF12" s="28" t="n"/>
      <x:c r="FG12" s="28" t="n"/>
      <x:c r="FH12" s="28" t="n"/>
      <x:c r="FI12" s="28" t="n"/>
      <x:c r="FJ12" s="28" t="n"/>
      <x:c r="FK12" s="28" t="n"/>
      <x:c r="FL12" s="28" t="n"/>
      <x:c r="FM12" s="28" t="n"/>
      <x:c r="FN12" s="28" t="n"/>
      <x:c r="FO12" s="28" t="n"/>
      <x:c r="FP12" s="28" t="n"/>
    </x:row>
    <x:row r="13" s="27" customFormat="1">
      <x:c r="A13" s="38" t="n"/>
      <x:c r="B13" s="39" t="n"/>
      <x:c r="C13" s="90" t="inlineStr">
        <x:is>
          <x:t xml:space="preserve">N/A</x:t>
        </x:is>
      </x:c>
      <x:c r="D13" s="663" t="inlineStr">
        <x:is>
          <x:t xml:space="preserve">Tecolote Holdings, LLC
401 South Boston Avenue, Suite 1900
Tulsa, OK 74103</x:t>
        </x:is>
      </x:c>
      <x:c r="E13" s="91" t="n">
        <x:f>SUM(G13:HI13)</x:f>
        <x:v>1</x:v>
      </x:c>
      <x:c r="F13" s="35" t="n"/>
      <x:c r="G13" s="129" t="n"/>
      <x:c r="H13" s="298" t="n"/>
      <x:c r="I13" s="300" t="n">
        <x:v>1</x:v>
      </x:c>
      <x:c r="J13" s="300" t="n"/>
      <x:c r="K13" s="300" t="n"/>
      <x:c r="L13" s="301" t="n"/>
      <x:c r="M13" s="298" t="n"/>
      <x:c r="N13" s="299" t="n"/>
      <x:c r="O13" s="299" t="n"/>
      <x:c r="P13" s="299" t="n"/>
      <x:c r="Q13" s="299" t="n"/>
      <x:c r="R13" s="299" t="n"/>
      <x:c r="S13" s="299" t="n"/>
      <x:c r="T13" s="299" t="n"/>
      <x:c r="U13" s="299" t="n"/>
      <x:c r="V13" s="299" t="n"/>
      <x:c r="W13" s="299" t="n"/>
      <x:c r="X13" s="299" t="n"/>
      <x:c r="Y13" s="299" t="n"/>
      <x:c r="Z13" s="299" t="n"/>
      <x:c r="AA13" s="299" t="n"/>
      <x:c r="AB13" s="299" t="n"/>
      <x:c r="AC13" s="299" t="n"/>
      <x:c r="AD13" s="299" t="n"/>
      <x:c r="AE13" s="299" t="n"/>
      <x:c r="AF13" s="299" t="n"/>
      <x:c r="AG13" s="299" t="n"/>
      <x:c r="AH13" s="299" t="n"/>
      <x:c r="AI13" s="299" t="n"/>
      <x:c r="AJ13" s="299" t="n"/>
      <x:c r="AK13" s="299" t="n"/>
      <x:c r="AL13" s="299" t="n"/>
      <x:c r="AM13" s="299" t="n"/>
      <x:c r="AN13" s="299" t="n"/>
      <x:c r="AO13" s="299" t="n"/>
      <x:c r="AP13" s="299" t="n"/>
      <x:c r="AQ13" s="299" t="n"/>
      <x:c r="AR13" s="299" t="n"/>
      <x:c r="AS13" s="299" t="n"/>
      <x:c r="AT13" s="299" t="n"/>
      <x:c r="AU13" s="299" t="n"/>
      <x:c r="AV13" s="299" t="n"/>
      <x:c r="AW13" s="299" t="n"/>
      <x:c r="AX13" s="299" t="n"/>
      <x:c r="AY13" s="299" t="n"/>
      <x:c r="AZ13" s="299" t="n"/>
      <x:c r="BA13" s="299" t="n"/>
      <x:c r="BB13" s="299" t="n"/>
      <x:c r="BC13" s="299" t="n"/>
      <x:c r="BD13" s="299" t="n"/>
      <x:c r="BE13" s="299" t="n"/>
      <x:c r="BF13" s="299" t="n"/>
      <x:c r="BG13" s="299" t="n"/>
      <x:c r="BH13" s="299" t="n"/>
      <x:c r="BI13" s="299" t="n"/>
      <x:c r="BJ13" s="299" t="n"/>
      <x:c r="BK13" s="299" t="n"/>
      <x:c r="BL13" s="299" t="n"/>
      <x:c r="BM13" s="299" t="n"/>
      <x:c r="BN13" s="299" t="n"/>
      <x:c r="BO13" s="299" t="n"/>
      <x:c r="BP13" s="299" t="n"/>
      <x:c r="BQ13" s="299" t="n"/>
      <x:c r="BR13" s="299" t="n"/>
      <x:c r="BS13" s="299" t="n"/>
      <x:c r="BT13" s="299" t="n"/>
      <x:c r="BU13" s="299" t="n"/>
      <x:c r="BV13" s="299" t="n"/>
      <x:c r="BW13" s="299" t="n"/>
      <x:c r="BX13" s="299" t="n"/>
      <x:c r="BY13" s="299" t="n"/>
      <x:c r="BZ13" s="299" t="n"/>
      <x:c r="CA13" s="299" t="n"/>
      <x:c r="CB13" s="299" t="n"/>
      <x:c r="CC13" s="299" t="n"/>
      <x:c r="CD13" s="299" t="n"/>
      <x:c r="CE13" s="28" t="n"/>
      <x:c r="CF13" s="28" t="n"/>
      <x:c r="CG13" s="28" t="n"/>
      <x:c r="CH13" s="28" t="n"/>
      <x:c r="CI13" s="28" t="n"/>
      <x:c r="CJ13" s="28" t="n"/>
      <x:c r="CK13" s="28" t="n"/>
      <x:c r="CL13" s="28" t="n"/>
      <x:c r="CM13" s="28" t="n"/>
      <x:c r="CN13" s="28" t="n"/>
      <x:c r="CO13" s="28" t="n"/>
      <x:c r="CP13" s="28" t="n"/>
      <x:c r="CQ13" s="28" t="n"/>
      <x:c r="CR13" s="28" t="n"/>
      <x:c r="CS13" s="28" t="n"/>
      <x:c r="CT13" s="28" t="n"/>
      <x:c r="CU13" s="28" t="n"/>
      <x:c r="CV13" s="28" t="n"/>
      <x:c r="CW13" s="28" t="n"/>
      <x:c r="CX13" s="28" t="n"/>
      <x:c r="CY13" s="28" t="n"/>
      <x:c r="CZ13" s="28" t="n"/>
      <x:c r="DA13" s="28" t="n"/>
      <x:c r="DB13" s="28" t="n"/>
      <x:c r="DC13" s="28" t="n"/>
      <x:c r="DD13" s="28" t="n"/>
      <x:c r="DE13" s="28" t="n"/>
      <x:c r="DF13" s="28" t="n"/>
      <x:c r="DG13" s="28" t="n"/>
      <x:c r="DH13" s="28" t="n"/>
      <x:c r="DI13" s="28" t="n"/>
      <x:c r="DJ13" s="28" t="n"/>
      <x:c r="DK13" s="28" t="n"/>
      <x:c r="DL13" s="28" t="n"/>
      <x:c r="DM13" s="28" t="n"/>
      <x:c r="DN13" s="28" t="n"/>
      <x:c r="DO13" s="28" t="n"/>
      <x:c r="DP13" s="28" t="n"/>
      <x:c r="DQ13" s="28" t="n"/>
      <x:c r="DR13" s="28" t="n"/>
      <x:c r="DS13" s="28" t="n"/>
      <x:c r="DT13" s="28" t="n"/>
      <x:c r="DU13" s="28" t="n"/>
      <x:c r="DV13" s="28" t="n"/>
      <x:c r="DW13" s="28" t="n"/>
      <x:c r="DX13" s="28" t="n"/>
      <x:c r="DY13" s="28" t="n"/>
      <x:c r="DZ13" s="28" t="n"/>
      <x:c r="EA13" s="28" t="n"/>
      <x:c r="EB13" s="28" t="n"/>
      <x:c r="EC13" s="28" t="n"/>
      <x:c r="ED13" s="28" t="n"/>
      <x:c r="EE13" s="28" t="n"/>
      <x:c r="EF13" s="28" t="n"/>
      <x:c r="EG13" s="28" t="n"/>
      <x:c r="EH13" s="28" t="n"/>
      <x:c r="EI13" s="28" t="n"/>
      <x:c r="EJ13" s="28" t="n"/>
      <x:c r="EK13" s="28" t="n"/>
      <x:c r="EL13" s="28" t="n"/>
      <x:c r="EM13" s="28" t="n"/>
      <x:c r="EN13" s="28" t="n"/>
      <x:c r="EO13" s="28" t="n"/>
      <x:c r="EP13" s="28" t="n"/>
      <x:c r="EQ13" s="28" t="n"/>
      <x:c r="ER13" s="28" t="n"/>
      <x:c r="ES13" s="28" t="n"/>
      <x:c r="ET13" s="28" t="n"/>
      <x:c r="EU13" s="28" t="n"/>
      <x:c r="EV13" s="28" t="n"/>
      <x:c r="EW13" s="28" t="n"/>
      <x:c r="EX13" s="28" t="n"/>
      <x:c r="EY13" s="28" t="n"/>
      <x:c r="EZ13" s="28" t="n"/>
      <x:c r="FA13" s="28" t="n"/>
      <x:c r="FB13" s="28" t="n"/>
      <x:c r="FC13" s="28" t="n"/>
      <x:c r="FD13" s="28" t="n"/>
      <x:c r="FE13" s="28" t="n"/>
      <x:c r="FF13" s="28" t="n"/>
      <x:c r="FG13" s="28" t="n"/>
      <x:c r="FH13" s="28" t="n"/>
      <x:c r="FI13" s="28" t="n"/>
      <x:c r="FJ13" s="28" t="n"/>
      <x:c r="FK13" s="28" t="n"/>
      <x:c r="FL13" s="28" t="n"/>
      <x:c r="FM13" s="28" t="n"/>
      <x:c r="FN13" s="28" t="n"/>
      <x:c r="FO13" s="28" t="n"/>
      <x:c r="FP13" s="28" t="n"/>
    </x:row>
    <x:row r="14" s="27" customFormat="1">
      <x:c r="A14" s="38" t="n"/>
      <x:c r="B14" s="39" t="n"/>
      <x:c r="C14" s="90" t="inlineStr">
        <x:is>
          <x:t xml:space="preserve">N/A</x:t>
        </x:is>
      </x:c>
      <x:c r="D14" s="662" t="inlineStr">
        <x:is>
          <x:t xml:space="preserve">Hefner Company, Inc.
P O BOX 7698
TYLER, TX 75711</x:t>
        </x:is>
      </x:c>
      <x:c r="E14" s="91" t="n">
        <x:f>SUM(G14:HI14)</x:f>
        <x:v>-1</x:v>
      </x:c>
      <x:c r="F14" s="35" t="n"/>
      <x:c r="G14" s="129" t="n"/>
      <x:c r="H14" s="298" t="n"/>
      <x:c r="I14" s="300" t="n"/>
      <x:c r="J14" s="300" t="n">
        <x:v>-1</x:v>
      </x:c>
      <x:c r="K14" s="300" t="n"/>
      <x:c r="L14" s="300" t="n"/>
      <x:c r="M14" s="298" t="n"/>
      <x:c r="N14" s="299" t="n"/>
      <x:c r="O14" s="299" t="n"/>
      <x:c r="P14" s="299" t="n"/>
      <x:c r="Q14" s="299" t="n"/>
      <x:c r="R14" s="299" t="n"/>
      <x:c r="S14" s="299" t="n"/>
      <x:c r="T14" s="299" t="n"/>
      <x:c r="U14" s="299" t="n"/>
      <x:c r="V14" s="299" t="n"/>
      <x:c r="W14" s="299" t="n"/>
      <x:c r="X14" s="299" t="n"/>
      <x:c r="Y14" s="299" t="n"/>
      <x:c r="Z14" s="299" t="n"/>
      <x:c r="AA14" s="299" t="n"/>
      <x:c r="AB14" s="299" t="n"/>
      <x:c r="AC14" s="299" t="n"/>
      <x:c r="AD14" s="299" t="n"/>
      <x:c r="AE14" s="299" t="n"/>
      <x:c r="AF14" s="299" t="n"/>
      <x:c r="AG14" s="299" t="n"/>
      <x:c r="AH14" s="299" t="n"/>
      <x:c r="AI14" s="299" t="n"/>
      <x:c r="AJ14" s="299" t="n"/>
      <x:c r="AK14" s="299" t="n"/>
      <x:c r="AL14" s="299" t="n"/>
      <x:c r="AM14" s="299" t="n"/>
      <x:c r="AN14" s="299" t="n"/>
      <x:c r="AO14" s="299" t="n"/>
      <x:c r="AP14" s="299" t="n"/>
      <x:c r="AQ14" s="299" t="n"/>
      <x:c r="AR14" s="299" t="n"/>
      <x:c r="AS14" s="299" t="n"/>
      <x:c r="AT14" s="299" t="n"/>
      <x:c r="AU14" s="299" t="n"/>
      <x:c r="AV14" s="299" t="n"/>
      <x:c r="AW14" s="299" t="n"/>
      <x:c r="AX14" s="299" t="n"/>
      <x:c r="AY14" s="299" t="n"/>
      <x:c r="AZ14" s="299" t="n"/>
      <x:c r="BA14" s="299" t="n"/>
      <x:c r="BB14" s="299" t="n"/>
      <x:c r="BC14" s="299" t="n"/>
      <x:c r="BD14" s="299" t="n"/>
      <x:c r="BE14" s="299" t="n"/>
      <x:c r="BF14" s="299" t="n"/>
      <x:c r="BG14" s="299" t="n"/>
      <x:c r="BH14" s="299" t="n"/>
      <x:c r="BI14" s="299" t="n"/>
      <x:c r="BJ14" s="299" t="n"/>
      <x:c r="BK14" s="299" t="n"/>
      <x:c r="BL14" s="299" t="n"/>
      <x:c r="BM14" s="299" t="n"/>
      <x:c r="BN14" s="299" t="n"/>
      <x:c r="BO14" s="299" t="n"/>
      <x:c r="BP14" s="299" t="n"/>
      <x:c r="BQ14" s="299" t="n"/>
      <x:c r="BR14" s="299" t="n"/>
      <x:c r="BS14" s="299" t="n"/>
      <x:c r="BT14" s="299" t="n"/>
      <x:c r="BU14" s="299" t="n"/>
      <x:c r="BV14" s="299" t="n"/>
      <x:c r="BW14" s="299" t="n"/>
      <x:c r="BX14" s="299" t="n"/>
      <x:c r="BY14" s="299" t="n"/>
      <x:c r="BZ14" s="299" t="n"/>
      <x:c r="CA14" s="299" t="n"/>
      <x:c r="CB14" s="299" t="n"/>
      <x:c r="CC14" s="299" t="n"/>
      <x:c r="CD14" s="299" t="n"/>
      <x:c r="CE14" s="28" t="n"/>
      <x:c r="CF14" s="28" t="n"/>
      <x:c r="CG14" s="28" t="n"/>
      <x:c r="CH14" s="28" t="n"/>
      <x:c r="CI14" s="28" t="n"/>
      <x:c r="CJ14" s="28" t="n"/>
      <x:c r="CK14" s="28" t="n"/>
      <x:c r="CL14" s="28" t="n"/>
      <x:c r="CM14" s="28" t="n"/>
      <x:c r="CN14" s="28" t="n"/>
      <x:c r="CO14" s="28" t="n"/>
      <x:c r="CP14" s="28" t="n"/>
      <x:c r="CQ14" s="28" t="n"/>
      <x:c r="CR14" s="28" t="n"/>
      <x:c r="CS14" s="28" t="n"/>
      <x:c r="CT14" s="28" t="n"/>
      <x:c r="CU14" s="28" t="n"/>
      <x:c r="CV14" s="28" t="n"/>
      <x:c r="CW14" s="28" t="n"/>
      <x:c r="CX14" s="28" t="n"/>
      <x:c r="CY14" s="28" t="n"/>
      <x:c r="CZ14" s="28" t="n"/>
      <x:c r="DA14" s="28" t="n"/>
      <x:c r="DB14" s="28" t="n"/>
      <x:c r="DC14" s="28" t="n"/>
      <x:c r="DD14" s="28" t="n"/>
      <x:c r="DE14" s="28" t="n"/>
      <x:c r="DF14" s="28" t="n"/>
      <x:c r="DG14" s="28" t="n"/>
      <x:c r="DH14" s="28" t="n"/>
      <x:c r="DI14" s="28" t="n"/>
      <x:c r="DJ14" s="28" t="n"/>
      <x:c r="DK14" s="28" t="n"/>
      <x:c r="DL14" s="28" t="n"/>
      <x:c r="DM14" s="28" t="n"/>
      <x:c r="DN14" s="28" t="n"/>
      <x:c r="DO14" s="28" t="n"/>
      <x:c r="DP14" s="28" t="n"/>
      <x:c r="DQ14" s="28" t="n"/>
      <x:c r="DR14" s="28" t="n"/>
      <x:c r="DS14" s="28" t="n"/>
      <x:c r="DT14" s="28" t="n"/>
      <x:c r="DU14" s="28" t="n"/>
      <x:c r="DV14" s="28" t="n"/>
      <x:c r="DW14" s="28" t="n"/>
      <x:c r="DX14" s="28" t="n"/>
      <x:c r="DY14" s="28" t="n"/>
      <x:c r="DZ14" s="28" t="n"/>
      <x:c r="EA14" s="28" t="n"/>
      <x:c r="EB14" s="28" t="n"/>
      <x:c r="EC14" s="28" t="n"/>
      <x:c r="ED14" s="28" t="n"/>
      <x:c r="EE14" s="28" t="n"/>
      <x:c r="EF14" s="28" t="n"/>
      <x:c r="EG14" s="28" t="n"/>
      <x:c r="EH14" s="28" t="n"/>
      <x:c r="EI14" s="28" t="n"/>
      <x:c r="EJ14" s="28" t="n"/>
      <x:c r="EK14" s="28" t="n"/>
      <x:c r="EL14" s="28" t="n"/>
      <x:c r="EM14" s="28" t="n"/>
      <x:c r="EN14" s="28" t="n"/>
      <x:c r="EO14" s="28" t="n"/>
      <x:c r="EP14" s="28" t="n"/>
      <x:c r="EQ14" s="28" t="n"/>
      <x:c r="ER14" s="28" t="n"/>
      <x:c r="ES14" s="28" t="n"/>
      <x:c r="ET14" s="28" t="n"/>
      <x:c r="EU14" s="28" t="n"/>
      <x:c r="EV14" s="28" t="n"/>
      <x:c r="EW14" s="28" t="n"/>
      <x:c r="EX14" s="28" t="n"/>
      <x:c r="EY14" s="28" t="n"/>
      <x:c r="EZ14" s="28" t="n"/>
      <x:c r="FA14" s="28" t="n"/>
      <x:c r="FB14" s="28" t="n"/>
      <x:c r="FC14" s="28" t="n"/>
      <x:c r="FD14" s="28" t="n"/>
      <x:c r="FE14" s="28" t="n"/>
      <x:c r="FF14" s="28" t="n"/>
      <x:c r="FG14" s="28" t="n"/>
      <x:c r="FH14" s="28" t="n"/>
      <x:c r="FI14" s="28" t="n"/>
      <x:c r="FJ14" s="28" t="n"/>
      <x:c r="FK14" s="28" t="n"/>
      <x:c r="FL14" s="28" t="n"/>
      <x:c r="FM14" s="28" t="n"/>
      <x:c r="FN14" s="28" t="n"/>
      <x:c r="FO14" s="28" t="n"/>
      <x:c r="FP14" s="28" t="n"/>
    </x:row>
    <x:row r="15" s="27" customFormat="1">
      <x:c r="A15" s="38" t="n"/>
      <x:c r="B15" s="39" t="n"/>
      <x:c r="C15" s="90" t="inlineStr">
        <x:is>
          <x:t xml:space="preserve">N/A</x:t>
        </x:is>
      </x:c>
      <x:c r="D15" s="662" t="inlineStr">
        <x:is>
          <x:t xml:space="preserve">Cheyenne Resources, LLC
2401 Tee Circle, Suite 205
Norman, OK 73069</x:t>
        </x:is>
      </x:c>
      <x:c r="E15" s="91" t="n">
        <x:f>SUM(G15:HI15)</x:f>
        <x:v>0</x:v>
      </x:c>
      <x:c r="F15" s="35" t="n"/>
      <x:c r="G15" s="121" t="n"/>
      <x:c r="H15" s="300" t="n"/>
      <x:c r="I15" s="300" t="n"/>
      <x:c r="J15" s="300" t="n">
        <x:v>1</x:v>
      </x:c>
      <x:c r="K15" s="300" t="n"/>
      <x:c r="L15" s="300" t="n">
        <x:v>-1</x:v>
      </x:c>
      <x:c r="M15" s="298" t="n"/>
      <x:c r="N15" s="299" t="n"/>
      <x:c r="O15" s="299" t="n"/>
      <x:c r="P15" s="299" t="n"/>
      <x:c r="Q15" s="299" t="n"/>
      <x:c r="R15" s="299" t="n"/>
      <x:c r="S15" s="299" t="n"/>
      <x:c r="T15" s="299" t="n"/>
      <x:c r="U15" s="299" t="n"/>
      <x:c r="V15" s="299" t="n"/>
      <x:c r="W15" s="299" t="n"/>
      <x:c r="X15" s="299" t="n"/>
      <x:c r="Y15" s="299" t="n"/>
      <x:c r="Z15" s="299" t="n"/>
      <x:c r="AA15" s="299" t="n"/>
      <x:c r="AB15" s="299" t="n"/>
      <x:c r="AC15" s="299" t="n"/>
      <x:c r="AD15" s="299" t="n"/>
      <x:c r="AE15" s="299" t="n"/>
      <x:c r="AF15" s="299" t="n"/>
      <x:c r="AG15" s="299" t="n"/>
      <x:c r="AH15" s="299" t="n"/>
      <x:c r="AI15" s="299" t="n"/>
      <x:c r="AJ15" s="299" t="n"/>
      <x:c r="AK15" s="299" t="n"/>
      <x:c r="AL15" s="299" t="n"/>
      <x:c r="AM15" s="299" t="n"/>
      <x:c r="AN15" s="299" t="n"/>
      <x:c r="AO15" s="299" t="n"/>
      <x:c r="AP15" s="299" t="n"/>
      <x:c r="AQ15" s="299" t="n"/>
      <x:c r="AR15" s="299" t="n"/>
      <x:c r="AS15" s="299" t="n"/>
      <x:c r="AT15" s="299" t="n"/>
      <x:c r="AU15" s="299" t="n"/>
      <x:c r="AV15" s="299" t="n"/>
      <x:c r="AW15" s="299" t="n"/>
      <x:c r="AX15" s="299" t="n"/>
      <x:c r="AY15" s="299" t="n"/>
      <x:c r="AZ15" s="299" t="n"/>
      <x:c r="BA15" s="299" t="n"/>
      <x:c r="BB15" s="299" t="n"/>
      <x:c r="BC15" s="299" t="n"/>
      <x:c r="BD15" s="299" t="n"/>
      <x:c r="BE15" s="299" t="n"/>
      <x:c r="BF15" s="299" t="n"/>
      <x:c r="BG15" s="299" t="n"/>
      <x:c r="BH15" s="299" t="n"/>
      <x:c r="BI15" s="299" t="n"/>
      <x:c r="BJ15" s="299" t="n"/>
      <x:c r="BK15" s="299" t="n"/>
      <x:c r="BL15" s="299" t="n"/>
      <x:c r="BM15" s="299" t="n"/>
      <x:c r="BN15" s="299" t="n"/>
      <x:c r="BO15" s="299" t="n"/>
      <x:c r="BP15" s="299" t="n"/>
      <x:c r="BQ15" s="299" t="n"/>
      <x:c r="BR15" s="299" t="n"/>
      <x:c r="BS15" s="299" t="n"/>
      <x:c r="BT15" s="299" t="n"/>
      <x:c r="BU15" s="299" t="n"/>
      <x:c r="BV15" s="299" t="n"/>
      <x:c r="BW15" s="299" t="n"/>
      <x:c r="BX15" s="299" t="n"/>
      <x:c r="BY15" s="299" t="n"/>
      <x:c r="BZ15" s="299" t="n"/>
      <x:c r="CA15" s="299" t="n"/>
      <x:c r="CB15" s="299" t="n"/>
      <x:c r="CC15" s="299" t="n"/>
      <x:c r="CD15" s="299" t="n"/>
      <x:c r="CE15" s="28" t="n"/>
      <x:c r="CF15" s="28" t="n"/>
      <x:c r="CG15" s="28" t="n"/>
      <x:c r="CH15" s="28" t="n"/>
      <x:c r="CI15" s="28" t="n"/>
      <x:c r="CJ15" s="28" t="n"/>
      <x:c r="CK15" s="28" t="n"/>
      <x:c r="CL15" s="28" t="n"/>
      <x:c r="CM15" s="28" t="n"/>
      <x:c r="CN15" s="28" t="n"/>
      <x:c r="CO15" s="28" t="n"/>
      <x:c r="CP15" s="28" t="n"/>
      <x:c r="CQ15" s="28" t="n"/>
      <x:c r="CR15" s="28" t="n"/>
      <x:c r="CS15" s="28" t="n"/>
      <x:c r="CT15" s="28" t="n"/>
      <x:c r="CU15" s="28" t="n"/>
      <x:c r="CV15" s="28" t="n"/>
      <x:c r="CW15" s="28" t="n"/>
      <x:c r="CX15" s="28" t="n"/>
      <x:c r="CY15" s="28" t="n"/>
      <x:c r="CZ15" s="28" t="n"/>
      <x:c r="DA15" s="28" t="n"/>
      <x:c r="DB15" s="28" t="n"/>
      <x:c r="DC15" s="28" t="n"/>
      <x:c r="DD15" s="28" t="n"/>
      <x:c r="DE15" s="28" t="n"/>
      <x:c r="DF15" s="28" t="n"/>
      <x:c r="DG15" s="28" t="n"/>
      <x:c r="DH15" s="28" t="n"/>
      <x:c r="DI15" s="28" t="n"/>
      <x:c r="DJ15" s="28" t="n"/>
      <x:c r="DK15" s="28" t="n"/>
      <x:c r="DL15" s="28" t="n"/>
      <x:c r="DM15" s="28" t="n"/>
      <x:c r="DN15" s="28" t="n"/>
      <x:c r="DO15" s="28" t="n"/>
      <x:c r="DP15" s="28" t="n"/>
      <x:c r="DQ15" s="28" t="n"/>
      <x:c r="DR15" s="28" t="n"/>
      <x:c r="DS15" s="28" t="n"/>
      <x:c r="DT15" s="28" t="n"/>
      <x:c r="DU15" s="28" t="n"/>
      <x:c r="DV15" s="28" t="n"/>
      <x:c r="DW15" s="28" t="n"/>
      <x:c r="DX15" s="28" t="n"/>
      <x:c r="DY15" s="28" t="n"/>
      <x:c r="DZ15" s="28" t="n"/>
      <x:c r="EA15" s="28" t="n"/>
      <x:c r="EB15" s="28" t="n"/>
      <x:c r="EC15" s="28" t="n"/>
      <x:c r="ED15" s="28" t="n"/>
      <x:c r="EE15" s="28" t="n"/>
      <x:c r="EF15" s="28" t="n"/>
      <x:c r="EG15" s="28" t="n"/>
      <x:c r="EH15" s="28" t="n"/>
      <x:c r="EI15" s="28" t="n"/>
      <x:c r="EJ15" s="28" t="n"/>
      <x:c r="EK15" s="28" t="n"/>
      <x:c r="EL15" s="28" t="n"/>
      <x:c r="EM15" s="28" t="n"/>
      <x:c r="EN15" s="28" t="n"/>
      <x:c r="EO15" s="28" t="n"/>
      <x:c r="EP15" s="28" t="n"/>
      <x:c r="EQ15" s="28" t="n"/>
      <x:c r="ER15" s="28" t="n"/>
      <x:c r="ES15" s="28" t="n"/>
      <x:c r="ET15" s="28" t="n"/>
      <x:c r="EU15" s="28" t="n"/>
      <x:c r="EV15" s="28" t="n"/>
      <x:c r="EW15" s="28" t="n"/>
      <x:c r="EX15" s="28" t="n"/>
      <x:c r="EY15" s="28" t="n"/>
      <x:c r="EZ15" s="28" t="n"/>
      <x:c r="FA15" s="28" t="n"/>
      <x:c r="FB15" s="28" t="n"/>
      <x:c r="FC15" s="28" t="n"/>
      <x:c r="FD15" s="28" t="n"/>
      <x:c r="FE15" s="28" t="n"/>
      <x:c r="FF15" s="28" t="n"/>
      <x:c r="FG15" s="28" t="n"/>
      <x:c r="FH15" s="28" t="n"/>
      <x:c r="FI15" s="28" t="n"/>
      <x:c r="FJ15" s="28" t="n"/>
      <x:c r="FK15" s="28" t="n"/>
      <x:c r="FL15" s="28" t="n"/>
      <x:c r="FM15" s="28" t="n"/>
      <x:c r="FN15" s="28" t="n"/>
      <x:c r="FO15" s="28" t="n"/>
      <x:c r="FP15" s="28" t="n"/>
    </x:row>
    <x:row r="16" s="27" customFormat="1">
      <x:c r="A16" s="38" t="n"/>
      <x:c r="B16" s="39" t="n"/>
      <x:c r="C16" s="90" t="inlineStr">
        <x:is>
          <x:t xml:space="preserve">N/A</x:t>
        </x:is>
      </x:c>
      <x:c r="D16" s="664" t="inlineStr">
        <x:is>
          <x:t xml:space="preserve">Geodyne / Samson
401 South Boston Avenue, Suite 1900
Tulsa, OK 74103</x:t>
        </x:is>
      </x:c>
      <x:c r="E16" s="91" t="n">
        <x:f>SUM(G16:HI16)</x:f>
        <x:v>0</x:v>
      </x:c>
      <x:c r="F16" s="35" t="n"/>
      <x:c r="G16" s="121" t="n"/>
      <x:c r="H16" s="301" t="n"/>
      <x:c r="I16" s="301" t="n"/>
      <x:c r="J16" s="301" t="n"/>
      <x:c r="K16" s="300" t="n"/>
      <x:c r="L16" s="301" t="n"/>
      <x:c r="M16" s="297" t="n"/>
      <x:c r="N16" s="299" t="n"/>
      <x:c r="O16" s="299" t="n"/>
      <x:c r="P16" s="299" t="n"/>
      <x:c r="Q16" s="299" t="n"/>
      <x:c r="R16" s="299" t="n"/>
      <x:c r="S16" s="299" t="n"/>
      <x:c r="T16" s="299" t="n"/>
      <x:c r="U16" s="299" t="n"/>
      <x:c r="V16" s="299" t="n"/>
      <x:c r="W16" s="299" t="n"/>
      <x:c r="X16" s="299" t="n"/>
      <x:c r="Y16" s="299" t="n"/>
      <x:c r="Z16" s="299" t="n"/>
      <x:c r="AA16" s="299" t="n"/>
      <x:c r="AB16" s="299" t="n"/>
      <x:c r="AC16" s="299" t="n"/>
      <x:c r="AD16" s="299" t="n"/>
      <x:c r="AE16" s="299" t="n"/>
      <x:c r="AF16" s="299" t="n"/>
      <x:c r="AG16" s="299" t="n"/>
      <x:c r="AH16" s="299" t="n"/>
      <x:c r="AI16" s="299" t="n"/>
      <x:c r="AJ16" s="299" t="n"/>
      <x:c r="AK16" s="299" t="n"/>
      <x:c r="AL16" s="299" t="n"/>
      <x:c r="AM16" s="299" t="n"/>
      <x:c r="AN16" s="299" t="n"/>
      <x:c r="AO16" s="299" t="n"/>
      <x:c r="AP16" s="299" t="n"/>
      <x:c r="AQ16" s="299" t="n"/>
      <x:c r="AR16" s="299" t="n"/>
      <x:c r="AS16" s="299" t="n"/>
      <x:c r="AT16" s="299" t="n"/>
      <x:c r="AU16" s="299" t="n"/>
      <x:c r="AV16" s="299" t="n"/>
      <x:c r="AW16" s="299" t="n"/>
      <x:c r="AX16" s="299" t="n"/>
      <x:c r="AY16" s="299" t="n"/>
      <x:c r="AZ16" s="299" t="n"/>
      <x:c r="BA16" s="299" t="n"/>
      <x:c r="BB16" s="299" t="n"/>
      <x:c r="BC16" s="299" t="n"/>
      <x:c r="BD16" s="299" t="n"/>
      <x:c r="BE16" s="299" t="n"/>
      <x:c r="BF16" s="299" t="n"/>
      <x:c r="BG16" s="299" t="n"/>
      <x:c r="BH16" s="299" t="n"/>
      <x:c r="BI16" s="299" t="n"/>
      <x:c r="BJ16" s="299" t="n"/>
      <x:c r="BK16" s="299" t="n"/>
      <x:c r="BL16" s="299" t="n"/>
      <x:c r="BM16" s="299" t="n"/>
      <x:c r="BN16" s="299" t="n"/>
      <x:c r="BO16" s="299" t="n"/>
      <x:c r="BP16" s="299" t="n"/>
      <x:c r="BQ16" s="299" t="n"/>
      <x:c r="BR16" s="299" t="n"/>
      <x:c r="BS16" s="299" t="n"/>
      <x:c r="BT16" s="299" t="n"/>
      <x:c r="BU16" s="299" t="n"/>
      <x:c r="BV16" s="299" t="n"/>
      <x:c r="BW16" s="299" t="n"/>
      <x:c r="BX16" s="299" t="n"/>
      <x:c r="BY16" s="299" t="n"/>
      <x:c r="BZ16" s="299" t="n"/>
      <x:c r="CA16" s="299" t="n"/>
      <x:c r="CB16" s="299" t="n"/>
      <x:c r="CC16" s="299" t="n"/>
      <x:c r="CD16" s="299" t="n"/>
      <x:c r="CE16" s="28" t="n"/>
      <x:c r="CF16" s="28" t="n"/>
      <x:c r="CG16" s="28" t="n"/>
      <x:c r="CH16" s="28" t="n"/>
      <x:c r="CI16" s="28" t="n"/>
      <x:c r="CJ16" s="28" t="n"/>
      <x:c r="CK16" s="28" t="n"/>
      <x:c r="CL16" s="28" t="n"/>
      <x:c r="CM16" s="28" t="n"/>
      <x:c r="CN16" s="28" t="n"/>
      <x:c r="CO16" s="28" t="n"/>
      <x:c r="CP16" s="28" t="n"/>
      <x:c r="CQ16" s="28" t="n"/>
      <x:c r="CR16" s="28" t="n"/>
      <x:c r="CS16" s="28" t="n"/>
      <x:c r="CT16" s="28" t="n"/>
      <x:c r="CU16" s="28" t="n"/>
      <x:c r="CV16" s="28" t="n"/>
      <x:c r="CW16" s="28" t="n"/>
      <x:c r="CX16" s="28" t="n"/>
      <x:c r="CY16" s="28" t="n"/>
      <x:c r="CZ16" s="28" t="n"/>
      <x:c r="DA16" s="28" t="n"/>
      <x:c r="DB16" s="28" t="n"/>
      <x:c r="DC16" s="28" t="n"/>
      <x:c r="DD16" s="28" t="n"/>
      <x:c r="DE16" s="28" t="n"/>
      <x:c r="DF16" s="28" t="n"/>
      <x:c r="DG16" s="28" t="n"/>
      <x:c r="DH16" s="28" t="n"/>
      <x:c r="DI16" s="28" t="n"/>
      <x:c r="DJ16" s="28" t="n"/>
      <x:c r="DK16" s="28" t="n"/>
      <x:c r="DL16" s="28" t="n"/>
      <x:c r="DM16" s="28" t="n"/>
      <x:c r="DN16" s="28" t="n"/>
      <x:c r="DO16" s="28" t="n"/>
      <x:c r="DP16" s="28" t="n"/>
      <x:c r="DQ16" s="28" t="n"/>
      <x:c r="DR16" s="28" t="n"/>
      <x:c r="DS16" s="28" t="n"/>
      <x:c r="DT16" s="28" t="n"/>
      <x:c r="DU16" s="28" t="n"/>
      <x:c r="DV16" s="28" t="n"/>
      <x:c r="DW16" s="28" t="n"/>
      <x:c r="DX16" s="28" t="n"/>
      <x:c r="DY16" s="28" t="n"/>
      <x:c r="DZ16" s="28" t="n"/>
      <x:c r="EA16" s="28" t="n"/>
      <x:c r="EB16" s="28" t="n"/>
      <x:c r="EC16" s="28" t="n"/>
      <x:c r="ED16" s="28" t="n"/>
      <x:c r="EE16" s="28" t="n"/>
      <x:c r="EF16" s="28" t="n"/>
      <x:c r="EG16" s="28" t="n"/>
      <x:c r="EH16" s="28" t="n"/>
      <x:c r="EI16" s="28" t="n"/>
      <x:c r="EJ16" s="28" t="n"/>
      <x:c r="EK16" s="28" t="n"/>
      <x:c r="EL16" s="28" t="n"/>
      <x:c r="EM16" s="28" t="n"/>
      <x:c r="EN16" s="28" t="n"/>
      <x:c r="EO16" s="28" t="n"/>
      <x:c r="EP16" s="28" t="n"/>
      <x:c r="EQ16" s="28" t="n"/>
      <x:c r="ER16" s="28" t="n"/>
      <x:c r="ES16" s="28" t="n"/>
      <x:c r="ET16" s="28" t="n"/>
      <x:c r="EU16" s="28" t="n"/>
      <x:c r="EV16" s="28" t="n"/>
      <x:c r="EW16" s="28" t="n"/>
      <x:c r="EX16" s="28" t="n"/>
      <x:c r="EY16" s="28" t="n"/>
      <x:c r="EZ16" s="28" t="n"/>
      <x:c r="FA16" s="28" t="n"/>
      <x:c r="FB16" s="28" t="n"/>
      <x:c r="FC16" s="28" t="n"/>
      <x:c r="FD16" s="28" t="n"/>
      <x:c r="FE16" s="28" t="n"/>
      <x:c r="FF16" s="28" t="n"/>
      <x:c r="FG16" s="28" t="n"/>
      <x:c r="FH16" s="28" t="n"/>
      <x:c r="FI16" s="28" t="n"/>
      <x:c r="FJ16" s="28" t="n"/>
      <x:c r="FK16" s="28" t="n"/>
      <x:c r="FL16" s="28" t="n"/>
      <x:c r="FM16" s="28" t="n"/>
      <x:c r="FN16" s="28" t="n"/>
      <x:c r="FO16" s="28" t="n"/>
      <x:c r="FP16" s="28" t="n"/>
    </x:row>
    <x:row r="17" s="27" customFormat="1" ht="13.5" customHeight="1">
      <x:c r="A17" s="38" t="n"/>
      <x:c r="B17" s="39" t="n"/>
      <x:c r="C17" s="90" t="inlineStr">
        <x:is>
          <x:t xml:space="preserve">N/A</x:t>
        </x:is>
      </x:c>
      <x:c r="D17" s="665" t="inlineStr">
        <x:is>
          <x:t xml:space="preserve">Fairway Resources III, LLC
PO BOX 720070
Oklahoma City, OK 73172</x:t>
        </x:is>
      </x:c>
      <x:c r="E17" s="91" t="n">
        <x:f>SUM(G17:HI17)</x:f>
        <x:v>0</x:v>
      </x:c>
      <x:c r="F17" s="35" t="n"/>
      <x:c r="G17" s="121" t="n"/>
      <x:c r="H17" s="297" t="n"/>
      <x:c r="I17" s="301" t="n"/>
      <x:c r="J17" s="301" t="n"/>
      <x:c r="K17" s="301" t="n"/>
      <x:c r="L17" s="301" t="n"/>
      <x:c r="M17" s="298" t="n"/>
      <x:c r="N17" s="302" t="n"/>
      <x:c r="O17" s="299" t="n"/>
      <x:c r="P17" s="299" t="n"/>
      <x:c r="Q17" s="299" t="n"/>
      <x:c r="R17" s="299" t="n"/>
      <x:c r="S17" s="299" t="n"/>
      <x:c r="T17" s="299" t="n"/>
      <x:c r="U17" s="299" t="n"/>
      <x:c r="V17" s="299" t="n"/>
      <x:c r="W17" s="299" t="n"/>
      <x:c r="X17" s="299" t="n"/>
      <x:c r="Y17" s="299" t="n"/>
      <x:c r="Z17" s="299" t="n"/>
      <x:c r="AA17" s="299" t="n"/>
      <x:c r="AB17" s="299" t="n"/>
      <x:c r="AC17" s="299" t="n"/>
      <x:c r="AD17" s="299" t="n"/>
      <x:c r="AE17" s="299" t="n"/>
      <x:c r="AF17" s="299" t="n"/>
      <x:c r="AG17" s="299" t="n"/>
      <x:c r="AH17" s="299" t="n"/>
      <x:c r="AI17" s="299" t="n"/>
      <x:c r="AJ17" s="299" t="n"/>
      <x:c r="AK17" s="299" t="n"/>
      <x:c r="AL17" s="299" t="n"/>
      <x:c r="AM17" s="299" t="n"/>
      <x:c r="AN17" s="299" t="n"/>
      <x:c r="AO17" s="299" t="n"/>
      <x:c r="AP17" s="299" t="n"/>
      <x:c r="AQ17" s="299" t="n"/>
      <x:c r="AR17" s="299" t="n"/>
      <x:c r="AS17" s="299" t="n"/>
      <x:c r="AT17" s="299" t="n"/>
      <x:c r="AU17" s="299" t="n"/>
      <x:c r="AV17" s="299" t="n"/>
      <x:c r="AW17" s="299" t="n"/>
      <x:c r="AX17" s="299" t="n"/>
      <x:c r="AY17" s="299" t="n"/>
      <x:c r="AZ17" s="299" t="n"/>
      <x:c r="BA17" s="299" t="n"/>
      <x:c r="BB17" s="299" t="n"/>
      <x:c r="BC17" s="299" t="n"/>
      <x:c r="BD17" s="299" t="n"/>
      <x:c r="BE17" s="299" t="n"/>
      <x:c r="BF17" s="299" t="n"/>
      <x:c r="BG17" s="299" t="n"/>
      <x:c r="BH17" s="299" t="n"/>
      <x:c r="BI17" s="299" t="n"/>
      <x:c r="BJ17" s="299" t="n"/>
      <x:c r="BK17" s="299" t="n"/>
      <x:c r="BL17" s="299" t="n"/>
      <x:c r="BM17" s="299" t="n"/>
      <x:c r="BN17" s="299" t="n"/>
      <x:c r="BO17" s="299" t="n"/>
      <x:c r="BP17" s="299" t="n"/>
      <x:c r="BQ17" s="299" t="n"/>
      <x:c r="BR17" s="299" t="n"/>
      <x:c r="BS17" s="299" t="n"/>
      <x:c r="BT17" s="299" t="n"/>
      <x:c r="BU17" s="299" t="n"/>
      <x:c r="BV17" s="299" t="n"/>
      <x:c r="BW17" s="299" t="n"/>
      <x:c r="BX17" s="299" t="n"/>
      <x:c r="BY17" s="299" t="n"/>
      <x:c r="BZ17" s="299" t="n"/>
      <x:c r="CA17" s="299" t="n"/>
      <x:c r="CB17" s="299" t="n"/>
      <x:c r="CC17" s="299" t="n"/>
      <x:c r="CD17" s="299" t="n"/>
      <x:c r="CE17" s="28" t="n"/>
      <x:c r="CF17" s="28" t="n"/>
      <x:c r="CG17" s="28" t="n"/>
      <x:c r="CH17" s="28" t="n"/>
      <x:c r="CI17" s="28" t="n"/>
      <x:c r="CJ17" s="28" t="n"/>
      <x:c r="CK17" s="28" t="n"/>
      <x:c r="CL17" s="28" t="n"/>
      <x:c r="CM17" s="28" t="n"/>
      <x:c r="CN17" s="28" t="n"/>
      <x:c r="CO17" s="28" t="n"/>
      <x:c r="CP17" s="28" t="n"/>
      <x:c r="CQ17" s="28" t="n"/>
      <x:c r="CR17" s="28" t="n"/>
      <x:c r="CS17" s="28" t="n"/>
      <x:c r="CT17" s="28" t="n"/>
      <x:c r="CU17" s="28" t="n"/>
      <x:c r="CV17" s="28" t="n"/>
      <x:c r="CW17" s="28" t="n"/>
      <x:c r="CX17" s="28" t="n"/>
      <x:c r="CY17" s="28" t="n"/>
      <x:c r="CZ17" s="28" t="n"/>
      <x:c r="DA17" s="28" t="n"/>
      <x:c r="DB17" s="28" t="n"/>
      <x:c r="DC17" s="28" t="n"/>
      <x:c r="DD17" s="28" t="n"/>
      <x:c r="DE17" s="28" t="n"/>
      <x:c r="DF17" s="28" t="n"/>
      <x:c r="DG17" s="28" t="n"/>
      <x:c r="DH17" s="28" t="n"/>
      <x:c r="DI17" s="28" t="n"/>
      <x:c r="DJ17" s="28" t="n"/>
      <x:c r="DK17" s="28" t="n"/>
      <x:c r="DL17" s="28" t="n"/>
      <x:c r="DM17" s="28" t="n"/>
      <x:c r="DN17" s="28" t="n"/>
      <x:c r="DO17" s="28" t="n"/>
      <x:c r="DP17" s="28" t="n"/>
      <x:c r="DQ17" s="28" t="n"/>
      <x:c r="DR17" s="28" t="n"/>
      <x:c r="DS17" s="28" t="n"/>
      <x:c r="DT17" s="28" t="n"/>
      <x:c r="DU17" s="28" t="n"/>
      <x:c r="DV17" s="28" t="n"/>
      <x:c r="DW17" s="28" t="n"/>
      <x:c r="DX17" s="28" t="n"/>
      <x:c r="DY17" s="28" t="n"/>
      <x:c r="DZ17" s="28" t="n"/>
      <x:c r="EA17" s="28" t="n"/>
      <x:c r="EB17" s="28" t="n"/>
      <x:c r="EC17" s="28" t="n"/>
      <x:c r="ED17" s="28" t="n"/>
      <x:c r="EE17" s="28" t="n"/>
      <x:c r="EF17" s="28" t="n"/>
      <x:c r="EG17" s="28" t="n"/>
      <x:c r="EH17" s="28" t="n"/>
      <x:c r="EI17" s="28" t="n"/>
      <x:c r="EJ17" s="28" t="n"/>
      <x:c r="EK17" s="28" t="n"/>
      <x:c r="EL17" s="28" t="n"/>
      <x:c r="EM17" s="28" t="n"/>
      <x:c r="EN17" s="28" t="n"/>
      <x:c r="EO17" s="28" t="n"/>
      <x:c r="EP17" s="28" t="n"/>
      <x:c r="EQ17" s="28" t="n"/>
      <x:c r="ER17" s="28" t="n"/>
      <x:c r="ES17" s="28" t="n"/>
      <x:c r="ET17" s="28" t="n"/>
      <x:c r="EU17" s="28" t="n"/>
      <x:c r="EV17" s="28" t="n"/>
      <x:c r="EW17" s="28" t="n"/>
      <x:c r="EX17" s="28" t="n"/>
      <x:c r="EY17" s="28" t="n"/>
      <x:c r="EZ17" s="28" t="n"/>
      <x:c r="FA17" s="28" t="n"/>
      <x:c r="FB17" s="28" t="n"/>
      <x:c r="FC17" s="28" t="n"/>
      <x:c r="FD17" s="28" t="n"/>
      <x:c r="FE17" s="28" t="n"/>
      <x:c r="FF17" s="28" t="n"/>
      <x:c r="FG17" s="28" t="n"/>
      <x:c r="FH17" s="28" t="n"/>
      <x:c r="FI17" s="28" t="n"/>
      <x:c r="FJ17" s="28" t="n"/>
      <x:c r="FK17" s="28" t="n"/>
      <x:c r="FL17" s="28" t="n"/>
      <x:c r="FM17" s="28" t="n"/>
      <x:c r="FN17" s="28" t="n"/>
      <x:c r="FO17" s="28" t="n"/>
      <x:c r="FP17" s="28" t="n"/>
    </x:row>
    <x:row r="18" s="27" customFormat="1">
      <x:c r="A18" s="38" t="n"/>
      <x:c r="B18" s="39" t="n"/>
      <x:c r="C18" s="90" t="inlineStr">
        <x:is>
          <x:t xml:space="preserve">N/A</x:t>
        </x:is>
      </x:c>
      <x:c r="D18" s="664" t="inlineStr">
        <x:is>
          <x:t xml:space="preserve">Templar Energy, LLC
401 South Boston Avenue, Suite 1900
Tulsa, OK 74103</x:t>
        </x:is>
      </x:c>
      <x:c r="E18" s="91" t="n">
        <x:f>SUM(G18:HI18)</x:f>
        <x:v>1</x:v>
      </x:c>
      <x:c r="F18" s="35" t="n"/>
      <x:c r="G18" s="121" t="n"/>
      <x:c r="H18" s="297" t="n"/>
      <x:c r="I18" s="301" t="n"/>
      <x:c r="J18" s="301" t="n"/>
      <x:c r="K18" s="301" t="n"/>
      <x:c r="L18" s="301" t="n">
        <x:v>1</x:v>
      </x:c>
      <x:c r="M18" s="297" t="n"/>
      <x:c r="N18" s="299" t="n"/>
      <x:c r="O18" s="299" t="n"/>
      <x:c r="P18" s="299" t="n"/>
      <x:c r="Q18" s="299" t="n"/>
      <x:c r="R18" s="299" t="n"/>
      <x:c r="S18" s="299" t="n"/>
      <x:c r="T18" s="299" t="n"/>
      <x:c r="U18" s="299" t="n"/>
      <x:c r="V18" s="299" t="n"/>
      <x:c r="W18" s="299" t="n"/>
      <x:c r="X18" s="299" t="n"/>
      <x:c r="Y18" s="299" t="n"/>
      <x:c r="Z18" s="299" t="n"/>
      <x:c r="AA18" s="299" t="n"/>
      <x:c r="AB18" s="299" t="n"/>
      <x:c r="AC18" s="299" t="n"/>
      <x:c r="AD18" s="299" t="n"/>
      <x:c r="AE18" s="299" t="n"/>
      <x:c r="AF18" s="299" t="n"/>
      <x:c r="AG18" s="299" t="n"/>
      <x:c r="AH18" s="299" t="n"/>
      <x:c r="AI18" s="299" t="n"/>
      <x:c r="AJ18" s="299" t="n"/>
      <x:c r="AK18" s="299" t="n"/>
      <x:c r="AL18" s="299" t="n"/>
      <x:c r="AM18" s="299" t="n"/>
      <x:c r="AN18" s="299" t="n"/>
      <x:c r="AO18" s="299" t="n"/>
      <x:c r="AP18" s="299" t="n"/>
      <x:c r="AQ18" s="299" t="n"/>
      <x:c r="AR18" s="299" t="n"/>
      <x:c r="AS18" s="299" t="n"/>
      <x:c r="AT18" s="299" t="n"/>
      <x:c r="AU18" s="299" t="n"/>
      <x:c r="AV18" s="299" t="n"/>
      <x:c r="AW18" s="299" t="n"/>
      <x:c r="AX18" s="299" t="n"/>
      <x:c r="AY18" s="299" t="n"/>
      <x:c r="AZ18" s="299" t="n"/>
      <x:c r="BA18" s="299" t="n"/>
      <x:c r="BB18" s="299" t="n"/>
      <x:c r="BC18" s="299" t="n"/>
      <x:c r="BD18" s="299" t="n"/>
      <x:c r="BE18" s="299" t="n"/>
      <x:c r="BF18" s="299" t="n"/>
      <x:c r="BG18" s="299" t="n"/>
      <x:c r="BH18" s="299" t="n"/>
      <x:c r="BI18" s="299" t="n"/>
      <x:c r="BJ18" s="299" t="n"/>
      <x:c r="BK18" s="299" t="n"/>
      <x:c r="BL18" s="299" t="n"/>
      <x:c r="BM18" s="299" t="n"/>
      <x:c r="BN18" s="299" t="n"/>
      <x:c r="BO18" s="299" t="n"/>
      <x:c r="BP18" s="299" t="n"/>
      <x:c r="BQ18" s="299" t="n"/>
      <x:c r="BR18" s="299" t="n"/>
      <x:c r="BS18" s="299" t="n"/>
      <x:c r="BT18" s="299" t="n"/>
      <x:c r="BU18" s="299" t="n"/>
      <x:c r="BV18" s="299" t="n"/>
      <x:c r="BW18" s="299" t="n"/>
      <x:c r="BX18" s="299" t="n"/>
      <x:c r="BY18" s="299" t="n"/>
      <x:c r="BZ18" s="299" t="n"/>
      <x:c r="CA18" s="299" t="n"/>
      <x:c r="CB18" s="299" t="n"/>
      <x:c r="CC18" s="299" t="n"/>
      <x:c r="CD18" s="299" t="n"/>
      <x:c r="CE18" s="28" t="n"/>
      <x:c r="CF18" s="28" t="n"/>
      <x:c r="CG18" s="28" t="n"/>
      <x:c r="CH18" s="28" t="n"/>
      <x:c r="CI18" s="28" t="n"/>
      <x:c r="CJ18" s="28" t="n"/>
      <x:c r="CK18" s="28" t="n"/>
      <x:c r="CL18" s="28" t="n"/>
      <x:c r="CM18" s="28" t="n"/>
      <x:c r="CN18" s="28" t="n"/>
      <x:c r="CO18" s="28" t="n"/>
      <x:c r="CP18" s="28" t="n"/>
      <x:c r="CQ18" s="28" t="n"/>
      <x:c r="CR18" s="28" t="n"/>
      <x:c r="CS18" s="28" t="n"/>
      <x:c r="CT18" s="28" t="n"/>
      <x:c r="CU18" s="28" t="n"/>
      <x:c r="CV18" s="28" t="n"/>
      <x:c r="CW18" s="28" t="n"/>
      <x:c r="CX18" s="28" t="n"/>
      <x:c r="CY18" s="28" t="n"/>
      <x:c r="CZ18" s="28" t="n"/>
      <x:c r="DA18" s="28" t="n"/>
      <x:c r="DB18" s="28" t="n"/>
      <x:c r="DC18" s="28" t="n"/>
      <x:c r="DD18" s="28" t="n"/>
      <x:c r="DE18" s="28" t="n"/>
      <x:c r="DF18" s="28" t="n"/>
      <x:c r="DG18" s="28" t="n"/>
      <x:c r="DH18" s="28" t="n"/>
      <x:c r="DI18" s="28" t="n"/>
      <x:c r="DJ18" s="28" t="n"/>
      <x:c r="DK18" s="28" t="n"/>
      <x:c r="DL18" s="28" t="n"/>
      <x:c r="DM18" s="28" t="n"/>
      <x:c r="DN18" s="28" t="n"/>
      <x:c r="DO18" s="28" t="n"/>
      <x:c r="DP18" s="28" t="n"/>
      <x:c r="DQ18" s="28" t="n"/>
      <x:c r="DR18" s="28" t="n"/>
      <x:c r="DS18" s="28" t="n"/>
      <x:c r="DT18" s="28" t="n"/>
      <x:c r="DU18" s="28" t="n"/>
      <x:c r="DV18" s="28" t="n"/>
      <x:c r="DW18" s="28" t="n"/>
      <x:c r="DX18" s="28" t="n"/>
      <x:c r="DY18" s="28" t="n"/>
      <x:c r="DZ18" s="28" t="n"/>
      <x:c r="EA18" s="28" t="n"/>
      <x:c r="EB18" s="28" t="n"/>
      <x:c r="EC18" s="28" t="n"/>
      <x:c r="ED18" s="28" t="n"/>
      <x:c r="EE18" s="28" t="n"/>
      <x:c r="EF18" s="28" t="n"/>
      <x:c r="EG18" s="28" t="n"/>
      <x:c r="EH18" s="28" t="n"/>
      <x:c r="EI18" s="28" t="n"/>
      <x:c r="EJ18" s="28" t="n"/>
      <x:c r="EK18" s="28" t="n"/>
      <x:c r="EL18" s="28" t="n"/>
      <x:c r="EM18" s="28" t="n"/>
      <x:c r="EN18" s="28" t="n"/>
      <x:c r="EO18" s="28" t="n"/>
      <x:c r="EP18" s="28" t="n"/>
      <x:c r="EQ18" s="28" t="n"/>
      <x:c r="ER18" s="28" t="n"/>
      <x:c r="ES18" s="28" t="n"/>
      <x:c r="ET18" s="28" t="n"/>
      <x:c r="EU18" s="28" t="n"/>
      <x:c r="EV18" s="28" t="n"/>
      <x:c r="EW18" s="28" t="n"/>
      <x:c r="EX18" s="28" t="n"/>
      <x:c r="EY18" s="28" t="n"/>
      <x:c r="EZ18" s="28" t="n"/>
      <x:c r="FA18" s="28" t="n"/>
      <x:c r="FB18" s="28" t="n"/>
      <x:c r="FC18" s="28" t="n"/>
      <x:c r="FD18" s="28" t="n"/>
      <x:c r="FE18" s="28" t="n"/>
      <x:c r="FF18" s="28" t="n"/>
      <x:c r="FG18" s="28" t="n"/>
      <x:c r="FH18" s="28" t="n"/>
      <x:c r="FI18" s="28" t="n"/>
      <x:c r="FJ18" s="28" t="n"/>
      <x:c r="FK18" s="28" t="n"/>
      <x:c r="FL18" s="28" t="n"/>
      <x:c r="FM18" s="28" t="n"/>
      <x:c r="FN18" s="28" t="n"/>
      <x:c r="FO18" s="28" t="n"/>
      <x:c r="FP18" s="28" t="n"/>
    </x:row>
    <x:row r="19" s="27" customFormat="1">
      <x:c r="A19" s="38" t="n"/>
      <x:c r="B19" s="39" t="n"/>
      <x:c r="C19" s="90" t="inlineStr">
        <x:is>
          <x:t xml:space="preserve">N/A</x:t>
        </x:is>
      </x:c>
      <x:c r="D19" s="9" t="inlineStr">
        <x:is>
          <x:t xml:space="preserve">BHP Billiton Petroleum
Address not located after OKCountyRecords search 2026-07-03; indexed instrument has no party mailing address. Image on file — review required. Source: Bk 2385/72.</x:t>
        </x:is>
      </x:c>
      <x:c r="E19" s="91" t="n">
        <x:f>SUM(G19:HI19)</x:f>
        <x:v>-1</x:v>
      </x:c>
      <x:c r="F19" s="35" t="n"/>
      <x:c r="G19" s="121" t="n"/>
      <x:c r="H19" s="297" t="n"/>
      <x:c r="I19" s="301" t="n"/>
      <x:c r="J19" s="301" t="n"/>
      <x:c r="K19" s="301" t="n"/>
      <x:c r="L19" s="301" t="n"/>
      <x:c r="M19" s="297" t="n">
        <x:v>-1</x:v>
      </x:c>
      <x:c r="N19" s="299" t="n"/>
      <x:c r="O19" s="299" t="n"/>
      <x:c r="P19" s="299" t="n"/>
      <x:c r="Q19" s="299" t="n"/>
      <x:c r="R19" s="299" t="n"/>
      <x:c r="S19" s="299" t="n"/>
      <x:c r="T19" s="299" t="n"/>
      <x:c r="U19" s="299" t="n"/>
      <x:c r="V19" s="299" t="n"/>
      <x:c r="W19" s="299" t="n"/>
      <x:c r="X19" s="299" t="n"/>
      <x:c r="Y19" s="299" t="n"/>
      <x:c r="Z19" s="299" t="n"/>
      <x:c r="AA19" s="299" t="n"/>
      <x:c r="AB19" s="299" t="n"/>
      <x:c r="AC19" s="299" t="n"/>
      <x:c r="AD19" s="299" t="n"/>
      <x:c r="AE19" s="299" t="n"/>
      <x:c r="AF19" s="299" t="n"/>
      <x:c r="AG19" s="299" t="n"/>
      <x:c r="AH19" s="299" t="n"/>
      <x:c r="AI19" s="299" t="n"/>
      <x:c r="AJ19" s="299" t="n"/>
      <x:c r="AK19" s="299" t="n"/>
      <x:c r="AL19" s="299" t="n"/>
      <x:c r="AM19" s="299" t="n"/>
      <x:c r="AN19" s="299" t="n"/>
      <x:c r="AO19" s="299" t="n"/>
      <x:c r="AP19" s="299" t="n"/>
      <x:c r="AQ19" s="299" t="n"/>
      <x:c r="AR19" s="299" t="n"/>
      <x:c r="AS19" s="299" t="n"/>
      <x:c r="AT19" s="299" t="n"/>
      <x:c r="AU19" s="299" t="n"/>
      <x:c r="AV19" s="299" t="n"/>
      <x:c r="AW19" s="299" t="n"/>
      <x:c r="AX19" s="299" t="n"/>
      <x:c r="AY19" s="299" t="n"/>
      <x:c r="AZ19" s="299" t="n"/>
      <x:c r="BA19" s="299" t="n"/>
      <x:c r="BB19" s="299" t="n"/>
      <x:c r="BC19" s="299" t="n"/>
      <x:c r="BD19" s="299" t="n"/>
      <x:c r="BE19" s="299" t="n"/>
      <x:c r="BF19" s="299" t="n"/>
      <x:c r="BG19" s="299" t="n"/>
      <x:c r="BH19" s="299" t="n"/>
      <x:c r="BI19" s="299" t="n"/>
      <x:c r="BJ19" s="299" t="n"/>
      <x:c r="BK19" s="299" t="n"/>
      <x:c r="BL19" s="299" t="n"/>
      <x:c r="BM19" s="299" t="n"/>
      <x:c r="BN19" s="299" t="n"/>
      <x:c r="BO19" s="299" t="n"/>
      <x:c r="BP19" s="299" t="n"/>
      <x:c r="BQ19" s="299" t="n"/>
      <x:c r="BR19" s="299" t="n"/>
      <x:c r="BS19" s="299" t="n"/>
      <x:c r="BT19" s="299" t="n"/>
      <x:c r="BU19" s="299" t="n"/>
      <x:c r="BV19" s="299" t="n"/>
      <x:c r="BW19" s="299" t="n"/>
      <x:c r="BX19" s="299" t="n"/>
      <x:c r="BY19" s="299" t="n"/>
      <x:c r="BZ19" s="299" t="n"/>
      <x:c r="CA19" s="299" t="n"/>
      <x:c r="CB19" s="299" t="n"/>
      <x:c r="CC19" s="299" t="n"/>
      <x:c r="CD19" s="299" t="n"/>
      <x:c r="CE19" s="28" t="n"/>
      <x:c r="CF19" s="28" t="n"/>
      <x:c r="CG19" s="28" t="n"/>
      <x:c r="CH19" s="28" t="n"/>
      <x:c r="CI19" s="28" t="n"/>
      <x:c r="CJ19" s="28" t="n"/>
      <x:c r="CK19" s="28" t="n"/>
      <x:c r="CL19" s="28" t="n"/>
      <x:c r="CM19" s="28" t="n"/>
      <x:c r="CN19" s="28" t="n"/>
      <x:c r="CO19" s="28" t="n"/>
      <x:c r="CP19" s="28" t="n"/>
      <x:c r="CQ19" s="28" t="n"/>
      <x:c r="CR19" s="28" t="n"/>
      <x:c r="CS19" s="28" t="n"/>
      <x:c r="CT19" s="28" t="n"/>
      <x:c r="CU19" s="28" t="n"/>
      <x:c r="CV19" s="28" t="n"/>
      <x:c r="CW19" s="28" t="n"/>
      <x:c r="CX19" s="28" t="n"/>
      <x:c r="CY19" s="28" t="n"/>
      <x:c r="CZ19" s="28" t="n"/>
      <x:c r="DA19" s="28" t="n"/>
      <x:c r="DB19" s="28" t="n"/>
      <x:c r="DC19" s="28" t="n"/>
      <x:c r="DD19" s="28" t="n"/>
      <x:c r="DE19" s="28" t="n"/>
      <x:c r="DF19" s="28" t="n"/>
      <x:c r="DG19" s="28" t="n"/>
      <x:c r="DH19" s="28" t="n"/>
      <x:c r="DI19" s="28" t="n"/>
      <x:c r="DJ19" s="28" t="n"/>
      <x:c r="DK19" s="28" t="n"/>
      <x:c r="DL19" s="28" t="n"/>
      <x:c r="DM19" s="28" t="n"/>
      <x:c r="DN19" s="28" t="n"/>
      <x:c r="DO19" s="28" t="n"/>
      <x:c r="DP19" s="28" t="n"/>
      <x:c r="DQ19" s="28" t="n"/>
      <x:c r="DR19" s="28" t="n"/>
      <x:c r="DS19" s="28" t="n"/>
      <x:c r="DT19" s="28" t="n"/>
      <x:c r="DU19" s="28" t="n"/>
      <x:c r="DV19" s="28" t="n"/>
      <x:c r="DW19" s="28" t="n"/>
      <x:c r="DX19" s="28" t="n"/>
      <x:c r="DY19" s="28" t="n"/>
      <x:c r="DZ19" s="28" t="n"/>
      <x:c r="EA19" s="28" t="n"/>
      <x:c r="EB19" s="28" t="n"/>
      <x:c r="EC19" s="28" t="n"/>
      <x:c r="ED19" s="28" t="n"/>
      <x:c r="EE19" s="28" t="n"/>
      <x:c r="EF19" s="28" t="n"/>
      <x:c r="EG19" s="28" t="n"/>
      <x:c r="EH19" s="28" t="n"/>
      <x:c r="EI19" s="28" t="n"/>
      <x:c r="EJ19" s="28" t="n"/>
      <x:c r="EK19" s="28" t="n"/>
      <x:c r="EL19" s="28" t="n"/>
      <x:c r="EM19" s="28" t="n"/>
      <x:c r="EN19" s="28" t="n"/>
      <x:c r="EO19" s="28" t="n"/>
      <x:c r="EP19" s="28" t="n"/>
      <x:c r="EQ19" s="28" t="n"/>
      <x:c r="ER19" s="28" t="n"/>
      <x:c r="ES19" s="28" t="n"/>
      <x:c r="ET19" s="28" t="n"/>
      <x:c r="EU19" s="28" t="n"/>
      <x:c r="EV19" s="28" t="n"/>
      <x:c r="EW19" s="28" t="n"/>
      <x:c r="EX19" s="28" t="n"/>
      <x:c r="EY19" s="28" t="n"/>
      <x:c r="EZ19" s="28" t="n"/>
      <x:c r="FA19" s="28" t="n"/>
      <x:c r="FB19" s="28" t="n"/>
      <x:c r="FC19" s="28" t="n"/>
      <x:c r="FD19" s="28" t="n"/>
      <x:c r="FE19" s="28" t="n"/>
      <x:c r="FF19" s="28" t="n"/>
      <x:c r="FG19" s="28" t="n"/>
      <x:c r="FH19" s="28" t="n"/>
      <x:c r="FI19" s="28" t="n"/>
      <x:c r="FJ19" s="28" t="n"/>
      <x:c r="FK19" s="28" t="n"/>
      <x:c r="FL19" s="28" t="n"/>
      <x:c r="FM19" s="28" t="n"/>
      <x:c r="FN19" s="28" t="n"/>
      <x:c r="FO19" s="28" t="n"/>
      <x:c r="FP19" s="28" t="n"/>
    </x:row>
    <x:row r="20" s="27" customFormat="1">
      <x:c r="A20" s="38" t="n"/>
      <x:c r="B20" s="39" t="n"/>
      <x:c r="C20" s="90" t="inlineStr">
        <x:is>
          <x:t xml:space="preserve">N/A</x:t>
        </x:is>
      </x:c>
      <x:c r="D20" s="664" t="inlineStr">
        <x:is>
          <x:t xml:space="preserve">Cohete Rojo, LLC
401 South Boston Avenue, Suite 1900
Tulsa, OK 74103</x:t>
        </x:is>
      </x:c>
      <x:c r="E20" s="91" t="n">
        <x:f>SUM(G20:HI20)</x:f>
        <x:v>1</x:v>
      </x:c>
      <x:c r="F20" s="35" t="n"/>
      <x:c r="G20" s="121" t="n"/>
      <x:c r="H20" s="297" t="n"/>
      <x:c r="I20" s="301" t="n"/>
      <x:c r="J20" s="301" t="n"/>
      <x:c r="K20" s="301" t="n"/>
      <x:c r="L20" s="301" t="n"/>
      <x:c r="M20" s="297" t="n">
        <x:v>1</x:v>
      </x:c>
      <x:c r="N20" s="299" t="n"/>
      <x:c r="O20" s="299" t="n"/>
      <x:c r="P20" s="299" t="n"/>
      <x:c r="Q20" s="299" t="n"/>
      <x:c r="R20" s="299" t="n"/>
      <x:c r="S20" s="299" t="n"/>
      <x:c r="T20" s="299" t="n"/>
      <x:c r="U20" s="299" t="n"/>
      <x:c r="V20" s="299" t="n"/>
      <x:c r="W20" s="299" t="n"/>
      <x:c r="X20" s="299" t="n"/>
      <x:c r="Y20" s="299" t="n"/>
      <x:c r="Z20" s="299" t="n"/>
      <x:c r="AA20" s="299" t="n"/>
      <x:c r="AB20" s="299" t="n"/>
      <x:c r="AC20" s="299" t="n"/>
      <x:c r="AD20" s="299" t="n"/>
      <x:c r="AE20" s="299" t="n"/>
      <x:c r="AF20" s="299" t="n"/>
      <x:c r="AG20" s="299" t="n"/>
      <x:c r="AH20" s="299" t="n"/>
      <x:c r="AI20" s="299" t="n"/>
      <x:c r="AJ20" s="299" t="n"/>
      <x:c r="AK20" s="299" t="n"/>
      <x:c r="AL20" s="299" t="n"/>
      <x:c r="AM20" s="299" t="n"/>
      <x:c r="AN20" s="299" t="n"/>
      <x:c r="AO20" s="299" t="n"/>
      <x:c r="AP20" s="299" t="n"/>
      <x:c r="AQ20" s="299" t="n"/>
      <x:c r="AR20" s="299" t="n"/>
      <x:c r="AS20" s="299" t="n"/>
      <x:c r="AT20" s="299" t="n"/>
      <x:c r="AU20" s="299" t="n"/>
      <x:c r="AV20" s="299" t="n"/>
      <x:c r="AW20" s="299" t="n"/>
      <x:c r="AX20" s="299" t="n"/>
      <x:c r="AY20" s="299" t="n"/>
      <x:c r="AZ20" s="299" t="n"/>
      <x:c r="BA20" s="299" t="n"/>
      <x:c r="BB20" s="299" t="n"/>
      <x:c r="BC20" s="299" t="n"/>
      <x:c r="BD20" s="299" t="n"/>
      <x:c r="BE20" s="299" t="n"/>
      <x:c r="BF20" s="299" t="n"/>
      <x:c r="BG20" s="299" t="n"/>
      <x:c r="BH20" s="299" t="n"/>
      <x:c r="BI20" s="299" t="n"/>
      <x:c r="BJ20" s="299" t="n"/>
      <x:c r="BK20" s="299" t="n"/>
      <x:c r="BL20" s="299" t="n"/>
      <x:c r="BM20" s="299" t="n"/>
      <x:c r="BN20" s="299" t="n"/>
      <x:c r="BO20" s="299" t="n"/>
      <x:c r="BP20" s="299" t="n"/>
      <x:c r="BQ20" s="299" t="n"/>
      <x:c r="BR20" s="299" t="n"/>
      <x:c r="BS20" s="299" t="n"/>
      <x:c r="BT20" s="299" t="n"/>
      <x:c r="BU20" s="299" t="n"/>
      <x:c r="BV20" s="299" t="n"/>
      <x:c r="BW20" s="299" t="n"/>
      <x:c r="BX20" s="299" t="n"/>
      <x:c r="BY20" s="299" t="n"/>
      <x:c r="BZ20" s="299" t="n"/>
      <x:c r="CA20" s="299" t="n"/>
      <x:c r="CB20" s="299" t="n"/>
      <x:c r="CC20" s="299" t="n"/>
      <x:c r="CD20" s="299" t="n"/>
      <x:c r="CE20" s="28" t="n"/>
      <x:c r="CF20" s="28" t="n"/>
      <x:c r="CG20" s="28" t="n"/>
      <x:c r="CH20" s="28" t="n"/>
      <x:c r="CI20" s="28" t="n"/>
      <x:c r="CJ20" s="28" t="n"/>
      <x:c r="CK20" s="28" t="n"/>
      <x:c r="CL20" s="28" t="n"/>
      <x:c r="CM20" s="28" t="n"/>
      <x:c r="CN20" s="28" t="n"/>
      <x:c r="CO20" s="28" t="n"/>
      <x:c r="CP20" s="28" t="n"/>
      <x:c r="CQ20" s="28" t="n"/>
      <x:c r="CR20" s="28" t="n"/>
      <x:c r="CS20" s="28" t="n"/>
      <x:c r="CT20" s="28" t="n"/>
      <x:c r="CU20" s="28" t="n"/>
      <x:c r="CV20" s="28" t="n"/>
      <x:c r="CW20" s="28" t="n"/>
      <x:c r="CX20" s="28" t="n"/>
      <x:c r="CY20" s="28" t="n"/>
      <x:c r="CZ20" s="28" t="n"/>
      <x:c r="DA20" s="28" t="n"/>
      <x:c r="DB20" s="28" t="n"/>
      <x:c r="DC20" s="28" t="n"/>
      <x:c r="DD20" s="28" t="n"/>
      <x:c r="DE20" s="28" t="n"/>
      <x:c r="DF20" s="28" t="n"/>
      <x:c r="DG20" s="28" t="n"/>
      <x:c r="DH20" s="28" t="n"/>
      <x:c r="DI20" s="28" t="n"/>
      <x:c r="DJ20" s="28" t="n"/>
      <x:c r="DK20" s="28" t="n"/>
      <x:c r="DL20" s="28" t="n"/>
      <x:c r="DM20" s="28" t="n"/>
      <x:c r="DN20" s="28" t="n"/>
      <x:c r="DO20" s="28" t="n"/>
      <x:c r="DP20" s="28" t="n"/>
      <x:c r="DQ20" s="28" t="n"/>
      <x:c r="DR20" s="28" t="n"/>
      <x:c r="DS20" s="28" t="n"/>
      <x:c r="DT20" s="28" t="n"/>
      <x:c r="DU20" s="28" t="n"/>
      <x:c r="DV20" s="28" t="n"/>
      <x:c r="DW20" s="28" t="n"/>
      <x:c r="DX20" s="28" t="n"/>
      <x:c r="DY20" s="28" t="n"/>
      <x:c r="DZ20" s="28" t="n"/>
      <x:c r="EA20" s="28" t="n"/>
      <x:c r="EB20" s="28" t="n"/>
      <x:c r="EC20" s="28" t="n"/>
      <x:c r="ED20" s="28" t="n"/>
      <x:c r="EE20" s="28" t="n"/>
      <x:c r="EF20" s="28" t="n"/>
      <x:c r="EG20" s="28" t="n"/>
      <x:c r="EH20" s="28" t="n"/>
      <x:c r="EI20" s="28" t="n"/>
      <x:c r="EJ20" s="28" t="n"/>
      <x:c r="EK20" s="28" t="n"/>
      <x:c r="EL20" s="28" t="n"/>
      <x:c r="EM20" s="28" t="n"/>
      <x:c r="EN20" s="28" t="n"/>
      <x:c r="EO20" s="28" t="n"/>
      <x:c r="EP20" s="28" t="n"/>
      <x:c r="EQ20" s="28" t="n"/>
      <x:c r="ER20" s="28" t="n"/>
      <x:c r="ES20" s="28" t="n"/>
      <x:c r="ET20" s="28" t="n"/>
      <x:c r="EU20" s="28" t="n"/>
      <x:c r="EV20" s="28" t="n"/>
      <x:c r="EW20" s="28" t="n"/>
      <x:c r="EX20" s="28" t="n"/>
      <x:c r="EY20" s="28" t="n"/>
      <x:c r="EZ20" s="28" t="n"/>
      <x:c r="FA20" s="28" t="n"/>
      <x:c r="FB20" s="28" t="n"/>
      <x:c r="FC20" s="28" t="n"/>
      <x:c r="FD20" s="28" t="n"/>
      <x:c r="FE20" s="28" t="n"/>
      <x:c r="FF20" s="28" t="n"/>
      <x:c r="FG20" s="28" t="n"/>
      <x:c r="FH20" s="28" t="n"/>
      <x:c r="FI20" s="28" t="n"/>
      <x:c r="FJ20" s="28" t="n"/>
      <x:c r="FK20" s="28" t="n"/>
      <x:c r="FL20" s="28" t="n"/>
      <x:c r="FM20" s="28" t="n"/>
      <x:c r="FN20" s="28" t="n"/>
      <x:c r="FO20" s="28" t="n"/>
      <x:c r="FP20" s="28" t="n"/>
    </x:row>
    <x:row r="21" s="27" customFormat="1">
      <x:c r="A21" s="38" t="n"/>
      <x:c r="B21" s="39" t="n"/>
      <x:c r="C21" s="90" t="inlineStr">
        <x:is>
          <x:t xml:space="preserve">N/A</x:t>
        </x:is>
      </x:c>
      <x:c r="D21" s="664" t="inlineStr">
        <x:is>
          <x:t xml:space="preserve">TE Holdco RP, LLC et al
401 South Boston Avenue, Suite 1900
Tulsa, OK 74103</x:t>
        </x:is>
      </x:c>
      <x:c r="E21" s="91" t="n">
        <x:f>SUM(G21:HI21)</x:f>
        <x:v>0</x:v>
      </x:c>
      <x:c r="F21" s="35" t="n"/>
      <x:c r="G21" s="121" t="n"/>
      <x:c r="H21" s="299" t="n"/>
      <x:c r="I21" s="299" t="n"/>
      <x:c r="J21" s="299" t="n"/>
      <x:c r="K21" s="299" t="n"/>
      <x:c r="L21" s="299" t="n"/>
      <x:c r="M21" s="299" t="n"/>
      <x:c r="N21" s="299" t="n"/>
      <x:c r="O21" s="299" t="n"/>
      <x:c r="P21" s="299" t="n"/>
      <x:c r="Q21" s="299" t="n"/>
      <x:c r="R21" s="299" t="n"/>
      <x:c r="S21" s="299" t="n"/>
      <x:c r="T21" s="299" t="n"/>
      <x:c r="U21" s="299" t="n"/>
      <x:c r="V21" s="299" t="n"/>
      <x:c r="W21" s="299" t="n"/>
      <x:c r="X21" s="299" t="n"/>
      <x:c r="Y21" s="299" t="n"/>
      <x:c r="Z21" s="299" t="n"/>
      <x:c r="AA21" s="299" t="n"/>
      <x:c r="AB21" s="299" t="n"/>
      <x:c r="AC21" s="299" t="n"/>
      <x:c r="AD21" s="299" t="n"/>
      <x:c r="AE21" s="299" t="n"/>
      <x:c r="AF21" s="299" t="n"/>
      <x:c r="AG21" s="299" t="n"/>
      <x:c r="AH21" s="299" t="n"/>
      <x:c r="AI21" s="299" t="n"/>
      <x:c r="AJ21" s="299" t="n"/>
      <x:c r="AK21" s="299" t="n"/>
      <x:c r="AL21" s="299" t="n"/>
      <x:c r="AM21" s="299" t="n"/>
      <x:c r="AN21" s="299" t="n"/>
      <x:c r="AO21" s="299" t="n"/>
      <x:c r="AP21" s="299" t="n"/>
      <x:c r="AQ21" s="299" t="n"/>
      <x:c r="AR21" s="299" t="n"/>
      <x:c r="AS21" s="299" t="n"/>
      <x:c r="AT21" s="299" t="n"/>
      <x:c r="AU21" s="299" t="n"/>
      <x:c r="AV21" s="299" t="n"/>
      <x:c r="AW21" s="299" t="n"/>
      <x:c r="AX21" s="299" t="n"/>
      <x:c r="AY21" s="299" t="n"/>
      <x:c r="AZ21" s="299" t="n"/>
      <x:c r="BA21" s="299" t="n"/>
      <x:c r="BB21" s="299" t="n"/>
      <x:c r="BC21" s="299" t="n"/>
      <x:c r="BD21" s="299" t="n"/>
      <x:c r="BE21" s="299" t="n"/>
      <x:c r="BF21" s="299" t="n"/>
      <x:c r="BG21" s="299" t="n"/>
      <x:c r="BH21" s="299" t="n"/>
      <x:c r="BI21" s="299" t="n"/>
      <x:c r="BJ21" s="299" t="n"/>
      <x:c r="BK21" s="299" t="n"/>
      <x:c r="BL21" s="299" t="n"/>
      <x:c r="BM21" s="299" t="n"/>
      <x:c r="BN21" s="299" t="n"/>
      <x:c r="BO21" s="299" t="n"/>
      <x:c r="BP21" s="299" t="n"/>
      <x:c r="BQ21" s="299" t="n"/>
      <x:c r="BR21" s="299" t="n"/>
      <x:c r="BS21" s="299" t="n"/>
      <x:c r="BT21" s="299" t="n"/>
      <x:c r="BU21" s="299" t="n"/>
      <x:c r="BV21" s="299" t="n"/>
      <x:c r="BW21" s="299" t="n"/>
      <x:c r="BX21" s="299" t="n"/>
      <x:c r="BY21" s="299" t="n"/>
      <x:c r="BZ21" s="299" t="n"/>
      <x:c r="CA21" s="299" t="n"/>
      <x:c r="CB21" s="299" t="n"/>
      <x:c r="CC21" s="299" t="n"/>
      <x:c r="CD21" s="299" t="n"/>
      <x:c r="CE21" s="28" t="n"/>
      <x:c r="CF21" s="28" t="n"/>
      <x:c r="CG21" s="28" t="n"/>
      <x:c r="CH21" s="28" t="n"/>
      <x:c r="CI21" s="28" t="n"/>
      <x:c r="CJ21" s="28" t="n"/>
      <x:c r="CK21" s="28" t="n"/>
      <x:c r="CL21" s="28" t="n"/>
      <x:c r="CM21" s="28" t="n"/>
      <x:c r="CN21" s="28" t="n"/>
      <x:c r="CO21" s="28" t="n"/>
      <x:c r="CP21" s="28" t="n"/>
      <x:c r="CQ21" s="28" t="n"/>
      <x:c r="CR21" s="28" t="n"/>
      <x:c r="CS21" s="28" t="n"/>
      <x:c r="CT21" s="28" t="n"/>
      <x:c r="CU21" s="28" t="n"/>
      <x:c r="CV21" s="28" t="n"/>
      <x:c r="CW21" s="28" t="n"/>
      <x:c r="CX21" s="28" t="n"/>
      <x:c r="CY21" s="28" t="n"/>
      <x:c r="CZ21" s="28" t="n"/>
      <x:c r="DA21" s="28" t="n"/>
      <x:c r="DB21" s="28" t="n"/>
      <x:c r="DC21" s="28" t="n"/>
      <x:c r="DD21" s="28" t="n"/>
      <x:c r="DE21" s="28" t="n"/>
      <x:c r="DF21" s="28" t="n"/>
      <x:c r="DG21" s="28" t="n"/>
      <x:c r="DH21" s="28" t="n"/>
      <x:c r="DI21" s="28" t="n"/>
      <x:c r="DJ21" s="28" t="n"/>
      <x:c r="DK21" s="28" t="n"/>
      <x:c r="DL21" s="28" t="n"/>
      <x:c r="DM21" s="28" t="n"/>
      <x:c r="DN21" s="28" t="n"/>
      <x:c r="DO21" s="28" t="n"/>
      <x:c r="DP21" s="28" t="n"/>
      <x:c r="DQ21" s="28" t="n"/>
      <x:c r="DR21" s="28" t="n"/>
      <x:c r="DS21" s="28" t="n"/>
      <x:c r="DT21" s="28" t="n"/>
      <x:c r="DU21" s="28" t="n"/>
      <x:c r="DV21" s="28" t="n"/>
      <x:c r="DW21" s="28" t="n"/>
      <x:c r="DX21" s="28" t="n"/>
      <x:c r="DY21" s="28" t="n"/>
      <x:c r="DZ21" s="28" t="n"/>
      <x:c r="EA21" s="28" t="n"/>
      <x:c r="EB21" s="28" t="n"/>
      <x:c r="EC21" s="28" t="n"/>
      <x:c r="ED21" s="28" t="n"/>
      <x:c r="EE21" s="28" t="n"/>
      <x:c r="EF21" s="28" t="n"/>
      <x:c r="EG21" s="28" t="n"/>
      <x:c r="EH21" s="28" t="n"/>
      <x:c r="EI21" s="28" t="n"/>
      <x:c r="EJ21" s="28" t="n"/>
      <x:c r="EK21" s="28" t="n"/>
      <x:c r="EL21" s="28" t="n"/>
      <x:c r="EM21" s="28" t="n"/>
      <x:c r="EN21" s="28" t="n"/>
      <x:c r="EO21" s="28" t="n"/>
      <x:c r="EP21" s="28" t="n"/>
      <x:c r="EQ21" s="28" t="n"/>
      <x:c r="ER21" s="28" t="n"/>
      <x:c r="ES21" s="28" t="n"/>
      <x:c r="ET21" s="28" t="n"/>
      <x:c r="EU21" s="28" t="n"/>
      <x:c r="EV21" s="28" t="n"/>
      <x:c r="EW21" s="28" t="n"/>
      <x:c r="EX21" s="28" t="n"/>
      <x:c r="EY21" s="28" t="n"/>
      <x:c r="EZ21" s="28" t="n"/>
      <x:c r="FA21" s="28" t="n"/>
      <x:c r="FB21" s="28" t="n"/>
      <x:c r="FC21" s="28" t="n"/>
      <x:c r="FD21" s="28" t="n"/>
      <x:c r="FE21" s="28" t="n"/>
      <x:c r="FF21" s="28" t="n"/>
      <x:c r="FG21" s="28" t="n"/>
      <x:c r="FH21" s="28" t="n"/>
      <x:c r="FI21" s="28" t="n"/>
      <x:c r="FJ21" s="28" t="n"/>
      <x:c r="FK21" s="28" t="n"/>
      <x:c r="FL21" s="28" t="n"/>
      <x:c r="FM21" s="28" t="n"/>
      <x:c r="FN21" s="28" t="n"/>
      <x:c r="FO21" s="28" t="n"/>
      <x:c r="FP21" s="28" t="n"/>
    </x:row>
    <x:row r="22" s="27" customFormat="1">
      <x:c r="B22" s="39" t="n"/>
      <x:c r="C22" s="90" t="inlineStr">
        <x:is>
          <x:t xml:space="preserve">N/A</x:t>
        </x:is>
      </x:c>
      <x:c r="D22" s="523" t="inlineStr">
        <x:is>
          <x:t xml:space="preserve">Presidio Wab, LLC
Address not located after OKCountyRecords search 2026-07-03; indexed instrument has no party mailing address. Image on file — review required. Source: Bk 2449/333.</x:t>
        </x:is>
      </x:c>
      <x:c r="E22" s="91" t="n">
        <x:f>SUM(G22:HI22)</x:f>
        <x:v>0</x:v>
      </x:c>
      <x:c r="F22" s="35" t="n"/>
      <x:c r="G22" s="121" t="n"/>
      <x:c r="H22" s="302" t="n"/>
      <x:c r="I22" s="302" t="n"/>
      <x:c r="J22" s="302" t="n"/>
      <x:c r="K22" s="302" t="n"/>
      <x:c r="L22" s="302" t="n"/>
      <x:c r="M22" s="302" t="n"/>
      <x:c r="N22" s="302" t="n"/>
      <x:c r="O22" s="302" t="n"/>
      <x:c r="P22" s="302" t="n"/>
      <x:c r="Q22" s="302" t="n"/>
      <x:c r="R22" s="302" t="n"/>
      <x:c r="S22" s="302" t="n"/>
      <x:c r="T22" s="302" t="n"/>
      <x:c r="U22" s="302" t="n"/>
      <x:c r="V22" s="302" t="n"/>
      <x:c r="W22" s="302" t="n"/>
      <x:c r="X22" s="302" t="n"/>
      <x:c r="Y22" s="302" t="n"/>
      <x:c r="Z22" s="302" t="n"/>
      <x:c r="AA22" s="302" t="n"/>
      <x:c r="AB22" s="302" t="n"/>
      <x:c r="AC22" s="302" t="n"/>
      <x:c r="AD22" s="302" t="n"/>
      <x:c r="AE22" s="302" t="n"/>
      <x:c r="AF22" s="302" t="n"/>
      <x:c r="AG22" s="302" t="n"/>
      <x:c r="AH22" s="302" t="n"/>
      <x:c r="AI22" s="302" t="n"/>
      <x:c r="AJ22" s="302" t="n"/>
      <x:c r="AK22" s="302" t="n"/>
      <x:c r="AL22" s="302" t="n"/>
      <x:c r="AM22" s="302" t="n"/>
      <x:c r="AN22" s="302" t="n"/>
      <x:c r="AO22" s="302" t="n"/>
      <x:c r="AP22" s="302" t="n"/>
      <x:c r="AQ22" s="302" t="n"/>
      <x:c r="AR22" s="302" t="n"/>
      <x:c r="AS22" s="302" t="n"/>
      <x:c r="AT22" s="302" t="n"/>
      <x:c r="AU22" s="302" t="n"/>
      <x:c r="AV22" s="302" t="n"/>
      <x:c r="AW22" s="302" t="n"/>
      <x:c r="AX22" s="302" t="n"/>
      <x:c r="AY22" s="302" t="n"/>
      <x:c r="AZ22" s="302" t="n"/>
      <x:c r="BA22" s="302" t="n"/>
      <x:c r="BB22" s="302" t="n"/>
      <x:c r="BC22" s="302" t="n"/>
      <x:c r="BD22" s="302" t="n"/>
      <x:c r="BE22" s="302" t="n"/>
      <x:c r="BF22" s="302" t="n"/>
      <x:c r="BG22" s="302" t="n"/>
      <x:c r="BH22" s="302" t="n"/>
      <x:c r="BI22" s="302" t="n"/>
      <x:c r="BJ22" s="302" t="n"/>
      <x:c r="BK22" s="302" t="n"/>
      <x:c r="BL22" s="302" t="n"/>
      <x:c r="BM22" s="302" t="n"/>
      <x:c r="BN22" s="302" t="n"/>
      <x:c r="BO22" s="302" t="n"/>
      <x:c r="BP22" s="302" t="n"/>
      <x:c r="BQ22" s="302" t="n"/>
      <x:c r="BR22" s="302" t="n"/>
      <x:c r="BS22" s="302" t="n"/>
      <x:c r="BT22" s="302" t="n"/>
      <x:c r="BU22" s="302" t="n"/>
      <x:c r="BV22" s="302" t="n"/>
      <x:c r="BW22" s="302" t="n"/>
      <x:c r="BX22" s="302" t="n"/>
      <x:c r="BY22" s="302" t="n"/>
      <x:c r="BZ22" s="302" t="n"/>
      <x:c r="CA22" s="302" t="n"/>
      <x:c r="CB22" s="302" t="n"/>
      <x:c r="CC22" s="302" t="n"/>
      <x:c r="CD22" s="302" t="n"/>
    </x:row>
    <x:row r="23" s="27" customFormat="1">
      <x:c r="B23" s="39" t="n"/>
      <x:c r="C23" s="90" t="inlineStr">
        <x:is>
          <x:t xml:space="preserve">N/A</x:t>
        </x:is>
      </x:c>
      <x:c r="D23" s="665" t="inlineStr">
        <x:is>
          <x:t xml:space="preserve">Mustang Fuel Corporation
9800 NORTH OKLAHOMA AVENUE
OKLAHOMA CITY, OK 73114</x:t>
        </x:is>
      </x:c>
      <x:c r="E23" s="91" t="n">
        <x:f>SUM(G23:HI23)</x:f>
        <x:v>0</x:v>
      </x:c>
      <x:c r="F23" s="35" t="n"/>
      <x:c r="G23" s="121" t="n"/>
      <x:c r="H23" s="302" t="n"/>
      <x:c r="I23" s="302" t="n"/>
      <x:c r="J23" s="302" t="n"/>
      <x:c r="K23" s="302" t="n"/>
      <x:c r="L23" s="302" t="n"/>
      <x:c r="M23" s="302" t="n"/>
      <x:c r="N23" s="302" t="n"/>
      <x:c r="O23" s="302" t="n"/>
      <x:c r="P23" s="302" t="n"/>
      <x:c r="Q23" s="302" t="n"/>
      <x:c r="R23" s="302" t="n"/>
      <x:c r="S23" s="302" t="n"/>
      <x:c r="T23" s="302" t="n"/>
      <x:c r="U23" s="302" t="n"/>
      <x:c r="V23" s="302" t="n"/>
      <x:c r="W23" s="302" t="n"/>
      <x:c r="X23" s="302" t="n"/>
      <x:c r="Y23" s="302" t="n"/>
      <x:c r="Z23" s="302" t="n"/>
      <x:c r="AA23" s="302" t="n"/>
      <x:c r="AB23" s="302" t="n"/>
      <x:c r="AC23" s="302" t="n"/>
      <x:c r="AD23" s="302" t="n"/>
      <x:c r="AE23" s="302" t="n"/>
      <x:c r="AF23" s="302" t="n"/>
      <x:c r="AG23" s="302" t="n"/>
      <x:c r="AH23" s="302" t="n"/>
      <x:c r="AI23" s="302" t="n"/>
      <x:c r="AJ23" s="302" t="n"/>
      <x:c r="AK23" s="302" t="n"/>
      <x:c r="AL23" s="302" t="n"/>
      <x:c r="AM23" s="302" t="n"/>
      <x:c r="AN23" s="302" t="n"/>
      <x:c r="AO23" s="302" t="n"/>
      <x:c r="AP23" s="302" t="n"/>
      <x:c r="AQ23" s="302" t="n"/>
      <x:c r="AR23" s="302" t="n"/>
      <x:c r="AS23" s="302" t="n"/>
      <x:c r="AT23" s="302" t="n"/>
      <x:c r="AU23" s="302" t="n"/>
      <x:c r="AV23" s="302" t="n"/>
      <x:c r="AW23" s="302" t="n"/>
      <x:c r="AX23" s="302" t="n"/>
      <x:c r="AY23" s="302" t="n"/>
      <x:c r="AZ23" s="302" t="n"/>
      <x:c r="BA23" s="302" t="n"/>
      <x:c r="BB23" s="302" t="n"/>
      <x:c r="BC23" s="302" t="n"/>
      <x:c r="BD23" s="302" t="n"/>
      <x:c r="BE23" s="302" t="n"/>
      <x:c r="BF23" s="302" t="n"/>
      <x:c r="BG23" s="302" t="n"/>
      <x:c r="BH23" s="302" t="n"/>
      <x:c r="BI23" s="302" t="n"/>
      <x:c r="BJ23" s="302" t="n"/>
      <x:c r="BK23" s="302" t="n"/>
      <x:c r="BL23" s="302" t="n"/>
      <x:c r="BM23" s="302" t="n"/>
      <x:c r="BN23" s="302" t="n"/>
      <x:c r="BO23" s="302" t="n"/>
      <x:c r="BP23" s="302" t="n"/>
      <x:c r="BQ23" s="302" t="n"/>
      <x:c r="BR23" s="302" t="n"/>
      <x:c r="BS23" s="302" t="n"/>
      <x:c r="BT23" s="302" t="n"/>
      <x:c r="BU23" s="302" t="n"/>
      <x:c r="BV23" s="302" t="n"/>
      <x:c r="BW23" s="302" t="n"/>
      <x:c r="BX23" s="302" t="n"/>
      <x:c r="BY23" s="302" t="n"/>
      <x:c r="BZ23" s="302" t="n"/>
      <x:c r="CA23" s="302" t="n"/>
      <x:c r="CB23" s="302" t="n"/>
      <x:c r="CC23" s="302" t="n"/>
      <x:c r="CD23" s="302" t="n"/>
    </x:row>
    <x:row r="24" s="27" customFormat="1">
      <x:c r="B24" s="39" t="n"/>
      <x:c r="C24" s="90" t="inlineStr">
        <x:is>
          <x:t xml:space="preserve">N/A</x:t>
        </x:is>
      </x:c>
      <x:c r="D24" s="662" t="inlineStr">
        <x:is>
          <x:t xml:space="preserve">Hani Tabally
429 Sharon Drive
Corpus Christi, TX 78412</x:t>
        </x:is>
      </x:c>
      <x:c r="E24" s="91" t="n">
        <x:f>SUM(G24:HI24)</x:f>
        <x:v>-1</x:v>
      </x:c>
      <x:c r="F24" s="35" t="n"/>
      <x:c r="G24" s="121" t="n"/>
      <x:c r="H24" s="302" t="n"/>
      <x:c r="I24" s="302" t="n"/>
      <x:c r="J24" s="302" t="n"/>
      <x:c r="K24" s="302" t="n"/>
      <x:c r="L24" s="302" t="n"/>
      <x:c r="M24" s="302" t="n"/>
      <x:c r="N24" s="302" t="n"/>
      <x:c r="O24" s="302" t="n"/>
      <x:c r="P24" s="302" t="n">
        <x:v>-1</x:v>
      </x:c>
      <x:c r="Q24" s="302" t="n"/>
      <x:c r="R24" s="302" t="n"/>
      <x:c r="S24" s="302" t="n"/>
      <x:c r="T24" s="302" t="n"/>
      <x:c r="U24" s="302" t="n"/>
      <x:c r="V24" s="302" t="n"/>
      <x:c r="W24" s="302" t="n"/>
      <x:c r="X24" s="302" t="n"/>
      <x:c r="Y24" s="302" t="n"/>
      <x:c r="Z24" s="302" t="n"/>
      <x:c r="AA24" s="302" t="n"/>
      <x:c r="AB24" s="302" t="n"/>
      <x:c r="AC24" s="302" t="n"/>
      <x:c r="AD24" s="302" t="n"/>
      <x:c r="AE24" s="302" t="n"/>
      <x:c r="AF24" s="302" t="n"/>
      <x:c r="AG24" s="302" t="n"/>
      <x:c r="AH24" s="302" t="n"/>
      <x:c r="AI24" s="302" t="n"/>
      <x:c r="AJ24" s="302" t="n"/>
      <x:c r="AK24" s="302" t="n"/>
      <x:c r="AL24" s="302" t="n"/>
      <x:c r="AM24" s="302" t="n"/>
      <x:c r="AN24" s="302" t="n"/>
      <x:c r="AO24" s="302" t="n"/>
      <x:c r="AP24" s="302" t="n"/>
      <x:c r="AQ24" s="302" t="n"/>
      <x:c r="AR24" s="302" t="n"/>
      <x:c r="AS24" s="302" t="n"/>
      <x:c r="AT24" s="302" t="n"/>
      <x:c r="AU24" s="302" t="n"/>
      <x:c r="AV24" s="302" t="n"/>
      <x:c r="AW24" s="302" t="n"/>
      <x:c r="AX24" s="302" t="n"/>
      <x:c r="AY24" s="302" t="n"/>
      <x:c r="AZ24" s="302" t="n"/>
      <x:c r="BA24" s="302" t="n"/>
      <x:c r="BB24" s="302" t="n"/>
      <x:c r="BC24" s="302" t="n"/>
      <x:c r="BD24" s="302" t="n"/>
      <x:c r="BE24" s="302" t="n"/>
      <x:c r="BF24" s="302" t="n"/>
      <x:c r="BG24" s="302" t="n"/>
      <x:c r="BH24" s="302" t="n"/>
      <x:c r="BI24" s="302" t="n"/>
      <x:c r="BJ24" s="302" t="n"/>
      <x:c r="BK24" s="302" t="n"/>
      <x:c r="BL24" s="302" t="n"/>
      <x:c r="BM24" s="302" t="n"/>
      <x:c r="BN24" s="302" t="n"/>
      <x:c r="BO24" s="302" t="n"/>
      <x:c r="BP24" s="302" t="n"/>
      <x:c r="BQ24" s="302" t="n"/>
      <x:c r="BR24" s="302" t="n"/>
      <x:c r="BS24" s="302" t="n"/>
      <x:c r="BT24" s="302" t="n"/>
      <x:c r="BU24" s="302" t="n"/>
      <x:c r="BV24" s="302" t="n"/>
      <x:c r="BW24" s="302" t="n"/>
      <x:c r="BX24" s="302" t="n"/>
      <x:c r="BY24" s="302" t="n"/>
      <x:c r="BZ24" s="302" t="n"/>
      <x:c r="CA24" s="302" t="n"/>
      <x:c r="CB24" s="302" t="n"/>
      <x:c r="CC24" s="302" t="n"/>
      <x:c r="CD24" s="302" t="n"/>
    </x:row>
    <x:row r="25" s="27" customFormat="1">
      <x:c r="B25" s="39" t="n"/>
      <x:c r="C25" s="90" t="inlineStr">
        <x:is>
          <x:t xml:space="preserve">N/A</x:t>
        </x:is>
      </x:c>
      <x:c r="D25" s="662" t="inlineStr">
        <x:is>
          <x:t xml:space="preserve">Santos J. Dominguez
429 Sharon Drive
Corpus Christi, TX 78412</x:t>
        </x:is>
      </x:c>
      <x:c r="E25" s="91" t="n">
        <x:f>SUM(G25:HI25)</x:f>
        <x:v>1</x:v>
      </x:c>
      <x:c r="F25" s="35" t="n"/>
      <x:c r="G25" s="121" t="n"/>
      <x:c r="H25" s="302" t="n"/>
      <x:c r="I25" s="302" t="n"/>
      <x:c r="J25" s="302" t="n"/>
      <x:c r="K25" s="302" t="n"/>
      <x:c r="L25" s="302" t="n"/>
      <x:c r="M25" s="302" t="n"/>
      <x:c r="N25" s="302" t="n"/>
      <x:c r="O25" s="302" t="n"/>
      <x:c r="P25" s="302" t="n">
        <x:v>1</x:v>
      </x:c>
      <x:c r="Q25" s="302" t="n"/>
      <x:c r="R25" s="302" t="n"/>
      <x:c r="S25" s="302" t="n"/>
      <x:c r="T25" s="302" t="n"/>
      <x:c r="U25" s="302" t="n"/>
      <x:c r="V25" s="302" t="n"/>
      <x:c r="W25" s="302" t="n"/>
      <x:c r="X25" s="302" t="n"/>
      <x:c r="Y25" s="302" t="n"/>
      <x:c r="Z25" s="302" t="n"/>
      <x:c r="AA25" s="302" t="n"/>
      <x:c r="AB25" s="302" t="n"/>
      <x:c r="AC25" s="302" t="n"/>
      <x:c r="AD25" s="302" t="n"/>
      <x:c r="AE25" s="302" t="n"/>
      <x:c r="AF25" s="302" t="n"/>
      <x:c r="AG25" s="302" t="n"/>
      <x:c r="AH25" s="302" t="n"/>
      <x:c r="AI25" s="302" t="n"/>
      <x:c r="AJ25" s="302" t="n"/>
      <x:c r="AK25" s="302" t="n"/>
      <x:c r="AL25" s="302" t="n"/>
      <x:c r="AM25" s="302" t="n"/>
      <x:c r="AN25" s="302" t="n"/>
      <x:c r="AO25" s="302" t="n"/>
      <x:c r="AP25" s="302" t="n"/>
      <x:c r="AQ25" s="302" t="n"/>
      <x:c r="AR25" s="302" t="n"/>
      <x:c r="AS25" s="302" t="n"/>
      <x:c r="AT25" s="302" t="n"/>
      <x:c r="AU25" s="302" t="n"/>
      <x:c r="AV25" s="302" t="n"/>
      <x:c r="AW25" s="302" t="n"/>
      <x:c r="AX25" s="302" t="n"/>
      <x:c r="AY25" s="302" t="n"/>
      <x:c r="AZ25" s="302" t="n"/>
      <x:c r="BA25" s="302" t="n"/>
      <x:c r="BB25" s="302" t="n"/>
      <x:c r="BC25" s="302" t="n"/>
      <x:c r="BD25" s="302" t="n"/>
      <x:c r="BE25" s="302" t="n"/>
      <x:c r="BF25" s="302" t="n"/>
      <x:c r="BG25" s="302" t="n"/>
      <x:c r="BH25" s="302" t="n"/>
      <x:c r="BI25" s="302" t="n"/>
      <x:c r="BJ25" s="302" t="n"/>
      <x:c r="BK25" s="302" t="n"/>
      <x:c r="BL25" s="302" t="n"/>
      <x:c r="BM25" s="302" t="n"/>
      <x:c r="BN25" s="302" t="n"/>
      <x:c r="BO25" s="302" t="n"/>
      <x:c r="BP25" s="302" t="n"/>
      <x:c r="BQ25" s="302" t="n"/>
      <x:c r="BR25" s="302" t="n"/>
      <x:c r="BS25" s="302" t="n"/>
      <x:c r="BT25" s="302" t="n"/>
      <x:c r="BU25" s="302" t="n"/>
      <x:c r="BV25" s="302" t="n"/>
      <x:c r="BW25" s="302" t="n"/>
      <x:c r="BX25" s="302" t="n"/>
      <x:c r="BY25" s="302" t="n"/>
      <x:c r="BZ25" s="302" t="n"/>
      <x:c r="CA25" s="302" t="n"/>
      <x:c r="CB25" s="302" t="n"/>
      <x:c r="CC25" s="302" t="n"/>
      <x:c r="CD25" s="302" t="n"/>
    </x:row>
    <x:row r="26" s="27" customFormat="1">
      <x:c r="B26" s="39" t="n"/>
      <x:c r="C26" s="90" t="inlineStr">
        <x:is>
          <x:t xml:space="preserve">N/A</x:t>
        </x:is>
      </x:c>
      <x:c r="D26" s="665" t="inlineStr">
        <x:is>
          <x:t xml:space="preserve">TLW Investments, LLC
PO Box 301535
DALLAS, TX 75303</x:t>
        </x:is>
      </x:c>
      <x:c r="E26" s="91" t="n">
        <x:f>SUM(G26:HI26)</x:f>
        <x:v>-1</x:v>
      </x:c>
      <x:c r="F26" s="35" t="n"/>
      <x:c r="G26" s="121" t="n"/>
      <x:c r="H26" s="302" t="n"/>
      <x:c r="I26" s="302" t="n"/>
      <x:c r="J26" s="302" t="n"/>
      <x:c r="K26" s="302" t="n"/>
      <x:c r="L26" s="302" t="n"/>
      <x:c r="M26" s="302" t="n"/>
      <x:c r="N26" s="302" t="n"/>
      <x:c r="O26" s="302" t="n"/>
      <x:c r="P26" s="302" t="n"/>
      <x:c r="Q26" s="302" t="n"/>
      <x:c r="R26" s="302" t="n">
        <x:v>-1</x:v>
      </x:c>
      <x:c r="S26" s="302" t="n"/>
      <x:c r="T26" s="302" t="n"/>
      <x:c r="U26" s="302" t="n"/>
      <x:c r="V26" s="302" t="n"/>
      <x:c r="W26" s="302" t="n"/>
      <x:c r="X26" s="302" t="n"/>
      <x:c r="Y26" s="302" t="n"/>
      <x:c r="Z26" s="302" t="n"/>
      <x:c r="AA26" s="302" t="n"/>
      <x:c r="AB26" s="302" t="n"/>
      <x:c r="AC26" s="302" t="n"/>
      <x:c r="AD26" s="302" t="n"/>
      <x:c r="AE26" s="302" t="n"/>
      <x:c r="AF26" s="302" t="n"/>
      <x:c r="AG26" s="302" t="n"/>
      <x:c r="AH26" s="302" t="n"/>
      <x:c r="AI26" s="302" t="n"/>
      <x:c r="AJ26" s="302" t="n"/>
      <x:c r="AK26" s="302" t="n"/>
      <x:c r="AL26" s="302" t="n"/>
      <x:c r="AM26" s="302" t="n"/>
      <x:c r="AN26" s="302" t="n"/>
      <x:c r="AO26" s="302" t="n"/>
      <x:c r="AP26" s="302" t="n"/>
      <x:c r="AQ26" s="302" t="n"/>
      <x:c r="AR26" s="302" t="n"/>
      <x:c r="AS26" s="302" t="n"/>
      <x:c r="AT26" s="302" t="n"/>
      <x:c r="AU26" s="302" t="n"/>
      <x:c r="AV26" s="302" t="n"/>
      <x:c r="AW26" s="302" t="n"/>
      <x:c r="AX26" s="302" t="n"/>
      <x:c r="AY26" s="302" t="n"/>
      <x:c r="AZ26" s="302" t="n"/>
      <x:c r="BA26" s="302" t="n"/>
      <x:c r="BB26" s="302" t="n"/>
      <x:c r="BC26" s="302" t="n"/>
      <x:c r="BD26" s="302" t="n"/>
      <x:c r="BE26" s="302" t="n"/>
      <x:c r="BF26" s="302" t="n"/>
      <x:c r="BG26" s="302" t="n"/>
      <x:c r="BH26" s="302" t="n"/>
      <x:c r="BI26" s="302" t="n"/>
      <x:c r="BJ26" s="302" t="n"/>
      <x:c r="BK26" s="302" t="n"/>
      <x:c r="BL26" s="302" t="n"/>
      <x:c r="BM26" s="302" t="n"/>
      <x:c r="BN26" s="302" t="n"/>
      <x:c r="BO26" s="302" t="n"/>
      <x:c r="BP26" s="302" t="n"/>
      <x:c r="BQ26" s="302" t="n"/>
      <x:c r="BR26" s="302" t="n"/>
      <x:c r="BS26" s="302" t="n"/>
      <x:c r="BT26" s="302" t="n"/>
      <x:c r="BU26" s="302" t="n"/>
      <x:c r="BV26" s="302" t="n"/>
      <x:c r="BW26" s="302" t="n"/>
      <x:c r="BX26" s="302" t="n"/>
      <x:c r="BY26" s="302" t="n"/>
      <x:c r="BZ26" s="302" t="n"/>
      <x:c r="CA26" s="302" t="n"/>
      <x:c r="CB26" s="302" t="n"/>
      <x:c r="CC26" s="302" t="n"/>
      <x:c r="CD26" s="302" t="n"/>
    </x:row>
    <x:row r="27" s="27" customFormat="1">
      <x:c r="B27" s="39" t="n"/>
      <x:c r="C27" s="90" t="inlineStr">
        <x:is>
          <x:t xml:space="preserve">N/A</x:t>
        </x:is>
      </x:c>
      <x:c r="D27" s="665" t="inlineStr">
        <x:is>
          <x:t xml:space="preserve">Cannon Field Minerals Fund, LP
5030 N May Ave, Ste 125
Oklahoma City, OK 73112</x:t>
        </x:is>
      </x:c>
      <x:c r="E27" s="91" t="n">
        <x:f>SUM(G27:HI27)</x:f>
        <x:v>1</x:v>
      </x:c>
      <x:c r="F27" s="35" t="n"/>
      <x:c r="G27" s="121" t="n"/>
      <x:c r="H27" s="302" t="n"/>
      <x:c r="I27" s="302" t="n"/>
      <x:c r="J27" s="302" t="n"/>
      <x:c r="K27" s="302" t="n"/>
      <x:c r="L27" s="302" t="n"/>
      <x:c r="M27" s="302" t="n"/>
      <x:c r="N27" s="302" t="n"/>
      <x:c r="O27" s="302" t="n"/>
      <x:c r="P27" s="302" t="n"/>
      <x:c r="Q27" s="302" t="n"/>
      <x:c r="R27" s="302" t="n">
        <x:v>1</x:v>
      </x:c>
      <x:c r="S27" s="302" t="n"/>
      <x:c r="T27" s="302" t="n"/>
      <x:c r="U27" s="302" t="n"/>
      <x:c r="V27" s="302" t="n"/>
      <x:c r="W27" s="302" t="n"/>
      <x:c r="X27" s="302" t="n"/>
      <x:c r="Y27" s="302" t="n"/>
      <x:c r="Z27" s="302" t="n"/>
      <x:c r="AA27" s="302" t="n"/>
      <x:c r="AB27" s="302" t="n"/>
      <x:c r="AC27" s="302" t="n"/>
      <x:c r="AD27" s="302" t="n"/>
      <x:c r="AE27" s="302" t="n"/>
      <x:c r="AF27" s="302" t="n"/>
      <x:c r="AG27" s="302" t="n"/>
      <x:c r="AH27" s="302" t="n"/>
      <x:c r="AI27" s="302" t="n"/>
      <x:c r="AJ27" s="302" t="n"/>
      <x:c r="AK27" s="302" t="n"/>
      <x:c r="AL27" s="302" t="n"/>
      <x:c r="AM27" s="302" t="n"/>
      <x:c r="AN27" s="302" t="n"/>
      <x:c r="AO27" s="302" t="n"/>
      <x:c r="AP27" s="302" t="n"/>
      <x:c r="AQ27" s="302" t="n"/>
      <x:c r="AR27" s="302" t="n"/>
      <x:c r="AS27" s="302" t="n"/>
      <x:c r="AT27" s="302" t="n"/>
      <x:c r="AU27" s="302" t="n"/>
      <x:c r="AV27" s="302" t="n"/>
      <x:c r="AW27" s="302" t="n"/>
      <x:c r="AX27" s="302" t="n"/>
      <x:c r="AY27" s="302" t="n"/>
      <x:c r="AZ27" s="302" t="n"/>
      <x:c r="BA27" s="302" t="n"/>
      <x:c r="BB27" s="302" t="n"/>
      <x:c r="BC27" s="302" t="n"/>
      <x:c r="BD27" s="302" t="n"/>
      <x:c r="BE27" s="302" t="n"/>
      <x:c r="BF27" s="302" t="n"/>
      <x:c r="BG27" s="302" t="n"/>
      <x:c r="BH27" s="302" t="n"/>
      <x:c r="BI27" s="302" t="n"/>
      <x:c r="BJ27" s="302" t="n"/>
      <x:c r="BK27" s="302" t="n"/>
      <x:c r="BL27" s="302" t="n"/>
      <x:c r="BM27" s="302" t="n"/>
      <x:c r="BN27" s="302" t="n"/>
      <x:c r="BO27" s="302" t="n"/>
      <x:c r="BP27" s="302" t="n"/>
      <x:c r="BQ27" s="302" t="n"/>
      <x:c r="BR27" s="302" t="n"/>
      <x:c r="BS27" s="302" t="n"/>
      <x:c r="BT27" s="302" t="n"/>
      <x:c r="BU27" s="302" t="n"/>
      <x:c r="BV27" s="302" t="n"/>
      <x:c r="BW27" s="302" t="n"/>
      <x:c r="BX27" s="302" t="n"/>
      <x:c r="BY27" s="302" t="n"/>
      <x:c r="BZ27" s="302" t="n"/>
      <x:c r="CA27" s="302" t="n"/>
      <x:c r="CB27" s="302" t="n"/>
      <x:c r="CC27" s="302" t="n"/>
      <x:c r="CD27" s="302" t="n"/>
    </x:row>
    <x:row r="28" s="27" customFormat="1">
      <x:c r="B28" s="39" t="n"/>
      <x:c r="C28" s="90" t="inlineStr">
        <x:is>
          <x:t xml:space="preserve">N/A</x:t>
        </x:is>
      </x:c>
      <x:c r="D28" s="662" t="inlineStr">
        <x:is>
          <x:t xml:space="preserve">Unbridled Resources, LLC
1111 BAGBY STREET
SUITE 1600
HOUSTON, TX 77002</x:t>
        </x:is>
      </x:c>
      <x:c r="E28" s="91" t="n">
        <x:f>SUM(G28:HI28)</x:f>
        <x:v>-1</x:v>
      </x:c>
      <x:c r="F28" s="35" t="n"/>
      <x:c r="G28" s="121" t="n"/>
      <x:c r="H28" s="302" t="n"/>
      <x:c r="I28" s="302" t="n"/>
      <x:c r="J28" s="302" t="n"/>
      <x:c r="K28" s="302" t="n"/>
      <x:c r="L28" s="302" t="n"/>
      <x:c r="M28" s="302" t="n"/>
      <x:c r="N28" s="302" t="n"/>
      <x:c r="O28" s="302" t="n"/>
      <x:c r="P28" s="302" t="n"/>
      <x:c r="Q28" s="302" t="n"/>
      <x:c r="R28" s="302" t="n"/>
      <x:c r="S28" s="302" t="n">
        <x:v>-1</x:v>
      </x:c>
      <x:c r="T28" s="302" t="n"/>
      <x:c r="U28" s="302" t="n"/>
      <x:c r="V28" s="302" t="n"/>
      <x:c r="W28" s="302" t="n"/>
      <x:c r="X28" s="302" t="n"/>
      <x:c r="Y28" s="302" t="n"/>
      <x:c r="Z28" s="302" t="n"/>
      <x:c r="AA28" s="302" t="n"/>
      <x:c r="AB28" s="302" t="n"/>
      <x:c r="AC28" s="302" t="n"/>
      <x:c r="AD28" s="302" t="n"/>
      <x:c r="AE28" s="302" t="n"/>
      <x:c r="AF28" s="302" t="n"/>
      <x:c r="AG28" s="302" t="n"/>
      <x:c r="AH28" s="302" t="n"/>
      <x:c r="AI28" s="302" t="n"/>
      <x:c r="AJ28" s="302" t="n"/>
      <x:c r="AK28" s="302" t="n"/>
      <x:c r="AL28" s="302" t="n"/>
      <x:c r="AM28" s="302" t="n"/>
      <x:c r="AN28" s="302" t="n"/>
      <x:c r="AO28" s="302" t="n"/>
      <x:c r="AP28" s="302" t="n"/>
      <x:c r="AQ28" s="302" t="n"/>
      <x:c r="AR28" s="302" t="n"/>
      <x:c r="AS28" s="302" t="n"/>
      <x:c r="AT28" s="302" t="n"/>
      <x:c r="AU28" s="302" t="n"/>
      <x:c r="AV28" s="302" t="n"/>
      <x:c r="AW28" s="302" t="n"/>
      <x:c r="AX28" s="302" t="n"/>
      <x:c r="AY28" s="302" t="n"/>
      <x:c r="AZ28" s="302" t="n"/>
      <x:c r="BA28" s="302" t="n"/>
      <x:c r="BB28" s="302" t="n"/>
      <x:c r="BC28" s="302" t="n"/>
      <x:c r="BD28" s="302" t="n"/>
      <x:c r="BE28" s="302" t="n"/>
      <x:c r="BF28" s="302" t="n"/>
      <x:c r="BG28" s="302" t="n"/>
      <x:c r="BH28" s="302" t="n"/>
      <x:c r="BI28" s="302" t="n"/>
      <x:c r="BJ28" s="302" t="n"/>
      <x:c r="BK28" s="302" t="n"/>
      <x:c r="BL28" s="302" t="n"/>
      <x:c r="BM28" s="302" t="n"/>
      <x:c r="BN28" s="302" t="n"/>
      <x:c r="BO28" s="302" t="n"/>
      <x:c r="BP28" s="302" t="n"/>
      <x:c r="BQ28" s="302" t="n"/>
      <x:c r="BR28" s="302" t="n"/>
      <x:c r="BS28" s="302" t="n"/>
      <x:c r="BT28" s="302" t="n"/>
      <x:c r="BU28" s="302" t="n"/>
      <x:c r="BV28" s="302" t="n"/>
      <x:c r="BW28" s="302" t="n"/>
      <x:c r="BX28" s="302" t="n"/>
      <x:c r="BY28" s="302" t="n"/>
      <x:c r="BZ28" s="302" t="n"/>
      <x:c r="CA28" s="302" t="n"/>
      <x:c r="CB28" s="302" t="n"/>
      <x:c r="CC28" s="302" t="n"/>
      <x:c r="CD28" s="302" t="n"/>
    </x:row>
    <x:row r="29" s="27" customFormat="1">
      <x:c r="B29" s="39" t="n"/>
      <x:c r="C29" s="90" t="inlineStr">
        <x:is>
          <x:t xml:space="preserve">N/A</x:t>
        </x:is>
      </x:c>
      <x:c r="D29" s="664" t="inlineStr">
        <x:is>
          <x:t xml:space="preserve">MNR ABS Issuer I, LLC
5030 N May Ave, Ste 125
Oklahoma City, OK 73112</x:t>
        </x:is>
      </x:c>
      <x:c r="E29" s="91" t="n">
        <x:f>SUM(G29:HI29)</x:f>
        <x:v>1</x:v>
      </x:c>
      <x:c r="F29" s="35" t="n"/>
      <x:c r="G29" s="121" t="n"/>
      <x:c r="H29" s="302" t="n"/>
      <x:c r="I29" s="302" t="n"/>
      <x:c r="J29" s="302" t="n"/>
      <x:c r="K29" s="302" t="n"/>
      <x:c r="L29" s="302" t="n"/>
      <x:c r="M29" s="302" t="n"/>
      <x:c r="N29" s="302" t="n"/>
      <x:c r="O29" s="302" t="n"/>
      <x:c r="P29" s="302" t="n"/>
      <x:c r="Q29" s="302" t="n"/>
      <x:c r="R29" s="302" t="n"/>
      <x:c r="S29" s="302" t="n">
        <x:v>1</x:v>
      </x:c>
      <x:c r="T29" s="302" t="n"/>
      <x:c r="U29" s="302" t="n"/>
      <x:c r="V29" s="302" t="n"/>
      <x:c r="W29" s="302" t="n"/>
      <x:c r="X29" s="302" t="n"/>
      <x:c r="Y29" s="302" t="n"/>
      <x:c r="Z29" s="302" t="n"/>
      <x:c r="AA29" s="302" t="n"/>
      <x:c r="AB29" s="302" t="n"/>
      <x:c r="AC29" s="302" t="n"/>
      <x:c r="AD29" s="302" t="n"/>
      <x:c r="AE29" s="302" t="n"/>
      <x:c r="AF29" s="302" t="n"/>
      <x:c r="AG29" s="302" t="n"/>
      <x:c r="AH29" s="302" t="n"/>
      <x:c r="AI29" s="302" t="n"/>
      <x:c r="AJ29" s="302" t="n"/>
      <x:c r="AK29" s="302" t="n"/>
      <x:c r="AL29" s="302" t="n"/>
      <x:c r="AM29" s="302" t="n"/>
      <x:c r="AN29" s="302" t="n"/>
      <x:c r="AO29" s="302" t="n"/>
      <x:c r="AP29" s="302" t="n"/>
      <x:c r="AQ29" s="302" t="n"/>
      <x:c r="AR29" s="302" t="n"/>
      <x:c r="AS29" s="302" t="n"/>
      <x:c r="AT29" s="302" t="n"/>
      <x:c r="AU29" s="302" t="n"/>
      <x:c r="AV29" s="302" t="n"/>
      <x:c r="AW29" s="302" t="n"/>
      <x:c r="AX29" s="302" t="n"/>
      <x:c r="AY29" s="302" t="n"/>
      <x:c r="AZ29" s="302" t="n"/>
      <x:c r="BA29" s="302" t="n"/>
      <x:c r="BB29" s="302" t="n"/>
      <x:c r="BC29" s="302" t="n"/>
      <x:c r="BD29" s="302" t="n"/>
      <x:c r="BE29" s="302" t="n"/>
      <x:c r="BF29" s="302" t="n"/>
      <x:c r="BG29" s="302" t="n"/>
      <x:c r="BH29" s="302" t="n"/>
      <x:c r="BI29" s="302" t="n"/>
      <x:c r="BJ29" s="302" t="n"/>
      <x:c r="BK29" s="302" t="n"/>
      <x:c r="BL29" s="302" t="n"/>
      <x:c r="BM29" s="302" t="n"/>
      <x:c r="BN29" s="302" t="n"/>
      <x:c r="BO29" s="302" t="n"/>
      <x:c r="BP29" s="302" t="n"/>
      <x:c r="BQ29" s="302" t="n"/>
      <x:c r="BR29" s="302" t="n"/>
      <x:c r="BS29" s="302" t="n"/>
      <x:c r="BT29" s="302" t="n"/>
      <x:c r="BU29" s="302" t="n"/>
      <x:c r="BV29" s="302" t="n"/>
      <x:c r="BW29" s="302" t="n"/>
      <x:c r="BX29" s="302" t="n"/>
      <x:c r="BY29" s="302" t="n"/>
      <x:c r="BZ29" s="302" t="n"/>
      <x:c r="CA29" s="302" t="n"/>
      <x:c r="CB29" s="302" t="n"/>
      <x:c r="CC29" s="302" t="n"/>
      <x:c r="CD29" s="302" t="n"/>
    </x:row>
    <x:row r="30" s="27" customFormat="1">
      <x:c r="B30" s="39" t="n"/>
      <x:c r="C30" s="90" t="inlineStr">
        <x:is>
          <x:t xml:space="preserve">N/A</x:t>
        </x:is>
      </x:c>
      <x:c r="D30" s="664" t="inlineStr">
        <x:is>
          <x:t xml:space="preserve">Yale Oil Association, Inc.
6 NE 63RD STREET
SUITE 425 SANTA FE NORTH BLDG
OK CITY, OK 73105-1401</x:t>
        </x:is>
      </x:c>
      <x:c r="E30" s="91" t="n">
        <x:f>SUM(G30:HI30)</x:f>
        <x:v>-2</x:v>
      </x:c>
      <x:c r="F30" s="35" t="n"/>
      <x:c r="G30" s="121" t="n"/>
      <x:c r="H30" s="302" t="n"/>
      <x:c r="I30" s="302" t="n"/>
      <x:c r="J30" s="302" t="n"/>
      <x:c r="K30" s="302" t="n"/>
      <x:c r="L30" s="302" t="n"/>
      <x:c r="M30" s="302" t="n"/>
      <x:c r="N30" s="302" t="n"/>
      <x:c r="O30" s="302" t="n"/>
      <x:c r="P30" s="302" t="n"/>
      <x:c r="Q30" s="302" t="n"/>
      <x:c r="R30" s="302" t="n"/>
      <x:c r="S30" s="302" t="n"/>
      <x:c r="T30" s="302" t="n">
        <x:v>-1</x:v>
      </x:c>
      <x:c r="U30" s="302" t="n">
        <x:v>-1</x:v>
      </x:c>
      <x:c r="V30" s="302" t="n"/>
      <x:c r="W30" s="302" t="n"/>
      <x:c r="X30" s="302" t="n"/>
      <x:c r="Y30" s="302" t="n"/>
      <x:c r="Z30" s="302" t="n"/>
      <x:c r="AA30" s="302" t="n"/>
      <x:c r="AB30" s="302" t="n"/>
      <x:c r="AC30" s="302" t="n"/>
      <x:c r="AD30" s="302" t="n"/>
      <x:c r="AE30" s="302" t="n"/>
      <x:c r="AF30" s="302" t="n"/>
      <x:c r="AG30" s="302" t="n"/>
      <x:c r="AH30" s="302" t="n"/>
      <x:c r="AI30" s="302" t="n"/>
      <x:c r="AJ30" s="302" t="n"/>
      <x:c r="AK30" s="302" t="n"/>
      <x:c r="AL30" s="302" t="n"/>
      <x:c r="AM30" s="302" t="n"/>
      <x:c r="AN30" s="302" t="n"/>
      <x:c r="AO30" s="302" t="n"/>
      <x:c r="AP30" s="302" t="n"/>
      <x:c r="AQ30" s="302" t="n"/>
      <x:c r="AR30" s="302" t="n"/>
      <x:c r="AS30" s="302" t="n"/>
      <x:c r="AT30" s="302" t="n"/>
      <x:c r="AU30" s="302" t="n"/>
      <x:c r="AV30" s="302" t="n"/>
      <x:c r="AW30" s="302" t="n"/>
      <x:c r="AX30" s="302" t="n"/>
      <x:c r="AY30" s="302" t="n"/>
      <x:c r="AZ30" s="302" t="n"/>
      <x:c r="BA30" s="302" t="n"/>
      <x:c r="BB30" s="302" t="n"/>
      <x:c r="BC30" s="302" t="n"/>
      <x:c r="BD30" s="302" t="n"/>
      <x:c r="BE30" s="302" t="n"/>
      <x:c r="BF30" s="302" t="n"/>
      <x:c r="BG30" s="302" t="n"/>
      <x:c r="BH30" s="302" t="n"/>
      <x:c r="BI30" s="302" t="n"/>
      <x:c r="BJ30" s="302" t="n"/>
      <x:c r="BK30" s="302" t="n"/>
      <x:c r="BL30" s="302" t="n"/>
      <x:c r="BM30" s="302" t="n"/>
      <x:c r="BN30" s="302" t="n"/>
      <x:c r="BO30" s="302" t="n"/>
      <x:c r="BP30" s="302" t="n"/>
      <x:c r="BQ30" s="302" t="n"/>
      <x:c r="BR30" s="302" t="n"/>
      <x:c r="BS30" s="302" t="n"/>
      <x:c r="BT30" s="302" t="n"/>
      <x:c r="BU30" s="302" t="n"/>
      <x:c r="BV30" s="302" t="n"/>
      <x:c r="BW30" s="302" t="n"/>
      <x:c r="BX30" s="302" t="n"/>
      <x:c r="BY30" s="302" t="n"/>
      <x:c r="BZ30" s="302" t="n"/>
      <x:c r="CA30" s="302" t="n"/>
      <x:c r="CB30" s="302" t="n"/>
      <x:c r="CC30" s="302" t="n"/>
      <x:c r="CD30" s="302" t="n"/>
    </x:row>
    <x:row r="31" s="27" customFormat="1">
      <x:c r="B31" s="39" t="n"/>
      <x:c r="C31" s="90" t="inlineStr">
        <x:is>
          <x:t xml:space="preserve">N/A</x:t>
        </x:is>
      </x:c>
      <x:c r="D31" s="662" t="inlineStr">
        <x:is>
          <x:t xml:space="preserve">K.C. Production, LLC
5030 N May Ave, Ste 125
Oklahoma City, OK 73112</x:t>
        </x:is>
      </x:c>
      <x:c r="E31" s="91" t="n">
        <x:f>SUM(G31:HI31)</x:f>
        <x:v>1</x:v>
      </x:c>
      <x:c r="F31" s="35" t="n"/>
      <x:c r="G31" s="121" t="n"/>
      <x:c r="H31" s="302" t="n"/>
      <x:c r="I31" s="302" t="n"/>
      <x:c r="J31" s="302" t="n"/>
      <x:c r="K31" s="302" t="n"/>
      <x:c r="L31" s="302" t="n"/>
      <x:c r="M31" s="302" t="n"/>
      <x:c r="N31" s="302" t="n"/>
      <x:c r="O31" s="302" t="n"/>
      <x:c r="P31" s="302" t="n"/>
      <x:c r="Q31" s="302" t="n"/>
      <x:c r="R31" s="302" t="n"/>
      <x:c r="S31" s="302" t="n"/>
      <x:c r="T31" s="302" t="n">
        <x:v>1</x:v>
      </x:c>
      <x:c r="U31" s="302" t="n"/>
      <x:c r="V31" s="302" t="n"/>
      <x:c r="W31" s="302" t="n"/>
      <x:c r="X31" s="302" t="n"/>
      <x:c r="Y31" s="302" t="n"/>
      <x:c r="Z31" s="302" t="n"/>
      <x:c r="AA31" s="302" t="n"/>
      <x:c r="AB31" s="302" t="n"/>
      <x:c r="AC31" s="302" t="n"/>
      <x:c r="AD31" s="302" t="n"/>
      <x:c r="AE31" s="302" t="n"/>
      <x:c r="AF31" s="302" t="n"/>
      <x:c r="AG31" s="302" t="n"/>
      <x:c r="AH31" s="302" t="n"/>
      <x:c r="AI31" s="302" t="n"/>
      <x:c r="AJ31" s="302" t="n"/>
      <x:c r="AK31" s="302" t="n"/>
      <x:c r="AL31" s="302" t="n"/>
      <x:c r="AM31" s="302" t="n"/>
      <x:c r="AN31" s="302" t="n"/>
      <x:c r="AO31" s="302" t="n"/>
      <x:c r="AP31" s="302" t="n"/>
      <x:c r="AQ31" s="302" t="n"/>
      <x:c r="AR31" s="302" t="n"/>
      <x:c r="AS31" s="302" t="n"/>
      <x:c r="AT31" s="302" t="n"/>
      <x:c r="AU31" s="302" t="n"/>
      <x:c r="AV31" s="302" t="n"/>
      <x:c r="AW31" s="302" t="n"/>
      <x:c r="AX31" s="302" t="n"/>
      <x:c r="AY31" s="302" t="n"/>
      <x:c r="AZ31" s="302" t="n"/>
      <x:c r="BA31" s="302" t="n"/>
      <x:c r="BB31" s="302" t="n"/>
      <x:c r="BC31" s="302" t="n"/>
      <x:c r="BD31" s="302" t="n"/>
      <x:c r="BE31" s="302" t="n"/>
      <x:c r="BF31" s="302" t="n"/>
      <x:c r="BG31" s="302" t="n"/>
      <x:c r="BH31" s="302" t="n"/>
      <x:c r="BI31" s="302" t="n"/>
      <x:c r="BJ31" s="302" t="n"/>
      <x:c r="BK31" s="302" t="n"/>
      <x:c r="BL31" s="302" t="n"/>
      <x:c r="BM31" s="302" t="n"/>
      <x:c r="BN31" s="302" t="n"/>
      <x:c r="BO31" s="302" t="n"/>
      <x:c r="BP31" s="302" t="n"/>
      <x:c r="BQ31" s="302" t="n"/>
      <x:c r="BR31" s="302" t="n"/>
      <x:c r="BS31" s="302" t="n"/>
      <x:c r="BT31" s="302" t="n"/>
      <x:c r="BU31" s="302" t="n"/>
      <x:c r="BV31" s="302" t="n"/>
      <x:c r="BW31" s="302" t="n"/>
      <x:c r="BX31" s="302" t="n"/>
      <x:c r="BY31" s="302" t="n"/>
      <x:c r="BZ31" s="302" t="n"/>
      <x:c r="CA31" s="302" t="n"/>
      <x:c r="CB31" s="302" t="n"/>
      <x:c r="CC31" s="302" t="n"/>
      <x:c r="CD31" s="302" t="n"/>
    </x:row>
    <x:row r="32" s="27" customFormat="1">
      <x:c r="B32" s="39" t="n"/>
      <x:c r="C32" s="90" t="inlineStr">
        <x:is>
          <x:t xml:space="preserve">N/A</x:t>
        </x:is>
      </x:c>
      <x:c r="D32" s="9" t="inlineStr">
        <x:is>
          <x:t xml:space="preserve">Greg et al CDX
Address not located after OKCountyRecords search 2026-07-03; indexed instrument has no party mailing address. Image on file — review required. Source: Index name only.</x:t>
        </x:is>
      </x:c>
      <x:c r="E32" s="91" t="n">
        <x:f>SUM(G32:HI32)</x:f>
        <x:v>1</x:v>
      </x:c>
      <x:c r="F32" s="35" t="n"/>
      <x:c r="G32" s="121" t="n"/>
      <x:c r="H32" s="302" t="n"/>
      <x:c r="I32" s="302" t="n"/>
      <x:c r="J32" s="302" t="n"/>
      <x:c r="K32" s="302" t="n"/>
      <x:c r="L32" s="302" t="n"/>
      <x:c r="M32" s="302" t="n"/>
      <x:c r="N32" s="302" t="n"/>
      <x:c r="O32" s="302" t="n"/>
      <x:c r="P32" s="302" t="n"/>
      <x:c r="Q32" s="302" t="n"/>
      <x:c r="R32" s="302" t="n"/>
      <x:c r="S32" s="302" t="n"/>
      <x:c r="T32" s="302" t="n"/>
      <x:c r="U32" s="302" t="n">
        <x:v>1</x:v>
      </x:c>
      <x:c r="V32" s="302" t="n"/>
      <x:c r="W32" s="302" t="n"/>
      <x:c r="X32" s="302" t="n"/>
      <x:c r="Y32" s="302" t="n"/>
      <x:c r="Z32" s="302" t="n"/>
      <x:c r="AA32" s="302" t="n"/>
      <x:c r="AB32" s="302" t="n"/>
      <x:c r="AC32" s="302" t="n"/>
      <x:c r="AD32" s="302" t="n"/>
      <x:c r="AE32" s="302" t="n"/>
      <x:c r="AF32" s="302" t="n"/>
      <x:c r="AG32" s="302" t="n"/>
      <x:c r="AH32" s="302" t="n"/>
      <x:c r="AI32" s="302" t="n"/>
      <x:c r="AJ32" s="302" t="n"/>
      <x:c r="AK32" s="302" t="n"/>
      <x:c r="AL32" s="302" t="n"/>
      <x:c r="AM32" s="302" t="n"/>
      <x:c r="AN32" s="302" t="n"/>
      <x:c r="AO32" s="302" t="n"/>
      <x:c r="AP32" s="302" t="n"/>
      <x:c r="AQ32" s="302" t="n"/>
      <x:c r="AR32" s="302" t="n"/>
      <x:c r="AS32" s="302" t="n"/>
      <x:c r="AT32" s="302" t="n"/>
      <x:c r="AU32" s="302" t="n"/>
      <x:c r="AV32" s="302" t="n"/>
      <x:c r="AW32" s="302" t="n"/>
      <x:c r="AX32" s="302" t="n"/>
      <x:c r="AY32" s="302" t="n"/>
      <x:c r="AZ32" s="302" t="n"/>
      <x:c r="BA32" s="302" t="n"/>
      <x:c r="BB32" s="302" t="n"/>
      <x:c r="BC32" s="302" t="n"/>
      <x:c r="BD32" s="302" t="n"/>
      <x:c r="BE32" s="302" t="n"/>
      <x:c r="BF32" s="302" t="n"/>
      <x:c r="BG32" s="302" t="n"/>
      <x:c r="BH32" s="302" t="n"/>
      <x:c r="BI32" s="302" t="n"/>
      <x:c r="BJ32" s="302" t="n"/>
      <x:c r="BK32" s="302" t="n"/>
      <x:c r="BL32" s="302" t="n"/>
      <x:c r="BM32" s="302" t="n"/>
      <x:c r="BN32" s="302" t="n"/>
      <x:c r="BO32" s="302" t="n"/>
      <x:c r="BP32" s="302" t="n"/>
      <x:c r="BQ32" s="302" t="n"/>
      <x:c r="BR32" s="302" t="n"/>
      <x:c r="BS32" s="302" t="n"/>
      <x:c r="BT32" s="302" t="n"/>
      <x:c r="BU32" s="302" t="n"/>
      <x:c r="BV32" s="302" t="n"/>
      <x:c r="BW32" s="302" t="n"/>
      <x:c r="BX32" s="302" t="n"/>
      <x:c r="BY32" s="302" t="n"/>
      <x:c r="BZ32" s="302" t="n"/>
      <x:c r="CA32" s="302" t="n"/>
      <x:c r="CB32" s="302" t="n"/>
      <x:c r="CC32" s="302" t="n"/>
      <x:c r="CD32" s="302" t="n"/>
    </x:row>
    <x:row r="33" s="27" customFormat="1">
      <x:c r="B33" s="39" t="n"/>
      <x:c r="C33" s="90" t="inlineStr">
        <x:is>
          <x:t xml:space="preserve">N/A</x:t>
        </x:is>
      </x:c>
      <x:c r="D33" s="664" t="inlineStr">
        <x:is>
          <x:t xml:space="preserve">Chanas Partners, LLC
1415 S Voss Rd
Ste 110-541
HOUSTON, TX 77057</x:t>
        </x:is>
      </x:c>
      <x:c r="E33" s="91" t="n">
        <x:f>SUM(G33:HI33)</x:f>
        <x:v>-1</x:v>
      </x:c>
      <x:c r="F33" s="35" t="n"/>
      <x:c r="G33" s="121" t="n"/>
      <x:c r="H33" s="302" t="n"/>
      <x:c r="I33" s="302" t="n"/>
      <x:c r="J33" s="302" t="n"/>
      <x:c r="K33" s="302" t="n"/>
      <x:c r="L33" s="302" t="n"/>
      <x:c r="M33" s="302" t="n"/>
      <x:c r="N33" s="302" t="n"/>
      <x:c r="O33" s="302" t="n"/>
      <x:c r="P33" s="302" t="n"/>
      <x:c r="Q33" s="302" t="n"/>
      <x:c r="R33" s="302" t="n"/>
      <x:c r="S33" s="302" t="n"/>
      <x:c r="T33" s="302" t="n"/>
      <x:c r="U33" s="302" t="n"/>
      <x:c r="V33" s="302" t="n">
        <x:v>-1</x:v>
      </x:c>
      <x:c r="W33" s="302" t="n"/>
      <x:c r="X33" s="302" t="n"/>
      <x:c r="Y33" s="302" t="n"/>
      <x:c r="Z33" s="302" t="n"/>
      <x:c r="AA33" s="302" t="n"/>
      <x:c r="AB33" s="302" t="n"/>
      <x:c r="AC33" s="302" t="n"/>
      <x:c r="AD33" s="302" t="n"/>
      <x:c r="AE33" s="302" t="n"/>
      <x:c r="AF33" s="302" t="n"/>
      <x:c r="AG33" s="302" t="n"/>
      <x:c r="AH33" s="302" t="n"/>
      <x:c r="AI33" s="302" t="n"/>
      <x:c r="AJ33" s="302" t="n"/>
      <x:c r="AK33" s="302" t="n"/>
      <x:c r="AL33" s="302" t="n"/>
      <x:c r="AM33" s="302" t="n"/>
      <x:c r="AN33" s="302" t="n"/>
      <x:c r="AO33" s="302" t="n"/>
      <x:c r="AP33" s="302" t="n"/>
      <x:c r="AQ33" s="302" t="n"/>
      <x:c r="AR33" s="302" t="n"/>
      <x:c r="AS33" s="302" t="n"/>
      <x:c r="AT33" s="302" t="n"/>
      <x:c r="AU33" s="302" t="n"/>
      <x:c r="AV33" s="302" t="n"/>
      <x:c r="AW33" s="302" t="n"/>
      <x:c r="AX33" s="302" t="n"/>
      <x:c r="AY33" s="302" t="n"/>
      <x:c r="AZ33" s="302" t="n"/>
      <x:c r="BA33" s="302" t="n"/>
      <x:c r="BB33" s="302" t="n"/>
      <x:c r="BC33" s="302" t="n"/>
      <x:c r="BD33" s="302" t="n"/>
      <x:c r="BE33" s="302" t="n"/>
      <x:c r="BF33" s="302" t="n"/>
      <x:c r="BG33" s="302" t="n"/>
      <x:c r="BH33" s="302" t="n"/>
      <x:c r="BI33" s="302" t="n"/>
      <x:c r="BJ33" s="302" t="n"/>
      <x:c r="BK33" s="302" t="n"/>
      <x:c r="BL33" s="302" t="n"/>
      <x:c r="BM33" s="302" t="n"/>
      <x:c r="BN33" s="302" t="n"/>
      <x:c r="BO33" s="302" t="n"/>
      <x:c r="BP33" s="302" t="n"/>
      <x:c r="BQ33" s="302" t="n"/>
      <x:c r="BR33" s="302" t="n"/>
      <x:c r="BS33" s="302" t="n"/>
      <x:c r="BT33" s="302" t="n"/>
      <x:c r="BU33" s="302" t="n"/>
      <x:c r="BV33" s="302" t="n"/>
      <x:c r="BW33" s="302" t="n"/>
      <x:c r="BX33" s="302" t="n"/>
      <x:c r="BY33" s="302" t="n"/>
      <x:c r="BZ33" s="302" t="n"/>
      <x:c r="CA33" s="302" t="n"/>
      <x:c r="CB33" s="302" t="n"/>
      <x:c r="CC33" s="302" t="n"/>
      <x:c r="CD33" s="302" t="n"/>
    </x:row>
    <x:row r="34" s="27" customFormat="1">
      <x:c r="B34" s="39" t="n"/>
      <x:c r="C34" s="90" t="inlineStr">
        <x:is>
          <x:t xml:space="preserve">N/A</x:t>
        </x:is>
      </x:c>
      <x:c r="D34" s="664" t="inlineStr">
        <x:is>
          <x:t xml:space="preserve">NWR Mineral Partners, LLC
P.O. Box 7206
Edmond, OK 73083</x:t>
        </x:is>
      </x:c>
      <x:c r="E34" s="91" t="n">
        <x:f>SUM(G34:HI34)</x:f>
        <x:v>1</x:v>
      </x:c>
      <x:c r="F34" s="35" t="n"/>
      <x:c r="G34" s="121" t="n"/>
      <x:c r="H34" s="302" t="n"/>
      <x:c r="I34" s="302" t="n"/>
      <x:c r="J34" s="302" t="n"/>
      <x:c r="K34" s="302" t="n"/>
      <x:c r="L34" s="302" t="n"/>
      <x:c r="M34" s="302" t="n"/>
      <x:c r="N34" s="302" t="n"/>
      <x:c r="O34" s="302" t="n"/>
      <x:c r="P34" s="302" t="n"/>
      <x:c r="Q34" s="302" t="n"/>
      <x:c r="R34" s="302" t="n"/>
      <x:c r="S34" s="302" t="n"/>
      <x:c r="T34" s="302" t="n"/>
      <x:c r="U34" s="302" t="n"/>
      <x:c r="V34" s="302" t="n">
        <x:v>1</x:v>
      </x:c>
      <x:c r="W34" s="302" t="n"/>
      <x:c r="X34" s="302" t="n"/>
      <x:c r="Y34" s="302" t="n"/>
      <x:c r="Z34" s="302" t="n"/>
      <x:c r="AA34" s="302" t="n"/>
      <x:c r="AB34" s="302" t="n"/>
      <x:c r="AC34" s="302" t="n"/>
      <x:c r="AD34" s="302" t="n"/>
      <x:c r="AE34" s="302" t="n"/>
      <x:c r="AF34" s="302" t="n"/>
      <x:c r="AG34" s="302" t="n"/>
      <x:c r="AH34" s="302" t="n"/>
      <x:c r="AI34" s="302" t="n"/>
      <x:c r="AJ34" s="302" t="n"/>
      <x:c r="AK34" s="302" t="n"/>
      <x:c r="AL34" s="302" t="n"/>
      <x:c r="AM34" s="302" t="n"/>
      <x:c r="AN34" s="302" t="n"/>
      <x:c r="AO34" s="302" t="n"/>
      <x:c r="AP34" s="302" t="n"/>
      <x:c r="AQ34" s="302" t="n"/>
      <x:c r="AR34" s="302" t="n"/>
      <x:c r="AS34" s="302" t="n"/>
      <x:c r="AT34" s="302" t="n"/>
      <x:c r="AU34" s="302" t="n"/>
      <x:c r="AV34" s="302" t="n"/>
      <x:c r="AW34" s="302" t="n"/>
      <x:c r="AX34" s="302" t="n"/>
      <x:c r="AY34" s="302" t="n"/>
      <x:c r="AZ34" s="302" t="n"/>
      <x:c r="BA34" s="302" t="n"/>
      <x:c r="BB34" s="302" t="n"/>
      <x:c r="BC34" s="302" t="n"/>
      <x:c r="BD34" s="302" t="n"/>
      <x:c r="BE34" s="302" t="n"/>
      <x:c r="BF34" s="302" t="n"/>
      <x:c r="BG34" s="302" t="n"/>
      <x:c r="BH34" s="302" t="n"/>
      <x:c r="BI34" s="302" t="n"/>
      <x:c r="BJ34" s="302" t="n"/>
      <x:c r="BK34" s="302" t="n"/>
      <x:c r="BL34" s="302" t="n"/>
      <x:c r="BM34" s="302" t="n"/>
      <x:c r="BN34" s="302" t="n"/>
      <x:c r="BO34" s="302" t="n"/>
      <x:c r="BP34" s="302" t="n"/>
      <x:c r="BQ34" s="302" t="n"/>
      <x:c r="BR34" s="302" t="n"/>
      <x:c r="BS34" s="302" t="n"/>
      <x:c r="BT34" s="302" t="n"/>
      <x:c r="BU34" s="302" t="n"/>
      <x:c r="BV34" s="302" t="n"/>
      <x:c r="BW34" s="302" t="n"/>
      <x:c r="BX34" s="302" t="n"/>
      <x:c r="BY34" s="302" t="n"/>
      <x:c r="BZ34" s="302" t="n"/>
      <x:c r="CA34" s="302" t="n"/>
      <x:c r="CB34" s="302" t="n"/>
      <x:c r="CC34" s="302" t="n"/>
      <x:c r="CD34" s="302" t="n"/>
    </x:row>
    <x:row r="35" s="27" customFormat="1">
      <x:c r="B35" s="39" t="n"/>
      <x:c r="C35" s="90" t="inlineStr">
        <x:is>
          <x:t xml:space="preserve">N/A</x:t>
        </x:is>
      </x:c>
      <x:c r="D35" s="9" t="inlineStr">
        <x:is>
          <x:t xml:space="preserve">Satherlie 1989 Rev. Trust
Address not located after OKCountyRecords search 2026-07-03; indexed instrument has no party mailing address. Image on file — review required. Source: Bk 2604/111 — trustee Christopher D. Greene.</x:t>
        </x:is>
      </x:c>
      <x:c r="E35" s="91" t="n">
        <x:f>SUM(G35:HI35)</x:f>
        <x:v>-1</x:v>
      </x:c>
      <x:c r="F35" s="35" t="n"/>
      <x:c r="G35" s="121" t="n"/>
      <x:c r="H35" s="302" t="n"/>
      <x:c r="I35" s="302" t="n"/>
      <x:c r="J35" s="302" t="n"/>
      <x:c r="K35" s="302" t="n"/>
      <x:c r="L35" s="302" t="n"/>
      <x:c r="M35" s="302" t="n"/>
      <x:c r="N35" s="302" t="n"/>
      <x:c r="O35" s="302" t="n"/>
      <x:c r="P35" s="302" t="n"/>
      <x:c r="Q35" s="302" t="n"/>
      <x:c r="R35" s="302" t="n"/>
      <x:c r="S35" s="302" t="n"/>
      <x:c r="T35" s="302" t="n"/>
      <x:c r="U35" s="302" t="n"/>
      <x:c r="V35" s="302" t="n"/>
      <x:c r="W35" s="302" t="n">
        <x:v>-1</x:v>
      </x:c>
      <x:c r="X35" s="302" t="n"/>
      <x:c r="Y35" s="302" t="n"/>
      <x:c r="Z35" s="302" t="n"/>
      <x:c r="AA35" s="302" t="n"/>
      <x:c r="AB35" s="302" t="n"/>
      <x:c r="AC35" s="302" t="n"/>
      <x:c r="AD35" s="302" t="n"/>
      <x:c r="AE35" s="302" t="n"/>
      <x:c r="AF35" s="302" t="n"/>
      <x:c r="AG35" s="302" t="n"/>
      <x:c r="AH35" s="302" t="n"/>
      <x:c r="AI35" s="302" t="n"/>
      <x:c r="AJ35" s="302" t="n"/>
      <x:c r="AK35" s="302" t="n"/>
      <x:c r="AL35" s="302" t="n"/>
      <x:c r="AM35" s="302" t="n"/>
      <x:c r="AN35" s="302" t="n"/>
      <x:c r="AO35" s="302" t="n"/>
      <x:c r="AP35" s="302" t="n"/>
      <x:c r="AQ35" s="302" t="n"/>
      <x:c r="AR35" s="302" t="n"/>
      <x:c r="AS35" s="302" t="n"/>
      <x:c r="AT35" s="302" t="n"/>
      <x:c r="AU35" s="302" t="n"/>
      <x:c r="AV35" s="302" t="n"/>
      <x:c r="AW35" s="302" t="n"/>
      <x:c r="AX35" s="302" t="n"/>
      <x:c r="AY35" s="302" t="n"/>
      <x:c r="AZ35" s="302" t="n"/>
      <x:c r="BA35" s="302" t="n"/>
      <x:c r="BB35" s="302" t="n"/>
      <x:c r="BC35" s="302" t="n"/>
      <x:c r="BD35" s="302" t="n"/>
      <x:c r="BE35" s="302" t="n"/>
      <x:c r="BF35" s="302" t="n"/>
      <x:c r="BG35" s="302" t="n"/>
      <x:c r="BH35" s="302" t="n"/>
      <x:c r="BI35" s="302" t="n"/>
      <x:c r="BJ35" s="302" t="n"/>
      <x:c r="BK35" s="302" t="n"/>
      <x:c r="BL35" s="302" t="n"/>
      <x:c r="BM35" s="302" t="n"/>
      <x:c r="BN35" s="302" t="n"/>
      <x:c r="BO35" s="302" t="n"/>
      <x:c r="BP35" s="302" t="n"/>
      <x:c r="BQ35" s="302" t="n"/>
      <x:c r="BR35" s="302" t="n"/>
      <x:c r="BS35" s="302" t="n"/>
      <x:c r="BT35" s="302" t="n"/>
      <x:c r="BU35" s="302" t="n"/>
      <x:c r="BV35" s="302" t="n"/>
      <x:c r="BW35" s="302" t="n"/>
      <x:c r="BX35" s="302" t="n"/>
      <x:c r="BY35" s="302" t="n"/>
      <x:c r="BZ35" s="302" t="n"/>
      <x:c r="CA35" s="302" t="n"/>
      <x:c r="CB35" s="302" t="n"/>
      <x:c r="CC35" s="302" t="n"/>
      <x:c r="CD35" s="302" t="n"/>
    </x:row>
    <x:row r="36" s="27" customFormat="1">
      <x:c r="B36" s="39" t="n"/>
      <x:c r="C36" s="90" t="inlineStr">
        <x:is>
          <x:t xml:space="preserve">N/A</x:t>
        </x:is>
      </x:c>
      <x:c r="D36" s="662" t="inlineStr">
        <x:is>
          <x:t xml:space="preserve">Trison Holdings, LLC
PO BOX 720070
Oklahoma City, OK 73172</x:t>
        </x:is>
      </x:c>
      <x:c r="E36" s="91" t="n">
        <x:f>SUM(G36:HI36)</x:f>
        <x:v>1</x:v>
      </x:c>
      <x:c r="F36" s="35" t="n"/>
      <x:c r="G36" s="121" t="n"/>
      <x:c r="H36" s="302" t="n"/>
      <x:c r="I36" s="302" t="n"/>
      <x:c r="J36" s="302" t="n"/>
      <x:c r="K36" s="302" t="n"/>
      <x:c r="L36" s="302" t="n"/>
      <x:c r="M36" s="302" t="n"/>
      <x:c r="N36" s="302" t="n"/>
      <x:c r="O36" s="302" t="n"/>
      <x:c r="P36" s="302" t="n"/>
      <x:c r="Q36" s="302" t="n"/>
      <x:c r="R36" s="302" t="n"/>
      <x:c r="S36" s="302" t="n"/>
      <x:c r="T36" s="302" t="n"/>
      <x:c r="U36" s="302" t="n"/>
      <x:c r="V36" s="302" t="n"/>
      <x:c r="W36" s="302" t="n">
        <x:v>1</x:v>
      </x:c>
      <x:c r="X36" s="302" t="n"/>
      <x:c r="Y36" s="302" t="n"/>
      <x:c r="Z36" s="302" t="n"/>
      <x:c r="AA36" s="302" t="n"/>
      <x:c r="AB36" s="302" t="n"/>
      <x:c r="AC36" s="302" t="n"/>
      <x:c r="AD36" s="302" t="n"/>
      <x:c r="AE36" s="302" t="n"/>
      <x:c r="AF36" s="302" t="n"/>
      <x:c r="AG36" s="302" t="n"/>
      <x:c r="AH36" s="302" t="n"/>
      <x:c r="AI36" s="302" t="n"/>
      <x:c r="AJ36" s="302" t="n"/>
      <x:c r="AK36" s="302" t="n"/>
      <x:c r="AL36" s="302" t="n"/>
      <x:c r="AM36" s="302" t="n"/>
      <x:c r="AN36" s="302" t="n"/>
      <x:c r="AO36" s="302" t="n"/>
      <x:c r="AP36" s="302" t="n"/>
      <x:c r="AQ36" s="302" t="n"/>
      <x:c r="AR36" s="302" t="n"/>
      <x:c r="AS36" s="302" t="n"/>
      <x:c r="AT36" s="302" t="n"/>
      <x:c r="AU36" s="302" t="n"/>
      <x:c r="AV36" s="302" t="n"/>
      <x:c r="AW36" s="302" t="n"/>
      <x:c r="AX36" s="302" t="n"/>
      <x:c r="AY36" s="302" t="n"/>
      <x:c r="AZ36" s="302" t="n"/>
      <x:c r="BA36" s="302" t="n"/>
      <x:c r="BB36" s="302" t="n"/>
      <x:c r="BC36" s="302" t="n"/>
      <x:c r="BD36" s="302" t="n"/>
      <x:c r="BE36" s="302" t="n"/>
      <x:c r="BF36" s="302" t="n"/>
      <x:c r="BG36" s="302" t="n"/>
      <x:c r="BH36" s="302" t="n"/>
      <x:c r="BI36" s="302" t="n"/>
      <x:c r="BJ36" s="302" t="n"/>
      <x:c r="BK36" s="302" t="n"/>
      <x:c r="BL36" s="302" t="n"/>
      <x:c r="BM36" s="302" t="n"/>
      <x:c r="BN36" s="302" t="n"/>
      <x:c r="BO36" s="302" t="n"/>
      <x:c r="BP36" s="302" t="n"/>
      <x:c r="BQ36" s="302" t="n"/>
      <x:c r="BR36" s="302" t="n"/>
      <x:c r="BS36" s="302" t="n"/>
      <x:c r="BT36" s="302" t="n"/>
      <x:c r="BU36" s="302" t="n"/>
      <x:c r="BV36" s="302" t="n"/>
      <x:c r="BW36" s="302" t="n"/>
      <x:c r="BX36" s="302" t="n"/>
      <x:c r="BY36" s="302" t="n"/>
      <x:c r="BZ36" s="302" t="n"/>
      <x:c r="CA36" s="302" t="n"/>
      <x:c r="CB36" s="302" t="n"/>
      <x:c r="CC36" s="302" t="n"/>
      <x:c r="CD36" s="302" t="n"/>
    </x:row>
    <x:row r="37" s="27" customFormat="1">
      <x:c r="B37" s="39" t="n"/>
      <x:c r="C37" s="90" t="inlineStr">
        <x:is>
          <x:t xml:space="preserve">N/A</x:t>
        </x:is>
      </x:c>
      <x:c r="D37" s="9" t="inlineStr">
        <x:is>
          <x:t xml:space="preserve">Presidio Finance, LLC
Address not located after OKCountyRecords search 2026-07-03; indexed instrument has no party mailing address. Image on file — review required. Source: Bk 2664/169.</x:t>
        </x:is>
      </x:c>
      <x:c r="E37" s="91" t="n">
        <x:f>SUM(G37:HI37)</x:f>
        <x:v>-1</x:v>
      </x:c>
      <x:c r="F37" s="35" t="n"/>
      <x:c r="G37" s="121" t="n"/>
      <x:c r="H37" s="302" t="n"/>
      <x:c r="I37" s="302" t="n"/>
      <x:c r="J37" s="302" t="n"/>
      <x:c r="K37" s="302" t="n"/>
      <x:c r="L37" s="302" t="n"/>
      <x:c r="M37" s="302" t="n"/>
      <x:c r="N37" s="302" t="n"/>
      <x:c r="O37" s="302" t="n"/>
      <x:c r="P37" s="302" t="n"/>
      <x:c r="Q37" s="302" t="n"/>
      <x:c r="R37" s="302" t="n"/>
      <x:c r="S37" s="302" t="n"/>
      <x:c r="T37" s="302" t="n"/>
      <x:c r="U37" s="302" t="n"/>
      <x:c r="V37" s="302" t="n"/>
      <x:c r="W37" s="302" t="n"/>
      <x:c r="X37" s="302" t="n">
        <x:v>-1</x:v>
      </x:c>
      <x:c r="Y37" s="302" t="n"/>
      <x:c r="Z37" s="302" t="n"/>
      <x:c r="AA37" s="302" t="n"/>
      <x:c r="AB37" s="302" t="n"/>
      <x:c r="AC37" s="302" t="n"/>
      <x:c r="AD37" s="302" t="n"/>
      <x:c r="AE37" s="302" t="n"/>
      <x:c r="AF37" s="302" t="n"/>
      <x:c r="AG37" s="302" t="n"/>
      <x:c r="AH37" s="302" t="n"/>
      <x:c r="AI37" s="302" t="n"/>
      <x:c r="AJ37" s="302" t="n"/>
      <x:c r="AK37" s="302" t="n"/>
      <x:c r="AL37" s="302" t="n"/>
      <x:c r="AM37" s="302" t="n"/>
      <x:c r="AN37" s="302" t="n"/>
      <x:c r="AO37" s="302" t="n"/>
      <x:c r="AP37" s="302" t="n"/>
      <x:c r="AQ37" s="302" t="n"/>
      <x:c r="AR37" s="302" t="n"/>
      <x:c r="AS37" s="302" t="n"/>
      <x:c r="AT37" s="302" t="n"/>
      <x:c r="AU37" s="302" t="n"/>
      <x:c r="AV37" s="302" t="n"/>
      <x:c r="AW37" s="302" t="n"/>
      <x:c r="AX37" s="302" t="n"/>
      <x:c r="AY37" s="302" t="n"/>
      <x:c r="AZ37" s="302" t="n"/>
      <x:c r="BA37" s="302" t="n"/>
      <x:c r="BB37" s="302" t="n"/>
      <x:c r="BC37" s="302" t="n"/>
      <x:c r="BD37" s="302" t="n"/>
      <x:c r="BE37" s="302" t="n"/>
      <x:c r="BF37" s="302" t="n"/>
      <x:c r="BG37" s="302" t="n"/>
      <x:c r="BH37" s="302" t="n"/>
      <x:c r="BI37" s="302" t="n"/>
      <x:c r="BJ37" s="302" t="n"/>
      <x:c r="BK37" s="302" t="n"/>
      <x:c r="BL37" s="302" t="n"/>
      <x:c r="BM37" s="302" t="n"/>
      <x:c r="BN37" s="302" t="n"/>
      <x:c r="BO37" s="302" t="n"/>
      <x:c r="BP37" s="302" t="n"/>
      <x:c r="BQ37" s="302" t="n"/>
      <x:c r="BR37" s="302" t="n"/>
      <x:c r="BS37" s="302" t="n"/>
      <x:c r="BT37" s="302" t="n"/>
      <x:c r="BU37" s="302" t="n"/>
      <x:c r="BV37" s="302" t="n"/>
      <x:c r="BW37" s="302" t="n"/>
      <x:c r="BX37" s="302" t="n"/>
      <x:c r="BY37" s="302" t="n"/>
      <x:c r="BZ37" s="302" t="n"/>
      <x:c r="CA37" s="302" t="n"/>
      <x:c r="CB37" s="302" t="n"/>
      <x:c r="CC37" s="302" t="n"/>
      <x:c r="CD37" s="302" t="n"/>
    </x:row>
    <x:row r="38" s="27" customFormat="1">
      <x:c r="B38" s="39" t="n"/>
      <x:c r="C38" s="90" t="inlineStr">
        <x:is>
          <x:t xml:space="preserve">N/A</x:t>
        </x:is>
      </x:c>
      <x:c r="D38" s="662" t="inlineStr">
        <x:is>
          <x:t xml:space="preserve">Martins Empire, LLC
5030 N May Ave, Ste 125
Oklahoma City, OK 73112</x:t>
        </x:is>
      </x:c>
      <x:c r="E38" s="91" t="n">
        <x:f>SUM(G38:HI38)</x:f>
        <x:v>0</x:v>
      </x:c>
      <x:c r="F38" s="35" t="n"/>
      <x:c r="G38" s="121" t="n"/>
      <x:c r="H38" s="302" t="n"/>
      <x:c r="I38" s="302" t="n"/>
      <x:c r="J38" s="302" t="n"/>
      <x:c r="K38" s="302" t="n"/>
      <x:c r="L38" s="302" t="n"/>
      <x:c r="M38" s="302" t="n"/>
      <x:c r="N38" s="302" t="n"/>
      <x:c r="O38" s="302" t="n"/>
      <x:c r="P38" s="302" t="n"/>
      <x:c r="Q38" s="302" t="n"/>
      <x:c r="R38" s="302" t="n"/>
      <x:c r="S38" s="302" t="n"/>
      <x:c r="T38" s="302" t="n"/>
      <x:c r="U38" s="302" t="n"/>
      <x:c r="V38" s="302" t="n"/>
      <x:c r="W38" s="302" t="n"/>
      <x:c r="X38" s="302" t="n">
        <x:v>1</x:v>
      </x:c>
      <x:c r="Y38" s="302" t="n">
        <x:v>-1</x:v>
      </x:c>
      <x:c r="Z38" s="302" t="n"/>
      <x:c r="AA38" s="302" t="n"/>
      <x:c r="AB38" s="302" t="n"/>
      <x:c r="AC38" s="302" t="n"/>
      <x:c r="AD38" s="302" t="n"/>
      <x:c r="AE38" s="302" t="n"/>
      <x:c r="AF38" s="302" t="n"/>
      <x:c r="AG38" s="302" t="n"/>
      <x:c r="AH38" s="302" t="n"/>
      <x:c r="AI38" s="302" t="n"/>
      <x:c r="AJ38" s="302" t="n"/>
      <x:c r="AK38" s="302" t="n"/>
      <x:c r="AL38" s="302" t="n"/>
      <x:c r="AM38" s="302" t="n"/>
      <x:c r="AN38" s="302" t="n"/>
      <x:c r="AO38" s="302" t="n"/>
      <x:c r="AP38" s="302" t="n"/>
      <x:c r="AQ38" s="302" t="n"/>
      <x:c r="AR38" s="302" t="n"/>
      <x:c r="AS38" s="302" t="n"/>
      <x:c r="AT38" s="302" t="n"/>
      <x:c r="AU38" s="302" t="n"/>
      <x:c r="AV38" s="302" t="n"/>
      <x:c r="AW38" s="302" t="n"/>
      <x:c r="AX38" s="302" t="n"/>
      <x:c r="AY38" s="302" t="n"/>
      <x:c r="AZ38" s="302" t="n"/>
      <x:c r="BA38" s="302" t="n"/>
      <x:c r="BB38" s="302" t="n"/>
      <x:c r="BC38" s="302" t="n"/>
      <x:c r="BD38" s="302" t="n"/>
      <x:c r="BE38" s="302" t="n"/>
      <x:c r="BF38" s="302" t="n"/>
      <x:c r="BG38" s="302" t="n"/>
      <x:c r="BH38" s="302" t="n"/>
      <x:c r="BI38" s="302" t="n"/>
      <x:c r="BJ38" s="302" t="n"/>
      <x:c r="BK38" s="302" t="n"/>
      <x:c r="BL38" s="302" t="n"/>
      <x:c r="BM38" s="302" t="n"/>
      <x:c r="BN38" s="302" t="n"/>
      <x:c r="BO38" s="302" t="n"/>
      <x:c r="BP38" s="302" t="n"/>
      <x:c r="BQ38" s="302" t="n"/>
      <x:c r="BR38" s="302" t="n"/>
      <x:c r="BS38" s="302" t="n"/>
      <x:c r="BT38" s="302" t="n"/>
      <x:c r="BU38" s="302" t="n"/>
      <x:c r="BV38" s="302" t="n"/>
      <x:c r="BW38" s="302" t="n"/>
      <x:c r="BX38" s="302" t="n"/>
      <x:c r="BY38" s="302" t="n"/>
      <x:c r="BZ38" s="302" t="n"/>
      <x:c r="CA38" s="302" t="n"/>
      <x:c r="CB38" s="302" t="n"/>
      <x:c r="CC38" s="302" t="n"/>
      <x:c r="CD38" s="302" t="n"/>
    </x:row>
    <x:row r="39" s="27" customFormat="1">
      <x:c r="B39" s="39" t="n"/>
      <x:c r="C39" s="90" t="inlineStr">
        <x:is>
          <x:t xml:space="preserve">N/A</x:t>
        </x:is>
      </x:c>
      <x:c r="D39" s="523" t="inlineStr">
        <x:is>
          <x:t xml:space="preserve">Stride Bank, Trustee of the Umbrella Trust
Address not located after OKCountyRecords search 2026-07-03; indexed instrument has no party mailing address. Image on file — review required. Source: Bk 2698/69.</x:t>
        </x:is>
      </x:c>
      <x:c r="E39" s="91" t="n">
        <x:f>SUM(G39:HI39)</x:f>
        <x:v>1</x:v>
      </x:c>
      <x:c r="F39" s="35" t="n"/>
      <x:c r="G39" s="121" t="n"/>
      <x:c r="H39" s="302" t="n"/>
      <x:c r="I39" s="302" t="n"/>
      <x:c r="J39" s="302" t="n"/>
      <x:c r="K39" s="302" t="n"/>
      <x:c r="L39" s="302" t="n"/>
      <x:c r="M39" s="302" t="n"/>
      <x:c r="N39" s="302" t="n"/>
      <x:c r="O39" s="302" t="n"/>
      <x:c r="P39" s="302" t="n"/>
      <x:c r="Q39" s="302" t="n"/>
      <x:c r="R39" s="302" t="n"/>
      <x:c r="S39" s="302" t="n"/>
      <x:c r="T39" s="302" t="n"/>
      <x:c r="U39" s="302" t="n"/>
      <x:c r="V39" s="302" t="n"/>
      <x:c r="W39" s="302" t="n"/>
      <x:c r="X39" s="302" t="n"/>
      <x:c r="Y39" s="302" t="n">
        <x:v>1</x:v>
      </x:c>
      <x:c r="Z39" s="302" t="n"/>
      <x:c r="AA39" s="302" t="n"/>
      <x:c r="AB39" s="302" t="n"/>
      <x:c r="AC39" s="302" t="n"/>
      <x:c r="AD39" s="302" t="n"/>
      <x:c r="AE39" s="302" t="n"/>
      <x:c r="AF39" s="302" t="n"/>
      <x:c r="AG39" s="302" t="n"/>
      <x:c r="AH39" s="302" t="n"/>
      <x:c r="AI39" s="302" t="n"/>
      <x:c r="AJ39" s="302" t="n"/>
      <x:c r="AK39" s="302" t="n"/>
      <x:c r="AL39" s="302" t="n"/>
      <x:c r="AM39" s="302" t="n"/>
      <x:c r="AN39" s="302" t="n"/>
      <x:c r="AO39" s="302" t="n"/>
      <x:c r="AP39" s="302" t="n"/>
      <x:c r="AQ39" s="302" t="n"/>
      <x:c r="AR39" s="302" t="n"/>
      <x:c r="AS39" s="302" t="n"/>
      <x:c r="AT39" s="302" t="n"/>
      <x:c r="AU39" s="302" t="n"/>
      <x:c r="AV39" s="302" t="n"/>
      <x:c r="AW39" s="302" t="n"/>
      <x:c r="AX39" s="302" t="n"/>
      <x:c r="AY39" s="302" t="n"/>
      <x:c r="AZ39" s="302" t="n"/>
      <x:c r="BA39" s="302" t="n"/>
      <x:c r="BB39" s="302" t="n"/>
      <x:c r="BC39" s="302" t="n"/>
      <x:c r="BD39" s="302" t="n"/>
      <x:c r="BE39" s="302" t="n"/>
      <x:c r="BF39" s="302" t="n"/>
      <x:c r="BG39" s="302" t="n"/>
      <x:c r="BH39" s="302" t="n"/>
      <x:c r="BI39" s="302" t="n"/>
      <x:c r="BJ39" s="302" t="n"/>
      <x:c r="BK39" s="302" t="n"/>
      <x:c r="BL39" s="302" t="n"/>
      <x:c r="BM39" s="302" t="n"/>
      <x:c r="BN39" s="302" t="n"/>
      <x:c r="BO39" s="302" t="n"/>
      <x:c r="BP39" s="302" t="n"/>
      <x:c r="BQ39" s="302" t="n"/>
      <x:c r="BR39" s="302" t="n"/>
      <x:c r="BS39" s="302" t="n"/>
      <x:c r="BT39" s="302" t="n"/>
      <x:c r="BU39" s="302" t="n"/>
      <x:c r="BV39" s="302" t="n"/>
      <x:c r="BW39" s="302" t="n"/>
      <x:c r="BX39" s="302" t="n"/>
      <x:c r="BY39" s="302" t="n"/>
      <x:c r="BZ39" s="302" t="n"/>
      <x:c r="CA39" s="302" t="n"/>
      <x:c r="CB39" s="302" t="n"/>
      <x:c r="CC39" s="302" t="n"/>
      <x:c r="CD39" s="302" t="n"/>
    </x:row>
    <x:row r="40" s="27" customFormat="1">
      <x:c r="B40" s="39" t="n"/>
      <x:c r="C40" s="90" t="n">
        <x:f>E40*D$5</x:f>
        <x:v>0</x:v>
      </x:c>
      <x:c r="D40" s="93" t="n"/>
      <x:c r="E40" s="91" t="n">
        <x:f>SUM(G40:HI40)</x:f>
        <x:v>0</x:v>
      </x:c>
      <x:c r="H40" s="302" t="n"/>
      <x:c r="I40" s="302" t="n"/>
      <x:c r="J40" s="302" t="n"/>
      <x:c r="K40" s="302" t="n"/>
      <x:c r="L40" s="302" t="n"/>
      <x:c r="M40" s="302" t="n"/>
      <x:c r="N40" s="302" t="n"/>
      <x:c r="O40" s="302" t="n"/>
      <x:c r="P40" s="302" t="n"/>
      <x:c r="Q40" s="302" t="n"/>
      <x:c r="R40" s="302" t="n"/>
      <x:c r="S40" s="302" t="n"/>
      <x:c r="T40" s="302" t="n"/>
      <x:c r="U40" s="302" t="n"/>
      <x:c r="V40" s="302" t="n"/>
      <x:c r="W40" s="302" t="n"/>
      <x:c r="X40" s="302" t="n"/>
      <x:c r="Y40" s="302" t="n"/>
      <x:c r="Z40" s="302" t="n"/>
      <x:c r="AA40" s="302" t="n"/>
      <x:c r="AB40" s="302" t="n"/>
      <x:c r="AC40" s="302" t="n"/>
      <x:c r="AD40" s="302" t="n"/>
      <x:c r="AE40" s="302" t="n"/>
      <x:c r="AF40" s="302" t="n"/>
      <x:c r="AG40" s="302" t="n"/>
      <x:c r="AH40" s="302" t="n"/>
      <x:c r="AI40" s="302" t="n"/>
      <x:c r="AJ40" s="302" t="n"/>
      <x:c r="AK40" s="302" t="n"/>
      <x:c r="AL40" s="302" t="n"/>
      <x:c r="AM40" s="302" t="n"/>
      <x:c r="AN40" s="302" t="n"/>
      <x:c r="AO40" s="302" t="n"/>
      <x:c r="AP40" s="302" t="n"/>
      <x:c r="AQ40" s="302" t="n"/>
      <x:c r="AR40" s="302" t="n"/>
      <x:c r="AS40" s="302" t="n"/>
      <x:c r="AT40" s="302" t="n"/>
      <x:c r="AU40" s="302" t="n"/>
      <x:c r="AV40" s="302" t="n"/>
      <x:c r="AW40" s="302" t="n"/>
      <x:c r="AX40" s="302" t="n"/>
      <x:c r="AY40" s="302" t="n"/>
      <x:c r="AZ40" s="302" t="n"/>
      <x:c r="BA40" s="302" t="n"/>
      <x:c r="BB40" s="302" t="n"/>
      <x:c r="BC40" s="302" t="n"/>
      <x:c r="BD40" s="302" t="n"/>
      <x:c r="BE40" s="302" t="n"/>
      <x:c r="BF40" s="302" t="n"/>
      <x:c r="BG40" s="302" t="n"/>
      <x:c r="BH40" s="302" t="n"/>
      <x:c r="BI40" s="302" t="n"/>
      <x:c r="BJ40" s="302" t="n"/>
      <x:c r="BK40" s="302" t="n"/>
      <x:c r="BL40" s="302" t="n"/>
      <x:c r="BM40" s="302" t="n"/>
      <x:c r="BN40" s="302" t="n"/>
      <x:c r="BO40" s="302" t="n"/>
      <x:c r="BP40" s="302" t="n"/>
      <x:c r="BQ40" s="302" t="n"/>
      <x:c r="BR40" s="302" t="n"/>
      <x:c r="BS40" s="302" t="n"/>
      <x:c r="BT40" s="302" t="n"/>
      <x:c r="BU40" s="302" t="n"/>
      <x:c r="BV40" s="302" t="n"/>
      <x:c r="BW40" s="302" t="n"/>
      <x:c r="BX40" s="302" t="n"/>
      <x:c r="BY40" s="302" t="n"/>
      <x:c r="BZ40" s="302" t="n"/>
      <x:c r="CA40" s="302" t="n"/>
      <x:c r="CB40" s="302" t="n"/>
      <x:c r="CC40" s="302" t="n"/>
      <x:c r="CD40" s="302" t="n"/>
    </x:row>
    <x:row r="41" s="27" customFormat="1">
      <x:c r="B41" s="37" t="n"/>
      <x:c r="C41" s="90" t="n">
        <x:f>E41*D$5</x:f>
        <x:v>0</x:v>
      </x:c>
      <x:c r="D41" s="523" t="n"/>
      <x:c r="E41" s="91" t="n">
        <x:f>SUM(G41:HI41)</x:f>
        <x:v>0</x:v>
      </x:c>
      <x:c r="H41" s="302" t="n"/>
      <x:c r="I41" s="302" t="n"/>
      <x:c r="J41" s="302" t="n"/>
      <x:c r="K41" s="302" t="n"/>
      <x:c r="L41" s="302" t="n"/>
      <x:c r="M41" s="302" t="n"/>
      <x:c r="N41" s="302" t="n"/>
      <x:c r="O41" s="302" t="n"/>
      <x:c r="P41" s="302" t="n"/>
      <x:c r="Q41" s="302" t="n"/>
      <x:c r="R41" s="302" t="n"/>
      <x:c r="S41" s="302" t="n"/>
      <x:c r="T41" s="302" t="n"/>
      <x:c r="U41" s="302" t="n"/>
      <x:c r="V41" s="302" t="n"/>
      <x:c r="W41" s="302" t="n"/>
      <x:c r="X41" s="302" t="n"/>
      <x:c r="Y41" s="302" t="n"/>
      <x:c r="Z41" s="302" t="n"/>
      <x:c r="AA41" s="302" t="n"/>
      <x:c r="AB41" s="302" t="n"/>
      <x:c r="AC41" s="302" t="n"/>
      <x:c r="AD41" s="302" t="n"/>
      <x:c r="AE41" s="302" t="n"/>
      <x:c r="AF41" s="302" t="n"/>
      <x:c r="AG41" s="302" t="n"/>
      <x:c r="AH41" s="302" t="n"/>
      <x:c r="AI41" s="302" t="n"/>
      <x:c r="AJ41" s="302" t="n"/>
      <x:c r="AK41" s="302" t="n"/>
      <x:c r="AL41" s="302" t="n"/>
      <x:c r="AM41" s="302" t="n"/>
      <x:c r="AN41" s="302" t="n"/>
      <x:c r="AO41" s="302" t="n"/>
      <x:c r="AP41" s="302" t="n"/>
      <x:c r="AQ41" s="302" t="n"/>
      <x:c r="AR41" s="302" t="n"/>
      <x:c r="AS41" s="302" t="n"/>
      <x:c r="AT41" s="302" t="n"/>
      <x:c r="AU41" s="302" t="n"/>
      <x:c r="AV41" s="302" t="n"/>
      <x:c r="AW41" s="302" t="n"/>
      <x:c r="AX41" s="302" t="n"/>
      <x:c r="AY41" s="302" t="n"/>
      <x:c r="AZ41" s="302" t="n"/>
      <x:c r="BA41" s="302" t="n"/>
      <x:c r="BB41" s="302" t="n"/>
      <x:c r="BC41" s="302" t="n"/>
      <x:c r="BD41" s="302" t="n"/>
      <x:c r="BE41" s="302" t="n"/>
      <x:c r="BF41" s="302" t="n"/>
      <x:c r="BG41" s="302" t="n"/>
      <x:c r="BH41" s="302" t="n"/>
      <x:c r="BI41" s="302" t="n"/>
      <x:c r="BJ41" s="302" t="n"/>
      <x:c r="BK41" s="302" t="n"/>
      <x:c r="BL41" s="302" t="n"/>
      <x:c r="BM41" s="302" t="n"/>
      <x:c r="BN41" s="302" t="n"/>
      <x:c r="BO41" s="302" t="n"/>
      <x:c r="BP41" s="302" t="n"/>
      <x:c r="BQ41" s="302" t="n"/>
      <x:c r="BR41" s="302" t="n"/>
      <x:c r="BS41" s="302" t="n"/>
      <x:c r="BT41" s="302" t="n"/>
      <x:c r="BU41" s="302" t="n"/>
      <x:c r="BV41" s="302" t="n"/>
      <x:c r="BW41" s="302" t="n"/>
      <x:c r="BX41" s="302" t="n"/>
      <x:c r="BY41" s="302" t="n"/>
      <x:c r="BZ41" s="302" t="n"/>
      <x:c r="CA41" s="302" t="n"/>
      <x:c r="CB41" s="302" t="n"/>
      <x:c r="CC41" s="302" t="n"/>
      <x:c r="CD41" s="302" t="n"/>
    </x:row>
    <x:row r="42" s="27" customFormat="1">
      <x:c r="B42" s="37" t="n"/>
      <x:c r="C42" s="90" t="n">
        <x:f>E42*D$5</x:f>
        <x:v>0</x:v>
      </x:c>
      <x:c r="D42" s="523" t="n"/>
      <x:c r="E42" s="91" t="n">
        <x:f>SUM(G42:HI42)</x:f>
        <x:v>0</x:v>
      </x:c>
      <x:c r="H42" s="302" t="n"/>
      <x:c r="I42" s="302" t="n"/>
      <x:c r="J42" s="302" t="n"/>
      <x:c r="K42" s="302" t="n"/>
      <x:c r="L42" s="302" t="n"/>
      <x:c r="M42" s="302" t="n"/>
      <x:c r="N42" s="302" t="n"/>
      <x:c r="O42" s="302" t="n"/>
      <x:c r="P42" s="302" t="n"/>
      <x:c r="Q42" s="302" t="n"/>
      <x:c r="R42" s="302" t="n"/>
      <x:c r="S42" s="302" t="n"/>
      <x:c r="T42" s="302" t="n"/>
      <x:c r="U42" s="302" t="n"/>
      <x:c r="V42" s="302" t="n"/>
      <x:c r="W42" s="302" t="n"/>
      <x:c r="X42" s="302" t="n"/>
      <x:c r="Y42" s="302" t="n"/>
      <x:c r="Z42" s="302" t="n"/>
      <x:c r="AA42" s="302" t="n"/>
      <x:c r="AB42" s="302" t="n"/>
      <x:c r="AC42" s="302" t="n"/>
      <x:c r="AD42" s="302" t="n"/>
      <x:c r="AE42" s="302" t="n"/>
      <x:c r="AF42" s="302" t="n"/>
      <x:c r="AG42" s="302" t="n"/>
      <x:c r="AH42" s="302" t="n"/>
      <x:c r="AI42" s="302" t="n"/>
      <x:c r="AJ42" s="302" t="n"/>
      <x:c r="AK42" s="302" t="n"/>
      <x:c r="AL42" s="302" t="n"/>
      <x:c r="AM42" s="302" t="n"/>
      <x:c r="AN42" s="302" t="n"/>
      <x:c r="AO42" s="302" t="n"/>
      <x:c r="AP42" s="302" t="n"/>
      <x:c r="AQ42" s="302" t="n"/>
      <x:c r="AR42" s="302" t="n"/>
      <x:c r="AS42" s="302" t="n"/>
      <x:c r="AT42" s="302" t="n"/>
      <x:c r="AU42" s="302" t="n"/>
      <x:c r="AV42" s="302" t="n"/>
      <x:c r="AW42" s="302" t="n"/>
      <x:c r="AX42" s="302" t="n"/>
      <x:c r="AY42" s="302" t="n"/>
      <x:c r="AZ42" s="302" t="n"/>
      <x:c r="BA42" s="302" t="n"/>
      <x:c r="BB42" s="302" t="n"/>
      <x:c r="BC42" s="302" t="n"/>
      <x:c r="BD42" s="302" t="n"/>
      <x:c r="BE42" s="302" t="n"/>
      <x:c r="BF42" s="302" t="n"/>
      <x:c r="BG42" s="302" t="n"/>
      <x:c r="BH42" s="302" t="n"/>
      <x:c r="BI42" s="302" t="n"/>
      <x:c r="BJ42" s="302" t="n"/>
      <x:c r="BK42" s="302" t="n"/>
      <x:c r="BL42" s="302" t="n"/>
      <x:c r="BM42" s="302" t="n"/>
      <x:c r="BN42" s="302" t="n"/>
      <x:c r="BO42" s="302" t="n"/>
      <x:c r="BP42" s="302" t="n"/>
      <x:c r="BQ42" s="302" t="n"/>
      <x:c r="BR42" s="302" t="n"/>
      <x:c r="BS42" s="302" t="n"/>
      <x:c r="BT42" s="302" t="n"/>
      <x:c r="BU42" s="302" t="n"/>
      <x:c r="BV42" s="302" t="n"/>
      <x:c r="BW42" s="302" t="n"/>
      <x:c r="BX42" s="302" t="n"/>
      <x:c r="BY42" s="302" t="n"/>
      <x:c r="BZ42" s="302" t="n"/>
      <x:c r="CA42" s="302" t="n"/>
      <x:c r="CB42" s="302" t="n"/>
      <x:c r="CC42" s="302" t="n"/>
      <x:c r="CD42" s="302" t="n"/>
    </x:row>
    <x:row r="43" s="27" customFormat="1">
      <x:c r="B43" s="37" t="n"/>
      <x:c r="C43" s="90" t="n">
        <x:f>E43*D$5</x:f>
        <x:v>0</x:v>
      </x:c>
      <x:c r="D43" s="523" t="n"/>
      <x:c r="E43" s="91" t="n">
        <x:f>SUM(G43:HI43)</x:f>
        <x:v>0</x:v>
      </x:c>
      <x:c r="H43" s="302" t="n"/>
      <x:c r="I43" s="302" t="n"/>
      <x:c r="J43" s="302" t="n"/>
      <x:c r="K43" s="302" t="n"/>
      <x:c r="L43" s="302" t="n"/>
      <x:c r="M43" s="302" t="n"/>
      <x:c r="N43" s="302" t="n"/>
      <x:c r="O43" s="302" t="n"/>
      <x:c r="P43" s="302" t="n"/>
      <x:c r="Q43" s="302" t="n"/>
      <x:c r="R43" s="302" t="n"/>
      <x:c r="S43" s="302" t="n"/>
      <x:c r="T43" s="302" t="n"/>
      <x:c r="U43" s="302" t="n"/>
      <x:c r="V43" s="302" t="n"/>
      <x:c r="W43" s="302" t="n"/>
      <x:c r="X43" s="302" t="n"/>
      <x:c r="Y43" s="302" t="n"/>
      <x:c r="Z43" s="302" t="n"/>
      <x:c r="AA43" s="302" t="n"/>
      <x:c r="AB43" s="302" t="n"/>
      <x:c r="AC43" s="302" t="n"/>
      <x:c r="AD43" s="302" t="n"/>
      <x:c r="AE43" s="302" t="n"/>
      <x:c r="AF43" s="302" t="n"/>
      <x:c r="AG43" s="302" t="n"/>
      <x:c r="AH43" s="302" t="n"/>
      <x:c r="AI43" s="302" t="n"/>
      <x:c r="AJ43" s="302" t="n"/>
      <x:c r="AK43" s="302" t="n"/>
      <x:c r="AL43" s="302" t="n"/>
      <x:c r="AM43" s="302" t="n"/>
      <x:c r="AN43" s="302" t="n"/>
      <x:c r="AO43" s="302" t="n"/>
      <x:c r="AP43" s="302" t="n"/>
      <x:c r="AQ43" s="302" t="n"/>
      <x:c r="AR43" s="302" t="n"/>
      <x:c r="AS43" s="302" t="n"/>
      <x:c r="AT43" s="302" t="n"/>
      <x:c r="AU43" s="302" t="n"/>
      <x:c r="AV43" s="302" t="n"/>
      <x:c r="AW43" s="302" t="n"/>
      <x:c r="AX43" s="302" t="n"/>
      <x:c r="AY43" s="302" t="n"/>
      <x:c r="AZ43" s="302" t="n"/>
      <x:c r="BA43" s="302" t="n"/>
      <x:c r="BB43" s="302" t="n"/>
      <x:c r="BC43" s="302" t="n"/>
      <x:c r="BD43" s="302" t="n"/>
      <x:c r="BE43" s="302" t="n"/>
      <x:c r="BF43" s="302" t="n"/>
      <x:c r="BG43" s="302" t="n"/>
      <x:c r="BH43" s="302" t="n"/>
      <x:c r="BI43" s="302" t="n"/>
      <x:c r="BJ43" s="302" t="n"/>
      <x:c r="BK43" s="302" t="n"/>
      <x:c r="BL43" s="302" t="n"/>
      <x:c r="BM43" s="302" t="n"/>
      <x:c r="BN43" s="302" t="n"/>
      <x:c r="BO43" s="302" t="n"/>
      <x:c r="BP43" s="302" t="n"/>
      <x:c r="BQ43" s="302" t="n"/>
      <x:c r="BR43" s="302" t="n"/>
      <x:c r="BS43" s="302" t="n"/>
      <x:c r="BT43" s="302" t="n"/>
      <x:c r="BU43" s="302" t="n"/>
      <x:c r="BV43" s="302" t="n"/>
      <x:c r="BW43" s="302" t="n"/>
      <x:c r="BX43" s="302" t="n"/>
      <x:c r="BY43" s="302" t="n"/>
      <x:c r="BZ43" s="302" t="n"/>
      <x:c r="CA43" s="302" t="n"/>
      <x:c r="CB43" s="302" t="n"/>
      <x:c r="CC43" s="302" t="n"/>
      <x:c r="CD43" s="302" t="n"/>
    </x:row>
    <x:row r="44" s="27" customFormat="1">
      <x:c r="B44" s="37" t="n"/>
      <x:c r="C44" s="90" t="n">
        <x:f>E44*D$5</x:f>
        <x:v>0</x:v>
      </x:c>
      <x:c r="D44" s="523" t="n"/>
      <x:c r="E44" s="91" t="n">
        <x:f>SUM(G44:HI44)</x:f>
        <x:v>0</x:v>
      </x:c>
      <x:c r="H44" s="302" t="n"/>
      <x:c r="I44" s="302" t="n"/>
      <x:c r="J44" s="302" t="n"/>
      <x:c r="K44" s="302" t="n"/>
      <x:c r="L44" s="302" t="n"/>
      <x:c r="M44" s="302" t="n"/>
      <x:c r="N44" s="302" t="n"/>
      <x:c r="O44" s="302" t="n"/>
      <x:c r="P44" s="302" t="n"/>
      <x:c r="Q44" s="302" t="n"/>
      <x:c r="R44" s="302" t="n"/>
      <x:c r="S44" s="302" t="n"/>
      <x:c r="T44" s="302" t="n"/>
      <x:c r="U44" s="302" t="n"/>
      <x:c r="V44" s="302" t="n"/>
      <x:c r="W44" s="302" t="n"/>
      <x:c r="X44" s="302" t="n"/>
      <x:c r="Y44" s="302" t="n"/>
      <x:c r="Z44" s="302" t="n"/>
      <x:c r="AA44" s="302" t="n"/>
      <x:c r="AB44" s="302" t="n"/>
      <x:c r="AC44" s="302" t="n"/>
      <x:c r="AD44" s="302" t="n"/>
      <x:c r="AE44" s="302" t="n"/>
      <x:c r="AF44" s="302" t="n"/>
      <x:c r="AG44" s="302" t="n"/>
      <x:c r="AH44" s="302" t="n"/>
      <x:c r="AI44" s="302" t="n"/>
      <x:c r="AJ44" s="302" t="n"/>
      <x:c r="AK44" s="302" t="n"/>
      <x:c r="AL44" s="302" t="n"/>
      <x:c r="AM44" s="302" t="n"/>
      <x:c r="AN44" s="302" t="n"/>
      <x:c r="AO44" s="302" t="n"/>
      <x:c r="AP44" s="302" t="n"/>
      <x:c r="AQ44" s="302" t="n"/>
      <x:c r="AR44" s="302" t="n"/>
      <x:c r="AS44" s="302" t="n"/>
      <x:c r="AT44" s="302" t="n"/>
      <x:c r="AU44" s="302" t="n"/>
      <x:c r="AV44" s="302" t="n"/>
      <x:c r="AW44" s="302" t="n"/>
      <x:c r="AX44" s="302" t="n"/>
      <x:c r="AY44" s="302" t="n"/>
      <x:c r="AZ44" s="302" t="n"/>
      <x:c r="BA44" s="302" t="n"/>
      <x:c r="BB44" s="302" t="n"/>
      <x:c r="BC44" s="302" t="n"/>
      <x:c r="BD44" s="302" t="n"/>
      <x:c r="BE44" s="302" t="n"/>
      <x:c r="BF44" s="302" t="n"/>
      <x:c r="BG44" s="302" t="n"/>
      <x:c r="BH44" s="302" t="n"/>
      <x:c r="BI44" s="302" t="n"/>
      <x:c r="BJ44" s="302" t="n"/>
      <x:c r="BK44" s="302" t="n"/>
      <x:c r="BL44" s="302" t="n"/>
      <x:c r="BM44" s="302" t="n"/>
      <x:c r="BN44" s="302" t="n"/>
      <x:c r="BO44" s="302" t="n"/>
      <x:c r="BP44" s="302" t="n"/>
      <x:c r="BQ44" s="302" t="n"/>
      <x:c r="BR44" s="302" t="n"/>
      <x:c r="BS44" s="302" t="n"/>
      <x:c r="BT44" s="302" t="n"/>
      <x:c r="BU44" s="302" t="n"/>
      <x:c r="BV44" s="302" t="n"/>
      <x:c r="BW44" s="302" t="n"/>
      <x:c r="BX44" s="302" t="n"/>
      <x:c r="BY44" s="302" t="n"/>
      <x:c r="BZ44" s="302" t="n"/>
      <x:c r="CA44" s="302" t="n"/>
      <x:c r="CB44" s="302" t="n"/>
      <x:c r="CC44" s="302" t="n"/>
      <x:c r="CD44" s="302" t="n"/>
    </x:row>
    <x:row r="45" s="27" customFormat="1">
      <x:c r="B45" s="37" t="n"/>
      <x:c r="C45" s="90" t="n">
        <x:f>E45*D$5</x:f>
        <x:v>0</x:v>
      </x:c>
      <x:c r="D45" s="523" t="n"/>
      <x:c r="E45" s="91" t="n">
        <x:f>SUM(G45:HI45)</x:f>
        <x:v>0</x:v>
      </x:c>
      <x:c r="H45" s="302" t="n"/>
      <x:c r="I45" s="302" t="n"/>
      <x:c r="J45" s="302" t="n"/>
      <x:c r="K45" s="302" t="n"/>
      <x:c r="L45" s="302" t="n"/>
      <x:c r="M45" s="302" t="n"/>
      <x:c r="N45" s="302" t="n"/>
      <x:c r="O45" s="302" t="n"/>
      <x:c r="P45" s="302" t="n"/>
      <x:c r="Q45" s="302" t="n"/>
      <x:c r="R45" s="302" t="n"/>
      <x:c r="S45" s="302" t="n"/>
      <x:c r="T45" s="302" t="n"/>
      <x:c r="U45" s="302" t="n"/>
      <x:c r="V45" s="302" t="n"/>
      <x:c r="W45" s="302" t="n"/>
      <x:c r="X45" s="302" t="n"/>
      <x:c r="Y45" s="302" t="n"/>
      <x:c r="Z45" s="302" t="n"/>
      <x:c r="AA45" s="302" t="n"/>
      <x:c r="AB45" s="302" t="n"/>
      <x:c r="AC45" s="302" t="n"/>
      <x:c r="AD45" s="302" t="n"/>
      <x:c r="AE45" s="302" t="n"/>
      <x:c r="AF45" s="302" t="n"/>
      <x:c r="AG45" s="302" t="n"/>
      <x:c r="AH45" s="302" t="n"/>
      <x:c r="AI45" s="302" t="n"/>
      <x:c r="AJ45" s="302" t="n"/>
      <x:c r="AK45" s="302" t="n"/>
      <x:c r="AL45" s="302" t="n"/>
      <x:c r="AM45" s="302" t="n"/>
      <x:c r="AN45" s="302" t="n"/>
      <x:c r="AO45" s="302" t="n"/>
      <x:c r="AP45" s="302" t="n"/>
      <x:c r="AQ45" s="302" t="n"/>
      <x:c r="AR45" s="302" t="n"/>
      <x:c r="AS45" s="302" t="n"/>
      <x:c r="AT45" s="302" t="n"/>
      <x:c r="AU45" s="302" t="n"/>
      <x:c r="AV45" s="302" t="n"/>
      <x:c r="AW45" s="302" t="n"/>
      <x:c r="AX45" s="302" t="n"/>
      <x:c r="AY45" s="302" t="n"/>
      <x:c r="AZ45" s="302" t="n"/>
      <x:c r="BA45" s="302" t="n"/>
      <x:c r="BB45" s="302" t="n"/>
      <x:c r="BC45" s="302" t="n"/>
      <x:c r="BD45" s="302" t="n"/>
      <x:c r="BE45" s="302" t="n"/>
      <x:c r="BF45" s="302" t="n"/>
      <x:c r="BG45" s="302" t="n"/>
      <x:c r="BH45" s="302" t="n"/>
      <x:c r="BI45" s="302" t="n"/>
      <x:c r="BJ45" s="302" t="n"/>
      <x:c r="BK45" s="302" t="n"/>
      <x:c r="BL45" s="302" t="n"/>
      <x:c r="BM45" s="302" t="n"/>
      <x:c r="BN45" s="302" t="n"/>
      <x:c r="BO45" s="302" t="n"/>
      <x:c r="BP45" s="302" t="n"/>
      <x:c r="BQ45" s="302" t="n"/>
      <x:c r="BR45" s="302" t="n"/>
      <x:c r="BS45" s="302" t="n"/>
      <x:c r="BT45" s="302" t="n"/>
      <x:c r="BU45" s="302" t="n"/>
      <x:c r="BV45" s="302" t="n"/>
      <x:c r="BW45" s="302" t="n"/>
      <x:c r="BX45" s="302" t="n"/>
      <x:c r="BY45" s="302" t="n"/>
      <x:c r="BZ45" s="302" t="n"/>
      <x:c r="CA45" s="302" t="n"/>
      <x:c r="CB45" s="302" t="n"/>
      <x:c r="CC45" s="302" t="n"/>
      <x:c r="CD45" s="302" t="n"/>
    </x:row>
    <x:row r="46" s="27" customFormat="1">
      <x:c r="B46" s="37" t="n"/>
      <x:c r="C46" s="90" t="n">
        <x:f>E46*D$5</x:f>
        <x:v>0</x:v>
      </x:c>
      <x:c r="D46" s="523" t="n"/>
      <x:c r="E46" s="91" t="n">
        <x:f>SUM(G46:HI46)</x:f>
        <x:v>0</x:v>
      </x:c>
      <x:c r="H46" s="302" t="n"/>
      <x:c r="I46" s="302" t="n"/>
      <x:c r="J46" s="302" t="n"/>
      <x:c r="K46" s="302" t="n"/>
      <x:c r="L46" s="302" t="n"/>
      <x:c r="M46" s="302" t="n"/>
      <x:c r="N46" s="302" t="n"/>
      <x:c r="O46" s="302" t="n"/>
      <x:c r="P46" s="302" t="n"/>
      <x:c r="Q46" s="302" t="n"/>
      <x:c r="R46" s="302" t="n"/>
      <x:c r="S46" s="302" t="n"/>
      <x:c r="T46" s="302" t="n"/>
      <x:c r="U46" s="302" t="n"/>
      <x:c r="V46" s="302" t="n"/>
      <x:c r="W46" s="302" t="n"/>
      <x:c r="X46" s="302" t="n"/>
      <x:c r="Y46" s="302" t="n"/>
      <x:c r="Z46" s="302" t="n"/>
      <x:c r="AA46" s="302" t="n"/>
      <x:c r="AB46" s="302" t="n"/>
      <x:c r="AC46" s="302" t="n"/>
      <x:c r="AD46" s="302" t="n"/>
      <x:c r="AE46" s="302" t="n"/>
      <x:c r="AF46" s="302" t="n"/>
      <x:c r="AG46" s="302" t="n"/>
      <x:c r="AH46" s="302" t="n"/>
      <x:c r="AI46" s="302" t="n"/>
      <x:c r="AJ46" s="302" t="n"/>
      <x:c r="AK46" s="302" t="n"/>
      <x:c r="AL46" s="302" t="n"/>
      <x:c r="AM46" s="302" t="n"/>
      <x:c r="AN46" s="302" t="n"/>
      <x:c r="AO46" s="302" t="n"/>
      <x:c r="AP46" s="302" t="n"/>
      <x:c r="AQ46" s="302" t="n"/>
      <x:c r="AR46" s="302" t="n"/>
      <x:c r="AS46" s="302" t="n"/>
      <x:c r="AT46" s="302" t="n"/>
      <x:c r="AU46" s="302" t="n"/>
      <x:c r="AV46" s="302" t="n"/>
      <x:c r="AW46" s="302" t="n"/>
      <x:c r="AX46" s="302" t="n"/>
      <x:c r="AY46" s="302" t="n"/>
      <x:c r="AZ46" s="302" t="n"/>
      <x:c r="BA46" s="302" t="n"/>
      <x:c r="BB46" s="302" t="n"/>
      <x:c r="BC46" s="302" t="n"/>
      <x:c r="BD46" s="302" t="n"/>
      <x:c r="BE46" s="302" t="n"/>
      <x:c r="BF46" s="302" t="n"/>
      <x:c r="BG46" s="302" t="n"/>
      <x:c r="BH46" s="302" t="n"/>
      <x:c r="BI46" s="302" t="n"/>
      <x:c r="BJ46" s="302" t="n"/>
      <x:c r="BK46" s="302" t="n"/>
      <x:c r="BL46" s="302" t="n"/>
      <x:c r="BM46" s="302" t="n"/>
      <x:c r="BN46" s="302" t="n"/>
      <x:c r="BO46" s="302" t="n"/>
      <x:c r="BP46" s="302" t="n"/>
      <x:c r="BQ46" s="302" t="n"/>
      <x:c r="BR46" s="302" t="n"/>
      <x:c r="BS46" s="302" t="n"/>
      <x:c r="BT46" s="302" t="n"/>
      <x:c r="BU46" s="302" t="n"/>
      <x:c r="BV46" s="302" t="n"/>
      <x:c r="BW46" s="302" t="n"/>
      <x:c r="BX46" s="302" t="n"/>
      <x:c r="BY46" s="302" t="n"/>
      <x:c r="BZ46" s="302" t="n"/>
      <x:c r="CA46" s="302" t="n"/>
      <x:c r="CB46" s="302" t="n"/>
      <x:c r="CC46" s="302" t="n"/>
      <x:c r="CD46" s="302" t="n"/>
    </x:row>
    <x:row r="47" s="27" customFormat="1">
      <x:c r="B47" s="37" t="n"/>
      <x:c r="C47" s="90" t="n">
        <x:f>E47*D$5</x:f>
        <x:v>0</x:v>
      </x:c>
      <x:c r="D47" s="93" t="n"/>
      <x:c r="E47" s="91" t="n">
        <x:f>SUM(G47:HI47)</x:f>
        <x:v>0</x:v>
      </x:c>
      <x:c r="H47" s="302" t="n"/>
      <x:c r="I47" s="302" t="n"/>
      <x:c r="J47" s="302" t="n"/>
      <x:c r="K47" s="302" t="n"/>
      <x:c r="L47" s="302" t="n"/>
      <x:c r="M47" s="302" t="n"/>
      <x:c r="N47" s="302" t="n"/>
      <x:c r="O47" s="302" t="n"/>
      <x:c r="P47" s="302" t="n"/>
      <x:c r="Q47" s="302" t="n"/>
      <x:c r="R47" s="302" t="n"/>
      <x:c r="S47" s="302" t="n"/>
      <x:c r="T47" s="302" t="n"/>
      <x:c r="U47" s="302" t="n"/>
      <x:c r="V47" s="302" t="n"/>
      <x:c r="W47" s="302" t="n"/>
      <x:c r="X47" s="302" t="n"/>
      <x:c r="Y47" s="302" t="n"/>
      <x:c r="Z47" s="302" t="n"/>
      <x:c r="AA47" s="302" t="n"/>
      <x:c r="AB47" s="302" t="n"/>
      <x:c r="AC47" s="302" t="n"/>
      <x:c r="AD47" s="302" t="n"/>
      <x:c r="AE47" s="302" t="n"/>
      <x:c r="AF47" s="302" t="n"/>
      <x:c r="AG47" s="302" t="n"/>
      <x:c r="AH47" s="302" t="n"/>
      <x:c r="AI47" s="302" t="n"/>
      <x:c r="AJ47" s="302" t="n"/>
      <x:c r="AK47" s="302" t="n"/>
      <x:c r="AL47" s="302" t="n"/>
      <x:c r="AM47" s="302" t="n"/>
      <x:c r="AN47" s="302" t="n"/>
      <x:c r="AO47" s="302" t="n"/>
      <x:c r="AP47" s="302" t="n"/>
      <x:c r="AQ47" s="302" t="n"/>
      <x:c r="AR47" s="302" t="n"/>
      <x:c r="AS47" s="302" t="n"/>
      <x:c r="AT47" s="302" t="n"/>
      <x:c r="AU47" s="302" t="n"/>
      <x:c r="AV47" s="302" t="n"/>
      <x:c r="AW47" s="302" t="n"/>
      <x:c r="AX47" s="302" t="n"/>
      <x:c r="AY47" s="302" t="n"/>
      <x:c r="AZ47" s="302" t="n"/>
      <x:c r="BA47" s="302" t="n"/>
      <x:c r="BB47" s="302" t="n"/>
      <x:c r="BC47" s="302" t="n"/>
      <x:c r="BD47" s="302" t="n"/>
      <x:c r="BE47" s="302" t="n"/>
      <x:c r="BF47" s="302" t="n"/>
      <x:c r="BG47" s="302" t="n"/>
      <x:c r="BH47" s="302" t="n"/>
      <x:c r="BI47" s="302" t="n"/>
      <x:c r="BJ47" s="302" t="n"/>
      <x:c r="BK47" s="302" t="n"/>
      <x:c r="BL47" s="302" t="n"/>
      <x:c r="BM47" s="302" t="n"/>
      <x:c r="BN47" s="302" t="n"/>
      <x:c r="BO47" s="302" t="n"/>
      <x:c r="BP47" s="302" t="n"/>
      <x:c r="BQ47" s="302" t="n"/>
      <x:c r="BR47" s="302" t="n"/>
      <x:c r="BS47" s="302" t="n"/>
      <x:c r="BT47" s="302" t="n"/>
      <x:c r="BU47" s="302" t="n"/>
      <x:c r="BV47" s="302" t="n"/>
      <x:c r="BW47" s="302" t="n"/>
      <x:c r="BX47" s="302" t="n"/>
      <x:c r="BY47" s="302" t="n"/>
      <x:c r="BZ47" s="302" t="n"/>
      <x:c r="CA47" s="302" t="n"/>
      <x:c r="CB47" s="302" t="n"/>
      <x:c r="CC47" s="302" t="n"/>
      <x:c r="CD47" s="302" t="n"/>
    </x:row>
    <x:row r="48" s="27" customFormat="1">
      <x:c r="B48" s="37" t="n"/>
      <x:c r="C48" s="90" t="n">
        <x:f>E48*D$5</x:f>
        <x:v>0</x:v>
      </x:c>
      <x:c r="D48" s="93" t="n"/>
      <x:c r="E48" s="91" t="n">
        <x:f>SUM(G48:HI48)</x:f>
        <x:v>0</x:v>
      </x:c>
      <x:c r="H48" s="302" t="n"/>
      <x:c r="I48" s="302" t="n"/>
      <x:c r="J48" s="302" t="n"/>
      <x:c r="K48" s="302" t="n"/>
      <x:c r="L48" s="302" t="n"/>
      <x:c r="M48" s="302" t="n"/>
      <x:c r="N48" s="302" t="n"/>
      <x:c r="O48" s="302" t="n"/>
      <x:c r="P48" s="302" t="n"/>
      <x:c r="Q48" s="302" t="n"/>
      <x:c r="R48" s="302" t="n"/>
      <x:c r="S48" s="302" t="n"/>
      <x:c r="T48" s="302" t="n"/>
      <x:c r="U48" s="302" t="n"/>
      <x:c r="V48" s="302" t="n"/>
      <x:c r="W48" s="302" t="n"/>
      <x:c r="X48" s="302" t="n"/>
      <x:c r="Y48" s="302" t="n"/>
      <x:c r="Z48" s="302" t="n"/>
      <x:c r="AA48" s="302" t="n"/>
      <x:c r="AB48" s="302" t="n"/>
      <x:c r="AC48" s="302" t="n"/>
      <x:c r="AD48" s="302" t="n"/>
      <x:c r="AE48" s="302" t="n"/>
      <x:c r="AF48" s="302" t="n"/>
      <x:c r="AG48" s="302" t="n"/>
      <x:c r="AH48" s="302" t="n"/>
      <x:c r="AI48" s="302" t="n"/>
      <x:c r="AJ48" s="302" t="n"/>
      <x:c r="AK48" s="302" t="n"/>
      <x:c r="AL48" s="302" t="n"/>
      <x:c r="AM48" s="302" t="n"/>
      <x:c r="AN48" s="302" t="n"/>
      <x:c r="AO48" s="302" t="n"/>
      <x:c r="AP48" s="302" t="n"/>
      <x:c r="AQ48" s="302" t="n"/>
      <x:c r="AR48" s="302" t="n"/>
      <x:c r="AS48" s="302" t="n"/>
      <x:c r="AT48" s="302" t="n"/>
      <x:c r="AU48" s="302" t="n"/>
      <x:c r="AV48" s="302" t="n"/>
      <x:c r="AW48" s="302" t="n"/>
      <x:c r="AX48" s="302" t="n"/>
      <x:c r="AY48" s="302" t="n"/>
      <x:c r="AZ48" s="302" t="n"/>
      <x:c r="BA48" s="302" t="n"/>
      <x:c r="BB48" s="302" t="n"/>
      <x:c r="BC48" s="302" t="n"/>
      <x:c r="BD48" s="302" t="n"/>
      <x:c r="BE48" s="302" t="n"/>
      <x:c r="BF48" s="302" t="n"/>
      <x:c r="BG48" s="302" t="n"/>
      <x:c r="BH48" s="302" t="n"/>
      <x:c r="BI48" s="302" t="n"/>
      <x:c r="BJ48" s="302" t="n"/>
      <x:c r="BK48" s="302" t="n"/>
      <x:c r="BL48" s="302" t="n"/>
      <x:c r="BM48" s="302" t="n"/>
      <x:c r="BN48" s="302" t="n"/>
      <x:c r="BO48" s="302" t="n"/>
      <x:c r="BP48" s="302" t="n"/>
      <x:c r="BQ48" s="302" t="n"/>
      <x:c r="BR48" s="302" t="n"/>
      <x:c r="BS48" s="302" t="n"/>
      <x:c r="BT48" s="302" t="n"/>
      <x:c r="BU48" s="302" t="n"/>
      <x:c r="BV48" s="302" t="n"/>
      <x:c r="BW48" s="302" t="n"/>
      <x:c r="BX48" s="302" t="n"/>
      <x:c r="BY48" s="302" t="n"/>
      <x:c r="BZ48" s="302" t="n"/>
      <x:c r="CA48" s="302" t="n"/>
      <x:c r="CB48" s="302" t="n"/>
      <x:c r="CC48" s="302" t="n"/>
      <x:c r="CD48" s="302" t="n"/>
    </x:row>
    <x:row r="49" s="27" customFormat="1">
      <x:c r="B49" s="37" t="n"/>
      <x:c r="C49" s="90" t="n">
        <x:f>E49*D$5</x:f>
        <x:v>0</x:v>
      </x:c>
      <x:c r="D49" s="523" t="n"/>
      <x:c r="E49" s="91" t="n">
        <x:f>SUM(G49:HI49)</x:f>
        <x:v>0</x:v>
      </x:c>
      <x:c r="H49" s="302" t="n"/>
      <x:c r="I49" s="302" t="n"/>
      <x:c r="J49" s="302" t="n"/>
      <x:c r="K49" s="302" t="n"/>
      <x:c r="L49" s="302" t="n"/>
      <x:c r="M49" s="302" t="n"/>
      <x:c r="N49" s="302" t="n"/>
      <x:c r="O49" s="302" t="n"/>
      <x:c r="P49" s="302" t="n"/>
      <x:c r="Q49" s="302" t="n"/>
      <x:c r="R49" s="302" t="n"/>
      <x:c r="S49" s="302" t="n"/>
      <x:c r="T49" s="302" t="n"/>
      <x:c r="U49" s="302" t="n"/>
      <x:c r="V49" s="302" t="n"/>
      <x:c r="W49" s="302" t="n"/>
      <x:c r="X49" s="302" t="n"/>
      <x:c r="Y49" s="302" t="n"/>
      <x:c r="Z49" s="302" t="n"/>
      <x:c r="AA49" s="302" t="n"/>
      <x:c r="AB49" s="302" t="n"/>
      <x:c r="AC49" s="302" t="n"/>
      <x:c r="AD49" s="302" t="n"/>
      <x:c r="AE49" s="302" t="n"/>
      <x:c r="AF49" s="302" t="n"/>
      <x:c r="AG49" s="302" t="n"/>
      <x:c r="AH49" s="302" t="n"/>
      <x:c r="AI49" s="302" t="n"/>
      <x:c r="AJ49" s="302" t="n"/>
      <x:c r="AK49" s="302" t="n"/>
      <x:c r="AL49" s="302" t="n"/>
      <x:c r="AM49" s="302" t="n"/>
      <x:c r="AN49" s="302" t="n"/>
      <x:c r="AO49" s="302" t="n"/>
      <x:c r="AP49" s="302" t="n"/>
      <x:c r="AQ49" s="302" t="n"/>
      <x:c r="AR49" s="302" t="n"/>
      <x:c r="AS49" s="302" t="n"/>
      <x:c r="AT49" s="302" t="n"/>
      <x:c r="AU49" s="302" t="n"/>
      <x:c r="AV49" s="302" t="n"/>
      <x:c r="AW49" s="302" t="n"/>
      <x:c r="AX49" s="302" t="n"/>
      <x:c r="AY49" s="302" t="n"/>
      <x:c r="AZ49" s="302" t="n"/>
      <x:c r="BA49" s="302" t="n"/>
      <x:c r="BB49" s="302" t="n"/>
      <x:c r="BC49" s="302" t="n"/>
      <x:c r="BD49" s="302" t="n"/>
      <x:c r="BE49" s="302" t="n"/>
      <x:c r="BF49" s="302" t="n"/>
      <x:c r="BG49" s="302" t="n"/>
      <x:c r="BH49" s="302" t="n"/>
      <x:c r="BI49" s="302" t="n"/>
      <x:c r="BJ49" s="302" t="n"/>
      <x:c r="BK49" s="302" t="n"/>
      <x:c r="BL49" s="302" t="n"/>
      <x:c r="BM49" s="302" t="n"/>
      <x:c r="BN49" s="302" t="n"/>
      <x:c r="BO49" s="302" t="n"/>
      <x:c r="BP49" s="302" t="n"/>
      <x:c r="BQ49" s="302" t="n"/>
      <x:c r="BR49" s="302" t="n"/>
      <x:c r="BS49" s="302" t="n"/>
      <x:c r="BT49" s="302" t="n"/>
      <x:c r="BU49" s="302" t="n"/>
      <x:c r="BV49" s="302" t="n"/>
      <x:c r="BW49" s="302" t="n"/>
      <x:c r="BX49" s="302" t="n"/>
      <x:c r="BY49" s="302" t="n"/>
      <x:c r="BZ49" s="302" t="n"/>
      <x:c r="CA49" s="302" t="n"/>
      <x:c r="CB49" s="302" t="n"/>
      <x:c r="CC49" s="302" t="n"/>
      <x:c r="CD49" s="302" t="n"/>
    </x:row>
    <x:row r="50" s="27" customFormat="1">
      <x:c r="B50" s="37" t="n"/>
      <x:c r="C50" s="90" t="n">
        <x:f>E50*D$5</x:f>
        <x:v>0</x:v>
      </x:c>
      <x:c r="D50" s="93" t="n"/>
      <x:c r="E50" s="91" t="n">
        <x:f>SUM(G50:HI50)</x:f>
        <x:v>0</x:v>
      </x:c>
      <x:c r="H50" s="302" t="n"/>
      <x:c r="I50" s="302" t="n"/>
      <x:c r="J50" s="302" t="n"/>
      <x:c r="K50" s="302" t="n"/>
      <x:c r="L50" s="302" t="n"/>
      <x:c r="M50" s="302" t="n"/>
      <x:c r="N50" s="302" t="n"/>
      <x:c r="O50" s="302" t="n"/>
      <x:c r="P50" s="302" t="n"/>
      <x:c r="Q50" s="302" t="n"/>
      <x:c r="R50" s="302" t="n"/>
      <x:c r="S50" s="302" t="n"/>
      <x:c r="T50" s="302" t="n"/>
      <x:c r="U50" s="302" t="n"/>
      <x:c r="V50" s="302" t="n"/>
      <x:c r="W50" s="302" t="n"/>
      <x:c r="X50" s="302" t="n"/>
      <x:c r="Y50" s="302" t="n"/>
      <x:c r="Z50" s="302" t="n"/>
      <x:c r="AA50" s="302" t="n"/>
      <x:c r="AB50" s="302" t="n"/>
      <x:c r="AC50" s="302" t="n"/>
      <x:c r="AD50" s="302" t="n"/>
      <x:c r="AE50" s="302" t="n"/>
      <x:c r="AF50" s="302" t="n"/>
      <x:c r="AG50" s="302" t="n"/>
      <x:c r="AH50" s="302" t="n"/>
      <x:c r="AI50" s="302" t="n"/>
      <x:c r="AJ50" s="302" t="n"/>
      <x:c r="AK50" s="302" t="n"/>
      <x:c r="AL50" s="302" t="n"/>
      <x:c r="AM50" s="302" t="n"/>
      <x:c r="AN50" s="302" t="n"/>
      <x:c r="AO50" s="302" t="n"/>
      <x:c r="AP50" s="302" t="n"/>
      <x:c r="AQ50" s="302" t="n"/>
      <x:c r="AR50" s="302" t="n"/>
      <x:c r="AS50" s="302" t="n"/>
      <x:c r="AT50" s="302" t="n"/>
      <x:c r="AU50" s="302" t="n"/>
      <x:c r="AV50" s="302" t="n"/>
      <x:c r="AW50" s="302" t="n"/>
      <x:c r="AX50" s="302" t="n"/>
      <x:c r="AY50" s="302" t="n"/>
      <x:c r="AZ50" s="302" t="n"/>
      <x:c r="BA50" s="302" t="n"/>
      <x:c r="BB50" s="302" t="n"/>
      <x:c r="BC50" s="302" t="n"/>
      <x:c r="BD50" s="302" t="n"/>
      <x:c r="BE50" s="302" t="n"/>
      <x:c r="BF50" s="302" t="n"/>
      <x:c r="BG50" s="302" t="n"/>
      <x:c r="BH50" s="302" t="n"/>
      <x:c r="BI50" s="302" t="n"/>
      <x:c r="BJ50" s="302" t="n"/>
      <x:c r="BK50" s="302" t="n"/>
      <x:c r="BL50" s="302" t="n"/>
      <x:c r="BM50" s="302" t="n"/>
      <x:c r="BN50" s="302" t="n"/>
      <x:c r="BO50" s="302" t="n"/>
      <x:c r="BP50" s="302" t="n"/>
      <x:c r="BQ50" s="302" t="n"/>
      <x:c r="BR50" s="302" t="n"/>
      <x:c r="BS50" s="302" t="n"/>
      <x:c r="BT50" s="302" t="n"/>
      <x:c r="BU50" s="302" t="n"/>
      <x:c r="BV50" s="302" t="n"/>
      <x:c r="BW50" s="302" t="n"/>
      <x:c r="BX50" s="302" t="n"/>
      <x:c r="BY50" s="302" t="n"/>
      <x:c r="BZ50" s="302" t="n"/>
      <x:c r="CA50" s="302" t="n"/>
      <x:c r="CB50" s="302" t="n"/>
      <x:c r="CC50" s="302" t="n"/>
      <x:c r="CD50" s="302" t="n"/>
    </x:row>
    <x:row r="51" s="27" customFormat="1">
      <x:c r="B51" s="37" t="n"/>
      <x:c r="C51" s="90" t="n">
        <x:f>E51*D$5</x:f>
        <x:v>0</x:v>
      </x:c>
      <x:c r="D51" s="523" t="n"/>
      <x:c r="E51" s="91" t="n">
        <x:f>SUM(G51:HI51)</x:f>
        <x:v>0</x:v>
      </x:c>
      <x:c r="H51" s="302" t="n"/>
      <x:c r="I51" s="302" t="n"/>
      <x:c r="J51" s="302" t="n"/>
      <x:c r="K51" s="302" t="n"/>
      <x:c r="L51" s="302" t="n"/>
      <x:c r="M51" s="302" t="n"/>
      <x:c r="N51" s="302" t="n"/>
      <x:c r="O51" s="302" t="n"/>
      <x:c r="P51" s="302" t="n"/>
      <x:c r="Q51" s="302" t="n"/>
      <x:c r="R51" s="302" t="n"/>
      <x:c r="S51" s="302" t="n"/>
      <x:c r="T51" s="302" t="n"/>
      <x:c r="U51" s="302" t="n"/>
      <x:c r="V51" s="302" t="n"/>
      <x:c r="W51" s="302" t="n"/>
      <x:c r="X51" s="302" t="n"/>
      <x:c r="Y51" s="302" t="n"/>
      <x:c r="Z51" s="302" t="n"/>
      <x:c r="AA51" s="302" t="n"/>
      <x:c r="AB51" s="302" t="n"/>
      <x:c r="AC51" s="302" t="n"/>
      <x:c r="AD51" s="302" t="n"/>
      <x:c r="AE51" s="302" t="n"/>
      <x:c r="AF51" s="302" t="n"/>
      <x:c r="AG51" s="302" t="n"/>
      <x:c r="AH51" s="302" t="n"/>
      <x:c r="AI51" s="302" t="n"/>
      <x:c r="AJ51" s="302" t="n"/>
      <x:c r="AK51" s="302" t="n"/>
      <x:c r="AL51" s="302" t="n"/>
      <x:c r="AM51" s="302" t="n"/>
      <x:c r="AN51" s="302" t="n"/>
      <x:c r="AO51" s="302" t="n"/>
      <x:c r="AP51" s="302" t="n"/>
      <x:c r="AQ51" s="302" t="n"/>
      <x:c r="AR51" s="302" t="n"/>
      <x:c r="AS51" s="302" t="n"/>
      <x:c r="AT51" s="302" t="n"/>
      <x:c r="AU51" s="302" t="n"/>
      <x:c r="AV51" s="302" t="n"/>
      <x:c r="AW51" s="302" t="n"/>
      <x:c r="AX51" s="302" t="n"/>
      <x:c r="AY51" s="302" t="n"/>
      <x:c r="AZ51" s="302" t="n"/>
      <x:c r="BA51" s="302" t="n"/>
      <x:c r="BB51" s="302" t="n"/>
      <x:c r="BC51" s="302" t="n"/>
      <x:c r="BD51" s="302" t="n"/>
      <x:c r="BE51" s="302" t="n"/>
      <x:c r="BF51" s="302" t="n"/>
      <x:c r="BG51" s="302" t="n"/>
      <x:c r="BH51" s="302" t="n"/>
      <x:c r="BI51" s="302" t="n"/>
      <x:c r="BJ51" s="302" t="n"/>
      <x:c r="BK51" s="302" t="n"/>
      <x:c r="BL51" s="302" t="n"/>
      <x:c r="BM51" s="302" t="n"/>
      <x:c r="BN51" s="302" t="n"/>
      <x:c r="BO51" s="302" t="n"/>
      <x:c r="BP51" s="302" t="n"/>
      <x:c r="BQ51" s="302" t="n"/>
      <x:c r="BR51" s="302" t="n"/>
      <x:c r="BS51" s="302" t="n"/>
      <x:c r="BT51" s="302" t="n"/>
      <x:c r="BU51" s="302" t="n"/>
      <x:c r="BV51" s="302" t="n"/>
      <x:c r="BW51" s="302" t="n"/>
      <x:c r="BX51" s="302" t="n"/>
      <x:c r="BY51" s="302" t="n"/>
      <x:c r="BZ51" s="302" t="n"/>
      <x:c r="CA51" s="302" t="n"/>
      <x:c r="CB51" s="302" t="n"/>
      <x:c r="CC51" s="302" t="n"/>
      <x:c r="CD51" s="302" t="n"/>
    </x:row>
    <x:row r="52" s="27" customFormat="1">
      <x:c r="B52" s="37" t="n"/>
      <x:c r="C52" s="90" t="n">
        <x:f>E52*D$5</x:f>
        <x:v>0</x:v>
      </x:c>
      <x:c r="D52" s="93" t="n"/>
      <x:c r="E52" s="91" t="n">
        <x:f>SUM(G52:HI52)</x:f>
        <x:v>0</x:v>
      </x:c>
      <x:c r="H52" s="302" t="n"/>
      <x:c r="I52" s="302" t="n"/>
      <x:c r="J52" s="302" t="n"/>
      <x:c r="K52" s="302" t="n"/>
      <x:c r="L52" s="302" t="n"/>
      <x:c r="M52" s="302" t="n"/>
      <x:c r="N52" s="302" t="n"/>
      <x:c r="O52" s="302" t="n"/>
      <x:c r="P52" s="302" t="n"/>
      <x:c r="Q52" s="302" t="n"/>
      <x:c r="R52" s="302" t="n"/>
      <x:c r="S52" s="302" t="n"/>
      <x:c r="T52" s="302" t="n"/>
      <x:c r="U52" s="302" t="n"/>
      <x:c r="V52" s="302" t="n"/>
      <x:c r="W52" s="302" t="n"/>
      <x:c r="X52" s="302" t="n"/>
      <x:c r="Y52" s="302" t="n"/>
      <x:c r="Z52" s="302" t="n"/>
      <x:c r="AA52" s="302" t="n"/>
      <x:c r="AB52" s="302" t="n"/>
      <x:c r="AC52" s="302" t="n"/>
      <x:c r="AD52" s="302" t="n"/>
      <x:c r="AE52" s="302" t="n"/>
      <x:c r="AF52" s="302" t="n"/>
      <x:c r="AG52" s="302" t="n"/>
      <x:c r="AH52" s="302" t="n"/>
      <x:c r="AI52" s="302" t="n"/>
      <x:c r="AJ52" s="302" t="n"/>
      <x:c r="AK52" s="302" t="n"/>
      <x:c r="AL52" s="302" t="n"/>
      <x:c r="AM52" s="302" t="n"/>
      <x:c r="AN52" s="302" t="n"/>
      <x:c r="AO52" s="302" t="n"/>
      <x:c r="AP52" s="302" t="n"/>
      <x:c r="AQ52" s="302" t="n"/>
      <x:c r="AR52" s="302" t="n"/>
      <x:c r="AS52" s="302" t="n"/>
      <x:c r="AT52" s="302" t="n"/>
      <x:c r="AU52" s="302" t="n"/>
      <x:c r="AV52" s="302" t="n"/>
      <x:c r="AW52" s="302" t="n"/>
      <x:c r="AX52" s="302" t="n"/>
      <x:c r="AY52" s="302" t="n"/>
      <x:c r="AZ52" s="302" t="n"/>
      <x:c r="BA52" s="302" t="n"/>
      <x:c r="BB52" s="302" t="n"/>
      <x:c r="BC52" s="302" t="n"/>
      <x:c r="BD52" s="302" t="n"/>
      <x:c r="BE52" s="302" t="n"/>
      <x:c r="BF52" s="302" t="n"/>
      <x:c r="BG52" s="302" t="n"/>
      <x:c r="BH52" s="302" t="n"/>
      <x:c r="BI52" s="302" t="n"/>
      <x:c r="BJ52" s="302" t="n"/>
      <x:c r="BK52" s="302" t="n"/>
      <x:c r="BL52" s="302" t="n"/>
      <x:c r="BM52" s="302" t="n"/>
      <x:c r="BN52" s="302" t="n"/>
      <x:c r="BO52" s="302" t="n"/>
      <x:c r="BP52" s="302" t="n"/>
      <x:c r="BQ52" s="302" t="n"/>
      <x:c r="BR52" s="302" t="n"/>
      <x:c r="BS52" s="302" t="n"/>
      <x:c r="BT52" s="302" t="n"/>
      <x:c r="BU52" s="302" t="n"/>
      <x:c r="BV52" s="302" t="n"/>
      <x:c r="BW52" s="302" t="n"/>
      <x:c r="BX52" s="302" t="n"/>
      <x:c r="BY52" s="302" t="n"/>
      <x:c r="BZ52" s="302" t="n"/>
      <x:c r="CA52" s="302" t="n"/>
      <x:c r="CB52" s="302" t="n"/>
      <x:c r="CC52" s="302" t="n"/>
      <x:c r="CD52" s="302" t="n"/>
    </x:row>
    <x:row r="53" s="27" customFormat="1">
      <x:c r="B53" s="37" t="n"/>
      <x:c r="C53" s="90" t="n">
        <x:f>E53*D$5</x:f>
        <x:v>0</x:v>
      </x:c>
      <x:c r="D53" s="93" t="n"/>
      <x:c r="E53" s="91" t="n">
        <x:f>SUM(G53:HI53)</x:f>
        <x:v>0</x:v>
      </x:c>
      <x:c r="H53" s="302" t="n"/>
      <x:c r="I53" s="302" t="n"/>
      <x:c r="J53" s="302" t="n"/>
      <x:c r="K53" s="302" t="n"/>
      <x:c r="L53" s="302" t="n"/>
      <x:c r="M53" s="302" t="n"/>
      <x:c r="N53" s="302" t="n"/>
      <x:c r="O53" s="302" t="n"/>
      <x:c r="P53" s="302" t="n"/>
      <x:c r="Q53" s="302" t="n"/>
      <x:c r="R53" s="302" t="n"/>
      <x:c r="S53" s="302" t="n"/>
      <x:c r="T53" s="302" t="n"/>
      <x:c r="U53" s="302" t="n"/>
      <x:c r="V53" s="302" t="n"/>
      <x:c r="W53" s="302" t="n"/>
      <x:c r="X53" s="302" t="n"/>
      <x:c r="Y53" s="302" t="n"/>
      <x:c r="Z53" s="302" t="n"/>
      <x:c r="AA53" s="302" t="n"/>
      <x:c r="AB53" s="302" t="n"/>
      <x:c r="AC53" s="302" t="n"/>
      <x:c r="AD53" s="302" t="n"/>
      <x:c r="AE53" s="302" t="n"/>
      <x:c r="AF53" s="302" t="n"/>
      <x:c r="AG53" s="302" t="n"/>
      <x:c r="AH53" s="302" t="n"/>
      <x:c r="AI53" s="302" t="n"/>
      <x:c r="AJ53" s="302" t="n"/>
      <x:c r="AK53" s="302" t="n"/>
      <x:c r="AL53" s="302" t="n"/>
      <x:c r="AM53" s="302" t="n"/>
      <x:c r="AN53" s="302" t="n"/>
      <x:c r="AO53" s="302" t="n"/>
      <x:c r="AP53" s="302" t="n"/>
      <x:c r="AQ53" s="302" t="n"/>
      <x:c r="AR53" s="302" t="n"/>
      <x:c r="AS53" s="302" t="n"/>
      <x:c r="AT53" s="302" t="n"/>
      <x:c r="AU53" s="302" t="n"/>
      <x:c r="AV53" s="302" t="n"/>
      <x:c r="AW53" s="302" t="n"/>
      <x:c r="AX53" s="302" t="n"/>
      <x:c r="AY53" s="302" t="n"/>
      <x:c r="AZ53" s="302" t="n"/>
      <x:c r="BA53" s="302" t="n"/>
      <x:c r="BB53" s="302" t="n"/>
      <x:c r="BC53" s="302" t="n"/>
      <x:c r="BD53" s="302" t="n"/>
      <x:c r="BE53" s="302" t="n"/>
      <x:c r="BF53" s="302" t="n"/>
      <x:c r="BG53" s="302" t="n"/>
      <x:c r="BH53" s="302" t="n"/>
      <x:c r="BI53" s="302" t="n"/>
      <x:c r="BJ53" s="302" t="n"/>
      <x:c r="BK53" s="302" t="n"/>
      <x:c r="BL53" s="302" t="n"/>
      <x:c r="BM53" s="302" t="n"/>
      <x:c r="BN53" s="302" t="n"/>
      <x:c r="BO53" s="302" t="n"/>
      <x:c r="BP53" s="302" t="n"/>
      <x:c r="BQ53" s="302" t="n"/>
      <x:c r="BR53" s="302" t="n"/>
      <x:c r="BS53" s="302" t="n"/>
      <x:c r="BT53" s="302" t="n"/>
      <x:c r="BU53" s="302" t="n"/>
      <x:c r="BV53" s="302" t="n"/>
      <x:c r="BW53" s="302" t="n"/>
      <x:c r="BX53" s="302" t="n"/>
      <x:c r="BY53" s="302" t="n"/>
      <x:c r="BZ53" s="302" t="n"/>
      <x:c r="CA53" s="302" t="n"/>
      <x:c r="CB53" s="302" t="n"/>
      <x:c r="CC53" s="302" t="n"/>
      <x:c r="CD53" s="302" t="n"/>
    </x:row>
    <x:row r="54" s="27" customFormat="1">
      <x:c r="B54" s="37" t="n"/>
      <x:c r="C54" s="90" t="n">
        <x:f>E54*D$5</x:f>
        <x:v>0</x:v>
      </x:c>
      <x:c r="D54" s="523" t="n"/>
      <x:c r="E54" s="91" t="n">
        <x:f>SUM(G54:HI54)</x:f>
        <x:v>0</x:v>
      </x:c>
      <x:c r="H54" s="302" t="n"/>
      <x:c r="I54" s="302" t="n"/>
      <x:c r="J54" s="302" t="n"/>
      <x:c r="K54" s="302" t="n"/>
      <x:c r="L54" s="302" t="n"/>
      <x:c r="M54" s="302" t="n"/>
      <x:c r="N54" s="302" t="n"/>
      <x:c r="O54" s="302" t="n"/>
      <x:c r="P54" s="302" t="n"/>
      <x:c r="Q54" s="302" t="n"/>
      <x:c r="R54" s="302" t="n"/>
      <x:c r="S54" s="302" t="n"/>
      <x:c r="T54" s="302" t="n"/>
      <x:c r="U54" s="302" t="n"/>
      <x:c r="V54" s="302" t="n"/>
      <x:c r="W54" s="302" t="n"/>
      <x:c r="X54" s="302" t="n"/>
      <x:c r="Y54" s="302" t="n"/>
      <x:c r="Z54" s="302" t="n"/>
      <x:c r="AA54" s="302" t="n"/>
      <x:c r="AB54" s="302" t="n"/>
      <x:c r="AC54" s="302" t="n"/>
      <x:c r="AD54" s="302" t="n"/>
      <x:c r="AE54" s="302" t="n"/>
      <x:c r="AF54" s="302" t="n"/>
      <x:c r="AG54" s="302" t="n"/>
      <x:c r="AH54" s="302" t="n"/>
      <x:c r="AI54" s="302" t="n"/>
      <x:c r="AJ54" s="302" t="n"/>
      <x:c r="AK54" s="302" t="n"/>
      <x:c r="AL54" s="302" t="n"/>
      <x:c r="AM54" s="302" t="n"/>
      <x:c r="AN54" s="302" t="n"/>
      <x:c r="AO54" s="302" t="n"/>
      <x:c r="AP54" s="302" t="n"/>
      <x:c r="AQ54" s="302" t="n"/>
      <x:c r="AR54" s="302" t="n"/>
      <x:c r="AS54" s="302" t="n"/>
      <x:c r="AT54" s="302" t="n"/>
      <x:c r="AU54" s="302" t="n"/>
      <x:c r="AV54" s="302" t="n"/>
      <x:c r="AW54" s="302" t="n"/>
      <x:c r="AX54" s="302" t="n"/>
      <x:c r="AY54" s="302" t="n"/>
      <x:c r="AZ54" s="302" t="n"/>
      <x:c r="BA54" s="302" t="n"/>
      <x:c r="BB54" s="302" t="n"/>
      <x:c r="BC54" s="302" t="n"/>
      <x:c r="BD54" s="302" t="n"/>
      <x:c r="BE54" s="302" t="n"/>
      <x:c r="BF54" s="302" t="n"/>
      <x:c r="BG54" s="302" t="n"/>
      <x:c r="BH54" s="302" t="n"/>
      <x:c r="BI54" s="302" t="n"/>
      <x:c r="BJ54" s="302" t="n"/>
      <x:c r="BK54" s="302" t="n"/>
      <x:c r="BL54" s="302" t="n"/>
      <x:c r="BM54" s="302" t="n"/>
      <x:c r="BN54" s="302" t="n"/>
      <x:c r="BO54" s="302" t="n"/>
      <x:c r="BP54" s="302" t="n"/>
      <x:c r="BQ54" s="302" t="n"/>
      <x:c r="BR54" s="302" t="n"/>
      <x:c r="BS54" s="302" t="n"/>
      <x:c r="BT54" s="302" t="n"/>
      <x:c r="BU54" s="302" t="n"/>
      <x:c r="BV54" s="302" t="n"/>
      <x:c r="BW54" s="302" t="n"/>
      <x:c r="BX54" s="302" t="n"/>
      <x:c r="BY54" s="302" t="n"/>
      <x:c r="BZ54" s="302" t="n"/>
      <x:c r="CA54" s="302" t="n"/>
      <x:c r="CB54" s="302" t="n"/>
      <x:c r="CC54" s="302" t="n"/>
      <x:c r="CD54" s="302" t="n"/>
    </x:row>
    <x:row r="55" s="27" customFormat="1">
      <x:c r="B55" s="37" t="n"/>
      <x:c r="C55" s="90" t="n">
        <x:f>E55*D$5</x:f>
        <x:v>0</x:v>
      </x:c>
      <x:c r="D55" s="93" t="n"/>
      <x:c r="E55" s="91" t="n">
        <x:f>SUM(G55:HI55)</x:f>
        <x:v>0</x:v>
      </x:c>
      <x:c r="H55" s="302" t="n"/>
      <x:c r="I55" s="302" t="n"/>
      <x:c r="J55" s="302" t="n"/>
      <x:c r="K55" s="302" t="n"/>
      <x:c r="L55" s="302" t="n"/>
      <x:c r="M55" s="302" t="n"/>
      <x:c r="N55" s="302" t="n"/>
      <x:c r="O55" s="302" t="n"/>
      <x:c r="P55" s="302" t="n"/>
      <x:c r="Q55" s="302" t="n"/>
      <x:c r="R55" s="302" t="n"/>
      <x:c r="S55" s="302" t="n"/>
      <x:c r="T55" s="302" t="n"/>
      <x:c r="U55" s="302" t="n"/>
      <x:c r="V55" s="302" t="n"/>
      <x:c r="W55" s="302" t="n"/>
      <x:c r="X55" s="302" t="n"/>
      <x:c r="Y55" s="302" t="n"/>
      <x:c r="Z55" s="302" t="n"/>
      <x:c r="AA55" s="302" t="n"/>
      <x:c r="AB55" s="302" t="n"/>
      <x:c r="AC55" s="302" t="n"/>
      <x:c r="AD55" s="302" t="n"/>
      <x:c r="AE55" s="302" t="n"/>
      <x:c r="AF55" s="302" t="n"/>
      <x:c r="AG55" s="302" t="n"/>
      <x:c r="AH55" s="302" t="n"/>
      <x:c r="AI55" s="302" t="n"/>
      <x:c r="AJ55" s="302" t="n"/>
      <x:c r="AK55" s="302" t="n"/>
      <x:c r="AL55" s="302" t="n"/>
      <x:c r="AM55" s="302" t="n"/>
      <x:c r="AN55" s="302" t="n"/>
      <x:c r="AO55" s="302" t="n"/>
      <x:c r="AP55" s="302" t="n"/>
      <x:c r="AQ55" s="302" t="n"/>
      <x:c r="AR55" s="302" t="n"/>
      <x:c r="AS55" s="302" t="n"/>
      <x:c r="AT55" s="302" t="n"/>
      <x:c r="AU55" s="302" t="n"/>
      <x:c r="AV55" s="302" t="n"/>
      <x:c r="AW55" s="302" t="n"/>
      <x:c r="AX55" s="302" t="n"/>
      <x:c r="AY55" s="302" t="n"/>
      <x:c r="AZ55" s="302" t="n"/>
      <x:c r="BA55" s="302" t="n"/>
      <x:c r="BB55" s="302" t="n"/>
      <x:c r="BC55" s="302" t="n"/>
      <x:c r="BD55" s="302" t="n"/>
      <x:c r="BE55" s="302" t="n"/>
      <x:c r="BF55" s="302" t="n"/>
      <x:c r="BG55" s="302" t="n"/>
      <x:c r="BH55" s="302" t="n"/>
      <x:c r="BI55" s="302" t="n"/>
      <x:c r="BJ55" s="302" t="n"/>
      <x:c r="BK55" s="302" t="n"/>
      <x:c r="BL55" s="302" t="n"/>
      <x:c r="BM55" s="302" t="n"/>
      <x:c r="BN55" s="302" t="n"/>
      <x:c r="BO55" s="302" t="n"/>
      <x:c r="BP55" s="302" t="n"/>
      <x:c r="BQ55" s="302" t="n"/>
      <x:c r="BR55" s="302" t="n"/>
      <x:c r="BS55" s="302" t="n"/>
      <x:c r="BT55" s="302" t="n"/>
      <x:c r="BU55" s="302" t="n"/>
      <x:c r="BV55" s="302" t="n"/>
      <x:c r="BW55" s="302" t="n"/>
      <x:c r="BX55" s="302" t="n"/>
      <x:c r="BY55" s="302" t="n"/>
      <x:c r="BZ55" s="302" t="n"/>
      <x:c r="CA55" s="302" t="n"/>
      <x:c r="CB55" s="302" t="n"/>
      <x:c r="CC55" s="302" t="n"/>
      <x:c r="CD55" s="302" t="n"/>
    </x:row>
    <x:row r="56" s="27" customFormat="1">
      <x:c r="B56" s="37" t="n"/>
      <x:c r="C56" s="90" t="n">
        <x:f>E56*D$5</x:f>
        <x:v>0</x:v>
      </x:c>
      <x:c r="D56" s="93" t="n"/>
      <x:c r="E56" s="91" t="n">
        <x:f>SUM(G56:HI56)</x:f>
        <x:v>0</x:v>
      </x:c>
      <x:c r="H56" s="302" t="n"/>
      <x:c r="I56" s="302" t="n"/>
      <x:c r="J56" s="302" t="n"/>
      <x:c r="K56" s="302" t="n"/>
      <x:c r="L56" s="302" t="n"/>
      <x:c r="M56" s="302" t="n"/>
      <x:c r="N56" s="302" t="n"/>
      <x:c r="O56" s="302" t="n"/>
      <x:c r="P56" s="302" t="n"/>
      <x:c r="Q56" s="302" t="n"/>
      <x:c r="R56" s="302" t="n"/>
      <x:c r="S56" s="302" t="n"/>
      <x:c r="T56" s="302" t="n"/>
      <x:c r="U56" s="302" t="n"/>
      <x:c r="V56" s="302" t="n"/>
      <x:c r="W56" s="302" t="n"/>
      <x:c r="X56" s="302" t="n"/>
      <x:c r="Y56" s="302" t="n"/>
      <x:c r="Z56" s="302" t="n"/>
      <x:c r="AA56" s="302" t="n"/>
      <x:c r="AB56" s="302" t="n"/>
      <x:c r="AC56" s="302" t="n"/>
      <x:c r="AD56" s="302" t="n"/>
      <x:c r="AE56" s="302" t="n"/>
      <x:c r="AF56" s="302" t="n"/>
      <x:c r="AG56" s="302" t="n"/>
      <x:c r="AH56" s="302" t="n"/>
      <x:c r="AI56" s="302" t="n"/>
      <x:c r="AJ56" s="302" t="n"/>
      <x:c r="AK56" s="302" t="n"/>
      <x:c r="AL56" s="302" t="n"/>
      <x:c r="AM56" s="302" t="n"/>
      <x:c r="AN56" s="302" t="n"/>
      <x:c r="AO56" s="302" t="n"/>
      <x:c r="AP56" s="302" t="n"/>
      <x:c r="AQ56" s="302" t="n"/>
      <x:c r="AR56" s="302" t="n"/>
      <x:c r="AS56" s="302" t="n"/>
      <x:c r="AT56" s="302" t="n"/>
      <x:c r="AU56" s="302" t="n"/>
      <x:c r="AV56" s="302" t="n"/>
      <x:c r="AW56" s="302" t="n"/>
      <x:c r="AX56" s="302" t="n"/>
      <x:c r="AY56" s="302" t="n"/>
      <x:c r="AZ56" s="302" t="n"/>
      <x:c r="BA56" s="302" t="n"/>
      <x:c r="BB56" s="302" t="n"/>
      <x:c r="BC56" s="302" t="n"/>
      <x:c r="BD56" s="302" t="n"/>
      <x:c r="BE56" s="302" t="n"/>
      <x:c r="BF56" s="302" t="n"/>
      <x:c r="BG56" s="302" t="n"/>
      <x:c r="BH56" s="302" t="n"/>
      <x:c r="BI56" s="302" t="n"/>
      <x:c r="BJ56" s="302" t="n"/>
      <x:c r="BK56" s="302" t="n"/>
      <x:c r="BL56" s="302" t="n"/>
      <x:c r="BM56" s="302" t="n"/>
      <x:c r="BN56" s="302" t="n"/>
      <x:c r="BO56" s="302" t="n"/>
      <x:c r="BP56" s="302" t="n"/>
      <x:c r="BQ56" s="302" t="n"/>
      <x:c r="BR56" s="302" t="n"/>
      <x:c r="BS56" s="302" t="n"/>
      <x:c r="BT56" s="302" t="n"/>
      <x:c r="BU56" s="302" t="n"/>
      <x:c r="BV56" s="302" t="n"/>
      <x:c r="BW56" s="302" t="n"/>
      <x:c r="BX56" s="302" t="n"/>
      <x:c r="BY56" s="302" t="n"/>
      <x:c r="BZ56" s="302" t="n"/>
      <x:c r="CA56" s="302" t="n"/>
      <x:c r="CB56" s="302" t="n"/>
      <x:c r="CC56" s="302" t="n"/>
      <x:c r="CD56" s="302" t="n"/>
    </x:row>
    <x:row r="57" s="27" customFormat="1">
      <x:c r="B57" s="37" t="n"/>
      <x:c r="C57" s="90" t="n">
        <x:f>E57*D$5</x:f>
        <x:v>0</x:v>
      </x:c>
      <x:c r="D57" s="9" t="n"/>
      <x:c r="E57" s="91" t="n">
        <x:f>SUM(G57:HI57)</x:f>
        <x:v>0</x:v>
      </x:c>
      <x:c r="H57" s="302" t="n"/>
      <x:c r="I57" s="302" t="n"/>
      <x:c r="J57" s="302" t="n"/>
      <x:c r="K57" s="302" t="n"/>
      <x:c r="L57" s="302" t="n"/>
      <x:c r="M57" s="302" t="n"/>
      <x:c r="N57" s="302" t="n"/>
      <x:c r="O57" s="302" t="n"/>
      <x:c r="P57" s="302" t="n"/>
      <x:c r="Q57" s="302" t="n"/>
      <x:c r="R57" s="302" t="n"/>
      <x:c r="S57" s="302" t="n"/>
      <x:c r="T57" s="302" t="n"/>
      <x:c r="U57" s="302" t="n"/>
      <x:c r="V57" s="302" t="n"/>
      <x:c r="W57" s="302" t="n"/>
      <x:c r="X57" s="302" t="n"/>
      <x:c r="Y57" s="302" t="n"/>
      <x:c r="Z57" s="302" t="n"/>
      <x:c r="AA57" s="302" t="n"/>
      <x:c r="AB57" s="302" t="n"/>
      <x:c r="AC57" s="302" t="n"/>
      <x:c r="AD57" s="302" t="n"/>
      <x:c r="AE57" s="302" t="n"/>
      <x:c r="AF57" s="302" t="n"/>
      <x:c r="AG57" s="302" t="n"/>
      <x:c r="AH57" s="302" t="n"/>
      <x:c r="AI57" s="302" t="n"/>
      <x:c r="AJ57" s="302" t="n"/>
      <x:c r="AK57" s="302" t="n"/>
      <x:c r="AL57" s="302" t="n"/>
      <x:c r="AM57" s="302" t="n"/>
      <x:c r="AN57" s="302" t="n"/>
      <x:c r="AO57" s="302" t="n"/>
      <x:c r="AP57" s="302" t="n"/>
      <x:c r="AQ57" s="302" t="n"/>
      <x:c r="AR57" s="302" t="n"/>
      <x:c r="AS57" s="302" t="n"/>
      <x:c r="AT57" s="302" t="n"/>
      <x:c r="AU57" s="302" t="n"/>
      <x:c r="AV57" s="302" t="n"/>
      <x:c r="AW57" s="302" t="n"/>
      <x:c r="AX57" s="302" t="n"/>
      <x:c r="AY57" s="302" t="n"/>
      <x:c r="AZ57" s="302" t="n"/>
      <x:c r="BA57" s="302" t="n"/>
      <x:c r="BB57" s="302" t="n"/>
      <x:c r="BC57" s="302" t="n"/>
      <x:c r="BD57" s="302" t="n"/>
      <x:c r="BE57" s="302" t="n"/>
      <x:c r="BF57" s="302" t="n"/>
      <x:c r="BG57" s="302" t="n"/>
      <x:c r="BH57" s="302" t="n"/>
      <x:c r="BI57" s="302" t="n"/>
      <x:c r="BJ57" s="302" t="n"/>
      <x:c r="BK57" s="302" t="n"/>
      <x:c r="BL57" s="302" t="n"/>
      <x:c r="BM57" s="302" t="n"/>
      <x:c r="BN57" s="302" t="n"/>
      <x:c r="BO57" s="302" t="n"/>
      <x:c r="BP57" s="302" t="n"/>
      <x:c r="BQ57" s="302" t="n"/>
      <x:c r="BR57" s="302" t="n"/>
      <x:c r="BS57" s="302" t="n"/>
      <x:c r="BT57" s="302" t="n"/>
      <x:c r="BU57" s="302" t="n"/>
      <x:c r="BV57" s="302" t="n"/>
      <x:c r="BW57" s="302" t="n"/>
      <x:c r="BX57" s="302" t="n"/>
      <x:c r="BY57" s="302" t="n"/>
      <x:c r="BZ57" s="302" t="n"/>
      <x:c r="CA57" s="302" t="n"/>
      <x:c r="CB57" s="302" t="n"/>
      <x:c r="CC57" s="302" t="n"/>
      <x:c r="CD57" s="302" t="n"/>
    </x:row>
    <x:row r="58" s="27" customFormat="1">
      <x:c r="B58" s="37" t="n"/>
      <x:c r="C58" s="90" t="n">
        <x:f>E58*D$5</x:f>
        <x:v>0</x:v>
      </x:c>
      <x:c r="D58" s="93" t="n"/>
      <x:c r="E58" s="91" t="n">
        <x:f>SUM(G58:HI58)</x:f>
        <x:v>0</x:v>
      </x:c>
      <x:c r="H58" s="302" t="n"/>
      <x:c r="I58" s="302" t="n"/>
      <x:c r="J58" s="302" t="n"/>
      <x:c r="K58" s="302" t="n"/>
      <x:c r="L58" s="302" t="n"/>
      <x:c r="M58" s="302" t="n"/>
      <x:c r="N58" s="302" t="n"/>
      <x:c r="O58" s="302" t="n"/>
      <x:c r="P58" s="302" t="n"/>
      <x:c r="Q58" s="302" t="n"/>
      <x:c r="R58" s="302" t="n"/>
      <x:c r="S58" s="302" t="n"/>
      <x:c r="T58" s="302" t="n"/>
      <x:c r="U58" s="302" t="n"/>
      <x:c r="V58" s="302" t="n"/>
      <x:c r="W58" s="302" t="n"/>
      <x:c r="X58" s="302" t="n"/>
      <x:c r="Y58" s="302" t="n"/>
      <x:c r="Z58" s="302" t="n"/>
      <x:c r="AA58" s="302" t="n"/>
      <x:c r="AB58" s="302" t="n"/>
      <x:c r="AC58" s="302" t="n"/>
      <x:c r="AD58" s="302" t="n"/>
      <x:c r="AE58" s="302" t="n"/>
      <x:c r="AF58" s="302" t="n"/>
      <x:c r="AG58" s="302" t="n"/>
      <x:c r="AH58" s="302" t="n"/>
      <x:c r="AI58" s="302" t="n"/>
      <x:c r="AJ58" s="302" t="n"/>
      <x:c r="AK58" s="302" t="n"/>
      <x:c r="AL58" s="302" t="n"/>
      <x:c r="AM58" s="302" t="n"/>
      <x:c r="AN58" s="302" t="n"/>
      <x:c r="AO58" s="302" t="n"/>
      <x:c r="AP58" s="302" t="n"/>
      <x:c r="AQ58" s="302" t="n"/>
      <x:c r="AR58" s="302" t="n"/>
      <x:c r="AS58" s="302" t="n"/>
      <x:c r="AT58" s="302" t="n"/>
      <x:c r="AU58" s="302" t="n"/>
      <x:c r="AV58" s="302" t="n"/>
      <x:c r="AW58" s="302" t="n"/>
      <x:c r="AX58" s="302" t="n"/>
      <x:c r="AY58" s="302" t="n"/>
      <x:c r="AZ58" s="302" t="n"/>
      <x:c r="BA58" s="302" t="n"/>
      <x:c r="BB58" s="302" t="n"/>
      <x:c r="BC58" s="302" t="n"/>
      <x:c r="BD58" s="302" t="n"/>
      <x:c r="BE58" s="302" t="n"/>
      <x:c r="BF58" s="302" t="n"/>
      <x:c r="BG58" s="302" t="n"/>
      <x:c r="BH58" s="302" t="n"/>
      <x:c r="BI58" s="302" t="n"/>
      <x:c r="BJ58" s="302" t="n"/>
      <x:c r="BK58" s="302" t="n"/>
      <x:c r="BL58" s="302" t="n"/>
      <x:c r="BM58" s="302" t="n"/>
      <x:c r="BN58" s="302" t="n"/>
      <x:c r="BO58" s="302" t="n"/>
      <x:c r="BP58" s="302" t="n"/>
      <x:c r="BQ58" s="302" t="n"/>
      <x:c r="BR58" s="302" t="n"/>
      <x:c r="BS58" s="302" t="n"/>
      <x:c r="BT58" s="302" t="n"/>
      <x:c r="BU58" s="302" t="n"/>
      <x:c r="BV58" s="302" t="n"/>
      <x:c r="BW58" s="302" t="n"/>
      <x:c r="BX58" s="302" t="n"/>
      <x:c r="BY58" s="302" t="n"/>
      <x:c r="BZ58" s="302" t="n"/>
      <x:c r="CA58" s="302" t="n"/>
      <x:c r="CB58" s="302" t="n"/>
      <x:c r="CC58" s="302" t="n"/>
      <x:c r="CD58" s="302" t="n"/>
    </x:row>
    <x:row r="59" s="27" customFormat="1">
      <x:c r="B59" s="37" t="n"/>
      <x:c r="C59" s="36" t="n">
        <x:f>E59*D$5</x:f>
        <x:v>0</x:v>
      </x:c>
      <x:c r="D59" s="20" t="n"/>
      <x:c r="E59" s="36" t="n">
        <x:f>SUM(G59:HI59)</x:f>
        <x:v>0</x:v>
      </x:c>
      <x:c r="H59" s="302" t="n"/>
      <x:c r="I59" s="302" t="n"/>
      <x:c r="J59" s="302" t="n"/>
      <x:c r="K59" s="302" t="n"/>
      <x:c r="L59" s="302" t="n"/>
      <x:c r="M59" s="302" t="n"/>
      <x:c r="N59" s="302" t="n"/>
      <x:c r="O59" s="302" t="n"/>
      <x:c r="P59" s="302" t="n"/>
      <x:c r="Q59" s="302" t="n"/>
      <x:c r="R59" s="302" t="n"/>
      <x:c r="S59" s="302" t="n"/>
      <x:c r="T59" s="302" t="n"/>
      <x:c r="U59" s="302" t="n"/>
      <x:c r="V59" s="302" t="n"/>
      <x:c r="W59" s="302" t="n"/>
      <x:c r="X59" s="302" t="n"/>
      <x:c r="Y59" s="302" t="n"/>
      <x:c r="Z59" s="302" t="n"/>
      <x:c r="AA59" s="302" t="n"/>
      <x:c r="AB59" s="302" t="n"/>
      <x:c r="AC59" s="302" t="n"/>
      <x:c r="AD59" s="302" t="n"/>
      <x:c r="AE59" s="302" t="n"/>
      <x:c r="AF59" s="302" t="n"/>
      <x:c r="AG59" s="302" t="n"/>
      <x:c r="AH59" s="302" t="n"/>
      <x:c r="AI59" s="302" t="n"/>
      <x:c r="AJ59" s="302" t="n"/>
      <x:c r="AK59" s="302" t="n"/>
      <x:c r="AL59" s="302" t="n"/>
      <x:c r="AM59" s="302" t="n"/>
      <x:c r="AN59" s="302" t="n"/>
      <x:c r="AO59" s="302" t="n"/>
      <x:c r="AP59" s="302" t="n"/>
      <x:c r="AQ59" s="302" t="n"/>
      <x:c r="AR59" s="302" t="n"/>
      <x:c r="AS59" s="302" t="n"/>
      <x:c r="AT59" s="302" t="n"/>
      <x:c r="AU59" s="302" t="n"/>
      <x:c r="AV59" s="302" t="n"/>
      <x:c r="AW59" s="302" t="n"/>
      <x:c r="AX59" s="302" t="n"/>
      <x:c r="AY59" s="302" t="n"/>
      <x:c r="AZ59" s="302" t="n"/>
      <x:c r="BA59" s="302" t="n"/>
      <x:c r="BB59" s="302" t="n"/>
      <x:c r="BC59" s="302" t="n"/>
      <x:c r="BD59" s="302" t="n"/>
      <x:c r="BE59" s="302" t="n"/>
      <x:c r="BF59" s="302" t="n"/>
      <x:c r="BG59" s="302" t="n"/>
      <x:c r="BH59" s="302" t="n"/>
      <x:c r="BI59" s="302" t="n"/>
      <x:c r="BJ59" s="302" t="n"/>
      <x:c r="BK59" s="302" t="n"/>
      <x:c r="BL59" s="302" t="n"/>
      <x:c r="BM59" s="302" t="n"/>
      <x:c r="BN59" s="302" t="n"/>
      <x:c r="BO59" s="302" t="n"/>
      <x:c r="BP59" s="302" t="n"/>
      <x:c r="BQ59" s="302" t="n"/>
      <x:c r="BR59" s="302" t="n"/>
      <x:c r="BS59" s="302" t="n"/>
      <x:c r="BT59" s="302" t="n"/>
      <x:c r="BU59" s="302" t="n"/>
      <x:c r="BV59" s="302" t="n"/>
      <x:c r="BW59" s="302" t="n"/>
      <x:c r="BX59" s="302" t="n"/>
      <x:c r="BY59" s="302" t="n"/>
      <x:c r="BZ59" s="302" t="n"/>
      <x:c r="CA59" s="302" t="n"/>
      <x:c r="CB59" s="302" t="n"/>
      <x:c r="CC59" s="302" t="n"/>
      <x:c r="CD59" s="302" t="n"/>
    </x:row>
    <x:row r="60" s="27" customFormat="1">
      <x:c r="B60" s="37" t="n"/>
      <x:c r="C60" s="36" t="n">
        <x:f>E60*D$5</x:f>
        <x:v>0</x:v>
      </x:c>
      <x:c r="D60" s="20" t="n"/>
      <x:c r="E60" s="36" t="n">
        <x:f>SUM(G60:HI60)</x:f>
        <x:v>0</x:v>
      </x:c>
      <x:c r="H60" s="302" t="n"/>
      <x:c r="I60" s="302" t="n"/>
      <x:c r="J60" s="302" t="n"/>
      <x:c r="K60" s="302" t="n"/>
      <x:c r="L60" s="302" t="n"/>
      <x:c r="M60" s="302" t="n"/>
      <x:c r="N60" s="302" t="n"/>
      <x:c r="O60" s="302" t="n"/>
      <x:c r="P60" s="302" t="n"/>
      <x:c r="Q60" s="302" t="n"/>
      <x:c r="R60" s="302" t="n"/>
      <x:c r="S60" s="302" t="n"/>
      <x:c r="T60" s="302" t="n"/>
      <x:c r="U60" s="302" t="n"/>
      <x:c r="V60" s="302" t="n"/>
      <x:c r="W60" s="302" t="n"/>
      <x:c r="X60" s="302" t="n"/>
      <x:c r="Y60" s="302" t="n"/>
      <x:c r="Z60" s="302" t="n"/>
      <x:c r="AA60" s="302" t="n"/>
      <x:c r="AB60" s="302" t="n"/>
      <x:c r="AC60" s="302" t="n"/>
      <x:c r="AD60" s="302" t="n"/>
      <x:c r="AE60" s="302" t="n"/>
      <x:c r="AF60" s="302" t="n"/>
      <x:c r="AG60" s="302" t="n"/>
      <x:c r="AH60" s="302" t="n"/>
      <x:c r="AI60" s="302" t="n"/>
      <x:c r="AJ60" s="302" t="n"/>
      <x:c r="AK60" s="302" t="n"/>
      <x:c r="AL60" s="302" t="n"/>
      <x:c r="AM60" s="302" t="n"/>
      <x:c r="AN60" s="302" t="n"/>
      <x:c r="AO60" s="302" t="n"/>
      <x:c r="AP60" s="302" t="n"/>
      <x:c r="AQ60" s="302" t="n"/>
      <x:c r="AR60" s="302" t="n"/>
      <x:c r="AS60" s="302" t="n"/>
      <x:c r="AT60" s="302" t="n"/>
      <x:c r="AU60" s="302" t="n"/>
      <x:c r="AV60" s="302" t="n"/>
      <x:c r="AW60" s="302" t="n"/>
      <x:c r="AX60" s="302" t="n"/>
      <x:c r="AY60" s="302" t="n"/>
      <x:c r="AZ60" s="302" t="n"/>
      <x:c r="BA60" s="302" t="n"/>
      <x:c r="BB60" s="302" t="n"/>
      <x:c r="BC60" s="302" t="n"/>
      <x:c r="BD60" s="302" t="n"/>
      <x:c r="BE60" s="302" t="n"/>
      <x:c r="BF60" s="302" t="n"/>
      <x:c r="BG60" s="302" t="n"/>
      <x:c r="BH60" s="302" t="n"/>
      <x:c r="BI60" s="302" t="n"/>
      <x:c r="BJ60" s="302" t="n"/>
      <x:c r="BK60" s="302" t="n"/>
      <x:c r="BL60" s="302" t="n"/>
      <x:c r="BM60" s="302" t="n"/>
      <x:c r="BN60" s="302" t="n"/>
      <x:c r="BO60" s="302" t="n"/>
      <x:c r="BP60" s="302" t="n"/>
      <x:c r="BQ60" s="302" t="n"/>
      <x:c r="BR60" s="302" t="n"/>
      <x:c r="BS60" s="302" t="n"/>
      <x:c r="BT60" s="302" t="n"/>
      <x:c r="BU60" s="302" t="n"/>
      <x:c r="BV60" s="302" t="n"/>
      <x:c r="BW60" s="302" t="n"/>
      <x:c r="BX60" s="302" t="n"/>
      <x:c r="BY60" s="302" t="n"/>
      <x:c r="BZ60" s="302" t="n"/>
      <x:c r="CA60" s="302" t="n"/>
      <x:c r="CB60" s="302" t="n"/>
      <x:c r="CC60" s="302" t="n"/>
      <x:c r="CD60" s="302" t="n"/>
    </x:row>
    <x:row r="61" s="27" customFormat="1">
      <x:c r="B61" s="37" t="n"/>
      <x:c r="C61" s="36" t="n">
        <x:f>E61*D$5</x:f>
        <x:v>0</x:v>
      </x:c>
      <x:c r="D61" s="20" t="n"/>
      <x:c r="E61" s="36" t="n">
        <x:f>SUM(G61:HI61)</x:f>
        <x:v>0</x:v>
      </x:c>
      <x:c r="H61" s="302" t="n"/>
      <x:c r="I61" s="302" t="n"/>
      <x:c r="J61" s="302" t="n"/>
      <x:c r="K61" s="302" t="n"/>
      <x:c r="L61" s="302" t="n"/>
      <x:c r="M61" s="302" t="n"/>
      <x:c r="N61" s="302" t="n"/>
      <x:c r="O61" s="302" t="n"/>
      <x:c r="P61" s="302" t="n"/>
      <x:c r="Q61" s="302" t="n"/>
      <x:c r="R61" s="302" t="n"/>
      <x:c r="S61" s="302" t="n"/>
      <x:c r="T61" s="302" t="n"/>
      <x:c r="U61" s="302" t="n"/>
      <x:c r="V61" s="302" t="n"/>
      <x:c r="W61" s="302" t="n"/>
      <x:c r="X61" s="302" t="n"/>
      <x:c r="Y61" s="302" t="n"/>
      <x:c r="Z61" s="302" t="n"/>
      <x:c r="AA61" s="302" t="n"/>
      <x:c r="AB61" s="302" t="n"/>
      <x:c r="AC61" s="302" t="n"/>
      <x:c r="AD61" s="302" t="n"/>
      <x:c r="AE61" s="302" t="n"/>
      <x:c r="AF61" s="302" t="n"/>
      <x:c r="AG61" s="302" t="n"/>
      <x:c r="AH61" s="302" t="n"/>
      <x:c r="AI61" s="302" t="n"/>
      <x:c r="AJ61" s="302" t="n"/>
      <x:c r="AK61" s="302" t="n"/>
      <x:c r="AL61" s="302" t="n"/>
      <x:c r="AM61" s="302" t="n"/>
      <x:c r="AN61" s="302" t="n"/>
      <x:c r="AO61" s="302" t="n"/>
      <x:c r="AP61" s="302" t="n"/>
      <x:c r="AQ61" s="302" t="n"/>
      <x:c r="AR61" s="302" t="n"/>
      <x:c r="AS61" s="302" t="n"/>
      <x:c r="AT61" s="302" t="n"/>
      <x:c r="AU61" s="302" t="n"/>
      <x:c r="AV61" s="302" t="n"/>
      <x:c r="AW61" s="302" t="n"/>
      <x:c r="AX61" s="302" t="n"/>
      <x:c r="AY61" s="302" t="n"/>
      <x:c r="AZ61" s="302" t="n"/>
      <x:c r="BA61" s="302" t="n"/>
      <x:c r="BB61" s="302" t="n"/>
      <x:c r="BC61" s="302" t="n"/>
      <x:c r="BD61" s="302" t="n"/>
      <x:c r="BE61" s="302" t="n"/>
      <x:c r="BF61" s="302" t="n"/>
      <x:c r="BG61" s="302" t="n"/>
      <x:c r="BH61" s="302" t="n"/>
      <x:c r="BI61" s="302" t="n"/>
      <x:c r="BJ61" s="302" t="n"/>
      <x:c r="BK61" s="302" t="n"/>
      <x:c r="BL61" s="302" t="n"/>
      <x:c r="BM61" s="302" t="n"/>
      <x:c r="BN61" s="302" t="n"/>
      <x:c r="BO61" s="302" t="n"/>
      <x:c r="BP61" s="302" t="n"/>
      <x:c r="BQ61" s="302" t="n"/>
      <x:c r="BR61" s="302" t="n"/>
      <x:c r="BS61" s="302" t="n"/>
      <x:c r="BT61" s="302" t="n"/>
      <x:c r="BU61" s="302" t="n"/>
      <x:c r="BV61" s="302" t="n"/>
      <x:c r="BW61" s="302" t="n"/>
      <x:c r="BX61" s="302" t="n"/>
      <x:c r="BY61" s="302" t="n"/>
      <x:c r="BZ61" s="302" t="n"/>
      <x:c r="CA61" s="302" t="n"/>
      <x:c r="CB61" s="302" t="n"/>
      <x:c r="CC61" s="302" t="n"/>
      <x:c r="CD61" s="302" t="n"/>
    </x:row>
    <x:row r="62" s="27" customFormat="1">
      <x:c r="B62" s="37" t="n"/>
      <x:c r="C62" s="36" t="n">
        <x:f>E62*D$5</x:f>
        <x:v>0</x:v>
      </x:c>
      <x:c r="D62" s="20" t="n"/>
      <x:c r="E62" s="36" t="n">
        <x:f>SUM(G62:HI62)</x:f>
        <x:v>0</x:v>
      </x:c>
      <x:c r="H62" s="302" t="n"/>
      <x:c r="I62" s="302" t="n"/>
      <x:c r="J62" s="302" t="n"/>
      <x:c r="K62" s="302" t="n"/>
      <x:c r="L62" s="302" t="n"/>
      <x:c r="M62" s="302" t="n"/>
      <x:c r="N62" s="302" t="n"/>
      <x:c r="O62" s="302" t="n"/>
      <x:c r="P62" s="302" t="n"/>
      <x:c r="Q62" s="302" t="n"/>
      <x:c r="R62" s="302" t="n"/>
      <x:c r="S62" s="302" t="n"/>
      <x:c r="T62" s="302" t="n"/>
      <x:c r="U62" s="302" t="n"/>
      <x:c r="V62" s="302" t="n"/>
      <x:c r="W62" s="302" t="n"/>
      <x:c r="X62" s="302" t="n"/>
      <x:c r="Y62" s="302" t="n"/>
      <x:c r="Z62" s="302" t="n"/>
      <x:c r="AA62" s="302" t="n"/>
      <x:c r="AB62" s="302" t="n"/>
      <x:c r="AC62" s="302" t="n"/>
      <x:c r="AD62" s="302" t="n"/>
      <x:c r="AE62" s="302" t="n"/>
      <x:c r="AF62" s="302" t="n"/>
      <x:c r="AG62" s="302" t="n"/>
      <x:c r="AH62" s="302" t="n"/>
      <x:c r="AI62" s="302" t="n"/>
      <x:c r="AJ62" s="302" t="n"/>
      <x:c r="AK62" s="302" t="n"/>
      <x:c r="AL62" s="302" t="n"/>
      <x:c r="AM62" s="302" t="n"/>
      <x:c r="AN62" s="302" t="n"/>
      <x:c r="AO62" s="302" t="n"/>
      <x:c r="AP62" s="302" t="n"/>
      <x:c r="AQ62" s="302" t="n"/>
      <x:c r="AR62" s="302" t="n"/>
      <x:c r="AS62" s="302" t="n"/>
      <x:c r="AT62" s="302" t="n"/>
      <x:c r="AU62" s="302" t="n"/>
      <x:c r="AV62" s="302" t="n"/>
      <x:c r="AW62" s="302" t="n"/>
      <x:c r="AX62" s="302" t="n"/>
      <x:c r="AY62" s="302" t="n"/>
      <x:c r="AZ62" s="302" t="n"/>
      <x:c r="BA62" s="302" t="n"/>
      <x:c r="BB62" s="302" t="n"/>
      <x:c r="BC62" s="302" t="n"/>
      <x:c r="BD62" s="302" t="n"/>
      <x:c r="BE62" s="302" t="n"/>
      <x:c r="BF62" s="302" t="n"/>
      <x:c r="BG62" s="302" t="n"/>
      <x:c r="BH62" s="302" t="n"/>
      <x:c r="BI62" s="302" t="n"/>
      <x:c r="BJ62" s="302" t="n"/>
      <x:c r="BK62" s="302" t="n"/>
      <x:c r="BL62" s="302" t="n"/>
      <x:c r="BM62" s="302" t="n"/>
      <x:c r="BN62" s="302" t="n"/>
      <x:c r="BO62" s="302" t="n"/>
      <x:c r="BP62" s="302" t="n"/>
      <x:c r="BQ62" s="302" t="n"/>
      <x:c r="BR62" s="302" t="n"/>
      <x:c r="BS62" s="302" t="n"/>
      <x:c r="BT62" s="302" t="n"/>
      <x:c r="BU62" s="302" t="n"/>
      <x:c r="BV62" s="302" t="n"/>
      <x:c r="BW62" s="302" t="n"/>
      <x:c r="BX62" s="302" t="n"/>
      <x:c r="BY62" s="302" t="n"/>
      <x:c r="BZ62" s="302" t="n"/>
      <x:c r="CA62" s="302" t="n"/>
      <x:c r="CB62" s="302" t="n"/>
      <x:c r="CC62" s="302" t="n"/>
      <x:c r="CD62" s="302" t="n"/>
    </x:row>
    <x:row r="63" s="27" customFormat="1">
      <x:c r="B63" s="37" t="n"/>
      <x:c r="C63" s="36" t="n">
        <x:f>E63*D$5</x:f>
        <x:v>0</x:v>
      </x:c>
      <x:c r="D63" s="20" t="n"/>
      <x:c r="E63" s="36" t="n">
        <x:f>SUM(G63:HI63)</x:f>
        <x:v>0</x:v>
      </x:c>
      <x:c r="H63" s="302" t="n"/>
      <x:c r="I63" s="302" t="n"/>
      <x:c r="J63" s="302" t="n"/>
      <x:c r="K63" s="302" t="n"/>
      <x:c r="L63" s="302" t="n"/>
      <x:c r="M63" s="302" t="n"/>
      <x:c r="N63" s="302" t="n"/>
      <x:c r="O63" s="302" t="n"/>
      <x:c r="P63" s="302" t="n"/>
      <x:c r="Q63" s="302" t="n"/>
      <x:c r="R63" s="302" t="n"/>
      <x:c r="S63" s="302" t="n"/>
      <x:c r="T63" s="302" t="n"/>
      <x:c r="U63" s="302" t="n"/>
      <x:c r="V63" s="302" t="n"/>
      <x:c r="W63" s="302" t="n"/>
      <x:c r="X63" s="302" t="n"/>
      <x:c r="Y63" s="302" t="n"/>
      <x:c r="Z63" s="302" t="n"/>
      <x:c r="AA63" s="302" t="n"/>
      <x:c r="AB63" s="302" t="n"/>
      <x:c r="AC63" s="302" t="n"/>
      <x:c r="AD63" s="302" t="n"/>
      <x:c r="AE63" s="302" t="n"/>
      <x:c r="AF63" s="302" t="n"/>
      <x:c r="AG63" s="302" t="n"/>
      <x:c r="AH63" s="302" t="n"/>
      <x:c r="AI63" s="302" t="n"/>
      <x:c r="AJ63" s="302" t="n"/>
      <x:c r="AK63" s="302" t="n"/>
      <x:c r="AL63" s="302" t="n"/>
      <x:c r="AM63" s="302" t="n"/>
      <x:c r="AN63" s="302" t="n"/>
      <x:c r="AO63" s="302" t="n"/>
      <x:c r="AP63" s="302" t="n"/>
      <x:c r="AQ63" s="302" t="n"/>
      <x:c r="AR63" s="302" t="n"/>
      <x:c r="AS63" s="302" t="n"/>
      <x:c r="AT63" s="302" t="n"/>
      <x:c r="AU63" s="302" t="n"/>
      <x:c r="AV63" s="302" t="n"/>
      <x:c r="AW63" s="302" t="n"/>
      <x:c r="AX63" s="302" t="n"/>
      <x:c r="AY63" s="302" t="n"/>
      <x:c r="AZ63" s="302" t="n"/>
      <x:c r="BA63" s="302" t="n"/>
      <x:c r="BB63" s="302" t="n"/>
      <x:c r="BC63" s="302" t="n"/>
      <x:c r="BD63" s="302" t="n"/>
      <x:c r="BE63" s="302" t="n"/>
      <x:c r="BF63" s="302" t="n"/>
      <x:c r="BG63" s="302" t="n"/>
      <x:c r="BH63" s="302" t="n"/>
      <x:c r="BI63" s="302" t="n"/>
      <x:c r="BJ63" s="302" t="n"/>
      <x:c r="BK63" s="302" t="n"/>
      <x:c r="BL63" s="302" t="n"/>
      <x:c r="BM63" s="302" t="n"/>
      <x:c r="BN63" s="302" t="n"/>
      <x:c r="BO63" s="302" t="n"/>
      <x:c r="BP63" s="302" t="n"/>
      <x:c r="BQ63" s="302" t="n"/>
      <x:c r="BR63" s="302" t="n"/>
      <x:c r="BS63" s="302" t="n"/>
      <x:c r="BT63" s="302" t="n"/>
      <x:c r="BU63" s="302" t="n"/>
      <x:c r="BV63" s="302" t="n"/>
      <x:c r="BW63" s="302" t="n"/>
      <x:c r="BX63" s="302" t="n"/>
      <x:c r="BY63" s="302" t="n"/>
      <x:c r="BZ63" s="302" t="n"/>
      <x:c r="CA63" s="302" t="n"/>
      <x:c r="CB63" s="302" t="n"/>
      <x:c r="CC63" s="302" t="n"/>
      <x:c r="CD63" s="302" t="n"/>
    </x:row>
    <x:row r="64" s="27" customFormat="1">
      <x:c r="B64" s="37" t="n"/>
      <x:c r="C64" s="36" t="n">
        <x:f>E64*D$5</x:f>
        <x:v>0</x:v>
      </x:c>
      <x:c r="D64" s="20" t="n"/>
      <x:c r="E64" s="36" t="n">
        <x:f>SUM(G64:HI64)</x:f>
        <x:v>0</x:v>
      </x:c>
      <x:c r="H64" s="302" t="n"/>
      <x:c r="I64" s="302" t="n"/>
      <x:c r="J64" s="302" t="n"/>
      <x:c r="K64" s="302" t="n"/>
      <x:c r="L64" s="302" t="n"/>
      <x:c r="M64" s="302" t="n"/>
      <x:c r="N64" s="302" t="n"/>
      <x:c r="O64" s="302" t="n"/>
      <x:c r="P64" s="302" t="n"/>
      <x:c r="Q64" s="302" t="n"/>
      <x:c r="R64" s="302" t="n"/>
      <x:c r="S64" s="302" t="n"/>
      <x:c r="T64" s="302" t="n"/>
      <x:c r="U64" s="302" t="n"/>
      <x:c r="V64" s="302" t="n"/>
      <x:c r="W64" s="302" t="n"/>
      <x:c r="X64" s="302" t="n"/>
      <x:c r="Y64" s="302" t="n"/>
      <x:c r="Z64" s="302" t="n"/>
      <x:c r="AA64" s="302" t="n"/>
      <x:c r="AB64" s="302" t="n"/>
      <x:c r="AC64" s="302" t="n"/>
      <x:c r="AD64" s="302" t="n"/>
      <x:c r="AE64" s="302" t="n"/>
      <x:c r="AF64" s="302" t="n"/>
      <x:c r="AG64" s="302" t="n"/>
      <x:c r="AH64" s="302" t="n"/>
      <x:c r="AI64" s="302" t="n"/>
      <x:c r="AJ64" s="302" t="n"/>
      <x:c r="AK64" s="302" t="n"/>
      <x:c r="AL64" s="302" t="n"/>
      <x:c r="AM64" s="302" t="n"/>
      <x:c r="AN64" s="302" t="n"/>
      <x:c r="AO64" s="302" t="n"/>
      <x:c r="AP64" s="302" t="n"/>
      <x:c r="AQ64" s="302" t="n"/>
      <x:c r="AR64" s="302" t="n"/>
      <x:c r="AS64" s="302" t="n"/>
      <x:c r="AT64" s="302" t="n"/>
      <x:c r="AU64" s="302" t="n"/>
      <x:c r="AV64" s="302" t="n"/>
      <x:c r="AW64" s="302" t="n"/>
      <x:c r="AX64" s="302" t="n"/>
      <x:c r="AY64" s="302" t="n"/>
      <x:c r="AZ64" s="302" t="n"/>
      <x:c r="BA64" s="302" t="n"/>
      <x:c r="BB64" s="302" t="n"/>
      <x:c r="BC64" s="302" t="n"/>
      <x:c r="BD64" s="302" t="n"/>
      <x:c r="BE64" s="302" t="n"/>
      <x:c r="BF64" s="302" t="n"/>
      <x:c r="BG64" s="302" t="n"/>
      <x:c r="BH64" s="302" t="n"/>
      <x:c r="BI64" s="302" t="n"/>
      <x:c r="BJ64" s="302" t="n"/>
      <x:c r="BK64" s="302" t="n"/>
      <x:c r="BL64" s="302" t="n"/>
      <x:c r="BM64" s="302" t="n"/>
      <x:c r="BN64" s="302" t="n"/>
      <x:c r="BO64" s="302" t="n"/>
      <x:c r="BP64" s="302" t="n"/>
      <x:c r="BQ64" s="302" t="n"/>
      <x:c r="BR64" s="302" t="n"/>
      <x:c r="BS64" s="302" t="n"/>
      <x:c r="BT64" s="302" t="n"/>
      <x:c r="BU64" s="302" t="n"/>
      <x:c r="BV64" s="302" t="n"/>
      <x:c r="BW64" s="302" t="n"/>
      <x:c r="BX64" s="302" t="n"/>
      <x:c r="BY64" s="302" t="n"/>
      <x:c r="BZ64" s="302" t="n"/>
      <x:c r="CA64" s="302" t="n"/>
      <x:c r="CB64" s="302" t="n"/>
      <x:c r="CC64" s="302" t="n"/>
      <x:c r="CD64" s="302" t="n"/>
    </x:row>
    <x:row r="65" s="27" customFormat="1">
      <x:c r="B65" s="37" t="n"/>
      <x:c r="C65" s="36" t="n">
        <x:f>E65*D$5</x:f>
        <x:v>0</x:v>
      </x:c>
      <x:c r="D65" s="20" t="n"/>
      <x:c r="E65" s="36" t="n">
        <x:f>SUM(G65:HI65)</x:f>
        <x:v>0</x:v>
      </x:c>
      <x:c r="H65" s="302" t="n"/>
      <x:c r="I65" s="302" t="n"/>
      <x:c r="J65" s="302" t="n"/>
      <x:c r="K65" s="302" t="n"/>
      <x:c r="L65" s="302" t="n"/>
      <x:c r="M65" s="302" t="n"/>
      <x:c r="N65" s="302" t="n"/>
      <x:c r="O65" s="302" t="n"/>
      <x:c r="P65" s="302" t="n"/>
      <x:c r="Q65" s="302" t="n"/>
      <x:c r="R65" s="302" t="n"/>
      <x:c r="S65" s="302" t="n"/>
      <x:c r="T65" s="302" t="n"/>
      <x:c r="U65" s="302" t="n"/>
      <x:c r="V65" s="302" t="n"/>
      <x:c r="W65" s="302" t="n"/>
      <x:c r="X65" s="302" t="n"/>
      <x:c r="Y65" s="302" t="n"/>
      <x:c r="Z65" s="302" t="n"/>
      <x:c r="AA65" s="302" t="n"/>
      <x:c r="AB65" s="302" t="n"/>
      <x:c r="AC65" s="302" t="n"/>
      <x:c r="AD65" s="302" t="n"/>
      <x:c r="AE65" s="302" t="n"/>
      <x:c r="AF65" s="302" t="n"/>
      <x:c r="AG65" s="302" t="n"/>
      <x:c r="AH65" s="302" t="n"/>
      <x:c r="AI65" s="302" t="n"/>
      <x:c r="AJ65" s="302" t="n"/>
      <x:c r="AK65" s="302" t="n"/>
      <x:c r="AL65" s="302" t="n"/>
      <x:c r="AM65" s="302" t="n"/>
      <x:c r="AN65" s="302" t="n"/>
      <x:c r="AO65" s="302" t="n"/>
      <x:c r="AP65" s="302" t="n"/>
      <x:c r="AQ65" s="302" t="n"/>
      <x:c r="AR65" s="302" t="n"/>
      <x:c r="AS65" s="302" t="n"/>
      <x:c r="AT65" s="302" t="n"/>
      <x:c r="AU65" s="302" t="n"/>
      <x:c r="AV65" s="302" t="n"/>
      <x:c r="AW65" s="302" t="n"/>
      <x:c r="AX65" s="302" t="n"/>
      <x:c r="AY65" s="302" t="n"/>
      <x:c r="AZ65" s="302" t="n"/>
      <x:c r="BA65" s="302" t="n"/>
      <x:c r="BB65" s="302" t="n"/>
      <x:c r="BC65" s="302" t="n"/>
      <x:c r="BD65" s="302" t="n"/>
      <x:c r="BE65" s="302" t="n"/>
      <x:c r="BF65" s="302" t="n"/>
      <x:c r="BG65" s="302" t="n"/>
      <x:c r="BH65" s="302" t="n"/>
      <x:c r="BI65" s="302" t="n"/>
      <x:c r="BJ65" s="302" t="n"/>
      <x:c r="BK65" s="302" t="n"/>
      <x:c r="BL65" s="302" t="n"/>
      <x:c r="BM65" s="302" t="n"/>
      <x:c r="BN65" s="302" t="n"/>
      <x:c r="BO65" s="302" t="n"/>
      <x:c r="BP65" s="302" t="n"/>
      <x:c r="BQ65" s="302" t="n"/>
      <x:c r="BR65" s="302" t="n"/>
      <x:c r="BS65" s="302" t="n"/>
      <x:c r="BT65" s="302" t="n"/>
      <x:c r="BU65" s="302" t="n"/>
      <x:c r="BV65" s="302" t="n"/>
      <x:c r="BW65" s="302" t="n"/>
      <x:c r="BX65" s="302" t="n"/>
      <x:c r="BY65" s="302" t="n"/>
      <x:c r="BZ65" s="302" t="n"/>
      <x:c r="CA65" s="302" t="n"/>
      <x:c r="CB65" s="302" t="n"/>
      <x:c r="CC65" s="302" t="n"/>
      <x:c r="CD65" s="302" t="n"/>
    </x:row>
    <x:row r="66" s="27" customFormat="1">
      <x:c r="B66" s="37" t="n"/>
      <x:c r="C66" s="36" t="n">
        <x:f>E66*D$5</x:f>
        <x:v>0</x:v>
      </x:c>
      <x:c r="D66" s="20" t="n"/>
      <x:c r="E66" s="36" t="n">
        <x:f>SUM(G66:HI66)</x:f>
        <x:v>0</x:v>
      </x:c>
      <x:c r="H66" s="302" t="n"/>
      <x:c r="I66" s="302" t="n"/>
      <x:c r="J66" s="302" t="n"/>
      <x:c r="K66" s="302" t="n"/>
      <x:c r="L66" s="302" t="n"/>
      <x:c r="M66" s="302" t="n"/>
      <x:c r="N66" s="302" t="n"/>
      <x:c r="O66" s="302" t="n"/>
      <x:c r="P66" s="302" t="n"/>
      <x:c r="Q66" s="302" t="n"/>
      <x:c r="R66" s="302" t="n"/>
      <x:c r="S66" s="302" t="n"/>
      <x:c r="T66" s="302" t="n"/>
      <x:c r="U66" s="302" t="n"/>
      <x:c r="V66" s="302" t="n"/>
      <x:c r="W66" s="302" t="n"/>
      <x:c r="X66" s="302" t="n"/>
      <x:c r="Y66" s="302" t="n"/>
      <x:c r="Z66" s="302" t="n"/>
      <x:c r="AA66" s="302" t="n"/>
      <x:c r="AB66" s="302" t="n"/>
      <x:c r="AC66" s="302" t="n"/>
      <x:c r="AD66" s="302" t="n"/>
      <x:c r="AE66" s="302" t="n"/>
      <x:c r="AF66" s="302" t="n"/>
      <x:c r="AG66" s="302" t="n"/>
      <x:c r="AH66" s="302" t="n"/>
      <x:c r="AI66" s="302" t="n"/>
      <x:c r="AJ66" s="302" t="n"/>
      <x:c r="AK66" s="302" t="n"/>
      <x:c r="AL66" s="302" t="n"/>
      <x:c r="AM66" s="302" t="n"/>
      <x:c r="AN66" s="302" t="n"/>
      <x:c r="AO66" s="302" t="n"/>
      <x:c r="AP66" s="302" t="n"/>
      <x:c r="AQ66" s="302" t="n"/>
      <x:c r="AR66" s="302" t="n"/>
      <x:c r="AS66" s="302" t="n"/>
      <x:c r="AT66" s="302" t="n"/>
      <x:c r="AU66" s="302" t="n"/>
      <x:c r="AV66" s="302" t="n"/>
      <x:c r="AW66" s="302" t="n"/>
      <x:c r="AX66" s="302" t="n"/>
      <x:c r="AY66" s="302" t="n"/>
      <x:c r="AZ66" s="302" t="n"/>
      <x:c r="BA66" s="302" t="n"/>
      <x:c r="BB66" s="302" t="n"/>
      <x:c r="BC66" s="302" t="n"/>
      <x:c r="BD66" s="302" t="n"/>
      <x:c r="BE66" s="302" t="n"/>
      <x:c r="BF66" s="302" t="n"/>
      <x:c r="BG66" s="302" t="n"/>
      <x:c r="BH66" s="302" t="n"/>
      <x:c r="BI66" s="302" t="n"/>
      <x:c r="BJ66" s="302" t="n"/>
      <x:c r="BK66" s="302" t="n"/>
      <x:c r="BL66" s="302" t="n"/>
      <x:c r="BM66" s="302" t="n"/>
      <x:c r="BN66" s="302" t="n"/>
      <x:c r="BO66" s="302" t="n"/>
      <x:c r="BP66" s="302" t="n"/>
      <x:c r="BQ66" s="302" t="n"/>
      <x:c r="BR66" s="302" t="n"/>
      <x:c r="BS66" s="302" t="n"/>
      <x:c r="BT66" s="302" t="n"/>
      <x:c r="BU66" s="302" t="n"/>
      <x:c r="BV66" s="302" t="n"/>
      <x:c r="BW66" s="302" t="n"/>
      <x:c r="BX66" s="302" t="n"/>
      <x:c r="BY66" s="302" t="n"/>
      <x:c r="BZ66" s="302" t="n"/>
      <x:c r="CA66" s="302" t="n"/>
      <x:c r="CB66" s="302" t="n"/>
      <x:c r="CC66" s="302" t="n"/>
      <x:c r="CD66" s="302" t="n"/>
    </x:row>
    <x:row r="67" s="27" customFormat="1">
      <x:c r="B67" s="37" t="n"/>
      <x:c r="C67" s="36" t="n">
        <x:f>E67*D$5</x:f>
        <x:v>0</x:v>
      </x:c>
      <x:c r="D67" s="20" t="n"/>
      <x:c r="E67" s="36" t="n">
        <x:f>SUM(G67:HI67)</x:f>
        <x:v>0</x:v>
      </x:c>
      <x:c r="H67" s="302" t="n"/>
      <x:c r="I67" s="302" t="n"/>
      <x:c r="J67" s="302" t="n"/>
      <x:c r="K67" s="302" t="n"/>
      <x:c r="L67" s="302" t="n"/>
      <x:c r="M67" s="302" t="n"/>
      <x:c r="N67" s="302" t="n"/>
      <x:c r="O67" s="302" t="n"/>
      <x:c r="P67" s="302" t="n"/>
      <x:c r="Q67" s="302" t="n"/>
      <x:c r="R67" s="302" t="n"/>
      <x:c r="S67" s="302" t="n"/>
      <x:c r="T67" s="302" t="n"/>
      <x:c r="U67" s="302" t="n"/>
      <x:c r="V67" s="302" t="n"/>
      <x:c r="W67" s="302" t="n"/>
      <x:c r="X67" s="302" t="n"/>
      <x:c r="Y67" s="302" t="n"/>
      <x:c r="Z67" s="302" t="n"/>
      <x:c r="AA67" s="302" t="n"/>
      <x:c r="AB67" s="302" t="n"/>
      <x:c r="AC67" s="302" t="n"/>
      <x:c r="AD67" s="302" t="n"/>
      <x:c r="AE67" s="302" t="n"/>
      <x:c r="AF67" s="302" t="n"/>
      <x:c r="AG67" s="302" t="n"/>
      <x:c r="AH67" s="302" t="n"/>
      <x:c r="AI67" s="302" t="n"/>
      <x:c r="AJ67" s="302" t="n"/>
      <x:c r="AK67" s="302" t="n"/>
      <x:c r="AL67" s="302" t="n"/>
      <x:c r="AM67" s="302" t="n"/>
      <x:c r="AN67" s="302" t="n"/>
      <x:c r="AO67" s="302" t="n"/>
      <x:c r="AP67" s="302" t="n"/>
      <x:c r="AQ67" s="302" t="n"/>
      <x:c r="AR67" s="302" t="n"/>
      <x:c r="AS67" s="302" t="n"/>
      <x:c r="AT67" s="302" t="n"/>
      <x:c r="AU67" s="302" t="n"/>
      <x:c r="AV67" s="302" t="n"/>
      <x:c r="AW67" s="302" t="n"/>
      <x:c r="AX67" s="302" t="n"/>
      <x:c r="AY67" s="302" t="n"/>
      <x:c r="AZ67" s="302" t="n"/>
      <x:c r="BA67" s="302" t="n"/>
      <x:c r="BB67" s="302" t="n"/>
      <x:c r="BC67" s="302" t="n"/>
      <x:c r="BD67" s="302" t="n"/>
      <x:c r="BE67" s="302" t="n"/>
      <x:c r="BF67" s="302" t="n"/>
      <x:c r="BG67" s="302" t="n"/>
      <x:c r="BH67" s="302" t="n"/>
      <x:c r="BI67" s="302" t="n"/>
      <x:c r="BJ67" s="302" t="n"/>
      <x:c r="BK67" s="302" t="n"/>
      <x:c r="BL67" s="302" t="n"/>
      <x:c r="BM67" s="302" t="n"/>
      <x:c r="BN67" s="302" t="n"/>
      <x:c r="BO67" s="302" t="n"/>
      <x:c r="BP67" s="302" t="n"/>
      <x:c r="BQ67" s="302" t="n"/>
      <x:c r="BR67" s="302" t="n"/>
      <x:c r="BS67" s="302" t="n"/>
      <x:c r="BT67" s="302" t="n"/>
      <x:c r="BU67" s="302" t="n"/>
      <x:c r="BV67" s="302" t="n"/>
      <x:c r="BW67" s="302" t="n"/>
      <x:c r="BX67" s="302" t="n"/>
      <x:c r="BY67" s="302" t="n"/>
      <x:c r="BZ67" s="302" t="n"/>
      <x:c r="CA67" s="302" t="n"/>
      <x:c r="CB67" s="302" t="n"/>
      <x:c r="CC67" s="302" t="n"/>
      <x:c r="CD67" s="302" t="n"/>
    </x:row>
    <x:row r="68" s="27" customFormat="1">
      <x:c r="B68" s="37" t="n"/>
      <x:c r="C68" s="36" t="n">
        <x:f>E68*D$5</x:f>
        <x:v>0</x:v>
      </x:c>
      <x:c r="D68" s="20" t="n"/>
      <x:c r="E68" s="36" t="n">
        <x:f>SUM(G68:HI68)</x:f>
        <x:v>0</x:v>
      </x:c>
      <x:c r="H68" s="302" t="n"/>
      <x:c r="I68" s="302" t="n"/>
      <x:c r="J68" s="302" t="n"/>
      <x:c r="K68" s="302" t="n"/>
      <x:c r="L68" s="302" t="n"/>
      <x:c r="M68" s="302" t="n"/>
      <x:c r="N68" s="302" t="n"/>
      <x:c r="O68" s="302" t="n"/>
      <x:c r="P68" s="302" t="n"/>
      <x:c r="Q68" s="302" t="n"/>
      <x:c r="R68" s="302" t="n"/>
      <x:c r="S68" s="302" t="n"/>
      <x:c r="T68" s="302" t="n"/>
      <x:c r="U68" s="302" t="n"/>
      <x:c r="V68" s="302" t="n"/>
      <x:c r="W68" s="302" t="n"/>
      <x:c r="X68" s="302" t="n"/>
      <x:c r="Y68" s="302" t="n"/>
      <x:c r="Z68" s="302" t="n"/>
      <x:c r="AA68" s="302" t="n"/>
      <x:c r="AB68" s="302" t="n"/>
      <x:c r="AC68" s="302" t="n"/>
      <x:c r="AD68" s="302" t="n"/>
      <x:c r="AE68" s="302" t="n"/>
      <x:c r="AF68" s="302" t="n"/>
      <x:c r="AG68" s="302" t="n"/>
      <x:c r="AH68" s="302" t="n"/>
      <x:c r="AI68" s="302" t="n"/>
      <x:c r="AJ68" s="302" t="n"/>
      <x:c r="AK68" s="302" t="n"/>
      <x:c r="AL68" s="302" t="n"/>
      <x:c r="AM68" s="302" t="n"/>
      <x:c r="AN68" s="302" t="n"/>
      <x:c r="AO68" s="302" t="n"/>
      <x:c r="AP68" s="302" t="n"/>
      <x:c r="AQ68" s="302" t="n"/>
      <x:c r="AR68" s="302" t="n"/>
      <x:c r="AS68" s="302" t="n"/>
      <x:c r="AT68" s="302" t="n"/>
      <x:c r="AU68" s="302" t="n"/>
      <x:c r="AV68" s="302" t="n"/>
      <x:c r="AW68" s="302" t="n"/>
      <x:c r="AX68" s="302" t="n"/>
      <x:c r="AY68" s="302" t="n"/>
      <x:c r="AZ68" s="302" t="n"/>
      <x:c r="BA68" s="302" t="n"/>
      <x:c r="BB68" s="302" t="n"/>
      <x:c r="BC68" s="302" t="n"/>
      <x:c r="BD68" s="302" t="n"/>
      <x:c r="BE68" s="302" t="n"/>
      <x:c r="BF68" s="302" t="n"/>
      <x:c r="BG68" s="302" t="n"/>
      <x:c r="BH68" s="302" t="n"/>
      <x:c r="BI68" s="302" t="n"/>
      <x:c r="BJ68" s="302" t="n"/>
      <x:c r="BK68" s="302" t="n"/>
      <x:c r="BL68" s="302" t="n"/>
      <x:c r="BM68" s="302" t="n"/>
      <x:c r="BN68" s="302" t="n"/>
      <x:c r="BO68" s="302" t="n"/>
      <x:c r="BP68" s="302" t="n"/>
      <x:c r="BQ68" s="302" t="n"/>
      <x:c r="BR68" s="302" t="n"/>
      <x:c r="BS68" s="302" t="n"/>
      <x:c r="BT68" s="302" t="n"/>
      <x:c r="BU68" s="302" t="n"/>
      <x:c r="BV68" s="302" t="n"/>
      <x:c r="BW68" s="302" t="n"/>
      <x:c r="BX68" s="302" t="n"/>
      <x:c r="BY68" s="302" t="n"/>
      <x:c r="BZ68" s="302" t="n"/>
      <x:c r="CA68" s="302" t="n"/>
      <x:c r="CB68" s="302" t="n"/>
      <x:c r="CC68" s="302" t="n"/>
      <x:c r="CD68" s="302" t="n"/>
    </x:row>
    <x:row r="69" s="27" customFormat="1">
      <x:c r="B69" s="37" t="n"/>
      <x:c r="C69" s="36" t="n">
        <x:f>E69*D$5</x:f>
        <x:v>0</x:v>
      </x:c>
      <x:c r="D69" s="20" t="n"/>
      <x:c r="E69" s="36" t="n">
        <x:f>SUM(G69:HI69)</x:f>
        <x:v>0</x:v>
      </x:c>
      <x:c r="H69" s="302" t="n"/>
      <x:c r="I69" s="302" t="n"/>
      <x:c r="J69" s="302" t="n"/>
      <x:c r="K69" s="302" t="n"/>
      <x:c r="L69" s="302" t="n"/>
      <x:c r="M69" s="302" t="n"/>
      <x:c r="N69" s="302" t="n"/>
      <x:c r="O69" s="302" t="n"/>
      <x:c r="P69" s="302" t="n"/>
      <x:c r="Q69" s="302" t="n"/>
      <x:c r="R69" s="302" t="n"/>
      <x:c r="S69" s="302" t="n"/>
      <x:c r="T69" s="302" t="n"/>
      <x:c r="U69" s="302" t="n"/>
      <x:c r="V69" s="302" t="n"/>
      <x:c r="W69" s="302" t="n"/>
      <x:c r="X69" s="302" t="n"/>
      <x:c r="Y69" s="302" t="n"/>
      <x:c r="Z69" s="302" t="n"/>
      <x:c r="AA69" s="302" t="n"/>
      <x:c r="AB69" s="302" t="n"/>
      <x:c r="AC69" s="302" t="n"/>
      <x:c r="AD69" s="302" t="n"/>
      <x:c r="AE69" s="302" t="n"/>
      <x:c r="AF69" s="302" t="n"/>
      <x:c r="AG69" s="302" t="n"/>
      <x:c r="AH69" s="302" t="n"/>
      <x:c r="AI69" s="302" t="n"/>
      <x:c r="AJ69" s="302" t="n"/>
      <x:c r="AK69" s="302" t="n"/>
      <x:c r="AL69" s="302" t="n"/>
      <x:c r="AM69" s="302" t="n"/>
      <x:c r="AN69" s="302" t="n"/>
      <x:c r="AO69" s="302" t="n"/>
      <x:c r="AP69" s="302" t="n"/>
      <x:c r="AQ69" s="302" t="n"/>
      <x:c r="AR69" s="302" t="n"/>
      <x:c r="AS69" s="302" t="n"/>
      <x:c r="AT69" s="302" t="n"/>
      <x:c r="AU69" s="302" t="n"/>
      <x:c r="AV69" s="302" t="n"/>
      <x:c r="AW69" s="302" t="n"/>
      <x:c r="AX69" s="302" t="n"/>
      <x:c r="AY69" s="302" t="n"/>
      <x:c r="AZ69" s="302" t="n"/>
      <x:c r="BA69" s="302" t="n"/>
      <x:c r="BB69" s="302" t="n"/>
      <x:c r="BC69" s="302" t="n"/>
      <x:c r="BD69" s="302" t="n"/>
      <x:c r="BE69" s="302" t="n"/>
      <x:c r="BF69" s="302" t="n"/>
      <x:c r="BG69" s="302" t="n"/>
      <x:c r="BH69" s="302" t="n"/>
      <x:c r="BI69" s="302" t="n"/>
      <x:c r="BJ69" s="302" t="n"/>
      <x:c r="BK69" s="302" t="n"/>
      <x:c r="BL69" s="302" t="n"/>
      <x:c r="BM69" s="302" t="n"/>
      <x:c r="BN69" s="302" t="n"/>
      <x:c r="BO69" s="302" t="n"/>
      <x:c r="BP69" s="302" t="n"/>
      <x:c r="BQ69" s="302" t="n"/>
      <x:c r="BR69" s="302" t="n"/>
      <x:c r="BS69" s="302" t="n"/>
      <x:c r="BT69" s="302" t="n"/>
      <x:c r="BU69" s="302" t="n"/>
      <x:c r="BV69" s="302" t="n"/>
      <x:c r="BW69" s="302" t="n"/>
      <x:c r="BX69" s="302" t="n"/>
      <x:c r="BY69" s="302" t="n"/>
      <x:c r="BZ69" s="302" t="n"/>
      <x:c r="CA69" s="302" t="n"/>
      <x:c r="CB69" s="302" t="n"/>
      <x:c r="CC69" s="302" t="n"/>
      <x:c r="CD69" s="302" t="n"/>
    </x:row>
    <x:row r="70" s="27" customFormat="1">
      <x:c r="B70" s="37" t="n"/>
      <x:c r="C70" s="36" t="n">
        <x:f>E70*D$5</x:f>
        <x:v>0</x:v>
      </x:c>
      <x:c r="D70" s="20" t="n"/>
      <x:c r="E70" s="36" t="n">
        <x:f>SUM(G70:HI70)</x:f>
        <x:v>0</x:v>
      </x:c>
      <x:c r="H70" s="302" t="n"/>
      <x:c r="I70" s="302" t="n"/>
      <x:c r="J70" s="302" t="n"/>
      <x:c r="K70" s="302" t="n"/>
      <x:c r="L70" s="302" t="n"/>
      <x:c r="M70" s="302" t="n"/>
      <x:c r="N70" s="302" t="n"/>
      <x:c r="O70" s="302" t="n"/>
      <x:c r="P70" s="302" t="n"/>
      <x:c r="Q70" s="302" t="n"/>
      <x:c r="R70" s="302" t="n"/>
      <x:c r="S70" s="302" t="n"/>
      <x:c r="T70" s="302" t="n"/>
      <x:c r="U70" s="302" t="n"/>
      <x:c r="V70" s="302" t="n"/>
      <x:c r="W70" s="302" t="n"/>
      <x:c r="X70" s="302" t="n"/>
      <x:c r="Y70" s="302" t="n"/>
      <x:c r="Z70" s="302" t="n"/>
      <x:c r="AA70" s="302" t="n"/>
      <x:c r="AB70" s="302" t="n"/>
      <x:c r="AC70" s="302" t="n"/>
      <x:c r="AD70" s="302" t="n"/>
      <x:c r="AE70" s="302" t="n"/>
      <x:c r="AF70" s="302" t="n"/>
      <x:c r="AG70" s="302" t="n"/>
      <x:c r="AH70" s="302" t="n"/>
      <x:c r="AI70" s="302" t="n"/>
      <x:c r="AJ70" s="302" t="n"/>
      <x:c r="AK70" s="302" t="n"/>
      <x:c r="AL70" s="302" t="n"/>
      <x:c r="AM70" s="302" t="n"/>
      <x:c r="AN70" s="302" t="n"/>
      <x:c r="AO70" s="302" t="n"/>
      <x:c r="AP70" s="302" t="n"/>
      <x:c r="AQ70" s="302" t="n"/>
      <x:c r="AR70" s="302" t="n"/>
      <x:c r="AS70" s="302" t="n"/>
      <x:c r="AT70" s="302" t="n"/>
      <x:c r="AU70" s="302" t="n"/>
      <x:c r="AV70" s="302" t="n"/>
      <x:c r="AW70" s="302" t="n"/>
      <x:c r="AX70" s="302" t="n"/>
      <x:c r="AY70" s="302" t="n"/>
      <x:c r="AZ70" s="302" t="n"/>
      <x:c r="BA70" s="302" t="n"/>
      <x:c r="BB70" s="302" t="n"/>
      <x:c r="BC70" s="302" t="n"/>
      <x:c r="BD70" s="302" t="n"/>
      <x:c r="BE70" s="302" t="n"/>
      <x:c r="BF70" s="302" t="n"/>
      <x:c r="BG70" s="302" t="n"/>
      <x:c r="BH70" s="302" t="n"/>
      <x:c r="BI70" s="302" t="n"/>
      <x:c r="BJ70" s="302" t="n"/>
      <x:c r="BK70" s="302" t="n"/>
      <x:c r="BL70" s="302" t="n"/>
      <x:c r="BM70" s="302" t="n"/>
      <x:c r="BN70" s="302" t="n"/>
      <x:c r="BO70" s="302" t="n"/>
      <x:c r="BP70" s="302" t="n"/>
      <x:c r="BQ70" s="302" t="n"/>
      <x:c r="BR70" s="302" t="n"/>
      <x:c r="BS70" s="302" t="n"/>
      <x:c r="BT70" s="302" t="n"/>
      <x:c r="BU70" s="302" t="n"/>
      <x:c r="BV70" s="302" t="n"/>
      <x:c r="BW70" s="302" t="n"/>
      <x:c r="BX70" s="302" t="n"/>
      <x:c r="BY70" s="302" t="n"/>
      <x:c r="BZ70" s="302" t="n"/>
      <x:c r="CA70" s="302" t="n"/>
      <x:c r="CB70" s="302" t="n"/>
      <x:c r="CC70" s="302" t="n"/>
      <x:c r="CD70" s="302" t="n"/>
    </x:row>
    <x:row r="71" s="27" customFormat="1">
      <x:c r="B71" s="37" t="n"/>
      <x:c r="C71" s="36" t="n">
        <x:f>E71*D$5</x:f>
        <x:v>0</x:v>
      </x:c>
      <x:c r="D71" s="20" t="n"/>
      <x:c r="E71" s="36" t="n">
        <x:f>SUM(G71:HI71)</x:f>
        <x:v>0</x:v>
      </x:c>
      <x:c r="H71" s="302" t="n"/>
      <x:c r="I71" s="302" t="n"/>
      <x:c r="J71" s="302" t="n"/>
      <x:c r="K71" s="302" t="n"/>
      <x:c r="L71" s="302" t="n"/>
      <x:c r="M71" s="302" t="n"/>
      <x:c r="N71" s="302" t="n"/>
      <x:c r="O71" s="302" t="n"/>
      <x:c r="P71" s="302" t="n"/>
      <x:c r="Q71" s="302" t="n"/>
      <x:c r="R71" s="302" t="n"/>
      <x:c r="S71" s="302" t="n"/>
      <x:c r="T71" s="302" t="n"/>
      <x:c r="U71" s="302" t="n"/>
      <x:c r="V71" s="302" t="n"/>
      <x:c r="W71" s="302" t="n"/>
      <x:c r="X71" s="302" t="n"/>
      <x:c r="Y71" s="302" t="n"/>
      <x:c r="Z71" s="302" t="n"/>
      <x:c r="AA71" s="302" t="n"/>
      <x:c r="AB71" s="302" t="n"/>
      <x:c r="AC71" s="302" t="n"/>
      <x:c r="AD71" s="302" t="n"/>
      <x:c r="AE71" s="302" t="n"/>
      <x:c r="AF71" s="302" t="n"/>
      <x:c r="AG71" s="302" t="n"/>
      <x:c r="AH71" s="302" t="n"/>
      <x:c r="AI71" s="302" t="n"/>
      <x:c r="AJ71" s="302" t="n"/>
      <x:c r="AK71" s="302" t="n"/>
      <x:c r="AL71" s="302" t="n"/>
      <x:c r="AM71" s="302" t="n"/>
      <x:c r="AN71" s="302" t="n"/>
      <x:c r="AO71" s="302" t="n"/>
      <x:c r="AP71" s="302" t="n"/>
      <x:c r="AQ71" s="302" t="n"/>
      <x:c r="AR71" s="302" t="n"/>
      <x:c r="AS71" s="302" t="n"/>
      <x:c r="AT71" s="302" t="n"/>
      <x:c r="AU71" s="302" t="n"/>
      <x:c r="AV71" s="302" t="n"/>
      <x:c r="AW71" s="302" t="n"/>
      <x:c r="AX71" s="302" t="n"/>
      <x:c r="AY71" s="302" t="n"/>
      <x:c r="AZ71" s="302" t="n"/>
      <x:c r="BA71" s="302" t="n"/>
      <x:c r="BB71" s="302" t="n"/>
      <x:c r="BC71" s="302" t="n"/>
      <x:c r="BD71" s="302" t="n"/>
      <x:c r="BE71" s="302" t="n"/>
      <x:c r="BF71" s="302" t="n"/>
      <x:c r="BG71" s="302" t="n"/>
      <x:c r="BH71" s="302" t="n"/>
      <x:c r="BI71" s="302" t="n"/>
      <x:c r="BJ71" s="302" t="n"/>
      <x:c r="BK71" s="302" t="n"/>
      <x:c r="BL71" s="302" t="n"/>
      <x:c r="BM71" s="302" t="n"/>
      <x:c r="BN71" s="302" t="n"/>
      <x:c r="BO71" s="302" t="n"/>
      <x:c r="BP71" s="302" t="n"/>
      <x:c r="BQ71" s="302" t="n"/>
      <x:c r="BR71" s="302" t="n"/>
      <x:c r="BS71" s="302" t="n"/>
      <x:c r="BT71" s="302" t="n"/>
      <x:c r="BU71" s="302" t="n"/>
      <x:c r="BV71" s="302" t="n"/>
      <x:c r="BW71" s="302" t="n"/>
      <x:c r="BX71" s="302" t="n"/>
      <x:c r="BY71" s="302" t="n"/>
      <x:c r="BZ71" s="302" t="n"/>
      <x:c r="CA71" s="302" t="n"/>
      <x:c r="CB71" s="302" t="n"/>
      <x:c r="CC71" s="302" t="n"/>
      <x:c r="CD71" s="302" t="n"/>
    </x:row>
    <x:row r="72" s="27" customFormat="1">
      <x:c r="B72" s="37" t="n"/>
      <x:c r="C72" s="36" t="n">
        <x:f>E72*D$5</x:f>
        <x:v>0</x:v>
      </x:c>
      <x:c r="D72" s="20" t="n"/>
      <x:c r="E72" s="36" t="n">
        <x:f>SUM(G72:HI72)</x:f>
        <x:v>0</x:v>
      </x:c>
      <x:c r="H72" s="302" t="n"/>
      <x:c r="I72" s="302" t="n"/>
      <x:c r="J72" s="302" t="n"/>
      <x:c r="K72" s="302" t="n"/>
      <x:c r="L72" s="302" t="n"/>
      <x:c r="M72" s="302" t="n"/>
      <x:c r="N72" s="302" t="n"/>
      <x:c r="O72" s="302" t="n"/>
      <x:c r="P72" s="302" t="n"/>
      <x:c r="Q72" s="302" t="n"/>
      <x:c r="R72" s="302" t="n"/>
      <x:c r="S72" s="302" t="n"/>
      <x:c r="T72" s="302" t="n"/>
      <x:c r="U72" s="302" t="n"/>
      <x:c r="V72" s="302" t="n"/>
      <x:c r="W72" s="302" t="n"/>
      <x:c r="X72" s="302" t="n"/>
      <x:c r="Y72" s="302" t="n"/>
      <x:c r="Z72" s="302" t="n"/>
      <x:c r="AA72" s="302" t="n"/>
      <x:c r="AB72" s="302" t="n"/>
      <x:c r="AC72" s="302" t="n"/>
      <x:c r="AD72" s="302" t="n"/>
      <x:c r="AE72" s="302" t="n"/>
      <x:c r="AF72" s="302" t="n"/>
      <x:c r="AG72" s="302" t="n"/>
      <x:c r="AH72" s="302" t="n"/>
      <x:c r="AI72" s="302" t="n"/>
      <x:c r="AJ72" s="302" t="n"/>
      <x:c r="AK72" s="302" t="n"/>
      <x:c r="AL72" s="302" t="n"/>
      <x:c r="AM72" s="302" t="n"/>
      <x:c r="AN72" s="302" t="n"/>
      <x:c r="AO72" s="302" t="n"/>
      <x:c r="AP72" s="302" t="n"/>
      <x:c r="AQ72" s="302" t="n"/>
      <x:c r="AR72" s="302" t="n"/>
      <x:c r="AS72" s="302" t="n"/>
      <x:c r="AT72" s="302" t="n"/>
      <x:c r="AU72" s="302" t="n"/>
      <x:c r="AV72" s="302" t="n"/>
      <x:c r="AW72" s="302" t="n"/>
      <x:c r="AX72" s="302" t="n"/>
      <x:c r="AY72" s="302" t="n"/>
      <x:c r="AZ72" s="302" t="n"/>
      <x:c r="BA72" s="302" t="n"/>
      <x:c r="BB72" s="302" t="n"/>
      <x:c r="BC72" s="302" t="n"/>
      <x:c r="BD72" s="302" t="n"/>
      <x:c r="BE72" s="302" t="n"/>
      <x:c r="BF72" s="302" t="n"/>
      <x:c r="BG72" s="302" t="n"/>
      <x:c r="BH72" s="302" t="n"/>
      <x:c r="BI72" s="302" t="n"/>
      <x:c r="BJ72" s="302" t="n"/>
      <x:c r="BK72" s="302" t="n"/>
      <x:c r="BL72" s="302" t="n"/>
      <x:c r="BM72" s="302" t="n"/>
      <x:c r="BN72" s="302" t="n"/>
      <x:c r="BO72" s="302" t="n"/>
      <x:c r="BP72" s="302" t="n"/>
      <x:c r="BQ72" s="302" t="n"/>
      <x:c r="BR72" s="302" t="n"/>
      <x:c r="BS72" s="302" t="n"/>
      <x:c r="BT72" s="302" t="n"/>
      <x:c r="BU72" s="302" t="n"/>
      <x:c r="BV72" s="302" t="n"/>
      <x:c r="BW72" s="302" t="n"/>
      <x:c r="BX72" s="302" t="n"/>
      <x:c r="BY72" s="302" t="n"/>
      <x:c r="BZ72" s="302" t="n"/>
      <x:c r="CA72" s="302" t="n"/>
      <x:c r="CB72" s="302" t="n"/>
      <x:c r="CC72" s="302" t="n"/>
      <x:c r="CD72" s="302" t="n"/>
    </x:row>
    <x:row r="73" s="27" customFormat="1">
      <x:c r="B73" s="37" t="n"/>
      <x:c r="C73" s="36" t="n">
        <x:f>E73*D$5</x:f>
        <x:v>0</x:v>
      </x:c>
      <x:c r="D73" s="20" t="n"/>
      <x:c r="E73" s="36" t="n">
        <x:f>SUM(G73:HI73)</x:f>
        <x:v>0</x:v>
      </x:c>
      <x:c r="H73" s="302" t="n"/>
      <x:c r="I73" s="302" t="n"/>
      <x:c r="J73" s="302" t="n"/>
      <x:c r="K73" s="302" t="n"/>
      <x:c r="L73" s="302" t="n"/>
      <x:c r="M73" s="302" t="n"/>
      <x:c r="N73" s="302" t="n"/>
      <x:c r="O73" s="302" t="n"/>
      <x:c r="P73" s="302" t="n"/>
      <x:c r="Q73" s="302" t="n"/>
      <x:c r="R73" s="302" t="n"/>
      <x:c r="S73" s="302" t="n"/>
      <x:c r="T73" s="302" t="n"/>
      <x:c r="U73" s="302" t="n"/>
      <x:c r="V73" s="302" t="n"/>
      <x:c r="W73" s="302" t="n"/>
      <x:c r="X73" s="302" t="n"/>
      <x:c r="Y73" s="302" t="n"/>
      <x:c r="Z73" s="302" t="n"/>
      <x:c r="AA73" s="302" t="n"/>
      <x:c r="AB73" s="302" t="n"/>
      <x:c r="AC73" s="302" t="n"/>
      <x:c r="AD73" s="302" t="n"/>
      <x:c r="AE73" s="302" t="n"/>
      <x:c r="AF73" s="302" t="n"/>
      <x:c r="AG73" s="302" t="n"/>
      <x:c r="AH73" s="302" t="n"/>
      <x:c r="AI73" s="302" t="n"/>
      <x:c r="AJ73" s="302" t="n"/>
      <x:c r="AK73" s="302" t="n"/>
      <x:c r="AL73" s="302" t="n"/>
      <x:c r="AM73" s="302" t="n"/>
      <x:c r="AN73" s="302" t="n"/>
      <x:c r="AO73" s="302" t="n"/>
      <x:c r="AP73" s="302" t="n"/>
      <x:c r="AQ73" s="302" t="n"/>
      <x:c r="AR73" s="302" t="n"/>
      <x:c r="AS73" s="302" t="n"/>
      <x:c r="AT73" s="302" t="n"/>
      <x:c r="AU73" s="302" t="n"/>
      <x:c r="AV73" s="302" t="n"/>
      <x:c r="AW73" s="302" t="n"/>
      <x:c r="AX73" s="302" t="n"/>
      <x:c r="AY73" s="302" t="n"/>
      <x:c r="AZ73" s="302" t="n"/>
      <x:c r="BA73" s="302" t="n"/>
      <x:c r="BB73" s="302" t="n"/>
      <x:c r="BC73" s="302" t="n"/>
      <x:c r="BD73" s="302" t="n"/>
      <x:c r="BE73" s="302" t="n"/>
      <x:c r="BF73" s="302" t="n"/>
      <x:c r="BG73" s="302" t="n"/>
      <x:c r="BH73" s="302" t="n"/>
      <x:c r="BI73" s="302" t="n"/>
      <x:c r="BJ73" s="302" t="n"/>
      <x:c r="BK73" s="302" t="n"/>
      <x:c r="BL73" s="302" t="n"/>
      <x:c r="BM73" s="302" t="n"/>
      <x:c r="BN73" s="302" t="n"/>
      <x:c r="BO73" s="302" t="n"/>
      <x:c r="BP73" s="302" t="n"/>
      <x:c r="BQ73" s="302" t="n"/>
      <x:c r="BR73" s="302" t="n"/>
      <x:c r="BS73" s="302" t="n"/>
      <x:c r="BT73" s="302" t="n"/>
      <x:c r="BU73" s="302" t="n"/>
      <x:c r="BV73" s="302" t="n"/>
      <x:c r="BW73" s="302" t="n"/>
      <x:c r="BX73" s="302" t="n"/>
      <x:c r="BY73" s="302" t="n"/>
      <x:c r="BZ73" s="302" t="n"/>
      <x:c r="CA73" s="302" t="n"/>
      <x:c r="CB73" s="302" t="n"/>
      <x:c r="CC73" s="302" t="n"/>
      <x:c r="CD73" s="302" t="n"/>
    </x:row>
    <x:row r="74" s="27" customFormat="1">
      <x:c r="B74" s="37" t="n"/>
      <x:c r="C74" s="36" t="n">
        <x:f>E74*D$5</x:f>
        <x:v>0</x:v>
      </x:c>
      <x:c r="D74" s="20" t="n"/>
      <x:c r="E74" s="36" t="n">
        <x:f>SUM(G74:HI74)</x:f>
        <x:v>0</x:v>
      </x:c>
      <x:c r="H74" s="302" t="n"/>
      <x:c r="I74" s="302" t="n"/>
      <x:c r="J74" s="302" t="n"/>
      <x:c r="K74" s="302" t="n"/>
      <x:c r="L74" s="302" t="n"/>
      <x:c r="M74" s="302" t="n"/>
      <x:c r="N74" s="302" t="n"/>
      <x:c r="O74" s="302" t="n"/>
      <x:c r="P74" s="302" t="n"/>
      <x:c r="Q74" s="302" t="n"/>
      <x:c r="R74" s="302" t="n"/>
      <x:c r="S74" s="302" t="n"/>
      <x:c r="T74" s="302" t="n"/>
      <x:c r="U74" s="302" t="n"/>
      <x:c r="V74" s="302" t="n"/>
      <x:c r="W74" s="302" t="n"/>
      <x:c r="X74" s="302" t="n"/>
      <x:c r="Y74" s="302" t="n"/>
      <x:c r="Z74" s="302" t="n"/>
      <x:c r="AA74" s="302" t="n"/>
      <x:c r="AB74" s="302" t="n"/>
      <x:c r="AC74" s="302" t="n"/>
      <x:c r="AD74" s="302" t="n"/>
      <x:c r="AE74" s="302" t="n"/>
      <x:c r="AF74" s="302" t="n"/>
      <x:c r="AG74" s="302" t="n"/>
      <x:c r="AH74" s="302" t="n"/>
      <x:c r="AI74" s="302" t="n"/>
      <x:c r="AJ74" s="302" t="n"/>
      <x:c r="AK74" s="302" t="n"/>
      <x:c r="AL74" s="302" t="n"/>
      <x:c r="AM74" s="302" t="n"/>
      <x:c r="AN74" s="302" t="n"/>
      <x:c r="AO74" s="302" t="n"/>
      <x:c r="AP74" s="302" t="n"/>
      <x:c r="AQ74" s="302" t="n"/>
      <x:c r="AR74" s="302" t="n"/>
      <x:c r="AS74" s="302" t="n"/>
      <x:c r="AT74" s="302" t="n"/>
      <x:c r="AU74" s="302" t="n"/>
      <x:c r="AV74" s="302" t="n"/>
      <x:c r="AW74" s="302" t="n"/>
      <x:c r="AX74" s="302" t="n"/>
      <x:c r="AY74" s="302" t="n"/>
      <x:c r="AZ74" s="302" t="n"/>
      <x:c r="BA74" s="302" t="n"/>
      <x:c r="BB74" s="302" t="n"/>
      <x:c r="BC74" s="302" t="n"/>
      <x:c r="BD74" s="302" t="n"/>
      <x:c r="BE74" s="302" t="n"/>
      <x:c r="BF74" s="302" t="n"/>
      <x:c r="BG74" s="302" t="n"/>
      <x:c r="BH74" s="302" t="n"/>
      <x:c r="BI74" s="302" t="n"/>
      <x:c r="BJ74" s="302" t="n"/>
      <x:c r="BK74" s="302" t="n"/>
      <x:c r="BL74" s="302" t="n"/>
      <x:c r="BM74" s="302" t="n"/>
      <x:c r="BN74" s="302" t="n"/>
      <x:c r="BO74" s="302" t="n"/>
      <x:c r="BP74" s="302" t="n"/>
      <x:c r="BQ74" s="302" t="n"/>
      <x:c r="BR74" s="302" t="n"/>
      <x:c r="BS74" s="302" t="n"/>
      <x:c r="BT74" s="302" t="n"/>
      <x:c r="BU74" s="302" t="n"/>
      <x:c r="BV74" s="302" t="n"/>
      <x:c r="BW74" s="302" t="n"/>
      <x:c r="BX74" s="302" t="n"/>
      <x:c r="BY74" s="302" t="n"/>
      <x:c r="BZ74" s="302" t="n"/>
      <x:c r="CA74" s="302" t="n"/>
      <x:c r="CB74" s="302" t="n"/>
      <x:c r="CC74" s="302" t="n"/>
      <x:c r="CD74" s="302" t="n"/>
    </x:row>
    <x:row r="75" s="27" customFormat="1">
      <x:c r="B75" s="37" t="n"/>
      <x:c r="C75" s="36" t="n">
        <x:f>E75*D$5</x:f>
        <x:v>0</x:v>
      </x:c>
      <x:c r="D75" s="20" t="n"/>
      <x:c r="E75" s="36" t="n">
        <x:f>SUM(G75:HI75)</x:f>
        <x:v>0</x:v>
      </x:c>
      <x:c r="H75" s="302" t="n"/>
      <x:c r="I75" s="302" t="n"/>
      <x:c r="J75" s="302" t="n"/>
      <x:c r="K75" s="302" t="n"/>
      <x:c r="L75" s="302" t="n"/>
      <x:c r="M75" s="302" t="n"/>
      <x:c r="N75" s="302" t="n"/>
      <x:c r="O75" s="302" t="n"/>
      <x:c r="P75" s="302" t="n"/>
      <x:c r="Q75" s="302" t="n"/>
      <x:c r="R75" s="302" t="n"/>
      <x:c r="S75" s="302" t="n"/>
      <x:c r="T75" s="302" t="n"/>
      <x:c r="U75" s="302" t="n"/>
      <x:c r="V75" s="302" t="n"/>
      <x:c r="W75" s="302" t="n"/>
      <x:c r="X75" s="302" t="n"/>
      <x:c r="Y75" s="302" t="n"/>
      <x:c r="Z75" s="302" t="n"/>
      <x:c r="AA75" s="302" t="n"/>
      <x:c r="AB75" s="302" t="n"/>
      <x:c r="AC75" s="302" t="n"/>
      <x:c r="AD75" s="302" t="n"/>
      <x:c r="AE75" s="302" t="n"/>
      <x:c r="AF75" s="302" t="n"/>
      <x:c r="AG75" s="302" t="n"/>
      <x:c r="AH75" s="302" t="n"/>
      <x:c r="AI75" s="302" t="n"/>
      <x:c r="AJ75" s="302" t="n"/>
      <x:c r="AK75" s="302" t="n"/>
      <x:c r="AL75" s="302" t="n"/>
      <x:c r="AM75" s="302" t="n"/>
      <x:c r="AN75" s="302" t="n"/>
      <x:c r="AO75" s="302" t="n"/>
      <x:c r="AP75" s="302" t="n"/>
      <x:c r="AQ75" s="302" t="n"/>
      <x:c r="AR75" s="302" t="n"/>
      <x:c r="AS75" s="302" t="n"/>
      <x:c r="AT75" s="302" t="n"/>
      <x:c r="AU75" s="302" t="n"/>
      <x:c r="AV75" s="302" t="n"/>
      <x:c r="AW75" s="302" t="n"/>
      <x:c r="AX75" s="302" t="n"/>
      <x:c r="AY75" s="302" t="n"/>
      <x:c r="AZ75" s="302" t="n"/>
      <x:c r="BA75" s="302" t="n"/>
      <x:c r="BB75" s="302" t="n"/>
      <x:c r="BC75" s="302" t="n"/>
      <x:c r="BD75" s="302" t="n"/>
      <x:c r="BE75" s="302" t="n"/>
      <x:c r="BF75" s="302" t="n"/>
      <x:c r="BG75" s="302" t="n"/>
      <x:c r="BH75" s="302" t="n"/>
      <x:c r="BI75" s="302" t="n"/>
      <x:c r="BJ75" s="302" t="n"/>
      <x:c r="BK75" s="302" t="n"/>
      <x:c r="BL75" s="302" t="n"/>
      <x:c r="BM75" s="302" t="n"/>
      <x:c r="BN75" s="302" t="n"/>
      <x:c r="BO75" s="302" t="n"/>
      <x:c r="BP75" s="302" t="n"/>
      <x:c r="BQ75" s="302" t="n"/>
      <x:c r="BR75" s="302" t="n"/>
      <x:c r="BS75" s="302" t="n"/>
      <x:c r="BT75" s="302" t="n"/>
      <x:c r="BU75" s="302" t="n"/>
      <x:c r="BV75" s="302" t="n"/>
      <x:c r="BW75" s="302" t="n"/>
      <x:c r="BX75" s="302" t="n"/>
      <x:c r="BY75" s="302" t="n"/>
      <x:c r="BZ75" s="302" t="n"/>
      <x:c r="CA75" s="302" t="n"/>
      <x:c r="CB75" s="302" t="n"/>
      <x:c r="CC75" s="302" t="n"/>
      <x:c r="CD75" s="302" t="n"/>
    </x:row>
    <x:row r="76" s="27" customFormat="1">
      <x:c r="B76" s="37" t="n"/>
      <x:c r="C76" s="36" t="n">
        <x:f>E76*D$5</x:f>
        <x:v>0</x:v>
      </x:c>
      <x:c r="D76" s="20" t="n"/>
      <x:c r="E76" s="36" t="n">
        <x:f>SUM(G76:HI76)</x:f>
        <x:v>0</x:v>
      </x:c>
      <x:c r="H76" s="302" t="n"/>
      <x:c r="I76" s="302" t="n"/>
      <x:c r="J76" s="302" t="n"/>
      <x:c r="K76" s="302" t="n"/>
      <x:c r="L76" s="302" t="n"/>
      <x:c r="M76" s="302" t="n"/>
      <x:c r="N76" s="302" t="n"/>
      <x:c r="O76" s="302" t="n"/>
      <x:c r="P76" s="302" t="n"/>
      <x:c r="Q76" s="302" t="n"/>
      <x:c r="R76" s="302" t="n"/>
      <x:c r="S76" s="302" t="n"/>
      <x:c r="T76" s="302" t="n"/>
      <x:c r="U76" s="302" t="n"/>
      <x:c r="V76" s="302" t="n"/>
      <x:c r="W76" s="302" t="n"/>
      <x:c r="X76" s="302" t="n"/>
      <x:c r="Y76" s="302" t="n"/>
      <x:c r="Z76" s="302" t="n"/>
      <x:c r="AA76" s="302" t="n"/>
      <x:c r="AB76" s="302" t="n"/>
      <x:c r="AC76" s="302" t="n"/>
      <x:c r="AD76" s="302" t="n"/>
      <x:c r="AE76" s="302" t="n"/>
      <x:c r="AF76" s="302" t="n"/>
      <x:c r="AG76" s="302" t="n"/>
      <x:c r="AH76" s="302" t="n"/>
      <x:c r="AI76" s="302" t="n"/>
      <x:c r="AJ76" s="302" t="n"/>
      <x:c r="AK76" s="302" t="n"/>
      <x:c r="AL76" s="302" t="n"/>
      <x:c r="AM76" s="302" t="n"/>
      <x:c r="AN76" s="302" t="n"/>
      <x:c r="AO76" s="302" t="n"/>
      <x:c r="AP76" s="302" t="n"/>
      <x:c r="AQ76" s="302" t="n"/>
      <x:c r="AR76" s="302" t="n"/>
      <x:c r="AS76" s="302" t="n"/>
      <x:c r="AT76" s="302" t="n"/>
      <x:c r="AU76" s="302" t="n"/>
      <x:c r="AV76" s="302" t="n"/>
      <x:c r="AW76" s="302" t="n"/>
      <x:c r="AX76" s="302" t="n"/>
      <x:c r="AY76" s="302" t="n"/>
      <x:c r="AZ76" s="302" t="n"/>
      <x:c r="BA76" s="302" t="n"/>
      <x:c r="BB76" s="302" t="n"/>
      <x:c r="BC76" s="302" t="n"/>
      <x:c r="BD76" s="302" t="n"/>
      <x:c r="BE76" s="302" t="n"/>
      <x:c r="BF76" s="302" t="n"/>
      <x:c r="BG76" s="302" t="n"/>
      <x:c r="BH76" s="302" t="n"/>
      <x:c r="BI76" s="302" t="n"/>
      <x:c r="BJ76" s="302" t="n"/>
      <x:c r="BK76" s="302" t="n"/>
      <x:c r="BL76" s="302" t="n"/>
      <x:c r="BM76" s="302" t="n"/>
      <x:c r="BN76" s="302" t="n"/>
      <x:c r="BO76" s="302" t="n"/>
      <x:c r="BP76" s="302" t="n"/>
      <x:c r="BQ76" s="302" t="n"/>
      <x:c r="BR76" s="302" t="n"/>
      <x:c r="BS76" s="302" t="n"/>
      <x:c r="BT76" s="302" t="n"/>
      <x:c r="BU76" s="302" t="n"/>
      <x:c r="BV76" s="302" t="n"/>
      <x:c r="BW76" s="302" t="n"/>
      <x:c r="BX76" s="302" t="n"/>
      <x:c r="BY76" s="302" t="n"/>
      <x:c r="BZ76" s="302" t="n"/>
      <x:c r="CA76" s="302" t="n"/>
      <x:c r="CB76" s="302" t="n"/>
      <x:c r="CC76" s="302" t="n"/>
      <x:c r="CD76" s="302" t="n"/>
    </x:row>
    <x:row r="77" s="27" customFormat="1">
      <x:c r="B77" s="37" t="n"/>
      <x:c r="C77" s="36" t="n">
        <x:f>E77*D$5</x:f>
        <x:v>0</x:v>
      </x:c>
      <x:c r="D77" s="20" t="n"/>
      <x:c r="E77" s="36" t="n">
        <x:f>SUM(G77:HI77)</x:f>
        <x:v>0</x:v>
      </x:c>
      <x:c r="H77" s="302" t="n"/>
      <x:c r="I77" s="302" t="n"/>
      <x:c r="J77" s="302" t="n"/>
      <x:c r="K77" s="302" t="n"/>
      <x:c r="L77" s="302" t="n"/>
      <x:c r="M77" s="302" t="n"/>
      <x:c r="N77" s="302" t="n"/>
      <x:c r="O77" s="302" t="n"/>
      <x:c r="P77" s="302" t="n"/>
      <x:c r="Q77" s="302" t="n"/>
      <x:c r="R77" s="302" t="n"/>
      <x:c r="S77" s="302" t="n"/>
      <x:c r="T77" s="302" t="n"/>
      <x:c r="U77" s="302" t="n"/>
      <x:c r="V77" s="302" t="n"/>
      <x:c r="W77" s="302" t="n"/>
      <x:c r="X77" s="302" t="n"/>
      <x:c r="Y77" s="302" t="n"/>
      <x:c r="Z77" s="302" t="n"/>
      <x:c r="AA77" s="302" t="n"/>
      <x:c r="AB77" s="302" t="n"/>
      <x:c r="AC77" s="302" t="n"/>
      <x:c r="AD77" s="302" t="n"/>
      <x:c r="AE77" s="302" t="n"/>
      <x:c r="AF77" s="302" t="n"/>
      <x:c r="AG77" s="302" t="n"/>
      <x:c r="AH77" s="302" t="n"/>
      <x:c r="AI77" s="302" t="n"/>
      <x:c r="AJ77" s="302" t="n"/>
      <x:c r="AK77" s="302" t="n"/>
      <x:c r="AL77" s="302" t="n"/>
      <x:c r="AM77" s="302" t="n"/>
      <x:c r="AN77" s="302" t="n"/>
      <x:c r="AO77" s="302" t="n"/>
      <x:c r="AP77" s="302" t="n"/>
      <x:c r="AQ77" s="302" t="n"/>
      <x:c r="AR77" s="302" t="n"/>
      <x:c r="AS77" s="302" t="n"/>
      <x:c r="AT77" s="302" t="n"/>
      <x:c r="AU77" s="302" t="n"/>
      <x:c r="AV77" s="302" t="n"/>
      <x:c r="AW77" s="302" t="n"/>
      <x:c r="AX77" s="302" t="n"/>
      <x:c r="AY77" s="302" t="n"/>
      <x:c r="AZ77" s="302" t="n"/>
      <x:c r="BA77" s="302" t="n"/>
      <x:c r="BB77" s="302" t="n"/>
      <x:c r="BC77" s="302" t="n"/>
      <x:c r="BD77" s="302" t="n"/>
      <x:c r="BE77" s="302" t="n"/>
      <x:c r="BF77" s="302" t="n"/>
      <x:c r="BG77" s="302" t="n"/>
      <x:c r="BH77" s="302" t="n"/>
      <x:c r="BI77" s="302" t="n"/>
      <x:c r="BJ77" s="302" t="n"/>
      <x:c r="BK77" s="302" t="n"/>
      <x:c r="BL77" s="302" t="n"/>
      <x:c r="BM77" s="302" t="n"/>
      <x:c r="BN77" s="302" t="n"/>
      <x:c r="BO77" s="302" t="n"/>
      <x:c r="BP77" s="302" t="n"/>
      <x:c r="BQ77" s="302" t="n"/>
      <x:c r="BR77" s="302" t="n"/>
      <x:c r="BS77" s="302" t="n"/>
      <x:c r="BT77" s="302" t="n"/>
      <x:c r="BU77" s="302" t="n"/>
      <x:c r="BV77" s="302" t="n"/>
      <x:c r="BW77" s="302" t="n"/>
      <x:c r="BX77" s="302" t="n"/>
      <x:c r="BY77" s="302" t="n"/>
      <x:c r="BZ77" s="302" t="n"/>
      <x:c r="CA77" s="302" t="n"/>
      <x:c r="CB77" s="302" t="n"/>
      <x:c r="CC77" s="302" t="n"/>
      <x:c r="CD77" s="302" t="n"/>
    </x:row>
    <x:row r="78" s="27" customFormat="1">
      <x:c r="B78" s="37" t="n"/>
      <x:c r="C78" s="36" t="n">
        <x:f>E78*D$5</x:f>
        <x:v>0</x:v>
      </x:c>
      <x:c r="D78" s="20" t="n"/>
      <x:c r="E78" s="36" t="n">
        <x:f>SUM(G78:HI78)</x:f>
        <x:v>0</x:v>
      </x:c>
      <x:c r="H78" s="302" t="n"/>
      <x:c r="I78" s="302" t="n"/>
      <x:c r="J78" s="302" t="n"/>
      <x:c r="K78" s="302" t="n"/>
      <x:c r="L78" s="302" t="n"/>
      <x:c r="M78" s="302" t="n"/>
      <x:c r="N78" s="302" t="n"/>
      <x:c r="O78" s="302" t="n"/>
      <x:c r="P78" s="302" t="n"/>
      <x:c r="Q78" s="302" t="n"/>
      <x:c r="R78" s="302" t="n"/>
      <x:c r="S78" s="302" t="n"/>
      <x:c r="T78" s="302" t="n"/>
      <x:c r="U78" s="302" t="n"/>
      <x:c r="V78" s="302" t="n"/>
      <x:c r="W78" s="302" t="n"/>
      <x:c r="X78" s="302" t="n"/>
      <x:c r="Y78" s="302" t="n"/>
      <x:c r="Z78" s="302" t="n"/>
      <x:c r="AA78" s="302" t="n"/>
      <x:c r="AB78" s="302" t="n"/>
      <x:c r="AC78" s="302" t="n"/>
      <x:c r="AD78" s="302" t="n"/>
      <x:c r="AE78" s="302" t="n"/>
      <x:c r="AF78" s="302" t="n"/>
      <x:c r="AG78" s="302" t="n"/>
      <x:c r="AH78" s="302" t="n"/>
      <x:c r="AI78" s="302" t="n"/>
      <x:c r="AJ78" s="302" t="n"/>
      <x:c r="AK78" s="302" t="n"/>
      <x:c r="AL78" s="302" t="n"/>
      <x:c r="AM78" s="302" t="n"/>
      <x:c r="AN78" s="302" t="n"/>
      <x:c r="AO78" s="302" t="n"/>
      <x:c r="AP78" s="302" t="n"/>
      <x:c r="AQ78" s="302" t="n"/>
      <x:c r="AR78" s="302" t="n"/>
      <x:c r="AS78" s="302" t="n"/>
      <x:c r="AT78" s="302" t="n"/>
      <x:c r="AU78" s="302" t="n"/>
      <x:c r="AV78" s="302" t="n"/>
      <x:c r="AW78" s="302" t="n"/>
      <x:c r="AX78" s="302" t="n"/>
      <x:c r="AY78" s="302" t="n"/>
      <x:c r="AZ78" s="302" t="n"/>
      <x:c r="BA78" s="302" t="n"/>
      <x:c r="BB78" s="302" t="n"/>
      <x:c r="BC78" s="302" t="n"/>
      <x:c r="BD78" s="302" t="n"/>
      <x:c r="BE78" s="302" t="n"/>
      <x:c r="BF78" s="302" t="n"/>
      <x:c r="BG78" s="302" t="n"/>
      <x:c r="BH78" s="302" t="n"/>
      <x:c r="BI78" s="302" t="n"/>
      <x:c r="BJ78" s="302" t="n"/>
      <x:c r="BK78" s="302" t="n"/>
      <x:c r="BL78" s="302" t="n"/>
      <x:c r="BM78" s="302" t="n"/>
      <x:c r="BN78" s="302" t="n"/>
      <x:c r="BO78" s="302" t="n"/>
      <x:c r="BP78" s="302" t="n"/>
      <x:c r="BQ78" s="302" t="n"/>
      <x:c r="BR78" s="302" t="n"/>
      <x:c r="BS78" s="302" t="n"/>
      <x:c r="BT78" s="302" t="n"/>
      <x:c r="BU78" s="302" t="n"/>
      <x:c r="BV78" s="302" t="n"/>
      <x:c r="BW78" s="302" t="n"/>
      <x:c r="BX78" s="302" t="n"/>
      <x:c r="BY78" s="302" t="n"/>
      <x:c r="BZ78" s="302" t="n"/>
      <x:c r="CA78" s="302" t="n"/>
      <x:c r="CB78" s="302" t="n"/>
      <x:c r="CC78" s="302" t="n"/>
      <x:c r="CD78" s="302" t="n"/>
    </x:row>
    <x:row r="79" s="27" customFormat="1">
      <x:c r="B79" s="37" t="n"/>
      <x:c r="C79" s="36" t="n">
        <x:f>E79*D$5</x:f>
        <x:v>0</x:v>
      </x:c>
      <x:c r="D79" s="20" t="n"/>
      <x:c r="E79" s="36" t="n">
        <x:f>SUM(G79:HI79)</x:f>
        <x:v>0</x:v>
      </x:c>
      <x:c r="H79" s="302" t="n"/>
      <x:c r="I79" s="302" t="n"/>
      <x:c r="J79" s="302" t="n"/>
      <x:c r="K79" s="302" t="n"/>
      <x:c r="L79" s="302" t="n"/>
      <x:c r="M79" s="302" t="n"/>
      <x:c r="N79" s="302" t="n"/>
      <x:c r="O79" s="302" t="n"/>
      <x:c r="P79" s="302" t="n"/>
      <x:c r="Q79" s="302" t="n"/>
      <x:c r="R79" s="302" t="n"/>
      <x:c r="S79" s="302" t="n"/>
      <x:c r="T79" s="302" t="n"/>
      <x:c r="U79" s="302" t="n"/>
      <x:c r="V79" s="302" t="n"/>
      <x:c r="W79" s="302" t="n"/>
      <x:c r="X79" s="302" t="n"/>
      <x:c r="Y79" s="302" t="n"/>
      <x:c r="Z79" s="302" t="n"/>
      <x:c r="AA79" s="302" t="n"/>
      <x:c r="AB79" s="302" t="n"/>
      <x:c r="AC79" s="302" t="n"/>
      <x:c r="AD79" s="302" t="n"/>
      <x:c r="AE79" s="302" t="n"/>
      <x:c r="AF79" s="302" t="n"/>
      <x:c r="AG79" s="302" t="n"/>
      <x:c r="AH79" s="302" t="n"/>
      <x:c r="AI79" s="302" t="n"/>
      <x:c r="AJ79" s="302" t="n"/>
      <x:c r="AK79" s="302" t="n"/>
      <x:c r="AL79" s="302" t="n"/>
      <x:c r="AM79" s="302" t="n"/>
      <x:c r="AN79" s="302" t="n"/>
      <x:c r="AO79" s="302" t="n"/>
      <x:c r="AP79" s="302" t="n"/>
      <x:c r="AQ79" s="302" t="n"/>
      <x:c r="AR79" s="302" t="n"/>
      <x:c r="AS79" s="302" t="n"/>
      <x:c r="AT79" s="302" t="n"/>
      <x:c r="AU79" s="302" t="n"/>
      <x:c r="AV79" s="302" t="n"/>
      <x:c r="AW79" s="302" t="n"/>
      <x:c r="AX79" s="302" t="n"/>
      <x:c r="AY79" s="302" t="n"/>
      <x:c r="AZ79" s="302" t="n"/>
      <x:c r="BA79" s="302" t="n"/>
      <x:c r="BB79" s="302" t="n"/>
      <x:c r="BC79" s="302" t="n"/>
      <x:c r="BD79" s="302" t="n"/>
      <x:c r="BE79" s="302" t="n"/>
      <x:c r="BF79" s="302" t="n"/>
      <x:c r="BG79" s="302" t="n"/>
      <x:c r="BH79" s="302" t="n"/>
      <x:c r="BI79" s="302" t="n"/>
      <x:c r="BJ79" s="302" t="n"/>
      <x:c r="BK79" s="302" t="n"/>
      <x:c r="BL79" s="302" t="n"/>
      <x:c r="BM79" s="302" t="n"/>
      <x:c r="BN79" s="302" t="n"/>
      <x:c r="BO79" s="302" t="n"/>
      <x:c r="BP79" s="302" t="n"/>
      <x:c r="BQ79" s="302" t="n"/>
      <x:c r="BR79" s="302" t="n"/>
      <x:c r="BS79" s="302" t="n"/>
      <x:c r="BT79" s="302" t="n"/>
      <x:c r="BU79" s="302" t="n"/>
      <x:c r="BV79" s="302" t="n"/>
      <x:c r="BW79" s="302" t="n"/>
      <x:c r="BX79" s="302" t="n"/>
      <x:c r="BY79" s="302" t="n"/>
      <x:c r="BZ79" s="302" t="n"/>
      <x:c r="CA79" s="302" t="n"/>
      <x:c r="CB79" s="302" t="n"/>
      <x:c r="CC79" s="302" t="n"/>
      <x:c r="CD79" s="302" t="n"/>
    </x:row>
    <x:row r="80" s="27" customFormat="1">
      <x:c r="B80" s="37" t="n"/>
      <x:c r="C80" s="36" t="n">
        <x:f>E80*D$5</x:f>
        <x:v>0</x:v>
      </x:c>
      <x:c r="D80" s="20" t="n"/>
      <x:c r="E80" s="36" t="n">
        <x:f>SUM(G80:HI80)</x:f>
        <x:v>0</x:v>
      </x:c>
      <x:c r="H80" s="302" t="n"/>
      <x:c r="I80" s="302" t="n"/>
      <x:c r="J80" s="302" t="n"/>
      <x:c r="K80" s="302" t="n"/>
      <x:c r="L80" s="302" t="n"/>
      <x:c r="M80" s="302" t="n"/>
      <x:c r="N80" s="302" t="n"/>
      <x:c r="O80" s="302" t="n"/>
      <x:c r="P80" s="302" t="n"/>
      <x:c r="Q80" s="302" t="n"/>
      <x:c r="R80" s="302" t="n"/>
      <x:c r="S80" s="302" t="n"/>
      <x:c r="T80" s="302" t="n"/>
      <x:c r="U80" s="302" t="n"/>
      <x:c r="V80" s="302" t="n"/>
      <x:c r="W80" s="302" t="n"/>
      <x:c r="X80" s="302" t="n"/>
      <x:c r="Y80" s="302" t="n"/>
      <x:c r="Z80" s="302" t="n"/>
      <x:c r="AA80" s="302" t="n"/>
      <x:c r="AB80" s="302" t="n"/>
      <x:c r="AC80" s="302" t="n"/>
      <x:c r="AD80" s="302" t="n"/>
      <x:c r="AE80" s="302" t="n"/>
      <x:c r="AF80" s="302" t="n"/>
      <x:c r="AG80" s="302" t="n"/>
      <x:c r="AH80" s="302" t="n"/>
      <x:c r="AI80" s="302" t="n"/>
      <x:c r="AJ80" s="302" t="n"/>
      <x:c r="AK80" s="302" t="n"/>
      <x:c r="AL80" s="302" t="n"/>
      <x:c r="AM80" s="302" t="n"/>
      <x:c r="AN80" s="302" t="n"/>
      <x:c r="AO80" s="302" t="n"/>
      <x:c r="AP80" s="302" t="n"/>
      <x:c r="AQ80" s="302" t="n"/>
      <x:c r="AR80" s="302" t="n"/>
      <x:c r="AS80" s="302" t="n"/>
      <x:c r="AT80" s="302" t="n"/>
      <x:c r="AU80" s="302" t="n"/>
      <x:c r="AV80" s="302" t="n"/>
      <x:c r="AW80" s="302" t="n"/>
      <x:c r="AX80" s="302" t="n"/>
      <x:c r="AY80" s="302" t="n"/>
      <x:c r="AZ80" s="302" t="n"/>
      <x:c r="BA80" s="302" t="n"/>
      <x:c r="BB80" s="302" t="n"/>
      <x:c r="BC80" s="302" t="n"/>
      <x:c r="BD80" s="302" t="n"/>
      <x:c r="BE80" s="302" t="n"/>
      <x:c r="BF80" s="302" t="n"/>
      <x:c r="BG80" s="302" t="n"/>
      <x:c r="BH80" s="302" t="n"/>
      <x:c r="BI80" s="302" t="n"/>
      <x:c r="BJ80" s="302" t="n"/>
      <x:c r="BK80" s="302" t="n"/>
      <x:c r="BL80" s="302" t="n"/>
      <x:c r="BM80" s="302" t="n"/>
      <x:c r="BN80" s="302" t="n"/>
      <x:c r="BO80" s="302" t="n"/>
      <x:c r="BP80" s="302" t="n"/>
      <x:c r="BQ80" s="302" t="n"/>
      <x:c r="BR80" s="302" t="n"/>
      <x:c r="BS80" s="302" t="n"/>
      <x:c r="BT80" s="302" t="n"/>
      <x:c r="BU80" s="302" t="n"/>
      <x:c r="BV80" s="302" t="n"/>
      <x:c r="BW80" s="302" t="n"/>
      <x:c r="BX80" s="302" t="n"/>
      <x:c r="BY80" s="302" t="n"/>
      <x:c r="BZ80" s="302" t="n"/>
      <x:c r="CA80" s="302" t="n"/>
      <x:c r="CB80" s="302" t="n"/>
      <x:c r="CC80" s="302" t="n"/>
      <x:c r="CD80" s="302" t="n"/>
    </x:row>
    <x:row r="81" s="27" customFormat="1">
      <x:c r="B81" s="37" t="n"/>
      <x:c r="C81" s="36" t="n">
        <x:f>E81*D$5</x:f>
        <x:v>0</x:v>
      </x:c>
      <x:c r="D81" s="20" t="n"/>
      <x:c r="E81" s="36" t="n">
        <x:f>SUM(G81:HI81)</x:f>
        <x:v>0</x:v>
      </x:c>
      <x:c r="H81" s="302" t="n"/>
      <x:c r="I81" s="302" t="n"/>
      <x:c r="J81" s="302" t="n"/>
      <x:c r="K81" s="302" t="n"/>
      <x:c r="L81" s="302" t="n"/>
      <x:c r="M81" s="302" t="n"/>
      <x:c r="N81" s="302" t="n"/>
      <x:c r="O81" s="302" t="n"/>
      <x:c r="P81" s="302" t="n"/>
      <x:c r="Q81" s="302" t="n"/>
      <x:c r="R81" s="302" t="n"/>
      <x:c r="S81" s="302" t="n"/>
      <x:c r="T81" s="302" t="n"/>
      <x:c r="U81" s="302" t="n"/>
      <x:c r="V81" s="302" t="n"/>
      <x:c r="W81" s="302" t="n"/>
      <x:c r="X81" s="302" t="n"/>
      <x:c r="Y81" s="302" t="n"/>
      <x:c r="Z81" s="302" t="n"/>
      <x:c r="AA81" s="302" t="n"/>
      <x:c r="AB81" s="302" t="n"/>
      <x:c r="AC81" s="302" t="n"/>
      <x:c r="AD81" s="302" t="n"/>
      <x:c r="AE81" s="302" t="n"/>
      <x:c r="AF81" s="302" t="n"/>
      <x:c r="AG81" s="302" t="n"/>
      <x:c r="AH81" s="302" t="n"/>
      <x:c r="AI81" s="302" t="n"/>
      <x:c r="AJ81" s="302" t="n"/>
      <x:c r="AK81" s="302" t="n"/>
      <x:c r="AL81" s="302" t="n"/>
      <x:c r="AM81" s="302" t="n"/>
      <x:c r="AN81" s="302" t="n"/>
      <x:c r="AO81" s="302" t="n"/>
      <x:c r="AP81" s="302" t="n"/>
      <x:c r="AQ81" s="302" t="n"/>
      <x:c r="AR81" s="302" t="n"/>
      <x:c r="AS81" s="302" t="n"/>
      <x:c r="AT81" s="302" t="n"/>
      <x:c r="AU81" s="302" t="n"/>
      <x:c r="AV81" s="302" t="n"/>
      <x:c r="AW81" s="302" t="n"/>
      <x:c r="AX81" s="302" t="n"/>
      <x:c r="AY81" s="302" t="n"/>
      <x:c r="AZ81" s="302" t="n"/>
      <x:c r="BA81" s="302" t="n"/>
      <x:c r="BB81" s="302" t="n"/>
      <x:c r="BC81" s="302" t="n"/>
      <x:c r="BD81" s="302" t="n"/>
      <x:c r="BE81" s="302" t="n"/>
      <x:c r="BF81" s="302" t="n"/>
      <x:c r="BG81" s="302" t="n"/>
      <x:c r="BH81" s="302" t="n"/>
      <x:c r="BI81" s="302" t="n"/>
      <x:c r="BJ81" s="302" t="n"/>
      <x:c r="BK81" s="302" t="n"/>
      <x:c r="BL81" s="302" t="n"/>
      <x:c r="BM81" s="302" t="n"/>
      <x:c r="BN81" s="302" t="n"/>
      <x:c r="BO81" s="302" t="n"/>
      <x:c r="BP81" s="302" t="n"/>
      <x:c r="BQ81" s="302" t="n"/>
      <x:c r="BR81" s="302" t="n"/>
      <x:c r="BS81" s="302" t="n"/>
      <x:c r="BT81" s="302" t="n"/>
      <x:c r="BU81" s="302" t="n"/>
      <x:c r="BV81" s="302" t="n"/>
      <x:c r="BW81" s="302" t="n"/>
      <x:c r="BX81" s="302" t="n"/>
      <x:c r="BY81" s="302" t="n"/>
      <x:c r="BZ81" s="302" t="n"/>
      <x:c r="CA81" s="302" t="n"/>
      <x:c r="CB81" s="302" t="n"/>
      <x:c r="CC81" s="302" t="n"/>
      <x:c r="CD81" s="302" t="n"/>
    </x:row>
    <x:row r="82" s="27" customFormat="1">
      <x:c r="B82" s="37" t="n"/>
      <x:c r="C82" s="36" t="n">
        <x:f>E82*D$5</x:f>
        <x:v>0</x:v>
      </x:c>
      <x:c r="D82" s="20" t="n"/>
      <x:c r="E82" s="36" t="n">
        <x:f>SUM(G82:HI82)</x:f>
        <x:v>0</x:v>
      </x:c>
      <x:c r="H82" s="302" t="n"/>
      <x:c r="I82" s="302" t="n"/>
      <x:c r="J82" s="302" t="n"/>
      <x:c r="K82" s="302" t="n"/>
      <x:c r="L82" s="302" t="n"/>
      <x:c r="M82" s="302" t="n"/>
      <x:c r="N82" s="302" t="n"/>
      <x:c r="O82" s="302" t="n"/>
      <x:c r="P82" s="302" t="n"/>
      <x:c r="Q82" s="302" t="n"/>
      <x:c r="R82" s="302" t="n"/>
      <x:c r="S82" s="302" t="n"/>
      <x:c r="T82" s="302" t="n"/>
      <x:c r="U82" s="302" t="n"/>
      <x:c r="V82" s="302" t="n"/>
      <x:c r="W82" s="302" t="n"/>
      <x:c r="X82" s="302" t="n"/>
      <x:c r="Y82" s="302" t="n"/>
      <x:c r="Z82" s="302" t="n"/>
      <x:c r="AA82" s="302" t="n"/>
      <x:c r="AB82" s="302" t="n"/>
      <x:c r="AC82" s="302" t="n"/>
      <x:c r="AD82" s="302" t="n"/>
      <x:c r="AE82" s="302" t="n"/>
      <x:c r="AF82" s="302" t="n"/>
      <x:c r="AG82" s="302" t="n"/>
      <x:c r="AH82" s="302" t="n"/>
      <x:c r="AI82" s="302" t="n"/>
      <x:c r="AJ82" s="302" t="n"/>
      <x:c r="AK82" s="302" t="n"/>
      <x:c r="AL82" s="302" t="n"/>
      <x:c r="AM82" s="302" t="n"/>
      <x:c r="AN82" s="302" t="n"/>
      <x:c r="AO82" s="302" t="n"/>
      <x:c r="AP82" s="302" t="n"/>
      <x:c r="AQ82" s="302" t="n"/>
      <x:c r="AR82" s="302" t="n"/>
      <x:c r="AS82" s="302" t="n"/>
      <x:c r="AT82" s="302" t="n"/>
      <x:c r="AU82" s="302" t="n"/>
      <x:c r="AV82" s="302" t="n"/>
      <x:c r="AW82" s="302" t="n"/>
      <x:c r="AX82" s="302" t="n"/>
      <x:c r="AY82" s="302" t="n"/>
      <x:c r="AZ82" s="302" t="n"/>
      <x:c r="BA82" s="302" t="n"/>
      <x:c r="BB82" s="302" t="n"/>
      <x:c r="BC82" s="302" t="n"/>
      <x:c r="BD82" s="302" t="n"/>
      <x:c r="BE82" s="302" t="n"/>
      <x:c r="BF82" s="302" t="n"/>
      <x:c r="BG82" s="302" t="n"/>
      <x:c r="BH82" s="302" t="n"/>
      <x:c r="BI82" s="302" t="n"/>
      <x:c r="BJ82" s="302" t="n"/>
      <x:c r="BK82" s="302" t="n"/>
      <x:c r="BL82" s="302" t="n"/>
      <x:c r="BM82" s="302" t="n"/>
      <x:c r="BN82" s="302" t="n"/>
      <x:c r="BO82" s="302" t="n"/>
      <x:c r="BP82" s="302" t="n"/>
      <x:c r="BQ82" s="302" t="n"/>
      <x:c r="BR82" s="302" t="n"/>
      <x:c r="BS82" s="302" t="n"/>
      <x:c r="BT82" s="302" t="n"/>
      <x:c r="BU82" s="302" t="n"/>
      <x:c r="BV82" s="302" t="n"/>
      <x:c r="BW82" s="302" t="n"/>
      <x:c r="BX82" s="302" t="n"/>
      <x:c r="BY82" s="302" t="n"/>
      <x:c r="BZ82" s="302" t="n"/>
      <x:c r="CA82" s="302" t="n"/>
      <x:c r="CB82" s="302" t="n"/>
      <x:c r="CC82" s="302" t="n"/>
      <x:c r="CD82" s="302" t="n"/>
    </x:row>
    <x:row r="83" s="27" customFormat="1">
      <x:c r="B83" s="37" t="n"/>
      <x:c r="C83" s="36" t="n">
        <x:f>E83*D$5</x:f>
        <x:v>0</x:v>
      </x:c>
      <x:c r="D83" s="20" t="n"/>
      <x:c r="E83" s="36" t="n">
        <x:f>SUM(G83:HI83)</x:f>
        <x:v>0</x:v>
      </x:c>
      <x:c r="H83" s="302" t="n"/>
      <x:c r="I83" s="302" t="n"/>
      <x:c r="J83" s="302" t="n"/>
      <x:c r="K83" s="302" t="n"/>
      <x:c r="L83" s="302" t="n"/>
      <x:c r="M83" s="302" t="n"/>
      <x:c r="N83" s="302" t="n"/>
      <x:c r="O83" s="302" t="n"/>
      <x:c r="P83" s="302" t="n"/>
      <x:c r="Q83" s="302" t="n"/>
      <x:c r="R83" s="302" t="n"/>
      <x:c r="S83" s="302" t="n"/>
      <x:c r="T83" s="302" t="n"/>
      <x:c r="U83" s="302" t="n"/>
      <x:c r="V83" s="302" t="n"/>
      <x:c r="W83" s="302" t="n"/>
      <x:c r="X83" s="302" t="n"/>
      <x:c r="Y83" s="302" t="n"/>
      <x:c r="Z83" s="302" t="n"/>
      <x:c r="AA83" s="302" t="n"/>
      <x:c r="AB83" s="302" t="n"/>
      <x:c r="AC83" s="302" t="n"/>
      <x:c r="AD83" s="302" t="n"/>
      <x:c r="AE83" s="302" t="n"/>
      <x:c r="AF83" s="302" t="n"/>
      <x:c r="AG83" s="302" t="n"/>
      <x:c r="AH83" s="302" t="n"/>
      <x:c r="AI83" s="302" t="n"/>
      <x:c r="AJ83" s="302" t="n"/>
      <x:c r="AK83" s="302" t="n"/>
      <x:c r="AL83" s="302" t="n"/>
      <x:c r="AM83" s="302" t="n"/>
      <x:c r="AN83" s="302" t="n"/>
      <x:c r="AO83" s="302" t="n"/>
      <x:c r="AP83" s="302" t="n"/>
      <x:c r="AQ83" s="302" t="n"/>
      <x:c r="AR83" s="302" t="n"/>
      <x:c r="AS83" s="302" t="n"/>
      <x:c r="AT83" s="302" t="n"/>
      <x:c r="AU83" s="302" t="n"/>
      <x:c r="AV83" s="302" t="n"/>
      <x:c r="AW83" s="302" t="n"/>
      <x:c r="AX83" s="302" t="n"/>
      <x:c r="AY83" s="302" t="n"/>
      <x:c r="AZ83" s="302" t="n"/>
      <x:c r="BA83" s="302" t="n"/>
      <x:c r="BB83" s="302" t="n"/>
      <x:c r="BC83" s="302" t="n"/>
      <x:c r="BD83" s="302" t="n"/>
      <x:c r="BE83" s="302" t="n"/>
      <x:c r="BF83" s="302" t="n"/>
      <x:c r="BG83" s="302" t="n"/>
      <x:c r="BH83" s="302" t="n"/>
      <x:c r="BI83" s="302" t="n"/>
      <x:c r="BJ83" s="302" t="n"/>
      <x:c r="BK83" s="302" t="n"/>
      <x:c r="BL83" s="302" t="n"/>
      <x:c r="BM83" s="302" t="n"/>
      <x:c r="BN83" s="302" t="n"/>
      <x:c r="BO83" s="302" t="n"/>
      <x:c r="BP83" s="302" t="n"/>
      <x:c r="BQ83" s="302" t="n"/>
      <x:c r="BR83" s="302" t="n"/>
      <x:c r="BS83" s="302" t="n"/>
      <x:c r="BT83" s="302" t="n"/>
      <x:c r="BU83" s="302" t="n"/>
      <x:c r="BV83" s="302" t="n"/>
      <x:c r="BW83" s="302" t="n"/>
      <x:c r="BX83" s="302" t="n"/>
      <x:c r="BY83" s="302" t="n"/>
      <x:c r="BZ83" s="302" t="n"/>
      <x:c r="CA83" s="302" t="n"/>
      <x:c r="CB83" s="302" t="n"/>
      <x:c r="CC83" s="302" t="n"/>
      <x:c r="CD83" s="302" t="n"/>
    </x:row>
    <x:row r="84" s="27" customFormat="1">
      <x:c r="B84" s="37" t="n"/>
      <x:c r="C84" s="36" t="n">
        <x:f>E84*D$5</x:f>
        <x:v>0</x:v>
      </x:c>
      <x:c r="D84" s="20" t="n"/>
      <x:c r="E84" s="36" t="n">
        <x:f>SUM(G84:HI84)</x:f>
        <x:v>0</x:v>
      </x:c>
      <x:c r="H84" s="302" t="n"/>
      <x:c r="I84" s="302" t="n"/>
      <x:c r="J84" s="302" t="n"/>
      <x:c r="K84" s="302" t="n"/>
      <x:c r="L84" s="302" t="n"/>
      <x:c r="M84" s="302" t="n"/>
      <x:c r="N84" s="302" t="n"/>
      <x:c r="O84" s="302" t="n"/>
      <x:c r="P84" s="302" t="n"/>
      <x:c r="Q84" s="302" t="n"/>
      <x:c r="R84" s="302" t="n"/>
      <x:c r="S84" s="302" t="n"/>
      <x:c r="T84" s="302" t="n"/>
      <x:c r="U84" s="302" t="n"/>
      <x:c r="V84" s="302" t="n"/>
      <x:c r="W84" s="302" t="n"/>
      <x:c r="X84" s="302" t="n"/>
      <x:c r="Y84" s="302" t="n"/>
      <x:c r="Z84" s="302" t="n"/>
      <x:c r="AA84" s="302" t="n"/>
      <x:c r="AB84" s="302" t="n"/>
      <x:c r="AC84" s="302" t="n"/>
      <x:c r="AD84" s="302" t="n"/>
      <x:c r="AE84" s="302" t="n"/>
      <x:c r="AF84" s="302" t="n"/>
      <x:c r="AG84" s="302" t="n"/>
      <x:c r="AH84" s="302" t="n"/>
      <x:c r="AI84" s="302" t="n"/>
      <x:c r="AJ84" s="302" t="n"/>
      <x:c r="AK84" s="302" t="n"/>
      <x:c r="AL84" s="302" t="n"/>
      <x:c r="AM84" s="302" t="n"/>
      <x:c r="AN84" s="302" t="n"/>
      <x:c r="AO84" s="302" t="n"/>
      <x:c r="AP84" s="302" t="n"/>
      <x:c r="AQ84" s="302" t="n"/>
      <x:c r="AR84" s="302" t="n"/>
      <x:c r="AS84" s="302" t="n"/>
      <x:c r="AT84" s="302" t="n"/>
      <x:c r="AU84" s="302" t="n"/>
      <x:c r="AV84" s="302" t="n"/>
      <x:c r="AW84" s="302" t="n"/>
      <x:c r="AX84" s="302" t="n"/>
      <x:c r="AY84" s="302" t="n"/>
      <x:c r="AZ84" s="302" t="n"/>
      <x:c r="BA84" s="302" t="n"/>
      <x:c r="BB84" s="302" t="n"/>
      <x:c r="BC84" s="302" t="n"/>
      <x:c r="BD84" s="302" t="n"/>
      <x:c r="BE84" s="302" t="n"/>
      <x:c r="BF84" s="302" t="n"/>
      <x:c r="BG84" s="302" t="n"/>
      <x:c r="BH84" s="302" t="n"/>
      <x:c r="BI84" s="302" t="n"/>
      <x:c r="BJ84" s="302" t="n"/>
      <x:c r="BK84" s="302" t="n"/>
      <x:c r="BL84" s="302" t="n"/>
      <x:c r="BM84" s="302" t="n"/>
      <x:c r="BN84" s="302" t="n"/>
      <x:c r="BO84" s="302" t="n"/>
      <x:c r="BP84" s="302" t="n"/>
      <x:c r="BQ84" s="302" t="n"/>
      <x:c r="BR84" s="302" t="n"/>
      <x:c r="BS84" s="302" t="n"/>
      <x:c r="BT84" s="302" t="n"/>
      <x:c r="BU84" s="302" t="n"/>
      <x:c r="BV84" s="302" t="n"/>
      <x:c r="BW84" s="302" t="n"/>
      <x:c r="BX84" s="302" t="n"/>
      <x:c r="BY84" s="302" t="n"/>
      <x:c r="BZ84" s="302" t="n"/>
      <x:c r="CA84" s="302" t="n"/>
      <x:c r="CB84" s="302" t="n"/>
      <x:c r="CC84" s="302" t="n"/>
      <x:c r="CD84" s="302" t="n"/>
    </x:row>
    <x:row r="85" s="27" customFormat="1">
      <x:c r="B85" s="37" t="n"/>
      <x:c r="C85" s="36" t="n">
        <x:f>E85*D$5</x:f>
        <x:v>0</x:v>
      </x:c>
      <x:c r="D85" s="20" t="n"/>
      <x:c r="E85" s="36" t="n">
        <x:f>SUM(G85:HI85)</x:f>
        <x:v>0</x:v>
      </x:c>
      <x:c r="H85" s="302" t="n"/>
      <x:c r="I85" s="302" t="n"/>
      <x:c r="J85" s="302" t="n"/>
      <x:c r="K85" s="302" t="n"/>
      <x:c r="L85" s="302" t="n"/>
      <x:c r="M85" s="302" t="n"/>
      <x:c r="N85" s="302" t="n"/>
      <x:c r="O85" s="302" t="n"/>
      <x:c r="P85" s="302" t="n"/>
      <x:c r="Q85" s="302" t="n"/>
      <x:c r="R85" s="302" t="n"/>
      <x:c r="S85" s="302" t="n"/>
      <x:c r="T85" s="302" t="n"/>
      <x:c r="U85" s="302" t="n"/>
      <x:c r="V85" s="302" t="n"/>
      <x:c r="W85" s="302" t="n"/>
      <x:c r="X85" s="302" t="n"/>
      <x:c r="Y85" s="302" t="n"/>
      <x:c r="Z85" s="302" t="n"/>
      <x:c r="AA85" s="302" t="n"/>
      <x:c r="AB85" s="302" t="n"/>
      <x:c r="AC85" s="302" t="n"/>
      <x:c r="AD85" s="302" t="n"/>
      <x:c r="AE85" s="302" t="n"/>
      <x:c r="AF85" s="302" t="n"/>
      <x:c r="AG85" s="302" t="n"/>
      <x:c r="AH85" s="302" t="n"/>
      <x:c r="AI85" s="302" t="n"/>
      <x:c r="AJ85" s="302" t="n"/>
      <x:c r="AK85" s="302" t="n"/>
      <x:c r="AL85" s="302" t="n"/>
      <x:c r="AM85" s="302" t="n"/>
      <x:c r="AN85" s="302" t="n"/>
      <x:c r="AO85" s="302" t="n"/>
      <x:c r="AP85" s="302" t="n"/>
      <x:c r="AQ85" s="302" t="n"/>
      <x:c r="AR85" s="302" t="n"/>
      <x:c r="AS85" s="302" t="n"/>
      <x:c r="AT85" s="302" t="n"/>
      <x:c r="AU85" s="302" t="n"/>
      <x:c r="AV85" s="302" t="n"/>
      <x:c r="AW85" s="302" t="n"/>
      <x:c r="AX85" s="302" t="n"/>
      <x:c r="AY85" s="302" t="n"/>
      <x:c r="AZ85" s="302" t="n"/>
      <x:c r="BA85" s="302" t="n"/>
      <x:c r="BB85" s="302" t="n"/>
      <x:c r="BC85" s="302" t="n"/>
      <x:c r="BD85" s="302" t="n"/>
      <x:c r="BE85" s="302" t="n"/>
      <x:c r="BF85" s="302" t="n"/>
      <x:c r="BG85" s="302" t="n"/>
      <x:c r="BH85" s="302" t="n"/>
      <x:c r="BI85" s="302" t="n"/>
      <x:c r="BJ85" s="302" t="n"/>
      <x:c r="BK85" s="302" t="n"/>
      <x:c r="BL85" s="302" t="n"/>
      <x:c r="BM85" s="302" t="n"/>
      <x:c r="BN85" s="302" t="n"/>
      <x:c r="BO85" s="302" t="n"/>
      <x:c r="BP85" s="302" t="n"/>
      <x:c r="BQ85" s="302" t="n"/>
      <x:c r="BR85" s="302" t="n"/>
      <x:c r="BS85" s="302" t="n"/>
      <x:c r="BT85" s="302" t="n"/>
      <x:c r="BU85" s="302" t="n"/>
      <x:c r="BV85" s="302" t="n"/>
      <x:c r="BW85" s="302" t="n"/>
      <x:c r="BX85" s="302" t="n"/>
      <x:c r="BY85" s="302" t="n"/>
      <x:c r="BZ85" s="302" t="n"/>
      <x:c r="CA85" s="302" t="n"/>
      <x:c r="CB85" s="302" t="n"/>
      <x:c r="CC85" s="302" t="n"/>
      <x:c r="CD85" s="302" t="n"/>
    </x:row>
    <x:row r="86" s="27" customFormat="1">
      <x:c r="B86" s="37" t="n"/>
      <x:c r="C86" s="36" t="n">
        <x:f>E86*D$5</x:f>
        <x:v>0</x:v>
      </x:c>
      <x:c r="D86" s="20" t="n"/>
      <x:c r="E86" s="36" t="n">
        <x:f>SUM(G86:HI86)</x:f>
        <x:v>0</x:v>
      </x:c>
      <x:c r="H86" s="302" t="n"/>
      <x:c r="I86" s="302" t="n"/>
      <x:c r="J86" s="302" t="n"/>
      <x:c r="K86" s="302" t="n"/>
      <x:c r="L86" s="302" t="n"/>
      <x:c r="M86" s="302" t="n"/>
      <x:c r="N86" s="302" t="n"/>
      <x:c r="O86" s="302" t="n"/>
      <x:c r="P86" s="302" t="n"/>
      <x:c r="Q86" s="302" t="n"/>
      <x:c r="R86" s="302" t="n"/>
      <x:c r="S86" s="302" t="n"/>
      <x:c r="T86" s="302" t="n"/>
      <x:c r="U86" s="302" t="n"/>
      <x:c r="V86" s="302" t="n"/>
      <x:c r="W86" s="302" t="n"/>
      <x:c r="X86" s="302" t="n"/>
      <x:c r="Y86" s="302" t="n"/>
      <x:c r="Z86" s="302" t="n"/>
      <x:c r="AA86" s="302" t="n"/>
      <x:c r="AB86" s="302" t="n"/>
      <x:c r="AC86" s="302" t="n"/>
      <x:c r="AD86" s="302" t="n"/>
      <x:c r="AE86" s="302" t="n"/>
      <x:c r="AF86" s="302" t="n"/>
      <x:c r="AG86" s="302" t="n"/>
      <x:c r="AH86" s="302" t="n"/>
      <x:c r="AI86" s="302" t="n"/>
      <x:c r="AJ86" s="302" t="n"/>
      <x:c r="AK86" s="302" t="n"/>
      <x:c r="AL86" s="302" t="n"/>
      <x:c r="AM86" s="302" t="n"/>
      <x:c r="AN86" s="302" t="n"/>
      <x:c r="AO86" s="302" t="n"/>
      <x:c r="AP86" s="302" t="n"/>
      <x:c r="AQ86" s="302" t="n"/>
      <x:c r="AR86" s="302" t="n"/>
      <x:c r="AS86" s="302" t="n"/>
      <x:c r="AT86" s="302" t="n"/>
      <x:c r="AU86" s="302" t="n"/>
      <x:c r="AV86" s="302" t="n"/>
      <x:c r="AW86" s="302" t="n"/>
      <x:c r="AX86" s="302" t="n"/>
      <x:c r="AY86" s="302" t="n"/>
      <x:c r="AZ86" s="302" t="n"/>
      <x:c r="BA86" s="302" t="n"/>
      <x:c r="BB86" s="302" t="n"/>
      <x:c r="BC86" s="302" t="n"/>
      <x:c r="BD86" s="302" t="n"/>
      <x:c r="BE86" s="302" t="n"/>
      <x:c r="BF86" s="302" t="n"/>
      <x:c r="BG86" s="302" t="n"/>
      <x:c r="BH86" s="302" t="n"/>
      <x:c r="BI86" s="302" t="n"/>
      <x:c r="BJ86" s="302" t="n"/>
      <x:c r="BK86" s="302" t="n"/>
      <x:c r="BL86" s="302" t="n"/>
      <x:c r="BM86" s="302" t="n"/>
      <x:c r="BN86" s="302" t="n"/>
      <x:c r="BO86" s="302" t="n"/>
      <x:c r="BP86" s="302" t="n"/>
      <x:c r="BQ86" s="302" t="n"/>
      <x:c r="BR86" s="302" t="n"/>
      <x:c r="BS86" s="302" t="n"/>
      <x:c r="BT86" s="302" t="n"/>
      <x:c r="BU86" s="302" t="n"/>
      <x:c r="BV86" s="302" t="n"/>
      <x:c r="BW86" s="302" t="n"/>
      <x:c r="BX86" s="302" t="n"/>
      <x:c r="BY86" s="302" t="n"/>
      <x:c r="BZ86" s="302" t="n"/>
      <x:c r="CA86" s="302" t="n"/>
      <x:c r="CB86" s="302" t="n"/>
      <x:c r="CC86" s="302" t="n"/>
      <x:c r="CD86" s="302" t="n"/>
    </x:row>
    <x:row r="87" s="27" customFormat="1">
      <x:c r="B87" s="37" t="n"/>
      <x:c r="C87" s="36" t="n">
        <x:f>E87*D$5</x:f>
        <x:v>0</x:v>
      </x:c>
      <x:c r="D87" s="20" t="n"/>
      <x:c r="E87" s="36" t="n">
        <x:f>SUM(G87:HI87)</x:f>
        <x:v>0</x:v>
      </x:c>
      <x:c r="H87" s="302" t="n"/>
      <x:c r="I87" s="302" t="n"/>
      <x:c r="J87" s="302" t="n"/>
      <x:c r="K87" s="302" t="n"/>
      <x:c r="L87" s="302" t="n"/>
      <x:c r="M87" s="302" t="n"/>
      <x:c r="N87" s="302" t="n"/>
      <x:c r="O87" s="302" t="n"/>
      <x:c r="P87" s="302" t="n"/>
      <x:c r="Q87" s="302" t="n"/>
      <x:c r="R87" s="302" t="n"/>
      <x:c r="S87" s="302" t="n"/>
      <x:c r="T87" s="302" t="n"/>
      <x:c r="U87" s="302" t="n"/>
      <x:c r="V87" s="302" t="n"/>
      <x:c r="W87" s="302" t="n"/>
      <x:c r="X87" s="302" t="n"/>
      <x:c r="Y87" s="302" t="n"/>
      <x:c r="Z87" s="302" t="n"/>
      <x:c r="AA87" s="302" t="n"/>
      <x:c r="AB87" s="302" t="n"/>
      <x:c r="AC87" s="302" t="n"/>
      <x:c r="AD87" s="302" t="n"/>
      <x:c r="AE87" s="302" t="n"/>
      <x:c r="AF87" s="302" t="n"/>
      <x:c r="AG87" s="302" t="n"/>
      <x:c r="AH87" s="302" t="n"/>
      <x:c r="AI87" s="302" t="n"/>
      <x:c r="AJ87" s="302" t="n"/>
      <x:c r="AK87" s="302" t="n"/>
      <x:c r="AL87" s="302" t="n"/>
      <x:c r="AM87" s="302" t="n"/>
      <x:c r="AN87" s="302" t="n"/>
      <x:c r="AO87" s="302" t="n"/>
      <x:c r="AP87" s="302" t="n"/>
      <x:c r="AQ87" s="302" t="n"/>
      <x:c r="AR87" s="302" t="n"/>
      <x:c r="AS87" s="302" t="n"/>
      <x:c r="AT87" s="302" t="n"/>
      <x:c r="AU87" s="302" t="n"/>
      <x:c r="AV87" s="302" t="n"/>
      <x:c r="AW87" s="302" t="n"/>
      <x:c r="AX87" s="302" t="n"/>
      <x:c r="AY87" s="302" t="n"/>
      <x:c r="AZ87" s="302" t="n"/>
      <x:c r="BA87" s="302" t="n"/>
      <x:c r="BB87" s="302" t="n"/>
      <x:c r="BC87" s="302" t="n"/>
      <x:c r="BD87" s="302" t="n"/>
      <x:c r="BE87" s="302" t="n"/>
      <x:c r="BF87" s="302" t="n"/>
      <x:c r="BG87" s="302" t="n"/>
      <x:c r="BH87" s="302" t="n"/>
      <x:c r="BI87" s="302" t="n"/>
      <x:c r="BJ87" s="302" t="n"/>
      <x:c r="BK87" s="302" t="n"/>
      <x:c r="BL87" s="302" t="n"/>
      <x:c r="BM87" s="302" t="n"/>
      <x:c r="BN87" s="302" t="n"/>
      <x:c r="BO87" s="302" t="n"/>
      <x:c r="BP87" s="302" t="n"/>
      <x:c r="BQ87" s="302" t="n"/>
      <x:c r="BR87" s="302" t="n"/>
      <x:c r="BS87" s="302" t="n"/>
      <x:c r="BT87" s="302" t="n"/>
      <x:c r="BU87" s="302" t="n"/>
      <x:c r="BV87" s="302" t="n"/>
      <x:c r="BW87" s="302" t="n"/>
      <x:c r="BX87" s="302" t="n"/>
      <x:c r="BY87" s="302" t="n"/>
      <x:c r="BZ87" s="302" t="n"/>
      <x:c r="CA87" s="302" t="n"/>
      <x:c r="CB87" s="302" t="n"/>
      <x:c r="CC87" s="302" t="n"/>
      <x:c r="CD87" s="302" t="n"/>
    </x:row>
    <x:row r="88" s="27" customFormat="1">
      <x:c r="B88" s="37" t="n"/>
      <x:c r="C88" s="36" t="n">
        <x:f>E88*D$5</x:f>
        <x:v>0</x:v>
      </x:c>
      <x:c r="D88" s="20" t="n"/>
      <x:c r="E88" s="36" t="n">
        <x:f>SUM(G88:HI88)</x:f>
        <x:v>0</x:v>
      </x:c>
      <x:c r="H88" s="302" t="n"/>
      <x:c r="I88" s="302" t="n"/>
      <x:c r="J88" s="302" t="n"/>
      <x:c r="K88" s="302" t="n"/>
      <x:c r="L88" s="302" t="n"/>
      <x:c r="M88" s="302" t="n"/>
      <x:c r="N88" s="302" t="n"/>
      <x:c r="O88" s="302" t="n"/>
      <x:c r="P88" s="302" t="n"/>
      <x:c r="Q88" s="302" t="n"/>
      <x:c r="R88" s="302" t="n"/>
      <x:c r="S88" s="302" t="n"/>
      <x:c r="T88" s="302" t="n"/>
      <x:c r="U88" s="302" t="n"/>
      <x:c r="V88" s="302" t="n"/>
      <x:c r="W88" s="302" t="n"/>
      <x:c r="X88" s="302" t="n"/>
      <x:c r="Y88" s="302" t="n"/>
      <x:c r="Z88" s="302" t="n"/>
      <x:c r="AA88" s="302" t="n"/>
      <x:c r="AB88" s="302" t="n"/>
      <x:c r="AC88" s="302" t="n"/>
      <x:c r="AD88" s="302" t="n"/>
      <x:c r="AE88" s="302" t="n"/>
      <x:c r="AF88" s="302" t="n"/>
      <x:c r="AG88" s="302" t="n"/>
      <x:c r="AH88" s="302" t="n"/>
      <x:c r="AI88" s="302" t="n"/>
      <x:c r="AJ88" s="302" t="n"/>
      <x:c r="AK88" s="302" t="n"/>
      <x:c r="AL88" s="302" t="n"/>
      <x:c r="AM88" s="302" t="n"/>
      <x:c r="AN88" s="302" t="n"/>
      <x:c r="AO88" s="302" t="n"/>
      <x:c r="AP88" s="302" t="n"/>
      <x:c r="AQ88" s="302" t="n"/>
      <x:c r="AR88" s="302" t="n"/>
      <x:c r="AS88" s="302" t="n"/>
      <x:c r="AT88" s="302" t="n"/>
      <x:c r="AU88" s="302" t="n"/>
      <x:c r="AV88" s="302" t="n"/>
      <x:c r="AW88" s="302" t="n"/>
      <x:c r="AX88" s="302" t="n"/>
      <x:c r="AY88" s="302" t="n"/>
      <x:c r="AZ88" s="302" t="n"/>
      <x:c r="BA88" s="302" t="n"/>
      <x:c r="BB88" s="302" t="n"/>
      <x:c r="BC88" s="302" t="n"/>
      <x:c r="BD88" s="302" t="n"/>
      <x:c r="BE88" s="302" t="n"/>
      <x:c r="BF88" s="302" t="n"/>
      <x:c r="BG88" s="302" t="n"/>
      <x:c r="BH88" s="302" t="n"/>
      <x:c r="BI88" s="302" t="n"/>
      <x:c r="BJ88" s="302" t="n"/>
      <x:c r="BK88" s="302" t="n"/>
      <x:c r="BL88" s="302" t="n"/>
      <x:c r="BM88" s="302" t="n"/>
      <x:c r="BN88" s="302" t="n"/>
      <x:c r="BO88" s="302" t="n"/>
      <x:c r="BP88" s="302" t="n"/>
      <x:c r="BQ88" s="302" t="n"/>
      <x:c r="BR88" s="302" t="n"/>
      <x:c r="BS88" s="302" t="n"/>
      <x:c r="BT88" s="302" t="n"/>
      <x:c r="BU88" s="302" t="n"/>
      <x:c r="BV88" s="302" t="n"/>
      <x:c r="BW88" s="302" t="n"/>
      <x:c r="BX88" s="302" t="n"/>
      <x:c r="BY88" s="302" t="n"/>
      <x:c r="BZ88" s="302" t="n"/>
      <x:c r="CA88" s="302" t="n"/>
      <x:c r="CB88" s="302" t="n"/>
      <x:c r="CC88" s="302" t="n"/>
      <x:c r="CD88" s="302" t="n"/>
    </x:row>
    <x:row r="89" s="27" customFormat="1">
      <x:c r="B89" s="37" t="n"/>
      <x:c r="C89" s="36" t="n">
        <x:f>E89*D$5</x:f>
        <x:v>0</x:v>
      </x:c>
      <x:c r="D89" s="20" t="n"/>
      <x:c r="E89" s="36" t="n">
        <x:f>SUM(G89:HI89)</x:f>
        <x:v>0</x:v>
      </x:c>
      <x:c r="H89" s="302" t="n"/>
      <x:c r="I89" s="302" t="n"/>
      <x:c r="J89" s="302" t="n"/>
      <x:c r="K89" s="302" t="n"/>
      <x:c r="L89" s="302" t="n"/>
      <x:c r="M89" s="302" t="n"/>
      <x:c r="N89" s="302" t="n"/>
      <x:c r="O89" s="302" t="n"/>
      <x:c r="P89" s="302" t="n"/>
      <x:c r="Q89" s="302" t="n"/>
      <x:c r="R89" s="302" t="n"/>
      <x:c r="S89" s="302" t="n"/>
      <x:c r="T89" s="302" t="n"/>
      <x:c r="U89" s="302" t="n"/>
      <x:c r="V89" s="302" t="n"/>
      <x:c r="W89" s="302" t="n"/>
      <x:c r="X89" s="302" t="n"/>
      <x:c r="Y89" s="302" t="n"/>
      <x:c r="Z89" s="302" t="n"/>
      <x:c r="AA89" s="302" t="n"/>
      <x:c r="AB89" s="302" t="n"/>
      <x:c r="AC89" s="302" t="n"/>
      <x:c r="AD89" s="302" t="n"/>
      <x:c r="AE89" s="302" t="n"/>
      <x:c r="AF89" s="302" t="n"/>
      <x:c r="AG89" s="302" t="n"/>
      <x:c r="AH89" s="302" t="n"/>
      <x:c r="AI89" s="302" t="n"/>
      <x:c r="AJ89" s="302" t="n"/>
      <x:c r="AK89" s="302" t="n"/>
      <x:c r="AL89" s="302" t="n"/>
      <x:c r="AM89" s="302" t="n"/>
      <x:c r="AN89" s="302" t="n"/>
      <x:c r="AO89" s="302" t="n"/>
      <x:c r="AP89" s="302" t="n"/>
      <x:c r="AQ89" s="302" t="n"/>
      <x:c r="AR89" s="302" t="n"/>
      <x:c r="AS89" s="302" t="n"/>
      <x:c r="AT89" s="302" t="n"/>
      <x:c r="AU89" s="302" t="n"/>
      <x:c r="AV89" s="302" t="n"/>
      <x:c r="AW89" s="302" t="n"/>
      <x:c r="AX89" s="302" t="n"/>
      <x:c r="AY89" s="302" t="n"/>
      <x:c r="AZ89" s="302" t="n"/>
      <x:c r="BA89" s="302" t="n"/>
      <x:c r="BB89" s="302" t="n"/>
      <x:c r="BC89" s="302" t="n"/>
      <x:c r="BD89" s="302" t="n"/>
      <x:c r="BE89" s="302" t="n"/>
      <x:c r="BF89" s="302" t="n"/>
      <x:c r="BG89" s="302" t="n"/>
      <x:c r="BH89" s="302" t="n"/>
      <x:c r="BI89" s="302" t="n"/>
      <x:c r="BJ89" s="302" t="n"/>
      <x:c r="BK89" s="302" t="n"/>
      <x:c r="BL89" s="302" t="n"/>
      <x:c r="BM89" s="302" t="n"/>
      <x:c r="BN89" s="302" t="n"/>
      <x:c r="BO89" s="302" t="n"/>
      <x:c r="BP89" s="302" t="n"/>
      <x:c r="BQ89" s="302" t="n"/>
      <x:c r="BR89" s="302" t="n"/>
      <x:c r="BS89" s="302" t="n"/>
      <x:c r="BT89" s="302" t="n"/>
      <x:c r="BU89" s="302" t="n"/>
      <x:c r="BV89" s="302" t="n"/>
      <x:c r="BW89" s="302" t="n"/>
      <x:c r="BX89" s="302" t="n"/>
      <x:c r="BY89" s="302" t="n"/>
      <x:c r="BZ89" s="302" t="n"/>
      <x:c r="CA89" s="302" t="n"/>
      <x:c r="CB89" s="302" t="n"/>
      <x:c r="CC89" s="302" t="n"/>
      <x:c r="CD89" s="302" t="n"/>
    </x:row>
    <x:row r="90" s="27" customFormat="1">
      <x:c r="B90" s="37" t="n"/>
      <x:c r="C90" s="36" t="n">
        <x:f>E90*D$5</x:f>
        <x:v>0</x:v>
      </x:c>
      <x:c r="D90" s="20" t="n"/>
      <x:c r="E90" s="36" t="n">
        <x:f>SUM(G90:HI90)</x:f>
        <x:v>0</x:v>
      </x:c>
      <x:c r="H90" s="302" t="n"/>
      <x:c r="I90" s="302" t="n"/>
      <x:c r="J90" s="302" t="n"/>
      <x:c r="K90" s="302" t="n"/>
      <x:c r="L90" s="302" t="n"/>
      <x:c r="M90" s="302" t="n"/>
      <x:c r="N90" s="302" t="n"/>
      <x:c r="O90" s="302" t="n"/>
      <x:c r="P90" s="302" t="n"/>
      <x:c r="Q90" s="302" t="n"/>
      <x:c r="R90" s="302" t="n"/>
      <x:c r="S90" s="302" t="n"/>
      <x:c r="T90" s="302" t="n"/>
      <x:c r="U90" s="302" t="n"/>
      <x:c r="V90" s="302" t="n"/>
      <x:c r="W90" s="302" t="n"/>
      <x:c r="X90" s="302" t="n"/>
      <x:c r="Y90" s="302" t="n"/>
      <x:c r="Z90" s="302" t="n"/>
      <x:c r="AA90" s="302" t="n"/>
      <x:c r="AB90" s="302" t="n"/>
      <x:c r="AC90" s="302" t="n"/>
      <x:c r="AD90" s="302" t="n"/>
      <x:c r="AE90" s="302" t="n"/>
      <x:c r="AF90" s="302" t="n"/>
      <x:c r="AG90" s="302" t="n"/>
      <x:c r="AH90" s="302" t="n"/>
      <x:c r="AI90" s="302" t="n"/>
      <x:c r="AJ90" s="302" t="n"/>
      <x:c r="AK90" s="302" t="n"/>
      <x:c r="AL90" s="302" t="n"/>
      <x:c r="AM90" s="302" t="n"/>
      <x:c r="AN90" s="302" t="n"/>
      <x:c r="AO90" s="302" t="n"/>
      <x:c r="AP90" s="302" t="n"/>
      <x:c r="AQ90" s="302" t="n"/>
      <x:c r="AR90" s="302" t="n"/>
      <x:c r="AS90" s="302" t="n"/>
      <x:c r="AT90" s="302" t="n"/>
      <x:c r="AU90" s="302" t="n"/>
      <x:c r="AV90" s="302" t="n"/>
      <x:c r="AW90" s="302" t="n"/>
      <x:c r="AX90" s="302" t="n"/>
      <x:c r="AY90" s="302" t="n"/>
      <x:c r="AZ90" s="302" t="n"/>
      <x:c r="BA90" s="302" t="n"/>
      <x:c r="BB90" s="302" t="n"/>
      <x:c r="BC90" s="302" t="n"/>
      <x:c r="BD90" s="302" t="n"/>
      <x:c r="BE90" s="302" t="n"/>
      <x:c r="BF90" s="302" t="n"/>
      <x:c r="BG90" s="302" t="n"/>
      <x:c r="BH90" s="302" t="n"/>
      <x:c r="BI90" s="302" t="n"/>
      <x:c r="BJ90" s="302" t="n"/>
      <x:c r="BK90" s="302" t="n"/>
      <x:c r="BL90" s="302" t="n"/>
      <x:c r="BM90" s="302" t="n"/>
      <x:c r="BN90" s="302" t="n"/>
      <x:c r="BO90" s="302" t="n"/>
      <x:c r="BP90" s="302" t="n"/>
      <x:c r="BQ90" s="302" t="n"/>
      <x:c r="BR90" s="302" t="n"/>
      <x:c r="BS90" s="302" t="n"/>
      <x:c r="BT90" s="302" t="n"/>
      <x:c r="BU90" s="302" t="n"/>
      <x:c r="BV90" s="302" t="n"/>
      <x:c r="BW90" s="302" t="n"/>
      <x:c r="BX90" s="302" t="n"/>
      <x:c r="BY90" s="302" t="n"/>
      <x:c r="BZ90" s="302" t="n"/>
      <x:c r="CA90" s="302" t="n"/>
      <x:c r="CB90" s="302" t="n"/>
      <x:c r="CC90" s="302" t="n"/>
      <x:c r="CD90" s="302" t="n"/>
    </x:row>
    <x:row r="91" s="27" customFormat="1">
      <x:c r="B91" s="37" t="n"/>
      <x:c r="C91" s="36" t="n">
        <x:f>E91*D$5</x:f>
        <x:v>0</x:v>
      </x:c>
      <x:c r="D91" s="20" t="n"/>
      <x:c r="E91" s="36" t="n">
        <x:f>SUM(G91:HI91)</x:f>
        <x:v>0</x:v>
      </x:c>
      <x:c r="H91" s="302" t="n"/>
      <x:c r="I91" s="302" t="n"/>
      <x:c r="J91" s="302" t="n"/>
      <x:c r="K91" s="302" t="n"/>
      <x:c r="L91" s="302" t="n"/>
      <x:c r="M91" s="302" t="n"/>
      <x:c r="N91" s="302" t="n"/>
      <x:c r="O91" s="302" t="n"/>
      <x:c r="P91" s="302" t="n"/>
      <x:c r="Q91" s="302" t="n"/>
      <x:c r="R91" s="302" t="n"/>
      <x:c r="S91" s="302" t="n"/>
      <x:c r="T91" s="302" t="n"/>
      <x:c r="U91" s="302" t="n"/>
      <x:c r="V91" s="302" t="n"/>
      <x:c r="W91" s="302" t="n"/>
      <x:c r="X91" s="302" t="n"/>
      <x:c r="Y91" s="302" t="n"/>
      <x:c r="Z91" s="302" t="n"/>
      <x:c r="AA91" s="302" t="n"/>
      <x:c r="AB91" s="302" t="n"/>
      <x:c r="AC91" s="302" t="n"/>
      <x:c r="AD91" s="302" t="n"/>
      <x:c r="AE91" s="302" t="n"/>
      <x:c r="AF91" s="302" t="n"/>
      <x:c r="AG91" s="302" t="n"/>
      <x:c r="AH91" s="302" t="n"/>
      <x:c r="AI91" s="302" t="n"/>
      <x:c r="AJ91" s="302" t="n"/>
      <x:c r="AK91" s="302" t="n"/>
      <x:c r="AL91" s="302" t="n"/>
      <x:c r="AM91" s="302" t="n"/>
      <x:c r="AN91" s="302" t="n"/>
      <x:c r="AO91" s="302" t="n"/>
      <x:c r="AP91" s="302" t="n"/>
      <x:c r="AQ91" s="302" t="n"/>
      <x:c r="AR91" s="302" t="n"/>
      <x:c r="AS91" s="302" t="n"/>
      <x:c r="AT91" s="302" t="n"/>
      <x:c r="AU91" s="302" t="n"/>
      <x:c r="AV91" s="302" t="n"/>
      <x:c r="AW91" s="302" t="n"/>
      <x:c r="AX91" s="302" t="n"/>
      <x:c r="AY91" s="302" t="n"/>
      <x:c r="AZ91" s="302" t="n"/>
      <x:c r="BA91" s="302" t="n"/>
      <x:c r="BB91" s="302" t="n"/>
      <x:c r="BC91" s="302" t="n"/>
      <x:c r="BD91" s="302" t="n"/>
      <x:c r="BE91" s="302" t="n"/>
      <x:c r="BF91" s="302" t="n"/>
      <x:c r="BG91" s="302" t="n"/>
      <x:c r="BH91" s="302" t="n"/>
      <x:c r="BI91" s="302" t="n"/>
      <x:c r="BJ91" s="302" t="n"/>
      <x:c r="BK91" s="302" t="n"/>
      <x:c r="BL91" s="302" t="n"/>
      <x:c r="BM91" s="302" t="n"/>
      <x:c r="BN91" s="302" t="n"/>
      <x:c r="BO91" s="302" t="n"/>
      <x:c r="BP91" s="302" t="n"/>
      <x:c r="BQ91" s="302" t="n"/>
      <x:c r="BR91" s="302" t="n"/>
      <x:c r="BS91" s="302" t="n"/>
      <x:c r="BT91" s="302" t="n"/>
      <x:c r="BU91" s="302" t="n"/>
      <x:c r="BV91" s="302" t="n"/>
      <x:c r="BW91" s="302" t="n"/>
      <x:c r="BX91" s="302" t="n"/>
      <x:c r="BY91" s="302" t="n"/>
      <x:c r="BZ91" s="302" t="n"/>
      <x:c r="CA91" s="302" t="n"/>
      <x:c r="CB91" s="302" t="n"/>
      <x:c r="CC91" s="302" t="n"/>
      <x:c r="CD91" s="302" t="n"/>
    </x:row>
    <x:row r="92" s="27" customFormat="1">
      <x:c r="B92" s="37" t="n"/>
      <x:c r="C92" s="36" t="n">
        <x:f>E92*D$5</x:f>
        <x:v>0</x:v>
      </x:c>
      <x:c r="D92" s="20" t="n"/>
      <x:c r="E92" s="36" t="n">
        <x:f>SUM(G92:HI92)</x:f>
        <x:v>0</x:v>
      </x:c>
      <x:c r="H92" s="302" t="n"/>
      <x:c r="I92" s="302" t="n"/>
      <x:c r="J92" s="302" t="n"/>
      <x:c r="K92" s="302" t="n"/>
      <x:c r="L92" s="302" t="n"/>
      <x:c r="M92" s="302" t="n"/>
      <x:c r="N92" s="302" t="n"/>
      <x:c r="O92" s="302" t="n"/>
      <x:c r="P92" s="302" t="n"/>
      <x:c r="Q92" s="302" t="n"/>
      <x:c r="R92" s="302" t="n"/>
      <x:c r="S92" s="302" t="n"/>
      <x:c r="T92" s="302" t="n"/>
      <x:c r="U92" s="302" t="n"/>
      <x:c r="V92" s="302" t="n"/>
      <x:c r="W92" s="302" t="n"/>
      <x:c r="X92" s="302" t="n"/>
      <x:c r="Y92" s="302" t="n"/>
      <x:c r="Z92" s="302" t="n"/>
      <x:c r="AA92" s="302" t="n"/>
      <x:c r="AB92" s="302" t="n"/>
      <x:c r="AC92" s="302" t="n"/>
      <x:c r="AD92" s="302" t="n"/>
      <x:c r="AE92" s="302" t="n"/>
      <x:c r="AF92" s="302" t="n"/>
      <x:c r="AG92" s="302" t="n"/>
      <x:c r="AH92" s="302" t="n"/>
      <x:c r="AI92" s="302" t="n"/>
      <x:c r="AJ92" s="302" t="n"/>
      <x:c r="AK92" s="302" t="n"/>
      <x:c r="AL92" s="302" t="n"/>
      <x:c r="AM92" s="302" t="n"/>
      <x:c r="AN92" s="302" t="n"/>
      <x:c r="AO92" s="302" t="n"/>
      <x:c r="AP92" s="302" t="n"/>
      <x:c r="AQ92" s="302" t="n"/>
      <x:c r="AR92" s="302" t="n"/>
      <x:c r="AS92" s="302" t="n"/>
      <x:c r="AT92" s="302" t="n"/>
      <x:c r="AU92" s="302" t="n"/>
      <x:c r="AV92" s="302" t="n"/>
      <x:c r="AW92" s="302" t="n"/>
      <x:c r="AX92" s="302" t="n"/>
      <x:c r="AY92" s="302" t="n"/>
      <x:c r="AZ92" s="302" t="n"/>
      <x:c r="BA92" s="302" t="n"/>
      <x:c r="BB92" s="302" t="n"/>
      <x:c r="BC92" s="302" t="n"/>
      <x:c r="BD92" s="302" t="n"/>
      <x:c r="BE92" s="302" t="n"/>
      <x:c r="BF92" s="302" t="n"/>
      <x:c r="BG92" s="302" t="n"/>
      <x:c r="BH92" s="302" t="n"/>
      <x:c r="BI92" s="302" t="n"/>
      <x:c r="BJ92" s="302" t="n"/>
      <x:c r="BK92" s="302" t="n"/>
      <x:c r="BL92" s="302" t="n"/>
      <x:c r="BM92" s="302" t="n"/>
      <x:c r="BN92" s="302" t="n"/>
      <x:c r="BO92" s="302" t="n"/>
      <x:c r="BP92" s="302" t="n"/>
      <x:c r="BQ92" s="302" t="n"/>
      <x:c r="BR92" s="302" t="n"/>
      <x:c r="BS92" s="302" t="n"/>
      <x:c r="BT92" s="302" t="n"/>
      <x:c r="BU92" s="302" t="n"/>
      <x:c r="BV92" s="302" t="n"/>
      <x:c r="BW92" s="302" t="n"/>
      <x:c r="BX92" s="302" t="n"/>
      <x:c r="BY92" s="302" t="n"/>
      <x:c r="BZ92" s="302" t="n"/>
      <x:c r="CA92" s="302" t="n"/>
      <x:c r="CB92" s="302" t="n"/>
      <x:c r="CC92" s="302" t="n"/>
      <x:c r="CD92" s="302" t="n"/>
    </x:row>
    <x:row r="93" s="27" customFormat="1">
      <x:c r="B93" s="37" t="n"/>
      <x:c r="C93" s="36" t="n">
        <x:f>E93*D$5</x:f>
        <x:v>0</x:v>
      </x:c>
      <x:c r="D93" s="20" t="n"/>
      <x:c r="E93" s="36" t="n">
        <x:f>SUM(G93:HI93)</x:f>
        <x:v>0</x:v>
      </x:c>
      <x:c r="H93" s="302" t="n"/>
      <x:c r="I93" s="302" t="n"/>
      <x:c r="J93" s="302" t="n"/>
      <x:c r="K93" s="302" t="n"/>
      <x:c r="L93" s="302" t="n"/>
      <x:c r="M93" s="302" t="n"/>
      <x:c r="N93" s="302" t="n"/>
      <x:c r="O93" s="302" t="n"/>
      <x:c r="P93" s="302" t="n"/>
      <x:c r="Q93" s="302" t="n"/>
      <x:c r="R93" s="302" t="n"/>
      <x:c r="S93" s="302" t="n"/>
      <x:c r="T93" s="302" t="n"/>
      <x:c r="U93" s="302" t="n"/>
      <x:c r="V93" s="302" t="n"/>
      <x:c r="W93" s="302" t="n"/>
      <x:c r="X93" s="302" t="n"/>
      <x:c r="Y93" s="302" t="n"/>
      <x:c r="Z93" s="302" t="n"/>
      <x:c r="AA93" s="302" t="n"/>
      <x:c r="AB93" s="302" t="n"/>
      <x:c r="AC93" s="302" t="n"/>
      <x:c r="AD93" s="302" t="n"/>
      <x:c r="AE93" s="302" t="n"/>
      <x:c r="AF93" s="302" t="n"/>
      <x:c r="AG93" s="302" t="n"/>
      <x:c r="AH93" s="302" t="n"/>
      <x:c r="AI93" s="302" t="n"/>
      <x:c r="AJ93" s="302" t="n"/>
      <x:c r="AK93" s="302" t="n"/>
      <x:c r="AL93" s="302" t="n"/>
      <x:c r="AM93" s="302" t="n"/>
      <x:c r="AN93" s="302" t="n"/>
      <x:c r="AO93" s="302" t="n"/>
      <x:c r="AP93" s="302" t="n"/>
      <x:c r="AQ93" s="302" t="n"/>
      <x:c r="AR93" s="302" t="n"/>
      <x:c r="AS93" s="302" t="n"/>
      <x:c r="AT93" s="302" t="n"/>
      <x:c r="AU93" s="302" t="n"/>
      <x:c r="AV93" s="302" t="n"/>
      <x:c r="AW93" s="302" t="n"/>
      <x:c r="AX93" s="302" t="n"/>
      <x:c r="AY93" s="302" t="n"/>
      <x:c r="AZ93" s="302" t="n"/>
      <x:c r="BA93" s="302" t="n"/>
      <x:c r="BB93" s="302" t="n"/>
      <x:c r="BC93" s="302" t="n"/>
      <x:c r="BD93" s="302" t="n"/>
      <x:c r="BE93" s="302" t="n"/>
      <x:c r="BF93" s="302" t="n"/>
      <x:c r="BG93" s="302" t="n"/>
      <x:c r="BH93" s="302" t="n"/>
      <x:c r="BI93" s="302" t="n"/>
      <x:c r="BJ93" s="302" t="n"/>
      <x:c r="BK93" s="302" t="n"/>
      <x:c r="BL93" s="302" t="n"/>
      <x:c r="BM93" s="302" t="n"/>
      <x:c r="BN93" s="302" t="n"/>
      <x:c r="BO93" s="302" t="n"/>
      <x:c r="BP93" s="302" t="n"/>
      <x:c r="BQ93" s="302" t="n"/>
      <x:c r="BR93" s="302" t="n"/>
      <x:c r="BS93" s="302" t="n"/>
      <x:c r="BT93" s="302" t="n"/>
      <x:c r="BU93" s="302" t="n"/>
      <x:c r="BV93" s="302" t="n"/>
      <x:c r="BW93" s="302" t="n"/>
      <x:c r="BX93" s="302" t="n"/>
      <x:c r="BY93" s="302" t="n"/>
      <x:c r="BZ93" s="302" t="n"/>
      <x:c r="CA93" s="302" t="n"/>
      <x:c r="CB93" s="302" t="n"/>
      <x:c r="CC93" s="302" t="n"/>
      <x:c r="CD93" s="302" t="n"/>
    </x:row>
    <x:row r="94" s="27" customFormat="1">
      <x:c r="B94" s="37" t="n"/>
      <x:c r="C94" s="36" t="n">
        <x:f>E94*D$5</x:f>
        <x:v>0</x:v>
      </x:c>
      <x:c r="D94" s="20" t="n"/>
      <x:c r="E94" s="36" t="n">
        <x:f>SUM(G94:HI94)</x:f>
        <x:v>0</x:v>
      </x:c>
      <x:c r="H94" s="302" t="n"/>
      <x:c r="I94" s="302" t="n"/>
      <x:c r="J94" s="302" t="n"/>
      <x:c r="K94" s="302" t="n"/>
      <x:c r="L94" s="302" t="n"/>
      <x:c r="M94" s="302" t="n"/>
      <x:c r="N94" s="302" t="n"/>
      <x:c r="O94" s="302" t="n"/>
      <x:c r="P94" s="302" t="n"/>
      <x:c r="Q94" s="302" t="n"/>
      <x:c r="R94" s="302" t="n"/>
      <x:c r="S94" s="302" t="n"/>
      <x:c r="T94" s="302" t="n"/>
      <x:c r="U94" s="302" t="n"/>
      <x:c r="V94" s="302" t="n"/>
      <x:c r="W94" s="302" t="n"/>
      <x:c r="X94" s="302" t="n"/>
      <x:c r="Y94" s="302" t="n"/>
      <x:c r="Z94" s="302" t="n"/>
      <x:c r="AA94" s="302" t="n"/>
      <x:c r="AB94" s="302" t="n"/>
      <x:c r="AC94" s="302" t="n"/>
      <x:c r="AD94" s="302" t="n"/>
      <x:c r="AE94" s="302" t="n"/>
      <x:c r="AF94" s="302" t="n"/>
      <x:c r="AG94" s="302" t="n"/>
      <x:c r="AH94" s="302" t="n"/>
      <x:c r="AI94" s="302" t="n"/>
      <x:c r="AJ94" s="302" t="n"/>
      <x:c r="AK94" s="302" t="n"/>
      <x:c r="AL94" s="302" t="n"/>
      <x:c r="AM94" s="302" t="n"/>
      <x:c r="AN94" s="302" t="n"/>
      <x:c r="AO94" s="302" t="n"/>
      <x:c r="AP94" s="302" t="n"/>
      <x:c r="AQ94" s="302" t="n"/>
      <x:c r="AR94" s="302" t="n"/>
      <x:c r="AS94" s="302" t="n"/>
      <x:c r="AT94" s="302" t="n"/>
      <x:c r="AU94" s="302" t="n"/>
      <x:c r="AV94" s="302" t="n"/>
      <x:c r="AW94" s="302" t="n"/>
      <x:c r="AX94" s="302" t="n"/>
      <x:c r="AY94" s="302" t="n"/>
      <x:c r="AZ94" s="302" t="n"/>
      <x:c r="BA94" s="302" t="n"/>
      <x:c r="BB94" s="302" t="n"/>
      <x:c r="BC94" s="302" t="n"/>
      <x:c r="BD94" s="302" t="n"/>
      <x:c r="BE94" s="302" t="n"/>
      <x:c r="BF94" s="302" t="n"/>
      <x:c r="BG94" s="302" t="n"/>
      <x:c r="BH94" s="302" t="n"/>
      <x:c r="BI94" s="302" t="n"/>
      <x:c r="BJ94" s="302" t="n"/>
      <x:c r="BK94" s="302" t="n"/>
      <x:c r="BL94" s="302" t="n"/>
      <x:c r="BM94" s="302" t="n"/>
      <x:c r="BN94" s="302" t="n"/>
      <x:c r="BO94" s="302" t="n"/>
      <x:c r="BP94" s="302" t="n"/>
      <x:c r="BQ94" s="302" t="n"/>
      <x:c r="BR94" s="302" t="n"/>
      <x:c r="BS94" s="302" t="n"/>
      <x:c r="BT94" s="302" t="n"/>
      <x:c r="BU94" s="302" t="n"/>
      <x:c r="BV94" s="302" t="n"/>
      <x:c r="BW94" s="302" t="n"/>
      <x:c r="BX94" s="302" t="n"/>
      <x:c r="BY94" s="302" t="n"/>
      <x:c r="BZ94" s="302" t="n"/>
      <x:c r="CA94" s="302" t="n"/>
      <x:c r="CB94" s="302" t="n"/>
      <x:c r="CC94" s="302" t="n"/>
      <x:c r="CD94" s="302" t="n"/>
    </x:row>
    <x:row r="95" s="27" customFormat="1">
      <x:c r="B95" s="37" t="n"/>
      <x:c r="C95" s="36" t="n">
        <x:f>E95*D$5</x:f>
        <x:v>0</x:v>
      </x:c>
      <x:c r="D95" s="20" t="n"/>
      <x:c r="E95" s="36" t="n">
        <x:f>SUM(G95:HI95)</x:f>
        <x:v>0</x:v>
      </x:c>
      <x:c r="H95" s="302" t="n"/>
      <x:c r="I95" s="302" t="n"/>
      <x:c r="J95" s="302" t="n"/>
      <x:c r="K95" s="302" t="n"/>
      <x:c r="L95" s="302" t="n"/>
      <x:c r="M95" s="302" t="n"/>
      <x:c r="N95" s="302" t="n"/>
      <x:c r="O95" s="302" t="n"/>
      <x:c r="P95" s="302" t="n"/>
      <x:c r="Q95" s="302" t="n"/>
      <x:c r="R95" s="302" t="n"/>
      <x:c r="S95" s="302" t="n"/>
      <x:c r="T95" s="302" t="n"/>
      <x:c r="U95" s="302" t="n"/>
      <x:c r="V95" s="302" t="n"/>
      <x:c r="W95" s="302" t="n"/>
      <x:c r="X95" s="302" t="n"/>
      <x:c r="Y95" s="302" t="n"/>
      <x:c r="Z95" s="302" t="n"/>
      <x:c r="AA95" s="302" t="n"/>
      <x:c r="AB95" s="302" t="n"/>
      <x:c r="AC95" s="302" t="n"/>
      <x:c r="AD95" s="302" t="n"/>
      <x:c r="AE95" s="302" t="n"/>
      <x:c r="AF95" s="302" t="n"/>
      <x:c r="AG95" s="302" t="n"/>
      <x:c r="AH95" s="302" t="n"/>
      <x:c r="AI95" s="302" t="n"/>
      <x:c r="AJ95" s="302" t="n"/>
      <x:c r="AK95" s="302" t="n"/>
      <x:c r="AL95" s="302" t="n"/>
      <x:c r="AM95" s="302" t="n"/>
      <x:c r="AN95" s="302" t="n"/>
      <x:c r="AO95" s="302" t="n"/>
      <x:c r="AP95" s="302" t="n"/>
      <x:c r="AQ95" s="302" t="n"/>
      <x:c r="AR95" s="302" t="n"/>
      <x:c r="AS95" s="302" t="n"/>
      <x:c r="AT95" s="302" t="n"/>
      <x:c r="AU95" s="302" t="n"/>
      <x:c r="AV95" s="302" t="n"/>
      <x:c r="AW95" s="302" t="n"/>
      <x:c r="AX95" s="302" t="n"/>
      <x:c r="AY95" s="302" t="n"/>
      <x:c r="AZ95" s="302" t="n"/>
      <x:c r="BA95" s="302" t="n"/>
      <x:c r="BB95" s="302" t="n"/>
      <x:c r="BC95" s="302" t="n"/>
      <x:c r="BD95" s="302" t="n"/>
      <x:c r="BE95" s="302" t="n"/>
      <x:c r="BF95" s="302" t="n"/>
      <x:c r="BG95" s="302" t="n"/>
      <x:c r="BH95" s="302" t="n"/>
      <x:c r="BI95" s="302" t="n"/>
      <x:c r="BJ95" s="302" t="n"/>
      <x:c r="BK95" s="302" t="n"/>
      <x:c r="BL95" s="302" t="n"/>
      <x:c r="BM95" s="302" t="n"/>
      <x:c r="BN95" s="302" t="n"/>
      <x:c r="BO95" s="302" t="n"/>
      <x:c r="BP95" s="302" t="n"/>
      <x:c r="BQ95" s="302" t="n"/>
      <x:c r="BR95" s="302" t="n"/>
      <x:c r="BS95" s="302" t="n"/>
      <x:c r="BT95" s="302" t="n"/>
      <x:c r="BU95" s="302" t="n"/>
      <x:c r="BV95" s="302" t="n"/>
      <x:c r="BW95" s="302" t="n"/>
      <x:c r="BX95" s="302" t="n"/>
      <x:c r="BY95" s="302" t="n"/>
      <x:c r="BZ95" s="302" t="n"/>
      <x:c r="CA95" s="302" t="n"/>
      <x:c r="CB95" s="302" t="n"/>
      <x:c r="CC95" s="302" t="n"/>
      <x:c r="CD95" s="302" t="n"/>
    </x:row>
    <x:row r="96" s="27" customFormat="1">
      <x:c r="B96" s="37" t="n"/>
      <x:c r="C96" s="36" t="n">
        <x:f>E96*D$5</x:f>
        <x:v>0</x:v>
      </x:c>
      <x:c r="D96" s="20" t="n"/>
      <x:c r="E96" s="36" t="n">
        <x:f>SUM(G96:HI96)</x:f>
        <x:v>0</x:v>
      </x:c>
      <x:c r="H96" s="302" t="n"/>
      <x:c r="I96" s="302" t="n"/>
      <x:c r="J96" s="302" t="n"/>
      <x:c r="K96" s="302" t="n"/>
      <x:c r="L96" s="302" t="n"/>
      <x:c r="M96" s="302" t="n"/>
      <x:c r="N96" s="302" t="n"/>
      <x:c r="O96" s="302" t="n"/>
      <x:c r="P96" s="302" t="n"/>
      <x:c r="Q96" s="302" t="n"/>
      <x:c r="R96" s="302" t="n"/>
      <x:c r="S96" s="302" t="n"/>
      <x:c r="T96" s="302" t="n"/>
      <x:c r="U96" s="302" t="n"/>
      <x:c r="V96" s="302" t="n"/>
      <x:c r="W96" s="302" t="n"/>
      <x:c r="X96" s="302" t="n"/>
      <x:c r="Y96" s="302" t="n"/>
      <x:c r="Z96" s="302" t="n"/>
      <x:c r="AA96" s="302" t="n"/>
      <x:c r="AB96" s="302" t="n"/>
      <x:c r="AC96" s="302" t="n"/>
      <x:c r="AD96" s="302" t="n"/>
      <x:c r="AE96" s="302" t="n"/>
      <x:c r="AF96" s="302" t="n"/>
      <x:c r="AG96" s="302" t="n"/>
      <x:c r="AH96" s="302" t="n"/>
      <x:c r="AI96" s="302" t="n"/>
      <x:c r="AJ96" s="302" t="n"/>
      <x:c r="AK96" s="302" t="n"/>
      <x:c r="AL96" s="302" t="n"/>
      <x:c r="AM96" s="302" t="n"/>
      <x:c r="AN96" s="302" t="n"/>
      <x:c r="AO96" s="302" t="n"/>
      <x:c r="AP96" s="302" t="n"/>
      <x:c r="AQ96" s="302" t="n"/>
      <x:c r="AR96" s="302" t="n"/>
      <x:c r="AS96" s="302" t="n"/>
      <x:c r="AT96" s="302" t="n"/>
      <x:c r="AU96" s="302" t="n"/>
      <x:c r="AV96" s="302" t="n"/>
      <x:c r="AW96" s="302" t="n"/>
      <x:c r="AX96" s="302" t="n"/>
      <x:c r="AY96" s="302" t="n"/>
      <x:c r="AZ96" s="302" t="n"/>
      <x:c r="BA96" s="302" t="n"/>
      <x:c r="BB96" s="302" t="n"/>
      <x:c r="BC96" s="302" t="n"/>
      <x:c r="BD96" s="302" t="n"/>
      <x:c r="BE96" s="302" t="n"/>
      <x:c r="BF96" s="302" t="n"/>
      <x:c r="BG96" s="302" t="n"/>
      <x:c r="BH96" s="302" t="n"/>
      <x:c r="BI96" s="302" t="n"/>
      <x:c r="BJ96" s="302" t="n"/>
      <x:c r="BK96" s="302" t="n"/>
      <x:c r="BL96" s="302" t="n"/>
      <x:c r="BM96" s="302" t="n"/>
      <x:c r="BN96" s="302" t="n"/>
      <x:c r="BO96" s="302" t="n"/>
      <x:c r="BP96" s="302" t="n"/>
      <x:c r="BQ96" s="302" t="n"/>
      <x:c r="BR96" s="302" t="n"/>
      <x:c r="BS96" s="302" t="n"/>
      <x:c r="BT96" s="302" t="n"/>
      <x:c r="BU96" s="302" t="n"/>
      <x:c r="BV96" s="302" t="n"/>
      <x:c r="BW96" s="302" t="n"/>
      <x:c r="BX96" s="302" t="n"/>
      <x:c r="BY96" s="302" t="n"/>
      <x:c r="BZ96" s="302" t="n"/>
      <x:c r="CA96" s="302" t="n"/>
      <x:c r="CB96" s="302" t="n"/>
      <x:c r="CC96" s="302" t="n"/>
      <x:c r="CD96" s="302" t="n"/>
    </x:row>
    <x:row r="97" s="27" customFormat="1">
      <x:c r="B97" s="37" t="n"/>
      <x:c r="C97" s="36" t="n">
        <x:f>E97*D$5</x:f>
        <x:v>0</x:v>
      </x:c>
      <x:c r="D97" s="20" t="n"/>
      <x:c r="E97" s="36" t="n">
        <x:f>SUM(G97:HI97)</x:f>
        <x:v>0</x:v>
      </x:c>
      <x:c r="H97" s="302" t="n"/>
      <x:c r="I97" s="302" t="n"/>
      <x:c r="J97" s="302" t="n"/>
      <x:c r="K97" s="302" t="n"/>
      <x:c r="L97" s="302" t="n"/>
      <x:c r="M97" s="302" t="n"/>
      <x:c r="N97" s="302" t="n"/>
      <x:c r="O97" s="302" t="n"/>
      <x:c r="P97" s="302" t="n"/>
      <x:c r="Q97" s="302" t="n"/>
      <x:c r="R97" s="302" t="n"/>
      <x:c r="S97" s="302" t="n"/>
      <x:c r="T97" s="302" t="n"/>
      <x:c r="U97" s="302" t="n"/>
      <x:c r="V97" s="302" t="n"/>
      <x:c r="W97" s="302" t="n"/>
      <x:c r="X97" s="302" t="n"/>
      <x:c r="Y97" s="302" t="n"/>
      <x:c r="Z97" s="302" t="n"/>
      <x:c r="AA97" s="302" t="n"/>
      <x:c r="AB97" s="302" t="n"/>
      <x:c r="AC97" s="302" t="n"/>
      <x:c r="AD97" s="302" t="n"/>
      <x:c r="AE97" s="302" t="n"/>
      <x:c r="AF97" s="302" t="n"/>
      <x:c r="AG97" s="302" t="n"/>
      <x:c r="AH97" s="302" t="n"/>
      <x:c r="AI97" s="302" t="n"/>
      <x:c r="AJ97" s="302" t="n"/>
      <x:c r="AK97" s="302" t="n"/>
      <x:c r="AL97" s="302" t="n"/>
      <x:c r="AM97" s="302" t="n"/>
      <x:c r="AN97" s="302" t="n"/>
      <x:c r="AO97" s="302" t="n"/>
      <x:c r="AP97" s="302" t="n"/>
      <x:c r="AQ97" s="302" t="n"/>
      <x:c r="AR97" s="302" t="n"/>
      <x:c r="AS97" s="302" t="n"/>
      <x:c r="AT97" s="302" t="n"/>
      <x:c r="AU97" s="302" t="n"/>
      <x:c r="AV97" s="302" t="n"/>
      <x:c r="AW97" s="302" t="n"/>
      <x:c r="AX97" s="302" t="n"/>
      <x:c r="AY97" s="302" t="n"/>
      <x:c r="AZ97" s="302" t="n"/>
      <x:c r="BA97" s="302" t="n"/>
      <x:c r="BB97" s="302" t="n"/>
      <x:c r="BC97" s="302" t="n"/>
      <x:c r="BD97" s="302" t="n"/>
      <x:c r="BE97" s="302" t="n"/>
      <x:c r="BF97" s="302" t="n"/>
      <x:c r="BG97" s="302" t="n"/>
      <x:c r="BH97" s="302" t="n"/>
      <x:c r="BI97" s="302" t="n"/>
      <x:c r="BJ97" s="302" t="n"/>
      <x:c r="BK97" s="302" t="n"/>
      <x:c r="BL97" s="302" t="n"/>
      <x:c r="BM97" s="302" t="n"/>
      <x:c r="BN97" s="302" t="n"/>
      <x:c r="BO97" s="302" t="n"/>
      <x:c r="BP97" s="302" t="n"/>
      <x:c r="BQ97" s="302" t="n"/>
      <x:c r="BR97" s="302" t="n"/>
      <x:c r="BS97" s="302" t="n"/>
      <x:c r="BT97" s="302" t="n"/>
      <x:c r="BU97" s="302" t="n"/>
      <x:c r="BV97" s="302" t="n"/>
      <x:c r="BW97" s="302" t="n"/>
      <x:c r="BX97" s="302" t="n"/>
      <x:c r="BY97" s="302" t="n"/>
      <x:c r="BZ97" s="302" t="n"/>
      <x:c r="CA97" s="302" t="n"/>
      <x:c r="CB97" s="302" t="n"/>
      <x:c r="CC97" s="302" t="n"/>
      <x:c r="CD97" s="302" t="n"/>
    </x:row>
    <x:row r="98" s="27" customFormat="1">
      <x:c r="B98" s="37" t="n"/>
      <x:c r="C98" s="36" t="n">
        <x:f>E98*D$5</x:f>
        <x:v>0</x:v>
      </x:c>
      <x:c r="D98" s="20" t="n"/>
      <x:c r="E98" s="36" t="n">
        <x:f>SUM(G98:HI98)</x:f>
        <x:v>0</x:v>
      </x:c>
      <x:c r="H98" s="302" t="n"/>
      <x:c r="I98" s="302" t="n"/>
      <x:c r="J98" s="302" t="n"/>
      <x:c r="K98" s="302" t="n"/>
      <x:c r="L98" s="302" t="n"/>
      <x:c r="M98" s="302" t="n"/>
      <x:c r="N98" s="302" t="n"/>
      <x:c r="O98" s="302" t="n"/>
      <x:c r="P98" s="302" t="n"/>
      <x:c r="Q98" s="302" t="n"/>
      <x:c r="R98" s="302" t="n"/>
      <x:c r="S98" s="302" t="n"/>
      <x:c r="T98" s="302" t="n"/>
      <x:c r="U98" s="302" t="n"/>
      <x:c r="V98" s="302" t="n"/>
      <x:c r="W98" s="302" t="n"/>
      <x:c r="X98" s="302" t="n"/>
      <x:c r="Y98" s="302" t="n"/>
      <x:c r="Z98" s="302" t="n"/>
      <x:c r="AA98" s="302" t="n"/>
      <x:c r="AB98" s="302" t="n"/>
      <x:c r="AC98" s="302" t="n"/>
      <x:c r="AD98" s="302" t="n"/>
      <x:c r="AE98" s="302" t="n"/>
      <x:c r="AF98" s="302" t="n"/>
      <x:c r="AG98" s="302" t="n"/>
      <x:c r="AH98" s="302" t="n"/>
      <x:c r="AI98" s="302" t="n"/>
      <x:c r="AJ98" s="302" t="n"/>
      <x:c r="AK98" s="302" t="n"/>
      <x:c r="AL98" s="302" t="n"/>
      <x:c r="AM98" s="302" t="n"/>
      <x:c r="AN98" s="302" t="n"/>
      <x:c r="AO98" s="302" t="n"/>
      <x:c r="AP98" s="302" t="n"/>
      <x:c r="AQ98" s="302" t="n"/>
      <x:c r="AR98" s="302" t="n"/>
      <x:c r="AS98" s="302" t="n"/>
      <x:c r="AT98" s="302" t="n"/>
      <x:c r="AU98" s="302" t="n"/>
      <x:c r="AV98" s="302" t="n"/>
      <x:c r="AW98" s="302" t="n"/>
      <x:c r="AX98" s="302" t="n"/>
      <x:c r="AY98" s="302" t="n"/>
      <x:c r="AZ98" s="302" t="n"/>
      <x:c r="BA98" s="302" t="n"/>
      <x:c r="BB98" s="302" t="n"/>
      <x:c r="BC98" s="302" t="n"/>
      <x:c r="BD98" s="302" t="n"/>
      <x:c r="BE98" s="302" t="n"/>
      <x:c r="BF98" s="302" t="n"/>
      <x:c r="BG98" s="302" t="n"/>
      <x:c r="BH98" s="302" t="n"/>
      <x:c r="BI98" s="302" t="n"/>
      <x:c r="BJ98" s="302" t="n"/>
      <x:c r="BK98" s="302" t="n"/>
      <x:c r="BL98" s="302" t="n"/>
      <x:c r="BM98" s="302" t="n"/>
      <x:c r="BN98" s="302" t="n"/>
      <x:c r="BO98" s="302" t="n"/>
      <x:c r="BP98" s="302" t="n"/>
      <x:c r="BQ98" s="302" t="n"/>
      <x:c r="BR98" s="302" t="n"/>
      <x:c r="BS98" s="302" t="n"/>
      <x:c r="BT98" s="302" t="n"/>
      <x:c r="BU98" s="302" t="n"/>
      <x:c r="BV98" s="302" t="n"/>
      <x:c r="BW98" s="302" t="n"/>
      <x:c r="BX98" s="302" t="n"/>
      <x:c r="BY98" s="302" t="n"/>
      <x:c r="BZ98" s="302" t="n"/>
      <x:c r="CA98" s="302" t="n"/>
      <x:c r="CB98" s="302" t="n"/>
      <x:c r="CC98" s="302" t="n"/>
      <x:c r="CD98" s="302" t="n"/>
    </x:row>
    <x:row r="99" s="27" customFormat="1">
      <x:c r="B99" s="37" t="n"/>
      <x:c r="C99" s="36" t="n">
        <x:f>E99*D$5</x:f>
        <x:v>0</x:v>
      </x:c>
      <x:c r="D99" s="20" t="n"/>
      <x:c r="E99" s="36" t="n">
        <x:f>SUM(G99:HI99)</x:f>
        <x:v>0</x:v>
      </x:c>
      <x:c r="H99" s="302" t="n"/>
      <x:c r="I99" s="302" t="n"/>
      <x:c r="J99" s="302" t="n"/>
      <x:c r="K99" s="302" t="n"/>
      <x:c r="L99" s="302" t="n"/>
      <x:c r="M99" s="302" t="n"/>
      <x:c r="N99" s="302" t="n"/>
      <x:c r="O99" s="302" t="n"/>
      <x:c r="P99" s="302" t="n"/>
      <x:c r="Q99" s="302" t="n"/>
      <x:c r="R99" s="302" t="n"/>
      <x:c r="S99" s="302" t="n"/>
      <x:c r="T99" s="302" t="n"/>
      <x:c r="U99" s="302" t="n"/>
      <x:c r="V99" s="302" t="n"/>
      <x:c r="W99" s="302" t="n"/>
      <x:c r="X99" s="302" t="n"/>
      <x:c r="Y99" s="302" t="n"/>
      <x:c r="Z99" s="302" t="n"/>
      <x:c r="AA99" s="302" t="n"/>
      <x:c r="AB99" s="302" t="n"/>
      <x:c r="AC99" s="302" t="n"/>
      <x:c r="AD99" s="302" t="n"/>
      <x:c r="AE99" s="302" t="n"/>
      <x:c r="AF99" s="302" t="n"/>
      <x:c r="AG99" s="302" t="n"/>
      <x:c r="AH99" s="302" t="n"/>
      <x:c r="AI99" s="302" t="n"/>
      <x:c r="AJ99" s="302" t="n"/>
      <x:c r="AK99" s="302" t="n"/>
      <x:c r="AL99" s="302" t="n"/>
      <x:c r="AM99" s="302" t="n"/>
      <x:c r="AN99" s="302" t="n"/>
      <x:c r="AO99" s="302" t="n"/>
      <x:c r="AP99" s="302" t="n"/>
      <x:c r="AQ99" s="302" t="n"/>
      <x:c r="AR99" s="302" t="n"/>
      <x:c r="AS99" s="302" t="n"/>
      <x:c r="AT99" s="302" t="n"/>
      <x:c r="AU99" s="302" t="n"/>
      <x:c r="AV99" s="302" t="n"/>
      <x:c r="AW99" s="302" t="n"/>
      <x:c r="AX99" s="302" t="n"/>
      <x:c r="AY99" s="302" t="n"/>
      <x:c r="AZ99" s="302" t="n"/>
      <x:c r="BA99" s="302" t="n"/>
      <x:c r="BB99" s="302" t="n"/>
      <x:c r="BC99" s="302" t="n"/>
      <x:c r="BD99" s="302" t="n"/>
      <x:c r="BE99" s="302" t="n"/>
      <x:c r="BF99" s="302" t="n"/>
      <x:c r="BG99" s="302" t="n"/>
      <x:c r="BH99" s="302" t="n"/>
      <x:c r="BI99" s="302" t="n"/>
      <x:c r="BJ99" s="302" t="n"/>
      <x:c r="BK99" s="302" t="n"/>
      <x:c r="BL99" s="302" t="n"/>
      <x:c r="BM99" s="302" t="n"/>
      <x:c r="BN99" s="302" t="n"/>
      <x:c r="BO99" s="302" t="n"/>
      <x:c r="BP99" s="302" t="n"/>
      <x:c r="BQ99" s="302" t="n"/>
      <x:c r="BR99" s="302" t="n"/>
      <x:c r="BS99" s="302" t="n"/>
      <x:c r="BT99" s="302" t="n"/>
      <x:c r="BU99" s="302" t="n"/>
      <x:c r="BV99" s="302" t="n"/>
      <x:c r="BW99" s="302" t="n"/>
      <x:c r="BX99" s="302" t="n"/>
      <x:c r="BY99" s="302" t="n"/>
      <x:c r="BZ99" s="302" t="n"/>
      <x:c r="CA99" s="302" t="n"/>
      <x:c r="CB99" s="302" t="n"/>
      <x:c r="CC99" s="302" t="n"/>
      <x:c r="CD99" s="302" t="n"/>
    </x:row>
    <x:row r="100" s="27" customFormat="1">
      <x:c r="B100" s="37" t="n"/>
      <x:c r="C100" s="36" t="n">
        <x:f>E100*D$5</x:f>
        <x:v>0</x:v>
      </x:c>
      <x:c r="D100" s="20" t="n"/>
      <x:c r="E100" s="36" t="n">
        <x:f>SUM(G100:HI100)</x:f>
        <x:v>0</x:v>
      </x:c>
      <x:c r="H100" s="302" t="n"/>
      <x:c r="I100" s="302" t="n"/>
      <x:c r="J100" s="302" t="n"/>
      <x:c r="K100" s="302" t="n"/>
      <x:c r="L100" s="302" t="n"/>
      <x:c r="M100" s="302" t="n"/>
      <x:c r="N100" s="302" t="n"/>
      <x:c r="O100" s="302" t="n"/>
      <x:c r="P100" s="302" t="n"/>
      <x:c r="Q100" s="302" t="n"/>
      <x:c r="R100" s="302" t="n"/>
      <x:c r="S100" s="302" t="n"/>
      <x:c r="T100" s="302" t="n"/>
      <x:c r="U100" s="302" t="n"/>
      <x:c r="V100" s="302" t="n"/>
      <x:c r="W100" s="302" t="n"/>
      <x:c r="X100" s="302" t="n"/>
      <x:c r="Y100" s="302" t="n"/>
      <x:c r="Z100" s="302" t="n"/>
      <x:c r="AA100" s="302" t="n"/>
      <x:c r="AB100" s="302" t="n"/>
      <x:c r="AC100" s="302" t="n"/>
      <x:c r="AD100" s="302" t="n"/>
      <x:c r="AE100" s="302" t="n"/>
      <x:c r="AF100" s="302" t="n"/>
      <x:c r="AG100" s="302" t="n"/>
      <x:c r="AH100" s="302" t="n"/>
      <x:c r="AI100" s="302" t="n"/>
      <x:c r="AJ100" s="302" t="n"/>
      <x:c r="AK100" s="302" t="n"/>
      <x:c r="AL100" s="302" t="n"/>
      <x:c r="AM100" s="302" t="n"/>
      <x:c r="AN100" s="302" t="n"/>
      <x:c r="AO100" s="302" t="n"/>
      <x:c r="AP100" s="302" t="n"/>
      <x:c r="AQ100" s="302" t="n"/>
      <x:c r="AR100" s="302" t="n"/>
      <x:c r="AS100" s="302" t="n"/>
      <x:c r="AT100" s="302" t="n"/>
      <x:c r="AU100" s="302" t="n"/>
      <x:c r="AV100" s="302" t="n"/>
      <x:c r="AW100" s="302" t="n"/>
      <x:c r="AX100" s="302" t="n"/>
      <x:c r="AY100" s="302" t="n"/>
      <x:c r="AZ100" s="302" t="n"/>
      <x:c r="BA100" s="302" t="n"/>
      <x:c r="BB100" s="302" t="n"/>
      <x:c r="BC100" s="302" t="n"/>
      <x:c r="BD100" s="302" t="n"/>
      <x:c r="BE100" s="302" t="n"/>
      <x:c r="BF100" s="302" t="n"/>
      <x:c r="BG100" s="302" t="n"/>
      <x:c r="BH100" s="302" t="n"/>
      <x:c r="BI100" s="302" t="n"/>
      <x:c r="BJ100" s="302" t="n"/>
      <x:c r="BK100" s="302" t="n"/>
      <x:c r="BL100" s="302" t="n"/>
      <x:c r="BM100" s="302" t="n"/>
      <x:c r="BN100" s="302" t="n"/>
      <x:c r="BO100" s="302" t="n"/>
      <x:c r="BP100" s="302" t="n"/>
      <x:c r="BQ100" s="302" t="n"/>
      <x:c r="BR100" s="302" t="n"/>
      <x:c r="BS100" s="302" t="n"/>
      <x:c r="BT100" s="302" t="n"/>
      <x:c r="BU100" s="302" t="n"/>
      <x:c r="BV100" s="302" t="n"/>
      <x:c r="BW100" s="302" t="n"/>
      <x:c r="BX100" s="302" t="n"/>
      <x:c r="BY100" s="302" t="n"/>
      <x:c r="BZ100" s="302" t="n"/>
      <x:c r="CA100" s="302" t="n"/>
      <x:c r="CB100" s="302" t="n"/>
      <x:c r="CC100" s="302" t="n"/>
      <x:c r="CD100" s="302" t="n"/>
    </x:row>
    <x:row r="101" s="27" customFormat="1">
      <x:c r="B101" s="37" t="n"/>
      <x:c r="C101" s="36" t="n">
        <x:f>E101*D$5</x:f>
        <x:v>0</x:v>
      </x:c>
      <x:c r="D101" s="20" t="n"/>
      <x:c r="E101" s="36" t="n">
        <x:f>SUM(G101:HI101)</x:f>
        <x:v>0</x:v>
      </x:c>
      <x:c r="H101" s="302" t="n"/>
      <x:c r="I101" s="302" t="n"/>
      <x:c r="J101" s="302" t="n"/>
      <x:c r="K101" s="302" t="n"/>
      <x:c r="L101" s="302" t="n"/>
      <x:c r="M101" s="302" t="n"/>
      <x:c r="N101" s="302" t="n"/>
      <x:c r="O101" s="302" t="n"/>
      <x:c r="P101" s="302" t="n"/>
      <x:c r="Q101" s="302" t="n"/>
      <x:c r="R101" s="302" t="n"/>
      <x:c r="S101" s="302" t="n"/>
      <x:c r="T101" s="302" t="n"/>
      <x:c r="U101" s="302" t="n"/>
      <x:c r="V101" s="302" t="n"/>
      <x:c r="W101" s="302" t="n"/>
      <x:c r="X101" s="302" t="n"/>
      <x:c r="Y101" s="302" t="n"/>
      <x:c r="Z101" s="302" t="n"/>
      <x:c r="AA101" s="302" t="n"/>
      <x:c r="AB101" s="302" t="n"/>
      <x:c r="AC101" s="302" t="n"/>
      <x:c r="AD101" s="302" t="n"/>
      <x:c r="AE101" s="302" t="n"/>
      <x:c r="AF101" s="302" t="n"/>
      <x:c r="AG101" s="302" t="n"/>
      <x:c r="AH101" s="302" t="n"/>
      <x:c r="AI101" s="302" t="n"/>
      <x:c r="AJ101" s="302" t="n"/>
      <x:c r="AK101" s="302" t="n"/>
      <x:c r="AL101" s="302" t="n"/>
      <x:c r="AM101" s="302" t="n"/>
      <x:c r="AN101" s="302" t="n"/>
      <x:c r="AO101" s="302" t="n"/>
      <x:c r="AP101" s="302" t="n"/>
      <x:c r="AQ101" s="302" t="n"/>
      <x:c r="AR101" s="302" t="n"/>
      <x:c r="AS101" s="302" t="n"/>
      <x:c r="AT101" s="302" t="n"/>
      <x:c r="AU101" s="302" t="n"/>
      <x:c r="AV101" s="302" t="n"/>
      <x:c r="AW101" s="302" t="n"/>
      <x:c r="AX101" s="302" t="n"/>
      <x:c r="AY101" s="302" t="n"/>
      <x:c r="AZ101" s="302" t="n"/>
      <x:c r="BA101" s="302" t="n"/>
      <x:c r="BB101" s="302" t="n"/>
      <x:c r="BC101" s="302" t="n"/>
      <x:c r="BD101" s="302" t="n"/>
      <x:c r="BE101" s="302" t="n"/>
      <x:c r="BF101" s="302" t="n"/>
      <x:c r="BG101" s="302" t="n"/>
      <x:c r="BH101" s="302" t="n"/>
      <x:c r="BI101" s="302" t="n"/>
      <x:c r="BJ101" s="302" t="n"/>
      <x:c r="BK101" s="302" t="n"/>
      <x:c r="BL101" s="302" t="n"/>
      <x:c r="BM101" s="302" t="n"/>
      <x:c r="BN101" s="302" t="n"/>
      <x:c r="BO101" s="302" t="n"/>
      <x:c r="BP101" s="302" t="n"/>
      <x:c r="BQ101" s="302" t="n"/>
      <x:c r="BR101" s="302" t="n"/>
      <x:c r="BS101" s="302" t="n"/>
      <x:c r="BT101" s="302" t="n"/>
      <x:c r="BU101" s="302" t="n"/>
      <x:c r="BV101" s="302" t="n"/>
      <x:c r="BW101" s="302" t="n"/>
      <x:c r="BX101" s="302" t="n"/>
      <x:c r="BY101" s="302" t="n"/>
      <x:c r="BZ101" s="302" t="n"/>
      <x:c r="CA101" s="302" t="n"/>
      <x:c r="CB101" s="302" t="n"/>
      <x:c r="CC101" s="302" t="n"/>
      <x:c r="CD101" s="302" t="n"/>
    </x:row>
    <x:row r="102" s="27" customFormat="1">
      <x:c r="B102" s="37" t="n"/>
      <x:c r="C102" s="36" t="n">
        <x:f>E102*D$5</x:f>
        <x:v>0</x:v>
      </x:c>
      <x:c r="D102" s="20" t="n"/>
      <x:c r="E102" s="36" t="n">
        <x:f>SUM(G102:HI102)</x:f>
        <x:v>0</x:v>
      </x:c>
      <x:c r="H102" s="302" t="n"/>
      <x:c r="I102" s="302" t="n"/>
      <x:c r="J102" s="302" t="n"/>
      <x:c r="K102" s="302" t="n"/>
      <x:c r="L102" s="302" t="n"/>
      <x:c r="M102" s="302" t="n"/>
      <x:c r="N102" s="302" t="n"/>
      <x:c r="O102" s="302" t="n"/>
      <x:c r="P102" s="302" t="n"/>
      <x:c r="Q102" s="302" t="n"/>
      <x:c r="R102" s="302" t="n"/>
      <x:c r="S102" s="302" t="n"/>
      <x:c r="T102" s="302" t="n"/>
      <x:c r="U102" s="302" t="n"/>
      <x:c r="V102" s="302" t="n"/>
      <x:c r="W102" s="302" t="n"/>
      <x:c r="X102" s="302" t="n"/>
      <x:c r="Y102" s="302" t="n"/>
      <x:c r="Z102" s="302" t="n"/>
      <x:c r="AA102" s="302" t="n"/>
      <x:c r="AB102" s="302" t="n"/>
      <x:c r="AC102" s="302" t="n"/>
      <x:c r="AD102" s="302" t="n"/>
      <x:c r="AE102" s="302" t="n"/>
      <x:c r="AF102" s="302" t="n"/>
      <x:c r="AG102" s="302" t="n"/>
      <x:c r="AH102" s="302" t="n"/>
      <x:c r="AI102" s="302" t="n"/>
      <x:c r="AJ102" s="302" t="n"/>
      <x:c r="AK102" s="302" t="n"/>
      <x:c r="AL102" s="302" t="n"/>
      <x:c r="AM102" s="302" t="n"/>
      <x:c r="AN102" s="302" t="n"/>
      <x:c r="AO102" s="302" t="n"/>
      <x:c r="AP102" s="302" t="n"/>
      <x:c r="AQ102" s="302" t="n"/>
      <x:c r="AR102" s="302" t="n"/>
      <x:c r="AS102" s="302" t="n"/>
      <x:c r="AT102" s="302" t="n"/>
      <x:c r="AU102" s="302" t="n"/>
      <x:c r="AV102" s="302" t="n"/>
      <x:c r="AW102" s="302" t="n"/>
      <x:c r="AX102" s="302" t="n"/>
      <x:c r="AY102" s="302" t="n"/>
      <x:c r="AZ102" s="302" t="n"/>
      <x:c r="BA102" s="302" t="n"/>
      <x:c r="BB102" s="302" t="n"/>
      <x:c r="BC102" s="302" t="n"/>
      <x:c r="BD102" s="302" t="n"/>
      <x:c r="BE102" s="302" t="n"/>
      <x:c r="BF102" s="302" t="n"/>
      <x:c r="BG102" s="302" t="n"/>
      <x:c r="BH102" s="302" t="n"/>
      <x:c r="BI102" s="302" t="n"/>
      <x:c r="BJ102" s="302" t="n"/>
      <x:c r="BK102" s="302" t="n"/>
      <x:c r="BL102" s="302" t="n"/>
      <x:c r="BM102" s="302" t="n"/>
      <x:c r="BN102" s="302" t="n"/>
      <x:c r="BO102" s="302" t="n"/>
      <x:c r="BP102" s="302" t="n"/>
      <x:c r="BQ102" s="302" t="n"/>
      <x:c r="BR102" s="302" t="n"/>
      <x:c r="BS102" s="302" t="n"/>
      <x:c r="BT102" s="302" t="n"/>
      <x:c r="BU102" s="302" t="n"/>
      <x:c r="BV102" s="302" t="n"/>
      <x:c r="BW102" s="302" t="n"/>
      <x:c r="BX102" s="302" t="n"/>
      <x:c r="BY102" s="302" t="n"/>
      <x:c r="BZ102" s="302" t="n"/>
      <x:c r="CA102" s="302" t="n"/>
      <x:c r="CB102" s="302" t="n"/>
      <x:c r="CC102" s="302" t="n"/>
      <x:c r="CD102" s="302" t="n"/>
    </x:row>
    <x:row r="103" s="27" customFormat="1">
      <x:c r="B103" s="37" t="n"/>
      <x:c r="C103" s="36" t="n">
        <x:f>E103*D$5</x:f>
        <x:v>0</x:v>
      </x:c>
      <x:c r="D103" s="20" t="n"/>
      <x:c r="E103" s="36" t="n">
        <x:f>SUM(G103:HI103)</x:f>
        <x:v>0</x:v>
      </x:c>
      <x:c r="H103" s="302" t="n"/>
      <x:c r="I103" s="302" t="n"/>
      <x:c r="J103" s="302" t="n"/>
      <x:c r="K103" s="302" t="n"/>
      <x:c r="L103" s="302" t="n"/>
      <x:c r="M103" s="302" t="n"/>
      <x:c r="N103" s="302" t="n"/>
      <x:c r="O103" s="302" t="n"/>
      <x:c r="P103" s="302" t="n"/>
      <x:c r="Q103" s="302" t="n"/>
      <x:c r="R103" s="302" t="n"/>
      <x:c r="S103" s="302" t="n"/>
      <x:c r="T103" s="302" t="n"/>
      <x:c r="U103" s="302" t="n"/>
      <x:c r="V103" s="302" t="n"/>
      <x:c r="W103" s="302" t="n"/>
      <x:c r="X103" s="302" t="n"/>
      <x:c r="Y103" s="302" t="n"/>
      <x:c r="Z103" s="302" t="n"/>
      <x:c r="AA103" s="302" t="n"/>
      <x:c r="AB103" s="302" t="n"/>
      <x:c r="AC103" s="302" t="n"/>
      <x:c r="AD103" s="302" t="n"/>
      <x:c r="AE103" s="302" t="n"/>
      <x:c r="AF103" s="302" t="n"/>
      <x:c r="AG103" s="302" t="n"/>
      <x:c r="AH103" s="302" t="n"/>
      <x:c r="AI103" s="302" t="n"/>
      <x:c r="AJ103" s="302" t="n"/>
      <x:c r="AK103" s="302" t="n"/>
      <x:c r="AL103" s="302" t="n"/>
      <x:c r="AM103" s="302" t="n"/>
      <x:c r="AN103" s="302" t="n"/>
      <x:c r="AO103" s="302" t="n"/>
      <x:c r="AP103" s="302" t="n"/>
      <x:c r="AQ103" s="302" t="n"/>
      <x:c r="AR103" s="302" t="n"/>
      <x:c r="AS103" s="302" t="n"/>
      <x:c r="AT103" s="302" t="n"/>
      <x:c r="AU103" s="302" t="n"/>
      <x:c r="AV103" s="302" t="n"/>
      <x:c r="AW103" s="302" t="n"/>
      <x:c r="AX103" s="302" t="n"/>
      <x:c r="AY103" s="302" t="n"/>
      <x:c r="AZ103" s="302" t="n"/>
      <x:c r="BA103" s="302" t="n"/>
      <x:c r="BB103" s="302" t="n"/>
      <x:c r="BC103" s="302" t="n"/>
      <x:c r="BD103" s="302" t="n"/>
      <x:c r="BE103" s="302" t="n"/>
      <x:c r="BF103" s="302" t="n"/>
      <x:c r="BG103" s="302" t="n"/>
      <x:c r="BH103" s="302" t="n"/>
      <x:c r="BI103" s="302" t="n"/>
      <x:c r="BJ103" s="302" t="n"/>
      <x:c r="BK103" s="302" t="n"/>
      <x:c r="BL103" s="302" t="n"/>
      <x:c r="BM103" s="302" t="n"/>
      <x:c r="BN103" s="302" t="n"/>
      <x:c r="BO103" s="302" t="n"/>
      <x:c r="BP103" s="302" t="n"/>
      <x:c r="BQ103" s="302" t="n"/>
      <x:c r="BR103" s="302" t="n"/>
      <x:c r="BS103" s="302" t="n"/>
      <x:c r="BT103" s="302" t="n"/>
      <x:c r="BU103" s="302" t="n"/>
      <x:c r="BV103" s="302" t="n"/>
      <x:c r="BW103" s="302" t="n"/>
      <x:c r="BX103" s="302" t="n"/>
      <x:c r="BY103" s="302" t="n"/>
      <x:c r="BZ103" s="302" t="n"/>
      <x:c r="CA103" s="302" t="n"/>
      <x:c r="CB103" s="302" t="n"/>
      <x:c r="CC103" s="302" t="n"/>
      <x:c r="CD103" s="302" t="n"/>
    </x:row>
    <x:row r="104" s="27" customFormat="1">
      <x:c r="B104" s="37" t="n"/>
      <x:c r="C104" s="36" t="n">
        <x:f>E104*D$5</x:f>
        <x:v>0</x:v>
      </x:c>
      <x:c r="D104" s="20" t="n"/>
      <x:c r="E104" s="36" t="n">
        <x:f>SUM(G104:HI104)</x:f>
        <x:v>0</x:v>
      </x:c>
      <x:c r="H104" s="302" t="n"/>
      <x:c r="I104" s="302" t="n"/>
      <x:c r="J104" s="302" t="n"/>
      <x:c r="K104" s="302" t="n"/>
      <x:c r="L104" s="302" t="n"/>
      <x:c r="M104" s="302" t="n"/>
      <x:c r="N104" s="302" t="n"/>
      <x:c r="O104" s="302" t="n"/>
      <x:c r="P104" s="302" t="n"/>
      <x:c r="Q104" s="302" t="n"/>
      <x:c r="R104" s="302" t="n"/>
      <x:c r="S104" s="302" t="n"/>
      <x:c r="T104" s="302" t="n"/>
      <x:c r="U104" s="302" t="n"/>
      <x:c r="V104" s="302" t="n"/>
      <x:c r="W104" s="302" t="n"/>
      <x:c r="X104" s="302" t="n"/>
      <x:c r="Y104" s="302" t="n"/>
      <x:c r="Z104" s="302" t="n"/>
      <x:c r="AA104" s="302" t="n"/>
      <x:c r="AB104" s="302" t="n"/>
      <x:c r="AC104" s="302" t="n"/>
      <x:c r="AD104" s="302" t="n"/>
      <x:c r="AE104" s="302" t="n"/>
      <x:c r="AF104" s="302" t="n"/>
      <x:c r="AG104" s="302" t="n"/>
      <x:c r="AH104" s="302" t="n"/>
      <x:c r="AI104" s="302" t="n"/>
      <x:c r="AJ104" s="302" t="n"/>
      <x:c r="AK104" s="302" t="n"/>
      <x:c r="AL104" s="302" t="n"/>
      <x:c r="AM104" s="302" t="n"/>
      <x:c r="AN104" s="302" t="n"/>
      <x:c r="AO104" s="302" t="n"/>
      <x:c r="AP104" s="302" t="n"/>
      <x:c r="AQ104" s="302" t="n"/>
      <x:c r="AR104" s="302" t="n"/>
      <x:c r="AS104" s="302" t="n"/>
      <x:c r="AT104" s="302" t="n"/>
      <x:c r="AU104" s="302" t="n"/>
      <x:c r="AV104" s="302" t="n"/>
      <x:c r="AW104" s="302" t="n"/>
      <x:c r="AX104" s="302" t="n"/>
      <x:c r="AY104" s="302" t="n"/>
      <x:c r="AZ104" s="302" t="n"/>
      <x:c r="BA104" s="302" t="n"/>
      <x:c r="BB104" s="302" t="n"/>
      <x:c r="BC104" s="302" t="n"/>
      <x:c r="BD104" s="302" t="n"/>
      <x:c r="BE104" s="302" t="n"/>
      <x:c r="BF104" s="302" t="n"/>
      <x:c r="BG104" s="302" t="n"/>
      <x:c r="BH104" s="302" t="n"/>
      <x:c r="BI104" s="302" t="n"/>
      <x:c r="BJ104" s="302" t="n"/>
      <x:c r="BK104" s="302" t="n"/>
      <x:c r="BL104" s="302" t="n"/>
      <x:c r="BM104" s="302" t="n"/>
      <x:c r="BN104" s="302" t="n"/>
      <x:c r="BO104" s="302" t="n"/>
      <x:c r="BP104" s="302" t="n"/>
      <x:c r="BQ104" s="302" t="n"/>
      <x:c r="BR104" s="302" t="n"/>
      <x:c r="BS104" s="302" t="n"/>
      <x:c r="BT104" s="302" t="n"/>
      <x:c r="BU104" s="302" t="n"/>
      <x:c r="BV104" s="302" t="n"/>
      <x:c r="BW104" s="302" t="n"/>
      <x:c r="BX104" s="302" t="n"/>
      <x:c r="BY104" s="302" t="n"/>
      <x:c r="BZ104" s="302" t="n"/>
      <x:c r="CA104" s="302" t="n"/>
      <x:c r="CB104" s="302" t="n"/>
      <x:c r="CC104" s="302" t="n"/>
      <x:c r="CD104" s="302" t="n"/>
    </x:row>
    <x:row r="105" s="27" customFormat="1">
      <x:c r="B105" s="37" t="n"/>
      <x:c r="C105" s="36" t="n">
        <x:f>E105*D$5</x:f>
        <x:v>0</x:v>
      </x:c>
      <x:c r="D105" s="20" t="n"/>
      <x:c r="E105" s="36" t="n">
        <x:f>SUM(G105:HI105)</x:f>
        <x:v>0</x:v>
      </x:c>
      <x:c r="H105" s="302" t="n"/>
      <x:c r="I105" s="302" t="n"/>
      <x:c r="J105" s="302" t="n"/>
      <x:c r="K105" s="302" t="n"/>
      <x:c r="L105" s="302" t="n"/>
      <x:c r="M105" s="302" t="n"/>
      <x:c r="N105" s="302" t="n"/>
      <x:c r="O105" s="302" t="n"/>
      <x:c r="P105" s="302" t="n"/>
      <x:c r="Q105" s="302" t="n"/>
      <x:c r="R105" s="302" t="n"/>
      <x:c r="S105" s="302" t="n"/>
      <x:c r="T105" s="302" t="n"/>
      <x:c r="U105" s="302" t="n"/>
      <x:c r="V105" s="302" t="n"/>
      <x:c r="W105" s="302" t="n"/>
      <x:c r="X105" s="302" t="n"/>
      <x:c r="Y105" s="302" t="n"/>
      <x:c r="Z105" s="302" t="n"/>
      <x:c r="AA105" s="302" t="n"/>
      <x:c r="AB105" s="302" t="n"/>
      <x:c r="AC105" s="302" t="n"/>
      <x:c r="AD105" s="302" t="n"/>
      <x:c r="AE105" s="302" t="n"/>
      <x:c r="AF105" s="302" t="n"/>
      <x:c r="AG105" s="302" t="n"/>
      <x:c r="AH105" s="302" t="n"/>
      <x:c r="AI105" s="302" t="n"/>
      <x:c r="AJ105" s="302" t="n"/>
      <x:c r="AK105" s="302" t="n"/>
      <x:c r="AL105" s="302" t="n"/>
      <x:c r="AM105" s="302" t="n"/>
      <x:c r="AN105" s="302" t="n"/>
      <x:c r="AO105" s="302" t="n"/>
      <x:c r="AP105" s="302" t="n"/>
      <x:c r="AQ105" s="302" t="n"/>
      <x:c r="AR105" s="302" t="n"/>
      <x:c r="AS105" s="302" t="n"/>
      <x:c r="AT105" s="302" t="n"/>
      <x:c r="AU105" s="302" t="n"/>
      <x:c r="AV105" s="302" t="n"/>
      <x:c r="AW105" s="302" t="n"/>
      <x:c r="AX105" s="302" t="n"/>
      <x:c r="AY105" s="302" t="n"/>
      <x:c r="AZ105" s="302" t="n"/>
      <x:c r="BA105" s="302" t="n"/>
      <x:c r="BB105" s="302" t="n"/>
      <x:c r="BC105" s="302" t="n"/>
      <x:c r="BD105" s="302" t="n"/>
      <x:c r="BE105" s="302" t="n"/>
      <x:c r="BF105" s="302" t="n"/>
      <x:c r="BG105" s="302" t="n"/>
      <x:c r="BH105" s="302" t="n"/>
      <x:c r="BI105" s="302" t="n"/>
      <x:c r="BJ105" s="302" t="n"/>
      <x:c r="BK105" s="302" t="n"/>
      <x:c r="BL105" s="302" t="n"/>
      <x:c r="BM105" s="302" t="n"/>
      <x:c r="BN105" s="302" t="n"/>
      <x:c r="BO105" s="302" t="n"/>
      <x:c r="BP105" s="302" t="n"/>
      <x:c r="BQ105" s="302" t="n"/>
      <x:c r="BR105" s="302" t="n"/>
      <x:c r="BS105" s="302" t="n"/>
      <x:c r="BT105" s="302" t="n"/>
      <x:c r="BU105" s="302" t="n"/>
      <x:c r="BV105" s="302" t="n"/>
      <x:c r="BW105" s="302" t="n"/>
      <x:c r="BX105" s="302" t="n"/>
      <x:c r="BY105" s="302" t="n"/>
      <x:c r="BZ105" s="302" t="n"/>
      <x:c r="CA105" s="302" t="n"/>
      <x:c r="CB105" s="302" t="n"/>
      <x:c r="CC105" s="302" t="n"/>
      <x:c r="CD105" s="302" t="n"/>
    </x:row>
    <x:row r="106" s="27" customFormat="1">
      <x:c r="B106" s="37" t="n"/>
      <x:c r="C106" s="36" t="n">
        <x:f>E106*D$5</x:f>
        <x:v>0</x:v>
      </x:c>
      <x:c r="D106" s="20" t="n"/>
      <x:c r="E106" s="36" t="n">
        <x:f>SUM(G106:HI106)</x:f>
        <x:v>0</x:v>
      </x:c>
      <x:c r="H106" s="302" t="n"/>
      <x:c r="I106" s="302" t="n"/>
      <x:c r="J106" s="302" t="n"/>
      <x:c r="K106" s="302" t="n"/>
      <x:c r="L106" s="302" t="n"/>
      <x:c r="M106" s="302" t="n"/>
      <x:c r="N106" s="302" t="n"/>
      <x:c r="O106" s="302" t="n"/>
      <x:c r="P106" s="302" t="n"/>
      <x:c r="Q106" s="302" t="n"/>
      <x:c r="R106" s="302" t="n"/>
      <x:c r="S106" s="302" t="n"/>
      <x:c r="T106" s="302" t="n"/>
      <x:c r="U106" s="302" t="n"/>
      <x:c r="V106" s="302" t="n"/>
      <x:c r="W106" s="302" t="n"/>
      <x:c r="X106" s="302" t="n"/>
      <x:c r="Y106" s="302" t="n"/>
      <x:c r="Z106" s="302" t="n"/>
      <x:c r="AA106" s="302" t="n"/>
      <x:c r="AB106" s="302" t="n"/>
      <x:c r="AC106" s="302" t="n"/>
      <x:c r="AD106" s="302" t="n"/>
      <x:c r="AE106" s="302" t="n"/>
      <x:c r="AF106" s="302" t="n"/>
      <x:c r="AG106" s="302" t="n"/>
      <x:c r="AH106" s="302" t="n"/>
      <x:c r="AI106" s="302" t="n"/>
      <x:c r="AJ106" s="302" t="n"/>
      <x:c r="AK106" s="302" t="n"/>
      <x:c r="AL106" s="302" t="n"/>
      <x:c r="AM106" s="302" t="n"/>
      <x:c r="AN106" s="302" t="n"/>
      <x:c r="AO106" s="302" t="n"/>
      <x:c r="AP106" s="302" t="n"/>
      <x:c r="AQ106" s="302" t="n"/>
      <x:c r="AR106" s="302" t="n"/>
      <x:c r="AS106" s="302" t="n"/>
      <x:c r="AT106" s="302" t="n"/>
      <x:c r="AU106" s="302" t="n"/>
      <x:c r="AV106" s="302" t="n"/>
      <x:c r="AW106" s="302" t="n"/>
      <x:c r="AX106" s="302" t="n"/>
      <x:c r="AY106" s="302" t="n"/>
      <x:c r="AZ106" s="302" t="n"/>
      <x:c r="BA106" s="302" t="n"/>
      <x:c r="BB106" s="302" t="n"/>
      <x:c r="BC106" s="302" t="n"/>
      <x:c r="BD106" s="302" t="n"/>
      <x:c r="BE106" s="302" t="n"/>
      <x:c r="BF106" s="302" t="n"/>
      <x:c r="BG106" s="302" t="n"/>
      <x:c r="BH106" s="302" t="n"/>
      <x:c r="BI106" s="302" t="n"/>
      <x:c r="BJ106" s="302" t="n"/>
      <x:c r="BK106" s="302" t="n"/>
      <x:c r="BL106" s="302" t="n"/>
      <x:c r="BM106" s="302" t="n"/>
      <x:c r="BN106" s="302" t="n"/>
      <x:c r="BO106" s="302" t="n"/>
      <x:c r="BP106" s="302" t="n"/>
      <x:c r="BQ106" s="302" t="n"/>
      <x:c r="BR106" s="302" t="n"/>
      <x:c r="BS106" s="302" t="n"/>
      <x:c r="BT106" s="302" t="n"/>
      <x:c r="BU106" s="302" t="n"/>
      <x:c r="BV106" s="302" t="n"/>
      <x:c r="BW106" s="302" t="n"/>
      <x:c r="BX106" s="302" t="n"/>
      <x:c r="BY106" s="302" t="n"/>
      <x:c r="BZ106" s="302" t="n"/>
      <x:c r="CA106" s="302" t="n"/>
      <x:c r="CB106" s="302" t="n"/>
      <x:c r="CC106" s="302" t="n"/>
      <x:c r="CD106" s="302" t="n"/>
    </x:row>
    <x:row r="107" s="27" customFormat="1">
      <x:c r="B107" s="37" t="n"/>
      <x:c r="C107" s="36" t="n">
        <x:f>E107*D$5</x:f>
        <x:v>0</x:v>
      </x:c>
      <x:c r="D107" s="20" t="n"/>
      <x:c r="E107" s="36" t="n">
        <x:f>SUM(G107:HI107)</x:f>
        <x:v>0</x:v>
      </x:c>
      <x:c r="H107" s="302" t="n"/>
      <x:c r="I107" s="302" t="n"/>
      <x:c r="J107" s="302" t="n"/>
      <x:c r="K107" s="302" t="n"/>
      <x:c r="L107" s="302" t="n"/>
      <x:c r="M107" s="302" t="n"/>
      <x:c r="N107" s="302" t="n"/>
      <x:c r="O107" s="302" t="n"/>
      <x:c r="P107" s="302" t="n"/>
      <x:c r="Q107" s="302" t="n"/>
      <x:c r="R107" s="302" t="n"/>
      <x:c r="S107" s="302" t="n"/>
      <x:c r="T107" s="302" t="n"/>
      <x:c r="U107" s="302" t="n"/>
      <x:c r="V107" s="302" t="n"/>
      <x:c r="W107" s="302" t="n"/>
      <x:c r="X107" s="302" t="n"/>
      <x:c r="Y107" s="302" t="n"/>
      <x:c r="Z107" s="302" t="n"/>
      <x:c r="AA107" s="302" t="n"/>
      <x:c r="AB107" s="302" t="n"/>
      <x:c r="AC107" s="302" t="n"/>
      <x:c r="AD107" s="302" t="n"/>
      <x:c r="AE107" s="302" t="n"/>
      <x:c r="AF107" s="302" t="n"/>
      <x:c r="AG107" s="302" t="n"/>
      <x:c r="AH107" s="302" t="n"/>
      <x:c r="AI107" s="302" t="n"/>
      <x:c r="AJ107" s="302" t="n"/>
      <x:c r="AK107" s="302" t="n"/>
      <x:c r="AL107" s="302" t="n"/>
      <x:c r="AM107" s="302" t="n"/>
      <x:c r="AN107" s="302" t="n"/>
      <x:c r="AO107" s="302" t="n"/>
      <x:c r="AP107" s="302" t="n"/>
      <x:c r="AQ107" s="302" t="n"/>
      <x:c r="AR107" s="302" t="n"/>
      <x:c r="AS107" s="302" t="n"/>
      <x:c r="AT107" s="302" t="n"/>
      <x:c r="AU107" s="302" t="n"/>
      <x:c r="AV107" s="302" t="n"/>
      <x:c r="AW107" s="302" t="n"/>
      <x:c r="AX107" s="302" t="n"/>
      <x:c r="AY107" s="302" t="n"/>
      <x:c r="AZ107" s="302" t="n"/>
      <x:c r="BA107" s="302" t="n"/>
      <x:c r="BB107" s="302" t="n"/>
      <x:c r="BC107" s="302" t="n"/>
      <x:c r="BD107" s="302" t="n"/>
      <x:c r="BE107" s="302" t="n"/>
      <x:c r="BF107" s="302" t="n"/>
      <x:c r="BG107" s="302" t="n"/>
      <x:c r="BH107" s="302" t="n"/>
      <x:c r="BI107" s="302" t="n"/>
      <x:c r="BJ107" s="302" t="n"/>
      <x:c r="BK107" s="302" t="n"/>
      <x:c r="BL107" s="302" t="n"/>
      <x:c r="BM107" s="302" t="n"/>
      <x:c r="BN107" s="302" t="n"/>
      <x:c r="BO107" s="302" t="n"/>
      <x:c r="BP107" s="302" t="n"/>
      <x:c r="BQ107" s="302" t="n"/>
      <x:c r="BR107" s="302" t="n"/>
      <x:c r="BS107" s="302" t="n"/>
      <x:c r="BT107" s="302" t="n"/>
      <x:c r="BU107" s="302" t="n"/>
      <x:c r="BV107" s="302" t="n"/>
      <x:c r="BW107" s="302" t="n"/>
      <x:c r="BX107" s="302" t="n"/>
      <x:c r="BY107" s="302" t="n"/>
      <x:c r="BZ107" s="302" t="n"/>
      <x:c r="CA107" s="302" t="n"/>
      <x:c r="CB107" s="302" t="n"/>
      <x:c r="CC107" s="302" t="n"/>
      <x:c r="CD107" s="302" t="n"/>
    </x:row>
    <x:row r="108" s="27" customFormat="1">
      <x:c r="B108" s="37" t="n"/>
      <x:c r="C108" s="36" t="n">
        <x:f>E108*D$5</x:f>
        <x:v>0</x:v>
      </x:c>
      <x:c r="D108" s="20" t="n"/>
      <x:c r="E108" s="36" t="n">
        <x:f>SUM(G108:HI108)</x:f>
        <x:v>0</x:v>
      </x:c>
      <x:c r="H108" s="302" t="n"/>
      <x:c r="I108" s="302" t="n"/>
      <x:c r="J108" s="302" t="n"/>
      <x:c r="K108" s="302" t="n"/>
      <x:c r="L108" s="302" t="n"/>
      <x:c r="M108" s="302" t="n"/>
      <x:c r="N108" s="302" t="n"/>
      <x:c r="O108" s="302" t="n"/>
      <x:c r="P108" s="302" t="n"/>
      <x:c r="Q108" s="302" t="n"/>
      <x:c r="R108" s="302" t="n"/>
      <x:c r="S108" s="302" t="n"/>
      <x:c r="T108" s="302" t="n"/>
      <x:c r="U108" s="302" t="n"/>
      <x:c r="V108" s="302" t="n"/>
      <x:c r="W108" s="302" t="n"/>
      <x:c r="X108" s="302" t="n"/>
      <x:c r="Y108" s="302" t="n"/>
      <x:c r="Z108" s="302" t="n"/>
      <x:c r="AA108" s="302" t="n"/>
      <x:c r="AB108" s="302" t="n"/>
      <x:c r="AC108" s="302" t="n"/>
      <x:c r="AD108" s="302" t="n"/>
      <x:c r="AE108" s="302" t="n"/>
      <x:c r="AF108" s="302" t="n"/>
      <x:c r="AG108" s="302" t="n"/>
      <x:c r="AH108" s="302" t="n"/>
      <x:c r="AI108" s="302" t="n"/>
      <x:c r="AJ108" s="302" t="n"/>
      <x:c r="AK108" s="302" t="n"/>
      <x:c r="AL108" s="302" t="n"/>
      <x:c r="AM108" s="302" t="n"/>
      <x:c r="AN108" s="302" t="n"/>
      <x:c r="AO108" s="302" t="n"/>
      <x:c r="AP108" s="302" t="n"/>
      <x:c r="AQ108" s="302" t="n"/>
      <x:c r="AR108" s="302" t="n"/>
      <x:c r="AS108" s="302" t="n"/>
      <x:c r="AT108" s="302" t="n"/>
      <x:c r="AU108" s="302" t="n"/>
      <x:c r="AV108" s="302" t="n"/>
      <x:c r="AW108" s="302" t="n"/>
      <x:c r="AX108" s="302" t="n"/>
      <x:c r="AY108" s="302" t="n"/>
      <x:c r="AZ108" s="302" t="n"/>
      <x:c r="BA108" s="302" t="n"/>
      <x:c r="BB108" s="302" t="n"/>
      <x:c r="BC108" s="302" t="n"/>
      <x:c r="BD108" s="302" t="n"/>
      <x:c r="BE108" s="302" t="n"/>
      <x:c r="BF108" s="302" t="n"/>
      <x:c r="BG108" s="302" t="n"/>
      <x:c r="BH108" s="302" t="n"/>
      <x:c r="BI108" s="302" t="n"/>
      <x:c r="BJ108" s="302" t="n"/>
      <x:c r="BK108" s="302" t="n"/>
      <x:c r="BL108" s="302" t="n"/>
      <x:c r="BM108" s="302" t="n"/>
      <x:c r="BN108" s="302" t="n"/>
      <x:c r="BO108" s="302" t="n"/>
      <x:c r="BP108" s="302" t="n"/>
      <x:c r="BQ108" s="302" t="n"/>
      <x:c r="BR108" s="302" t="n"/>
      <x:c r="BS108" s="302" t="n"/>
      <x:c r="BT108" s="302" t="n"/>
      <x:c r="BU108" s="302" t="n"/>
      <x:c r="BV108" s="302" t="n"/>
      <x:c r="BW108" s="302" t="n"/>
      <x:c r="BX108" s="302" t="n"/>
      <x:c r="BY108" s="302" t="n"/>
      <x:c r="BZ108" s="302" t="n"/>
      <x:c r="CA108" s="302" t="n"/>
      <x:c r="CB108" s="302" t="n"/>
      <x:c r="CC108" s="302" t="n"/>
      <x:c r="CD108" s="302" t="n"/>
    </x:row>
    <x:row r="109" s="27" customFormat="1">
      <x:c r="B109" s="37" t="n"/>
      <x:c r="C109" s="36" t="n">
        <x:f>E109*D$5</x:f>
        <x:v>0</x:v>
      </x:c>
      <x:c r="D109" s="20" t="n"/>
      <x:c r="E109" s="36" t="n">
        <x:f>SUM(G109:HI109)</x:f>
        <x:v>0</x:v>
      </x:c>
      <x:c r="H109" s="302" t="n"/>
      <x:c r="I109" s="302" t="n"/>
      <x:c r="J109" s="302" t="n"/>
      <x:c r="K109" s="302" t="n"/>
      <x:c r="L109" s="302" t="n"/>
      <x:c r="M109" s="302" t="n"/>
      <x:c r="N109" s="302" t="n"/>
      <x:c r="O109" s="302" t="n"/>
      <x:c r="P109" s="302" t="n"/>
      <x:c r="Q109" s="302" t="n"/>
      <x:c r="R109" s="302" t="n"/>
      <x:c r="S109" s="302" t="n"/>
      <x:c r="T109" s="302" t="n"/>
      <x:c r="U109" s="302" t="n"/>
      <x:c r="V109" s="302" t="n"/>
      <x:c r="W109" s="302" t="n"/>
      <x:c r="X109" s="302" t="n"/>
      <x:c r="Y109" s="302" t="n"/>
      <x:c r="Z109" s="302" t="n"/>
      <x:c r="AA109" s="302" t="n"/>
      <x:c r="AB109" s="302" t="n"/>
      <x:c r="AC109" s="302" t="n"/>
      <x:c r="AD109" s="302" t="n"/>
      <x:c r="AE109" s="302" t="n"/>
      <x:c r="AF109" s="302" t="n"/>
      <x:c r="AG109" s="302" t="n"/>
      <x:c r="AH109" s="302" t="n"/>
      <x:c r="AI109" s="302" t="n"/>
      <x:c r="AJ109" s="302" t="n"/>
      <x:c r="AK109" s="302" t="n"/>
      <x:c r="AL109" s="302" t="n"/>
      <x:c r="AM109" s="302" t="n"/>
      <x:c r="AN109" s="302" t="n"/>
      <x:c r="AO109" s="302" t="n"/>
      <x:c r="AP109" s="302" t="n"/>
      <x:c r="AQ109" s="302" t="n"/>
      <x:c r="AR109" s="302" t="n"/>
      <x:c r="AS109" s="302" t="n"/>
      <x:c r="AT109" s="302" t="n"/>
      <x:c r="AU109" s="302" t="n"/>
      <x:c r="AV109" s="302" t="n"/>
      <x:c r="AW109" s="302" t="n"/>
      <x:c r="AX109" s="302" t="n"/>
      <x:c r="AY109" s="302" t="n"/>
      <x:c r="AZ109" s="302" t="n"/>
      <x:c r="BA109" s="302" t="n"/>
      <x:c r="BB109" s="302" t="n"/>
      <x:c r="BC109" s="302" t="n"/>
      <x:c r="BD109" s="302" t="n"/>
      <x:c r="BE109" s="302" t="n"/>
      <x:c r="BF109" s="302" t="n"/>
      <x:c r="BG109" s="302" t="n"/>
      <x:c r="BH109" s="302" t="n"/>
      <x:c r="BI109" s="302" t="n"/>
      <x:c r="BJ109" s="302" t="n"/>
      <x:c r="BK109" s="302" t="n"/>
      <x:c r="BL109" s="302" t="n"/>
      <x:c r="BM109" s="302" t="n"/>
      <x:c r="BN109" s="302" t="n"/>
      <x:c r="BO109" s="302" t="n"/>
      <x:c r="BP109" s="302" t="n"/>
      <x:c r="BQ109" s="302" t="n"/>
      <x:c r="BR109" s="302" t="n"/>
      <x:c r="BS109" s="302" t="n"/>
      <x:c r="BT109" s="302" t="n"/>
      <x:c r="BU109" s="302" t="n"/>
      <x:c r="BV109" s="302" t="n"/>
      <x:c r="BW109" s="302" t="n"/>
      <x:c r="BX109" s="302" t="n"/>
      <x:c r="BY109" s="302" t="n"/>
      <x:c r="BZ109" s="302" t="n"/>
      <x:c r="CA109" s="302" t="n"/>
      <x:c r="CB109" s="302" t="n"/>
      <x:c r="CC109" s="302" t="n"/>
      <x:c r="CD109" s="302" t="n"/>
    </x:row>
    <x:row r="110" s="27" customFormat="1">
      <x:c r="B110" s="37" t="n"/>
      <x:c r="C110" s="36" t="n">
        <x:f>E110*D$5</x:f>
        <x:v>0</x:v>
      </x:c>
      <x:c r="D110" s="20" t="n"/>
      <x:c r="E110" s="36" t="n">
        <x:f>SUM(G110:HI110)</x:f>
        <x:v>0</x:v>
      </x:c>
      <x:c r="H110" s="302" t="n"/>
      <x:c r="I110" s="302" t="n"/>
      <x:c r="J110" s="302" t="n"/>
      <x:c r="K110" s="302" t="n"/>
      <x:c r="L110" s="302" t="n"/>
      <x:c r="M110" s="302" t="n"/>
      <x:c r="N110" s="302" t="n"/>
      <x:c r="O110" s="302" t="n"/>
      <x:c r="P110" s="302" t="n"/>
      <x:c r="Q110" s="302" t="n"/>
      <x:c r="R110" s="302" t="n"/>
      <x:c r="S110" s="302" t="n"/>
      <x:c r="T110" s="302" t="n"/>
      <x:c r="U110" s="302" t="n"/>
      <x:c r="V110" s="302" t="n"/>
      <x:c r="W110" s="302" t="n"/>
      <x:c r="X110" s="302" t="n"/>
      <x:c r="Y110" s="302" t="n"/>
      <x:c r="Z110" s="302" t="n"/>
      <x:c r="AA110" s="302" t="n"/>
      <x:c r="AB110" s="302" t="n"/>
      <x:c r="AC110" s="302" t="n"/>
      <x:c r="AD110" s="302" t="n"/>
      <x:c r="AE110" s="302" t="n"/>
      <x:c r="AF110" s="302" t="n"/>
      <x:c r="AG110" s="302" t="n"/>
      <x:c r="AH110" s="302" t="n"/>
      <x:c r="AI110" s="302" t="n"/>
      <x:c r="AJ110" s="302" t="n"/>
      <x:c r="AK110" s="302" t="n"/>
      <x:c r="AL110" s="302" t="n"/>
      <x:c r="AM110" s="302" t="n"/>
      <x:c r="AN110" s="302" t="n"/>
      <x:c r="AO110" s="302" t="n"/>
      <x:c r="AP110" s="302" t="n"/>
      <x:c r="AQ110" s="302" t="n"/>
      <x:c r="AR110" s="302" t="n"/>
      <x:c r="AS110" s="302" t="n"/>
      <x:c r="AT110" s="302" t="n"/>
      <x:c r="AU110" s="302" t="n"/>
      <x:c r="AV110" s="302" t="n"/>
      <x:c r="AW110" s="302" t="n"/>
      <x:c r="AX110" s="302" t="n"/>
      <x:c r="AY110" s="302" t="n"/>
      <x:c r="AZ110" s="302" t="n"/>
      <x:c r="BA110" s="302" t="n"/>
      <x:c r="BB110" s="302" t="n"/>
      <x:c r="BC110" s="302" t="n"/>
      <x:c r="BD110" s="302" t="n"/>
      <x:c r="BE110" s="302" t="n"/>
      <x:c r="BF110" s="302" t="n"/>
      <x:c r="BG110" s="302" t="n"/>
      <x:c r="BH110" s="302" t="n"/>
      <x:c r="BI110" s="302" t="n"/>
      <x:c r="BJ110" s="302" t="n"/>
      <x:c r="BK110" s="302" t="n"/>
      <x:c r="BL110" s="302" t="n"/>
      <x:c r="BM110" s="302" t="n"/>
      <x:c r="BN110" s="302" t="n"/>
      <x:c r="BO110" s="302" t="n"/>
      <x:c r="BP110" s="302" t="n"/>
      <x:c r="BQ110" s="302" t="n"/>
      <x:c r="BR110" s="302" t="n"/>
      <x:c r="BS110" s="302" t="n"/>
      <x:c r="BT110" s="302" t="n"/>
      <x:c r="BU110" s="302" t="n"/>
      <x:c r="BV110" s="302" t="n"/>
      <x:c r="BW110" s="302" t="n"/>
      <x:c r="BX110" s="302" t="n"/>
      <x:c r="BY110" s="302" t="n"/>
      <x:c r="BZ110" s="302" t="n"/>
      <x:c r="CA110" s="302" t="n"/>
      <x:c r="CB110" s="302" t="n"/>
      <x:c r="CC110" s="302" t="n"/>
      <x:c r="CD110" s="302" t="n"/>
    </x:row>
    <x:row r="111" s="27" customFormat="1">
      <x:c r="B111" s="37" t="n"/>
      <x:c r="C111" s="36" t="n">
        <x:f>E111*D$5</x:f>
        <x:v>0</x:v>
      </x:c>
      <x:c r="D111" s="20" t="n"/>
      <x:c r="E111" s="36" t="n">
        <x:f>SUM(G111:HI111)</x:f>
        <x:v>0</x:v>
      </x:c>
      <x:c r="H111" s="302" t="n"/>
      <x:c r="I111" s="302" t="n"/>
      <x:c r="J111" s="302" t="n"/>
      <x:c r="K111" s="302" t="n"/>
      <x:c r="L111" s="302" t="n"/>
      <x:c r="M111" s="302" t="n"/>
      <x:c r="N111" s="302" t="n"/>
      <x:c r="O111" s="302" t="n"/>
      <x:c r="P111" s="302" t="n"/>
      <x:c r="Q111" s="302" t="n"/>
      <x:c r="R111" s="302" t="n"/>
      <x:c r="S111" s="302" t="n"/>
      <x:c r="T111" s="302" t="n"/>
      <x:c r="U111" s="302" t="n"/>
      <x:c r="V111" s="302" t="n"/>
      <x:c r="W111" s="302" t="n"/>
      <x:c r="X111" s="302" t="n"/>
      <x:c r="Y111" s="302" t="n"/>
      <x:c r="Z111" s="302" t="n"/>
      <x:c r="AA111" s="302" t="n"/>
      <x:c r="AB111" s="302" t="n"/>
      <x:c r="AC111" s="302" t="n"/>
      <x:c r="AD111" s="302" t="n"/>
      <x:c r="AE111" s="302" t="n"/>
      <x:c r="AF111" s="302" t="n"/>
      <x:c r="AG111" s="302" t="n"/>
      <x:c r="AH111" s="302" t="n"/>
      <x:c r="AI111" s="302" t="n"/>
      <x:c r="AJ111" s="302" t="n"/>
      <x:c r="AK111" s="302" t="n"/>
      <x:c r="AL111" s="302" t="n"/>
      <x:c r="AM111" s="302" t="n"/>
      <x:c r="AN111" s="302" t="n"/>
      <x:c r="AO111" s="302" t="n"/>
      <x:c r="AP111" s="302" t="n"/>
      <x:c r="AQ111" s="302" t="n"/>
      <x:c r="AR111" s="302" t="n"/>
      <x:c r="AS111" s="302" t="n"/>
      <x:c r="AT111" s="302" t="n"/>
      <x:c r="AU111" s="302" t="n"/>
      <x:c r="AV111" s="302" t="n"/>
      <x:c r="AW111" s="302" t="n"/>
      <x:c r="AX111" s="302" t="n"/>
      <x:c r="AY111" s="302" t="n"/>
      <x:c r="AZ111" s="302" t="n"/>
      <x:c r="BA111" s="302" t="n"/>
      <x:c r="BB111" s="302" t="n"/>
      <x:c r="BC111" s="302" t="n"/>
      <x:c r="BD111" s="302" t="n"/>
      <x:c r="BE111" s="302" t="n"/>
      <x:c r="BF111" s="302" t="n"/>
      <x:c r="BG111" s="302" t="n"/>
      <x:c r="BH111" s="302" t="n"/>
      <x:c r="BI111" s="302" t="n"/>
      <x:c r="BJ111" s="302" t="n"/>
      <x:c r="BK111" s="302" t="n"/>
      <x:c r="BL111" s="302" t="n"/>
      <x:c r="BM111" s="302" t="n"/>
      <x:c r="BN111" s="302" t="n"/>
      <x:c r="BO111" s="302" t="n"/>
      <x:c r="BP111" s="302" t="n"/>
      <x:c r="BQ111" s="302" t="n"/>
      <x:c r="BR111" s="302" t="n"/>
      <x:c r="BS111" s="302" t="n"/>
      <x:c r="BT111" s="302" t="n"/>
      <x:c r="BU111" s="302" t="n"/>
      <x:c r="BV111" s="302" t="n"/>
      <x:c r="BW111" s="302" t="n"/>
      <x:c r="BX111" s="302" t="n"/>
      <x:c r="BY111" s="302" t="n"/>
      <x:c r="BZ111" s="302" t="n"/>
      <x:c r="CA111" s="302" t="n"/>
      <x:c r="CB111" s="302" t="n"/>
      <x:c r="CC111" s="302" t="n"/>
      <x:c r="CD111" s="302" t="n"/>
    </x:row>
    <x:row r="112" s="27" customFormat="1">
      <x:c r="B112" s="37" t="n"/>
      <x:c r="C112" s="36" t="n">
        <x:f>E112*D$5</x:f>
        <x:v>0</x:v>
      </x:c>
      <x:c r="D112" s="20" t="n"/>
      <x:c r="E112" s="36" t="n">
        <x:f>SUM(G112:HI112)</x:f>
        <x:v>0</x:v>
      </x:c>
      <x:c r="H112" s="302" t="n"/>
      <x:c r="I112" s="302" t="n"/>
      <x:c r="J112" s="302" t="n"/>
      <x:c r="K112" s="302" t="n"/>
      <x:c r="L112" s="302" t="n"/>
      <x:c r="M112" s="302" t="n"/>
      <x:c r="N112" s="302" t="n"/>
      <x:c r="O112" s="302" t="n"/>
      <x:c r="P112" s="302" t="n"/>
      <x:c r="Q112" s="302" t="n"/>
      <x:c r="R112" s="302" t="n"/>
      <x:c r="S112" s="302" t="n"/>
      <x:c r="T112" s="302" t="n"/>
      <x:c r="U112" s="302" t="n"/>
      <x:c r="V112" s="302" t="n"/>
      <x:c r="W112" s="302" t="n"/>
      <x:c r="X112" s="302" t="n"/>
      <x:c r="Y112" s="302" t="n"/>
      <x:c r="Z112" s="302" t="n"/>
      <x:c r="AA112" s="302" t="n"/>
      <x:c r="AB112" s="302" t="n"/>
      <x:c r="AC112" s="302" t="n"/>
      <x:c r="AD112" s="302" t="n"/>
      <x:c r="AE112" s="302" t="n"/>
      <x:c r="AF112" s="302" t="n"/>
      <x:c r="AG112" s="302" t="n"/>
      <x:c r="AH112" s="302" t="n"/>
      <x:c r="AI112" s="302" t="n"/>
      <x:c r="AJ112" s="302" t="n"/>
      <x:c r="AK112" s="302" t="n"/>
      <x:c r="AL112" s="302" t="n"/>
      <x:c r="AM112" s="302" t="n"/>
      <x:c r="AN112" s="302" t="n"/>
      <x:c r="AO112" s="302" t="n"/>
      <x:c r="AP112" s="302" t="n"/>
      <x:c r="AQ112" s="302" t="n"/>
      <x:c r="AR112" s="302" t="n"/>
      <x:c r="AS112" s="302" t="n"/>
      <x:c r="AT112" s="302" t="n"/>
      <x:c r="AU112" s="302" t="n"/>
      <x:c r="AV112" s="302" t="n"/>
      <x:c r="AW112" s="302" t="n"/>
      <x:c r="AX112" s="302" t="n"/>
      <x:c r="AY112" s="302" t="n"/>
      <x:c r="AZ112" s="302" t="n"/>
      <x:c r="BA112" s="302" t="n"/>
      <x:c r="BB112" s="302" t="n"/>
      <x:c r="BC112" s="302" t="n"/>
      <x:c r="BD112" s="302" t="n"/>
      <x:c r="BE112" s="302" t="n"/>
      <x:c r="BF112" s="302" t="n"/>
      <x:c r="BG112" s="302" t="n"/>
      <x:c r="BH112" s="302" t="n"/>
      <x:c r="BI112" s="302" t="n"/>
      <x:c r="BJ112" s="302" t="n"/>
      <x:c r="BK112" s="302" t="n"/>
      <x:c r="BL112" s="302" t="n"/>
      <x:c r="BM112" s="302" t="n"/>
      <x:c r="BN112" s="302" t="n"/>
      <x:c r="BO112" s="302" t="n"/>
      <x:c r="BP112" s="302" t="n"/>
      <x:c r="BQ112" s="302" t="n"/>
      <x:c r="BR112" s="302" t="n"/>
      <x:c r="BS112" s="302" t="n"/>
      <x:c r="BT112" s="302" t="n"/>
      <x:c r="BU112" s="302" t="n"/>
      <x:c r="BV112" s="302" t="n"/>
      <x:c r="BW112" s="302" t="n"/>
      <x:c r="BX112" s="302" t="n"/>
      <x:c r="BY112" s="302" t="n"/>
      <x:c r="BZ112" s="302" t="n"/>
      <x:c r="CA112" s="302" t="n"/>
      <x:c r="CB112" s="302" t="n"/>
      <x:c r="CC112" s="302" t="n"/>
      <x:c r="CD112" s="302" t="n"/>
    </x:row>
    <x:row r="113" s="27" customFormat="1">
      <x:c r="B113" s="37" t="n"/>
      <x:c r="C113" s="36" t="n">
        <x:f>E113*D$5</x:f>
        <x:v>0</x:v>
      </x:c>
      <x:c r="D113" s="20" t="n"/>
      <x:c r="E113" s="36" t="n">
        <x:f>SUM(G113:HI113)</x:f>
        <x:v>0</x:v>
      </x:c>
      <x:c r="H113" s="302" t="n"/>
      <x:c r="I113" s="302" t="n"/>
      <x:c r="J113" s="302" t="n"/>
      <x:c r="K113" s="302" t="n"/>
      <x:c r="L113" s="302" t="n"/>
      <x:c r="M113" s="302" t="n"/>
      <x:c r="N113" s="302" t="n"/>
      <x:c r="O113" s="302" t="n"/>
      <x:c r="P113" s="302" t="n"/>
      <x:c r="Q113" s="302" t="n"/>
      <x:c r="R113" s="302" t="n"/>
      <x:c r="S113" s="302" t="n"/>
      <x:c r="T113" s="302" t="n"/>
      <x:c r="U113" s="302" t="n"/>
      <x:c r="V113" s="302" t="n"/>
      <x:c r="W113" s="302" t="n"/>
      <x:c r="X113" s="302" t="n"/>
      <x:c r="Y113" s="302" t="n"/>
      <x:c r="Z113" s="302" t="n"/>
      <x:c r="AA113" s="302" t="n"/>
      <x:c r="AB113" s="302" t="n"/>
      <x:c r="AC113" s="302" t="n"/>
      <x:c r="AD113" s="302" t="n"/>
      <x:c r="AE113" s="302" t="n"/>
      <x:c r="AF113" s="302" t="n"/>
      <x:c r="AG113" s="302" t="n"/>
      <x:c r="AH113" s="302" t="n"/>
      <x:c r="AI113" s="302" t="n"/>
      <x:c r="AJ113" s="302" t="n"/>
      <x:c r="AK113" s="302" t="n"/>
      <x:c r="AL113" s="302" t="n"/>
      <x:c r="AM113" s="302" t="n"/>
      <x:c r="AN113" s="302" t="n"/>
      <x:c r="AO113" s="302" t="n"/>
      <x:c r="AP113" s="302" t="n"/>
      <x:c r="AQ113" s="302" t="n"/>
      <x:c r="AR113" s="302" t="n"/>
      <x:c r="AS113" s="302" t="n"/>
      <x:c r="AT113" s="302" t="n"/>
      <x:c r="AU113" s="302" t="n"/>
      <x:c r="AV113" s="302" t="n"/>
      <x:c r="AW113" s="302" t="n"/>
      <x:c r="AX113" s="302" t="n"/>
      <x:c r="AY113" s="302" t="n"/>
      <x:c r="AZ113" s="302" t="n"/>
      <x:c r="BA113" s="302" t="n"/>
      <x:c r="BB113" s="302" t="n"/>
      <x:c r="BC113" s="302" t="n"/>
      <x:c r="BD113" s="302" t="n"/>
      <x:c r="BE113" s="302" t="n"/>
      <x:c r="BF113" s="302" t="n"/>
      <x:c r="BG113" s="302" t="n"/>
      <x:c r="BH113" s="302" t="n"/>
      <x:c r="BI113" s="302" t="n"/>
      <x:c r="BJ113" s="302" t="n"/>
      <x:c r="BK113" s="302" t="n"/>
      <x:c r="BL113" s="302" t="n"/>
      <x:c r="BM113" s="302" t="n"/>
      <x:c r="BN113" s="302" t="n"/>
      <x:c r="BO113" s="302" t="n"/>
      <x:c r="BP113" s="302" t="n"/>
      <x:c r="BQ113" s="302" t="n"/>
      <x:c r="BR113" s="302" t="n"/>
      <x:c r="BS113" s="302" t="n"/>
      <x:c r="BT113" s="302" t="n"/>
      <x:c r="BU113" s="302" t="n"/>
      <x:c r="BV113" s="302" t="n"/>
      <x:c r="BW113" s="302" t="n"/>
      <x:c r="BX113" s="302" t="n"/>
      <x:c r="BY113" s="302" t="n"/>
      <x:c r="BZ113" s="302" t="n"/>
      <x:c r="CA113" s="302" t="n"/>
      <x:c r="CB113" s="302" t="n"/>
      <x:c r="CC113" s="302" t="n"/>
      <x:c r="CD113" s="302" t="n"/>
    </x:row>
    <x:row r="114" s="27" customFormat="1">
      <x:c r="B114" s="37" t="n"/>
      <x:c r="C114" s="36" t="n">
        <x:f>E114*D$5</x:f>
        <x:v>0</x:v>
      </x:c>
      <x:c r="D114" s="20" t="n"/>
      <x:c r="E114" s="36" t="n">
        <x:f>SUM(G114:HI114)</x:f>
        <x:v>0</x:v>
      </x:c>
      <x:c r="H114" s="302" t="n"/>
      <x:c r="I114" s="302" t="n"/>
      <x:c r="J114" s="302" t="n"/>
      <x:c r="K114" s="302" t="n"/>
      <x:c r="L114" s="302" t="n"/>
      <x:c r="M114" s="302" t="n"/>
      <x:c r="N114" s="302" t="n"/>
      <x:c r="O114" s="302" t="n"/>
      <x:c r="P114" s="302" t="n"/>
      <x:c r="Q114" s="302" t="n"/>
      <x:c r="R114" s="302" t="n"/>
      <x:c r="S114" s="302" t="n"/>
      <x:c r="T114" s="302" t="n"/>
      <x:c r="U114" s="302" t="n"/>
      <x:c r="V114" s="302" t="n"/>
      <x:c r="W114" s="302" t="n"/>
      <x:c r="X114" s="302" t="n"/>
      <x:c r="Y114" s="302" t="n"/>
      <x:c r="Z114" s="302" t="n"/>
      <x:c r="AA114" s="302" t="n"/>
      <x:c r="AB114" s="302" t="n"/>
      <x:c r="AC114" s="302" t="n"/>
      <x:c r="AD114" s="302" t="n"/>
      <x:c r="AE114" s="302" t="n"/>
      <x:c r="AF114" s="302" t="n"/>
      <x:c r="AG114" s="302" t="n"/>
      <x:c r="AH114" s="302" t="n"/>
      <x:c r="AI114" s="302" t="n"/>
      <x:c r="AJ114" s="302" t="n"/>
      <x:c r="AK114" s="302" t="n"/>
      <x:c r="AL114" s="302" t="n"/>
      <x:c r="AM114" s="302" t="n"/>
      <x:c r="AN114" s="302" t="n"/>
      <x:c r="AO114" s="302" t="n"/>
      <x:c r="AP114" s="302" t="n"/>
      <x:c r="AQ114" s="302" t="n"/>
      <x:c r="AR114" s="302" t="n"/>
      <x:c r="AS114" s="302" t="n"/>
      <x:c r="AT114" s="302" t="n"/>
      <x:c r="AU114" s="302" t="n"/>
      <x:c r="AV114" s="302" t="n"/>
      <x:c r="AW114" s="302" t="n"/>
      <x:c r="AX114" s="302" t="n"/>
      <x:c r="AY114" s="302" t="n"/>
      <x:c r="AZ114" s="302" t="n"/>
      <x:c r="BA114" s="302" t="n"/>
      <x:c r="BB114" s="302" t="n"/>
      <x:c r="BC114" s="302" t="n"/>
      <x:c r="BD114" s="302" t="n"/>
      <x:c r="BE114" s="302" t="n"/>
      <x:c r="BF114" s="302" t="n"/>
      <x:c r="BG114" s="302" t="n"/>
      <x:c r="BH114" s="302" t="n"/>
      <x:c r="BI114" s="302" t="n"/>
      <x:c r="BJ114" s="302" t="n"/>
      <x:c r="BK114" s="302" t="n"/>
      <x:c r="BL114" s="302" t="n"/>
      <x:c r="BM114" s="302" t="n"/>
      <x:c r="BN114" s="302" t="n"/>
      <x:c r="BO114" s="302" t="n"/>
      <x:c r="BP114" s="302" t="n"/>
      <x:c r="BQ114" s="302" t="n"/>
      <x:c r="BR114" s="302" t="n"/>
      <x:c r="BS114" s="302" t="n"/>
      <x:c r="BT114" s="302" t="n"/>
      <x:c r="BU114" s="302" t="n"/>
      <x:c r="BV114" s="302" t="n"/>
      <x:c r="BW114" s="302" t="n"/>
      <x:c r="BX114" s="302" t="n"/>
      <x:c r="BY114" s="302" t="n"/>
      <x:c r="BZ114" s="302" t="n"/>
      <x:c r="CA114" s="302" t="n"/>
      <x:c r="CB114" s="302" t="n"/>
      <x:c r="CC114" s="302" t="n"/>
      <x:c r="CD114" s="302" t="n"/>
    </x:row>
    <x:row r="115" s="27" customFormat="1">
      <x:c r="B115" s="37" t="n"/>
      <x:c r="C115" s="36" t="n">
        <x:f>E115*D$5</x:f>
        <x:v>0</x:v>
      </x:c>
      <x:c r="D115" s="20" t="n"/>
      <x:c r="E115" s="36" t="n">
        <x:f>SUM(G115:HI115)</x:f>
        <x:v>0</x:v>
      </x:c>
      <x:c r="H115" s="302" t="n"/>
      <x:c r="I115" s="302" t="n"/>
      <x:c r="J115" s="302" t="n"/>
      <x:c r="K115" s="302" t="n"/>
      <x:c r="L115" s="302" t="n"/>
      <x:c r="M115" s="302" t="n"/>
      <x:c r="N115" s="302" t="n"/>
      <x:c r="O115" s="302" t="n"/>
      <x:c r="P115" s="302" t="n"/>
      <x:c r="Q115" s="302" t="n"/>
      <x:c r="R115" s="302" t="n"/>
      <x:c r="S115" s="302" t="n"/>
      <x:c r="T115" s="302" t="n"/>
      <x:c r="U115" s="302" t="n"/>
      <x:c r="V115" s="302" t="n"/>
      <x:c r="W115" s="302" t="n"/>
      <x:c r="X115" s="302" t="n"/>
      <x:c r="Y115" s="302" t="n"/>
      <x:c r="Z115" s="302" t="n"/>
      <x:c r="AA115" s="302" t="n"/>
      <x:c r="AB115" s="302" t="n"/>
      <x:c r="AC115" s="302" t="n"/>
      <x:c r="AD115" s="302" t="n"/>
      <x:c r="AE115" s="302" t="n"/>
      <x:c r="AF115" s="302" t="n"/>
      <x:c r="AG115" s="302" t="n"/>
      <x:c r="AH115" s="302" t="n"/>
      <x:c r="AI115" s="302" t="n"/>
      <x:c r="AJ115" s="302" t="n"/>
      <x:c r="AK115" s="302" t="n"/>
      <x:c r="AL115" s="302" t="n"/>
      <x:c r="AM115" s="302" t="n"/>
      <x:c r="AN115" s="302" t="n"/>
      <x:c r="AO115" s="302" t="n"/>
      <x:c r="AP115" s="302" t="n"/>
      <x:c r="AQ115" s="302" t="n"/>
      <x:c r="AR115" s="302" t="n"/>
      <x:c r="AS115" s="302" t="n"/>
      <x:c r="AT115" s="302" t="n"/>
      <x:c r="AU115" s="302" t="n"/>
      <x:c r="AV115" s="302" t="n"/>
      <x:c r="AW115" s="302" t="n"/>
      <x:c r="AX115" s="302" t="n"/>
      <x:c r="AY115" s="302" t="n"/>
      <x:c r="AZ115" s="302" t="n"/>
      <x:c r="BA115" s="302" t="n"/>
      <x:c r="BB115" s="302" t="n"/>
      <x:c r="BC115" s="302" t="n"/>
      <x:c r="BD115" s="302" t="n"/>
      <x:c r="BE115" s="302" t="n"/>
      <x:c r="BF115" s="302" t="n"/>
      <x:c r="BG115" s="302" t="n"/>
      <x:c r="BH115" s="302" t="n"/>
      <x:c r="BI115" s="302" t="n"/>
      <x:c r="BJ115" s="302" t="n"/>
      <x:c r="BK115" s="302" t="n"/>
      <x:c r="BL115" s="302" t="n"/>
      <x:c r="BM115" s="302" t="n"/>
      <x:c r="BN115" s="302" t="n"/>
      <x:c r="BO115" s="302" t="n"/>
      <x:c r="BP115" s="302" t="n"/>
      <x:c r="BQ115" s="302" t="n"/>
      <x:c r="BR115" s="302" t="n"/>
      <x:c r="BS115" s="302" t="n"/>
      <x:c r="BT115" s="302" t="n"/>
      <x:c r="BU115" s="302" t="n"/>
      <x:c r="BV115" s="302" t="n"/>
      <x:c r="BW115" s="302" t="n"/>
      <x:c r="BX115" s="302" t="n"/>
      <x:c r="BY115" s="302" t="n"/>
      <x:c r="BZ115" s="302" t="n"/>
      <x:c r="CA115" s="302" t="n"/>
      <x:c r="CB115" s="302" t="n"/>
      <x:c r="CC115" s="302" t="n"/>
      <x:c r="CD115" s="302" t="n"/>
    </x:row>
    <x:row r="116" s="27" customFormat="1">
      <x:c r="B116" s="37" t="n"/>
      <x:c r="C116" s="36" t="n">
        <x:f>E116*D$5</x:f>
        <x:v>0</x:v>
      </x:c>
      <x:c r="D116" s="20" t="n"/>
      <x:c r="E116" s="36" t="n">
        <x:f>SUM(G116:HI116)</x:f>
        <x:v>0</x:v>
      </x:c>
      <x:c r="H116" s="302" t="n"/>
      <x:c r="I116" s="302" t="n"/>
      <x:c r="J116" s="302" t="n"/>
      <x:c r="K116" s="302" t="n"/>
      <x:c r="L116" s="302" t="n"/>
      <x:c r="M116" s="302" t="n"/>
      <x:c r="N116" s="302" t="n"/>
      <x:c r="O116" s="302" t="n"/>
      <x:c r="P116" s="302" t="n"/>
      <x:c r="Q116" s="302" t="n"/>
      <x:c r="R116" s="302" t="n"/>
      <x:c r="S116" s="302" t="n"/>
      <x:c r="T116" s="302" t="n"/>
      <x:c r="U116" s="302" t="n"/>
      <x:c r="V116" s="302" t="n"/>
      <x:c r="W116" s="302" t="n"/>
      <x:c r="X116" s="302" t="n"/>
      <x:c r="Y116" s="302" t="n"/>
      <x:c r="Z116" s="302" t="n"/>
      <x:c r="AA116" s="302" t="n"/>
      <x:c r="AB116" s="302" t="n"/>
      <x:c r="AC116" s="302" t="n"/>
      <x:c r="AD116" s="302" t="n"/>
      <x:c r="AE116" s="302" t="n"/>
      <x:c r="AF116" s="302" t="n"/>
      <x:c r="AG116" s="302" t="n"/>
      <x:c r="AH116" s="302" t="n"/>
      <x:c r="AI116" s="302" t="n"/>
      <x:c r="AJ116" s="302" t="n"/>
      <x:c r="AK116" s="302" t="n"/>
      <x:c r="AL116" s="302" t="n"/>
      <x:c r="AM116" s="302" t="n"/>
      <x:c r="AN116" s="302" t="n"/>
      <x:c r="AO116" s="302" t="n"/>
      <x:c r="AP116" s="302" t="n"/>
      <x:c r="AQ116" s="302" t="n"/>
      <x:c r="AR116" s="302" t="n"/>
      <x:c r="AS116" s="302" t="n"/>
      <x:c r="AT116" s="302" t="n"/>
      <x:c r="AU116" s="302" t="n"/>
      <x:c r="AV116" s="302" t="n"/>
      <x:c r="AW116" s="302" t="n"/>
      <x:c r="AX116" s="302" t="n"/>
      <x:c r="AY116" s="302" t="n"/>
      <x:c r="AZ116" s="302" t="n"/>
      <x:c r="BA116" s="302" t="n"/>
      <x:c r="BB116" s="302" t="n"/>
      <x:c r="BC116" s="302" t="n"/>
      <x:c r="BD116" s="302" t="n"/>
      <x:c r="BE116" s="302" t="n"/>
      <x:c r="BF116" s="302" t="n"/>
      <x:c r="BG116" s="302" t="n"/>
      <x:c r="BH116" s="302" t="n"/>
      <x:c r="BI116" s="302" t="n"/>
      <x:c r="BJ116" s="302" t="n"/>
      <x:c r="BK116" s="302" t="n"/>
      <x:c r="BL116" s="302" t="n"/>
      <x:c r="BM116" s="302" t="n"/>
      <x:c r="BN116" s="302" t="n"/>
      <x:c r="BO116" s="302" t="n"/>
      <x:c r="BP116" s="302" t="n"/>
      <x:c r="BQ116" s="302" t="n"/>
      <x:c r="BR116" s="302" t="n"/>
      <x:c r="BS116" s="302" t="n"/>
      <x:c r="BT116" s="302" t="n"/>
      <x:c r="BU116" s="302" t="n"/>
      <x:c r="BV116" s="302" t="n"/>
      <x:c r="BW116" s="302" t="n"/>
      <x:c r="BX116" s="302" t="n"/>
      <x:c r="BY116" s="302" t="n"/>
      <x:c r="BZ116" s="302" t="n"/>
      <x:c r="CA116" s="302" t="n"/>
      <x:c r="CB116" s="302" t="n"/>
      <x:c r="CC116" s="302" t="n"/>
      <x:c r="CD116" s="302" t="n"/>
    </x:row>
    <x:row r="117" s="27" customFormat="1">
      <x:c r="B117" s="37" t="n"/>
      <x:c r="C117" s="36" t="n">
        <x:f>E117*D$5</x:f>
        <x:v>0</x:v>
      </x:c>
      <x:c r="D117" s="20" t="n"/>
      <x:c r="E117" s="36" t="n">
        <x:f>SUM(G117:HI117)</x:f>
        <x:v>0</x:v>
      </x:c>
      <x:c r="H117" s="302" t="n"/>
      <x:c r="I117" s="302" t="n"/>
      <x:c r="J117" s="302" t="n"/>
      <x:c r="K117" s="302" t="n"/>
      <x:c r="L117" s="302" t="n"/>
      <x:c r="M117" s="302" t="n"/>
      <x:c r="N117" s="302" t="n"/>
      <x:c r="O117" s="302" t="n"/>
      <x:c r="P117" s="302" t="n"/>
      <x:c r="Q117" s="302" t="n"/>
      <x:c r="R117" s="302" t="n"/>
      <x:c r="S117" s="302" t="n"/>
      <x:c r="T117" s="302" t="n"/>
      <x:c r="U117" s="302" t="n"/>
      <x:c r="V117" s="302" t="n"/>
      <x:c r="W117" s="302" t="n"/>
      <x:c r="X117" s="302" t="n"/>
      <x:c r="Y117" s="302" t="n"/>
      <x:c r="Z117" s="302" t="n"/>
      <x:c r="AA117" s="302" t="n"/>
      <x:c r="AB117" s="302" t="n"/>
      <x:c r="AC117" s="302" t="n"/>
      <x:c r="AD117" s="302" t="n"/>
      <x:c r="AE117" s="302" t="n"/>
      <x:c r="AF117" s="302" t="n"/>
      <x:c r="AG117" s="302" t="n"/>
      <x:c r="AH117" s="302" t="n"/>
      <x:c r="AI117" s="302" t="n"/>
      <x:c r="AJ117" s="302" t="n"/>
      <x:c r="AK117" s="302" t="n"/>
      <x:c r="AL117" s="302" t="n"/>
      <x:c r="AM117" s="302" t="n"/>
      <x:c r="AN117" s="302" t="n"/>
      <x:c r="AO117" s="302" t="n"/>
      <x:c r="AP117" s="302" t="n"/>
      <x:c r="AQ117" s="302" t="n"/>
      <x:c r="AR117" s="302" t="n"/>
      <x:c r="AS117" s="302" t="n"/>
      <x:c r="AT117" s="302" t="n"/>
      <x:c r="AU117" s="302" t="n"/>
      <x:c r="AV117" s="302" t="n"/>
      <x:c r="AW117" s="302" t="n"/>
      <x:c r="AX117" s="302" t="n"/>
      <x:c r="AY117" s="302" t="n"/>
      <x:c r="AZ117" s="302" t="n"/>
      <x:c r="BA117" s="302" t="n"/>
      <x:c r="BB117" s="302" t="n"/>
      <x:c r="BC117" s="302" t="n"/>
      <x:c r="BD117" s="302" t="n"/>
      <x:c r="BE117" s="302" t="n"/>
      <x:c r="BF117" s="302" t="n"/>
      <x:c r="BG117" s="302" t="n"/>
      <x:c r="BH117" s="302" t="n"/>
      <x:c r="BI117" s="302" t="n"/>
      <x:c r="BJ117" s="302" t="n"/>
      <x:c r="BK117" s="302" t="n"/>
      <x:c r="BL117" s="302" t="n"/>
      <x:c r="BM117" s="302" t="n"/>
      <x:c r="BN117" s="302" t="n"/>
      <x:c r="BO117" s="302" t="n"/>
      <x:c r="BP117" s="302" t="n"/>
      <x:c r="BQ117" s="302" t="n"/>
      <x:c r="BR117" s="302" t="n"/>
      <x:c r="BS117" s="302" t="n"/>
      <x:c r="BT117" s="302" t="n"/>
      <x:c r="BU117" s="302" t="n"/>
      <x:c r="BV117" s="302" t="n"/>
      <x:c r="BW117" s="302" t="n"/>
      <x:c r="BX117" s="302" t="n"/>
      <x:c r="BY117" s="302" t="n"/>
      <x:c r="BZ117" s="302" t="n"/>
      <x:c r="CA117" s="302" t="n"/>
      <x:c r="CB117" s="302" t="n"/>
      <x:c r="CC117" s="302" t="n"/>
      <x:c r="CD117" s="302" t="n"/>
    </x:row>
    <x:row r="118" s="27" customFormat="1">
      <x:c r="B118" s="37" t="n"/>
      <x:c r="C118" s="36" t="n">
        <x:f>E118*D$5</x:f>
        <x:v>0</x:v>
      </x:c>
      <x:c r="D118" s="20" t="n"/>
      <x:c r="E118" s="36" t="n">
        <x:f>SUM(G118:HI118)</x:f>
        <x:v>0</x:v>
      </x:c>
      <x:c r="H118" s="302" t="n"/>
      <x:c r="I118" s="302" t="n"/>
      <x:c r="J118" s="302" t="n"/>
      <x:c r="K118" s="302" t="n"/>
      <x:c r="L118" s="302" t="n"/>
      <x:c r="M118" s="302" t="n"/>
      <x:c r="N118" s="302" t="n"/>
      <x:c r="O118" s="302" t="n"/>
      <x:c r="P118" s="302" t="n"/>
      <x:c r="Q118" s="302" t="n"/>
      <x:c r="R118" s="302" t="n"/>
      <x:c r="S118" s="302" t="n"/>
      <x:c r="T118" s="302" t="n"/>
      <x:c r="U118" s="302" t="n"/>
      <x:c r="V118" s="302" t="n"/>
      <x:c r="W118" s="302" t="n"/>
      <x:c r="X118" s="302" t="n"/>
      <x:c r="Y118" s="302" t="n"/>
      <x:c r="Z118" s="302" t="n"/>
      <x:c r="AA118" s="302" t="n"/>
      <x:c r="AB118" s="302" t="n"/>
      <x:c r="AC118" s="302" t="n"/>
      <x:c r="AD118" s="302" t="n"/>
      <x:c r="AE118" s="302" t="n"/>
      <x:c r="AF118" s="302" t="n"/>
      <x:c r="AG118" s="302" t="n"/>
      <x:c r="AH118" s="302" t="n"/>
      <x:c r="AI118" s="302" t="n"/>
      <x:c r="AJ118" s="302" t="n"/>
      <x:c r="AK118" s="302" t="n"/>
      <x:c r="AL118" s="302" t="n"/>
      <x:c r="AM118" s="302" t="n"/>
      <x:c r="AN118" s="302" t="n"/>
      <x:c r="AO118" s="302" t="n"/>
      <x:c r="AP118" s="302" t="n"/>
      <x:c r="AQ118" s="302" t="n"/>
      <x:c r="AR118" s="302" t="n"/>
      <x:c r="AS118" s="302" t="n"/>
      <x:c r="AT118" s="302" t="n"/>
      <x:c r="AU118" s="302" t="n"/>
      <x:c r="AV118" s="302" t="n"/>
      <x:c r="AW118" s="302" t="n"/>
      <x:c r="AX118" s="302" t="n"/>
      <x:c r="AY118" s="302" t="n"/>
      <x:c r="AZ118" s="302" t="n"/>
      <x:c r="BA118" s="302" t="n"/>
      <x:c r="BB118" s="302" t="n"/>
      <x:c r="BC118" s="302" t="n"/>
      <x:c r="BD118" s="302" t="n"/>
      <x:c r="BE118" s="302" t="n"/>
      <x:c r="BF118" s="302" t="n"/>
      <x:c r="BG118" s="302" t="n"/>
      <x:c r="BH118" s="302" t="n"/>
      <x:c r="BI118" s="302" t="n"/>
      <x:c r="BJ118" s="302" t="n"/>
      <x:c r="BK118" s="302" t="n"/>
      <x:c r="BL118" s="302" t="n"/>
      <x:c r="BM118" s="302" t="n"/>
      <x:c r="BN118" s="302" t="n"/>
      <x:c r="BO118" s="302" t="n"/>
      <x:c r="BP118" s="302" t="n"/>
      <x:c r="BQ118" s="302" t="n"/>
      <x:c r="BR118" s="302" t="n"/>
      <x:c r="BS118" s="302" t="n"/>
      <x:c r="BT118" s="302" t="n"/>
      <x:c r="BU118" s="302" t="n"/>
      <x:c r="BV118" s="302" t="n"/>
      <x:c r="BW118" s="302" t="n"/>
      <x:c r="BX118" s="302" t="n"/>
      <x:c r="BY118" s="302" t="n"/>
      <x:c r="BZ118" s="302" t="n"/>
      <x:c r="CA118" s="302" t="n"/>
      <x:c r="CB118" s="302" t="n"/>
      <x:c r="CC118" s="302" t="n"/>
      <x:c r="CD118" s="302" t="n"/>
    </x:row>
    <x:row r="119" s="27" customFormat="1">
      <x:c r="B119" s="37" t="n"/>
      <x:c r="C119" s="36" t="n">
        <x:f>E119*D$5</x:f>
        <x:v>0</x:v>
      </x:c>
      <x:c r="D119" s="20" t="n"/>
      <x:c r="E119" s="36" t="n">
        <x:f>SUM(G119:HI119)</x:f>
        <x:v>0</x:v>
      </x:c>
      <x:c r="H119" s="302" t="n"/>
      <x:c r="I119" s="302" t="n"/>
      <x:c r="J119" s="302" t="n"/>
      <x:c r="K119" s="302" t="n"/>
      <x:c r="L119" s="302" t="n"/>
      <x:c r="M119" s="302" t="n"/>
      <x:c r="N119" s="302" t="n"/>
      <x:c r="O119" s="302" t="n"/>
      <x:c r="P119" s="302" t="n"/>
      <x:c r="Q119" s="302" t="n"/>
      <x:c r="R119" s="302" t="n"/>
      <x:c r="S119" s="302" t="n"/>
      <x:c r="T119" s="302" t="n"/>
      <x:c r="U119" s="302" t="n"/>
      <x:c r="V119" s="302" t="n"/>
      <x:c r="W119" s="302" t="n"/>
      <x:c r="X119" s="302" t="n"/>
      <x:c r="Y119" s="302" t="n"/>
      <x:c r="Z119" s="302" t="n"/>
      <x:c r="AA119" s="302" t="n"/>
      <x:c r="AB119" s="302" t="n"/>
      <x:c r="AC119" s="302" t="n"/>
      <x:c r="AD119" s="302" t="n"/>
      <x:c r="AE119" s="302" t="n"/>
      <x:c r="AF119" s="302" t="n"/>
      <x:c r="AG119" s="302" t="n"/>
      <x:c r="AH119" s="302" t="n"/>
      <x:c r="AI119" s="302" t="n"/>
      <x:c r="AJ119" s="302" t="n"/>
      <x:c r="AK119" s="302" t="n"/>
      <x:c r="AL119" s="302" t="n"/>
      <x:c r="AM119" s="302" t="n"/>
      <x:c r="AN119" s="302" t="n"/>
      <x:c r="AO119" s="302" t="n"/>
      <x:c r="AP119" s="302" t="n"/>
      <x:c r="AQ119" s="302" t="n"/>
      <x:c r="AR119" s="302" t="n"/>
      <x:c r="AS119" s="302" t="n"/>
      <x:c r="AT119" s="302" t="n"/>
      <x:c r="AU119" s="302" t="n"/>
      <x:c r="AV119" s="302" t="n"/>
      <x:c r="AW119" s="302" t="n"/>
      <x:c r="AX119" s="302" t="n"/>
      <x:c r="AY119" s="302" t="n"/>
      <x:c r="AZ119" s="302" t="n"/>
      <x:c r="BA119" s="302" t="n"/>
      <x:c r="BB119" s="302" t="n"/>
      <x:c r="BC119" s="302" t="n"/>
      <x:c r="BD119" s="302" t="n"/>
      <x:c r="BE119" s="302" t="n"/>
      <x:c r="BF119" s="302" t="n"/>
      <x:c r="BG119" s="302" t="n"/>
      <x:c r="BH119" s="302" t="n"/>
      <x:c r="BI119" s="302" t="n"/>
      <x:c r="BJ119" s="302" t="n"/>
      <x:c r="BK119" s="302" t="n"/>
      <x:c r="BL119" s="302" t="n"/>
      <x:c r="BM119" s="302" t="n"/>
      <x:c r="BN119" s="302" t="n"/>
      <x:c r="BO119" s="302" t="n"/>
      <x:c r="BP119" s="302" t="n"/>
      <x:c r="BQ119" s="302" t="n"/>
      <x:c r="BR119" s="302" t="n"/>
      <x:c r="BS119" s="302" t="n"/>
      <x:c r="BT119" s="302" t="n"/>
      <x:c r="BU119" s="302" t="n"/>
      <x:c r="BV119" s="302" t="n"/>
      <x:c r="BW119" s="302" t="n"/>
      <x:c r="BX119" s="302" t="n"/>
      <x:c r="BY119" s="302" t="n"/>
      <x:c r="BZ119" s="302" t="n"/>
      <x:c r="CA119" s="302" t="n"/>
      <x:c r="CB119" s="302" t="n"/>
      <x:c r="CC119" s="302" t="n"/>
      <x:c r="CD119" s="302" t="n"/>
    </x:row>
    <x:row r="120" s="27" customFormat="1">
      <x:c r="B120" s="37" t="n"/>
      <x:c r="C120" s="36" t="n">
        <x:f>E120*D$5</x:f>
        <x:v>0</x:v>
      </x:c>
      <x:c r="D120" s="20" t="n"/>
      <x:c r="E120" s="36" t="n">
        <x:f>SUM(G120:HI120)</x:f>
        <x:v>0</x:v>
      </x:c>
      <x:c r="H120" s="302" t="n"/>
      <x:c r="I120" s="302" t="n"/>
      <x:c r="J120" s="302" t="n"/>
      <x:c r="K120" s="302" t="n"/>
      <x:c r="L120" s="302" t="n"/>
      <x:c r="M120" s="302" t="n"/>
      <x:c r="N120" s="302" t="n"/>
      <x:c r="O120" s="302" t="n"/>
      <x:c r="P120" s="302" t="n"/>
      <x:c r="Q120" s="302" t="n"/>
      <x:c r="R120" s="302" t="n"/>
      <x:c r="S120" s="302" t="n"/>
      <x:c r="T120" s="302" t="n"/>
      <x:c r="U120" s="302" t="n"/>
      <x:c r="V120" s="302" t="n"/>
      <x:c r="W120" s="302" t="n"/>
      <x:c r="X120" s="302" t="n"/>
      <x:c r="Y120" s="302" t="n"/>
      <x:c r="Z120" s="302" t="n"/>
      <x:c r="AA120" s="302" t="n"/>
      <x:c r="AB120" s="302" t="n"/>
      <x:c r="AC120" s="302" t="n"/>
      <x:c r="AD120" s="302" t="n"/>
      <x:c r="AE120" s="302" t="n"/>
      <x:c r="AF120" s="302" t="n"/>
      <x:c r="AG120" s="302" t="n"/>
      <x:c r="AH120" s="302" t="n"/>
      <x:c r="AI120" s="302" t="n"/>
      <x:c r="AJ120" s="302" t="n"/>
      <x:c r="AK120" s="302" t="n"/>
      <x:c r="AL120" s="302" t="n"/>
      <x:c r="AM120" s="302" t="n"/>
      <x:c r="AN120" s="302" t="n"/>
      <x:c r="AO120" s="302" t="n"/>
      <x:c r="AP120" s="302" t="n"/>
      <x:c r="AQ120" s="302" t="n"/>
      <x:c r="AR120" s="302" t="n"/>
      <x:c r="AS120" s="302" t="n"/>
      <x:c r="AT120" s="302" t="n"/>
      <x:c r="AU120" s="302" t="n"/>
      <x:c r="AV120" s="302" t="n"/>
      <x:c r="AW120" s="302" t="n"/>
      <x:c r="AX120" s="302" t="n"/>
      <x:c r="AY120" s="302" t="n"/>
      <x:c r="AZ120" s="302" t="n"/>
      <x:c r="BA120" s="302" t="n"/>
      <x:c r="BB120" s="302" t="n"/>
      <x:c r="BC120" s="302" t="n"/>
      <x:c r="BD120" s="302" t="n"/>
      <x:c r="BE120" s="302" t="n"/>
      <x:c r="BF120" s="302" t="n"/>
      <x:c r="BG120" s="302" t="n"/>
      <x:c r="BH120" s="302" t="n"/>
      <x:c r="BI120" s="302" t="n"/>
      <x:c r="BJ120" s="302" t="n"/>
      <x:c r="BK120" s="302" t="n"/>
      <x:c r="BL120" s="302" t="n"/>
      <x:c r="BM120" s="302" t="n"/>
      <x:c r="BN120" s="302" t="n"/>
      <x:c r="BO120" s="302" t="n"/>
      <x:c r="BP120" s="302" t="n"/>
      <x:c r="BQ120" s="302" t="n"/>
      <x:c r="BR120" s="302" t="n"/>
      <x:c r="BS120" s="302" t="n"/>
      <x:c r="BT120" s="302" t="n"/>
      <x:c r="BU120" s="302" t="n"/>
      <x:c r="BV120" s="302" t="n"/>
      <x:c r="BW120" s="302" t="n"/>
      <x:c r="BX120" s="302" t="n"/>
      <x:c r="BY120" s="302" t="n"/>
      <x:c r="BZ120" s="302" t="n"/>
      <x:c r="CA120" s="302" t="n"/>
      <x:c r="CB120" s="302" t="n"/>
      <x:c r="CC120" s="302" t="n"/>
      <x:c r="CD120" s="302" t="n"/>
    </x:row>
    <x:row r="121" s="27" customFormat="1">
      <x:c r="B121" s="37" t="n"/>
      <x:c r="C121" s="36" t="n">
        <x:f>E121*D$5</x:f>
        <x:v>0</x:v>
      </x:c>
      <x:c r="D121" s="20" t="n"/>
      <x:c r="E121" s="36" t="n">
        <x:f>SUM(G121:HI121)</x:f>
        <x:v>0</x:v>
      </x:c>
      <x:c r="H121" s="302" t="n"/>
      <x:c r="I121" s="302" t="n"/>
      <x:c r="J121" s="302" t="n"/>
      <x:c r="K121" s="302" t="n"/>
      <x:c r="L121" s="302" t="n"/>
      <x:c r="M121" s="302" t="n"/>
      <x:c r="N121" s="302" t="n"/>
      <x:c r="O121" s="302" t="n"/>
      <x:c r="P121" s="302" t="n"/>
      <x:c r="Q121" s="302" t="n"/>
      <x:c r="R121" s="302" t="n"/>
      <x:c r="S121" s="302" t="n"/>
      <x:c r="T121" s="302" t="n"/>
      <x:c r="U121" s="302" t="n"/>
      <x:c r="V121" s="302" t="n"/>
      <x:c r="W121" s="302" t="n"/>
      <x:c r="X121" s="302" t="n"/>
      <x:c r="Y121" s="302" t="n"/>
      <x:c r="Z121" s="302" t="n"/>
      <x:c r="AA121" s="302" t="n"/>
      <x:c r="AB121" s="302" t="n"/>
      <x:c r="AC121" s="302" t="n"/>
      <x:c r="AD121" s="302" t="n"/>
      <x:c r="AE121" s="302" t="n"/>
      <x:c r="AF121" s="302" t="n"/>
      <x:c r="AG121" s="302" t="n"/>
      <x:c r="AH121" s="302" t="n"/>
      <x:c r="AI121" s="302" t="n"/>
      <x:c r="AJ121" s="302" t="n"/>
      <x:c r="AK121" s="302" t="n"/>
      <x:c r="AL121" s="302" t="n"/>
      <x:c r="AM121" s="302" t="n"/>
      <x:c r="AN121" s="302" t="n"/>
      <x:c r="AO121" s="302" t="n"/>
      <x:c r="AP121" s="302" t="n"/>
      <x:c r="AQ121" s="302" t="n"/>
      <x:c r="AR121" s="302" t="n"/>
      <x:c r="AS121" s="302" t="n"/>
      <x:c r="AT121" s="302" t="n"/>
      <x:c r="AU121" s="302" t="n"/>
      <x:c r="AV121" s="302" t="n"/>
      <x:c r="AW121" s="302" t="n"/>
      <x:c r="AX121" s="302" t="n"/>
      <x:c r="AY121" s="302" t="n"/>
      <x:c r="AZ121" s="302" t="n"/>
      <x:c r="BA121" s="302" t="n"/>
      <x:c r="BB121" s="302" t="n"/>
      <x:c r="BC121" s="302" t="n"/>
      <x:c r="BD121" s="302" t="n"/>
      <x:c r="BE121" s="302" t="n"/>
      <x:c r="BF121" s="302" t="n"/>
      <x:c r="BG121" s="302" t="n"/>
      <x:c r="BH121" s="302" t="n"/>
      <x:c r="BI121" s="302" t="n"/>
      <x:c r="BJ121" s="302" t="n"/>
      <x:c r="BK121" s="302" t="n"/>
      <x:c r="BL121" s="302" t="n"/>
      <x:c r="BM121" s="302" t="n"/>
      <x:c r="BN121" s="302" t="n"/>
      <x:c r="BO121" s="302" t="n"/>
      <x:c r="BP121" s="302" t="n"/>
      <x:c r="BQ121" s="302" t="n"/>
      <x:c r="BR121" s="302" t="n"/>
      <x:c r="BS121" s="302" t="n"/>
      <x:c r="BT121" s="302" t="n"/>
      <x:c r="BU121" s="302" t="n"/>
      <x:c r="BV121" s="302" t="n"/>
      <x:c r="BW121" s="302" t="n"/>
      <x:c r="BX121" s="302" t="n"/>
      <x:c r="BY121" s="302" t="n"/>
      <x:c r="BZ121" s="302" t="n"/>
      <x:c r="CA121" s="302" t="n"/>
      <x:c r="CB121" s="302" t="n"/>
      <x:c r="CC121" s="302" t="n"/>
      <x:c r="CD121" s="302" t="n"/>
    </x:row>
    <x:row r="122" s="27" customFormat="1">
      <x:c r="B122" s="37" t="n"/>
      <x:c r="C122" s="36" t="n">
        <x:f>E122*D$5</x:f>
        <x:v>0</x:v>
      </x:c>
      <x:c r="D122" s="20" t="n"/>
      <x:c r="E122" s="36" t="n">
        <x:f>SUM(G122:HI122)</x:f>
        <x:v>0</x:v>
      </x:c>
      <x:c r="H122" s="302" t="n"/>
      <x:c r="I122" s="302" t="n"/>
      <x:c r="J122" s="302" t="n"/>
      <x:c r="K122" s="302" t="n"/>
      <x:c r="L122" s="302" t="n"/>
      <x:c r="M122" s="302" t="n"/>
      <x:c r="N122" s="302" t="n"/>
      <x:c r="O122" s="302" t="n"/>
      <x:c r="P122" s="302" t="n"/>
      <x:c r="Q122" s="302" t="n"/>
      <x:c r="R122" s="302" t="n"/>
      <x:c r="S122" s="302" t="n"/>
      <x:c r="T122" s="302" t="n"/>
      <x:c r="U122" s="302" t="n"/>
      <x:c r="V122" s="302" t="n"/>
      <x:c r="W122" s="302" t="n"/>
      <x:c r="X122" s="302" t="n"/>
      <x:c r="Y122" s="302" t="n"/>
      <x:c r="Z122" s="302" t="n"/>
      <x:c r="AA122" s="302" t="n"/>
      <x:c r="AB122" s="302" t="n"/>
      <x:c r="AC122" s="302" t="n"/>
      <x:c r="AD122" s="302" t="n"/>
      <x:c r="AE122" s="302" t="n"/>
      <x:c r="AF122" s="302" t="n"/>
      <x:c r="AG122" s="302" t="n"/>
      <x:c r="AH122" s="302" t="n"/>
      <x:c r="AI122" s="302" t="n"/>
      <x:c r="AJ122" s="302" t="n"/>
      <x:c r="AK122" s="302" t="n"/>
      <x:c r="AL122" s="302" t="n"/>
      <x:c r="AM122" s="302" t="n"/>
      <x:c r="AN122" s="302" t="n"/>
      <x:c r="AO122" s="302" t="n"/>
      <x:c r="AP122" s="302" t="n"/>
      <x:c r="AQ122" s="302" t="n"/>
      <x:c r="AR122" s="302" t="n"/>
      <x:c r="AS122" s="302" t="n"/>
      <x:c r="AT122" s="302" t="n"/>
      <x:c r="AU122" s="302" t="n"/>
      <x:c r="AV122" s="302" t="n"/>
      <x:c r="AW122" s="302" t="n"/>
      <x:c r="AX122" s="302" t="n"/>
      <x:c r="AY122" s="302" t="n"/>
      <x:c r="AZ122" s="302" t="n"/>
      <x:c r="BA122" s="302" t="n"/>
      <x:c r="BB122" s="302" t="n"/>
      <x:c r="BC122" s="302" t="n"/>
      <x:c r="BD122" s="302" t="n"/>
      <x:c r="BE122" s="302" t="n"/>
      <x:c r="BF122" s="302" t="n"/>
      <x:c r="BG122" s="302" t="n"/>
      <x:c r="BH122" s="302" t="n"/>
      <x:c r="BI122" s="302" t="n"/>
      <x:c r="BJ122" s="302" t="n"/>
      <x:c r="BK122" s="302" t="n"/>
      <x:c r="BL122" s="302" t="n"/>
      <x:c r="BM122" s="302" t="n"/>
      <x:c r="BN122" s="302" t="n"/>
      <x:c r="BO122" s="302" t="n"/>
      <x:c r="BP122" s="302" t="n"/>
      <x:c r="BQ122" s="302" t="n"/>
      <x:c r="BR122" s="302" t="n"/>
      <x:c r="BS122" s="302" t="n"/>
      <x:c r="BT122" s="302" t="n"/>
      <x:c r="BU122" s="302" t="n"/>
      <x:c r="BV122" s="302" t="n"/>
      <x:c r="BW122" s="302" t="n"/>
      <x:c r="BX122" s="302" t="n"/>
      <x:c r="BY122" s="302" t="n"/>
      <x:c r="BZ122" s="302" t="n"/>
      <x:c r="CA122" s="302" t="n"/>
      <x:c r="CB122" s="302" t="n"/>
      <x:c r="CC122" s="302" t="n"/>
      <x:c r="CD122" s="302" t="n"/>
    </x:row>
    <x:row r="123" s="27" customFormat="1">
      <x:c r="B123" s="37" t="n"/>
      <x:c r="C123" s="36" t="n">
        <x:f>E123*D$5</x:f>
        <x:v>0</x:v>
      </x:c>
      <x:c r="D123" s="20" t="n"/>
      <x:c r="E123" s="36" t="n">
        <x:f>SUM(G123:HI123)</x:f>
        <x:v>0</x:v>
      </x:c>
      <x:c r="H123" s="302" t="n"/>
      <x:c r="I123" s="302" t="n"/>
      <x:c r="J123" s="302" t="n"/>
      <x:c r="K123" s="302" t="n"/>
      <x:c r="L123" s="302" t="n"/>
      <x:c r="M123" s="302" t="n"/>
      <x:c r="N123" s="302" t="n"/>
      <x:c r="O123" s="302" t="n"/>
      <x:c r="P123" s="302" t="n"/>
      <x:c r="Q123" s="302" t="n"/>
      <x:c r="R123" s="302" t="n"/>
      <x:c r="S123" s="302" t="n"/>
      <x:c r="T123" s="302" t="n"/>
      <x:c r="U123" s="302" t="n"/>
      <x:c r="V123" s="302" t="n"/>
      <x:c r="W123" s="302" t="n"/>
      <x:c r="X123" s="302" t="n"/>
      <x:c r="Y123" s="302" t="n"/>
      <x:c r="Z123" s="302" t="n"/>
      <x:c r="AA123" s="302" t="n"/>
      <x:c r="AB123" s="302" t="n"/>
      <x:c r="AC123" s="302" t="n"/>
      <x:c r="AD123" s="302" t="n"/>
      <x:c r="AE123" s="302" t="n"/>
      <x:c r="AF123" s="302" t="n"/>
      <x:c r="AG123" s="302" t="n"/>
      <x:c r="AH123" s="302" t="n"/>
      <x:c r="AI123" s="302" t="n"/>
      <x:c r="AJ123" s="302" t="n"/>
      <x:c r="AK123" s="302" t="n"/>
      <x:c r="AL123" s="302" t="n"/>
      <x:c r="AM123" s="302" t="n"/>
      <x:c r="AN123" s="302" t="n"/>
      <x:c r="AO123" s="302" t="n"/>
      <x:c r="AP123" s="302" t="n"/>
      <x:c r="AQ123" s="302" t="n"/>
      <x:c r="AR123" s="302" t="n"/>
      <x:c r="AS123" s="302" t="n"/>
      <x:c r="AT123" s="302" t="n"/>
      <x:c r="AU123" s="302" t="n"/>
      <x:c r="AV123" s="302" t="n"/>
      <x:c r="AW123" s="302" t="n"/>
      <x:c r="AX123" s="302" t="n"/>
      <x:c r="AY123" s="302" t="n"/>
      <x:c r="AZ123" s="302" t="n"/>
      <x:c r="BA123" s="302" t="n"/>
      <x:c r="BB123" s="302" t="n"/>
      <x:c r="BC123" s="302" t="n"/>
      <x:c r="BD123" s="302" t="n"/>
      <x:c r="BE123" s="302" t="n"/>
      <x:c r="BF123" s="302" t="n"/>
      <x:c r="BG123" s="302" t="n"/>
      <x:c r="BH123" s="302" t="n"/>
      <x:c r="BI123" s="302" t="n"/>
      <x:c r="BJ123" s="302" t="n"/>
      <x:c r="BK123" s="302" t="n"/>
      <x:c r="BL123" s="302" t="n"/>
      <x:c r="BM123" s="302" t="n"/>
      <x:c r="BN123" s="302" t="n"/>
      <x:c r="BO123" s="302" t="n"/>
      <x:c r="BP123" s="302" t="n"/>
      <x:c r="BQ123" s="302" t="n"/>
      <x:c r="BR123" s="302" t="n"/>
      <x:c r="BS123" s="302" t="n"/>
      <x:c r="BT123" s="302" t="n"/>
      <x:c r="BU123" s="302" t="n"/>
      <x:c r="BV123" s="302" t="n"/>
      <x:c r="BW123" s="302" t="n"/>
      <x:c r="BX123" s="302" t="n"/>
      <x:c r="BY123" s="302" t="n"/>
      <x:c r="BZ123" s="302" t="n"/>
      <x:c r="CA123" s="302" t="n"/>
      <x:c r="CB123" s="302" t="n"/>
      <x:c r="CC123" s="302" t="n"/>
      <x:c r="CD123" s="302" t="n"/>
    </x:row>
    <x:row r="124" s="27" customFormat="1">
      <x:c r="B124" s="37" t="n"/>
      <x:c r="C124" s="36" t="n">
        <x:f>E124*D$5</x:f>
        <x:v>0</x:v>
      </x:c>
      <x:c r="D124" s="20" t="n"/>
      <x:c r="E124" s="36" t="n">
        <x:f>SUM(G124:HI124)</x:f>
        <x:v>0</x:v>
      </x:c>
      <x:c r="H124" s="302" t="n"/>
      <x:c r="I124" s="302" t="n"/>
      <x:c r="J124" s="302" t="n"/>
      <x:c r="K124" s="302" t="n"/>
      <x:c r="L124" s="302" t="n"/>
      <x:c r="M124" s="302" t="n"/>
      <x:c r="N124" s="302" t="n"/>
      <x:c r="O124" s="302" t="n"/>
      <x:c r="P124" s="302" t="n"/>
      <x:c r="Q124" s="302" t="n"/>
      <x:c r="R124" s="302" t="n"/>
      <x:c r="S124" s="302" t="n"/>
      <x:c r="T124" s="302" t="n"/>
      <x:c r="U124" s="302" t="n"/>
      <x:c r="V124" s="302" t="n"/>
      <x:c r="W124" s="302" t="n"/>
      <x:c r="X124" s="302" t="n"/>
      <x:c r="Y124" s="302" t="n"/>
      <x:c r="Z124" s="302" t="n"/>
      <x:c r="AA124" s="302" t="n"/>
      <x:c r="AB124" s="302" t="n"/>
      <x:c r="AC124" s="302" t="n"/>
      <x:c r="AD124" s="302" t="n"/>
      <x:c r="AE124" s="302" t="n"/>
      <x:c r="AF124" s="302" t="n"/>
      <x:c r="AG124" s="302" t="n"/>
      <x:c r="AH124" s="302" t="n"/>
      <x:c r="AI124" s="302" t="n"/>
      <x:c r="AJ124" s="302" t="n"/>
      <x:c r="AK124" s="302" t="n"/>
      <x:c r="AL124" s="302" t="n"/>
      <x:c r="AM124" s="302" t="n"/>
      <x:c r="AN124" s="302" t="n"/>
      <x:c r="AO124" s="302" t="n"/>
      <x:c r="AP124" s="302" t="n"/>
      <x:c r="AQ124" s="302" t="n"/>
      <x:c r="AR124" s="302" t="n"/>
      <x:c r="AS124" s="302" t="n"/>
      <x:c r="AT124" s="302" t="n"/>
      <x:c r="AU124" s="302" t="n"/>
      <x:c r="AV124" s="302" t="n"/>
      <x:c r="AW124" s="302" t="n"/>
      <x:c r="AX124" s="302" t="n"/>
      <x:c r="AY124" s="302" t="n"/>
      <x:c r="AZ124" s="302" t="n"/>
      <x:c r="BA124" s="302" t="n"/>
      <x:c r="BB124" s="302" t="n"/>
      <x:c r="BC124" s="302" t="n"/>
      <x:c r="BD124" s="302" t="n"/>
      <x:c r="BE124" s="302" t="n"/>
      <x:c r="BF124" s="302" t="n"/>
      <x:c r="BG124" s="302" t="n"/>
      <x:c r="BH124" s="302" t="n"/>
      <x:c r="BI124" s="302" t="n"/>
      <x:c r="BJ124" s="302" t="n"/>
      <x:c r="BK124" s="302" t="n"/>
      <x:c r="BL124" s="302" t="n"/>
      <x:c r="BM124" s="302" t="n"/>
      <x:c r="BN124" s="302" t="n"/>
      <x:c r="BO124" s="302" t="n"/>
      <x:c r="BP124" s="302" t="n"/>
      <x:c r="BQ124" s="302" t="n"/>
      <x:c r="BR124" s="302" t="n"/>
      <x:c r="BS124" s="302" t="n"/>
      <x:c r="BT124" s="302" t="n"/>
      <x:c r="BU124" s="302" t="n"/>
      <x:c r="BV124" s="302" t="n"/>
      <x:c r="BW124" s="302" t="n"/>
      <x:c r="BX124" s="302" t="n"/>
      <x:c r="BY124" s="302" t="n"/>
      <x:c r="BZ124" s="302" t="n"/>
      <x:c r="CA124" s="302" t="n"/>
      <x:c r="CB124" s="302" t="n"/>
      <x:c r="CC124" s="302" t="n"/>
      <x:c r="CD124" s="302" t="n"/>
    </x:row>
    <x:row r="125" s="27" customFormat="1">
      <x:c r="B125" s="37" t="n"/>
      <x:c r="C125" s="36" t="n">
        <x:f>E125*D$5</x:f>
        <x:v>0</x:v>
      </x:c>
      <x:c r="D125" s="20" t="n"/>
      <x:c r="E125" s="36" t="n">
        <x:f>SUM(G125:HI125)</x:f>
        <x:v>0</x:v>
      </x:c>
      <x:c r="H125" s="302" t="n"/>
      <x:c r="I125" s="302" t="n"/>
      <x:c r="J125" s="302" t="n"/>
      <x:c r="K125" s="302" t="n"/>
      <x:c r="L125" s="302" t="n"/>
      <x:c r="M125" s="302" t="n"/>
      <x:c r="N125" s="302" t="n"/>
      <x:c r="O125" s="302" t="n"/>
      <x:c r="P125" s="302" t="n"/>
      <x:c r="Q125" s="302" t="n"/>
      <x:c r="R125" s="302" t="n"/>
      <x:c r="S125" s="302" t="n"/>
      <x:c r="T125" s="302" t="n"/>
      <x:c r="U125" s="302" t="n"/>
      <x:c r="V125" s="302" t="n"/>
      <x:c r="W125" s="302" t="n"/>
      <x:c r="X125" s="302" t="n"/>
      <x:c r="Y125" s="302" t="n"/>
      <x:c r="Z125" s="302" t="n"/>
      <x:c r="AA125" s="302" t="n"/>
      <x:c r="AB125" s="302" t="n"/>
      <x:c r="AC125" s="302" t="n"/>
      <x:c r="AD125" s="302" t="n"/>
      <x:c r="AE125" s="302" t="n"/>
      <x:c r="AF125" s="302" t="n"/>
      <x:c r="AG125" s="302" t="n"/>
      <x:c r="AH125" s="302" t="n"/>
      <x:c r="AI125" s="302" t="n"/>
      <x:c r="AJ125" s="302" t="n"/>
      <x:c r="AK125" s="302" t="n"/>
      <x:c r="AL125" s="302" t="n"/>
      <x:c r="AM125" s="302" t="n"/>
      <x:c r="AN125" s="302" t="n"/>
      <x:c r="AO125" s="302" t="n"/>
      <x:c r="AP125" s="302" t="n"/>
      <x:c r="AQ125" s="302" t="n"/>
      <x:c r="AR125" s="302" t="n"/>
      <x:c r="AS125" s="302" t="n"/>
      <x:c r="AT125" s="302" t="n"/>
      <x:c r="AU125" s="302" t="n"/>
      <x:c r="AV125" s="302" t="n"/>
      <x:c r="AW125" s="302" t="n"/>
      <x:c r="AX125" s="302" t="n"/>
      <x:c r="AY125" s="302" t="n"/>
      <x:c r="AZ125" s="302" t="n"/>
      <x:c r="BA125" s="302" t="n"/>
      <x:c r="BB125" s="302" t="n"/>
      <x:c r="BC125" s="302" t="n"/>
      <x:c r="BD125" s="302" t="n"/>
      <x:c r="BE125" s="302" t="n"/>
      <x:c r="BF125" s="302" t="n"/>
      <x:c r="BG125" s="302" t="n"/>
      <x:c r="BH125" s="302" t="n"/>
      <x:c r="BI125" s="302" t="n"/>
      <x:c r="BJ125" s="302" t="n"/>
      <x:c r="BK125" s="302" t="n"/>
      <x:c r="BL125" s="302" t="n"/>
      <x:c r="BM125" s="302" t="n"/>
      <x:c r="BN125" s="302" t="n"/>
      <x:c r="BO125" s="302" t="n"/>
      <x:c r="BP125" s="302" t="n"/>
      <x:c r="BQ125" s="302" t="n"/>
      <x:c r="BR125" s="302" t="n"/>
      <x:c r="BS125" s="302" t="n"/>
      <x:c r="BT125" s="302" t="n"/>
      <x:c r="BU125" s="302" t="n"/>
      <x:c r="BV125" s="302" t="n"/>
      <x:c r="BW125" s="302" t="n"/>
      <x:c r="BX125" s="302" t="n"/>
      <x:c r="BY125" s="302" t="n"/>
      <x:c r="BZ125" s="302" t="n"/>
      <x:c r="CA125" s="302" t="n"/>
      <x:c r="CB125" s="302" t="n"/>
      <x:c r="CC125" s="302" t="n"/>
      <x:c r="CD125" s="302" t="n"/>
    </x:row>
    <x:row r="126" s="27" customFormat="1">
      <x:c r="B126" s="37" t="n"/>
      <x:c r="C126" s="36" t="n">
        <x:f>E126*D$5</x:f>
        <x:v>0</x:v>
      </x:c>
      <x:c r="D126" s="20" t="n"/>
      <x:c r="E126" s="36" t="n">
        <x:f>SUM(G126:HI126)</x:f>
        <x:v>0</x:v>
      </x:c>
      <x:c r="H126" s="302" t="n"/>
      <x:c r="I126" s="302" t="n"/>
      <x:c r="J126" s="302" t="n"/>
      <x:c r="K126" s="302" t="n"/>
      <x:c r="L126" s="302" t="n"/>
      <x:c r="M126" s="302" t="n"/>
      <x:c r="N126" s="302" t="n"/>
      <x:c r="O126" s="302" t="n"/>
      <x:c r="P126" s="302" t="n"/>
      <x:c r="Q126" s="302" t="n"/>
      <x:c r="R126" s="302" t="n"/>
      <x:c r="S126" s="302" t="n"/>
      <x:c r="T126" s="302" t="n"/>
      <x:c r="U126" s="302" t="n"/>
      <x:c r="V126" s="302" t="n"/>
      <x:c r="W126" s="302" t="n"/>
      <x:c r="X126" s="302" t="n"/>
      <x:c r="Y126" s="302" t="n"/>
      <x:c r="Z126" s="302" t="n"/>
      <x:c r="AA126" s="302" t="n"/>
      <x:c r="AB126" s="302" t="n"/>
      <x:c r="AC126" s="302" t="n"/>
      <x:c r="AD126" s="302" t="n"/>
      <x:c r="AE126" s="302" t="n"/>
      <x:c r="AF126" s="302" t="n"/>
      <x:c r="AG126" s="302" t="n"/>
      <x:c r="AH126" s="302" t="n"/>
      <x:c r="AI126" s="302" t="n"/>
      <x:c r="AJ126" s="302" t="n"/>
      <x:c r="AK126" s="302" t="n"/>
      <x:c r="AL126" s="302" t="n"/>
      <x:c r="AM126" s="302" t="n"/>
      <x:c r="AN126" s="302" t="n"/>
      <x:c r="AO126" s="302" t="n"/>
      <x:c r="AP126" s="302" t="n"/>
      <x:c r="AQ126" s="302" t="n"/>
      <x:c r="AR126" s="302" t="n"/>
      <x:c r="AS126" s="302" t="n"/>
      <x:c r="AT126" s="302" t="n"/>
      <x:c r="AU126" s="302" t="n"/>
      <x:c r="AV126" s="302" t="n"/>
      <x:c r="AW126" s="302" t="n"/>
      <x:c r="AX126" s="302" t="n"/>
      <x:c r="AY126" s="302" t="n"/>
      <x:c r="AZ126" s="302" t="n"/>
      <x:c r="BA126" s="302" t="n"/>
      <x:c r="BB126" s="302" t="n"/>
      <x:c r="BC126" s="302" t="n"/>
      <x:c r="BD126" s="302" t="n"/>
      <x:c r="BE126" s="302" t="n"/>
      <x:c r="BF126" s="302" t="n"/>
      <x:c r="BG126" s="302" t="n"/>
      <x:c r="BH126" s="302" t="n"/>
      <x:c r="BI126" s="302" t="n"/>
      <x:c r="BJ126" s="302" t="n"/>
      <x:c r="BK126" s="302" t="n"/>
      <x:c r="BL126" s="302" t="n"/>
      <x:c r="BM126" s="302" t="n"/>
      <x:c r="BN126" s="302" t="n"/>
      <x:c r="BO126" s="302" t="n"/>
      <x:c r="BP126" s="302" t="n"/>
      <x:c r="BQ126" s="302" t="n"/>
      <x:c r="BR126" s="302" t="n"/>
      <x:c r="BS126" s="302" t="n"/>
      <x:c r="BT126" s="302" t="n"/>
      <x:c r="BU126" s="302" t="n"/>
      <x:c r="BV126" s="302" t="n"/>
      <x:c r="BW126" s="302" t="n"/>
      <x:c r="BX126" s="302" t="n"/>
      <x:c r="BY126" s="302" t="n"/>
      <x:c r="BZ126" s="302" t="n"/>
      <x:c r="CA126" s="302" t="n"/>
      <x:c r="CB126" s="302" t="n"/>
      <x:c r="CC126" s="302" t="n"/>
      <x:c r="CD126" s="302" t="n"/>
    </x:row>
    <x:row r="127" s="27" customFormat="1">
      <x:c r="B127" s="37" t="n"/>
      <x:c r="C127" s="36" t="n">
        <x:f>E127*D$5</x:f>
        <x:v>0</x:v>
      </x:c>
      <x:c r="D127" s="20" t="n"/>
      <x:c r="E127" s="36" t="n">
        <x:f>SUM(G127:HI127)</x:f>
        <x:v>0</x:v>
      </x:c>
      <x:c r="H127" s="302" t="n"/>
      <x:c r="I127" s="302" t="n"/>
      <x:c r="J127" s="302" t="n"/>
      <x:c r="K127" s="302" t="n"/>
      <x:c r="L127" s="302" t="n"/>
      <x:c r="M127" s="302" t="n"/>
      <x:c r="N127" s="302" t="n"/>
      <x:c r="O127" s="302" t="n"/>
      <x:c r="P127" s="302" t="n"/>
      <x:c r="Q127" s="302" t="n"/>
      <x:c r="R127" s="302" t="n"/>
      <x:c r="S127" s="302" t="n"/>
      <x:c r="T127" s="302" t="n"/>
      <x:c r="U127" s="302" t="n"/>
      <x:c r="V127" s="302" t="n"/>
      <x:c r="W127" s="302" t="n"/>
      <x:c r="X127" s="302" t="n"/>
      <x:c r="Y127" s="302" t="n"/>
      <x:c r="Z127" s="302" t="n"/>
      <x:c r="AA127" s="302" t="n"/>
      <x:c r="AB127" s="302" t="n"/>
      <x:c r="AC127" s="302" t="n"/>
      <x:c r="AD127" s="302" t="n"/>
      <x:c r="AE127" s="302" t="n"/>
      <x:c r="AF127" s="302" t="n"/>
      <x:c r="AG127" s="302" t="n"/>
      <x:c r="AH127" s="302" t="n"/>
      <x:c r="AI127" s="302" t="n"/>
      <x:c r="AJ127" s="302" t="n"/>
      <x:c r="AK127" s="302" t="n"/>
      <x:c r="AL127" s="302" t="n"/>
      <x:c r="AM127" s="302" t="n"/>
      <x:c r="AN127" s="302" t="n"/>
      <x:c r="AO127" s="302" t="n"/>
      <x:c r="AP127" s="302" t="n"/>
      <x:c r="AQ127" s="302" t="n"/>
      <x:c r="AR127" s="302" t="n"/>
      <x:c r="AS127" s="302" t="n"/>
      <x:c r="AT127" s="302" t="n"/>
      <x:c r="AU127" s="302" t="n"/>
      <x:c r="AV127" s="302" t="n"/>
      <x:c r="AW127" s="302" t="n"/>
      <x:c r="AX127" s="302" t="n"/>
      <x:c r="AY127" s="302" t="n"/>
      <x:c r="AZ127" s="302" t="n"/>
      <x:c r="BA127" s="302" t="n"/>
      <x:c r="BB127" s="302" t="n"/>
      <x:c r="BC127" s="302" t="n"/>
      <x:c r="BD127" s="302" t="n"/>
      <x:c r="BE127" s="302" t="n"/>
      <x:c r="BF127" s="302" t="n"/>
      <x:c r="BG127" s="302" t="n"/>
      <x:c r="BH127" s="302" t="n"/>
      <x:c r="BI127" s="302" t="n"/>
      <x:c r="BJ127" s="302" t="n"/>
      <x:c r="BK127" s="302" t="n"/>
      <x:c r="BL127" s="302" t="n"/>
      <x:c r="BM127" s="302" t="n"/>
      <x:c r="BN127" s="302" t="n"/>
      <x:c r="BO127" s="302" t="n"/>
      <x:c r="BP127" s="302" t="n"/>
      <x:c r="BQ127" s="302" t="n"/>
      <x:c r="BR127" s="302" t="n"/>
      <x:c r="BS127" s="302" t="n"/>
      <x:c r="BT127" s="302" t="n"/>
      <x:c r="BU127" s="302" t="n"/>
      <x:c r="BV127" s="302" t="n"/>
      <x:c r="BW127" s="302" t="n"/>
      <x:c r="BX127" s="302" t="n"/>
      <x:c r="BY127" s="302" t="n"/>
      <x:c r="BZ127" s="302" t="n"/>
      <x:c r="CA127" s="302" t="n"/>
      <x:c r="CB127" s="302" t="n"/>
      <x:c r="CC127" s="302" t="n"/>
      <x:c r="CD127" s="302" t="n"/>
    </x:row>
    <x:row r="128" s="27" customFormat="1">
      <x:c r="B128" s="37" t="n"/>
      <x:c r="C128" s="36" t="n">
        <x:f>E128*D$5</x:f>
        <x:v>0</x:v>
      </x:c>
      <x:c r="D128" s="20" t="n"/>
      <x:c r="E128" s="36" t="n">
        <x:f>SUM(G128:HI128)</x:f>
        <x:v>0</x:v>
      </x:c>
      <x:c r="H128" s="302" t="n"/>
      <x:c r="I128" s="302" t="n"/>
      <x:c r="J128" s="302" t="n"/>
      <x:c r="K128" s="302" t="n"/>
      <x:c r="L128" s="302" t="n"/>
      <x:c r="M128" s="302" t="n"/>
      <x:c r="N128" s="302" t="n"/>
      <x:c r="O128" s="302" t="n"/>
      <x:c r="P128" s="302" t="n"/>
      <x:c r="Q128" s="302" t="n"/>
      <x:c r="R128" s="302" t="n"/>
      <x:c r="S128" s="302" t="n"/>
      <x:c r="T128" s="302" t="n"/>
      <x:c r="U128" s="302" t="n"/>
      <x:c r="V128" s="302" t="n"/>
      <x:c r="W128" s="302" t="n"/>
      <x:c r="X128" s="302" t="n"/>
      <x:c r="Y128" s="302" t="n"/>
      <x:c r="Z128" s="302" t="n"/>
      <x:c r="AA128" s="302" t="n"/>
      <x:c r="AB128" s="302" t="n"/>
      <x:c r="AC128" s="302" t="n"/>
      <x:c r="AD128" s="302" t="n"/>
      <x:c r="AE128" s="302" t="n"/>
      <x:c r="AF128" s="302" t="n"/>
      <x:c r="AG128" s="302" t="n"/>
      <x:c r="AH128" s="302" t="n"/>
      <x:c r="AI128" s="302" t="n"/>
      <x:c r="AJ128" s="302" t="n"/>
      <x:c r="AK128" s="302" t="n"/>
      <x:c r="AL128" s="302" t="n"/>
      <x:c r="AM128" s="302" t="n"/>
      <x:c r="AN128" s="302" t="n"/>
      <x:c r="AO128" s="302" t="n"/>
      <x:c r="AP128" s="302" t="n"/>
      <x:c r="AQ128" s="302" t="n"/>
      <x:c r="AR128" s="302" t="n"/>
      <x:c r="AS128" s="302" t="n"/>
      <x:c r="AT128" s="302" t="n"/>
      <x:c r="AU128" s="302" t="n"/>
      <x:c r="AV128" s="302" t="n"/>
      <x:c r="AW128" s="302" t="n"/>
      <x:c r="AX128" s="302" t="n"/>
      <x:c r="AY128" s="302" t="n"/>
      <x:c r="AZ128" s="302" t="n"/>
      <x:c r="BA128" s="302" t="n"/>
      <x:c r="BB128" s="302" t="n"/>
      <x:c r="BC128" s="302" t="n"/>
      <x:c r="BD128" s="302" t="n"/>
      <x:c r="BE128" s="302" t="n"/>
      <x:c r="BF128" s="302" t="n"/>
      <x:c r="BG128" s="302" t="n"/>
      <x:c r="BH128" s="302" t="n"/>
      <x:c r="BI128" s="302" t="n"/>
      <x:c r="BJ128" s="302" t="n"/>
      <x:c r="BK128" s="302" t="n"/>
      <x:c r="BL128" s="302" t="n"/>
      <x:c r="BM128" s="302" t="n"/>
      <x:c r="BN128" s="302" t="n"/>
      <x:c r="BO128" s="302" t="n"/>
      <x:c r="BP128" s="302" t="n"/>
      <x:c r="BQ128" s="302" t="n"/>
      <x:c r="BR128" s="302" t="n"/>
      <x:c r="BS128" s="302" t="n"/>
      <x:c r="BT128" s="302" t="n"/>
      <x:c r="BU128" s="302" t="n"/>
      <x:c r="BV128" s="302" t="n"/>
      <x:c r="BW128" s="302" t="n"/>
      <x:c r="BX128" s="302" t="n"/>
      <x:c r="BY128" s="302" t="n"/>
      <x:c r="BZ128" s="302" t="n"/>
      <x:c r="CA128" s="302" t="n"/>
      <x:c r="CB128" s="302" t="n"/>
      <x:c r="CC128" s="302" t="n"/>
      <x:c r="CD128" s="302" t="n"/>
    </x:row>
    <x:row r="129" s="27" customFormat="1">
      <x:c r="B129" s="37" t="n"/>
      <x:c r="C129" s="36" t="n">
        <x:f>E129*D$5</x:f>
        <x:v>0</x:v>
      </x:c>
      <x:c r="D129" s="20" t="n"/>
      <x:c r="E129" s="36" t="n">
        <x:f>SUM(G129:HI129)</x:f>
        <x:v>0</x:v>
      </x:c>
      <x:c r="H129" s="302" t="n"/>
      <x:c r="I129" s="302" t="n"/>
      <x:c r="J129" s="302" t="n"/>
      <x:c r="K129" s="302" t="n"/>
      <x:c r="L129" s="302" t="n"/>
      <x:c r="M129" s="302" t="n"/>
      <x:c r="N129" s="302" t="n"/>
      <x:c r="O129" s="302" t="n"/>
      <x:c r="P129" s="302" t="n"/>
      <x:c r="Q129" s="302" t="n"/>
      <x:c r="R129" s="302" t="n"/>
      <x:c r="S129" s="302" t="n"/>
      <x:c r="T129" s="302" t="n"/>
      <x:c r="U129" s="302" t="n"/>
      <x:c r="V129" s="302" t="n"/>
      <x:c r="W129" s="302" t="n"/>
      <x:c r="X129" s="302" t="n"/>
      <x:c r="Y129" s="302" t="n"/>
      <x:c r="Z129" s="302" t="n"/>
      <x:c r="AA129" s="302" t="n"/>
      <x:c r="AB129" s="302" t="n"/>
      <x:c r="AC129" s="302" t="n"/>
      <x:c r="AD129" s="302" t="n"/>
      <x:c r="AE129" s="302" t="n"/>
      <x:c r="AF129" s="302" t="n"/>
      <x:c r="AG129" s="302" t="n"/>
      <x:c r="AH129" s="302" t="n"/>
      <x:c r="AI129" s="302" t="n"/>
      <x:c r="AJ129" s="302" t="n"/>
      <x:c r="AK129" s="302" t="n"/>
      <x:c r="AL129" s="302" t="n"/>
      <x:c r="AM129" s="302" t="n"/>
      <x:c r="AN129" s="302" t="n"/>
      <x:c r="AO129" s="302" t="n"/>
      <x:c r="AP129" s="302" t="n"/>
      <x:c r="AQ129" s="302" t="n"/>
      <x:c r="AR129" s="302" t="n"/>
      <x:c r="AS129" s="302" t="n"/>
      <x:c r="AT129" s="302" t="n"/>
      <x:c r="AU129" s="302" t="n"/>
      <x:c r="AV129" s="302" t="n"/>
      <x:c r="AW129" s="302" t="n"/>
      <x:c r="AX129" s="302" t="n"/>
      <x:c r="AY129" s="302" t="n"/>
      <x:c r="AZ129" s="302" t="n"/>
      <x:c r="BA129" s="302" t="n"/>
      <x:c r="BB129" s="302" t="n"/>
      <x:c r="BC129" s="302" t="n"/>
      <x:c r="BD129" s="302" t="n"/>
      <x:c r="BE129" s="302" t="n"/>
      <x:c r="BF129" s="302" t="n"/>
      <x:c r="BG129" s="302" t="n"/>
      <x:c r="BH129" s="302" t="n"/>
      <x:c r="BI129" s="302" t="n"/>
      <x:c r="BJ129" s="302" t="n"/>
      <x:c r="BK129" s="302" t="n"/>
      <x:c r="BL129" s="302" t="n"/>
      <x:c r="BM129" s="302" t="n"/>
      <x:c r="BN129" s="302" t="n"/>
      <x:c r="BO129" s="302" t="n"/>
      <x:c r="BP129" s="302" t="n"/>
      <x:c r="BQ129" s="302" t="n"/>
      <x:c r="BR129" s="302" t="n"/>
      <x:c r="BS129" s="302" t="n"/>
      <x:c r="BT129" s="302" t="n"/>
      <x:c r="BU129" s="302" t="n"/>
      <x:c r="BV129" s="302" t="n"/>
      <x:c r="BW129" s="302" t="n"/>
      <x:c r="BX129" s="302" t="n"/>
      <x:c r="BY129" s="302" t="n"/>
      <x:c r="BZ129" s="302" t="n"/>
      <x:c r="CA129" s="302" t="n"/>
      <x:c r="CB129" s="302" t="n"/>
      <x:c r="CC129" s="302" t="n"/>
      <x:c r="CD129" s="302" t="n"/>
    </x:row>
    <x:row r="130" s="27" customFormat="1">
      <x:c r="B130" s="37" t="n"/>
      <x:c r="C130" s="36" t="n">
        <x:f>E130*D$5</x:f>
        <x:v>0</x:v>
      </x:c>
      <x:c r="D130" s="20" t="n"/>
      <x:c r="E130" s="36" t="n">
        <x:f>SUM(G130:HI130)</x:f>
        <x:v>0</x:v>
      </x:c>
      <x:c r="H130" s="302" t="n"/>
      <x:c r="I130" s="302" t="n"/>
      <x:c r="J130" s="302" t="n"/>
      <x:c r="K130" s="302" t="n"/>
      <x:c r="L130" s="302" t="n"/>
      <x:c r="M130" s="302" t="n"/>
      <x:c r="N130" s="302" t="n"/>
      <x:c r="O130" s="302" t="n"/>
      <x:c r="P130" s="302" t="n"/>
      <x:c r="Q130" s="302" t="n"/>
      <x:c r="R130" s="302" t="n"/>
      <x:c r="S130" s="302" t="n"/>
      <x:c r="T130" s="302" t="n"/>
      <x:c r="U130" s="302" t="n"/>
      <x:c r="V130" s="302" t="n"/>
      <x:c r="W130" s="302" t="n"/>
      <x:c r="X130" s="302" t="n"/>
      <x:c r="Y130" s="302" t="n"/>
      <x:c r="Z130" s="302" t="n"/>
      <x:c r="AA130" s="302" t="n"/>
      <x:c r="AB130" s="302" t="n"/>
      <x:c r="AC130" s="302" t="n"/>
      <x:c r="AD130" s="302" t="n"/>
      <x:c r="AE130" s="302" t="n"/>
      <x:c r="AF130" s="302" t="n"/>
      <x:c r="AG130" s="302" t="n"/>
      <x:c r="AH130" s="302" t="n"/>
      <x:c r="AI130" s="302" t="n"/>
      <x:c r="AJ130" s="302" t="n"/>
      <x:c r="AK130" s="302" t="n"/>
      <x:c r="AL130" s="302" t="n"/>
      <x:c r="AM130" s="302" t="n"/>
      <x:c r="AN130" s="302" t="n"/>
      <x:c r="AO130" s="302" t="n"/>
      <x:c r="AP130" s="302" t="n"/>
      <x:c r="AQ130" s="302" t="n"/>
      <x:c r="AR130" s="302" t="n"/>
      <x:c r="AS130" s="302" t="n"/>
      <x:c r="AT130" s="302" t="n"/>
      <x:c r="AU130" s="302" t="n"/>
      <x:c r="AV130" s="302" t="n"/>
      <x:c r="AW130" s="302" t="n"/>
      <x:c r="AX130" s="302" t="n"/>
      <x:c r="AY130" s="302" t="n"/>
      <x:c r="AZ130" s="302" t="n"/>
      <x:c r="BA130" s="302" t="n"/>
      <x:c r="BB130" s="302" t="n"/>
      <x:c r="BC130" s="302" t="n"/>
      <x:c r="BD130" s="302" t="n"/>
      <x:c r="BE130" s="302" t="n"/>
      <x:c r="BF130" s="302" t="n"/>
      <x:c r="BG130" s="302" t="n"/>
      <x:c r="BH130" s="302" t="n"/>
      <x:c r="BI130" s="302" t="n"/>
      <x:c r="BJ130" s="302" t="n"/>
      <x:c r="BK130" s="302" t="n"/>
      <x:c r="BL130" s="302" t="n"/>
      <x:c r="BM130" s="302" t="n"/>
      <x:c r="BN130" s="302" t="n"/>
      <x:c r="BO130" s="302" t="n"/>
      <x:c r="BP130" s="302" t="n"/>
      <x:c r="BQ130" s="302" t="n"/>
      <x:c r="BR130" s="302" t="n"/>
      <x:c r="BS130" s="302" t="n"/>
      <x:c r="BT130" s="302" t="n"/>
      <x:c r="BU130" s="302" t="n"/>
      <x:c r="BV130" s="302" t="n"/>
      <x:c r="BW130" s="302" t="n"/>
      <x:c r="BX130" s="302" t="n"/>
      <x:c r="BY130" s="302" t="n"/>
      <x:c r="BZ130" s="302" t="n"/>
      <x:c r="CA130" s="302" t="n"/>
      <x:c r="CB130" s="302" t="n"/>
      <x:c r="CC130" s="302" t="n"/>
      <x:c r="CD130" s="302" t="n"/>
    </x:row>
    <x:row r="131" s="27" customFormat="1">
      <x:c r="B131" s="37" t="n"/>
      <x:c r="C131" s="36" t="n">
        <x:f>E131*D$5</x:f>
        <x:v>0</x:v>
      </x:c>
      <x:c r="D131" s="20" t="n"/>
      <x:c r="E131" s="36" t="n">
        <x:f>SUM(G131:HI131)</x:f>
        <x:v>0</x:v>
      </x:c>
      <x:c r="H131" s="302" t="n"/>
      <x:c r="I131" s="302" t="n"/>
      <x:c r="J131" s="302" t="n"/>
      <x:c r="K131" s="302" t="n"/>
      <x:c r="L131" s="302" t="n"/>
      <x:c r="M131" s="302" t="n"/>
      <x:c r="N131" s="302" t="n"/>
      <x:c r="O131" s="302" t="n"/>
      <x:c r="P131" s="302" t="n"/>
      <x:c r="Q131" s="302" t="n"/>
      <x:c r="R131" s="302" t="n"/>
      <x:c r="S131" s="302" t="n"/>
      <x:c r="T131" s="302" t="n"/>
      <x:c r="U131" s="302" t="n"/>
      <x:c r="V131" s="302" t="n"/>
      <x:c r="W131" s="302" t="n"/>
      <x:c r="X131" s="302" t="n"/>
      <x:c r="Y131" s="302" t="n"/>
      <x:c r="Z131" s="302" t="n"/>
      <x:c r="AA131" s="302" t="n"/>
      <x:c r="AB131" s="302" t="n"/>
      <x:c r="AC131" s="302" t="n"/>
      <x:c r="AD131" s="302" t="n"/>
      <x:c r="AE131" s="302" t="n"/>
      <x:c r="AF131" s="302" t="n"/>
      <x:c r="AG131" s="302" t="n"/>
      <x:c r="AH131" s="302" t="n"/>
      <x:c r="AI131" s="302" t="n"/>
      <x:c r="AJ131" s="302" t="n"/>
      <x:c r="AK131" s="302" t="n"/>
      <x:c r="AL131" s="302" t="n"/>
      <x:c r="AM131" s="302" t="n"/>
      <x:c r="AN131" s="302" t="n"/>
      <x:c r="AO131" s="302" t="n"/>
      <x:c r="AP131" s="302" t="n"/>
      <x:c r="AQ131" s="302" t="n"/>
      <x:c r="AR131" s="302" t="n"/>
      <x:c r="AS131" s="302" t="n"/>
      <x:c r="AT131" s="302" t="n"/>
      <x:c r="AU131" s="302" t="n"/>
      <x:c r="AV131" s="302" t="n"/>
      <x:c r="AW131" s="302" t="n"/>
      <x:c r="AX131" s="302" t="n"/>
      <x:c r="AY131" s="302" t="n"/>
      <x:c r="AZ131" s="302" t="n"/>
      <x:c r="BA131" s="302" t="n"/>
      <x:c r="BB131" s="302" t="n"/>
      <x:c r="BC131" s="302" t="n"/>
      <x:c r="BD131" s="302" t="n"/>
      <x:c r="BE131" s="302" t="n"/>
      <x:c r="BF131" s="302" t="n"/>
      <x:c r="BG131" s="302" t="n"/>
      <x:c r="BH131" s="302" t="n"/>
      <x:c r="BI131" s="302" t="n"/>
      <x:c r="BJ131" s="302" t="n"/>
      <x:c r="BK131" s="302" t="n"/>
      <x:c r="BL131" s="302" t="n"/>
      <x:c r="BM131" s="302" t="n"/>
      <x:c r="BN131" s="302" t="n"/>
      <x:c r="BO131" s="302" t="n"/>
      <x:c r="BP131" s="302" t="n"/>
      <x:c r="BQ131" s="302" t="n"/>
      <x:c r="BR131" s="302" t="n"/>
      <x:c r="BS131" s="302" t="n"/>
      <x:c r="BT131" s="302" t="n"/>
      <x:c r="BU131" s="302" t="n"/>
      <x:c r="BV131" s="302" t="n"/>
      <x:c r="BW131" s="302" t="n"/>
      <x:c r="BX131" s="302" t="n"/>
      <x:c r="BY131" s="302" t="n"/>
      <x:c r="BZ131" s="302" t="n"/>
      <x:c r="CA131" s="302" t="n"/>
      <x:c r="CB131" s="302" t="n"/>
      <x:c r="CC131" s="302" t="n"/>
      <x:c r="CD131" s="302" t="n"/>
    </x:row>
    <x:row r="132" s="27" customFormat="1">
      <x:c r="B132" s="37" t="n"/>
      <x:c r="C132" s="36" t="n">
        <x:f>E132*D$5</x:f>
        <x:v>0</x:v>
      </x:c>
      <x:c r="D132" s="20" t="n"/>
      <x:c r="E132" s="36" t="n">
        <x:f>SUM(G132:HI132)</x:f>
        <x:v>0</x:v>
      </x:c>
      <x:c r="H132" s="302" t="n"/>
      <x:c r="I132" s="302" t="n"/>
      <x:c r="J132" s="302" t="n"/>
      <x:c r="K132" s="302" t="n"/>
      <x:c r="L132" s="302" t="n"/>
      <x:c r="M132" s="302" t="n"/>
      <x:c r="N132" s="302" t="n"/>
      <x:c r="O132" s="302" t="n"/>
      <x:c r="P132" s="302" t="n"/>
      <x:c r="Q132" s="302" t="n"/>
      <x:c r="R132" s="302" t="n"/>
      <x:c r="S132" s="302" t="n"/>
      <x:c r="T132" s="302" t="n"/>
      <x:c r="U132" s="302" t="n"/>
      <x:c r="V132" s="302" t="n"/>
      <x:c r="W132" s="302" t="n"/>
      <x:c r="X132" s="302" t="n"/>
      <x:c r="Y132" s="302" t="n"/>
      <x:c r="Z132" s="302" t="n"/>
      <x:c r="AA132" s="302" t="n"/>
      <x:c r="AB132" s="302" t="n"/>
      <x:c r="AC132" s="302" t="n"/>
      <x:c r="AD132" s="302" t="n"/>
      <x:c r="AE132" s="302" t="n"/>
      <x:c r="AF132" s="302" t="n"/>
      <x:c r="AG132" s="302" t="n"/>
      <x:c r="AH132" s="302" t="n"/>
      <x:c r="AI132" s="302" t="n"/>
      <x:c r="AJ132" s="302" t="n"/>
      <x:c r="AK132" s="302" t="n"/>
      <x:c r="AL132" s="302" t="n"/>
      <x:c r="AM132" s="302" t="n"/>
      <x:c r="AN132" s="302" t="n"/>
      <x:c r="AO132" s="302" t="n"/>
      <x:c r="AP132" s="302" t="n"/>
      <x:c r="AQ132" s="302" t="n"/>
      <x:c r="AR132" s="302" t="n"/>
      <x:c r="AS132" s="302" t="n"/>
      <x:c r="AT132" s="302" t="n"/>
      <x:c r="AU132" s="302" t="n"/>
      <x:c r="AV132" s="302" t="n"/>
      <x:c r="AW132" s="302" t="n"/>
      <x:c r="AX132" s="302" t="n"/>
      <x:c r="AY132" s="302" t="n"/>
      <x:c r="AZ132" s="302" t="n"/>
      <x:c r="BA132" s="302" t="n"/>
      <x:c r="BB132" s="302" t="n"/>
      <x:c r="BC132" s="302" t="n"/>
      <x:c r="BD132" s="302" t="n"/>
      <x:c r="BE132" s="302" t="n"/>
      <x:c r="BF132" s="302" t="n"/>
      <x:c r="BG132" s="302" t="n"/>
      <x:c r="BH132" s="302" t="n"/>
      <x:c r="BI132" s="302" t="n"/>
      <x:c r="BJ132" s="302" t="n"/>
      <x:c r="BK132" s="302" t="n"/>
      <x:c r="BL132" s="302" t="n"/>
      <x:c r="BM132" s="302" t="n"/>
      <x:c r="BN132" s="302" t="n"/>
      <x:c r="BO132" s="302" t="n"/>
      <x:c r="BP132" s="302" t="n"/>
      <x:c r="BQ132" s="302" t="n"/>
      <x:c r="BR132" s="302" t="n"/>
      <x:c r="BS132" s="302" t="n"/>
      <x:c r="BT132" s="302" t="n"/>
      <x:c r="BU132" s="302" t="n"/>
      <x:c r="BV132" s="302" t="n"/>
      <x:c r="BW132" s="302" t="n"/>
      <x:c r="BX132" s="302" t="n"/>
      <x:c r="BY132" s="302" t="n"/>
      <x:c r="BZ132" s="302" t="n"/>
      <x:c r="CA132" s="302" t="n"/>
      <x:c r="CB132" s="302" t="n"/>
      <x:c r="CC132" s="302" t="n"/>
      <x:c r="CD132" s="302" t="n"/>
    </x:row>
    <x:row r="133" s="27" customFormat="1">
      <x:c r="B133" s="37" t="n"/>
      <x:c r="C133" s="36" t="n">
        <x:f>E133*D$5</x:f>
        <x:v>0</x:v>
      </x:c>
      <x:c r="D133" s="20" t="n"/>
      <x:c r="E133" s="36" t="n">
        <x:f>SUM(G133:HI133)</x:f>
        <x:v>0</x:v>
      </x:c>
      <x:c r="H133" s="302" t="n"/>
      <x:c r="I133" s="302" t="n"/>
      <x:c r="J133" s="302" t="n"/>
      <x:c r="K133" s="302" t="n"/>
      <x:c r="L133" s="302" t="n"/>
      <x:c r="M133" s="302" t="n"/>
      <x:c r="N133" s="302" t="n"/>
      <x:c r="O133" s="302" t="n"/>
      <x:c r="P133" s="302" t="n"/>
      <x:c r="Q133" s="302" t="n"/>
      <x:c r="R133" s="302" t="n"/>
      <x:c r="S133" s="302" t="n"/>
      <x:c r="T133" s="302" t="n"/>
      <x:c r="U133" s="302" t="n"/>
      <x:c r="V133" s="302" t="n"/>
      <x:c r="W133" s="302" t="n"/>
      <x:c r="X133" s="302" t="n"/>
      <x:c r="Y133" s="302" t="n"/>
      <x:c r="Z133" s="302" t="n"/>
      <x:c r="AA133" s="302" t="n"/>
      <x:c r="AB133" s="302" t="n"/>
      <x:c r="AC133" s="302" t="n"/>
      <x:c r="AD133" s="302" t="n"/>
      <x:c r="AE133" s="302" t="n"/>
      <x:c r="AF133" s="302" t="n"/>
      <x:c r="AG133" s="302" t="n"/>
      <x:c r="AH133" s="302" t="n"/>
      <x:c r="AI133" s="302" t="n"/>
      <x:c r="AJ133" s="302" t="n"/>
      <x:c r="AK133" s="302" t="n"/>
      <x:c r="AL133" s="302" t="n"/>
      <x:c r="AM133" s="302" t="n"/>
      <x:c r="AN133" s="302" t="n"/>
      <x:c r="AO133" s="302" t="n"/>
      <x:c r="AP133" s="302" t="n"/>
      <x:c r="AQ133" s="302" t="n"/>
      <x:c r="AR133" s="302" t="n"/>
      <x:c r="AS133" s="302" t="n"/>
      <x:c r="AT133" s="302" t="n"/>
      <x:c r="AU133" s="302" t="n"/>
      <x:c r="AV133" s="302" t="n"/>
      <x:c r="AW133" s="302" t="n"/>
      <x:c r="AX133" s="302" t="n"/>
      <x:c r="AY133" s="302" t="n"/>
      <x:c r="AZ133" s="302" t="n"/>
      <x:c r="BA133" s="302" t="n"/>
      <x:c r="BB133" s="302" t="n"/>
      <x:c r="BC133" s="302" t="n"/>
      <x:c r="BD133" s="302" t="n"/>
      <x:c r="BE133" s="302" t="n"/>
      <x:c r="BF133" s="302" t="n"/>
      <x:c r="BG133" s="302" t="n"/>
      <x:c r="BH133" s="302" t="n"/>
      <x:c r="BI133" s="302" t="n"/>
      <x:c r="BJ133" s="302" t="n"/>
      <x:c r="BK133" s="302" t="n"/>
      <x:c r="BL133" s="302" t="n"/>
      <x:c r="BM133" s="302" t="n"/>
      <x:c r="BN133" s="302" t="n"/>
      <x:c r="BO133" s="302" t="n"/>
      <x:c r="BP133" s="302" t="n"/>
      <x:c r="BQ133" s="302" t="n"/>
      <x:c r="BR133" s="302" t="n"/>
      <x:c r="BS133" s="302" t="n"/>
      <x:c r="BT133" s="302" t="n"/>
      <x:c r="BU133" s="302" t="n"/>
      <x:c r="BV133" s="302" t="n"/>
      <x:c r="BW133" s="302" t="n"/>
      <x:c r="BX133" s="302" t="n"/>
      <x:c r="BY133" s="302" t="n"/>
      <x:c r="BZ133" s="302" t="n"/>
      <x:c r="CA133" s="302" t="n"/>
      <x:c r="CB133" s="302" t="n"/>
      <x:c r="CC133" s="302" t="n"/>
      <x:c r="CD133" s="302" t="n"/>
    </x:row>
    <x:row r="134" s="27" customFormat="1">
      <x:c r="B134" s="37" t="n"/>
      <x:c r="C134" s="36" t="n">
        <x:f>E134*D$5</x:f>
        <x:v>0</x:v>
      </x:c>
      <x:c r="D134" s="20" t="n"/>
      <x:c r="E134" s="36" t="n">
        <x:f>SUM(G134:HI134)</x:f>
        <x:v>0</x:v>
      </x:c>
      <x:c r="H134" s="302" t="n"/>
      <x:c r="I134" s="302" t="n"/>
      <x:c r="J134" s="302" t="n"/>
      <x:c r="K134" s="302" t="n"/>
      <x:c r="L134" s="302" t="n"/>
      <x:c r="M134" s="302" t="n"/>
      <x:c r="N134" s="302" t="n"/>
      <x:c r="O134" s="302" t="n"/>
      <x:c r="P134" s="302" t="n"/>
      <x:c r="Q134" s="302" t="n"/>
      <x:c r="R134" s="302" t="n"/>
      <x:c r="S134" s="302" t="n"/>
      <x:c r="T134" s="302" t="n"/>
      <x:c r="U134" s="302" t="n"/>
      <x:c r="V134" s="302" t="n"/>
      <x:c r="W134" s="302" t="n"/>
      <x:c r="X134" s="302" t="n"/>
      <x:c r="Y134" s="302" t="n"/>
      <x:c r="Z134" s="302" t="n"/>
      <x:c r="AA134" s="302" t="n"/>
      <x:c r="AB134" s="302" t="n"/>
      <x:c r="AC134" s="302" t="n"/>
      <x:c r="AD134" s="302" t="n"/>
      <x:c r="AE134" s="302" t="n"/>
      <x:c r="AF134" s="302" t="n"/>
      <x:c r="AG134" s="302" t="n"/>
      <x:c r="AH134" s="302" t="n"/>
      <x:c r="AI134" s="302" t="n"/>
      <x:c r="AJ134" s="302" t="n"/>
      <x:c r="AK134" s="302" t="n"/>
      <x:c r="AL134" s="302" t="n"/>
      <x:c r="AM134" s="302" t="n"/>
      <x:c r="AN134" s="302" t="n"/>
      <x:c r="AO134" s="302" t="n"/>
      <x:c r="AP134" s="302" t="n"/>
      <x:c r="AQ134" s="302" t="n"/>
      <x:c r="AR134" s="302" t="n"/>
      <x:c r="AS134" s="302" t="n"/>
      <x:c r="AT134" s="302" t="n"/>
      <x:c r="AU134" s="302" t="n"/>
      <x:c r="AV134" s="302" t="n"/>
      <x:c r="AW134" s="302" t="n"/>
      <x:c r="AX134" s="302" t="n"/>
      <x:c r="AY134" s="302" t="n"/>
      <x:c r="AZ134" s="302" t="n"/>
      <x:c r="BA134" s="302" t="n"/>
      <x:c r="BB134" s="302" t="n"/>
      <x:c r="BC134" s="302" t="n"/>
      <x:c r="BD134" s="302" t="n"/>
      <x:c r="BE134" s="302" t="n"/>
      <x:c r="BF134" s="302" t="n"/>
      <x:c r="BG134" s="302" t="n"/>
      <x:c r="BH134" s="302" t="n"/>
      <x:c r="BI134" s="302" t="n"/>
      <x:c r="BJ134" s="302" t="n"/>
      <x:c r="BK134" s="302" t="n"/>
      <x:c r="BL134" s="302" t="n"/>
      <x:c r="BM134" s="302" t="n"/>
      <x:c r="BN134" s="302" t="n"/>
      <x:c r="BO134" s="302" t="n"/>
      <x:c r="BP134" s="302" t="n"/>
      <x:c r="BQ134" s="302" t="n"/>
      <x:c r="BR134" s="302" t="n"/>
      <x:c r="BS134" s="302" t="n"/>
      <x:c r="BT134" s="302" t="n"/>
      <x:c r="BU134" s="302" t="n"/>
      <x:c r="BV134" s="302" t="n"/>
      <x:c r="BW134" s="302" t="n"/>
      <x:c r="BX134" s="302" t="n"/>
      <x:c r="BY134" s="302" t="n"/>
      <x:c r="BZ134" s="302" t="n"/>
      <x:c r="CA134" s="302" t="n"/>
      <x:c r="CB134" s="302" t="n"/>
      <x:c r="CC134" s="302" t="n"/>
      <x:c r="CD134" s="302" t="n"/>
    </x:row>
    <x:row r="135" s="27" customFormat="1">
      <x:c r="B135" s="37" t="n"/>
      <x:c r="C135" s="36" t="n">
        <x:f>E135*D$5</x:f>
        <x:v>0</x:v>
      </x:c>
      <x:c r="D135" s="20" t="n"/>
      <x:c r="E135" s="36" t="n">
        <x:f>SUM(G135:HI135)</x:f>
        <x:v>0</x:v>
      </x:c>
      <x:c r="H135" s="302" t="n"/>
      <x:c r="I135" s="302" t="n"/>
      <x:c r="J135" s="302" t="n"/>
      <x:c r="K135" s="302" t="n"/>
      <x:c r="L135" s="302" t="n"/>
      <x:c r="M135" s="302" t="n"/>
      <x:c r="N135" s="302" t="n"/>
      <x:c r="O135" s="302" t="n"/>
      <x:c r="P135" s="302" t="n"/>
      <x:c r="Q135" s="302" t="n"/>
      <x:c r="R135" s="302" t="n"/>
      <x:c r="S135" s="302" t="n"/>
      <x:c r="T135" s="302" t="n"/>
      <x:c r="U135" s="302" t="n"/>
      <x:c r="V135" s="302" t="n"/>
      <x:c r="W135" s="302" t="n"/>
      <x:c r="X135" s="302" t="n"/>
      <x:c r="Y135" s="302" t="n"/>
      <x:c r="Z135" s="302" t="n"/>
      <x:c r="AA135" s="302" t="n"/>
      <x:c r="AB135" s="302" t="n"/>
      <x:c r="AC135" s="302" t="n"/>
      <x:c r="AD135" s="302" t="n"/>
      <x:c r="AE135" s="302" t="n"/>
      <x:c r="AF135" s="302" t="n"/>
      <x:c r="AG135" s="302" t="n"/>
      <x:c r="AH135" s="302" t="n"/>
      <x:c r="AI135" s="302" t="n"/>
      <x:c r="AJ135" s="302" t="n"/>
      <x:c r="AK135" s="302" t="n"/>
      <x:c r="AL135" s="302" t="n"/>
      <x:c r="AM135" s="302" t="n"/>
      <x:c r="AN135" s="302" t="n"/>
      <x:c r="AO135" s="302" t="n"/>
      <x:c r="AP135" s="302" t="n"/>
      <x:c r="AQ135" s="302" t="n"/>
      <x:c r="AR135" s="302" t="n"/>
      <x:c r="AS135" s="302" t="n"/>
      <x:c r="AT135" s="302" t="n"/>
      <x:c r="AU135" s="302" t="n"/>
      <x:c r="AV135" s="302" t="n"/>
      <x:c r="AW135" s="302" t="n"/>
      <x:c r="AX135" s="302" t="n"/>
      <x:c r="AY135" s="302" t="n"/>
      <x:c r="AZ135" s="302" t="n"/>
      <x:c r="BA135" s="302" t="n"/>
      <x:c r="BB135" s="302" t="n"/>
      <x:c r="BC135" s="302" t="n"/>
      <x:c r="BD135" s="302" t="n"/>
      <x:c r="BE135" s="302" t="n"/>
      <x:c r="BF135" s="302" t="n"/>
      <x:c r="BG135" s="302" t="n"/>
      <x:c r="BH135" s="302" t="n"/>
      <x:c r="BI135" s="302" t="n"/>
      <x:c r="BJ135" s="302" t="n"/>
      <x:c r="BK135" s="302" t="n"/>
      <x:c r="BL135" s="302" t="n"/>
      <x:c r="BM135" s="302" t="n"/>
      <x:c r="BN135" s="302" t="n"/>
      <x:c r="BO135" s="302" t="n"/>
      <x:c r="BP135" s="302" t="n"/>
      <x:c r="BQ135" s="302" t="n"/>
      <x:c r="BR135" s="302" t="n"/>
      <x:c r="BS135" s="302" t="n"/>
      <x:c r="BT135" s="302" t="n"/>
      <x:c r="BU135" s="302" t="n"/>
      <x:c r="BV135" s="302" t="n"/>
      <x:c r="BW135" s="302" t="n"/>
      <x:c r="BX135" s="302" t="n"/>
      <x:c r="BY135" s="302" t="n"/>
      <x:c r="BZ135" s="302" t="n"/>
      <x:c r="CA135" s="302" t="n"/>
      <x:c r="CB135" s="302" t="n"/>
      <x:c r="CC135" s="302" t="n"/>
      <x:c r="CD135" s="302" t="n"/>
    </x:row>
    <x:row r="136" s="27" customFormat="1">
      <x:c r="B136" s="37" t="n"/>
      <x:c r="C136" s="36" t="n">
        <x:f>E136*D$5</x:f>
        <x:v>0</x:v>
      </x:c>
      <x:c r="D136" s="20" t="n"/>
      <x:c r="E136" s="36" t="n">
        <x:f>SUM(G136:HI136)</x:f>
        <x:v>0</x:v>
      </x:c>
      <x:c r="H136" s="302" t="n"/>
      <x:c r="I136" s="302" t="n"/>
      <x:c r="J136" s="302" t="n"/>
      <x:c r="K136" s="302" t="n"/>
      <x:c r="L136" s="302" t="n"/>
      <x:c r="M136" s="302" t="n"/>
      <x:c r="N136" s="302" t="n"/>
      <x:c r="O136" s="302" t="n"/>
      <x:c r="P136" s="302" t="n"/>
      <x:c r="Q136" s="302" t="n"/>
      <x:c r="R136" s="302" t="n"/>
      <x:c r="S136" s="302" t="n"/>
      <x:c r="T136" s="302" t="n"/>
      <x:c r="U136" s="302" t="n"/>
      <x:c r="V136" s="302" t="n"/>
      <x:c r="W136" s="302" t="n"/>
      <x:c r="X136" s="302" t="n"/>
      <x:c r="Y136" s="302" t="n"/>
      <x:c r="Z136" s="302" t="n"/>
      <x:c r="AA136" s="302" t="n"/>
      <x:c r="AB136" s="302" t="n"/>
      <x:c r="AC136" s="302" t="n"/>
      <x:c r="AD136" s="302" t="n"/>
      <x:c r="AE136" s="302" t="n"/>
      <x:c r="AF136" s="302" t="n"/>
      <x:c r="AG136" s="302" t="n"/>
      <x:c r="AH136" s="302" t="n"/>
      <x:c r="AI136" s="302" t="n"/>
      <x:c r="AJ136" s="302" t="n"/>
      <x:c r="AK136" s="302" t="n"/>
      <x:c r="AL136" s="302" t="n"/>
      <x:c r="AM136" s="302" t="n"/>
      <x:c r="AN136" s="302" t="n"/>
      <x:c r="AO136" s="302" t="n"/>
      <x:c r="AP136" s="302" t="n"/>
      <x:c r="AQ136" s="302" t="n"/>
      <x:c r="AR136" s="302" t="n"/>
      <x:c r="AS136" s="302" t="n"/>
      <x:c r="AT136" s="302" t="n"/>
      <x:c r="AU136" s="302" t="n"/>
      <x:c r="AV136" s="302" t="n"/>
      <x:c r="AW136" s="302" t="n"/>
      <x:c r="AX136" s="302" t="n"/>
      <x:c r="AY136" s="302" t="n"/>
      <x:c r="AZ136" s="302" t="n"/>
      <x:c r="BA136" s="302" t="n"/>
      <x:c r="BB136" s="302" t="n"/>
      <x:c r="BC136" s="302" t="n"/>
      <x:c r="BD136" s="302" t="n"/>
      <x:c r="BE136" s="302" t="n"/>
      <x:c r="BF136" s="302" t="n"/>
      <x:c r="BG136" s="302" t="n"/>
      <x:c r="BH136" s="302" t="n"/>
      <x:c r="BI136" s="302" t="n"/>
      <x:c r="BJ136" s="302" t="n"/>
      <x:c r="BK136" s="302" t="n"/>
      <x:c r="BL136" s="302" t="n"/>
      <x:c r="BM136" s="302" t="n"/>
      <x:c r="BN136" s="302" t="n"/>
      <x:c r="BO136" s="302" t="n"/>
      <x:c r="BP136" s="302" t="n"/>
      <x:c r="BQ136" s="302" t="n"/>
      <x:c r="BR136" s="302" t="n"/>
      <x:c r="BS136" s="302" t="n"/>
      <x:c r="BT136" s="302" t="n"/>
      <x:c r="BU136" s="302" t="n"/>
      <x:c r="BV136" s="302" t="n"/>
      <x:c r="BW136" s="302" t="n"/>
      <x:c r="BX136" s="302" t="n"/>
      <x:c r="BY136" s="302" t="n"/>
      <x:c r="BZ136" s="302" t="n"/>
      <x:c r="CA136" s="302" t="n"/>
      <x:c r="CB136" s="302" t="n"/>
      <x:c r="CC136" s="302" t="n"/>
      <x:c r="CD136" s="302" t="n"/>
    </x:row>
    <x:row r="137" s="27" customFormat="1">
      <x:c r="B137" s="37" t="n"/>
      <x:c r="C137" s="36" t="n">
        <x:f>E137*D$5</x:f>
        <x:v>0</x:v>
      </x:c>
      <x:c r="D137" s="20" t="n"/>
      <x:c r="E137" s="36" t="n">
        <x:f>SUM(G137:HI137)</x:f>
        <x:v>0</x:v>
      </x:c>
      <x:c r="H137" s="302" t="n"/>
      <x:c r="I137" s="302" t="n"/>
      <x:c r="J137" s="302" t="n"/>
      <x:c r="K137" s="302" t="n"/>
      <x:c r="L137" s="302" t="n"/>
      <x:c r="M137" s="302" t="n"/>
      <x:c r="N137" s="302" t="n"/>
      <x:c r="O137" s="302" t="n"/>
      <x:c r="P137" s="302" t="n"/>
      <x:c r="Q137" s="302" t="n"/>
      <x:c r="R137" s="302" t="n"/>
      <x:c r="S137" s="302" t="n"/>
      <x:c r="T137" s="302" t="n"/>
      <x:c r="U137" s="302" t="n"/>
      <x:c r="V137" s="302" t="n"/>
      <x:c r="W137" s="302" t="n"/>
      <x:c r="X137" s="302" t="n"/>
      <x:c r="Y137" s="302" t="n"/>
      <x:c r="Z137" s="302" t="n"/>
      <x:c r="AA137" s="302" t="n"/>
      <x:c r="AB137" s="302" t="n"/>
      <x:c r="AC137" s="302" t="n"/>
      <x:c r="AD137" s="302" t="n"/>
      <x:c r="AE137" s="302" t="n"/>
      <x:c r="AF137" s="302" t="n"/>
      <x:c r="AG137" s="302" t="n"/>
      <x:c r="AH137" s="302" t="n"/>
      <x:c r="AI137" s="302" t="n"/>
      <x:c r="AJ137" s="302" t="n"/>
      <x:c r="AK137" s="302" t="n"/>
      <x:c r="AL137" s="302" t="n"/>
      <x:c r="AM137" s="302" t="n"/>
      <x:c r="AN137" s="302" t="n"/>
      <x:c r="AO137" s="302" t="n"/>
      <x:c r="AP137" s="302" t="n"/>
      <x:c r="AQ137" s="302" t="n"/>
      <x:c r="AR137" s="302" t="n"/>
      <x:c r="AS137" s="302" t="n"/>
      <x:c r="AT137" s="302" t="n"/>
      <x:c r="AU137" s="302" t="n"/>
      <x:c r="AV137" s="302" t="n"/>
      <x:c r="AW137" s="302" t="n"/>
      <x:c r="AX137" s="302" t="n"/>
      <x:c r="AY137" s="302" t="n"/>
      <x:c r="AZ137" s="302" t="n"/>
      <x:c r="BA137" s="302" t="n"/>
      <x:c r="BB137" s="302" t="n"/>
      <x:c r="BC137" s="302" t="n"/>
      <x:c r="BD137" s="302" t="n"/>
      <x:c r="BE137" s="302" t="n"/>
      <x:c r="BF137" s="302" t="n"/>
      <x:c r="BG137" s="302" t="n"/>
      <x:c r="BH137" s="302" t="n"/>
      <x:c r="BI137" s="302" t="n"/>
      <x:c r="BJ137" s="302" t="n"/>
      <x:c r="BK137" s="302" t="n"/>
      <x:c r="BL137" s="302" t="n"/>
      <x:c r="BM137" s="302" t="n"/>
      <x:c r="BN137" s="302" t="n"/>
      <x:c r="BO137" s="302" t="n"/>
      <x:c r="BP137" s="302" t="n"/>
      <x:c r="BQ137" s="302" t="n"/>
      <x:c r="BR137" s="302" t="n"/>
      <x:c r="BS137" s="302" t="n"/>
      <x:c r="BT137" s="302" t="n"/>
      <x:c r="BU137" s="302" t="n"/>
      <x:c r="BV137" s="302" t="n"/>
      <x:c r="BW137" s="302" t="n"/>
      <x:c r="BX137" s="302" t="n"/>
      <x:c r="BY137" s="302" t="n"/>
      <x:c r="BZ137" s="302" t="n"/>
      <x:c r="CA137" s="302" t="n"/>
      <x:c r="CB137" s="302" t="n"/>
      <x:c r="CC137" s="302" t="n"/>
      <x:c r="CD137" s="302" t="n"/>
    </x:row>
    <x:row r="138" s="27" customFormat="1">
      <x:c r="B138" s="37" t="n"/>
      <x:c r="C138" s="36" t="n">
        <x:f>E138*D$5</x:f>
        <x:v>0</x:v>
      </x:c>
      <x:c r="D138" s="20" t="n"/>
      <x:c r="E138" s="36" t="n">
        <x:f>SUM(G138:HI138)</x:f>
        <x:v>0</x:v>
      </x:c>
      <x:c r="H138" s="302" t="n"/>
      <x:c r="I138" s="302" t="n"/>
      <x:c r="J138" s="302" t="n"/>
      <x:c r="K138" s="302" t="n"/>
      <x:c r="L138" s="302" t="n"/>
      <x:c r="M138" s="302" t="n"/>
      <x:c r="N138" s="302" t="n"/>
      <x:c r="O138" s="302" t="n"/>
      <x:c r="P138" s="302" t="n"/>
      <x:c r="Q138" s="302" t="n"/>
      <x:c r="R138" s="302" t="n"/>
      <x:c r="S138" s="302" t="n"/>
      <x:c r="T138" s="302" t="n"/>
      <x:c r="U138" s="302" t="n"/>
      <x:c r="V138" s="302" t="n"/>
      <x:c r="W138" s="302" t="n"/>
      <x:c r="X138" s="302" t="n"/>
      <x:c r="Y138" s="302" t="n"/>
      <x:c r="Z138" s="302" t="n"/>
      <x:c r="AA138" s="302" t="n"/>
      <x:c r="AB138" s="302" t="n"/>
      <x:c r="AC138" s="302" t="n"/>
      <x:c r="AD138" s="302" t="n"/>
      <x:c r="AE138" s="302" t="n"/>
      <x:c r="AF138" s="302" t="n"/>
      <x:c r="AG138" s="302" t="n"/>
      <x:c r="AH138" s="302" t="n"/>
      <x:c r="AI138" s="302" t="n"/>
      <x:c r="AJ138" s="302" t="n"/>
      <x:c r="AK138" s="302" t="n"/>
      <x:c r="AL138" s="302" t="n"/>
      <x:c r="AM138" s="302" t="n"/>
      <x:c r="AN138" s="302" t="n"/>
      <x:c r="AO138" s="302" t="n"/>
      <x:c r="AP138" s="302" t="n"/>
      <x:c r="AQ138" s="302" t="n"/>
      <x:c r="AR138" s="302" t="n"/>
      <x:c r="AS138" s="302" t="n"/>
      <x:c r="AT138" s="302" t="n"/>
      <x:c r="AU138" s="302" t="n"/>
      <x:c r="AV138" s="302" t="n"/>
      <x:c r="AW138" s="302" t="n"/>
      <x:c r="AX138" s="302" t="n"/>
      <x:c r="AY138" s="302" t="n"/>
      <x:c r="AZ138" s="302" t="n"/>
      <x:c r="BA138" s="302" t="n"/>
      <x:c r="BB138" s="302" t="n"/>
      <x:c r="BC138" s="302" t="n"/>
      <x:c r="BD138" s="302" t="n"/>
      <x:c r="BE138" s="302" t="n"/>
      <x:c r="BF138" s="302" t="n"/>
      <x:c r="BG138" s="302" t="n"/>
      <x:c r="BH138" s="302" t="n"/>
      <x:c r="BI138" s="302" t="n"/>
      <x:c r="BJ138" s="302" t="n"/>
      <x:c r="BK138" s="302" t="n"/>
      <x:c r="BL138" s="302" t="n"/>
      <x:c r="BM138" s="302" t="n"/>
      <x:c r="BN138" s="302" t="n"/>
      <x:c r="BO138" s="302" t="n"/>
      <x:c r="BP138" s="302" t="n"/>
      <x:c r="BQ138" s="302" t="n"/>
      <x:c r="BR138" s="302" t="n"/>
      <x:c r="BS138" s="302" t="n"/>
      <x:c r="BT138" s="302" t="n"/>
      <x:c r="BU138" s="302" t="n"/>
      <x:c r="BV138" s="302" t="n"/>
      <x:c r="BW138" s="302" t="n"/>
      <x:c r="BX138" s="302" t="n"/>
      <x:c r="BY138" s="302" t="n"/>
      <x:c r="BZ138" s="302" t="n"/>
      <x:c r="CA138" s="302" t="n"/>
      <x:c r="CB138" s="302" t="n"/>
      <x:c r="CC138" s="302" t="n"/>
      <x:c r="CD138" s="302" t="n"/>
    </x:row>
    <x:row r="139" s="27" customFormat="1">
      <x:c r="B139" s="37" t="n"/>
      <x:c r="C139" s="36" t="n">
        <x:f>E139*D$5</x:f>
        <x:v>0</x:v>
      </x:c>
      <x:c r="D139" s="20" t="n"/>
      <x:c r="E139" s="36" t="n">
        <x:f>SUM(G139:HI139)</x:f>
        <x:v>0</x:v>
      </x:c>
      <x:c r="H139" s="302" t="n"/>
      <x:c r="I139" s="302" t="n"/>
      <x:c r="J139" s="302" t="n"/>
      <x:c r="K139" s="302" t="n"/>
      <x:c r="L139" s="302" t="n"/>
      <x:c r="M139" s="302" t="n"/>
      <x:c r="N139" s="302" t="n"/>
      <x:c r="O139" s="302" t="n"/>
      <x:c r="P139" s="302" t="n"/>
      <x:c r="Q139" s="302" t="n"/>
      <x:c r="R139" s="302" t="n"/>
      <x:c r="S139" s="302" t="n"/>
      <x:c r="T139" s="302" t="n"/>
      <x:c r="U139" s="302" t="n"/>
      <x:c r="V139" s="302" t="n"/>
      <x:c r="W139" s="302" t="n"/>
      <x:c r="X139" s="302" t="n"/>
      <x:c r="Y139" s="302" t="n"/>
      <x:c r="Z139" s="302" t="n"/>
      <x:c r="AA139" s="302" t="n"/>
      <x:c r="AB139" s="302" t="n"/>
      <x:c r="AC139" s="302" t="n"/>
      <x:c r="AD139" s="302" t="n"/>
      <x:c r="AE139" s="302" t="n"/>
      <x:c r="AF139" s="302" t="n"/>
      <x:c r="AG139" s="302" t="n"/>
      <x:c r="AH139" s="302" t="n"/>
      <x:c r="AI139" s="302" t="n"/>
      <x:c r="AJ139" s="302" t="n"/>
      <x:c r="AK139" s="302" t="n"/>
      <x:c r="AL139" s="302" t="n"/>
      <x:c r="AM139" s="302" t="n"/>
      <x:c r="AN139" s="302" t="n"/>
      <x:c r="AO139" s="302" t="n"/>
      <x:c r="AP139" s="302" t="n"/>
      <x:c r="AQ139" s="302" t="n"/>
      <x:c r="AR139" s="302" t="n"/>
      <x:c r="AS139" s="302" t="n"/>
      <x:c r="AT139" s="302" t="n"/>
      <x:c r="AU139" s="302" t="n"/>
      <x:c r="AV139" s="302" t="n"/>
      <x:c r="AW139" s="302" t="n"/>
      <x:c r="AX139" s="302" t="n"/>
      <x:c r="AY139" s="302" t="n"/>
      <x:c r="AZ139" s="302" t="n"/>
      <x:c r="BA139" s="302" t="n"/>
      <x:c r="BB139" s="302" t="n"/>
      <x:c r="BC139" s="302" t="n"/>
      <x:c r="BD139" s="302" t="n"/>
      <x:c r="BE139" s="302" t="n"/>
      <x:c r="BF139" s="302" t="n"/>
      <x:c r="BG139" s="302" t="n"/>
      <x:c r="BH139" s="302" t="n"/>
      <x:c r="BI139" s="302" t="n"/>
      <x:c r="BJ139" s="302" t="n"/>
      <x:c r="BK139" s="302" t="n"/>
      <x:c r="BL139" s="302" t="n"/>
      <x:c r="BM139" s="302" t="n"/>
      <x:c r="BN139" s="302" t="n"/>
      <x:c r="BO139" s="302" t="n"/>
      <x:c r="BP139" s="302" t="n"/>
      <x:c r="BQ139" s="302" t="n"/>
      <x:c r="BR139" s="302" t="n"/>
      <x:c r="BS139" s="302" t="n"/>
      <x:c r="BT139" s="302" t="n"/>
      <x:c r="BU139" s="302" t="n"/>
      <x:c r="BV139" s="302" t="n"/>
      <x:c r="BW139" s="302" t="n"/>
      <x:c r="BX139" s="302" t="n"/>
      <x:c r="BY139" s="302" t="n"/>
      <x:c r="BZ139" s="302" t="n"/>
      <x:c r="CA139" s="302" t="n"/>
      <x:c r="CB139" s="302" t="n"/>
      <x:c r="CC139" s="302" t="n"/>
      <x:c r="CD139" s="302" t="n"/>
    </x:row>
    <x:row r="140" s="27" customFormat="1">
      <x:c r="B140" s="37" t="n"/>
      <x:c r="C140" s="36" t="n">
        <x:f>E140*D$5</x:f>
        <x:v>0</x:v>
      </x:c>
      <x:c r="D140" s="20" t="n"/>
      <x:c r="E140" s="36" t="n">
        <x:f>SUM(G140:HI140)</x:f>
        <x:v>0</x:v>
      </x:c>
      <x:c r="H140" s="302" t="n"/>
      <x:c r="I140" s="302" t="n"/>
      <x:c r="J140" s="302" t="n"/>
      <x:c r="K140" s="302" t="n"/>
      <x:c r="L140" s="302" t="n"/>
      <x:c r="M140" s="302" t="n"/>
      <x:c r="N140" s="302" t="n"/>
      <x:c r="O140" s="302" t="n"/>
      <x:c r="P140" s="302" t="n"/>
      <x:c r="Q140" s="302" t="n"/>
      <x:c r="R140" s="302" t="n"/>
      <x:c r="S140" s="302" t="n"/>
      <x:c r="T140" s="302" t="n"/>
      <x:c r="U140" s="302" t="n"/>
      <x:c r="V140" s="302" t="n"/>
      <x:c r="W140" s="302" t="n"/>
      <x:c r="X140" s="302" t="n"/>
      <x:c r="Y140" s="302" t="n"/>
      <x:c r="Z140" s="302" t="n"/>
      <x:c r="AA140" s="302" t="n"/>
      <x:c r="AB140" s="302" t="n"/>
      <x:c r="AC140" s="302" t="n"/>
      <x:c r="AD140" s="302" t="n"/>
      <x:c r="AE140" s="302" t="n"/>
      <x:c r="AF140" s="302" t="n"/>
      <x:c r="AG140" s="302" t="n"/>
      <x:c r="AH140" s="302" t="n"/>
      <x:c r="AI140" s="302" t="n"/>
      <x:c r="AJ140" s="302" t="n"/>
      <x:c r="AK140" s="302" t="n"/>
      <x:c r="AL140" s="302" t="n"/>
      <x:c r="AM140" s="302" t="n"/>
      <x:c r="AN140" s="302" t="n"/>
      <x:c r="AO140" s="302" t="n"/>
      <x:c r="AP140" s="302" t="n"/>
      <x:c r="AQ140" s="302" t="n"/>
      <x:c r="AR140" s="302" t="n"/>
      <x:c r="AS140" s="302" t="n"/>
      <x:c r="AT140" s="302" t="n"/>
      <x:c r="AU140" s="302" t="n"/>
      <x:c r="AV140" s="302" t="n"/>
      <x:c r="AW140" s="302" t="n"/>
      <x:c r="AX140" s="302" t="n"/>
      <x:c r="AY140" s="302" t="n"/>
      <x:c r="AZ140" s="302" t="n"/>
      <x:c r="BA140" s="302" t="n"/>
      <x:c r="BB140" s="302" t="n"/>
      <x:c r="BC140" s="302" t="n"/>
      <x:c r="BD140" s="302" t="n"/>
      <x:c r="BE140" s="302" t="n"/>
      <x:c r="BF140" s="302" t="n"/>
      <x:c r="BG140" s="302" t="n"/>
      <x:c r="BH140" s="302" t="n"/>
      <x:c r="BI140" s="302" t="n"/>
      <x:c r="BJ140" s="302" t="n"/>
      <x:c r="BK140" s="302" t="n"/>
      <x:c r="BL140" s="302" t="n"/>
      <x:c r="BM140" s="302" t="n"/>
      <x:c r="BN140" s="302" t="n"/>
      <x:c r="BO140" s="302" t="n"/>
      <x:c r="BP140" s="302" t="n"/>
      <x:c r="BQ140" s="302" t="n"/>
      <x:c r="BR140" s="302" t="n"/>
      <x:c r="BS140" s="302" t="n"/>
      <x:c r="BT140" s="302" t="n"/>
      <x:c r="BU140" s="302" t="n"/>
      <x:c r="BV140" s="302" t="n"/>
      <x:c r="BW140" s="302" t="n"/>
      <x:c r="BX140" s="302" t="n"/>
      <x:c r="BY140" s="302" t="n"/>
      <x:c r="BZ140" s="302" t="n"/>
      <x:c r="CA140" s="302" t="n"/>
      <x:c r="CB140" s="302" t="n"/>
      <x:c r="CC140" s="302" t="n"/>
      <x:c r="CD140" s="302" t="n"/>
    </x:row>
    <x:row r="141" s="27" customFormat="1">
      <x:c r="B141" s="37" t="n"/>
      <x:c r="C141" s="36" t="n">
        <x:f>E141*D$5</x:f>
        <x:v>0</x:v>
      </x:c>
      <x:c r="D141" s="20" t="n"/>
      <x:c r="E141" s="36" t="n">
        <x:f>SUM(G141:HI141)</x:f>
        <x:v>0</x:v>
      </x:c>
      <x:c r="H141" s="302" t="n"/>
      <x:c r="I141" s="302" t="n"/>
      <x:c r="J141" s="302" t="n"/>
      <x:c r="K141" s="302" t="n"/>
      <x:c r="L141" s="302" t="n"/>
      <x:c r="M141" s="302" t="n"/>
      <x:c r="N141" s="302" t="n"/>
      <x:c r="O141" s="302" t="n"/>
      <x:c r="P141" s="302" t="n"/>
      <x:c r="Q141" s="302" t="n"/>
      <x:c r="R141" s="302" t="n"/>
      <x:c r="S141" s="302" t="n"/>
      <x:c r="T141" s="302" t="n"/>
      <x:c r="U141" s="302" t="n"/>
      <x:c r="V141" s="302" t="n"/>
      <x:c r="W141" s="302" t="n"/>
      <x:c r="X141" s="302" t="n"/>
      <x:c r="Y141" s="302" t="n"/>
      <x:c r="Z141" s="302" t="n"/>
      <x:c r="AA141" s="302" t="n"/>
      <x:c r="AB141" s="302" t="n"/>
      <x:c r="AC141" s="302" t="n"/>
      <x:c r="AD141" s="302" t="n"/>
      <x:c r="AE141" s="302" t="n"/>
      <x:c r="AF141" s="302" t="n"/>
      <x:c r="AG141" s="302" t="n"/>
      <x:c r="AH141" s="302" t="n"/>
      <x:c r="AI141" s="302" t="n"/>
      <x:c r="AJ141" s="302" t="n"/>
      <x:c r="AK141" s="302" t="n"/>
      <x:c r="AL141" s="302" t="n"/>
      <x:c r="AM141" s="302" t="n"/>
      <x:c r="AN141" s="302" t="n"/>
      <x:c r="AO141" s="302" t="n"/>
      <x:c r="AP141" s="302" t="n"/>
      <x:c r="AQ141" s="302" t="n"/>
      <x:c r="AR141" s="302" t="n"/>
      <x:c r="AS141" s="302" t="n"/>
      <x:c r="AT141" s="302" t="n"/>
      <x:c r="AU141" s="302" t="n"/>
      <x:c r="AV141" s="302" t="n"/>
      <x:c r="AW141" s="302" t="n"/>
      <x:c r="AX141" s="302" t="n"/>
      <x:c r="AY141" s="302" t="n"/>
      <x:c r="AZ141" s="302" t="n"/>
      <x:c r="BA141" s="302" t="n"/>
      <x:c r="BB141" s="302" t="n"/>
      <x:c r="BC141" s="302" t="n"/>
      <x:c r="BD141" s="302" t="n"/>
      <x:c r="BE141" s="302" t="n"/>
      <x:c r="BF141" s="302" t="n"/>
      <x:c r="BG141" s="302" t="n"/>
      <x:c r="BH141" s="302" t="n"/>
      <x:c r="BI141" s="302" t="n"/>
      <x:c r="BJ141" s="302" t="n"/>
      <x:c r="BK141" s="302" t="n"/>
      <x:c r="BL141" s="302" t="n"/>
      <x:c r="BM141" s="302" t="n"/>
      <x:c r="BN141" s="302" t="n"/>
      <x:c r="BO141" s="302" t="n"/>
      <x:c r="BP141" s="302" t="n"/>
      <x:c r="BQ141" s="302" t="n"/>
      <x:c r="BR141" s="302" t="n"/>
      <x:c r="BS141" s="302" t="n"/>
      <x:c r="BT141" s="302" t="n"/>
      <x:c r="BU141" s="302" t="n"/>
      <x:c r="BV141" s="302" t="n"/>
      <x:c r="BW141" s="302" t="n"/>
      <x:c r="BX141" s="302" t="n"/>
      <x:c r="BY141" s="302" t="n"/>
      <x:c r="BZ141" s="302" t="n"/>
      <x:c r="CA141" s="302" t="n"/>
      <x:c r="CB141" s="302" t="n"/>
      <x:c r="CC141" s="302" t="n"/>
      <x:c r="CD141" s="302" t="n"/>
    </x:row>
    <x:row r="142" s="27" customFormat="1">
      <x:c r="B142" s="37" t="n"/>
      <x:c r="C142" s="36" t="n">
        <x:f>E142*D$5</x:f>
        <x:v>0</x:v>
      </x:c>
      <x:c r="D142" s="20" t="n"/>
      <x:c r="E142" s="36" t="n">
        <x:f>SUM(G142:HI142)</x:f>
        <x:v>0</x:v>
      </x:c>
      <x:c r="H142" s="302" t="n"/>
      <x:c r="I142" s="302" t="n"/>
      <x:c r="J142" s="302" t="n"/>
      <x:c r="K142" s="302" t="n"/>
      <x:c r="L142" s="302" t="n"/>
      <x:c r="M142" s="302" t="n"/>
      <x:c r="N142" s="302" t="n"/>
      <x:c r="O142" s="302" t="n"/>
      <x:c r="P142" s="302" t="n"/>
      <x:c r="Q142" s="302" t="n"/>
      <x:c r="R142" s="302" t="n"/>
      <x:c r="S142" s="302" t="n"/>
      <x:c r="T142" s="302" t="n"/>
      <x:c r="U142" s="302" t="n"/>
      <x:c r="V142" s="302" t="n"/>
      <x:c r="W142" s="302" t="n"/>
      <x:c r="X142" s="302" t="n"/>
      <x:c r="Y142" s="302" t="n"/>
      <x:c r="Z142" s="302" t="n"/>
      <x:c r="AA142" s="302" t="n"/>
      <x:c r="AB142" s="302" t="n"/>
      <x:c r="AC142" s="302" t="n"/>
      <x:c r="AD142" s="302" t="n"/>
      <x:c r="AE142" s="302" t="n"/>
      <x:c r="AF142" s="302" t="n"/>
      <x:c r="AG142" s="302" t="n"/>
      <x:c r="AH142" s="302" t="n"/>
      <x:c r="AI142" s="302" t="n"/>
      <x:c r="AJ142" s="302" t="n"/>
      <x:c r="AK142" s="302" t="n"/>
      <x:c r="AL142" s="302" t="n"/>
      <x:c r="AM142" s="302" t="n"/>
      <x:c r="AN142" s="302" t="n"/>
      <x:c r="AO142" s="302" t="n"/>
      <x:c r="AP142" s="302" t="n"/>
      <x:c r="AQ142" s="302" t="n"/>
      <x:c r="AR142" s="302" t="n"/>
      <x:c r="AS142" s="302" t="n"/>
      <x:c r="AT142" s="302" t="n"/>
      <x:c r="AU142" s="302" t="n"/>
      <x:c r="AV142" s="302" t="n"/>
      <x:c r="AW142" s="302" t="n"/>
      <x:c r="AX142" s="302" t="n"/>
      <x:c r="AY142" s="302" t="n"/>
      <x:c r="AZ142" s="302" t="n"/>
      <x:c r="BA142" s="302" t="n"/>
      <x:c r="BB142" s="302" t="n"/>
      <x:c r="BC142" s="302" t="n"/>
      <x:c r="BD142" s="302" t="n"/>
      <x:c r="BE142" s="302" t="n"/>
      <x:c r="BF142" s="302" t="n"/>
      <x:c r="BG142" s="302" t="n"/>
      <x:c r="BH142" s="302" t="n"/>
      <x:c r="BI142" s="302" t="n"/>
      <x:c r="BJ142" s="302" t="n"/>
      <x:c r="BK142" s="302" t="n"/>
      <x:c r="BL142" s="302" t="n"/>
      <x:c r="BM142" s="302" t="n"/>
      <x:c r="BN142" s="302" t="n"/>
      <x:c r="BO142" s="302" t="n"/>
      <x:c r="BP142" s="302" t="n"/>
      <x:c r="BQ142" s="302" t="n"/>
      <x:c r="BR142" s="302" t="n"/>
      <x:c r="BS142" s="302" t="n"/>
      <x:c r="BT142" s="302" t="n"/>
      <x:c r="BU142" s="302" t="n"/>
      <x:c r="BV142" s="302" t="n"/>
      <x:c r="BW142" s="302" t="n"/>
      <x:c r="BX142" s="302" t="n"/>
      <x:c r="BY142" s="302" t="n"/>
      <x:c r="BZ142" s="302" t="n"/>
      <x:c r="CA142" s="302" t="n"/>
      <x:c r="CB142" s="302" t="n"/>
      <x:c r="CC142" s="302" t="n"/>
      <x:c r="CD142" s="302" t="n"/>
    </x:row>
    <x:row r="143" s="27" customFormat="1">
      <x:c r="B143" s="37" t="n"/>
      <x:c r="C143" s="36" t="n">
        <x:f>E143*D$5</x:f>
        <x:v>0</x:v>
      </x:c>
      <x:c r="D143" s="20" t="n"/>
      <x:c r="E143" s="36" t="n">
        <x:f>SUM(G143:HI143)</x:f>
        <x:v>0</x:v>
      </x:c>
      <x:c r="H143" s="302" t="n"/>
      <x:c r="I143" s="302" t="n"/>
      <x:c r="J143" s="302" t="n"/>
      <x:c r="K143" s="302" t="n"/>
      <x:c r="L143" s="302" t="n"/>
      <x:c r="M143" s="302" t="n"/>
      <x:c r="N143" s="302" t="n"/>
      <x:c r="O143" s="302" t="n"/>
      <x:c r="P143" s="302" t="n"/>
      <x:c r="Q143" s="302" t="n"/>
      <x:c r="R143" s="302" t="n"/>
      <x:c r="S143" s="302" t="n"/>
      <x:c r="T143" s="302" t="n"/>
      <x:c r="U143" s="302" t="n"/>
      <x:c r="V143" s="302" t="n"/>
      <x:c r="W143" s="302" t="n"/>
      <x:c r="X143" s="302" t="n"/>
      <x:c r="Y143" s="302" t="n"/>
      <x:c r="Z143" s="302" t="n"/>
      <x:c r="AA143" s="302" t="n"/>
      <x:c r="AB143" s="302" t="n"/>
      <x:c r="AC143" s="302" t="n"/>
      <x:c r="AD143" s="302" t="n"/>
      <x:c r="AE143" s="302" t="n"/>
      <x:c r="AF143" s="302" t="n"/>
      <x:c r="AG143" s="302" t="n"/>
      <x:c r="AH143" s="302" t="n"/>
      <x:c r="AI143" s="302" t="n"/>
      <x:c r="AJ143" s="302" t="n"/>
      <x:c r="AK143" s="302" t="n"/>
      <x:c r="AL143" s="302" t="n"/>
      <x:c r="AM143" s="302" t="n"/>
      <x:c r="AN143" s="302" t="n"/>
      <x:c r="AO143" s="302" t="n"/>
      <x:c r="AP143" s="302" t="n"/>
      <x:c r="AQ143" s="302" t="n"/>
      <x:c r="AR143" s="302" t="n"/>
      <x:c r="AS143" s="302" t="n"/>
      <x:c r="AT143" s="302" t="n"/>
      <x:c r="AU143" s="302" t="n"/>
      <x:c r="AV143" s="302" t="n"/>
      <x:c r="AW143" s="302" t="n"/>
      <x:c r="AX143" s="302" t="n"/>
      <x:c r="AY143" s="302" t="n"/>
      <x:c r="AZ143" s="302" t="n"/>
      <x:c r="BA143" s="302" t="n"/>
      <x:c r="BB143" s="302" t="n"/>
      <x:c r="BC143" s="302" t="n"/>
      <x:c r="BD143" s="302" t="n"/>
      <x:c r="BE143" s="302" t="n"/>
      <x:c r="BF143" s="302" t="n"/>
      <x:c r="BG143" s="302" t="n"/>
      <x:c r="BH143" s="302" t="n"/>
      <x:c r="BI143" s="302" t="n"/>
      <x:c r="BJ143" s="302" t="n"/>
      <x:c r="BK143" s="302" t="n"/>
      <x:c r="BL143" s="302" t="n"/>
      <x:c r="BM143" s="302" t="n"/>
      <x:c r="BN143" s="302" t="n"/>
      <x:c r="BO143" s="302" t="n"/>
      <x:c r="BP143" s="302" t="n"/>
      <x:c r="BQ143" s="302" t="n"/>
      <x:c r="BR143" s="302" t="n"/>
      <x:c r="BS143" s="302" t="n"/>
      <x:c r="BT143" s="302" t="n"/>
      <x:c r="BU143" s="302" t="n"/>
      <x:c r="BV143" s="302" t="n"/>
      <x:c r="BW143" s="302" t="n"/>
      <x:c r="BX143" s="302" t="n"/>
      <x:c r="BY143" s="302" t="n"/>
      <x:c r="BZ143" s="302" t="n"/>
      <x:c r="CA143" s="302" t="n"/>
      <x:c r="CB143" s="302" t="n"/>
      <x:c r="CC143" s="302" t="n"/>
      <x:c r="CD143" s="302" t="n"/>
    </x:row>
    <x:row r="144" s="27" customFormat="1">
      <x:c r="B144" s="37" t="n"/>
      <x:c r="C144" s="36" t="n">
        <x:f>E144*D$5</x:f>
        <x:v>0</x:v>
      </x:c>
      <x:c r="D144" s="20" t="n"/>
      <x:c r="E144" s="36" t="n">
        <x:f>SUM(G144:HI144)</x:f>
        <x:v>0</x:v>
      </x:c>
      <x:c r="H144" s="302" t="n"/>
      <x:c r="I144" s="302" t="n"/>
      <x:c r="J144" s="302" t="n"/>
      <x:c r="K144" s="302" t="n"/>
      <x:c r="L144" s="302" t="n"/>
      <x:c r="M144" s="302" t="n"/>
      <x:c r="N144" s="302" t="n"/>
      <x:c r="O144" s="302" t="n"/>
      <x:c r="P144" s="302" t="n"/>
      <x:c r="Q144" s="302" t="n"/>
      <x:c r="R144" s="302" t="n"/>
      <x:c r="S144" s="302" t="n"/>
      <x:c r="T144" s="302" t="n"/>
      <x:c r="U144" s="302" t="n"/>
      <x:c r="V144" s="302" t="n"/>
      <x:c r="W144" s="302" t="n"/>
      <x:c r="X144" s="302" t="n"/>
      <x:c r="Y144" s="302" t="n"/>
      <x:c r="Z144" s="302" t="n"/>
      <x:c r="AA144" s="302" t="n"/>
      <x:c r="AB144" s="302" t="n"/>
      <x:c r="AC144" s="302" t="n"/>
      <x:c r="AD144" s="302" t="n"/>
      <x:c r="AE144" s="302" t="n"/>
      <x:c r="AF144" s="302" t="n"/>
      <x:c r="AG144" s="302" t="n"/>
      <x:c r="AH144" s="302" t="n"/>
      <x:c r="AI144" s="302" t="n"/>
      <x:c r="AJ144" s="302" t="n"/>
      <x:c r="AK144" s="302" t="n"/>
      <x:c r="AL144" s="302" t="n"/>
      <x:c r="AM144" s="302" t="n"/>
      <x:c r="AN144" s="302" t="n"/>
      <x:c r="AO144" s="302" t="n"/>
      <x:c r="AP144" s="302" t="n"/>
      <x:c r="AQ144" s="302" t="n"/>
      <x:c r="AR144" s="302" t="n"/>
      <x:c r="AS144" s="302" t="n"/>
      <x:c r="AT144" s="302" t="n"/>
      <x:c r="AU144" s="302" t="n"/>
      <x:c r="AV144" s="302" t="n"/>
      <x:c r="AW144" s="302" t="n"/>
      <x:c r="AX144" s="302" t="n"/>
      <x:c r="AY144" s="302" t="n"/>
      <x:c r="AZ144" s="302" t="n"/>
      <x:c r="BA144" s="302" t="n"/>
      <x:c r="BB144" s="302" t="n"/>
      <x:c r="BC144" s="302" t="n"/>
      <x:c r="BD144" s="302" t="n"/>
      <x:c r="BE144" s="302" t="n"/>
      <x:c r="BF144" s="302" t="n"/>
      <x:c r="BG144" s="302" t="n"/>
      <x:c r="BH144" s="302" t="n"/>
      <x:c r="BI144" s="302" t="n"/>
      <x:c r="BJ144" s="302" t="n"/>
      <x:c r="BK144" s="302" t="n"/>
      <x:c r="BL144" s="302" t="n"/>
      <x:c r="BM144" s="302" t="n"/>
      <x:c r="BN144" s="302" t="n"/>
      <x:c r="BO144" s="302" t="n"/>
      <x:c r="BP144" s="302" t="n"/>
      <x:c r="BQ144" s="302" t="n"/>
      <x:c r="BR144" s="302" t="n"/>
      <x:c r="BS144" s="302" t="n"/>
      <x:c r="BT144" s="302" t="n"/>
      <x:c r="BU144" s="302" t="n"/>
      <x:c r="BV144" s="302" t="n"/>
      <x:c r="BW144" s="302" t="n"/>
      <x:c r="BX144" s="302" t="n"/>
      <x:c r="BY144" s="302" t="n"/>
      <x:c r="BZ144" s="302" t="n"/>
      <x:c r="CA144" s="302" t="n"/>
      <x:c r="CB144" s="302" t="n"/>
      <x:c r="CC144" s="302" t="n"/>
      <x:c r="CD144" s="302" t="n"/>
    </x:row>
    <x:row r="145" s="27" customFormat="1">
      <x:c r="B145" s="37" t="n"/>
      <x:c r="C145" s="36" t="n">
        <x:f>E145*D$5</x:f>
        <x:v>0</x:v>
      </x:c>
      <x:c r="D145" s="20" t="n"/>
      <x:c r="E145" s="36" t="n">
        <x:f>SUM(G145:HI145)</x:f>
        <x:v>0</x:v>
      </x:c>
      <x:c r="H145" s="302" t="n"/>
      <x:c r="I145" s="302" t="n"/>
      <x:c r="J145" s="302" t="n"/>
      <x:c r="K145" s="302" t="n"/>
      <x:c r="L145" s="302" t="n"/>
      <x:c r="M145" s="302" t="n"/>
      <x:c r="N145" s="302" t="n"/>
      <x:c r="O145" s="302" t="n"/>
      <x:c r="P145" s="302" t="n"/>
      <x:c r="Q145" s="302" t="n"/>
      <x:c r="R145" s="302" t="n"/>
      <x:c r="S145" s="302" t="n"/>
      <x:c r="T145" s="302" t="n"/>
      <x:c r="U145" s="302" t="n"/>
      <x:c r="V145" s="302" t="n"/>
      <x:c r="W145" s="302" t="n"/>
      <x:c r="X145" s="302" t="n"/>
      <x:c r="Y145" s="302" t="n"/>
      <x:c r="Z145" s="302" t="n"/>
      <x:c r="AA145" s="302" t="n"/>
      <x:c r="AB145" s="302" t="n"/>
      <x:c r="AC145" s="302" t="n"/>
      <x:c r="AD145" s="302" t="n"/>
      <x:c r="AE145" s="302" t="n"/>
      <x:c r="AF145" s="302" t="n"/>
      <x:c r="AG145" s="302" t="n"/>
      <x:c r="AH145" s="302" t="n"/>
      <x:c r="AI145" s="302" t="n"/>
      <x:c r="AJ145" s="302" t="n"/>
      <x:c r="AK145" s="302" t="n"/>
      <x:c r="AL145" s="302" t="n"/>
      <x:c r="AM145" s="302" t="n"/>
      <x:c r="AN145" s="302" t="n"/>
      <x:c r="AO145" s="302" t="n"/>
      <x:c r="AP145" s="302" t="n"/>
      <x:c r="AQ145" s="302" t="n"/>
      <x:c r="AR145" s="302" t="n"/>
      <x:c r="AS145" s="302" t="n"/>
      <x:c r="AT145" s="302" t="n"/>
      <x:c r="AU145" s="302" t="n"/>
      <x:c r="AV145" s="302" t="n"/>
      <x:c r="AW145" s="302" t="n"/>
      <x:c r="AX145" s="302" t="n"/>
      <x:c r="AY145" s="302" t="n"/>
      <x:c r="AZ145" s="302" t="n"/>
      <x:c r="BA145" s="302" t="n"/>
      <x:c r="BB145" s="302" t="n"/>
      <x:c r="BC145" s="302" t="n"/>
      <x:c r="BD145" s="302" t="n"/>
      <x:c r="BE145" s="302" t="n"/>
      <x:c r="BF145" s="302" t="n"/>
      <x:c r="BG145" s="302" t="n"/>
      <x:c r="BH145" s="302" t="n"/>
      <x:c r="BI145" s="302" t="n"/>
      <x:c r="BJ145" s="302" t="n"/>
      <x:c r="BK145" s="302" t="n"/>
      <x:c r="BL145" s="302" t="n"/>
      <x:c r="BM145" s="302" t="n"/>
      <x:c r="BN145" s="302" t="n"/>
      <x:c r="BO145" s="302" t="n"/>
      <x:c r="BP145" s="302" t="n"/>
      <x:c r="BQ145" s="302" t="n"/>
      <x:c r="BR145" s="302" t="n"/>
      <x:c r="BS145" s="302" t="n"/>
      <x:c r="BT145" s="302" t="n"/>
      <x:c r="BU145" s="302" t="n"/>
      <x:c r="BV145" s="302" t="n"/>
      <x:c r="BW145" s="302" t="n"/>
      <x:c r="BX145" s="302" t="n"/>
      <x:c r="BY145" s="302" t="n"/>
      <x:c r="BZ145" s="302" t="n"/>
      <x:c r="CA145" s="302" t="n"/>
      <x:c r="CB145" s="302" t="n"/>
      <x:c r="CC145" s="302" t="n"/>
      <x:c r="CD145" s="302" t="n"/>
    </x:row>
    <x:row r="146" s="27" customFormat="1">
      <x:c r="B146" s="37" t="n"/>
      <x:c r="C146" s="36" t="n">
        <x:f>E146*D$5</x:f>
        <x:v>0</x:v>
      </x:c>
      <x:c r="D146" s="20" t="n"/>
      <x:c r="E146" s="36" t="n">
        <x:f>SUM(G146:HI146)</x:f>
        <x:v>0</x:v>
      </x:c>
      <x:c r="H146" s="302" t="n"/>
      <x:c r="I146" s="302" t="n"/>
      <x:c r="J146" s="302" t="n"/>
      <x:c r="K146" s="302" t="n"/>
      <x:c r="L146" s="302" t="n"/>
      <x:c r="M146" s="302" t="n"/>
      <x:c r="N146" s="302" t="n"/>
      <x:c r="O146" s="302" t="n"/>
      <x:c r="P146" s="302" t="n"/>
      <x:c r="Q146" s="302" t="n"/>
      <x:c r="R146" s="302" t="n"/>
      <x:c r="S146" s="302" t="n"/>
      <x:c r="T146" s="302" t="n"/>
      <x:c r="U146" s="302" t="n"/>
      <x:c r="V146" s="302" t="n"/>
      <x:c r="W146" s="302" t="n"/>
      <x:c r="X146" s="302" t="n"/>
      <x:c r="Y146" s="302" t="n"/>
      <x:c r="Z146" s="302" t="n"/>
      <x:c r="AA146" s="302" t="n"/>
      <x:c r="AB146" s="302" t="n"/>
      <x:c r="AC146" s="302" t="n"/>
      <x:c r="AD146" s="302" t="n"/>
      <x:c r="AE146" s="302" t="n"/>
      <x:c r="AF146" s="302" t="n"/>
      <x:c r="AG146" s="302" t="n"/>
      <x:c r="AH146" s="302" t="n"/>
      <x:c r="AI146" s="302" t="n"/>
      <x:c r="AJ146" s="302" t="n"/>
      <x:c r="AK146" s="302" t="n"/>
      <x:c r="AL146" s="302" t="n"/>
      <x:c r="AM146" s="302" t="n"/>
      <x:c r="AN146" s="302" t="n"/>
      <x:c r="AO146" s="302" t="n"/>
      <x:c r="AP146" s="302" t="n"/>
      <x:c r="AQ146" s="302" t="n"/>
      <x:c r="AR146" s="302" t="n"/>
      <x:c r="AS146" s="302" t="n"/>
      <x:c r="AT146" s="302" t="n"/>
      <x:c r="AU146" s="302" t="n"/>
      <x:c r="AV146" s="302" t="n"/>
      <x:c r="AW146" s="302" t="n"/>
      <x:c r="AX146" s="302" t="n"/>
      <x:c r="AY146" s="302" t="n"/>
      <x:c r="AZ146" s="302" t="n"/>
      <x:c r="BA146" s="302" t="n"/>
      <x:c r="BB146" s="302" t="n"/>
      <x:c r="BC146" s="302" t="n"/>
      <x:c r="BD146" s="302" t="n"/>
      <x:c r="BE146" s="302" t="n"/>
      <x:c r="BF146" s="302" t="n"/>
      <x:c r="BG146" s="302" t="n"/>
      <x:c r="BH146" s="302" t="n"/>
      <x:c r="BI146" s="302" t="n"/>
      <x:c r="BJ146" s="302" t="n"/>
      <x:c r="BK146" s="302" t="n"/>
      <x:c r="BL146" s="302" t="n"/>
      <x:c r="BM146" s="302" t="n"/>
      <x:c r="BN146" s="302" t="n"/>
      <x:c r="BO146" s="302" t="n"/>
      <x:c r="BP146" s="302" t="n"/>
      <x:c r="BQ146" s="302" t="n"/>
      <x:c r="BR146" s="302" t="n"/>
      <x:c r="BS146" s="302" t="n"/>
      <x:c r="BT146" s="302" t="n"/>
      <x:c r="BU146" s="302" t="n"/>
      <x:c r="BV146" s="302" t="n"/>
      <x:c r="BW146" s="302" t="n"/>
      <x:c r="BX146" s="302" t="n"/>
      <x:c r="BY146" s="302" t="n"/>
      <x:c r="BZ146" s="302" t="n"/>
      <x:c r="CA146" s="302" t="n"/>
      <x:c r="CB146" s="302" t="n"/>
      <x:c r="CC146" s="302" t="n"/>
      <x:c r="CD146" s="302" t="n"/>
    </x:row>
    <x:row r="147" s="27" customFormat="1">
      <x:c r="B147" s="37" t="n"/>
      <x:c r="C147" s="36" t="n">
        <x:f>E147*D$5</x:f>
        <x:v>0</x:v>
      </x:c>
      <x:c r="D147" s="20" t="n"/>
      <x:c r="E147" s="36" t="n">
        <x:f>SUM(G147:HI147)</x:f>
        <x:v>0</x:v>
      </x:c>
      <x:c r="H147" s="302" t="n"/>
      <x:c r="I147" s="302" t="n"/>
      <x:c r="J147" s="302" t="n"/>
      <x:c r="K147" s="302" t="n"/>
      <x:c r="L147" s="302" t="n"/>
      <x:c r="M147" s="302" t="n"/>
      <x:c r="N147" s="302" t="n"/>
      <x:c r="O147" s="302" t="n"/>
      <x:c r="P147" s="302" t="n"/>
      <x:c r="Q147" s="302" t="n"/>
      <x:c r="R147" s="302" t="n"/>
      <x:c r="S147" s="302" t="n"/>
      <x:c r="T147" s="302" t="n"/>
      <x:c r="U147" s="302" t="n"/>
      <x:c r="V147" s="302" t="n"/>
      <x:c r="W147" s="302" t="n"/>
      <x:c r="X147" s="302" t="n"/>
      <x:c r="Y147" s="302" t="n"/>
      <x:c r="Z147" s="302" t="n"/>
      <x:c r="AA147" s="302" t="n"/>
      <x:c r="AB147" s="302" t="n"/>
      <x:c r="AC147" s="302" t="n"/>
      <x:c r="AD147" s="302" t="n"/>
      <x:c r="AE147" s="302" t="n"/>
      <x:c r="AF147" s="302" t="n"/>
      <x:c r="AG147" s="302" t="n"/>
      <x:c r="AH147" s="302" t="n"/>
      <x:c r="AI147" s="302" t="n"/>
      <x:c r="AJ147" s="302" t="n"/>
      <x:c r="AK147" s="302" t="n"/>
      <x:c r="AL147" s="302" t="n"/>
      <x:c r="AM147" s="302" t="n"/>
      <x:c r="AN147" s="302" t="n"/>
      <x:c r="AO147" s="302" t="n"/>
      <x:c r="AP147" s="302" t="n"/>
      <x:c r="AQ147" s="302" t="n"/>
      <x:c r="AR147" s="302" t="n"/>
      <x:c r="AS147" s="302" t="n"/>
      <x:c r="AT147" s="302" t="n"/>
      <x:c r="AU147" s="302" t="n"/>
      <x:c r="AV147" s="302" t="n"/>
      <x:c r="AW147" s="302" t="n"/>
      <x:c r="AX147" s="302" t="n"/>
      <x:c r="AY147" s="302" t="n"/>
      <x:c r="AZ147" s="302" t="n"/>
      <x:c r="BA147" s="302" t="n"/>
      <x:c r="BB147" s="302" t="n"/>
      <x:c r="BC147" s="302" t="n"/>
      <x:c r="BD147" s="302" t="n"/>
      <x:c r="BE147" s="302" t="n"/>
      <x:c r="BF147" s="302" t="n"/>
      <x:c r="BG147" s="302" t="n"/>
      <x:c r="BH147" s="302" t="n"/>
      <x:c r="BI147" s="302" t="n"/>
      <x:c r="BJ147" s="302" t="n"/>
      <x:c r="BK147" s="302" t="n"/>
      <x:c r="BL147" s="302" t="n"/>
      <x:c r="BM147" s="302" t="n"/>
      <x:c r="BN147" s="302" t="n"/>
      <x:c r="BO147" s="302" t="n"/>
      <x:c r="BP147" s="302" t="n"/>
      <x:c r="BQ147" s="302" t="n"/>
      <x:c r="BR147" s="302" t="n"/>
      <x:c r="BS147" s="302" t="n"/>
      <x:c r="BT147" s="302" t="n"/>
      <x:c r="BU147" s="302" t="n"/>
      <x:c r="BV147" s="302" t="n"/>
      <x:c r="BW147" s="302" t="n"/>
      <x:c r="BX147" s="302" t="n"/>
      <x:c r="BY147" s="302" t="n"/>
      <x:c r="BZ147" s="302" t="n"/>
      <x:c r="CA147" s="302" t="n"/>
      <x:c r="CB147" s="302" t="n"/>
      <x:c r="CC147" s="302" t="n"/>
      <x:c r="CD147" s="302" t="n"/>
    </x:row>
    <x:row r="148" s="27" customFormat="1">
      <x:c r="B148" s="37" t="n"/>
      <x:c r="C148" s="36" t="n">
        <x:f>E148*D$5</x:f>
        <x:v>0</x:v>
      </x:c>
      <x:c r="D148" s="20" t="n"/>
      <x:c r="E148" s="36" t="n">
        <x:f>SUM(G148:HI148)</x:f>
        <x:v>0</x:v>
      </x:c>
      <x:c r="H148" s="302" t="n"/>
      <x:c r="I148" s="302" t="n"/>
      <x:c r="J148" s="302" t="n"/>
      <x:c r="K148" s="302" t="n"/>
      <x:c r="L148" s="302" t="n"/>
      <x:c r="M148" s="302" t="n"/>
      <x:c r="N148" s="302" t="n"/>
      <x:c r="O148" s="302" t="n"/>
      <x:c r="P148" s="302" t="n"/>
      <x:c r="Q148" s="302" t="n"/>
      <x:c r="R148" s="302" t="n"/>
      <x:c r="S148" s="302" t="n"/>
      <x:c r="T148" s="302" t="n"/>
      <x:c r="U148" s="302" t="n"/>
      <x:c r="V148" s="302" t="n"/>
      <x:c r="W148" s="302" t="n"/>
      <x:c r="X148" s="302" t="n"/>
      <x:c r="Y148" s="302" t="n"/>
      <x:c r="Z148" s="302" t="n"/>
      <x:c r="AA148" s="302" t="n"/>
      <x:c r="AB148" s="302" t="n"/>
      <x:c r="AC148" s="302" t="n"/>
      <x:c r="AD148" s="302" t="n"/>
      <x:c r="AE148" s="302" t="n"/>
      <x:c r="AF148" s="302" t="n"/>
      <x:c r="AG148" s="302" t="n"/>
      <x:c r="AH148" s="302" t="n"/>
      <x:c r="AI148" s="302" t="n"/>
      <x:c r="AJ148" s="302" t="n"/>
      <x:c r="AK148" s="302" t="n"/>
      <x:c r="AL148" s="302" t="n"/>
      <x:c r="AM148" s="302" t="n"/>
      <x:c r="AN148" s="302" t="n"/>
      <x:c r="AO148" s="302" t="n"/>
      <x:c r="AP148" s="302" t="n"/>
      <x:c r="AQ148" s="302" t="n"/>
      <x:c r="AR148" s="302" t="n"/>
      <x:c r="AS148" s="302" t="n"/>
      <x:c r="AT148" s="302" t="n"/>
      <x:c r="AU148" s="302" t="n"/>
      <x:c r="AV148" s="302" t="n"/>
      <x:c r="AW148" s="302" t="n"/>
      <x:c r="AX148" s="302" t="n"/>
      <x:c r="AY148" s="302" t="n"/>
      <x:c r="AZ148" s="302" t="n"/>
      <x:c r="BA148" s="302" t="n"/>
      <x:c r="BB148" s="302" t="n"/>
      <x:c r="BC148" s="302" t="n"/>
      <x:c r="BD148" s="302" t="n"/>
      <x:c r="BE148" s="302" t="n"/>
      <x:c r="BF148" s="302" t="n"/>
      <x:c r="BG148" s="302" t="n"/>
      <x:c r="BH148" s="302" t="n"/>
      <x:c r="BI148" s="302" t="n"/>
      <x:c r="BJ148" s="302" t="n"/>
      <x:c r="BK148" s="302" t="n"/>
      <x:c r="BL148" s="302" t="n"/>
      <x:c r="BM148" s="302" t="n"/>
      <x:c r="BN148" s="302" t="n"/>
      <x:c r="BO148" s="302" t="n"/>
      <x:c r="BP148" s="302" t="n"/>
      <x:c r="BQ148" s="302" t="n"/>
      <x:c r="BR148" s="302" t="n"/>
      <x:c r="BS148" s="302" t="n"/>
      <x:c r="BT148" s="302" t="n"/>
      <x:c r="BU148" s="302" t="n"/>
      <x:c r="BV148" s="302" t="n"/>
      <x:c r="BW148" s="302" t="n"/>
      <x:c r="BX148" s="302" t="n"/>
      <x:c r="BY148" s="302" t="n"/>
      <x:c r="BZ148" s="302" t="n"/>
      <x:c r="CA148" s="302" t="n"/>
      <x:c r="CB148" s="302" t="n"/>
      <x:c r="CC148" s="302" t="n"/>
      <x:c r="CD148" s="302" t="n"/>
    </x:row>
    <x:row r="149" s="27" customFormat="1">
      <x:c r="B149" s="37" t="n"/>
      <x:c r="C149" s="36" t="n">
        <x:f>E149*D$5</x:f>
        <x:v>0</x:v>
      </x:c>
      <x:c r="D149" s="20" t="n"/>
      <x:c r="E149" s="36" t="n">
        <x:f>SUM(G149:HI149)</x:f>
        <x:v>0</x:v>
      </x:c>
      <x:c r="H149" s="302" t="n"/>
      <x:c r="I149" s="302" t="n"/>
      <x:c r="J149" s="302" t="n"/>
      <x:c r="K149" s="302" t="n"/>
      <x:c r="L149" s="302" t="n"/>
      <x:c r="M149" s="302" t="n"/>
      <x:c r="N149" s="302" t="n"/>
      <x:c r="O149" s="302" t="n"/>
      <x:c r="P149" s="302" t="n"/>
      <x:c r="Q149" s="302" t="n"/>
      <x:c r="R149" s="302" t="n"/>
      <x:c r="S149" s="302" t="n"/>
      <x:c r="T149" s="302" t="n"/>
      <x:c r="U149" s="302" t="n"/>
      <x:c r="V149" s="302" t="n"/>
      <x:c r="W149" s="302" t="n"/>
      <x:c r="X149" s="302" t="n"/>
      <x:c r="Y149" s="302" t="n"/>
      <x:c r="Z149" s="302" t="n"/>
      <x:c r="AA149" s="302" t="n"/>
      <x:c r="AB149" s="302" t="n"/>
      <x:c r="AC149" s="302" t="n"/>
      <x:c r="AD149" s="302" t="n"/>
      <x:c r="AE149" s="302" t="n"/>
      <x:c r="AF149" s="302" t="n"/>
      <x:c r="AG149" s="302" t="n"/>
      <x:c r="AH149" s="302" t="n"/>
      <x:c r="AI149" s="302" t="n"/>
      <x:c r="AJ149" s="302" t="n"/>
      <x:c r="AK149" s="302" t="n"/>
      <x:c r="AL149" s="302" t="n"/>
      <x:c r="AM149" s="302" t="n"/>
      <x:c r="AN149" s="302" t="n"/>
      <x:c r="AO149" s="302" t="n"/>
      <x:c r="AP149" s="302" t="n"/>
      <x:c r="AQ149" s="302" t="n"/>
      <x:c r="AR149" s="302" t="n"/>
      <x:c r="AS149" s="302" t="n"/>
      <x:c r="AT149" s="302" t="n"/>
      <x:c r="AU149" s="302" t="n"/>
      <x:c r="AV149" s="302" t="n"/>
      <x:c r="AW149" s="302" t="n"/>
      <x:c r="AX149" s="302" t="n"/>
      <x:c r="AY149" s="302" t="n"/>
      <x:c r="AZ149" s="302" t="n"/>
      <x:c r="BA149" s="302" t="n"/>
      <x:c r="BB149" s="302" t="n"/>
      <x:c r="BC149" s="302" t="n"/>
      <x:c r="BD149" s="302" t="n"/>
      <x:c r="BE149" s="302" t="n"/>
      <x:c r="BF149" s="302" t="n"/>
      <x:c r="BG149" s="302" t="n"/>
      <x:c r="BH149" s="302" t="n"/>
      <x:c r="BI149" s="302" t="n"/>
      <x:c r="BJ149" s="302" t="n"/>
      <x:c r="BK149" s="302" t="n"/>
      <x:c r="BL149" s="302" t="n"/>
      <x:c r="BM149" s="302" t="n"/>
      <x:c r="BN149" s="302" t="n"/>
      <x:c r="BO149" s="302" t="n"/>
      <x:c r="BP149" s="302" t="n"/>
      <x:c r="BQ149" s="302" t="n"/>
      <x:c r="BR149" s="302" t="n"/>
      <x:c r="BS149" s="302" t="n"/>
      <x:c r="BT149" s="302" t="n"/>
      <x:c r="BU149" s="302" t="n"/>
      <x:c r="BV149" s="302" t="n"/>
      <x:c r="BW149" s="302" t="n"/>
      <x:c r="BX149" s="302" t="n"/>
      <x:c r="BY149" s="302" t="n"/>
      <x:c r="BZ149" s="302" t="n"/>
      <x:c r="CA149" s="302" t="n"/>
      <x:c r="CB149" s="302" t="n"/>
      <x:c r="CC149" s="302" t="n"/>
      <x:c r="CD149" s="302" t="n"/>
    </x:row>
    <x:row r="150" s="27" customFormat="1">
      <x:c r="B150" s="37" t="n"/>
      <x:c r="C150" s="36" t="n">
        <x:f>E150*D$5</x:f>
        <x:v>0</x:v>
      </x:c>
      <x:c r="D150" s="20" t="n"/>
      <x:c r="E150" s="36" t="n">
        <x:f>SUM(G150:HI150)</x:f>
        <x:v>0</x:v>
      </x:c>
      <x:c r="H150" s="302" t="n"/>
      <x:c r="I150" s="302" t="n"/>
      <x:c r="J150" s="302" t="n"/>
      <x:c r="K150" s="302" t="n"/>
      <x:c r="L150" s="302" t="n"/>
      <x:c r="M150" s="302" t="n"/>
      <x:c r="N150" s="302" t="n"/>
      <x:c r="O150" s="302" t="n"/>
      <x:c r="P150" s="302" t="n"/>
      <x:c r="Q150" s="302" t="n"/>
      <x:c r="R150" s="302" t="n"/>
      <x:c r="S150" s="302" t="n"/>
      <x:c r="T150" s="302" t="n"/>
      <x:c r="U150" s="302" t="n"/>
      <x:c r="V150" s="302" t="n"/>
      <x:c r="W150" s="302" t="n"/>
      <x:c r="X150" s="302" t="n"/>
      <x:c r="Y150" s="302" t="n"/>
      <x:c r="Z150" s="302" t="n"/>
      <x:c r="AA150" s="302" t="n"/>
      <x:c r="AB150" s="302" t="n"/>
      <x:c r="AC150" s="302" t="n"/>
      <x:c r="AD150" s="302" t="n"/>
      <x:c r="AE150" s="302" t="n"/>
      <x:c r="AF150" s="302" t="n"/>
      <x:c r="AG150" s="302" t="n"/>
      <x:c r="AH150" s="302" t="n"/>
      <x:c r="AI150" s="302" t="n"/>
      <x:c r="AJ150" s="302" t="n"/>
      <x:c r="AK150" s="302" t="n"/>
      <x:c r="AL150" s="302" t="n"/>
      <x:c r="AM150" s="302" t="n"/>
      <x:c r="AN150" s="302" t="n"/>
      <x:c r="AO150" s="302" t="n"/>
      <x:c r="AP150" s="302" t="n"/>
      <x:c r="AQ150" s="302" t="n"/>
      <x:c r="AR150" s="302" t="n"/>
      <x:c r="AS150" s="302" t="n"/>
      <x:c r="AT150" s="302" t="n"/>
      <x:c r="AU150" s="302" t="n"/>
      <x:c r="AV150" s="302" t="n"/>
      <x:c r="AW150" s="302" t="n"/>
      <x:c r="AX150" s="302" t="n"/>
      <x:c r="AY150" s="302" t="n"/>
      <x:c r="AZ150" s="302" t="n"/>
      <x:c r="BA150" s="302" t="n"/>
      <x:c r="BB150" s="302" t="n"/>
      <x:c r="BC150" s="302" t="n"/>
      <x:c r="BD150" s="302" t="n"/>
      <x:c r="BE150" s="302" t="n"/>
      <x:c r="BF150" s="302" t="n"/>
      <x:c r="BG150" s="302" t="n"/>
      <x:c r="BH150" s="302" t="n"/>
      <x:c r="BI150" s="302" t="n"/>
      <x:c r="BJ150" s="302" t="n"/>
      <x:c r="BK150" s="302" t="n"/>
      <x:c r="BL150" s="302" t="n"/>
      <x:c r="BM150" s="302" t="n"/>
      <x:c r="BN150" s="302" t="n"/>
      <x:c r="BO150" s="302" t="n"/>
      <x:c r="BP150" s="302" t="n"/>
      <x:c r="BQ150" s="302" t="n"/>
      <x:c r="BR150" s="302" t="n"/>
      <x:c r="BS150" s="302" t="n"/>
      <x:c r="BT150" s="302" t="n"/>
      <x:c r="BU150" s="302" t="n"/>
      <x:c r="BV150" s="302" t="n"/>
      <x:c r="BW150" s="302" t="n"/>
      <x:c r="BX150" s="302" t="n"/>
      <x:c r="BY150" s="302" t="n"/>
      <x:c r="BZ150" s="302" t="n"/>
      <x:c r="CA150" s="302" t="n"/>
      <x:c r="CB150" s="302" t="n"/>
      <x:c r="CC150" s="302" t="n"/>
      <x:c r="CD150" s="302" t="n"/>
    </x:row>
    <x:row r="151" s="27" customFormat="1">
      <x:c r="B151" s="37" t="n"/>
      <x:c r="C151" s="36" t="n">
        <x:f>E151*D$5</x:f>
        <x:v>0</x:v>
      </x:c>
      <x:c r="D151" s="20" t="n"/>
      <x:c r="E151" s="36" t="n">
        <x:f>SUM(G151:HI151)</x:f>
        <x:v>0</x:v>
      </x:c>
      <x:c r="H151" s="302" t="n"/>
      <x:c r="I151" s="302" t="n"/>
      <x:c r="J151" s="302" t="n"/>
      <x:c r="K151" s="302" t="n"/>
      <x:c r="L151" s="302" t="n"/>
      <x:c r="M151" s="302" t="n"/>
      <x:c r="N151" s="302" t="n"/>
      <x:c r="O151" s="302" t="n"/>
      <x:c r="P151" s="302" t="n"/>
      <x:c r="Q151" s="302" t="n"/>
      <x:c r="R151" s="302" t="n"/>
      <x:c r="S151" s="302" t="n"/>
      <x:c r="T151" s="302" t="n"/>
      <x:c r="U151" s="302" t="n"/>
      <x:c r="V151" s="302" t="n"/>
      <x:c r="W151" s="302" t="n"/>
      <x:c r="X151" s="302" t="n"/>
      <x:c r="Y151" s="302" t="n"/>
      <x:c r="Z151" s="302" t="n"/>
      <x:c r="AA151" s="302" t="n"/>
      <x:c r="AB151" s="302" t="n"/>
      <x:c r="AC151" s="302" t="n"/>
      <x:c r="AD151" s="302" t="n"/>
      <x:c r="AE151" s="302" t="n"/>
      <x:c r="AF151" s="302" t="n"/>
      <x:c r="AG151" s="302" t="n"/>
      <x:c r="AH151" s="302" t="n"/>
      <x:c r="AI151" s="302" t="n"/>
      <x:c r="AJ151" s="302" t="n"/>
      <x:c r="AK151" s="302" t="n"/>
      <x:c r="AL151" s="302" t="n"/>
      <x:c r="AM151" s="302" t="n"/>
      <x:c r="AN151" s="302" t="n"/>
      <x:c r="AO151" s="302" t="n"/>
      <x:c r="AP151" s="302" t="n"/>
      <x:c r="AQ151" s="302" t="n"/>
      <x:c r="AR151" s="302" t="n"/>
      <x:c r="AS151" s="302" t="n"/>
      <x:c r="AT151" s="302" t="n"/>
      <x:c r="AU151" s="302" t="n"/>
      <x:c r="AV151" s="302" t="n"/>
      <x:c r="AW151" s="302" t="n"/>
      <x:c r="AX151" s="302" t="n"/>
      <x:c r="AY151" s="302" t="n"/>
      <x:c r="AZ151" s="302" t="n"/>
      <x:c r="BA151" s="302" t="n"/>
      <x:c r="BB151" s="302" t="n"/>
      <x:c r="BC151" s="302" t="n"/>
      <x:c r="BD151" s="302" t="n"/>
      <x:c r="BE151" s="302" t="n"/>
      <x:c r="BF151" s="302" t="n"/>
      <x:c r="BG151" s="302" t="n"/>
      <x:c r="BH151" s="302" t="n"/>
      <x:c r="BI151" s="302" t="n"/>
      <x:c r="BJ151" s="302" t="n"/>
      <x:c r="BK151" s="302" t="n"/>
      <x:c r="BL151" s="302" t="n"/>
      <x:c r="BM151" s="302" t="n"/>
      <x:c r="BN151" s="302" t="n"/>
      <x:c r="BO151" s="302" t="n"/>
      <x:c r="BP151" s="302" t="n"/>
      <x:c r="BQ151" s="302" t="n"/>
      <x:c r="BR151" s="302" t="n"/>
      <x:c r="BS151" s="302" t="n"/>
      <x:c r="BT151" s="302" t="n"/>
      <x:c r="BU151" s="302" t="n"/>
      <x:c r="BV151" s="302" t="n"/>
      <x:c r="BW151" s="302" t="n"/>
      <x:c r="BX151" s="302" t="n"/>
      <x:c r="BY151" s="302" t="n"/>
      <x:c r="BZ151" s="302" t="n"/>
      <x:c r="CA151" s="302" t="n"/>
      <x:c r="CB151" s="302" t="n"/>
      <x:c r="CC151" s="302" t="n"/>
      <x:c r="CD151" s="302" t="n"/>
    </x:row>
    <x:row r="152" s="27" customFormat="1">
      <x:c r="B152" s="37" t="n"/>
      <x:c r="C152" s="36" t="n">
        <x:f>E152*D$5</x:f>
        <x:v>0</x:v>
      </x:c>
      <x:c r="D152" s="20" t="n"/>
      <x:c r="E152" s="36" t="n">
        <x:f>SUM(G152:HI152)</x:f>
        <x:v>0</x:v>
      </x:c>
      <x:c r="H152" s="302" t="n"/>
      <x:c r="I152" s="302" t="n"/>
      <x:c r="J152" s="302" t="n"/>
      <x:c r="K152" s="302" t="n"/>
      <x:c r="L152" s="302" t="n"/>
      <x:c r="M152" s="302" t="n"/>
      <x:c r="N152" s="302" t="n"/>
      <x:c r="O152" s="302" t="n"/>
      <x:c r="P152" s="302" t="n"/>
      <x:c r="Q152" s="302" t="n"/>
      <x:c r="R152" s="302" t="n"/>
      <x:c r="S152" s="302" t="n"/>
      <x:c r="T152" s="302" t="n"/>
      <x:c r="U152" s="302" t="n"/>
      <x:c r="V152" s="302" t="n"/>
      <x:c r="W152" s="302" t="n"/>
      <x:c r="X152" s="302" t="n"/>
      <x:c r="Y152" s="302" t="n"/>
      <x:c r="Z152" s="302" t="n"/>
      <x:c r="AA152" s="302" t="n"/>
      <x:c r="AB152" s="302" t="n"/>
      <x:c r="AC152" s="302" t="n"/>
      <x:c r="AD152" s="302" t="n"/>
      <x:c r="AE152" s="302" t="n"/>
      <x:c r="AF152" s="302" t="n"/>
      <x:c r="AG152" s="302" t="n"/>
      <x:c r="AH152" s="302" t="n"/>
      <x:c r="AI152" s="302" t="n"/>
      <x:c r="AJ152" s="302" t="n"/>
      <x:c r="AK152" s="302" t="n"/>
      <x:c r="AL152" s="302" t="n"/>
      <x:c r="AM152" s="302" t="n"/>
      <x:c r="AN152" s="302" t="n"/>
      <x:c r="AO152" s="302" t="n"/>
      <x:c r="AP152" s="302" t="n"/>
      <x:c r="AQ152" s="302" t="n"/>
      <x:c r="AR152" s="302" t="n"/>
      <x:c r="AS152" s="302" t="n"/>
      <x:c r="AT152" s="302" t="n"/>
      <x:c r="AU152" s="302" t="n"/>
      <x:c r="AV152" s="302" t="n"/>
      <x:c r="AW152" s="302" t="n"/>
      <x:c r="AX152" s="302" t="n"/>
      <x:c r="AY152" s="302" t="n"/>
      <x:c r="AZ152" s="302" t="n"/>
      <x:c r="BA152" s="302" t="n"/>
      <x:c r="BB152" s="302" t="n"/>
      <x:c r="BC152" s="302" t="n"/>
      <x:c r="BD152" s="302" t="n"/>
      <x:c r="BE152" s="302" t="n"/>
      <x:c r="BF152" s="302" t="n"/>
      <x:c r="BG152" s="302" t="n"/>
      <x:c r="BH152" s="302" t="n"/>
      <x:c r="BI152" s="302" t="n"/>
      <x:c r="BJ152" s="302" t="n"/>
      <x:c r="BK152" s="302" t="n"/>
      <x:c r="BL152" s="302" t="n"/>
      <x:c r="BM152" s="302" t="n"/>
      <x:c r="BN152" s="302" t="n"/>
      <x:c r="BO152" s="302" t="n"/>
      <x:c r="BP152" s="302" t="n"/>
      <x:c r="BQ152" s="302" t="n"/>
      <x:c r="BR152" s="302" t="n"/>
      <x:c r="BS152" s="302" t="n"/>
      <x:c r="BT152" s="302" t="n"/>
      <x:c r="BU152" s="302" t="n"/>
      <x:c r="BV152" s="302" t="n"/>
      <x:c r="BW152" s="302" t="n"/>
      <x:c r="BX152" s="302" t="n"/>
      <x:c r="BY152" s="302" t="n"/>
      <x:c r="BZ152" s="302" t="n"/>
      <x:c r="CA152" s="302" t="n"/>
      <x:c r="CB152" s="302" t="n"/>
      <x:c r="CC152" s="302" t="n"/>
      <x:c r="CD152" s="302" t="n"/>
    </x:row>
    <x:row r="153" s="27" customFormat="1">
      <x:c r="B153" s="37" t="n"/>
      <x:c r="C153" s="36" t="n">
        <x:f>E153*D$5</x:f>
        <x:v>0</x:v>
      </x:c>
      <x:c r="D153" s="20" t="n"/>
      <x:c r="E153" s="36" t="n">
        <x:f>SUM(G153:HI153)</x:f>
        <x:v>0</x:v>
      </x:c>
      <x:c r="H153" s="302" t="n"/>
      <x:c r="I153" s="302" t="n"/>
      <x:c r="J153" s="302" t="n"/>
      <x:c r="K153" s="302" t="n"/>
      <x:c r="L153" s="302" t="n"/>
      <x:c r="M153" s="302" t="n"/>
      <x:c r="N153" s="302" t="n"/>
      <x:c r="O153" s="302" t="n"/>
      <x:c r="P153" s="302" t="n"/>
      <x:c r="Q153" s="302" t="n"/>
      <x:c r="R153" s="302" t="n"/>
      <x:c r="S153" s="302" t="n"/>
      <x:c r="T153" s="302" t="n"/>
      <x:c r="U153" s="302" t="n"/>
      <x:c r="V153" s="302" t="n"/>
      <x:c r="W153" s="302" t="n"/>
      <x:c r="X153" s="302" t="n"/>
      <x:c r="Y153" s="302" t="n"/>
      <x:c r="Z153" s="302" t="n"/>
      <x:c r="AA153" s="302" t="n"/>
      <x:c r="AB153" s="302" t="n"/>
      <x:c r="AC153" s="302" t="n"/>
      <x:c r="AD153" s="302" t="n"/>
      <x:c r="AE153" s="302" t="n"/>
      <x:c r="AF153" s="302" t="n"/>
      <x:c r="AG153" s="302" t="n"/>
      <x:c r="AH153" s="302" t="n"/>
      <x:c r="AI153" s="302" t="n"/>
      <x:c r="AJ153" s="302" t="n"/>
      <x:c r="AK153" s="302" t="n"/>
      <x:c r="AL153" s="302" t="n"/>
      <x:c r="AM153" s="302" t="n"/>
      <x:c r="AN153" s="302" t="n"/>
      <x:c r="AO153" s="302" t="n"/>
      <x:c r="AP153" s="302" t="n"/>
      <x:c r="AQ153" s="302" t="n"/>
      <x:c r="AR153" s="302" t="n"/>
      <x:c r="AS153" s="302" t="n"/>
      <x:c r="AT153" s="302" t="n"/>
      <x:c r="AU153" s="302" t="n"/>
      <x:c r="AV153" s="302" t="n"/>
      <x:c r="AW153" s="302" t="n"/>
      <x:c r="AX153" s="302" t="n"/>
      <x:c r="AY153" s="302" t="n"/>
      <x:c r="AZ153" s="302" t="n"/>
      <x:c r="BA153" s="302" t="n"/>
      <x:c r="BB153" s="302" t="n"/>
      <x:c r="BC153" s="302" t="n"/>
      <x:c r="BD153" s="302" t="n"/>
      <x:c r="BE153" s="302" t="n"/>
      <x:c r="BF153" s="302" t="n"/>
      <x:c r="BG153" s="302" t="n"/>
      <x:c r="BH153" s="302" t="n"/>
      <x:c r="BI153" s="302" t="n"/>
      <x:c r="BJ153" s="302" t="n"/>
      <x:c r="BK153" s="302" t="n"/>
      <x:c r="BL153" s="302" t="n"/>
      <x:c r="BM153" s="302" t="n"/>
      <x:c r="BN153" s="302" t="n"/>
      <x:c r="BO153" s="302" t="n"/>
      <x:c r="BP153" s="302" t="n"/>
      <x:c r="BQ153" s="302" t="n"/>
      <x:c r="BR153" s="302" t="n"/>
      <x:c r="BS153" s="302" t="n"/>
      <x:c r="BT153" s="302" t="n"/>
      <x:c r="BU153" s="302" t="n"/>
      <x:c r="BV153" s="302" t="n"/>
      <x:c r="BW153" s="302" t="n"/>
      <x:c r="BX153" s="302" t="n"/>
      <x:c r="BY153" s="302" t="n"/>
      <x:c r="BZ153" s="302" t="n"/>
      <x:c r="CA153" s="302" t="n"/>
      <x:c r="CB153" s="302" t="n"/>
      <x:c r="CC153" s="302" t="n"/>
      <x:c r="CD153" s="302" t="n"/>
    </x:row>
    <x:row r="154" s="27" customFormat="1">
      <x:c r="B154" s="37" t="n"/>
      <x:c r="C154" s="36" t="n">
        <x:f>E154*D$5</x:f>
        <x:v>0</x:v>
      </x:c>
      <x:c r="D154" s="20" t="n"/>
      <x:c r="E154" s="36" t="n">
        <x:f>SUM(G154:HI154)</x:f>
        <x:v>0</x:v>
      </x:c>
      <x:c r="H154" s="302" t="n"/>
      <x:c r="I154" s="302" t="n"/>
      <x:c r="J154" s="302" t="n"/>
      <x:c r="K154" s="302" t="n"/>
      <x:c r="L154" s="302" t="n"/>
      <x:c r="M154" s="302" t="n"/>
      <x:c r="N154" s="302" t="n"/>
      <x:c r="O154" s="302" t="n"/>
      <x:c r="P154" s="302" t="n"/>
      <x:c r="Q154" s="302" t="n"/>
      <x:c r="R154" s="302" t="n"/>
      <x:c r="S154" s="302" t="n"/>
      <x:c r="T154" s="302" t="n"/>
      <x:c r="U154" s="302" t="n"/>
      <x:c r="V154" s="302" t="n"/>
      <x:c r="W154" s="302" t="n"/>
      <x:c r="X154" s="302" t="n"/>
      <x:c r="Y154" s="302" t="n"/>
      <x:c r="Z154" s="302" t="n"/>
      <x:c r="AA154" s="302" t="n"/>
      <x:c r="AB154" s="302" t="n"/>
      <x:c r="AC154" s="302" t="n"/>
      <x:c r="AD154" s="302" t="n"/>
      <x:c r="AE154" s="302" t="n"/>
      <x:c r="AF154" s="302" t="n"/>
      <x:c r="AG154" s="302" t="n"/>
      <x:c r="AH154" s="302" t="n"/>
      <x:c r="AI154" s="302" t="n"/>
      <x:c r="AJ154" s="302" t="n"/>
      <x:c r="AK154" s="302" t="n"/>
      <x:c r="AL154" s="302" t="n"/>
      <x:c r="AM154" s="302" t="n"/>
      <x:c r="AN154" s="302" t="n"/>
      <x:c r="AO154" s="302" t="n"/>
      <x:c r="AP154" s="302" t="n"/>
      <x:c r="AQ154" s="302" t="n"/>
      <x:c r="AR154" s="302" t="n"/>
      <x:c r="AS154" s="302" t="n"/>
      <x:c r="AT154" s="302" t="n"/>
      <x:c r="AU154" s="302" t="n"/>
      <x:c r="AV154" s="302" t="n"/>
      <x:c r="AW154" s="302" t="n"/>
      <x:c r="AX154" s="302" t="n"/>
      <x:c r="AY154" s="302" t="n"/>
      <x:c r="AZ154" s="302" t="n"/>
      <x:c r="BA154" s="302" t="n"/>
      <x:c r="BB154" s="302" t="n"/>
      <x:c r="BC154" s="302" t="n"/>
      <x:c r="BD154" s="302" t="n"/>
      <x:c r="BE154" s="302" t="n"/>
      <x:c r="BF154" s="302" t="n"/>
      <x:c r="BG154" s="302" t="n"/>
      <x:c r="BH154" s="302" t="n"/>
      <x:c r="BI154" s="302" t="n"/>
      <x:c r="BJ154" s="302" t="n"/>
      <x:c r="BK154" s="302" t="n"/>
      <x:c r="BL154" s="302" t="n"/>
      <x:c r="BM154" s="302" t="n"/>
      <x:c r="BN154" s="302" t="n"/>
      <x:c r="BO154" s="302" t="n"/>
      <x:c r="BP154" s="302" t="n"/>
      <x:c r="BQ154" s="302" t="n"/>
      <x:c r="BR154" s="302" t="n"/>
      <x:c r="BS154" s="302" t="n"/>
      <x:c r="BT154" s="302" t="n"/>
      <x:c r="BU154" s="302" t="n"/>
      <x:c r="BV154" s="302" t="n"/>
      <x:c r="BW154" s="302" t="n"/>
      <x:c r="BX154" s="302" t="n"/>
      <x:c r="BY154" s="302" t="n"/>
      <x:c r="BZ154" s="302" t="n"/>
      <x:c r="CA154" s="302" t="n"/>
      <x:c r="CB154" s="302" t="n"/>
      <x:c r="CC154" s="302" t="n"/>
      <x:c r="CD154" s="302" t="n"/>
    </x:row>
    <x:row r="155" s="27" customFormat="1">
      <x:c r="B155" s="37" t="n"/>
      <x:c r="C155" s="36" t="n">
        <x:f>E155*D$5</x:f>
        <x:v>0</x:v>
      </x:c>
      <x:c r="D155" s="20" t="n"/>
      <x:c r="E155" s="36" t="n">
        <x:f>SUM(G155:HI155)</x:f>
        <x:v>0</x:v>
      </x:c>
      <x:c r="H155" s="302" t="n"/>
      <x:c r="I155" s="302" t="n"/>
      <x:c r="J155" s="302" t="n"/>
      <x:c r="K155" s="302" t="n"/>
      <x:c r="L155" s="302" t="n"/>
      <x:c r="M155" s="302" t="n"/>
      <x:c r="N155" s="302" t="n"/>
      <x:c r="O155" s="302" t="n"/>
      <x:c r="P155" s="302" t="n"/>
      <x:c r="Q155" s="302" t="n"/>
      <x:c r="R155" s="302" t="n"/>
      <x:c r="S155" s="302" t="n"/>
      <x:c r="T155" s="302" t="n"/>
      <x:c r="U155" s="302" t="n"/>
      <x:c r="V155" s="302" t="n"/>
      <x:c r="W155" s="302" t="n"/>
      <x:c r="X155" s="302" t="n"/>
      <x:c r="Y155" s="302" t="n"/>
      <x:c r="Z155" s="302" t="n"/>
      <x:c r="AA155" s="302" t="n"/>
      <x:c r="AB155" s="302" t="n"/>
      <x:c r="AC155" s="302" t="n"/>
      <x:c r="AD155" s="302" t="n"/>
      <x:c r="AE155" s="302" t="n"/>
      <x:c r="AF155" s="302" t="n"/>
      <x:c r="AG155" s="302" t="n"/>
      <x:c r="AH155" s="302" t="n"/>
      <x:c r="AI155" s="302" t="n"/>
      <x:c r="AJ155" s="302" t="n"/>
      <x:c r="AK155" s="302" t="n"/>
      <x:c r="AL155" s="302" t="n"/>
      <x:c r="AM155" s="302" t="n"/>
      <x:c r="AN155" s="302" t="n"/>
      <x:c r="AO155" s="302" t="n"/>
      <x:c r="AP155" s="302" t="n"/>
      <x:c r="AQ155" s="302" t="n"/>
      <x:c r="AR155" s="302" t="n"/>
      <x:c r="AS155" s="302" t="n"/>
      <x:c r="AT155" s="302" t="n"/>
      <x:c r="AU155" s="302" t="n"/>
      <x:c r="AV155" s="302" t="n"/>
      <x:c r="AW155" s="302" t="n"/>
      <x:c r="AX155" s="302" t="n"/>
      <x:c r="AY155" s="302" t="n"/>
      <x:c r="AZ155" s="302" t="n"/>
      <x:c r="BA155" s="302" t="n"/>
      <x:c r="BB155" s="302" t="n"/>
      <x:c r="BC155" s="302" t="n"/>
      <x:c r="BD155" s="302" t="n"/>
      <x:c r="BE155" s="302" t="n"/>
      <x:c r="BF155" s="302" t="n"/>
      <x:c r="BG155" s="302" t="n"/>
      <x:c r="BH155" s="302" t="n"/>
      <x:c r="BI155" s="302" t="n"/>
      <x:c r="BJ155" s="302" t="n"/>
      <x:c r="BK155" s="302" t="n"/>
      <x:c r="BL155" s="302" t="n"/>
      <x:c r="BM155" s="302" t="n"/>
      <x:c r="BN155" s="302" t="n"/>
      <x:c r="BO155" s="302" t="n"/>
      <x:c r="BP155" s="302" t="n"/>
      <x:c r="BQ155" s="302" t="n"/>
      <x:c r="BR155" s="302" t="n"/>
      <x:c r="BS155" s="302" t="n"/>
      <x:c r="BT155" s="302" t="n"/>
      <x:c r="BU155" s="302" t="n"/>
      <x:c r="BV155" s="302" t="n"/>
      <x:c r="BW155" s="302" t="n"/>
      <x:c r="BX155" s="302" t="n"/>
      <x:c r="BY155" s="302" t="n"/>
      <x:c r="BZ155" s="302" t="n"/>
      <x:c r="CA155" s="302" t="n"/>
      <x:c r="CB155" s="302" t="n"/>
      <x:c r="CC155" s="302" t="n"/>
      <x:c r="CD155" s="302" t="n"/>
    </x:row>
    <x:row r="156" s="27" customFormat="1">
      <x:c r="B156" s="37" t="n"/>
      <x:c r="C156" s="36" t="n">
        <x:f>E156*D$5</x:f>
        <x:v>0</x:v>
      </x:c>
      <x:c r="D156" s="20" t="n"/>
      <x:c r="E156" s="36" t="n">
        <x:f>SUM(G156:HI156)</x:f>
        <x:v>0</x:v>
      </x:c>
      <x:c r="H156" s="302" t="n"/>
      <x:c r="I156" s="302" t="n"/>
      <x:c r="J156" s="302" t="n"/>
      <x:c r="K156" s="302" t="n"/>
      <x:c r="L156" s="302" t="n"/>
      <x:c r="M156" s="302" t="n"/>
      <x:c r="N156" s="302" t="n"/>
      <x:c r="O156" s="302" t="n"/>
      <x:c r="P156" s="302" t="n"/>
      <x:c r="Q156" s="302" t="n"/>
      <x:c r="R156" s="302" t="n"/>
      <x:c r="S156" s="302" t="n"/>
      <x:c r="T156" s="302" t="n"/>
      <x:c r="U156" s="302" t="n"/>
      <x:c r="V156" s="302" t="n"/>
      <x:c r="W156" s="302" t="n"/>
      <x:c r="X156" s="302" t="n"/>
      <x:c r="Y156" s="302" t="n"/>
      <x:c r="Z156" s="302" t="n"/>
      <x:c r="AA156" s="302" t="n"/>
      <x:c r="AB156" s="302" t="n"/>
      <x:c r="AC156" s="302" t="n"/>
      <x:c r="AD156" s="302" t="n"/>
      <x:c r="AE156" s="302" t="n"/>
      <x:c r="AF156" s="302" t="n"/>
      <x:c r="AG156" s="302" t="n"/>
      <x:c r="AH156" s="302" t="n"/>
      <x:c r="AI156" s="302" t="n"/>
      <x:c r="AJ156" s="302" t="n"/>
      <x:c r="AK156" s="302" t="n"/>
      <x:c r="AL156" s="302" t="n"/>
      <x:c r="AM156" s="302" t="n"/>
      <x:c r="AN156" s="302" t="n"/>
      <x:c r="AO156" s="302" t="n"/>
      <x:c r="AP156" s="302" t="n"/>
      <x:c r="AQ156" s="302" t="n"/>
      <x:c r="AR156" s="302" t="n"/>
      <x:c r="AS156" s="302" t="n"/>
      <x:c r="AT156" s="302" t="n"/>
      <x:c r="AU156" s="302" t="n"/>
      <x:c r="AV156" s="302" t="n"/>
      <x:c r="AW156" s="302" t="n"/>
      <x:c r="AX156" s="302" t="n"/>
      <x:c r="AY156" s="302" t="n"/>
      <x:c r="AZ156" s="302" t="n"/>
      <x:c r="BA156" s="302" t="n"/>
      <x:c r="BB156" s="302" t="n"/>
      <x:c r="BC156" s="302" t="n"/>
      <x:c r="BD156" s="302" t="n"/>
      <x:c r="BE156" s="302" t="n"/>
      <x:c r="BF156" s="302" t="n"/>
      <x:c r="BG156" s="302" t="n"/>
      <x:c r="BH156" s="302" t="n"/>
      <x:c r="BI156" s="302" t="n"/>
      <x:c r="BJ156" s="302" t="n"/>
      <x:c r="BK156" s="302" t="n"/>
      <x:c r="BL156" s="302" t="n"/>
      <x:c r="BM156" s="302" t="n"/>
      <x:c r="BN156" s="302" t="n"/>
      <x:c r="BO156" s="302" t="n"/>
      <x:c r="BP156" s="302" t="n"/>
      <x:c r="BQ156" s="302" t="n"/>
      <x:c r="BR156" s="302" t="n"/>
      <x:c r="BS156" s="302" t="n"/>
      <x:c r="BT156" s="302" t="n"/>
      <x:c r="BU156" s="302" t="n"/>
      <x:c r="BV156" s="302" t="n"/>
      <x:c r="BW156" s="302" t="n"/>
      <x:c r="BX156" s="302" t="n"/>
      <x:c r="BY156" s="302" t="n"/>
      <x:c r="BZ156" s="302" t="n"/>
      <x:c r="CA156" s="302" t="n"/>
      <x:c r="CB156" s="302" t="n"/>
      <x:c r="CC156" s="302" t="n"/>
      <x:c r="CD156" s="302" t="n"/>
    </x:row>
    <x:row r="157" s="27" customFormat="1">
      <x:c r="B157" s="37" t="n"/>
      <x:c r="C157" s="36" t="n">
        <x:f>E157*D$5</x:f>
        <x:v>0</x:v>
      </x:c>
      <x:c r="D157" s="20" t="n"/>
      <x:c r="E157" s="36" t="n">
        <x:f>SUM(G157:HI157)</x:f>
        <x:v>0</x:v>
      </x:c>
      <x:c r="H157" s="302" t="n"/>
      <x:c r="I157" s="302" t="n"/>
      <x:c r="J157" s="302" t="n"/>
      <x:c r="K157" s="302" t="n"/>
      <x:c r="L157" s="302" t="n"/>
      <x:c r="M157" s="302" t="n"/>
      <x:c r="N157" s="302" t="n"/>
      <x:c r="O157" s="302" t="n"/>
      <x:c r="P157" s="302" t="n"/>
      <x:c r="Q157" s="302" t="n"/>
      <x:c r="R157" s="302" t="n"/>
      <x:c r="S157" s="302" t="n"/>
      <x:c r="T157" s="302" t="n"/>
      <x:c r="U157" s="302" t="n"/>
      <x:c r="V157" s="302" t="n"/>
      <x:c r="W157" s="302" t="n"/>
      <x:c r="X157" s="302" t="n"/>
      <x:c r="Y157" s="302" t="n"/>
      <x:c r="Z157" s="302" t="n"/>
      <x:c r="AA157" s="302" t="n"/>
      <x:c r="AB157" s="302" t="n"/>
      <x:c r="AC157" s="302" t="n"/>
      <x:c r="AD157" s="302" t="n"/>
      <x:c r="AE157" s="302" t="n"/>
      <x:c r="AF157" s="302" t="n"/>
      <x:c r="AG157" s="302" t="n"/>
      <x:c r="AH157" s="302" t="n"/>
      <x:c r="AI157" s="302" t="n"/>
      <x:c r="AJ157" s="302" t="n"/>
      <x:c r="AK157" s="302" t="n"/>
      <x:c r="AL157" s="302" t="n"/>
      <x:c r="AM157" s="302" t="n"/>
      <x:c r="AN157" s="302" t="n"/>
      <x:c r="AO157" s="302" t="n"/>
      <x:c r="AP157" s="302" t="n"/>
      <x:c r="AQ157" s="302" t="n"/>
      <x:c r="AR157" s="302" t="n"/>
      <x:c r="AS157" s="302" t="n"/>
      <x:c r="AT157" s="302" t="n"/>
      <x:c r="AU157" s="302" t="n"/>
      <x:c r="AV157" s="302" t="n"/>
      <x:c r="AW157" s="302" t="n"/>
      <x:c r="AX157" s="302" t="n"/>
      <x:c r="AY157" s="302" t="n"/>
      <x:c r="AZ157" s="302" t="n"/>
      <x:c r="BA157" s="302" t="n"/>
      <x:c r="BB157" s="302" t="n"/>
      <x:c r="BC157" s="302" t="n"/>
      <x:c r="BD157" s="302" t="n"/>
      <x:c r="BE157" s="302" t="n"/>
      <x:c r="BF157" s="302" t="n"/>
      <x:c r="BG157" s="302" t="n"/>
      <x:c r="BH157" s="302" t="n"/>
      <x:c r="BI157" s="302" t="n"/>
      <x:c r="BJ157" s="302" t="n"/>
      <x:c r="BK157" s="302" t="n"/>
      <x:c r="BL157" s="302" t="n"/>
      <x:c r="BM157" s="302" t="n"/>
      <x:c r="BN157" s="302" t="n"/>
      <x:c r="BO157" s="302" t="n"/>
      <x:c r="BP157" s="302" t="n"/>
      <x:c r="BQ157" s="302" t="n"/>
      <x:c r="BR157" s="302" t="n"/>
      <x:c r="BS157" s="302" t="n"/>
      <x:c r="BT157" s="302" t="n"/>
      <x:c r="BU157" s="302" t="n"/>
      <x:c r="BV157" s="302" t="n"/>
      <x:c r="BW157" s="302" t="n"/>
      <x:c r="BX157" s="302" t="n"/>
      <x:c r="BY157" s="302" t="n"/>
      <x:c r="BZ157" s="302" t="n"/>
      <x:c r="CA157" s="302" t="n"/>
      <x:c r="CB157" s="302" t="n"/>
      <x:c r="CC157" s="302" t="n"/>
      <x:c r="CD157" s="302" t="n"/>
    </x:row>
    <x:row r="158" s="27" customFormat="1">
      <x:c r="B158" s="37" t="n"/>
      <x:c r="C158" s="36" t="n">
        <x:f>E158*D$5</x:f>
        <x:v>0</x:v>
      </x:c>
      <x:c r="D158" s="20" t="n"/>
      <x:c r="E158" s="36" t="n">
        <x:f>SUM(G158:HI158)</x:f>
        <x:v>0</x:v>
      </x:c>
      <x:c r="H158" s="302" t="n"/>
      <x:c r="I158" s="302" t="n"/>
      <x:c r="J158" s="302" t="n"/>
      <x:c r="K158" s="302" t="n"/>
      <x:c r="L158" s="302" t="n"/>
      <x:c r="M158" s="302" t="n"/>
      <x:c r="N158" s="302" t="n"/>
      <x:c r="O158" s="302" t="n"/>
      <x:c r="P158" s="302" t="n"/>
      <x:c r="Q158" s="302" t="n"/>
      <x:c r="R158" s="302" t="n"/>
      <x:c r="S158" s="302" t="n"/>
      <x:c r="T158" s="302" t="n"/>
      <x:c r="U158" s="302" t="n"/>
      <x:c r="V158" s="302" t="n"/>
      <x:c r="W158" s="302" t="n"/>
      <x:c r="X158" s="302" t="n"/>
      <x:c r="Y158" s="302" t="n"/>
      <x:c r="Z158" s="302" t="n"/>
      <x:c r="AA158" s="302" t="n"/>
      <x:c r="AB158" s="302" t="n"/>
      <x:c r="AC158" s="302" t="n"/>
      <x:c r="AD158" s="302" t="n"/>
      <x:c r="AE158" s="302" t="n"/>
      <x:c r="AF158" s="302" t="n"/>
      <x:c r="AG158" s="302" t="n"/>
      <x:c r="AH158" s="302" t="n"/>
      <x:c r="AI158" s="302" t="n"/>
      <x:c r="AJ158" s="302" t="n"/>
      <x:c r="AK158" s="302" t="n"/>
      <x:c r="AL158" s="302" t="n"/>
      <x:c r="AM158" s="302" t="n"/>
      <x:c r="AN158" s="302" t="n"/>
      <x:c r="AO158" s="302" t="n"/>
      <x:c r="AP158" s="302" t="n"/>
      <x:c r="AQ158" s="302" t="n"/>
      <x:c r="AR158" s="302" t="n"/>
      <x:c r="AS158" s="302" t="n"/>
      <x:c r="AT158" s="302" t="n"/>
      <x:c r="AU158" s="302" t="n"/>
      <x:c r="AV158" s="302" t="n"/>
      <x:c r="AW158" s="302" t="n"/>
      <x:c r="AX158" s="302" t="n"/>
      <x:c r="AY158" s="302" t="n"/>
      <x:c r="AZ158" s="302" t="n"/>
      <x:c r="BA158" s="302" t="n"/>
      <x:c r="BB158" s="302" t="n"/>
      <x:c r="BC158" s="302" t="n"/>
      <x:c r="BD158" s="302" t="n"/>
      <x:c r="BE158" s="302" t="n"/>
      <x:c r="BF158" s="302" t="n"/>
      <x:c r="BG158" s="302" t="n"/>
      <x:c r="BH158" s="302" t="n"/>
      <x:c r="BI158" s="302" t="n"/>
      <x:c r="BJ158" s="302" t="n"/>
      <x:c r="BK158" s="302" t="n"/>
      <x:c r="BL158" s="302" t="n"/>
      <x:c r="BM158" s="302" t="n"/>
      <x:c r="BN158" s="302" t="n"/>
      <x:c r="BO158" s="302" t="n"/>
      <x:c r="BP158" s="302" t="n"/>
      <x:c r="BQ158" s="302" t="n"/>
      <x:c r="BR158" s="302" t="n"/>
      <x:c r="BS158" s="302" t="n"/>
      <x:c r="BT158" s="302" t="n"/>
      <x:c r="BU158" s="302" t="n"/>
      <x:c r="BV158" s="302" t="n"/>
      <x:c r="BW158" s="302" t="n"/>
      <x:c r="BX158" s="302" t="n"/>
      <x:c r="BY158" s="302" t="n"/>
      <x:c r="BZ158" s="302" t="n"/>
      <x:c r="CA158" s="302" t="n"/>
      <x:c r="CB158" s="302" t="n"/>
      <x:c r="CC158" s="302" t="n"/>
      <x:c r="CD158" s="302" t="n"/>
    </x:row>
    <x:row r="159" s="27" customFormat="1">
      <x:c r="B159" s="37" t="n"/>
      <x:c r="C159" s="36" t="n">
        <x:f>E159*D$5</x:f>
        <x:v>0</x:v>
      </x:c>
      <x:c r="D159" s="20" t="n"/>
      <x:c r="E159" s="36" t="n">
        <x:f>SUM(G159:HI159)</x:f>
        <x:v>0</x:v>
      </x:c>
      <x:c r="H159" s="302" t="n"/>
      <x:c r="I159" s="302" t="n"/>
      <x:c r="J159" s="302" t="n"/>
      <x:c r="K159" s="302" t="n"/>
      <x:c r="L159" s="302" t="n"/>
      <x:c r="M159" s="302" t="n"/>
      <x:c r="N159" s="302" t="n"/>
      <x:c r="O159" s="302" t="n"/>
      <x:c r="P159" s="302" t="n"/>
      <x:c r="Q159" s="302" t="n"/>
      <x:c r="R159" s="302" t="n"/>
      <x:c r="S159" s="302" t="n"/>
      <x:c r="T159" s="302" t="n"/>
      <x:c r="U159" s="302" t="n"/>
      <x:c r="V159" s="302" t="n"/>
      <x:c r="W159" s="302" t="n"/>
      <x:c r="X159" s="302" t="n"/>
      <x:c r="Y159" s="302" t="n"/>
      <x:c r="Z159" s="302" t="n"/>
      <x:c r="AA159" s="302" t="n"/>
      <x:c r="AB159" s="302" t="n"/>
      <x:c r="AC159" s="302" t="n"/>
      <x:c r="AD159" s="302" t="n"/>
      <x:c r="AE159" s="302" t="n"/>
      <x:c r="AF159" s="302" t="n"/>
      <x:c r="AG159" s="302" t="n"/>
      <x:c r="AH159" s="302" t="n"/>
      <x:c r="AI159" s="302" t="n"/>
      <x:c r="AJ159" s="302" t="n"/>
      <x:c r="AK159" s="302" t="n"/>
      <x:c r="AL159" s="302" t="n"/>
      <x:c r="AM159" s="302" t="n"/>
      <x:c r="AN159" s="302" t="n"/>
      <x:c r="AO159" s="302" t="n"/>
      <x:c r="AP159" s="302" t="n"/>
      <x:c r="AQ159" s="302" t="n"/>
      <x:c r="AR159" s="302" t="n"/>
      <x:c r="AS159" s="302" t="n"/>
      <x:c r="AT159" s="302" t="n"/>
      <x:c r="AU159" s="302" t="n"/>
      <x:c r="AV159" s="302" t="n"/>
      <x:c r="AW159" s="302" t="n"/>
      <x:c r="AX159" s="302" t="n"/>
      <x:c r="AY159" s="302" t="n"/>
      <x:c r="AZ159" s="302" t="n"/>
      <x:c r="BA159" s="302" t="n"/>
      <x:c r="BB159" s="302" t="n"/>
      <x:c r="BC159" s="302" t="n"/>
      <x:c r="BD159" s="302" t="n"/>
      <x:c r="BE159" s="302" t="n"/>
      <x:c r="BF159" s="302" t="n"/>
      <x:c r="BG159" s="302" t="n"/>
      <x:c r="BH159" s="302" t="n"/>
      <x:c r="BI159" s="302" t="n"/>
      <x:c r="BJ159" s="302" t="n"/>
      <x:c r="BK159" s="302" t="n"/>
      <x:c r="BL159" s="302" t="n"/>
      <x:c r="BM159" s="302" t="n"/>
      <x:c r="BN159" s="302" t="n"/>
      <x:c r="BO159" s="302" t="n"/>
      <x:c r="BP159" s="302" t="n"/>
      <x:c r="BQ159" s="302" t="n"/>
      <x:c r="BR159" s="302" t="n"/>
      <x:c r="BS159" s="302" t="n"/>
      <x:c r="BT159" s="302" t="n"/>
      <x:c r="BU159" s="302" t="n"/>
      <x:c r="BV159" s="302" t="n"/>
      <x:c r="BW159" s="302" t="n"/>
      <x:c r="BX159" s="302" t="n"/>
      <x:c r="BY159" s="302" t="n"/>
      <x:c r="BZ159" s="302" t="n"/>
      <x:c r="CA159" s="302" t="n"/>
      <x:c r="CB159" s="302" t="n"/>
      <x:c r="CC159" s="302" t="n"/>
      <x:c r="CD159" s="302" t="n"/>
    </x:row>
    <x:row r="160" s="27" customFormat="1">
      <x:c r="B160" s="37" t="n"/>
      <x:c r="C160" s="36" t="n">
        <x:f>E160*D$5</x:f>
        <x:v>0</x:v>
      </x:c>
      <x:c r="D160" s="20" t="n"/>
      <x:c r="E160" s="36" t="n">
        <x:f>SUM(G160:HI160)</x:f>
        <x:v>0</x:v>
      </x:c>
      <x:c r="H160" s="302" t="n"/>
      <x:c r="I160" s="302" t="n"/>
      <x:c r="J160" s="302" t="n"/>
      <x:c r="K160" s="302" t="n"/>
      <x:c r="L160" s="302" t="n"/>
      <x:c r="M160" s="302" t="n"/>
      <x:c r="N160" s="302" t="n"/>
      <x:c r="O160" s="302" t="n"/>
      <x:c r="P160" s="302" t="n"/>
      <x:c r="Q160" s="302" t="n"/>
      <x:c r="R160" s="302" t="n"/>
      <x:c r="S160" s="302" t="n"/>
      <x:c r="T160" s="302" t="n"/>
      <x:c r="U160" s="302" t="n"/>
      <x:c r="V160" s="302" t="n"/>
      <x:c r="W160" s="302" t="n"/>
      <x:c r="X160" s="302" t="n"/>
      <x:c r="Y160" s="302" t="n"/>
      <x:c r="Z160" s="302" t="n"/>
      <x:c r="AA160" s="302" t="n"/>
      <x:c r="AB160" s="302" t="n"/>
      <x:c r="AC160" s="302" t="n"/>
      <x:c r="AD160" s="302" t="n"/>
      <x:c r="AE160" s="302" t="n"/>
      <x:c r="AF160" s="302" t="n"/>
      <x:c r="AG160" s="302" t="n"/>
      <x:c r="AH160" s="302" t="n"/>
      <x:c r="AI160" s="302" t="n"/>
      <x:c r="AJ160" s="302" t="n"/>
      <x:c r="AK160" s="302" t="n"/>
      <x:c r="AL160" s="302" t="n"/>
      <x:c r="AM160" s="302" t="n"/>
      <x:c r="AN160" s="302" t="n"/>
      <x:c r="AO160" s="302" t="n"/>
      <x:c r="AP160" s="302" t="n"/>
      <x:c r="AQ160" s="302" t="n"/>
      <x:c r="AR160" s="302" t="n"/>
      <x:c r="AS160" s="302" t="n"/>
      <x:c r="AT160" s="302" t="n"/>
      <x:c r="AU160" s="302" t="n"/>
      <x:c r="AV160" s="302" t="n"/>
      <x:c r="AW160" s="302" t="n"/>
      <x:c r="AX160" s="302" t="n"/>
      <x:c r="AY160" s="302" t="n"/>
      <x:c r="AZ160" s="302" t="n"/>
      <x:c r="BA160" s="302" t="n"/>
      <x:c r="BB160" s="302" t="n"/>
      <x:c r="BC160" s="302" t="n"/>
      <x:c r="BD160" s="302" t="n"/>
      <x:c r="BE160" s="302" t="n"/>
      <x:c r="BF160" s="302" t="n"/>
      <x:c r="BG160" s="302" t="n"/>
      <x:c r="BH160" s="302" t="n"/>
      <x:c r="BI160" s="302" t="n"/>
      <x:c r="BJ160" s="302" t="n"/>
      <x:c r="BK160" s="302" t="n"/>
      <x:c r="BL160" s="302" t="n"/>
      <x:c r="BM160" s="302" t="n"/>
      <x:c r="BN160" s="302" t="n"/>
      <x:c r="BO160" s="302" t="n"/>
      <x:c r="BP160" s="302" t="n"/>
      <x:c r="BQ160" s="302" t="n"/>
      <x:c r="BR160" s="302" t="n"/>
      <x:c r="BS160" s="302" t="n"/>
      <x:c r="BT160" s="302" t="n"/>
      <x:c r="BU160" s="302" t="n"/>
      <x:c r="BV160" s="302" t="n"/>
      <x:c r="BW160" s="302" t="n"/>
      <x:c r="BX160" s="302" t="n"/>
      <x:c r="BY160" s="302" t="n"/>
      <x:c r="BZ160" s="302" t="n"/>
      <x:c r="CA160" s="302" t="n"/>
      <x:c r="CB160" s="302" t="n"/>
      <x:c r="CC160" s="302" t="n"/>
      <x:c r="CD160" s="302" t="n"/>
    </x:row>
    <x:row r="161" s="27" customFormat="1">
      <x:c r="B161" s="37" t="n"/>
      <x:c r="C161" s="36" t="n">
        <x:f>E161*D$5</x:f>
        <x:v>0</x:v>
      </x:c>
      <x:c r="D161" s="20" t="n"/>
      <x:c r="E161" s="36" t="n">
        <x:f>SUM(G161:HI161)</x:f>
        <x:v>0</x:v>
      </x:c>
      <x:c r="H161" s="302" t="n"/>
      <x:c r="I161" s="302" t="n"/>
      <x:c r="J161" s="302" t="n"/>
      <x:c r="K161" s="302" t="n"/>
      <x:c r="L161" s="302" t="n"/>
      <x:c r="M161" s="302" t="n"/>
      <x:c r="N161" s="302" t="n"/>
      <x:c r="O161" s="302" t="n"/>
      <x:c r="P161" s="302" t="n"/>
      <x:c r="Q161" s="302" t="n"/>
      <x:c r="R161" s="302" t="n"/>
      <x:c r="S161" s="302" t="n"/>
      <x:c r="T161" s="302" t="n"/>
      <x:c r="U161" s="302" t="n"/>
      <x:c r="V161" s="302" t="n"/>
      <x:c r="W161" s="302" t="n"/>
      <x:c r="X161" s="302" t="n"/>
      <x:c r="Y161" s="302" t="n"/>
      <x:c r="Z161" s="302" t="n"/>
      <x:c r="AA161" s="302" t="n"/>
      <x:c r="AB161" s="302" t="n"/>
      <x:c r="AC161" s="302" t="n"/>
      <x:c r="AD161" s="302" t="n"/>
      <x:c r="AE161" s="302" t="n"/>
      <x:c r="AF161" s="302" t="n"/>
      <x:c r="AG161" s="302" t="n"/>
      <x:c r="AH161" s="302" t="n"/>
      <x:c r="AI161" s="302" t="n"/>
      <x:c r="AJ161" s="302" t="n"/>
      <x:c r="AK161" s="302" t="n"/>
      <x:c r="AL161" s="302" t="n"/>
      <x:c r="AM161" s="302" t="n"/>
      <x:c r="AN161" s="302" t="n"/>
      <x:c r="AO161" s="302" t="n"/>
      <x:c r="AP161" s="302" t="n"/>
      <x:c r="AQ161" s="302" t="n"/>
      <x:c r="AR161" s="302" t="n"/>
      <x:c r="AS161" s="302" t="n"/>
      <x:c r="AT161" s="302" t="n"/>
      <x:c r="AU161" s="302" t="n"/>
      <x:c r="AV161" s="302" t="n"/>
      <x:c r="AW161" s="302" t="n"/>
      <x:c r="AX161" s="302" t="n"/>
      <x:c r="AY161" s="302" t="n"/>
      <x:c r="AZ161" s="302" t="n"/>
      <x:c r="BA161" s="302" t="n"/>
      <x:c r="BB161" s="302" t="n"/>
      <x:c r="BC161" s="302" t="n"/>
      <x:c r="BD161" s="302" t="n"/>
      <x:c r="BE161" s="302" t="n"/>
      <x:c r="BF161" s="302" t="n"/>
      <x:c r="BG161" s="302" t="n"/>
      <x:c r="BH161" s="302" t="n"/>
      <x:c r="BI161" s="302" t="n"/>
      <x:c r="BJ161" s="302" t="n"/>
      <x:c r="BK161" s="302" t="n"/>
      <x:c r="BL161" s="302" t="n"/>
      <x:c r="BM161" s="302" t="n"/>
      <x:c r="BN161" s="302" t="n"/>
      <x:c r="BO161" s="302" t="n"/>
      <x:c r="BP161" s="302" t="n"/>
      <x:c r="BQ161" s="302" t="n"/>
      <x:c r="BR161" s="302" t="n"/>
      <x:c r="BS161" s="302" t="n"/>
      <x:c r="BT161" s="302" t="n"/>
      <x:c r="BU161" s="302" t="n"/>
      <x:c r="BV161" s="302" t="n"/>
      <x:c r="BW161" s="302" t="n"/>
      <x:c r="BX161" s="302" t="n"/>
      <x:c r="BY161" s="302" t="n"/>
      <x:c r="BZ161" s="302" t="n"/>
      <x:c r="CA161" s="302" t="n"/>
      <x:c r="CB161" s="302" t="n"/>
      <x:c r="CC161" s="302" t="n"/>
      <x:c r="CD161" s="302" t="n"/>
    </x:row>
    <x:row r="162" s="29" customFormat="1">
      <x:c r="B162" s="33" t="n"/>
      <x:c r="C162" s="32" t="n"/>
      <x:c r="D162" s="31" t="n"/>
      <x:c r="E162" s="30" t="n"/>
      <x:c r="H162" s="303" t="n"/>
      <x:c r="I162" s="303" t="n"/>
      <x:c r="J162" s="303" t="n"/>
      <x:c r="K162" s="303" t="n"/>
      <x:c r="L162" s="303" t="n"/>
      <x:c r="M162" s="303" t="n"/>
      <x:c r="N162" s="303" t="n"/>
      <x:c r="O162" s="303" t="n"/>
      <x:c r="P162" s="303" t="n"/>
      <x:c r="Q162" s="303" t="n"/>
      <x:c r="R162" s="303" t="n"/>
      <x:c r="S162" s="303" t="n"/>
      <x:c r="T162" s="303" t="n"/>
      <x:c r="U162" s="303" t="n"/>
      <x:c r="V162" s="303" t="n"/>
      <x:c r="W162" s="303" t="n"/>
      <x:c r="X162" s="303" t="n"/>
      <x:c r="Y162" s="303" t="n"/>
      <x:c r="Z162" s="303" t="n"/>
      <x:c r="AA162" s="303" t="n"/>
      <x:c r="AB162" s="303" t="n"/>
      <x:c r="AC162" s="303" t="n"/>
      <x:c r="AD162" s="303" t="n"/>
      <x:c r="AE162" s="303" t="n"/>
      <x:c r="AF162" s="303" t="n"/>
      <x:c r="AG162" s="303" t="n"/>
      <x:c r="AH162" s="303" t="n"/>
      <x:c r="AI162" s="303" t="n"/>
      <x:c r="AJ162" s="303" t="n"/>
      <x:c r="AK162" s="303" t="n"/>
      <x:c r="AL162" s="303" t="n"/>
      <x:c r="AM162" s="303" t="n"/>
      <x:c r="AN162" s="303" t="n"/>
      <x:c r="AO162" s="303" t="n"/>
      <x:c r="AP162" s="303" t="n"/>
      <x:c r="AQ162" s="303" t="n"/>
      <x:c r="AR162" s="303" t="n"/>
      <x:c r="AS162" s="303" t="n"/>
      <x:c r="AT162" s="303" t="n"/>
      <x:c r="AU162" s="303" t="n"/>
      <x:c r="AV162" s="303" t="n"/>
      <x:c r="AW162" s="303" t="n"/>
      <x:c r="AX162" s="303" t="n"/>
      <x:c r="AY162" s="303" t="n"/>
      <x:c r="AZ162" s="303" t="n"/>
      <x:c r="BA162" s="303" t="n"/>
      <x:c r="BB162" s="303" t="n"/>
      <x:c r="BC162" s="303" t="n"/>
      <x:c r="BD162" s="303" t="n"/>
      <x:c r="BE162" s="303" t="n"/>
      <x:c r="BF162" s="303" t="n"/>
      <x:c r="BG162" s="303" t="n"/>
      <x:c r="BH162" s="303" t="n"/>
      <x:c r="BI162" s="303" t="n"/>
      <x:c r="BJ162" s="303" t="n"/>
      <x:c r="BK162" s="303" t="n"/>
      <x:c r="BL162" s="303" t="n"/>
      <x:c r="BM162" s="303" t="n"/>
      <x:c r="BN162" s="303" t="n"/>
      <x:c r="BO162" s="303" t="n"/>
      <x:c r="BP162" s="303" t="n"/>
      <x:c r="BQ162" s="303" t="n"/>
      <x:c r="BR162" s="303" t="n"/>
      <x:c r="BS162" s="303" t="n"/>
      <x:c r="BT162" s="303" t="n"/>
      <x:c r="BU162" s="303" t="n"/>
      <x:c r="BV162" s="303" t="n"/>
      <x:c r="BW162" s="303" t="n"/>
      <x:c r="BX162" s="303" t="n"/>
      <x:c r="BY162" s="303" t="n"/>
      <x:c r="BZ162" s="303" t="n"/>
      <x:c r="CA162" s="303" t="n"/>
      <x:c r="CB162" s="303" t="n"/>
      <x:c r="CC162" s="303" t="n"/>
      <x:c r="CD162" s="303" t="n"/>
    </x:row>
    <x:row r="163" s="26" customFormat="1">
      <x:c r="B163" s="24" t="n"/>
      <x:c r="C163" s="23" t="n"/>
      <x:c r="D163" s="22" t="n"/>
      <x:c r="E163" s="21" t="n"/>
      <x:c r="H163" s="81" t="n"/>
      <x:c r="I163" s="81" t="n"/>
      <x:c r="J163" s="81" t="n"/>
      <x:c r="K163" s="81" t="n"/>
      <x:c r="L163" s="81" t="n"/>
      <x:c r="M163" s="81" t="n"/>
      <x:c r="N163" s="81" t="n"/>
      <x:c r="O163" s="81" t="n"/>
      <x:c r="P163" s="81" t="n"/>
      <x:c r="Q163" s="81" t="n"/>
      <x:c r="R163" s="81" t="n"/>
      <x:c r="S163" s="81" t="n"/>
      <x:c r="T163" s="81" t="n"/>
      <x:c r="U163" s="81" t="n"/>
      <x:c r="V163" s="81" t="n"/>
      <x:c r="W163" s="81" t="n"/>
      <x:c r="X163" s="81" t="n"/>
      <x:c r="Y163" s="81" t="n"/>
      <x:c r="Z163" s="81" t="n"/>
      <x:c r="AA163" s="81" t="n"/>
      <x:c r="AB163" s="81" t="n"/>
      <x:c r="AC163" s="81" t="n"/>
      <x:c r="AD163" s="81" t="n"/>
      <x:c r="AE163" s="81" t="n"/>
      <x:c r="AF163" s="81" t="n"/>
      <x:c r="AG163" s="81" t="n"/>
      <x:c r="AH163" s="81" t="n"/>
      <x:c r="AI163" s="81" t="n"/>
      <x:c r="AJ163" s="81" t="n"/>
      <x:c r="AK163" s="81" t="n"/>
      <x:c r="AL163" s="81" t="n"/>
      <x:c r="AM163" s="81" t="n"/>
      <x:c r="AN163" s="81" t="n"/>
      <x:c r="AO163" s="81" t="n"/>
      <x:c r="AP163" s="81" t="n"/>
      <x:c r="AQ163" s="81" t="n"/>
      <x:c r="AR163" s="81" t="n"/>
      <x:c r="AS163" s="81" t="n"/>
      <x:c r="AT163" s="81" t="n"/>
      <x:c r="AU163" s="81" t="n"/>
      <x:c r="AV163" s="81" t="n"/>
      <x:c r="AW163" s="81" t="n"/>
      <x:c r="AX163" s="81" t="n"/>
      <x:c r="AY163" s="81" t="n"/>
      <x:c r="AZ163" s="81" t="n"/>
      <x:c r="BA163" s="81" t="n"/>
      <x:c r="BB163" s="81" t="n"/>
      <x:c r="BC163" s="81" t="n"/>
      <x:c r="BD163" s="81" t="n"/>
      <x:c r="BE163" s="81" t="n"/>
      <x:c r="BF163" s="81" t="n"/>
      <x:c r="BG163" s="81" t="n"/>
      <x:c r="BH163" s="81" t="n"/>
      <x:c r="BI163" s="81" t="n"/>
      <x:c r="BJ163" s="81" t="n"/>
      <x:c r="BK163" s="81" t="n"/>
      <x:c r="BL163" s="81" t="n"/>
      <x:c r="BM163" s="81" t="n"/>
      <x:c r="BN163" s="81" t="n"/>
      <x:c r="BO163" s="81" t="n"/>
      <x:c r="BP163" s="81" t="n"/>
      <x:c r="BQ163" s="81" t="n"/>
      <x:c r="BR163" s="81" t="n"/>
      <x:c r="BS163" s="81" t="n"/>
      <x:c r="BT163" s="81" t="n"/>
      <x:c r="BU163" s="81" t="n"/>
      <x:c r="BV163" s="81" t="n"/>
      <x:c r="BW163" s="81" t="n"/>
      <x:c r="BX163" s="81" t="n"/>
      <x:c r="BY163" s="81" t="n"/>
      <x:c r="BZ163" s="81" t="n"/>
      <x:c r="CA163" s="81" t="n"/>
      <x:c r="CB163" s="81" t="n"/>
      <x:c r="CC163" s="81" t="n"/>
      <x:c r="CD163" s="81" t="n"/>
    </x:row>
    <x:row r="164">
      <x:c r="B164" s="24" t="n"/>
      <x:c r="C164" s="23" t="n"/>
      <x:c r="D164" s="22" t="n"/>
      <x:c r="E164" s="21" t="n"/>
    </x:row>
  </x:sheetData>
  <x:mergeCells>
    <x:mergeCell ref="CG7:CG8"/>
    <x:mergeCell ref="EX7:EX8"/>
    <x:mergeCell ref="EZ7:EZ8"/>
    <x:mergeCell ref="DH7:DH8"/>
    <x:mergeCell ref="BR7:BR8"/>
    <x:mergeCell ref="BA7:BA8"/>
    <x:mergeCell ref="BC7:BC8"/>
    <x:mergeCell ref="DT7:DT8"/>
    <x:mergeCell ref="M7:M8"/>
    <x:mergeCell ref="DV7:DV8"/>
    <x:mergeCell ref="FD7:FD8"/>
    <x:mergeCell ref="BO7:BO8"/>
    <x:mergeCell ref="CI7:CI8"/>
    <x:mergeCell ref="DS7:DS8"/>
    <x:mergeCell ref="E1:F1"/>
    <x:mergeCell ref="P7:P8"/>
    <x:mergeCell ref="AM7:AM8"/>
    <x:mergeCell ref="FF7:FF8"/>
    <x:mergeCell ref="CA7:CA8"/>
    <x:mergeCell ref="T7:T8"/>
    <x:mergeCell ref="V7:V8"/>
    <x:mergeCell ref="CM7:CM8"/>
    <x:mergeCell ref="AN7:AN8"/>
    <x:mergeCell ref="AP7:AP8"/>
    <x:mergeCell ref="AF7:AF8"/>
    <x:mergeCell ref="EO7:EO8"/>
    <x:mergeCell ref="DG7:DG8"/>
    <x:mergeCell ref="AH7:AH8"/>
    <x:mergeCell ref="EQ7:EQ8"/>
    <x:mergeCell ref="D2:D4"/>
    <x:mergeCell ref="FI7:FI8"/>
    <x:mergeCell ref="CJ7:CJ8"/>
    <x:mergeCell ref="BB7:BB8"/>
    <x:mergeCell ref="FA7:FA8"/>
    <x:mergeCell ref="BD7:BD8"/>
    <x:mergeCell ref="FC7:FC8"/>
    <x:mergeCell ref="EN7:EN8"/>
    <x:mergeCell ref="AT7:AT8"/>
    <x:mergeCell ref="DK7:DK8"/>
    <x:mergeCell ref="AV7:AV8"/>
    <x:mergeCell ref="CP7:CP8"/>
    <x:mergeCell ref="DM7:DM8"/>
    <x:mergeCell ref="C6:C7"/>
    <x:mergeCell ref="BF7:BF8"/>
    <x:mergeCell ref="FO7:FO8"/>
    <x:mergeCell ref="BH7:BH8"/>
    <x:mergeCell ref="E3:F3"/>
    <x:mergeCell ref="DY7:DY8"/>
    <x:mergeCell ref="EA7:EA8"/>
    <x:mergeCell ref="DJ7:DJ8"/>
    <x:mergeCell ref="BT7:BT8"/>
    <x:mergeCell ref="B3:C3"/>
    <x:mergeCell ref="A2:A6"/>
    <x:mergeCell ref="E5:F5"/>
    <x:mergeCell ref="G7:G8"/>
    <x:mergeCell ref="DP7:DP8"/>
    <x:mergeCell ref="I7:I8"/>
    <x:mergeCell ref="BI7:BI8"/>
    <x:mergeCell ref="S7:S8"/>
    <x:mergeCell ref="EB7:EB8"/>
    <x:mergeCell ref="U7:U8"/>
    <x:mergeCell ref="FL7:FL8"/>
    <x:mergeCell ref="W7:W8"/>
    <x:mergeCell ref="E4:F4"/>
    <x:mergeCell ref="BW7:BW8"/>
    <x:mergeCell ref="CT7:CT8"/>
    <x:mergeCell ref="B2:C2"/>
    <x:mergeCell ref="CF7:CF8"/>
    <x:mergeCell ref="EF7:EF8"/>
    <x:mergeCell ref="AI7:AI8"/>
    <x:mergeCell ref="Y7:Y8"/>
    <x:mergeCell ref="EH7:EH8"/>
    <x:mergeCell ref="CZ7:CZ8"/>
    <x:mergeCell ref="AA7:AA8"/>
    <x:mergeCell ref="CR7:CR8"/>
    <x:mergeCell ref="AS7:AS8"/>
    <x:mergeCell ref="CC7:CC8"/>
    <x:mergeCell ref="AU7:AU8"/>
    <x:mergeCell ref="ET7:ET8"/>
    <x:mergeCell ref="F6:F8"/>
    <x:mergeCell ref="EV7:EV8"/>
    <x:mergeCell ref="CW7:CW8"/>
    <x:mergeCell ref="FN7:FN8"/>
    <x:mergeCell ref="CO7:CO8"/>
    <x:mergeCell ref="FP7:FP8"/>
    <x:mergeCell ref="DI7:DI8"/>
    <x:mergeCell ref="AY7:AY8"/>
    <x:mergeCell ref="AD7:AD8"/>
    <x:mergeCell ref="CU7:CU8"/>
    <x:mergeCell ref="DR7:DR8"/>
    <x:mergeCell ref="BK7:BK8"/>
    <x:mergeCell ref="DO7:DO8"/>
    <x:mergeCell ref="BQ7:BQ8"/>
    <x:mergeCell ref="DA7:DA8"/>
    <x:mergeCell ref="L7:L8"/>
    <x:mergeCell ref="DU7:DU8"/>
    <x:mergeCell ref="N7:N8"/>
    <x:mergeCell ref="BN7:BN8"/>
    <x:mergeCell ref="BP7:BP8"/>
    <x:mergeCell ref="EG7:EG8"/>
    <x:mergeCell ref="BZ7:BZ8"/>
    <x:mergeCell ref="CB7:CB8"/>
    <x:mergeCell ref="R7:R8"/>
    <x:mergeCell ref="CE7:CE8"/>
    <x:mergeCell ref="AJ7:AJ8"/>
    <x:mergeCell ref="CK7:CK8"/>
    <x:mergeCell ref="AL7:AL8"/>
    <x:mergeCell ref="EK7:EK8"/>
    <x:mergeCell ref="DC7:DC8"/>
    <x:mergeCell ref="EM7:EM8"/>
    <x:mergeCell ref="CN7:CN8"/>
    <x:mergeCell ref="FE7:FE8"/>
    <x:mergeCell ref="AX7:AX8"/>
    <x:mergeCell ref="FG7:FG8"/>
    <x:mergeCell ref="EW7:EW8"/>
    <x:mergeCell ref="EY7:EY8"/>
    <x:mergeCell ref="DB7:DB8"/>
    <x:mergeCell ref="CL7:CL8"/>
    <x:mergeCell ref="AG7:AG8"/>
    <x:mergeCell ref="EP7:EP8"/>
    <x:mergeCell ref="FB7:FB8"/>
    <x:mergeCell ref="DL7:DL8"/>
    <x:mergeCell ref="DD7:DD8"/>
    <x:mergeCell ref="BV7:BV8"/>
    <x:mergeCell ref="BE7:BE8"/>
    <x:mergeCell ref="DF7:DF8"/>
    <x:mergeCell ref="BG7:BG8"/>
    <x:mergeCell ref="O7:O8"/>
    <x:mergeCell ref="DX7:DX8"/>
    <x:mergeCell ref="Q7:Q8"/>
    <x:mergeCell ref="FH7:FH8"/>
    <x:mergeCell ref="DZ7:DZ8"/>
    <x:mergeCell ref="BS7:BS8"/>
    <x:mergeCell ref="EJ7:EJ8"/>
    <x:mergeCell ref="BU7:BU8"/>
    <x:mergeCell ref="DW7:DW8"/>
    <x:mergeCell ref="AR7:AR8"/>
    <x:mergeCell ref="B5:C5"/>
    <x:mergeCell ref="EI7:EI8"/>
    <x:mergeCell ref="ED7:ED8"/>
    <x:mergeCell ref="AO7:AO8"/>
    <x:mergeCell ref="D6:D7"/>
    <x:mergeCell ref="BY7:BY8"/>
    <x:mergeCell ref="AQ7:AQ8"/>
    <x:mergeCell ref="B6:B8"/>
    <x:mergeCell ref="B4:C4"/>
    <x:mergeCell ref="ER7:ER8"/>
    <x:mergeCell ref="CS7:CS8"/>
    <x:mergeCell ref="FJ7:FJ8"/>
    <x:mergeCell ref="DE7:DE8"/>
    <x:mergeCell ref="X7:X8"/>
    <x:mergeCell ref="Z7:Z8"/>
    <x:mergeCell ref="CQ7:CQ8"/>
    <x:mergeCell ref="ES7:ES8"/>
    <x:mergeCell ref="EU7:EU8"/>
    <x:mergeCell ref="BM7:BM8"/>
    <x:mergeCell ref="AZ7:AZ8"/>
    <x:mergeCell ref="H7:H8"/>
    <x:mergeCell ref="DQ7:DQ8"/>
    <x:mergeCell ref="J7:J8"/>
    <x:mergeCell ref="E6:E7"/>
    <x:mergeCell ref="BJ7:BJ8"/>
    <x:mergeCell ref="AB7:AB8"/>
    <x:mergeCell ref="BL7:BL8"/>
    <x:mergeCell ref="FK7:FK8"/>
    <x:mergeCell ref="EC7:EC8"/>
    <x:mergeCell ref="CD7:CD8"/>
    <x:mergeCell ref="FM7:FM8"/>
    <x:mergeCell ref="EE7:EE8"/>
    <x:mergeCell ref="DN7:DN8"/>
    <x:mergeCell ref="BX7:BX8"/>
    <x:mergeCell ref="E2:F2"/>
    <x:mergeCell ref="K7:K8"/>
    <x:mergeCell ref="CY7:CY8"/>
    <x:mergeCell ref="CX7:CX8"/>
    <x:mergeCell ref="CH7:CH8"/>
    <x:mergeCell ref="AK7:AK8"/>
    <x:mergeCell ref="AC7:AC8"/>
    <x:mergeCell ref="EL7:EL8"/>
    <x:mergeCell ref="AE7:AE8"/>
    <x:mergeCell ref="CV7:CV8"/>
    <x:mergeCell ref="AW7:AW8"/>
  </x:mergeCells>
  <x:pageMargins left="0.7" right="0.7" top="0.75" bottom="0.75" header="0.3" footer="0.3"/>
</x:worksheet>
</file>

<file path=xl/worksheets/sheet17.xml><?xml version="1.0" encoding="utf-8"?>
<x:worksheet xmlns:x="http://schemas.openxmlformats.org/spreadsheetml/2006/main">
  <x:sheetFormatPr baseColWidth="8" defaultColWidth="14.42578125" defaultRowHeight="12.75"/>
  <x:cols>
    <x:col min="1" max="1" width="12.85546875" style="19" customWidth="1"/>
    <x:col min="2" max="2" width="8.85546875" style="18" customWidth="1"/>
    <x:col min="3" max="3" width="12.5703125" style="17" customWidth="1"/>
    <x:col min="4" max="4" width="47.140625" style="16" customWidth="1"/>
    <x:col min="5" max="5" width="10.5703125" style="15" customWidth="1"/>
    <x:col min="6" max="6" width="16.7109375" style="13" customWidth="1"/>
    <x:col min="7" max="173" width="13" style="13" customWidth="1"/>
    <x:col min="174" max="174" width="3" style="14" customWidth="1"/>
    <x:col min="175" max="16384" width="14.42578125" style="13" customWidth="1"/>
  </x:cols>
  <x:sheetData>
    <x:row r="1" s="62" customFormat="1" ht="12.75" customHeight="1">
      <x:c r="A1" s="614" t="inlineStr">
        <x:is>
          <x:t xml:space="preserve">8</x:t>
        </x:is>
      </x:c>
      <x:c r="B1" s="615" t="inlineStr">
        <x:is>
          <x:t xml:space="preserve">TRACT</x:t>
        </x:is>
      </x:c>
      <x:c r="C1" s="593" t="n"/>
      <x:c r="D1" s="646" t="inlineStr">
        <x:is>
          <x:t xml:space="preserve">Deep-rights leasehold</x:t>
        </x:is>
      </x:c>
      <x:c r="E1" s="617" t="inlineStr">
        <x:is>
          <x:t xml:space="preserve">Image Number</x:t>
        </x:is>
      </x:c>
      <x:c r="F1" s="618" t="n"/>
      <x:c r="G1" s="63" t="n"/>
      <x:c r="H1" s="59" t="inlineStr">
        <x:is>
          <x:t xml:space="preserve">Top Lease</x:t>
        </x:is>
      </x:c>
      <x:c r="I1" s="59" t="inlineStr">
        <x:is>
          <x:t xml:space="preserve">Top Lease</x:t>
        </x:is>
      </x:c>
      <x:c r="J1" s="59" t="inlineStr">
        <x:is>
          <x:t xml:space="preserve">Top Lease</x:t>
        </x:is>
      </x:c>
      <x:c r="K1" s="59" t="inlineStr">
        <x:is>
          <x:t xml:space="preserve">Top Lease</x:t>
        </x:is>
      </x:c>
      <x:c r="L1" s="59" t="inlineStr">
        <x:is>
          <x:t xml:space="preserve">Top Lease</x:t>
        </x:is>
      </x:c>
      <x:c r="M1" s="59" t="inlineStr">
        <x:is>
          <x:t xml:space="preserve">Top Lease</x:t>
        </x:is>
      </x:c>
      <x:c r="N1" s="59" t="n"/>
      <x:c r="O1" s="59" t="n"/>
      <x:c r="P1" s="59" t="n"/>
      <x:c r="Q1" s="59" t="n"/>
      <x:c r="R1" s="59" t="n"/>
      <x:c r="S1" s="59" t="n"/>
      <x:c r="T1" s="59" t="n"/>
      <x:c r="U1" s="59" t="n"/>
      <x:c r="V1" s="59" t="n"/>
      <x:c r="W1" s="59" t="n"/>
      <x:c r="X1" s="59" t="n"/>
      <x:c r="Y1" s="59" t="n"/>
      <x:c r="Z1" s="59" t="n"/>
      <x:c r="AA1" s="59" t="n"/>
      <x:c r="AB1" s="59" t="n"/>
      <x:c r="AC1" s="59" t="n"/>
      <x:c r="AD1" s="59" t="n"/>
      <x:c r="AE1" s="59" t="n"/>
      <x:c r="AF1" s="59" t="n"/>
      <x:c r="AG1" s="59" t="n"/>
      <x:c r="AH1" s="59" t="n"/>
      <x:c r="AI1" s="59" t="n"/>
      <x:c r="AJ1" s="59" t="n"/>
      <x:c r="AK1" s="59" t="n"/>
      <x:c r="AL1" s="59" t="n"/>
      <x:c r="AM1" s="59" t="n"/>
      <x:c r="AN1" s="59" t="n"/>
      <x:c r="AO1" s="59" t="n"/>
      <x:c r="AP1" s="59" t="n"/>
      <x:c r="AQ1" s="59" t="n"/>
      <x:c r="AR1" s="59" t="n"/>
      <x:c r="AS1" s="59" t="n"/>
      <x:c r="AT1" s="59" t="n"/>
      <x:c r="AU1" s="59" t="n"/>
      <x:c r="AV1" s="59" t="n"/>
      <x:c r="AW1" s="59" t="n"/>
      <x:c r="AX1" s="59" t="n"/>
      <x:c r="AY1" s="59" t="n"/>
      <x:c r="AZ1" s="59" t="n"/>
      <x:c r="BA1" s="59" t="n"/>
      <x:c r="BB1" s="59" t="n"/>
      <x:c r="BC1" s="59" t="n"/>
      <x:c r="BD1" s="59" t="n"/>
      <x:c r="BE1" s="59" t="n"/>
      <x:c r="BF1" s="59" t="n"/>
      <x:c r="BG1" s="59" t="n"/>
      <x:c r="BH1" s="59" t="n"/>
      <x:c r="BI1" s="59" t="n"/>
      <x:c r="BJ1" s="59" t="n"/>
      <x:c r="BK1" s="59" t="n"/>
      <x:c r="BL1" s="59" t="n"/>
      <x:c r="BM1" s="59" t="n"/>
      <x:c r="BN1" s="59" t="n"/>
      <x:c r="BO1" s="59" t="n"/>
      <x:c r="BP1" s="59" t="n"/>
      <x:c r="BQ1" s="59" t="n"/>
      <x:c r="BR1" s="59" t="n"/>
      <x:c r="BS1" s="59" t="n"/>
      <x:c r="BT1" s="59" t="n"/>
      <x:c r="BU1" s="59" t="n"/>
      <x:c r="BV1" s="59" t="n"/>
      <x:c r="BW1" s="59" t="n"/>
      <x:c r="BX1" s="59" t="n"/>
      <x:c r="BY1" s="59" t="n"/>
      <x:c r="BZ1" s="59" t="n"/>
      <x:c r="CA1" s="59" t="n"/>
      <x:c r="CB1" s="59" t="n"/>
      <x:c r="CC1" s="59" t="n"/>
      <x:c r="CD1" s="59" t="n"/>
      <x:c r="CE1" s="59" t="n"/>
      <x:c r="CF1" s="59" t="n"/>
      <x:c r="CG1" s="59" t="n"/>
      <x:c r="CH1" s="59" t="n"/>
      <x:c r="CI1" s="59" t="n"/>
      <x:c r="CJ1" s="59" t="n"/>
      <x:c r="CK1" s="59" t="n"/>
      <x:c r="CL1" s="59" t="n"/>
      <x:c r="CM1" s="59" t="n"/>
      <x:c r="CN1" s="59" t="n"/>
      <x:c r="CO1" s="59" t="n"/>
      <x:c r="CP1" s="59" t="n"/>
      <x:c r="CQ1" s="59" t="n"/>
      <x:c r="CR1" s="59" t="n"/>
      <x:c r="CS1" s="59" t="n"/>
      <x:c r="CT1" s="59" t="n"/>
      <x:c r="CU1" s="59" t="n"/>
      <x:c r="CV1" s="59" t="n"/>
      <x:c r="CW1" s="59" t="n"/>
      <x:c r="CX1" s="59" t="n"/>
      <x:c r="CY1" s="59" t="n"/>
      <x:c r="CZ1" s="59" t="n"/>
      <x:c r="DA1" s="59" t="n"/>
      <x:c r="DB1" s="59" t="n"/>
      <x:c r="DC1" s="59" t="n"/>
      <x:c r="DD1" s="59" t="n"/>
      <x:c r="DE1" s="59" t="n"/>
      <x:c r="DF1" s="59" t="n"/>
      <x:c r="DG1" s="59" t="n"/>
      <x:c r="DH1" s="59" t="n"/>
      <x:c r="DI1" s="59" t="n"/>
      <x:c r="DJ1" s="59" t="n"/>
      <x:c r="DK1" s="59" t="n"/>
      <x:c r="DL1" s="59" t="n"/>
      <x:c r="DM1" s="59" t="n"/>
      <x:c r="DN1" s="59" t="n"/>
      <x:c r="DO1" s="59" t="n"/>
      <x:c r="DP1" s="59" t="n"/>
      <x:c r="DQ1" s="59" t="n"/>
      <x:c r="DR1" s="59" t="n"/>
      <x:c r="DS1" s="59" t="n"/>
      <x:c r="DT1" s="59" t="n"/>
      <x:c r="DU1" s="59" t="n"/>
      <x:c r="DV1" s="59" t="n"/>
      <x:c r="DW1" s="59" t="n"/>
      <x:c r="DX1" s="59" t="n"/>
      <x:c r="DY1" s="59" t="n"/>
      <x:c r="DZ1" s="59" t="n"/>
      <x:c r="EA1" s="59" t="n"/>
      <x:c r="EB1" s="59" t="n"/>
      <x:c r="EC1" s="59" t="n"/>
      <x:c r="ED1" s="59" t="n"/>
      <x:c r="EE1" s="59" t="n"/>
      <x:c r="EF1" s="59" t="n"/>
      <x:c r="EG1" s="59" t="n"/>
      <x:c r="EH1" s="59" t="n"/>
      <x:c r="EI1" s="59" t="n"/>
      <x:c r="EJ1" s="59" t="n"/>
      <x:c r="EK1" s="59" t="n"/>
      <x:c r="EL1" s="59" t="n"/>
      <x:c r="EM1" s="59" t="n"/>
      <x:c r="EN1" s="59" t="n"/>
      <x:c r="EO1" s="59" t="n"/>
      <x:c r="EP1" s="59" t="n"/>
      <x:c r="EQ1" s="59" t="n"/>
      <x:c r="ER1" s="59" t="n"/>
      <x:c r="ES1" s="59" t="n"/>
      <x:c r="ET1" s="59" t="n"/>
      <x:c r="EU1" s="59" t="n"/>
      <x:c r="EV1" s="59" t="n"/>
      <x:c r="EW1" s="59" t="n"/>
      <x:c r="EX1" s="59" t="n"/>
      <x:c r="EY1" s="59" t="n"/>
      <x:c r="EZ1" s="59" t="n"/>
      <x:c r="FA1" s="59" t="n"/>
      <x:c r="FB1" s="59" t="n"/>
      <x:c r="FC1" s="59" t="n"/>
      <x:c r="FD1" s="59" t="n"/>
      <x:c r="FE1" s="59" t="n"/>
      <x:c r="FF1" s="59" t="n"/>
      <x:c r="FG1" s="59" t="n"/>
      <x:c r="FH1" s="59" t="n"/>
      <x:c r="FI1" s="59" t="n"/>
      <x:c r="FJ1" s="59" t="n"/>
      <x:c r="FK1" s="59" t="n"/>
      <x:c r="FL1" s="59" t="n"/>
      <x:c r="FM1" s="59" t="n"/>
      <x:c r="FN1" s="59" t="n"/>
      <x:c r="FO1" s="59" t="n"/>
      <x:c r="FP1" s="59" t="n"/>
      <x:c r="FQ1" s="59" t="n"/>
    </x:row>
    <x:row r="2" s="62" customFormat="1" ht="12.75" customHeight="1">
      <x:c r="A2" s="619" t="n"/>
      <x:c r="B2" s="620" t="inlineStr">
        <x:is>
          <x:t xml:space="preserve">DESCRIPTION</x:t>
        </x:is>
      </x:c>
      <x:c r="C2" s="593" t="n"/>
      <x:c r="D2" s="647" t="n"/>
      <x:c r="E2" s="622" t="inlineStr">
        <x:is>
          <x:t xml:space="preserve">Book / Page </x:t>
        </x:is>
      </x:c>
      <x:c r="F2" s="618" t="n"/>
      <x:c r="G2" s="63" t="n"/>
      <x:c r="H2" s="8" t="inlineStr">
        <x:is>
          <x:t xml:space="preserve">2026-001949</x:t>
        </x:is>
      </x:c>
      <x:c r="I2" s="8" t="inlineStr">
        <x:is>
          <x:t xml:space="preserve">2026-002512</x:t>
        </x:is>
      </x:c>
      <x:c r="J2" s="11" t="inlineStr">
        <x:is>
          <x:t xml:space="preserve">2026-003145</x:t>
        </x:is>
      </x:c>
      <x:c r="K2" s="11" t="inlineStr">
        <x:is>
          <x:t xml:space="preserve">2026-002511</x:t>
        </x:is>
      </x:c>
      <x:c r="L2" s="11" t="inlineStr">
        <x:is>
          <x:t xml:space="preserve">2026-001952</x:t>
        </x:is>
      </x:c>
      <x:c r="M2" s="11" t="inlineStr">
        <x:is>
          <x:t xml:space="preserve">2026-001951</x:t>
        </x:is>
      </x:c>
      <x:c r="N2" s="11" t="n"/>
      <x:c r="O2" s="8" t="n"/>
      <x:c r="P2" s="6" t="n"/>
      <x:c r="Q2" s="8" t="n"/>
      <x:c r="R2" s="6" t="n"/>
      <x:c r="S2" s="6" t="n"/>
      <x:c r="T2" s="6" t="n"/>
      <x:c r="U2" s="6" t="n"/>
      <x:c r="V2" s="6" t="n"/>
      <x:c r="W2" s="6" t="n"/>
      <x:c r="X2" s="6" t="n"/>
      <x:c r="Y2" s="6" t="n"/>
      <x:c r="Z2" s="6" t="n"/>
      <x:c r="AA2" s="6" t="n"/>
      <x:c r="AB2" s="6" t="n"/>
      <x:c r="AC2" s="6" t="n"/>
      <x:c r="AD2" s="6" t="n"/>
      <x:c r="AE2" s="6" t="n"/>
      <x:c r="AF2" s="6" t="n"/>
      <x:c r="AG2" s="6" t="n"/>
      <x:c r="AI2" s="59" t="n"/>
      <x:c r="AJ2" s="59" t="n"/>
      <x:c r="AK2" s="59" t="n"/>
      <x:c r="AL2" s="59" t="n"/>
      <x:c r="AM2" s="59" t="n"/>
      <x:c r="AN2" s="59" t="n"/>
      <x:c r="AO2" s="59" t="n"/>
      <x:c r="AP2" s="59" t="n"/>
      <x:c r="AQ2" s="59" t="n"/>
      <x:c r="AR2" s="59" t="n"/>
      <x:c r="AS2" s="59" t="n"/>
      <x:c r="AT2" s="59" t="n"/>
      <x:c r="AU2" s="59" t="n"/>
      <x:c r="AV2" s="59" t="n"/>
      <x:c r="AW2" s="59" t="n"/>
      <x:c r="AX2" s="59" t="n"/>
      <x:c r="AY2" s="59" t="n"/>
      <x:c r="AZ2" s="59" t="n"/>
      <x:c r="BA2" s="59" t="n"/>
      <x:c r="BB2" s="59" t="n"/>
      <x:c r="BC2" s="59" t="n"/>
      <x:c r="BD2" s="59" t="n"/>
      <x:c r="BE2" s="59" t="n"/>
      <x:c r="BF2" s="59" t="n"/>
      <x:c r="BG2" s="59" t="n"/>
      <x:c r="BH2" s="59" t="n"/>
      <x:c r="BI2" s="59" t="n"/>
      <x:c r="BJ2" s="59" t="n"/>
      <x:c r="BK2" s="59" t="n"/>
      <x:c r="BL2" s="59" t="n"/>
      <x:c r="BM2" s="59" t="n"/>
      <x:c r="BN2" s="59" t="n"/>
      <x:c r="BO2" s="59" t="n"/>
      <x:c r="BP2" s="59" t="n"/>
      <x:c r="BQ2" s="59" t="n"/>
      <x:c r="BR2" s="59" t="n"/>
      <x:c r="BS2" s="59" t="n"/>
      <x:c r="BT2" s="59" t="n"/>
      <x:c r="BU2" s="59" t="n"/>
      <x:c r="BV2" s="59" t="n"/>
      <x:c r="BW2" s="59" t="n"/>
      <x:c r="BX2" s="59" t="n"/>
      <x:c r="BY2" s="59" t="n"/>
      <x:c r="BZ2" s="59" t="n"/>
      <x:c r="CA2" s="59" t="n"/>
      <x:c r="CB2" s="59" t="n"/>
      <x:c r="CC2" s="59" t="n"/>
      <x:c r="CD2" s="59" t="n"/>
      <x:c r="CE2" s="59" t="n"/>
      <x:c r="CF2" s="59" t="n"/>
      <x:c r="CG2" s="59" t="n"/>
      <x:c r="CH2" s="59" t="n"/>
      <x:c r="CI2" s="59" t="n"/>
      <x:c r="CJ2" s="59" t="n"/>
      <x:c r="CK2" s="59" t="n"/>
      <x:c r="CL2" s="59" t="n"/>
      <x:c r="CM2" s="59" t="n"/>
      <x:c r="CN2" s="59" t="n"/>
      <x:c r="CO2" s="59" t="n"/>
      <x:c r="CP2" s="59" t="n"/>
      <x:c r="CQ2" s="59" t="n"/>
      <x:c r="CR2" s="59" t="n"/>
      <x:c r="CS2" s="59" t="n"/>
      <x:c r="CT2" s="59" t="n"/>
      <x:c r="CU2" s="59" t="n"/>
      <x:c r="CV2" s="59" t="n"/>
      <x:c r="CW2" s="59" t="n"/>
      <x:c r="CX2" s="59" t="n"/>
      <x:c r="CY2" s="59" t="n"/>
      <x:c r="CZ2" s="59" t="n"/>
      <x:c r="DA2" s="59" t="n"/>
      <x:c r="DB2" s="59" t="n"/>
      <x:c r="DC2" s="59" t="n"/>
      <x:c r="DD2" s="59" t="n"/>
      <x:c r="DE2" s="59" t="n"/>
      <x:c r="DF2" s="59" t="n"/>
      <x:c r="DG2" s="59" t="n"/>
      <x:c r="DH2" s="59" t="n"/>
      <x:c r="DI2" s="59" t="n"/>
      <x:c r="DJ2" s="59" t="n"/>
      <x:c r="DK2" s="59" t="n"/>
      <x:c r="DL2" s="59" t="n"/>
      <x:c r="DM2" s="59" t="n"/>
      <x:c r="DN2" s="59" t="n"/>
      <x:c r="DO2" s="59" t="n"/>
      <x:c r="DP2" s="59" t="n"/>
      <x:c r="DQ2" s="59" t="n"/>
      <x:c r="DR2" s="59" t="n"/>
      <x:c r="DS2" s="59" t="n"/>
      <x:c r="DT2" s="59" t="n"/>
      <x:c r="DU2" s="59" t="n"/>
      <x:c r="DV2" s="59" t="n"/>
      <x:c r="DW2" s="59" t="n"/>
      <x:c r="DX2" s="59" t="n"/>
      <x:c r="DY2" s="59" t="n"/>
      <x:c r="DZ2" s="59" t="n"/>
      <x:c r="EA2" s="59" t="n"/>
      <x:c r="EB2" s="59" t="n"/>
      <x:c r="EC2" s="59" t="n"/>
      <x:c r="ED2" s="59" t="n"/>
      <x:c r="EE2" s="59" t="n"/>
      <x:c r="EF2" s="59" t="n"/>
      <x:c r="EG2" s="59" t="n"/>
      <x:c r="EH2" s="59" t="n"/>
      <x:c r="EI2" s="59" t="n"/>
      <x:c r="EJ2" s="59" t="n"/>
      <x:c r="EK2" s="59" t="n"/>
      <x:c r="EL2" s="59" t="n"/>
      <x:c r="EM2" s="59" t="n"/>
      <x:c r="EN2" s="59" t="n"/>
      <x:c r="EO2" s="59" t="n"/>
      <x:c r="EP2" s="59" t="n"/>
      <x:c r="EQ2" s="59" t="n"/>
      <x:c r="ER2" s="59" t="n"/>
      <x:c r="ES2" s="59" t="n"/>
      <x:c r="ET2" s="59" t="n"/>
      <x:c r="EU2" s="59" t="n"/>
      <x:c r="EV2" s="59" t="n"/>
      <x:c r="EW2" s="59" t="n"/>
      <x:c r="EX2" s="59" t="n"/>
      <x:c r="EY2" s="59" t="n"/>
      <x:c r="EZ2" s="59" t="n"/>
      <x:c r="FA2" s="59" t="n"/>
      <x:c r="FB2" s="59" t="n"/>
      <x:c r="FC2" s="59" t="n"/>
      <x:c r="FD2" s="59" t="n"/>
      <x:c r="FE2" s="59" t="n"/>
      <x:c r="FF2" s="59" t="n"/>
      <x:c r="FG2" s="59" t="n"/>
      <x:c r="FH2" s="59" t="n"/>
      <x:c r="FI2" s="59" t="n"/>
      <x:c r="FJ2" s="59" t="n"/>
      <x:c r="FK2" s="59" t="n"/>
      <x:c r="FL2" s="59" t="n"/>
      <x:c r="FM2" s="59" t="n"/>
      <x:c r="FN2" s="59" t="n"/>
      <x:c r="FO2" s="59" t="n"/>
      <x:c r="FP2" s="59" t="n"/>
      <x:c r="FQ2" s="59" t="n"/>
    </x:row>
    <x:row r="3" s="62" customFormat="1" ht="12.75" customHeight="1">
      <x:c r="A3" s="619" t="n"/>
      <x:c r="B3" s="623" t="n"/>
      <x:c r="C3" s="593" t="n"/>
      <x:c r="D3" s="648" t="n"/>
      <x:c r="E3" s="491" t="inlineStr">
        <x:is>
          <x:t xml:space="preserve">Date </x:t>
        </x:is>
      </x:c>
      <x:c r="F3" s="618" t="n"/>
      <x:c r="G3" s="63" t="n"/>
      <x:c r="H3" s="7" t="inlineStr">
        <x:is>
          <x:t xml:space="preserve">2693/0337</x:t>
        </x:is>
      </x:c>
      <x:c r="I3" s="7" t="inlineStr">
        <x:is>
          <x:t xml:space="preserve">2697/0524</x:t>
        </x:is>
      </x:c>
      <x:c r="J3" s="12" t="inlineStr">
        <x:is>
          <x:t xml:space="preserve">2702/0505</x:t>
        </x:is>
      </x:c>
      <x:c r="K3" s="12" t="inlineStr">
        <x:is>
          <x:t xml:space="preserve">2697/0520</x:t>
        </x:is>
      </x:c>
      <x:c r="L3" s="12" t="inlineStr">
        <x:is>
          <x:t xml:space="preserve">2693/0349</x:t>
        </x:is>
      </x:c>
      <x:c r="M3" s="12" t="inlineStr">
        <x:is>
          <x:t xml:space="preserve">2693/0345</x:t>
        </x:is>
      </x:c>
      <x:c r="N3" s="12" t="n"/>
      <x:c r="O3" s="12" t="n"/>
      <x:c r="P3" s="12" t="n"/>
      <x:c r="Q3" s="12" t="n"/>
      <x:c r="R3" s="5" t="n"/>
      <x:c r="S3" s="58" t="n"/>
      <x:c r="T3" s="58" t="n"/>
      <x:c r="U3" s="5" t="n"/>
      <x:c r="V3" s="5" t="n"/>
      <x:c r="W3" s="5" t="n"/>
      <x:c r="X3" s="5" t="n"/>
      <x:c r="Y3" s="5" t="n"/>
      <x:c r="Z3" s="5" t="n"/>
      <x:c r="AA3" s="5" t="n"/>
      <x:c r="AB3" s="5" t="n"/>
      <x:c r="AC3" s="5" t="n"/>
      <x:c r="AD3" s="5" t="n"/>
      <x:c r="AE3" s="5" t="n"/>
      <x:c r="AF3" s="5" t="n"/>
      <x:c r="AG3" s="5" t="n"/>
      <x:c r="AI3" s="58" t="n"/>
      <x:c r="AJ3" s="58" t="n"/>
      <x:c r="AK3" s="58" t="n"/>
      <x:c r="AL3" s="58" t="n"/>
      <x:c r="AM3" s="58" t="n"/>
      <x:c r="AN3" s="58" t="n"/>
      <x:c r="AO3" s="58" t="n"/>
      <x:c r="AP3" s="58" t="n"/>
      <x:c r="AQ3" s="58" t="n"/>
      <x:c r="AR3" s="58" t="n"/>
      <x:c r="AS3" s="58" t="n"/>
      <x:c r="AT3" s="58" t="n"/>
      <x:c r="AU3" s="58" t="n"/>
      <x:c r="AV3" s="58" t="n"/>
      <x:c r="AW3" s="58" t="n"/>
      <x:c r="AX3" s="58" t="n"/>
      <x:c r="AY3" s="58" t="n"/>
      <x:c r="AZ3" s="58" t="n"/>
      <x:c r="BA3" s="58" t="n"/>
      <x:c r="BB3" s="58" t="n"/>
      <x:c r="BC3" s="58" t="n"/>
      <x:c r="BD3" s="58" t="n"/>
      <x:c r="BE3" s="58" t="n"/>
      <x:c r="BF3" s="58" t="n"/>
      <x:c r="BG3" s="58" t="n"/>
      <x:c r="BH3" s="58" t="n"/>
      <x:c r="BI3" s="58" t="n"/>
      <x:c r="BJ3" s="58" t="n"/>
      <x:c r="BK3" s="58" t="n"/>
      <x:c r="BL3" s="58" t="n"/>
      <x:c r="BM3" s="58" t="n"/>
      <x:c r="BN3" s="58" t="n"/>
      <x:c r="BO3" s="58" t="n"/>
      <x:c r="BP3" s="58" t="n"/>
      <x:c r="BQ3" s="58" t="n"/>
      <x:c r="BR3" s="58" t="n"/>
      <x:c r="BS3" s="58" t="n"/>
      <x:c r="BT3" s="58" t="n"/>
      <x:c r="BU3" s="58" t="n"/>
      <x:c r="BV3" s="58" t="n"/>
      <x:c r="BW3" s="58" t="n"/>
      <x:c r="BX3" s="58" t="n"/>
      <x:c r="BY3" s="58" t="n"/>
      <x:c r="BZ3" s="58" t="n"/>
      <x:c r="CA3" s="58" t="n"/>
      <x:c r="CB3" s="58" t="n"/>
      <x:c r="CC3" s="58" t="n"/>
      <x:c r="CD3" s="58" t="n"/>
      <x:c r="CE3" s="58" t="n"/>
      <x:c r="CF3" s="58" t="n"/>
      <x:c r="CG3" s="58" t="n"/>
      <x:c r="CH3" s="58" t="n"/>
      <x:c r="CI3" s="58" t="n"/>
      <x:c r="CJ3" s="58" t="n"/>
      <x:c r="CK3" s="58" t="n"/>
      <x:c r="CL3" s="58" t="n"/>
      <x:c r="CM3" s="58" t="n"/>
      <x:c r="CN3" s="58" t="n"/>
      <x:c r="CO3" s="58" t="n"/>
      <x:c r="CP3" s="58" t="n"/>
      <x:c r="CQ3" s="58" t="n"/>
      <x:c r="CR3" s="58" t="n"/>
      <x:c r="CS3" s="58" t="n"/>
      <x:c r="CT3" s="58" t="n"/>
      <x:c r="CU3" s="58" t="n"/>
      <x:c r="CV3" s="58" t="n"/>
      <x:c r="CW3" s="58" t="n"/>
      <x:c r="CX3" s="58" t="n"/>
      <x:c r="CY3" s="58" t="n"/>
      <x:c r="CZ3" s="58" t="n"/>
      <x:c r="DA3" s="58" t="n"/>
      <x:c r="DB3" s="58" t="n"/>
      <x:c r="DC3" s="58" t="n"/>
      <x:c r="DD3" s="58" t="n"/>
      <x:c r="DE3" s="58" t="n"/>
      <x:c r="DF3" s="58" t="n"/>
      <x:c r="DG3" s="58" t="n"/>
      <x:c r="DH3" s="58" t="n"/>
      <x:c r="DI3" s="58" t="n"/>
      <x:c r="DJ3" s="58" t="n"/>
      <x:c r="DK3" s="58" t="n"/>
      <x:c r="DL3" s="58" t="n"/>
      <x:c r="DM3" s="58" t="n"/>
      <x:c r="DN3" s="58" t="n"/>
      <x:c r="DO3" s="58" t="n"/>
      <x:c r="DP3" s="58" t="n"/>
      <x:c r="DQ3" s="58" t="n"/>
      <x:c r="DR3" s="58" t="n"/>
      <x:c r="DS3" s="58" t="n"/>
      <x:c r="DT3" s="58" t="n"/>
      <x:c r="DU3" s="58" t="n"/>
      <x:c r="DV3" s="58" t="n"/>
      <x:c r="DW3" s="58" t="n"/>
      <x:c r="DX3" s="58" t="n"/>
      <x:c r="DY3" s="58" t="n"/>
      <x:c r="DZ3" s="58" t="n"/>
      <x:c r="EA3" s="58" t="n"/>
      <x:c r="EB3" s="58" t="n"/>
      <x:c r="EC3" s="58" t="n"/>
      <x:c r="ED3" s="58" t="n"/>
      <x:c r="EE3" s="58" t="n"/>
      <x:c r="EF3" s="58" t="n"/>
      <x:c r="EG3" s="58" t="n"/>
      <x:c r="EH3" s="58" t="n"/>
      <x:c r="EI3" s="58" t="n"/>
      <x:c r="EJ3" s="58" t="n"/>
      <x:c r="EK3" s="58" t="n"/>
      <x:c r="EL3" s="58" t="n"/>
      <x:c r="EM3" s="58" t="n"/>
      <x:c r="EN3" s="58" t="n"/>
      <x:c r="EO3" s="58" t="n"/>
      <x:c r="EP3" s="58" t="n"/>
      <x:c r="EQ3" s="58" t="n"/>
      <x:c r="ER3" s="58" t="n"/>
      <x:c r="ES3" s="58" t="n"/>
      <x:c r="ET3" s="58" t="n"/>
      <x:c r="EU3" s="58" t="n"/>
      <x:c r="EV3" s="58" t="n"/>
      <x:c r="EW3" s="58" t="n"/>
      <x:c r="EX3" s="58" t="n"/>
      <x:c r="EY3" s="58" t="n"/>
      <x:c r="EZ3" s="58" t="n"/>
      <x:c r="FA3" s="58" t="n"/>
      <x:c r="FB3" s="58" t="n"/>
      <x:c r="FC3" s="58" t="n"/>
      <x:c r="FD3" s="58" t="n"/>
      <x:c r="FE3" s="58" t="n"/>
      <x:c r="FF3" s="58" t="n"/>
      <x:c r="FG3" s="58" t="n"/>
      <x:c r="FH3" s="58" t="n"/>
      <x:c r="FI3" s="58" t="n"/>
      <x:c r="FJ3" s="58" t="n"/>
      <x:c r="FK3" s="58" t="n"/>
      <x:c r="FL3" s="58" t="n"/>
      <x:c r="FM3" s="58" t="n"/>
      <x:c r="FN3" s="58" t="n"/>
      <x:c r="FO3" s="58" t="n"/>
      <x:c r="FP3" s="58" t="n"/>
      <x:c r="FQ3" s="58" t="n"/>
    </x:row>
    <x:row r="4" s="57" customFormat="1" ht="27.75" customHeight="1">
      <x:c r="A4" s="619" t="n"/>
      <x:c r="B4" s="625" t="inlineStr">
        <x:is>
          <x:t xml:space="preserve">TRACT ACRES</x:t>
        </x:is>
      </x:c>
      <x:c r="C4" s="626" t="n"/>
      <x:c r="D4" s="61" t="n">
        <x:v>637.42</x:v>
      </x:c>
      <x:c r="E4" s="627" t="inlineStr">
        <x:is>
          <x:t xml:space="preserve">Conveyance </x:t>
        </x:is>
      </x:c>
      <x:c r="F4" s="628" t="n"/>
      <x:c r="G4" s="60" t="n"/>
      <x:c r="H4" s="58" t="n">
        <x:v>46122</x:v>
      </x:c>
      <x:c r="I4" s="58" t="n">
        <x:v>46143</x:v>
      </x:c>
      <x:c r="J4" s="58" t="n">
        <x:v>46170</x:v>
      </x:c>
      <x:c r="K4" s="58" t="n">
        <x:v>46143</x:v>
      </x:c>
      <x:c r="L4" s="58" t="n">
        <x:v>46122</x:v>
      </x:c>
      <x:c r="M4" s="58" t="n">
        <x:v>46122</x:v>
      </x:c>
      <x:c r="N4" s="59" t="n"/>
      <x:c r="O4" s="59" t="n"/>
      <x:c r="P4" s="59" t="n"/>
      <x:c r="Q4" s="59" t="n"/>
      <x:c r="R4" s="59" t="n"/>
      <x:c r="S4" s="59" t="n"/>
      <x:c r="T4" s="59" t="n"/>
      <x:c r="U4" s="59" t="n"/>
      <x:c r="V4" s="59" t="n"/>
      <x:c r="W4" s="59" t="n"/>
      <x:c r="X4" s="59" t="n"/>
      <x:c r="Y4" s="59" t="n"/>
      <x:c r="Z4" s="59" t="n"/>
      <x:c r="AA4" s="59" t="n"/>
      <x:c r="AB4" s="59" t="n"/>
      <x:c r="AC4" s="59" t="n"/>
      <x:c r="AD4" s="59" t="n"/>
      <x:c r="AE4" s="59" t="n"/>
      <x:c r="AF4" s="59" t="n"/>
      <x:c r="AG4" s="59" t="n"/>
      <x:c r="AI4" s="59" t="n"/>
      <x:c r="AJ4" s="59" t="n"/>
      <x:c r="AK4" s="59" t="n"/>
      <x:c r="AL4" s="59" t="n"/>
      <x:c r="AM4" s="59" t="n"/>
      <x:c r="AN4" s="59" t="n"/>
      <x:c r="AO4" s="59" t="n"/>
      <x:c r="AP4" s="59" t="n"/>
      <x:c r="AQ4" s="59" t="n"/>
      <x:c r="AR4" s="59" t="n"/>
      <x:c r="AS4" s="59" t="n"/>
      <x:c r="AT4" s="59" t="n"/>
      <x:c r="AU4" s="59" t="n"/>
      <x:c r="AV4" s="59" t="n"/>
      <x:c r="AW4" s="59" t="n"/>
      <x:c r="AX4" s="59" t="n"/>
      <x:c r="AY4" s="59" t="n"/>
      <x:c r="AZ4" s="59" t="n"/>
      <x:c r="BA4" s="59" t="n"/>
      <x:c r="BB4" s="59" t="n"/>
      <x:c r="BC4" s="59" t="n"/>
      <x:c r="BD4" s="59" t="n"/>
      <x:c r="BE4" s="59" t="n"/>
      <x:c r="BF4" s="59" t="n"/>
      <x:c r="BG4" s="59" t="n"/>
      <x:c r="BH4" s="59" t="n"/>
      <x:c r="BI4" s="59" t="n"/>
      <x:c r="BJ4" s="59" t="n"/>
      <x:c r="BK4" s="59" t="n"/>
      <x:c r="BL4" s="59" t="n"/>
      <x:c r="BM4" s="59" t="n"/>
      <x:c r="BN4" s="59" t="n"/>
      <x:c r="BO4" s="59" t="n"/>
      <x:c r="BP4" s="59" t="n"/>
      <x:c r="BQ4" s="59" t="n"/>
      <x:c r="BR4" s="59" t="n"/>
      <x:c r="BS4" s="59" t="n"/>
      <x:c r="BT4" s="59" t="n"/>
      <x:c r="BU4" s="59" t="n"/>
      <x:c r="BV4" s="59" t="n"/>
      <x:c r="BW4" s="59" t="n"/>
      <x:c r="BX4" s="59" t="n"/>
      <x:c r="BY4" s="59" t="n"/>
      <x:c r="BZ4" s="59" t="n"/>
      <x:c r="CA4" s="59" t="n"/>
      <x:c r="CB4" s="59" t="n"/>
      <x:c r="CC4" s="59" t="n"/>
      <x:c r="CD4" s="59" t="n"/>
      <x:c r="CE4" s="59" t="n"/>
      <x:c r="CF4" s="59" t="n"/>
      <x:c r="CG4" s="59" t="n"/>
      <x:c r="CH4" s="59" t="n"/>
      <x:c r="CI4" s="59" t="n"/>
      <x:c r="CJ4" s="59" t="n"/>
      <x:c r="CK4" s="59" t="n"/>
      <x:c r="CL4" s="59" t="n"/>
      <x:c r="CM4" s="59" t="n"/>
      <x:c r="CN4" s="59" t="n"/>
      <x:c r="CO4" s="59" t="n"/>
      <x:c r="CP4" s="59" t="n"/>
      <x:c r="CQ4" s="59" t="n"/>
      <x:c r="CR4" s="59" t="n"/>
      <x:c r="CS4" s="59" t="n"/>
      <x:c r="CT4" s="59" t="n"/>
      <x:c r="CU4" s="59" t="n"/>
      <x:c r="CV4" s="59" t="n"/>
      <x:c r="CW4" s="59" t="n"/>
      <x:c r="CX4" s="59" t="n"/>
      <x:c r="CY4" s="59" t="n"/>
      <x:c r="CZ4" s="59" t="n"/>
      <x:c r="DA4" s="59" t="n"/>
      <x:c r="DB4" s="59" t="n"/>
      <x:c r="DC4" s="59" t="n"/>
      <x:c r="DD4" s="59" t="n"/>
      <x:c r="DE4" s="59" t="n"/>
      <x:c r="DF4" s="59" t="n"/>
      <x:c r="DG4" s="59" t="n"/>
      <x:c r="DH4" s="59" t="n"/>
      <x:c r="DI4" s="59" t="n"/>
      <x:c r="DJ4" s="59" t="n"/>
      <x:c r="DK4" s="59" t="n"/>
      <x:c r="DL4" s="59" t="n"/>
      <x:c r="DM4" s="59" t="n"/>
      <x:c r="DN4" s="59" t="n"/>
      <x:c r="DO4" s="59" t="n"/>
      <x:c r="DP4" s="59" t="n"/>
      <x:c r="DQ4" s="59" t="n"/>
      <x:c r="DR4" s="59" t="n"/>
      <x:c r="DS4" s="59" t="n"/>
      <x:c r="DT4" s="59" t="n"/>
      <x:c r="DU4" s="59" t="n"/>
      <x:c r="DV4" s="59" t="n"/>
      <x:c r="DW4" s="59" t="n"/>
      <x:c r="DX4" s="59" t="n"/>
      <x:c r="DY4" s="59" t="n"/>
      <x:c r="DZ4" s="59" t="n"/>
      <x:c r="EA4" s="59" t="n"/>
      <x:c r="EB4" s="59" t="n"/>
      <x:c r="EC4" s="59" t="n"/>
      <x:c r="ED4" s="59" t="n"/>
      <x:c r="EE4" s="59" t="n"/>
      <x:c r="EF4" s="59" t="n"/>
      <x:c r="EG4" s="59" t="n"/>
      <x:c r="EH4" s="59" t="n"/>
      <x:c r="EI4" s="59" t="n"/>
      <x:c r="EJ4" s="59" t="n"/>
      <x:c r="EK4" s="59" t="n"/>
      <x:c r="EL4" s="59" t="n"/>
      <x:c r="EM4" s="59" t="n"/>
      <x:c r="EN4" s="59" t="n"/>
      <x:c r="EO4" s="59" t="n"/>
      <x:c r="EP4" s="59" t="n"/>
      <x:c r="EQ4" s="59" t="n"/>
      <x:c r="ER4" s="59" t="n"/>
      <x:c r="ES4" s="59" t="n"/>
      <x:c r="ET4" s="59" t="n"/>
      <x:c r="EU4" s="59" t="n"/>
      <x:c r="EV4" s="59" t="n"/>
      <x:c r="EW4" s="59" t="n"/>
      <x:c r="EX4" s="59" t="n"/>
      <x:c r="EY4" s="59" t="n"/>
      <x:c r="EZ4" s="59" t="n"/>
      <x:c r="FA4" s="59" t="n"/>
      <x:c r="FB4" s="59" t="n"/>
      <x:c r="FC4" s="59" t="n"/>
      <x:c r="FD4" s="59" t="n"/>
      <x:c r="FE4" s="59" t="n"/>
      <x:c r="FF4" s="59" t="n"/>
      <x:c r="FG4" s="59" t="n"/>
      <x:c r="FH4" s="59" t="n"/>
      <x:c r="FI4" s="59" t="n"/>
      <x:c r="FJ4" s="59" t="n"/>
      <x:c r="FK4" s="59" t="n"/>
      <x:c r="FL4" s="59" t="n"/>
      <x:c r="FM4" s="59" t="n"/>
      <x:c r="FN4" s="59" t="n"/>
      <x:c r="FO4" s="59" t="n"/>
      <x:c r="FP4" s="59" t="n"/>
      <x:c r="FQ4" s="59" t="n"/>
    </x:row>
    <x:row r="5" s="55" customFormat="1" ht="14.25" customHeight="1">
      <x:c r="A5" s="629" t="n"/>
      <x:c r="B5" s="630" t="inlineStr">
        <x:is>
          <x:t xml:space="preserve">BASE OGL</x:t>
        </x:is>
      </x:c>
      <x:c r="C5" s="631" t="n">
        <x:v>637.42</x:v>
      </x:c>
      <x:c r="D5" s="632" t="inlineStr">
        <x:is>
          <x:t xml:space="preserve">Working Interest 2</x:t>
        </x:is>
      </x:c>
      <x:c r="E5" s="631" t="n">
        <x:f>SUBTOTAL(9,E8:E142)</x:f>
        <x:v>0</x:v>
      </x:c>
      <x:c r="F5" s="633" t="inlineStr">
        <x:is>
          <x:t xml:space="preserve">SURFACE</x:t>
        </x:is>
      </x:c>
      <x:c r="G5" s="56" t="n"/>
      <x:c r="H5" s="56" t="n"/>
      <x:c r="I5" s="56" t="n"/>
      <x:c r="J5" s="56" t="n"/>
      <x:c r="K5" s="56" t="str">
        <x:f>IF(K6=0,"","RECHECK")</x:f>
      </x:c>
      <x:c r="L5" s="56" t="str">
        <x:f>IF(L6=0,"","RECHECK")</x:f>
      </x:c>
      <x:c r="M5" s="56" t="str">
        <x:f>IF(M6=0,"","RECHECK")</x:f>
      </x:c>
      <x:c r="N5" s="56" t="str">
        <x:f>IF(N6=0,"","RECHECK")</x:f>
      </x:c>
      <x:c r="O5" s="56" t="str">
        <x:f>IF(O6=0,"","RECHECK")</x:f>
      </x:c>
      <x:c r="P5" s="56" t="str">
        <x:f>IF(P6=0,"","RECHECK")</x:f>
      </x:c>
      <x:c r="Q5" s="56" t="n"/>
      <x:c r="R5" s="56" t="str">
        <x:f>IF(R6=0,"","RECHECK")</x:f>
      </x:c>
      <x:c r="S5" s="56" t="str">
        <x:f>IF(S6=0,"","RECHECK")</x:f>
      </x:c>
      <x:c r="T5" s="56" t="str">
        <x:f>IF(T6=0,"","RECHECK")</x:f>
      </x:c>
      <x:c r="U5" s="56" t="str">
        <x:f>IF(U6=0,"","RECHECK")</x:f>
      </x:c>
      <x:c r="V5" s="56" t="str">
        <x:f>IF(V6=0,"","RECHECK")</x:f>
      </x:c>
      <x:c r="W5" s="56" t="str">
        <x:f>IF(W6=0,"","RECHECK")</x:f>
      </x:c>
      <x:c r="X5" s="56" t="str">
        <x:f>IF(X6=0,"","RECHECK")</x:f>
      </x:c>
      <x:c r="Y5" s="56" t="str">
        <x:f>IF(Y6=0,"","RECHECK")</x:f>
      </x:c>
      <x:c r="Z5" s="56" t="str">
        <x:f>IF(Z6=0,"","RECHECK")</x:f>
      </x:c>
      <x:c r="AA5" s="56" t="str">
        <x:f>IF(AA6=0,"","RECHECK")</x:f>
      </x:c>
      <x:c r="AB5" s="56" t="str">
        <x:f>IF(AB6=0,"","RECHECK")</x:f>
      </x:c>
      <x:c r="AC5" s="56" t="str">
        <x:f>IF(AC6=0,"","RECHECK")</x:f>
      </x:c>
      <x:c r="AD5" s="56" t="str">
        <x:f>IF(AD6=0,"","RECHECK")</x:f>
      </x:c>
      <x:c r="AE5" s="56" t="str">
        <x:f>IF(AE6=0,"","RECHECK")</x:f>
      </x:c>
      <x:c r="AF5" s="56" t="str">
        <x:f>IF(AF6=0,"","RECHECK")</x:f>
      </x:c>
      <x:c r="AG5" s="56" t="str">
        <x:f>IF(AG6=0,"","RECHECK")</x:f>
      </x:c>
      <x:c r="AH5" s="56" t="str">
        <x:f>IF(AH6=0,"","RECHECK")</x:f>
      </x:c>
      <x:c r="AI5" s="56" t="str">
        <x:f>IF(AI6=0,"","RECHECK")</x:f>
      </x:c>
      <x:c r="AJ5" s="56" t="str">
        <x:f>IF(AJ6=0,"","RECHECK")</x:f>
      </x:c>
      <x:c r="AK5" s="56" t="str">
        <x:f>IF(AK6=0,"","RECHECK")</x:f>
      </x:c>
      <x:c r="AL5" s="56" t="str">
        <x:f>IF(AL6=0,"","RECHECK")</x:f>
      </x:c>
      <x:c r="AM5" s="56" t="str">
        <x:f>IF(AM6=0,"","RECHECK")</x:f>
      </x:c>
      <x:c r="AN5" s="56" t="str">
        <x:f>IF(AN6=0,"","RECHECK")</x:f>
      </x:c>
      <x:c r="AO5" s="56" t="str">
        <x:f>IF(AO6=0,"","RECHECK")</x:f>
      </x:c>
      <x:c r="AP5" s="56" t="str">
        <x:f>IF(AP6=0,"","RECHECK")</x:f>
      </x:c>
      <x:c r="AQ5" s="56" t="str">
        <x:f>IF(AQ6=0,"","RECHECK")</x:f>
      </x:c>
      <x:c r="AR5" s="56" t="str">
        <x:f>IF(AR6=0,"","RECHECK")</x:f>
      </x:c>
      <x:c r="AS5" s="56" t="str">
        <x:f>IF(AS6=0,"","RECHECK")</x:f>
      </x:c>
      <x:c r="AT5" s="56" t="str">
        <x:f>IF(AT6=0,"","RECHECK")</x:f>
      </x:c>
      <x:c r="AU5" s="56" t="str">
        <x:f>IF(AU6=0,"","RECHECK")</x:f>
      </x:c>
      <x:c r="AV5" s="56" t="str">
        <x:f>IF(AV6=0,"","RECHECK")</x:f>
      </x:c>
      <x:c r="AW5" s="56" t="str">
        <x:f>IF(AW6=0,"","RECHECK")</x:f>
      </x:c>
      <x:c r="AX5" s="56" t="str">
        <x:f>IF(AX6=0,"","RECHECK")</x:f>
      </x:c>
      <x:c r="AY5" s="56" t="str">
        <x:f>IF(AY6=0,"","RECHECK")</x:f>
      </x:c>
      <x:c r="AZ5" s="56" t="str">
        <x:f>IF(AZ6=0,"","RECHECK")</x:f>
      </x:c>
      <x:c r="BA5" s="56" t="str">
        <x:f>IF(BA6=0,"","RECHECK")</x:f>
      </x:c>
      <x:c r="BB5" s="56" t="str">
        <x:f>IF(BB6=0,"","RECHECK")</x:f>
      </x:c>
      <x:c r="BC5" s="56" t="str">
        <x:f>IF(BC6=0,"","RECHECK")</x:f>
      </x:c>
      <x:c r="BD5" s="56" t="str">
        <x:f>IF(BD6=0,"","RECHECK")</x:f>
      </x:c>
      <x:c r="BE5" s="56" t="str">
        <x:f>IF(BE6=0,"","RECHECK")</x:f>
      </x:c>
      <x:c r="BF5" s="56" t="str">
        <x:f>IF(BF6=0,"","RECHECK")</x:f>
      </x:c>
      <x:c r="BG5" s="56" t="str">
        <x:f>IF(BG6=0,"","RECHECK")</x:f>
      </x:c>
      <x:c r="BH5" s="56" t="str">
        <x:f>IF(BH6=0,"","RECHECK")</x:f>
      </x:c>
      <x:c r="BI5" s="56" t="str">
        <x:f>IF(BI6=0,"","RECHECK")</x:f>
      </x:c>
      <x:c r="BJ5" s="56" t="str">
        <x:f>IF(BJ6=0,"","RECHECK")</x:f>
      </x:c>
      <x:c r="BK5" s="56" t="str">
        <x:f>IF(BK6=0,"","RECHECK")</x:f>
      </x:c>
      <x:c r="BL5" s="56" t="str">
        <x:f>IF(BL6=0,"","RECHECK")</x:f>
      </x:c>
      <x:c r="BM5" s="56" t="str">
        <x:f>IF(BM6=0,"","RECHECK")</x:f>
      </x:c>
      <x:c r="BN5" s="56" t="str">
        <x:f>IF(BN6=0,"","RECHECK")</x:f>
      </x:c>
      <x:c r="BO5" s="56" t="str">
        <x:f>IF(BO6=0,"","RECHECK")</x:f>
      </x:c>
      <x:c r="BP5" s="56" t="str">
        <x:f>IF(BP6=0,"","RECHECK")</x:f>
      </x:c>
      <x:c r="BQ5" s="56" t="str">
        <x:f>IF(BQ6=0,"","RECHECK")</x:f>
      </x:c>
      <x:c r="BR5" s="56" t="str">
        <x:f>IF(BR6=0,"","RECHECK")</x:f>
      </x:c>
      <x:c r="BS5" s="56" t="str">
        <x:f>IF(BS6=0,"","RECHECK")</x:f>
      </x:c>
      <x:c r="BT5" s="56" t="str">
        <x:f>IF(BT6=0,"","RECHECK")</x:f>
      </x:c>
      <x:c r="BU5" s="56" t="str">
        <x:f>IF(BU6=0,"","RECHECK")</x:f>
      </x:c>
      <x:c r="BV5" s="56" t="str">
        <x:f>IF(BV6=0,"","RECHECK")</x:f>
      </x:c>
      <x:c r="BW5" s="56" t="str">
        <x:f>IF(BW6=0,"","RECHECK")</x:f>
      </x:c>
      <x:c r="BX5" s="56" t="str">
        <x:f>IF(BX6=0,"","RECHECK")</x:f>
      </x:c>
      <x:c r="BY5" s="56" t="str">
        <x:f>IF(BY6=0,"","RECHECK")</x:f>
      </x:c>
      <x:c r="BZ5" s="56" t="str">
        <x:f>IF(BZ6=0,"","RECHECK")</x:f>
      </x:c>
      <x:c r="CA5" s="56" t="str">
        <x:f>IF(CA6=0,"","RECHECK")</x:f>
      </x:c>
      <x:c r="CB5" s="56" t="str">
        <x:f>IF(CB6=0,"","RECHECK")</x:f>
      </x:c>
      <x:c r="CC5" s="56" t="str">
        <x:f>IF(CC6=0,"","RECHECK")</x:f>
      </x:c>
      <x:c r="CD5" s="56" t="str">
        <x:f>IF(CD6=0,"","RECHECK")</x:f>
      </x:c>
      <x:c r="CE5" s="56" t="str">
        <x:f>IF(CE6=0,"","RECHECK")</x:f>
      </x:c>
      <x:c r="CF5" s="56" t="str">
        <x:f>IF(CF6=0,"","RECHECK")</x:f>
      </x:c>
      <x:c r="CG5" s="56" t="str">
        <x:f>IF(CG6=0,"","RECHECK")</x:f>
      </x:c>
      <x:c r="CH5" s="56" t="str">
        <x:f>IF(CH6=0,"","RECHECK")</x:f>
      </x:c>
      <x:c r="CI5" s="56" t="str">
        <x:f>IF(CI6=0,"","RECHECK")</x:f>
      </x:c>
      <x:c r="CJ5" s="56" t="str">
        <x:f>IF(CJ6=0,"","RECHECK")</x:f>
      </x:c>
      <x:c r="CK5" s="56" t="str">
        <x:f>IF(CK6=0,"","RECHECK")</x:f>
      </x:c>
      <x:c r="CL5" s="56" t="str">
        <x:f>IF(CL6=0,"","RECHECK")</x:f>
      </x:c>
      <x:c r="CM5" s="56" t="str">
        <x:f>IF(CM6=0,"","RECHECK")</x:f>
      </x:c>
      <x:c r="CN5" s="56" t="str">
        <x:f>IF(CN6=0,"","RECHECK")</x:f>
      </x:c>
      <x:c r="CO5" s="56" t="str">
        <x:f>IF(CO6=0,"","RECHECK")</x:f>
      </x:c>
      <x:c r="CP5" s="56" t="str">
        <x:f>IF(CP6=0,"","RECHECK")</x:f>
      </x:c>
      <x:c r="CQ5" s="56" t="str">
        <x:f>IF(CQ6=0,"","RECHECK")</x:f>
      </x:c>
      <x:c r="CR5" s="56" t="str">
        <x:f>IF(CR6=0,"","RECHECK")</x:f>
      </x:c>
      <x:c r="CS5" s="56" t="str">
        <x:f>IF(CS6=0,"","RECHECK")</x:f>
      </x:c>
      <x:c r="CT5" s="56" t="str">
        <x:f>IF(CT6=0,"","RECHECK")</x:f>
      </x:c>
      <x:c r="CU5" s="56" t="str">
        <x:f>IF(CU6=0,"","RECHECK")</x:f>
      </x:c>
      <x:c r="CV5" s="56" t="str">
        <x:f>IF(CV6=0,"","RECHECK")</x:f>
      </x:c>
      <x:c r="CW5" s="56" t="str">
        <x:f>IF(CW6=0,"","RECHECK")</x:f>
      </x:c>
      <x:c r="CX5" s="56" t="str">
        <x:f>IF(CX6=0,"","RECHECK")</x:f>
      </x:c>
      <x:c r="CY5" s="56" t="str">
        <x:f>IF(CY6=0,"","RECHECK")</x:f>
      </x:c>
      <x:c r="CZ5" s="56" t="str">
        <x:f>IF(CZ6=0,"","RECHECK")</x:f>
      </x:c>
      <x:c r="DA5" s="56" t="str">
        <x:f>IF(DA6=0,"","RECHECK")</x:f>
      </x:c>
      <x:c r="DB5" s="56" t="str">
        <x:f>IF(DB6=0,"","RECHECK")</x:f>
      </x:c>
      <x:c r="DC5" s="56" t="str">
        <x:f>IF(DC6=0,"","RECHECK")</x:f>
      </x:c>
      <x:c r="DD5" s="56" t="str">
        <x:f>IF(DD6=0,"","RECHECK")</x:f>
      </x:c>
      <x:c r="DE5" s="56" t="str">
        <x:f>IF(DE6=0,"","RECHECK")</x:f>
      </x:c>
      <x:c r="DF5" s="56" t="str">
        <x:f>IF(DF6=0,"","RECHECK")</x:f>
      </x:c>
      <x:c r="DG5" s="56" t="str">
        <x:f>IF(DG6=0,"","RECHECK")</x:f>
      </x:c>
      <x:c r="DH5" s="56" t="str">
        <x:f>IF(DH6=0,"","RECHECK")</x:f>
      </x:c>
      <x:c r="DI5" s="56" t="str">
        <x:f>IF(DI6=0,"","RECHECK")</x:f>
      </x:c>
      <x:c r="DJ5" s="56" t="str">
        <x:f>IF(DJ6=0,"","RECHECK")</x:f>
      </x:c>
      <x:c r="DK5" s="56" t="str">
        <x:f>IF(DK6=0,"","RECHECK")</x:f>
      </x:c>
      <x:c r="DL5" s="56" t="str">
        <x:f>IF(DL6=0,"","RECHECK")</x:f>
      </x:c>
      <x:c r="DM5" s="56" t="str">
        <x:f>IF(DM6=0,"","RECHECK")</x:f>
      </x:c>
      <x:c r="DN5" s="56" t="str">
        <x:f>IF(DN6=0,"","RECHECK")</x:f>
      </x:c>
      <x:c r="DO5" s="56" t="str">
        <x:f>IF(DO6=0,"","RECHECK")</x:f>
      </x:c>
      <x:c r="DP5" s="56" t="str">
        <x:f>IF(DP6=0,"","RECHECK")</x:f>
      </x:c>
      <x:c r="DQ5" s="56" t="str">
        <x:f>IF(DQ6=0,"","RECHECK")</x:f>
      </x:c>
      <x:c r="DR5" s="56" t="str">
        <x:f>IF(DR6=0,"","RECHECK")</x:f>
      </x:c>
      <x:c r="DS5" s="56" t="str">
        <x:f>IF(DS6=0,"","RECHECK")</x:f>
      </x:c>
      <x:c r="DT5" s="56" t="str">
        <x:f>IF(DT6=0,"","RECHECK")</x:f>
      </x:c>
      <x:c r="DU5" s="56" t="str">
        <x:f>IF(DU6=0,"","RECHECK")</x:f>
      </x:c>
      <x:c r="DV5" s="56" t="str">
        <x:f>IF(DV6=0,"","RECHECK")</x:f>
      </x:c>
      <x:c r="DW5" s="56" t="str">
        <x:f>IF(DW6=0,"","RECHECK")</x:f>
      </x:c>
      <x:c r="DX5" s="56" t="str">
        <x:f>IF(DX6=0,"","RECHECK")</x:f>
      </x:c>
      <x:c r="DY5" s="56" t="str">
        <x:f>IF(DY6=0,"","RECHECK")</x:f>
      </x:c>
      <x:c r="DZ5" s="56" t="str">
        <x:f>IF(DZ6=0,"","RECHECK")</x:f>
      </x:c>
      <x:c r="EA5" s="56" t="str">
        <x:f>IF(EA6=0,"","RECHECK")</x:f>
      </x:c>
      <x:c r="EB5" s="56" t="str">
        <x:f>IF(EB6=0,"","RECHECK")</x:f>
      </x:c>
      <x:c r="EC5" s="56" t="str">
        <x:f>IF(EC6=0,"","RECHECK")</x:f>
      </x:c>
      <x:c r="ED5" s="56" t="str">
        <x:f>IF(ED6=0,"","RECHECK")</x:f>
      </x:c>
      <x:c r="EE5" s="56" t="str">
        <x:f>IF(EE6=0,"","RECHECK")</x:f>
      </x:c>
      <x:c r="EF5" s="56" t="str">
        <x:f>IF(EF6=0,"","RECHECK")</x:f>
      </x:c>
      <x:c r="EG5" s="56" t="str">
        <x:f>IF(EG6=0,"","RECHECK")</x:f>
      </x:c>
      <x:c r="EH5" s="56" t="str">
        <x:f>IF(EH6=0,"","RECHECK")</x:f>
      </x:c>
      <x:c r="EI5" s="56" t="str">
        <x:f>IF(EI6=0,"","RECHECK")</x:f>
      </x:c>
      <x:c r="EJ5" s="56" t="str">
        <x:f>IF(EJ6=0,"","RECHECK")</x:f>
      </x:c>
      <x:c r="EK5" s="56" t="str">
        <x:f>IF(EK6=0,"","RECHECK")</x:f>
      </x:c>
      <x:c r="EL5" s="56" t="str">
        <x:f>IF(EL6=0,"","RECHECK")</x:f>
      </x:c>
      <x:c r="EM5" s="56" t="str">
        <x:f>IF(EM6=0,"","RECHECK")</x:f>
      </x:c>
      <x:c r="EN5" s="56" t="str">
        <x:f>IF(EN6=0,"","RECHECK")</x:f>
      </x:c>
      <x:c r="EO5" s="56" t="str">
        <x:f>IF(EO6=0,"","RECHECK")</x:f>
      </x:c>
      <x:c r="EP5" s="56" t="str">
        <x:f>IF(EP6=0,"","RECHECK")</x:f>
      </x:c>
      <x:c r="EQ5" s="56" t="str">
        <x:f>IF(EQ6=0,"","RECHECK")</x:f>
      </x:c>
      <x:c r="ER5" s="56" t="str">
        <x:f>IF(ER6=0,"","RECHECK")</x:f>
      </x:c>
      <x:c r="ES5" s="56" t="str">
        <x:f>IF(ES6=0,"","RECHECK")</x:f>
      </x:c>
      <x:c r="ET5" s="56" t="str">
        <x:f>IF(ET6=0,"","RECHECK")</x:f>
      </x:c>
      <x:c r="EU5" s="56" t="str">
        <x:f>IF(EU6=0,"","RECHECK")</x:f>
      </x:c>
      <x:c r="EV5" s="56" t="str">
        <x:f>IF(EV6=0,"","RECHECK")</x:f>
      </x:c>
      <x:c r="EW5" s="56" t="str">
        <x:f>IF(EW6=0,"","RECHECK")</x:f>
      </x:c>
      <x:c r="EX5" s="56" t="str">
        <x:f>IF(EX6=0,"","RECHECK")</x:f>
      </x:c>
      <x:c r="EY5" s="56" t="str">
        <x:f>IF(EY6=0,"","RECHECK")</x:f>
      </x:c>
      <x:c r="EZ5" s="56" t="str">
        <x:f>IF(EZ6=0,"","RECHECK")</x:f>
      </x:c>
      <x:c r="FA5" s="56" t="str">
        <x:f>IF(FA6=0,"","RECHECK")</x:f>
      </x:c>
      <x:c r="FB5" s="56" t="str">
        <x:f>IF(FB6=0,"","RECHECK")</x:f>
      </x:c>
      <x:c r="FC5" s="56" t="str">
        <x:f>IF(FC6=0,"","RECHECK")</x:f>
      </x:c>
      <x:c r="FD5" s="56" t="str">
        <x:f>IF(FD6=0,"","RECHECK")</x:f>
      </x:c>
      <x:c r="FE5" s="56" t="str">
        <x:f>IF(FE6=0,"","RECHECK")</x:f>
      </x:c>
      <x:c r="FF5" s="56" t="str">
        <x:f>IF(FF6=0,"","RECHECK")</x:f>
      </x:c>
      <x:c r="FG5" s="56" t="str">
        <x:f>IF(FG6=0,"","RECHECK")</x:f>
      </x:c>
      <x:c r="FH5" s="56" t="str">
        <x:f>IF(FH6=0,"","RECHECK")</x:f>
      </x:c>
      <x:c r="FI5" s="56" t="str">
        <x:f>IF(FI6=0,"","RECHECK")</x:f>
      </x:c>
      <x:c r="FJ5" s="56" t="str">
        <x:f>IF(FJ6=0,"","RECHECK")</x:f>
      </x:c>
      <x:c r="FK5" s="56" t="str">
        <x:f>IF(FK6=0,"","RECHECK")</x:f>
      </x:c>
      <x:c r="FL5" s="56" t="str">
        <x:f>IF(FL6=0,"","RECHECK")</x:f>
      </x:c>
      <x:c r="FM5" s="56" t="str">
        <x:f>IF(FM6=0,"","RECHECK")</x:f>
      </x:c>
      <x:c r="FN5" s="56" t="str">
        <x:f>IF(FN6=0,"","RECHECK")</x:f>
      </x:c>
      <x:c r="FO5" s="56" t="str">
        <x:f>IF(FO6=0,"","RECHECK")</x:f>
      </x:c>
      <x:c r="FP5" s="56" t="str">
        <x:f>IF(FP6=0,"","RECHECK")</x:f>
      </x:c>
      <x:c r="FQ5" s="56" t="str">
        <x:f>IF(FQ6=0,"","RECHECK")</x:f>
      </x:c>
    </x:row>
    <x:row r="6" s="53" customFormat="1" ht="14.25" customHeight="1">
      <x:c r="A6" s="54" t="n"/>
      <x:c r="B6" s="593" t="n"/>
      <x:c r="C6" s="634" t="n"/>
      <x:c r="D6" s="634" t="n"/>
      <x:c r="E6" s="634" t="n"/>
      <x:c r="F6" s="635" t="n"/>
      <x:c r="G6" s="636" t="n">
        <x:f>SUBTOTAL(9,G9:G143)</x:f>
        <x:v>0</x:v>
      </x:c>
      <x:c r="H6" s="637" t="n">
        <x:f>SUBTOTAL(9,H9:H143)</x:f>
        <x:v>0</x:v>
      </x:c>
      <x:c r="I6" s="637" t="n">
        <x:f>SUBTOTAL(9,I9:I143)</x:f>
        <x:v>0</x:v>
      </x:c>
      <x:c r="J6" s="637" t="n">
        <x:f>SUBTOTAL(9,J9:J143)</x:f>
        <x:v>0</x:v>
      </x:c>
      <x:c r="K6" s="637" t="n">
        <x:f>SUBTOTAL(9,K9:K143)</x:f>
        <x:v>0</x:v>
      </x:c>
      <x:c r="L6" s="637" t="n">
        <x:f>SUBTOTAL(9,L9:L143)</x:f>
        <x:v>0</x:v>
      </x:c>
      <x:c r="M6" s="637" t="n">
        <x:f>SUBTOTAL(9,M9:M143)</x:f>
        <x:v>0</x:v>
      </x:c>
      <x:c r="N6" s="637" t="n">
        <x:f>SUBTOTAL(9,N9:N143)</x:f>
        <x:v>0</x:v>
      </x:c>
      <x:c r="O6" s="637" t="n">
        <x:f>SUBTOTAL(9,O9:O143)</x:f>
        <x:v>0</x:v>
      </x:c>
      <x:c r="P6" s="637" t="n">
        <x:f>SUBTOTAL(9,P9:P143)</x:f>
        <x:v>0</x:v>
      </x:c>
      <x:c r="Q6" s="637" t="n">
        <x:f>SUBTOTAL(9,Q9:Q143)</x:f>
        <x:v>0</x:v>
      </x:c>
      <x:c r="R6" s="637" t="n">
        <x:f>SUBTOTAL(9,R9:R143)</x:f>
        <x:v>0</x:v>
      </x:c>
      <x:c r="S6" s="637" t="n">
        <x:f>SUBTOTAL(9,S9:S143)</x:f>
        <x:v>0</x:v>
      </x:c>
      <x:c r="T6" s="637" t="n">
        <x:f>SUBTOTAL(9,T9:T143)</x:f>
        <x:v>0</x:v>
      </x:c>
      <x:c r="U6" s="637" t="n">
        <x:f>SUBTOTAL(9,U9:U143)</x:f>
        <x:v>0</x:v>
      </x:c>
      <x:c r="V6" s="637" t="n">
        <x:f>SUBTOTAL(9,V9:V143)</x:f>
        <x:v>0</x:v>
      </x:c>
      <x:c r="W6" s="637" t="n">
        <x:f>SUBTOTAL(9,W9:W143)</x:f>
        <x:v>0</x:v>
      </x:c>
      <x:c r="X6" s="637" t="n">
        <x:f>SUBTOTAL(9,X9:X143)</x:f>
        <x:v>0</x:v>
      </x:c>
      <x:c r="Y6" s="637" t="n">
        <x:f>SUBTOTAL(9,Y9:Y143)</x:f>
        <x:v>0</x:v>
      </x:c>
      <x:c r="Z6" s="637" t="n">
        <x:f>SUBTOTAL(9,Z9:Z143)</x:f>
        <x:v>0</x:v>
      </x:c>
      <x:c r="AA6" s="637" t="n">
        <x:f>SUBTOTAL(9,AA9:AA143)</x:f>
        <x:v>0</x:v>
      </x:c>
      <x:c r="AB6" s="637" t="n">
        <x:f>SUBTOTAL(9,AB9:AB143)</x:f>
        <x:v>0</x:v>
      </x:c>
      <x:c r="AC6" s="637" t="n">
        <x:f>SUBTOTAL(9,AC9:AC143)</x:f>
        <x:v>0</x:v>
      </x:c>
      <x:c r="AD6" s="637" t="n">
        <x:f>SUBTOTAL(9,AD9:AD143)</x:f>
        <x:v>0</x:v>
      </x:c>
      <x:c r="AE6" s="637" t="n">
        <x:f>SUBTOTAL(9,AE9:AE143)</x:f>
        <x:v>0</x:v>
      </x:c>
      <x:c r="AF6" s="637" t="n">
        <x:f>SUBTOTAL(9,AF9:AF143)</x:f>
        <x:v>0</x:v>
      </x:c>
      <x:c r="AG6" s="637" t="n">
        <x:f>SUBTOTAL(9,AG9:AG143)</x:f>
        <x:v>0</x:v>
      </x:c>
      <x:c r="AH6" s="637" t="n">
        <x:f>SUBTOTAL(9,AH9:AH143)</x:f>
        <x:v>0</x:v>
      </x:c>
      <x:c r="AI6" s="637" t="n">
        <x:f>SUBTOTAL(9,AI9:AI143)</x:f>
        <x:v>0</x:v>
      </x:c>
      <x:c r="AJ6" s="637" t="n">
        <x:f>SUBTOTAL(9,AJ9:AJ143)</x:f>
        <x:v>0</x:v>
      </x:c>
      <x:c r="AK6" s="637" t="n">
        <x:f>SUBTOTAL(9,AK9:AK143)</x:f>
        <x:v>0</x:v>
      </x:c>
      <x:c r="AL6" s="637" t="n">
        <x:f>SUBTOTAL(9,AL9:AL143)</x:f>
        <x:v>0</x:v>
      </x:c>
      <x:c r="AM6" s="637" t="n">
        <x:f>SUBTOTAL(9,AM9:AM143)</x:f>
        <x:v>0</x:v>
      </x:c>
      <x:c r="AN6" s="637" t="n">
        <x:f>SUBTOTAL(9,AN9:AN143)</x:f>
        <x:v>0</x:v>
      </x:c>
      <x:c r="AO6" s="637" t="n">
        <x:f>SUBTOTAL(9,AO9:AO143)</x:f>
        <x:v>0</x:v>
      </x:c>
      <x:c r="AP6" s="637" t="n">
        <x:f>SUBTOTAL(9,AP9:AP143)</x:f>
        <x:v>0</x:v>
      </x:c>
      <x:c r="AQ6" s="637" t="n">
        <x:f>SUBTOTAL(9,AQ9:AQ143)</x:f>
        <x:v>0</x:v>
      </x:c>
      <x:c r="AR6" s="637" t="n">
        <x:f>SUBTOTAL(9,AR9:AR143)</x:f>
        <x:v>0</x:v>
      </x:c>
      <x:c r="AS6" s="637" t="n">
        <x:f>SUBTOTAL(9,AS9:AS143)</x:f>
        <x:v>0</x:v>
      </x:c>
      <x:c r="AT6" s="637" t="n">
        <x:f>SUBTOTAL(9,AT9:AT143)</x:f>
        <x:v>0</x:v>
      </x:c>
      <x:c r="AU6" s="637" t="n">
        <x:f>SUBTOTAL(9,AU9:AU143)</x:f>
        <x:v>0</x:v>
      </x:c>
      <x:c r="AV6" s="637" t="n">
        <x:f>SUBTOTAL(9,AV9:AV143)</x:f>
        <x:v>0</x:v>
      </x:c>
      <x:c r="AW6" s="637" t="n">
        <x:f>SUBTOTAL(9,AW9:AW143)</x:f>
        <x:v>0</x:v>
      </x:c>
      <x:c r="AX6" s="637" t="n">
        <x:f>SUBTOTAL(9,AX9:AX143)</x:f>
        <x:v>0</x:v>
      </x:c>
      <x:c r="AY6" s="637" t="n">
        <x:f>SUBTOTAL(9,AY9:AY143)</x:f>
        <x:v>0</x:v>
      </x:c>
      <x:c r="AZ6" s="637" t="n">
        <x:f>SUBTOTAL(9,AZ9:AZ143)</x:f>
        <x:v>0</x:v>
      </x:c>
      <x:c r="BA6" s="637" t="n">
        <x:f>SUBTOTAL(9,BA9:BA143)</x:f>
        <x:v>0</x:v>
      </x:c>
      <x:c r="BB6" s="637" t="n">
        <x:f>SUBTOTAL(9,BB9:BB143)</x:f>
        <x:v>0</x:v>
      </x:c>
      <x:c r="BC6" s="637" t="n">
        <x:f>SUBTOTAL(9,BC9:BC143)</x:f>
        <x:v>0</x:v>
      </x:c>
      <x:c r="BD6" s="637" t="n">
        <x:f>SUBTOTAL(9,BD9:BD143)</x:f>
        <x:v>0</x:v>
      </x:c>
      <x:c r="BE6" s="637" t="n">
        <x:f>SUBTOTAL(9,BE9:BE143)</x:f>
        <x:v>0</x:v>
      </x:c>
      <x:c r="BF6" s="637" t="n">
        <x:f>SUBTOTAL(9,BF9:BF143)</x:f>
        <x:v>0</x:v>
      </x:c>
      <x:c r="BG6" s="637" t="n">
        <x:f>SUBTOTAL(9,BG9:BG143)</x:f>
        <x:v>0</x:v>
      </x:c>
      <x:c r="BH6" s="637" t="n">
        <x:f>SUBTOTAL(9,BH9:BH143)</x:f>
        <x:v>0</x:v>
      </x:c>
      <x:c r="BI6" s="637" t="n">
        <x:f>SUBTOTAL(9,BI9:BI143)</x:f>
        <x:v>0</x:v>
      </x:c>
      <x:c r="BJ6" s="637" t="n">
        <x:f>SUBTOTAL(9,BJ9:BJ143)</x:f>
        <x:v>0</x:v>
      </x:c>
      <x:c r="BK6" s="637" t="n">
        <x:f>SUBTOTAL(9,BK9:BK143)</x:f>
        <x:v>0</x:v>
      </x:c>
      <x:c r="BL6" s="637" t="n">
        <x:f>SUBTOTAL(9,BL9:BL143)</x:f>
        <x:v>0</x:v>
      </x:c>
      <x:c r="BM6" s="637" t="n">
        <x:f>SUBTOTAL(9,BM9:BM143)</x:f>
        <x:v>0</x:v>
      </x:c>
      <x:c r="BN6" s="637" t="n">
        <x:f>SUBTOTAL(9,BN9:BN143)</x:f>
        <x:v>0</x:v>
      </x:c>
      <x:c r="BO6" s="637" t="n">
        <x:f>SUBTOTAL(9,BO9:BO143)</x:f>
        <x:v>0</x:v>
      </x:c>
      <x:c r="BP6" s="637" t="n">
        <x:f>SUBTOTAL(9,BP9:BP143)</x:f>
        <x:v>0</x:v>
      </x:c>
      <x:c r="BQ6" s="637" t="n">
        <x:f>SUBTOTAL(9,BQ9:BQ143)</x:f>
        <x:v>0</x:v>
      </x:c>
      <x:c r="BR6" s="637" t="n">
        <x:f>SUBTOTAL(9,BR9:BR143)</x:f>
        <x:v>0</x:v>
      </x:c>
      <x:c r="BS6" s="637" t="n">
        <x:f>SUBTOTAL(9,BS9:BS143)</x:f>
        <x:v>0</x:v>
      </x:c>
      <x:c r="BT6" s="637" t="n">
        <x:f>SUBTOTAL(9,BT9:BT143)</x:f>
        <x:v>0</x:v>
      </x:c>
      <x:c r="BU6" s="637" t="n">
        <x:f>SUBTOTAL(9,BU9:BU143)</x:f>
        <x:v>0</x:v>
      </x:c>
      <x:c r="BV6" s="637" t="n">
        <x:f>SUBTOTAL(9,BV9:BV143)</x:f>
        <x:v>0</x:v>
      </x:c>
      <x:c r="BW6" s="637" t="n">
        <x:f>SUBTOTAL(9,BW9:BW143)</x:f>
        <x:v>0</x:v>
      </x:c>
      <x:c r="BX6" s="637" t="n">
        <x:f>SUBTOTAL(9,BX9:BX143)</x:f>
        <x:v>0</x:v>
      </x:c>
      <x:c r="BY6" s="637" t="n">
        <x:f>SUBTOTAL(9,BY9:BY143)</x:f>
        <x:v>0</x:v>
      </x:c>
      <x:c r="BZ6" s="637" t="n">
        <x:f>SUBTOTAL(9,BZ9:BZ143)</x:f>
        <x:v>0</x:v>
      </x:c>
      <x:c r="CA6" s="637" t="n">
        <x:f>SUBTOTAL(9,CA9:CA143)</x:f>
        <x:v>0</x:v>
      </x:c>
      <x:c r="CB6" s="637" t="n">
        <x:f>SUBTOTAL(9,CB9:CB143)</x:f>
        <x:v>0</x:v>
      </x:c>
      <x:c r="CC6" s="637" t="n">
        <x:f>SUBTOTAL(9,CC9:CC143)</x:f>
        <x:v>0</x:v>
      </x:c>
      <x:c r="CD6" s="637" t="n">
        <x:f>SUBTOTAL(9,CD9:CD143)</x:f>
        <x:v>0</x:v>
      </x:c>
      <x:c r="CE6" s="637" t="n">
        <x:f>SUBTOTAL(9,CE9:CE143)</x:f>
        <x:v>0</x:v>
      </x:c>
      <x:c r="CF6" s="637" t="n">
        <x:f>SUBTOTAL(9,CF9:CF143)</x:f>
        <x:v>0</x:v>
      </x:c>
      <x:c r="CG6" s="637" t="n">
        <x:f>SUBTOTAL(9,CG9:CG143)</x:f>
        <x:v>0</x:v>
      </x:c>
      <x:c r="CH6" s="637" t="n">
        <x:f>SUBTOTAL(9,CH9:CH143)</x:f>
        <x:v>0</x:v>
      </x:c>
      <x:c r="CI6" s="637" t="n">
        <x:f>SUBTOTAL(9,CI9:CI143)</x:f>
        <x:v>0</x:v>
      </x:c>
      <x:c r="CJ6" s="637" t="n">
        <x:f>SUBTOTAL(9,CJ9:CJ143)</x:f>
        <x:v>0</x:v>
      </x:c>
      <x:c r="CK6" s="637" t="n">
        <x:f>SUBTOTAL(9,CK9:CK143)</x:f>
        <x:v>0</x:v>
      </x:c>
      <x:c r="CL6" s="637" t="n">
        <x:f>SUBTOTAL(9,CL9:CL143)</x:f>
        <x:v>0</x:v>
      </x:c>
      <x:c r="CM6" s="637" t="n">
        <x:f>SUBTOTAL(9,CM9:CM143)</x:f>
        <x:v>0</x:v>
      </x:c>
      <x:c r="CN6" s="637" t="n">
        <x:f>SUBTOTAL(9,CN9:CN143)</x:f>
        <x:v>0</x:v>
      </x:c>
      <x:c r="CO6" s="637" t="n">
        <x:f>SUBTOTAL(9,CO9:CO143)</x:f>
        <x:v>0</x:v>
      </x:c>
      <x:c r="CP6" s="637" t="n">
        <x:f>SUBTOTAL(9,CP9:CP143)</x:f>
        <x:v>0</x:v>
      </x:c>
      <x:c r="CQ6" s="637" t="n">
        <x:f>SUBTOTAL(9,CQ9:CQ143)</x:f>
        <x:v>0</x:v>
      </x:c>
      <x:c r="CR6" s="637" t="n">
        <x:f>SUBTOTAL(9,CR9:CR143)</x:f>
        <x:v>0</x:v>
      </x:c>
      <x:c r="CS6" s="637" t="n">
        <x:f>SUBTOTAL(9,CS9:CS143)</x:f>
        <x:v>0</x:v>
      </x:c>
      <x:c r="CT6" s="637" t="n">
        <x:f>SUBTOTAL(9,CT9:CT143)</x:f>
        <x:v>0</x:v>
      </x:c>
      <x:c r="CU6" s="637" t="n">
        <x:f>SUBTOTAL(9,CU9:CU143)</x:f>
        <x:v>0</x:v>
      </x:c>
      <x:c r="CV6" s="637" t="n">
        <x:f>SUBTOTAL(9,CV9:CV143)</x:f>
        <x:v>0</x:v>
      </x:c>
      <x:c r="CW6" s="637" t="n">
        <x:f>SUBTOTAL(9,CW9:CW143)</x:f>
        <x:v>0</x:v>
      </x:c>
      <x:c r="CX6" s="637" t="n">
        <x:f>SUBTOTAL(9,CX9:CX143)</x:f>
        <x:v>0</x:v>
      </x:c>
      <x:c r="CY6" s="637" t="n">
        <x:f>SUBTOTAL(9,CY9:CY143)</x:f>
        <x:v>0</x:v>
      </x:c>
      <x:c r="CZ6" s="637" t="n">
        <x:f>SUBTOTAL(9,CZ9:CZ143)</x:f>
        <x:v>0</x:v>
      </x:c>
      <x:c r="DA6" s="637" t="n">
        <x:f>SUBTOTAL(9,DA9:DA143)</x:f>
        <x:v>0</x:v>
      </x:c>
      <x:c r="DB6" s="637" t="n">
        <x:f>SUBTOTAL(9,DB9:DB143)</x:f>
        <x:v>0</x:v>
      </x:c>
      <x:c r="DC6" s="637" t="n">
        <x:f>SUBTOTAL(9,DC9:DC143)</x:f>
        <x:v>0</x:v>
      </x:c>
      <x:c r="DD6" s="637" t="n">
        <x:f>SUBTOTAL(9,DD9:DD143)</x:f>
        <x:v>0</x:v>
      </x:c>
      <x:c r="DE6" s="637" t="n">
        <x:f>SUBTOTAL(9,DE9:DE143)</x:f>
        <x:v>0</x:v>
      </x:c>
      <x:c r="DF6" s="637" t="n">
        <x:f>SUBTOTAL(9,DF9:DF143)</x:f>
        <x:v>0</x:v>
      </x:c>
      <x:c r="DG6" s="637" t="n">
        <x:f>SUBTOTAL(9,DG9:DG143)</x:f>
        <x:v>0</x:v>
      </x:c>
      <x:c r="DH6" s="637" t="n">
        <x:f>SUBTOTAL(9,DH9:DH143)</x:f>
        <x:v>0</x:v>
      </x:c>
      <x:c r="DI6" s="637" t="n">
        <x:f>SUBTOTAL(9,DI9:DI143)</x:f>
        <x:v>0</x:v>
      </x:c>
      <x:c r="DJ6" s="637" t="n">
        <x:f>SUBTOTAL(9,DJ9:DJ143)</x:f>
        <x:v>0</x:v>
      </x:c>
      <x:c r="DK6" s="637" t="n">
        <x:f>SUBTOTAL(9,DK9:DK143)</x:f>
        <x:v>0</x:v>
      </x:c>
      <x:c r="DL6" s="637" t="n">
        <x:f>SUBTOTAL(9,DL9:DL143)</x:f>
        <x:v>0</x:v>
      </x:c>
      <x:c r="DM6" s="637" t="n">
        <x:f>SUBTOTAL(9,DM9:DM143)</x:f>
        <x:v>0</x:v>
      </x:c>
      <x:c r="DN6" s="637" t="n">
        <x:f>SUBTOTAL(9,DN9:DN143)</x:f>
        <x:v>0</x:v>
      </x:c>
      <x:c r="DO6" s="637" t="n">
        <x:f>SUBTOTAL(9,DO9:DO143)</x:f>
        <x:v>0</x:v>
      </x:c>
      <x:c r="DP6" s="637" t="n">
        <x:f>SUBTOTAL(9,DP9:DP143)</x:f>
        <x:v>0</x:v>
      </x:c>
      <x:c r="DQ6" s="637" t="n">
        <x:f>SUBTOTAL(9,DQ9:DQ143)</x:f>
        <x:v>0</x:v>
      </x:c>
      <x:c r="DR6" s="637" t="n">
        <x:f>SUBTOTAL(9,DR9:DR143)</x:f>
        <x:v>0</x:v>
      </x:c>
      <x:c r="DS6" s="637" t="n">
        <x:f>SUBTOTAL(9,DS9:DS143)</x:f>
        <x:v>0</x:v>
      </x:c>
      <x:c r="DT6" s="637" t="n">
        <x:f>SUBTOTAL(9,DT9:DT143)</x:f>
        <x:v>0</x:v>
      </x:c>
      <x:c r="DU6" s="637" t="n">
        <x:f>SUBTOTAL(9,DU9:DU143)</x:f>
        <x:v>0</x:v>
      </x:c>
      <x:c r="DV6" s="637" t="n">
        <x:f>SUBTOTAL(9,DV9:DV143)</x:f>
        <x:v>0</x:v>
      </x:c>
      <x:c r="DW6" s="637" t="n">
        <x:f>SUBTOTAL(9,DW9:DW143)</x:f>
        <x:v>0</x:v>
      </x:c>
      <x:c r="DX6" s="637" t="n">
        <x:f>SUBTOTAL(9,DX9:DX143)</x:f>
        <x:v>0</x:v>
      </x:c>
      <x:c r="DY6" s="637" t="n">
        <x:f>SUBTOTAL(9,DY9:DY143)</x:f>
        <x:v>0</x:v>
      </x:c>
      <x:c r="DZ6" s="637" t="n">
        <x:f>SUBTOTAL(9,DZ9:DZ143)</x:f>
        <x:v>0</x:v>
      </x:c>
      <x:c r="EA6" s="637" t="n">
        <x:f>SUBTOTAL(9,EA9:EA143)</x:f>
        <x:v>0</x:v>
      </x:c>
      <x:c r="EB6" s="637" t="n">
        <x:f>SUBTOTAL(9,EB9:EB143)</x:f>
        <x:v>0</x:v>
      </x:c>
      <x:c r="EC6" s="637" t="n">
        <x:f>SUBTOTAL(9,EC9:EC143)</x:f>
        <x:v>0</x:v>
      </x:c>
      <x:c r="ED6" s="637" t="n">
        <x:f>SUBTOTAL(9,ED9:ED143)</x:f>
        <x:v>0</x:v>
      </x:c>
      <x:c r="EE6" s="637" t="n">
        <x:f>SUBTOTAL(9,EE9:EE143)</x:f>
        <x:v>0</x:v>
      </x:c>
      <x:c r="EF6" s="637" t="n">
        <x:f>SUBTOTAL(9,EF9:EF143)</x:f>
        <x:v>0</x:v>
      </x:c>
      <x:c r="EG6" s="637" t="n">
        <x:f>SUBTOTAL(9,EG9:EG143)</x:f>
        <x:v>0</x:v>
      </x:c>
      <x:c r="EH6" s="637" t="n">
        <x:f>SUBTOTAL(9,EH9:EH143)</x:f>
        <x:v>0</x:v>
      </x:c>
      <x:c r="EI6" s="637" t="n">
        <x:f>SUBTOTAL(9,EI9:EI143)</x:f>
        <x:v>0</x:v>
      </x:c>
      <x:c r="EJ6" s="637" t="n">
        <x:f>SUBTOTAL(9,EJ9:EJ143)</x:f>
        <x:v>0</x:v>
      </x:c>
      <x:c r="EK6" s="637" t="n">
        <x:f>SUBTOTAL(9,EK9:EK143)</x:f>
        <x:v>0</x:v>
      </x:c>
      <x:c r="EL6" s="637" t="n">
        <x:f>SUBTOTAL(9,EL9:EL143)</x:f>
        <x:v>0</x:v>
      </x:c>
      <x:c r="EM6" s="637" t="n">
        <x:f>SUBTOTAL(9,EM9:EM143)</x:f>
        <x:v>0</x:v>
      </x:c>
      <x:c r="EN6" s="637" t="n">
        <x:f>SUBTOTAL(9,EN9:EN143)</x:f>
        <x:v>0</x:v>
      </x:c>
      <x:c r="EO6" s="637" t="n">
        <x:f>SUBTOTAL(9,EO9:EO143)</x:f>
        <x:v>0</x:v>
      </x:c>
      <x:c r="EP6" s="637" t="n">
        <x:f>SUBTOTAL(9,EP9:EP143)</x:f>
        <x:v>0</x:v>
      </x:c>
      <x:c r="EQ6" s="637" t="n">
        <x:f>SUBTOTAL(9,EQ9:EQ143)</x:f>
        <x:v>0</x:v>
      </x:c>
      <x:c r="ER6" s="637" t="n">
        <x:f>SUBTOTAL(9,ER9:ER143)</x:f>
        <x:v>0</x:v>
      </x:c>
      <x:c r="ES6" s="637" t="n">
        <x:f>SUBTOTAL(9,ES9:ES143)</x:f>
        <x:v>0</x:v>
      </x:c>
      <x:c r="ET6" s="637" t="n">
        <x:f>SUBTOTAL(9,ET9:ET143)</x:f>
        <x:v>0</x:v>
      </x:c>
      <x:c r="EU6" s="637" t="n">
        <x:f>SUBTOTAL(9,EU9:EU143)</x:f>
        <x:v>0</x:v>
      </x:c>
      <x:c r="EV6" s="637" t="n">
        <x:f>SUBTOTAL(9,EV9:EV143)</x:f>
        <x:v>0</x:v>
      </x:c>
      <x:c r="EW6" s="637" t="n">
        <x:f>SUBTOTAL(9,EW9:EW143)</x:f>
        <x:v>0</x:v>
      </x:c>
      <x:c r="EX6" s="637" t="n">
        <x:f>SUBTOTAL(9,EX9:EX143)</x:f>
        <x:v>0</x:v>
      </x:c>
      <x:c r="EY6" s="637" t="n">
        <x:f>SUBTOTAL(9,EY9:EY143)</x:f>
        <x:v>0</x:v>
      </x:c>
      <x:c r="EZ6" s="637" t="n">
        <x:f>SUBTOTAL(9,EZ9:EZ143)</x:f>
        <x:v>0</x:v>
      </x:c>
      <x:c r="FA6" s="637" t="n">
        <x:f>SUBTOTAL(9,FA9:FA143)</x:f>
        <x:v>0</x:v>
      </x:c>
      <x:c r="FB6" s="637" t="n">
        <x:f>SUBTOTAL(9,FB9:FB143)</x:f>
        <x:v>0</x:v>
      </x:c>
      <x:c r="FC6" s="637" t="n">
        <x:f>SUBTOTAL(9,FC9:FC143)</x:f>
        <x:v>0</x:v>
      </x:c>
      <x:c r="FD6" s="637" t="n">
        <x:f>SUBTOTAL(9,FD9:FD143)</x:f>
        <x:v>0</x:v>
      </x:c>
      <x:c r="FE6" s="637" t="n">
        <x:f>SUBTOTAL(9,FE9:FE143)</x:f>
        <x:v>0</x:v>
      </x:c>
      <x:c r="FF6" s="637" t="n">
        <x:f>SUBTOTAL(9,FF9:FF143)</x:f>
        <x:v>0</x:v>
      </x:c>
      <x:c r="FG6" s="637" t="n">
        <x:f>SUBTOTAL(9,FG9:FG143)</x:f>
        <x:v>0</x:v>
      </x:c>
      <x:c r="FH6" s="637" t="n">
        <x:f>SUBTOTAL(9,FH9:FH143)</x:f>
        <x:v>0</x:v>
      </x:c>
      <x:c r="FI6" s="637" t="n">
        <x:f>SUBTOTAL(9,FI9:FI143)</x:f>
        <x:v>0</x:v>
      </x:c>
      <x:c r="FJ6" s="637" t="n">
        <x:f>SUBTOTAL(9,FJ9:FJ143)</x:f>
        <x:v>0</x:v>
      </x:c>
      <x:c r="FK6" s="637" t="n">
        <x:f>SUBTOTAL(9,FK9:FK143)</x:f>
        <x:v>0</x:v>
      </x:c>
      <x:c r="FL6" s="637" t="n">
        <x:f>SUBTOTAL(9,FL9:FL143)</x:f>
        <x:v>0</x:v>
      </x:c>
      <x:c r="FM6" s="637" t="n">
        <x:f>SUBTOTAL(9,FM9:FM143)</x:f>
        <x:v>0</x:v>
      </x:c>
      <x:c r="FN6" s="637" t="n">
        <x:f>SUBTOTAL(9,FN9:FN143)</x:f>
        <x:v>0</x:v>
      </x:c>
      <x:c r="FO6" s="637" t="n">
        <x:f>SUBTOTAL(9,FO9:FO143)</x:f>
        <x:v>0</x:v>
      </x:c>
      <x:c r="FP6" s="637" t="n">
        <x:f>SUBTOTAL(9,FP9:FP143)</x:f>
        <x:v>0</x:v>
      </x:c>
      <x:c r="FQ6" s="637" t="n">
        <x:f>SUBTOTAL(9,FQ9:FQ143)</x:f>
        <x:v>0</x:v>
      </x:c>
    </x:row>
    <x:row r="7" s="26" customFormat="1" ht="14.25" customHeight="1">
      <x:c r="A7" s="52" t="inlineStr">
        <x:is>
          <x:t xml:space="preserve">CHECK NOTE</x:t>
        </x:is>
      </x:c>
      <x:c r="B7" s="639" t="n"/>
      <x:c r="C7" s="51" t="inlineStr">
        <x:is>
          <x:t xml:space="preserve">WI / NRI</x:t>
        </x:is>
      </x:c>
      <x:c r="D7" s="50" t="inlineStr">
        <x:is>
          <x:t xml:space="preserve">PARTY / SOURCE</x:t>
        </x:is>
      </x:c>
      <x:c r="E7" s="49" t="inlineStr">
        <x:is>
          <x:t xml:space="preserve">TOTAL</x:t>
        </x:is>
      </x:c>
      <x:c r="F7" s="640" t="n"/>
      <x:c r="G7" s="641" t="n"/>
      <x:c r="H7" s="642" t="n"/>
      <x:c r="I7" s="642" t="n"/>
      <x:c r="J7" s="642" t="n"/>
      <x:c r="K7" s="642" t="n"/>
      <x:c r="L7" s="642" t="n"/>
      <x:c r="M7" s="642" t="n"/>
      <x:c r="N7" s="642" t="n"/>
      <x:c r="O7" s="642" t="n"/>
      <x:c r="P7" s="642" t="n"/>
      <x:c r="Q7" s="642" t="n"/>
      <x:c r="R7" s="642" t="n"/>
      <x:c r="S7" s="642" t="n"/>
      <x:c r="T7" s="642" t="n"/>
      <x:c r="U7" s="642" t="n"/>
      <x:c r="V7" s="642" t="n"/>
      <x:c r="W7" s="642" t="n"/>
      <x:c r="X7" s="642" t="n"/>
      <x:c r="Y7" s="642" t="n"/>
      <x:c r="Z7" s="642" t="n"/>
      <x:c r="AA7" s="642" t="n"/>
      <x:c r="AB7" s="642" t="n"/>
      <x:c r="AC7" s="642" t="n"/>
      <x:c r="AD7" s="642" t="n"/>
      <x:c r="AE7" s="642" t="n"/>
      <x:c r="AF7" s="642" t="n"/>
      <x:c r="AG7" s="642" t="n"/>
      <x:c r="AH7" s="642" t="n"/>
      <x:c r="AI7" s="642" t="n"/>
      <x:c r="AJ7" s="642" t="n"/>
      <x:c r="AK7" s="642" t="n"/>
      <x:c r="AL7" s="642" t="n"/>
      <x:c r="AM7" s="642" t="n"/>
      <x:c r="AN7" s="642" t="n"/>
      <x:c r="AO7" s="642" t="n"/>
      <x:c r="AP7" s="642" t="n"/>
      <x:c r="AQ7" s="642" t="n"/>
      <x:c r="AR7" s="642" t="n"/>
      <x:c r="AS7" s="642" t="n"/>
      <x:c r="AT7" s="642" t="n"/>
      <x:c r="AU7" s="642" t="n"/>
      <x:c r="AV7" s="642" t="n"/>
      <x:c r="AW7" s="642" t="n"/>
      <x:c r="AX7" s="642" t="n"/>
      <x:c r="AY7" s="642" t="n"/>
      <x:c r="AZ7" s="642" t="n"/>
      <x:c r="BA7" s="642" t="n"/>
      <x:c r="BB7" s="642" t="n"/>
      <x:c r="BC7" s="642" t="n"/>
      <x:c r="BD7" s="642" t="n"/>
      <x:c r="BE7" s="642" t="n"/>
      <x:c r="BF7" s="642" t="n"/>
      <x:c r="BG7" s="642" t="n"/>
      <x:c r="BH7" s="642" t="n"/>
      <x:c r="BI7" s="642" t="n"/>
      <x:c r="BJ7" s="642" t="n"/>
      <x:c r="BK7" s="642" t="n"/>
      <x:c r="BL7" s="642" t="n"/>
      <x:c r="BM7" s="642" t="n"/>
      <x:c r="BN7" s="642" t="n"/>
      <x:c r="BO7" s="642" t="n"/>
      <x:c r="BP7" s="642" t="n"/>
      <x:c r="BQ7" s="642" t="n"/>
      <x:c r="BR7" s="642" t="n"/>
      <x:c r="BS7" s="642" t="n"/>
      <x:c r="BT7" s="642" t="n"/>
      <x:c r="BU7" s="642" t="n"/>
      <x:c r="BV7" s="642" t="n"/>
      <x:c r="BW7" s="642" t="n"/>
      <x:c r="BX7" s="642" t="n"/>
      <x:c r="BY7" s="642" t="n"/>
      <x:c r="BZ7" s="642" t="n"/>
      <x:c r="CA7" s="642" t="n"/>
      <x:c r="CB7" s="642" t="n"/>
      <x:c r="CC7" s="642" t="n"/>
      <x:c r="CD7" s="642" t="n"/>
      <x:c r="CE7" s="642" t="n"/>
      <x:c r="CF7" s="642" t="n"/>
      <x:c r="CG7" s="642" t="n"/>
      <x:c r="CH7" s="642" t="n"/>
      <x:c r="CI7" s="642" t="n"/>
      <x:c r="CJ7" s="642" t="n"/>
      <x:c r="CK7" s="642" t="n"/>
      <x:c r="CL7" s="642" t="n"/>
      <x:c r="CM7" s="642" t="n"/>
      <x:c r="CN7" s="642" t="n"/>
      <x:c r="CO7" s="642" t="n"/>
      <x:c r="CP7" s="642" t="n"/>
      <x:c r="CQ7" s="642" t="n"/>
      <x:c r="CR7" s="642" t="n"/>
      <x:c r="CS7" s="642" t="n"/>
      <x:c r="CT7" s="642" t="n"/>
      <x:c r="CU7" s="642" t="n"/>
      <x:c r="CV7" s="642" t="n"/>
      <x:c r="CW7" s="642" t="n"/>
      <x:c r="CX7" s="642" t="n"/>
      <x:c r="CY7" s="642" t="n"/>
      <x:c r="CZ7" s="642" t="n"/>
      <x:c r="DA7" s="642" t="n"/>
      <x:c r="DB7" s="642" t="n"/>
      <x:c r="DC7" s="642" t="n"/>
      <x:c r="DD7" s="642" t="n"/>
      <x:c r="DE7" s="642" t="n"/>
      <x:c r="DF7" s="642" t="n"/>
      <x:c r="DG7" s="642" t="n"/>
      <x:c r="DH7" s="642" t="n"/>
      <x:c r="DI7" s="642" t="n"/>
      <x:c r="DJ7" s="642" t="n"/>
      <x:c r="DK7" s="642" t="n"/>
      <x:c r="DL7" s="642" t="n"/>
      <x:c r="DM7" s="642" t="n"/>
      <x:c r="DN7" s="642" t="n"/>
      <x:c r="DO7" s="642" t="n"/>
      <x:c r="DP7" s="642" t="n"/>
      <x:c r="DQ7" s="642" t="n"/>
      <x:c r="DR7" s="642" t="n"/>
      <x:c r="DS7" s="642" t="n"/>
      <x:c r="DT7" s="642" t="n"/>
      <x:c r="DU7" s="642" t="n"/>
      <x:c r="DV7" s="642" t="n"/>
      <x:c r="DW7" s="642" t="n"/>
      <x:c r="DX7" s="642" t="n"/>
      <x:c r="DY7" s="642" t="n"/>
      <x:c r="DZ7" s="642" t="n"/>
      <x:c r="EA7" s="642" t="n"/>
      <x:c r="EB7" s="642" t="n"/>
      <x:c r="EC7" s="642" t="n"/>
      <x:c r="ED7" s="642" t="n"/>
      <x:c r="EE7" s="642" t="n"/>
      <x:c r="EF7" s="642" t="n"/>
      <x:c r="EG7" s="642" t="n"/>
      <x:c r="EH7" s="642" t="n"/>
      <x:c r="EI7" s="642" t="n"/>
      <x:c r="EJ7" s="642" t="n"/>
      <x:c r="EK7" s="642" t="n"/>
      <x:c r="EL7" s="642" t="n"/>
      <x:c r="EM7" s="642" t="n"/>
      <x:c r="EN7" s="642" t="n"/>
      <x:c r="EO7" s="642" t="n"/>
      <x:c r="EP7" s="642" t="n"/>
      <x:c r="EQ7" s="642" t="n"/>
      <x:c r="ER7" s="642" t="n"/>
      <x:c r="ES7" s="642" t="n"/>
      <x:c r="ET7" s="642" t="n"/>
      <x:c r="EU7" s="642" t="n"/>
      <x:c r="EV7" s="642" t="n"/>
      <x:c r="EW7" s="642" t="n"/>
      <x:c r="EX7" s="642" t="n"/>
      <x:c r="EY7" s="642" t="n"/>
      <x:c r="EZ7" s="642" t="n"/>
      <x:c r="FA7" s="642" t="n"/>
      <x:c r="FB7" s="642" t="n"/>
      <x:c r="FC7" s="642" t="n"/>
      <x:c r="FD7" s="642" t="n"/>
      <x:c r="FE7" s="642" t="n"/>
      <x:c r="FF7" s="642" t="n"/>
      <x:c r="FG7" s="642" t="n"/>
      <x:c r="FH7" s="642" t="n"/>
      <x:c r="FI7" s="642" t="n"/>
      <x:c r="FJ7" s="642" t="n"/>
      <x:c r="FK7" s="642" t="n"/>
      <x:c r="FL7" s="642" t="n"/>
      <x:c r="FM7" s="642" t="n"/>
      <x:c r="FN7" s="642" t="n"/>
      <x:c r="FO7" s="642" t="n"/>
      <x:c r="FP7" s="642" t="n"/>
      <x:c r="FQ7" s="642" t="n"/>
    </x:row>
    <x:row r="8" s="40" customFormat="1" ht="12.75" customHeight="1">
      <x:c r="A8" s="48" t="inlineStr">
        <x:is>
          <x:t xml:space="preserve">CHECK</x:t>
        </x:is>
      </x:c>
      <x:c r="B8" s="47" t="inlineStr">
        <x:is>
          <x:t xml:space="preserve">SOURCE</x:t>
        </x:is>
      </x:c>
      <x:c r="C8" s="45" t="inlineStr">
        <x:is>
          <x:t xml:space="preserve">WI / NRI</x:t>
        </x:is>
      </x:c>
      <x:c r="D8" s="46" t="inlineStr">
        <x:is>
          <x:t xml:space="preserve">PARTY / SOURCE</x:t>
        </x:is>
      </x:c>
      <x:c r="E8" s="45" t="inlineStr">
        <x:is>
          <x:t xml:space="preserve">TOTAL</x:t>
        </x:is>
      </x:c>
      <x:c r="F8" s="44" t="inlineStr">
        <x:is>
          <x:t xml:space="preserve">STATUS / ACTION</x:t>
        </x:is>
      </x:c>
      <x:c r="G8" s="43" t="n"/>
      <x:c r="H8" s="42" t="n"/>
      <x:c r="I8" s="41" t="n"/>
      <x:c r="J8" s="41" t="n"/>
      <x:c r="K8" s="41" t="n"/>
      <x:c r="L8" s="41" t="n"/>
      <x:c r="M8" s="41" t="n"/>
      <x:c r="N8" s="41" t="n"/>
      <x:c r="O8" s="41" t="n"/>
      <x:c r="P8" s="41" t="n"/>
      <x:c r="Q8" s="41" t="n"/>
      <x:c r="R8" s="41" t="n"/>
      <x:c r="S8" s="41" t="n"/>
      <x:c r="T8" s="41" t="n"/>
      <x:c r="U8" s="41" t="n"/>
      <x:c r="V8" s="41" t="n"/>
      <x:c r="W8" s="41" t="n"/>
      <x:c r="X8" s="41" t="n"/>
      <x:c r="Y8" s="41" t="n"/>
      <x:c r="Z8" s="41" t="n"/>
      <x:c r="AA8" s="41" t="n"/>
      <x:c r="AB8" s="41" t="n"/>
      <x:c r="AC8" s="41" t="n"/>
      <x:c r="AD8" s="41" t="n"/>
      <x:c r="AE8" s="41" t="n"/>
      <x:c r="AF8" s="41" t="n"/>
      <x:c r="AG8" s="41" t="n"/>
      <x:c r="AH8" s="41" t="n"/>
      <x:c r="AI8" s="41" t="n"/>
      <x:c r="AJ8" s="41" t="n"/>
      <x:c r="AK8" s="41" t="n"/>
      <x:c r="AL8" s="41" t="n"/>
      <x:c r="AM8" s="41" t="n"/>
      <x:c r="AN8" s="41" t="n"/>
      <x:c r="AO8" s="41" t="n"/>
      <x:c r="AP8" s="41" t="n"/>
      <x:c r="AQ8" s="41" t="n"/>
      <x:c r="AR8" s="41" t="n"/>
      <x:c r="AS8" s="41" t="n"/>
      <x:c r="AT8" s="41" t="n"/>
      <x:c r="AU8" s="41" t="n"/>
      <x:c r="AV8" s="41" t="n"/>
      <x:c r="AW8" s="41" t="n"/>
      <x:c r="AX8" s="41" t="n"/>
      <x:c r="AY8" s="41" t="n"/>
      <x:c r="AZ8" s="41" t="n"/>
      <x:c r="BA8" s="41" t="n"/>
      <x:c r="BB8" s="41" t="n"/>
      <x:c r="BC8" s="41" t="n"/>
      <x:c r="BD8" s="41" t="n"/>
      <x:c r="BE8" s="41" t="n"/>
      <x:c r="BF8" s="41" t="n"/>
      <x:c r="BG8" s="41" t="n"/>
      <x:c r="BH8" s="41" t="n"/>
      <x:c r="BI8" s="41" t="n"/>
      <x:c r="BJ8" s="41" t="n"/>
      <x:c r="BK8" s="41" t="n"/>
      <x:c r="BL8" s="41" t="n"/>
      <x:c r="BM8" s="41" t="n"/>
      <x:c r="BN8" s="41" t="n"/>
      <x:c r="BO8" s="41" t="n"/>
      <x:c r="BP8" s="41" t="n"/>
      <x:c r="BQ8" s="41" t="n"/>
      <x:c r="BR8" s="41" t="n"/>
      <x:c r="BS8" s="41" t="n"/>
      <x:c r="BT8" s="41" t="n"/>
      <x:c r="BU8" s="41" t="n"/>
      <x:c r="BV8" s="41" t="n"/>
      <x:c r="BW8" s="41" t="n"/>
      <x:c r="BX8" s="41" t="n"/>
      <x:c r="BY8" s="41" t="n"/>
      <x:c r="BZ8" s="41" t="n"/>
      <x:c r="CA8" s="41" t="n"/>
      <x:c r="CB8" s="41" t="n"/>
      <x:c r="CC8" s="41" t="n"/>
      <x:c r="CD8" s="41" t="n"/>
      <x:c r="CE8" s="41" t="n"/>
      <x:c r="CF8" s="41" t="n"/>
      <x:c r="CG8" s="41" t="n"/>
      <x:c r="CH8" s="41" t="n"/>
      <x:c r="CI8" s="41" t="n"/>
      <x:c r="CJ8" s="41" t="n"/>
      <x:c r="CK8" s="41" t="n"/>
      <x:c r="CL8" s="41" t="n"/>
      <x:c r="CM8" s="41" t="n"/>
      <x:c r="CN8" s="41" t="n"/>
      <x:c r="CO8" s="41" t="n"/>
      <x:c r="CP8" s="41" t="n"/>
      <x:c r="CQ8" s="41" t="n"/>
      <x:c r="CR8" s="41" t="n"/>
      <x:c r="CS8" s="41" t="n"/>
      <x:c r="CT8" s="41" t="n"/>
      <x:c r="CU8" s="41" t="n"/>
      <x:c r="CV8" s="41" t="n"/>
      <x:c r="CW8" s="41" t="n"/>
      <x:c r="CX8" s="41" t="n"/>
      <x:c r="CY8" s="41" t="n"/>
      <x:c r="CZ8" s="41" t="n"/>
      <x:c r="DA8" s="41" t="n"/>
      <x:c r="DB8" s="41" t="n"/>
      <x:c r="DC8" s="41" t="n"/>
      <x:c r="DD8" s="41" t="n"/>
      <x:c r="DE8" s="41" t="n"/>
      <x:c r="DF8" s="41" t="n"/>
      <x:c r="DG8" s="41" t="n"/>
      <x:c r="DH8" s="41" t="n"/>
      <x:c r="DI8" s="41" t="n"/>
      <x:c r="DJ8" s="41" t="n"/>
      <x:c r="DK8" s="41" t="n"/>
      <x:c r="DL8" s="41" t="n"/>
      <x:c r="DM8" s="41" t="n"/>
      <x:c r="DN8" s="41" t="n"/>
      <x:c r="DO8" s="41" t="n"/>
      <x:c r="DP8" s="41" t="n"/>
      <x:c r="DQ8" s="41" t="n"/>
      <x:c r="DR8" s="41" t="n"/>
      <x:c r="DS8" s="41" t="n"/>
      <x:c r="DT8" s="41" t="n"/>
      <x:c r="DU8" s="41" t="n"/>
      <x:c r="DV8" s="41" t="n"/>
      <x:c r="DW8" s="41" t="n"/>
      <x:c r="DX8" s="41" t="n"/>
      <x:c r="DY8" s="41" t="n"/>
      <x:c r="DZ8" s="41" t="n"/>
      <x:c r="EA8" s="41" t="n"/>
      <x:c r="EB8" s="41" t="n"/>
      <x:c r="EC8" s="41" t="n"/>
      <x:c r="ED8" s="41" t="n"/>
      <x:c r="EE8" s="41" t="n"/>
      <x:c r="EF8" s="41" t="n"/>
      <x:c r="EG8" s="41" t="n"/>
      <x:c r="EH8" s="41" t="n"/>
      <x:c r="EI8" s="41" t="n"/>
      <x:c r="EJ8" s="41" t="n"/>
      <x:c r="EK8" s="41" t="n"/>
      <x:c r="EL8" s="41" t="n"/>
      <x:c r="EM8" s="41" t="n"/>
      <x:c r="EN8" s="41" t="n"/>
      <x:c r="EO8" s="41" t="n"/>
      <x:c r="EP8" s="41" t="n"/>
      <x:c r="EQ8" s="41" t="n"/>
      <x:c r="ER8" s="41" t="n"/>
      <x:c r="ES8" s="41" t="n"/>
      <x:c r="ET8" s="41" t="n"/>
      <x:c r="EU8" s="41" t="n"/>
      <x:c r="EV8" s="41" t="n"/>
      <x:c r="EW8" s="41" t="n"/>
      <x:c r="EX8" s="41" t="n"/>
      <x:c r="EY8" s="41" t="n"/>
      <x:c r="EZ8" s="41" t="n"/>
      <x:c r="FA8" s="41" t="n"/>
      <x:c r="FB8" s="41" t="n"/>
      <x:c r="FC8" s="41" t="n"/>
      <x:c r="FD8" s="41" t="n"/>
      <x:c r="FE8" s="41" t="n"/>
      <x:c r="FF8" s="41" t="n"/>
      <x:c r="FG8" s="41" t="n"/>
      <x:c r="FH8" s="41" t="n"/>
      <x:c r="FI8" s="41" t="n"/>
      <x:c r="FJ8" s="41" t="n"/>
      <x:c r="FK8" s="41" t="n"/>
      <x:c r="FL8" s="41" t="n"/>
      <x:c r="FM8" s="41" t="n"/>
      <x:c r="FN8" s="41" t="n"/>
      <x:c r="FO8" s="41" t="n"/>
      <x:c r="FP8" s="41" t="n"/>
      <x:c r="FQ8" s="41" t="n"/>
    </x:row>
    <x:row r="9" s="27" customFormat="1" ht="24" customHeight="1">
      <x:c r="A9" s="38" t="n"/>
      <x:c r="B9" s="39" t="n">
        <x:v>64</x:v>
      </x:c>
      <x:c r="C9" s="36" t="n">
        <x:f>E9*D$4</x:f>
        <x:v>0</x:v>
      </x:c>
      <x:c r="D9" s="523" t="inlineStr">
        <x:is>
          <x:t xml:space="preserve">Mitchell Buonaccorsi Living Trust / Carrie Leeann Mitchell, Trustee</x:t>
        </x:is>
      </x:c>
      <x:c r="E9" s="36" t="n">
        <x:f>SUM(G9:HJ9)</x:f>
        <x:v>0</x:v>
      </x:c>
      <x:c r="F9" s="35" t="n"/>
      <x:c r="G9" s="28" t="n"/>
      <x:c r="H9" s="28" t="n"/>
      <x:c r="I9" s="28" t="n"/>
      <x:c r="J9" s="28" t="n"/>
      <x:c r="K9" s="28" t="n"/>
      <x:c r="L9" s="28" t="n"/>
      <x:c r="M9" s="28" t="n"/>
      <x:c r="N9" s="28" t="n"/>
      <x:c r="O9" s="28" t="n"/>
      <x:c r="P9" s="28" t="n"/>
      <x:c r="Q9" s="28" t="n"/>
      <x:c r="R9" s="28" t="n"/>
      <x:c r="S9" s="28" t="n"/>
      <x:c r="T9" s="28" t="n"/>
      <x:c r="U9" s="28" t="n"/>
      <x:c r="V9" s="28" t="n"/>
      <x:c r="W9" s="28" t="n"/>
      <x:c r="X9" s="28" t="n"/>
      <x:c r="Y9" s="28" t="n"/>
      <x:c r="Z9" s="28" t="n"/>
      <x:c r="AA9" s="28" t="n"/>
      <x:c r="AB9" s="28" t="n"/>
      <x:c r="AC9" s="28" t="n"/>
      <x:c r="AD9" s="28" t="n"/>
      <x:c r="AE9" s="28" t="n"/>
      <x:c r="AF9" s="28" t="n"/>
      <x:c r="AG9" s="28" t="n"/>
      <x:c r="AH9" s="28" t="n"/>
      <x:c r="AI9" s="28" t="n"/>
      <x:c r="AJ9" s="28" t="n"/>
      <x:c r="AK9" s="28" t="n"/>
      <x:c r="AL9" s="28" t="n"/>
      <x:c r="AM9" s="28" t="n"/>
      <x:c r="AN9" s="28" t="n"/>
      <x:c r="AO9" s="28" t="n"/>
      <x:c r="AP9" s="28" t="n"/>
      <x:c r="AQ9" s="28" t="n"/>
      <x:c r="AR9" s="28" t="n"/>
      <x:c r="AS9" s="28" t="n"/>
      <x:c r="AT9" s="28" t="n"/>
      <x:c r="AU9" s="28" t="n"/>
      <x:c r="AV9" s="28" t="n"/>
      <x:c r="AW9" s="28" t="n"/>
      <x:c r="AX9" s="28" t="n"/>
      <x:c r="AY9" s="28" t="n"/>
      <x:c r="AZ9" s="28" t="n"/>
      <x:c r="BA9" s="28" t="n"/>
      <x:c r="BB9" s="28" t="n"/>
      <x:c r="BC9" s="28" t="n"/>
      <x:c r="BD9" s="28" t="n"/>
      <x:c r="BE9" s="28" t="n"/>
      <x:c r="BF9" s="28" t="n"/>
      <x:c r="BG9" s="28" t="n"/>
      <x:c r="BH9" s="28" t="n"/>
      <x:c r="BI9" s="28" t="n"/>
      <x:c r="BJ9" s="28" t="n"/>
      <x:c r="BK9" s="28" t="n"/>
      <x:c r="BL9" s="28" t="n"/>
      <x:c r="BM9" s="28" t="n"/>
      <x:c r="BN9" s="28" t="n"/>
      <x:c r="BO9" s="28" t="n"/>
      <x:c r="BP9" s="28" t="n"/>
      <x:c r="BQ9" s="28" t="n"/>
      <x:c r="BR9" s="28" t="n"/>
      <x:c r="BS9" s="28" t="n"/>
      <x:c r="BT9" s="28" t="n"/>
      <x:c r="BU9" s="28" t="n"/>
      <x:c r="BV9" s="28" t="n"/>
      <x:c r="BW9" s="28" t="n"/>
      <x:c r="BX9" s="28" t="n"/>
      <x:c r="BY9" s="28" t="n"/>
      <x:c r="BZ9" s="28" t="n"/>
      <x:c r="CA9" s="28" t="n"/>
      <x:c r="CB9" s="28" t="n"/>
      <x:c r="CC9" s="28" t="n"/>
      <x:c r="CD9" s="28" t="n"/>
      <x:c r="CE9" s="28" t="n"/>
      <x:c r="CF9" s="28" t="n"/>
      <x:c r="CG9" s="28" t="n"/>
      <x:c r="CH9" s="28" t="n"/>
      <x:c r="CI9" s="28" t="n"/>
      <x:c r="CJ9" s="28" t="n"/>
      <x:c r="CK9" s="28" t="n"/>
      <x:c r="CL9" s="28" t="n"/>
      <x:c r="CM9" s="28" t="n"/>
      <x:c r="CN9" s="28" t="n"/>
      <x:c r="CO9" s="28" t="n"/>
      <x:c r="CP9" s="28" t="n"/>
      <x:c r="CQ9" s="28" t="n"/>
      <x:c r="CR9" s="28" t="n"/>
      <x:c r="CS9" s="28" t="n"/>
      <x:c r="CT9" s="28" t="n"/>
      <x:c r="CU9" s="28" t="n"/>
      <x:c r="CV9" s="28" t="n"/>
      <x:c r="CW9" s="28" t="n"/>
      <x:c r="CX9" s="28" t="n"/>
      <x:c r="CY9" s="28" t="n"/>
      <x:c r="CZ9" s="28" t="n"/>
      <x:c r="DA9" s="28" t="n"/>
      <x:c r="DB9" s="28" t="n"/>
      <x:c r="DC9" s="28" t="n"/>
      <x:c r="DD9" s="28" t="n"/>
      <x:c r="DE9" s="28" t="n"/>
      <x:c r="DF9" s="28" t="n"/>
      <x:c r="DG9" s="28" t="n"/>
      <x:c r="DH9" s="28" t="n"/>
      <x:c r="DI9" s="28" t="n"/>
      <x:c r="DJ9" s="28" t="n"/>
      <x:c r="DK9" s="28" t="n"/>
      <x:c r="DL9" s="28" t="n"/>
      <x:c r="DM9" s="28" t="n"/>
      <x:c r="DN9" s="28" t="n"/>
      <x:c r="DO9" s="28" t="n"/>
      <x:c r="DP9" s="28" t="n"/>
      <x:c r="DQ9" s="28" t="n"/>
      <x:c r="DR9" s="28" t="n"/>
      <x:c r="DS9" s="28" t="n"/>
      <x:c r="DT9" s="28" t="n"/>
      <x:c r="DU9" s="28" t="n"/>
      <x:c r="DV9" s="28" t="n"/>
      <x:c r="DW9" s="28" t="n"/>
      <x:c r="DX9" s="28" t="n"/>
      <x:c r="DY9" s="28" t="n"/>
      <x:c r="DZ9" s="28" t="n"/>
      <x:c r="EA9" s="28" t="n"/>
      <x:c r="EB9" s="28" t="n"/>
      <x:c r="EC9" s="28" t="n"/>
      <x:c r="ED9" s="28" t="n"/>
      <x:c r="EE9" s="28" t="n"/>
      <x:c r="EF9" s="28" t="n"/>
      <x:c r="EG9" s="28" t="n"/>
      <x:c r="EH9" s="28" t="n"/>
      <x:c r="EI9" s="28" t="n"/>
      <x:c r="EJ9" s="28" t="n"/>
      <x:c r="EK9" s="28" t="n"/>
      <x:c r="EL9" s="28" t="n"/>
      <x:c r="EM9" s="28" t="n"/>
      <x:c r="EN9" s="28" t="n"/>
      <x:c r="EO9" s="28" t="n"/>
      <x:c r="EP9" s="28" t="n"/>
      <x:c r="EQ9" s="28" t="n"/>
      <x:c r="ER9" s="28" t="n"/>
      <x:c r="ES9" s="28" t="n"/>
      <x:c r="ET9" s="28" t="n"/>
      <x:c r="EU9" s="28" t="n"/>
      <x:c r="EV9" s="28" t="n"/>
      <x:c r="EW9" s="28" t="n"/>
      <x:c r="EX9" s="28" t="n"/>
      <x:c r="EY9" s="28" t="n"/>
      <x:c r="EZ9" s="28" t="n"/>
      <x:c r="FA9" s="28" t="n"/>
      <x:c r="FB9" s="28" t="n"/>
      <x:c r="FC9" s="28" t="n"/>
      <x:c r="FD9" s="28" t="n"/>
      <x:c r="FE9" s="28" t="n"/>
      <x:c r="FF9" s="28" t="n"/>
      <x:c r="FG9" s="28" t="n"/>
      <x:c r="FH9" s="28" t="n"/>
      <x:c r="FI9" s="28" t="n"/>
      <x:c r="FJ9" s="28" t="n"/>
      <x:c r="FK9" s="28" t="n"/>
      <x:c r="FL9" s="28" t="n"/>
      <x:c r="FM9" s="28" t="n"/>
      <x:c r="FN9" s="28" t="n"/>
      <x:c r="FO9" s="28" t="n"/>
      <x:c r="FP9" s="28" t="n"/>
      <x:c r="FQ9" s="28" t="n"/>
    </x:row>
    <x:row r="10" s="27" customFormat="1">
      <x:c r="A10" s="38" t="n"/>
      <x:c r="B10" s="39" t="n">
        <x:v>65</x:v>
      </x:c>
      <x:c r="C10" s="36" t="n">
        <x:f>E10*D$4</x:f>
        <x:v>0</x:v>
      </x:c>
      <x:c r="D10" s="523" t="inlineStr">
        <x:is>
          <x:t xml:space="preserve">Ronald Paul Dold</x:t>
        </x:is>
      </x:c>
      <x:c r="E10" s="36" t="n">
        <x:f>SUM(G10:HJ10)</x:f>
        <x:v>0</x:v>
      </x:c>
      <x:c r="F10" s="35" t="n"/>
      <x:c r="G10" s="28" t="n"/>
      <x:c r="I10" s="28" t="n"/>
      <x:c r="J10" s="28" t="n"/>
      <x:c r="K10" s="28" t="n"/>
      <x:c r="L10" s="28" t="n"/>
      <x:c r="M10" s="28" t="n"/>
      <x:c r="N10" s="28" t="n"/>
      <x:c r="O10" s="28" t="n"/>
      <x:c r="P10" s="28" t="n"/>
      <x:c r="Q10" s="28" t="n"/>
      <x:c r="R10" s="28" t="n"/>
      <x:c r="S10" s="28" t="n"/>
      <x:c r="T10" s="28" t="n"/>
      <x:c r="U10" s="28" t="n"/>
      <x:c r="V10" s="28" t="n"/>
      <x:c r="W10" s="28" t="n"/>
      <x:c r="X10" s="28" t="n"/>
      <x:c r="Y10" s="28" t="n"/>
      <x:c r="Z10" s="28" t="n"/>
      <x:c r="AA10" s="28" t="n"/>
      <x:c r="AB10" s="28" t="n"/>
      <x:c r="AC10" s="28" t="n"/>
      <x:c r="AD10" s="28" t="n"/>
      <x:c r="AE10" s="28" t="n"/>
      <x:c r="AF10" s="28" t="n"/>
      <x:c r="AG10" s="28" t="n"/>
      <x:c r="AH10" s="28" t="n"/>
      <x:c r="AI10" s="28" t="n"/>
      <x:c r="AJ10" s="28" t="n"/>
      <x:c r="AK10" s="28" t="n"/>
      <x:c r="AL10" s="28" t="n"/>
      <x:c r="AM10" s="28" t="n"/>
      <x:c r="AN10" s="28" t="n"/>
      <x:c r="AO10" s="28" t="n"/>
      <x:c r="AP10" s="28" t="n"/>
      <x:c r="AQ10" s="28" t="n"/>
      <x:c r="AR10" s="28" t="n"/>
      <x:c r="AS10" s="28" t="n"/>
      <x:c r="AT10" s="28" t="n"/>
      <x:c r="AU10" s="28" t="n"/>
      <x:c r="AV10" s="28" t="n"/>
      <x:c r="AW10" s="28" t="n"/>
      <x:c r="AX10" s="28" t="n"/>
      <x:c r="AY10" s="28" t="n"/>
      <x:c r="AZ10" s="28" t="n"/>
      <x:c r="BA10" s="28" t="n"/>
      <x:c r="BB10" s="28" t="n"/>
      <x:c r="BC10" s="28" t="n"/>
      <x:c r="BD10" s="28" t="n"/>
      <x:c r="BE10" s="28" t="n"/>
      <x:c r="BF10" s="28" t="n"/>
      <x:c r="BG10" s="28" t="n"/>
      <x:c r="BH10" s="28" t="n"/>
      <x:c r="BI10" s="28" t="n"/>
      <x:c r="BJ10" s="28" t="n"/>
      <x:c r="BK10" s="28" t="n"/>
      <x:c r="BL10" s="28" t="n"/>
      <x:c r="BM10" s="28" t="n"/>
      <x:c r="BN10" s="28" t="n"/>
      <x:c r="BO10" s="28" t="n"/>
      <x:c r="BP10" s="28" t="n"/>
      <x:c r="BQ10" s="28" t="n"/>
      <x:c r="BR10" s="28" t="n"/>
      <x:c r="BS10" s="28" t="n"/>
      <x:c r="BT10" s="28" t="n"/>
      <x:c r="BU10" s="28" t="n"/>
      <x:c r="BV10" s="28" t="n"/>
      <x:c r="BW10" s="28" t="n"/>
      <x:c r="BX10" s="28" t="n"/>
      <x:c r="BY10" s="28" t="n"/>
      <x:c r="BZ10" s="28" t="n"/>
      <x:c r="CA10" s="28" t="n"/>
      <x:c r="CB10" s="28" t="n"/>
      <x:c r="CC10" s="28" t="n"/>
      <x:c r="CD10" s="28" t="n"/>
      <x:c r="CE10" s="28" t="n"/>
      <x:c r="CF10" s="28" t="n"/>
      <x:c r="CG10" s="28" t="n"/>
      <x:c r="CH10" s="28" t="n"/>
      <x:c r="CI10" s="28" t="n"/>
      <x:c r="CJ10" s="28" t="n"/>
      <x:c r="CK10" s="28" t="n"/>
      <x:c r="CL10" s="28" t="n"/>
      <x:c r="CM10" s="28" t="n"/>
      <x:c r="CN10" s="28" t="n"/>
      <x:c r="CO10" s="28" t="n"/>
      <x:c r="CP10" s="28" t="n"/>
      <x:c r="CQ10" s="28" t="n"/>
      <x:c r="CR10" s="28" t="n"/>
      <x:c r="CS10" s="28" t="n"/>
      <x:c r="CT10" s="28" t="n"/>
      <x:c r="CU10" s="28" t="n"/>
      <x:c r="CV10" s="28" t="n"/>
      <x:c r="CW10" s="28" t="n"/>
      <x:c r="CX10" s="28" t="n"/>
      <x:c r="CY10" s="28" t="n"/>
      <x:c r="CZ10" s="28" t="n"/>
      <x:c r="DA10" s="28" t="n"/>
      <x:c r="DB10" s="28" t="n"/>
      <x:c r="DC10" s="28" t="n"/>
      <x:c r="DD10" s="28" t="n"/>
      <x:c r="DE10" s="28" t="n"/>
      <x:c r="DF10" s="28" t="n"/>
      <x:c r="DG10" s="28" t="n"/>
      <x:c r="DH10" s="28" t="n"/>
      <x:c r="DI10" s="28" t="n"/>
      <x:c r="DJ10" s="28" t="n"/>
      <x:c r="DK10" s="28" t="n"/>
      <x:c r="DL10" s="28" t="n"/>
      <x:c r="DM10" s="28" t="n"/>
      <x:c r="DN10" s="28" t="n"/>
      <x:c r="DO10" s="28" t="n"/>
      <x:c r="DP10" s="28" t="n"/>
      <x:c r="DQ10" s="28" t="n"/>
      <x:c r="DR10" s="28" t="n"/>
      <x:c r="DS10" s="28" t="n"/>
      <x:c r="DT10" s="28" t="n"/>
      <x:c r="DU10" s="28" t="n"/>
      <x:c r="DV10" s="28" t="n"/>
      <x:c r="DW10" s="28" t="n"/>
      <x:c r="DX10" s="28" t="n"/>
      <x:c r="DY10" s="28" t="n"/>
      <x:c r="DZ10" s="28" t="n"/>
      <x:c r="EA10" s="28" t="n"/>
      <x:c r="EB10" s="28" t="n"/>
      <x:c r="EC10" s="28" t="n"/>
      <x:c r="ED10" s="28" t="n"/>
      <x:c r="EE10" s="28" t="n"/>
      <x:c r="EF10" s="28" t="n"/>
      <x:c r="EG10" s="28" t="n"/>
      <x:c r="EH10" s="28" t="n"/>
      <x:c r="EI10" s="28" t="n"/>
      <x:c r="EJ10" s="28" t="n"/>
      <x:c r="EK10" s="28" t="n"/>
      <x:c r="EL10" s="28" t="n"/>
      <x:c r="EM10" s="28" t="n"/>
      <x:c r="EN10" s="28" t="n"/>
      <x:c r="EO10" s="28" t="n"/>
      <x:c r="EP10" s="28" t="n"/>
      <x:c r="EQ10" s="28" t="n"/>
      <x:c r="ER10" s="28" t="n"/>
      <x:c r="ES10" s="28" t="n"/>
      <x:c r="ET10" s="28" t="n"/>
      <x:c r="EU10" s="28" t="n"/>
      <x:c r="EV10" s="28" t="n"/>
      <x:c r="EW10" s="28" t="n"/>
      <x:c r="EX10" s="28" t="n"/>
      <x:c r="EY10" s="28" t="n"/>
      <x:c r="EZ10" s="28" t="n"/>
      <x:c r="FA10" s="28" t="n"/>
      <x:c r="FB10" s="28" t="n"/>
      <x:c r="FC10" s="28" t="n"/>
      <x:c r="FD10" s="28" t="n"/>
      <x:c r="FE10" s="28" t="n"/>
      <x:c r="FF10" s="28" t="n"/>
      <x:c r="FG10" s="28" t="n"/>
      <x:c r="FH10" s="28" t="n"/>
      <x:c r="FI10" s="28" t="n"/>
      <x:c r="FJ10" s="28" t="n"/>
      <x:c r="FK10" s="28" t="n"/>
      <x:c r="FL10" s="28" t="n"/>
      <x:c r="FM10" s="28" t="n"/>
      <x:c r="FN10" s="28" t="n"/>
      <x:c r="FO10" s="28" t="n"/>
      <x:c r="FP10" s="28" t="n"/>
      <x:c r="FQ10" s="28" t="n"/>
    </x:row>
    <x:row r="11" s="27" customFormat="1">
      <x:c r="A11" s="38" t="n"/>
      <x:c r="B11" s="39" t="n">
        <x:v>66</x:v>
      </x:c>
      <x:c r="C11" s="36" t="n">
        <x:f>E11*D$4</x:f>
        <x:v>0</x:v>
      </x:c>
      <x:c r="D11" s="523" t="inlineStr">
        <x:is>
          <x:t xml:space="preserve">Gena W. Moore / Gena Mitchell Williams</x:t>
        </x:is>
      </x:c>
      <x:c r="E11" s="36" t="n">
        <x:f>SUM(G11:HJ11)</x:f>
        <x:v>0</x:v>
      </x:c>
      <x:c r="F11" s="35" t="n"/>
      <x:c r="G11" s="28" t="n"/>
      <x:c r="I11" s="28" t="n"/>
      <x:c r="J11" s="28" t="n"/>
      <x:c r="K11" s="28" t="n"/>
      <x:c r="M11" s="28" t="n"/>
      <x:c r="N11" s="28" t="n"/>
      <x:c r="O11" s="28" t="n"/>
      <x:c r="P11" s="28" t="n"/>
      <x:c r="Q11" s="28" t="n"/>
      <x:c r="R11" s="28" t="n"/>
      <x:c r="S11" s="28" t="n"/>
      <x:c r="T11" s="28" t="n"/>
      <x:c r="U11" s="28" t="n"/>
      <x:c r="V11" s="28" t="n"/>
      <x:c r="W11" s="28" t="n"/>
      <x:c r="X11" s="28" t="n"/>
      <x:c r="Y11" s="28" t="n"/>
      <x:c r="Z11" s="28" t="n"/>
      <x:c r="AA11" s="28" t="n"/>
      <x:c r="AB11" s="28" t="n"/>
      <x:c r="AC11" s="28" t="n"/>
      <x:c r="AD11" s="28" t="n"/>
      <x:c r="AE11" s="28" t="n"/>
      <x:c r="AF11" s="28" t="n"/>
      <x:c r="AG11" s="28" t="n"/>
      <x:c r="AH11" s="28" t="n"/>
      <x:c r="AI11" s="28" t="n"/>
      <x:c r="AJ11" s="28" t="n"/>
      <x:c r="AK11" s="28" t="n"/>
      <x:c r="AL11" s="28" t="n"/>
      <x:c r="AM11" s="28" t="n"/>
      <x:c r="AN11" s="28" t="n"/>
      <x:c r="AO11" s="28" t="n"/>
      <x:c r="AP11" s="28" t="n"/>
      <x:c r="AQ11" s="28" t="n"/>
      <x:c r="AR11" s="28" t="n"/>
      <x:c r="AS11" s="28" t="n"/>
      <x:c r="AT11" s="28" t="n"/>
      <x:c r="AU11" s="28" t="n"/>
      <x:c r="AV11" s="28" t="n"/>
      <x:c r="AW11" s="28" t="n"/>
      <x:c r="AX11" s="28" t="n"/>
      <x:c r="AY11" s="28" t="n"/>
      <x:c r="AZ11" s="28" t="n"/>
      <x:c r="BA11" s="28" t="n"/>
      <x:c r="BB11" s="28" t="n"/>
      <x:c r="BC11" s="28" t="n"/>
      <x:c r="BD11" s="28" t="n"/>
      <x:c r="BE11" s="28" t="n"/>
      <x:c r="BF11" s="28" t="n"/>
      <x:c r="BG11" s="28" t="n"/>
      <x:c r="BH11" s="28" t="n"/>
      <x:c r="BI11" s="28" t="n"/>
      <x:c r="BJ11" s="28" t="n"/>
      <x:c r="BK11" s="28" t="n"/>
      <x:c r="BL11" s="28" t="n"/>
      <x:c r="BM11" s="28" t="n"/>
      <x:c r="BN11" s="28" t="n"/>
      <x:c r="BO11" s="28" t="n"/>
      <x:c r="BP11" s="28" t="n"/>
      <x:c r="BQ11" s="28" t="n"/>
      <x:c r="BR11" s="28" t="n"/>
      <x:c r="BS11" s="28" t="n"/>
      <x:c r="BT11" s="28" t="n"/>
      <x:c r="BU11" s="28" t="n"/>
      <x:c r="BV11" s="28" t="n"/>
      <x:c r="BW11" s="28" t="n"/>
      <x:c r="BX11" s="28" t="n"/>
      <x:c r="BY11" s="28" t="n"/>
      <x:c r="BZ11" s="28" t="n"/>
      <x:c r="CA11" s="28" t="n"/>
      <x:c r="CB11" s="28" t="n"/>
      <x:c r="CC11" s="28" t="n"/>
      <x:c r="CD11" s="28" t="n"/>
      <x:c r="CE11" s="28" t="n"/>
      <x:c r="CF11" s="28" t="n"/>
      <x:c r="CG11" s="28" t="n"/>
      <x:c r="CH11" s="28" t="n"/>
      <x:c r="CI11" s="28" t="n"/>
      <x:c r="CJ11" s="28" t="n"/>
      <x:c r="CK11" s="28" t="n"/>
      <x:c r="CL11" s="28" t="n"/>
      <x:c r="CM11" s="28" t="n"/>
      <x:c r="CN11" s="28" t="n"/>
      <x:c r="CO11" s="28" t="n"/>
      <x:c r="CP11" s="28" t="n"/>
      <x:c r="CQ11" s="28" t="n"/>
      <x:c r="CR11" s="28" t="n"/>
      <x:c r="CS11" s="28" t="n"/>
      <x:c r="CT11" s="28" t="n"/>
      <x:c r="CU11" s="28" t="n"/>
      <x:c r="CV11" s="28" t="n"/>
      <x:c r="CW11" s="28" t="n"/>
      <x:c r="CX11" s="28" t="n"/>
      <x:c r="CY11" s="28" t="n"/>
      <x:c r="CZ11" s="28" t="n"/>
      <x:c r="DA11" s="28" t="n"/>
      <x:c r="DB11" s="28" t="n"/>
      <x:c r="DC11" s="28" t="n"/>
      <x:c r="DD11" s="28" t="n"/>
      <x:c r="DE11" s="28" t="n"/>
      <x:c r="DF11" s="28" t="n"/>
      <x:c r="DG11" s="28" t="n"/>
      <x:c r="DH11" s="28" t="n"/>
      <x:c r="DI11" s="28" t="n"/>
      <x:c r="DJ11" s="28" t="n"/>
      <x:c r="DK11" s="28" t="n"/>
      <x:c r="DL11" s="28" t="n"/>
      <x:c r="DM11" s="28" t="n"/>
      <x:c r="DN11" s="28" t="n"/>
      <x:c r="DO11" s="28" t="n"/>
      <x:c r="DP11" s="28" t="n"/>
      <x:c r="DQ11" s="28" t="n"/>
      <x:c r="DR11" s="28" t="n"/>
      <x:c r="DS11" s="28" t="n"/>
      <x:c r="DT11" s="28" t="n"/>
      <x:c r="DU11" s="28" t="n"/>
      <x:c r="DV11" s="28" t="n"/>
      <x:c r="DW11" s="28" t="n"/>
      <x:c r="DX11" s="28" t="n"/>
      <x:c r="DY11" s="28" t="n"/>
      <x:c r="DZ11" s="28" t="n"/>
      <x:c r="EA11" s="28" t="n"/>
      <x:c r="EB11" s="28" t="n"/>
      <x:c r="EC11" s="28" t="n"/>
      <x:c r="ED11" s="28" t="n"/>
      <x:c r="EE11" s="28" t="n"/>
      <x:c r="EF11" s="28" t="n"/>
      <x:c r="EG11" s="28" t="n"/>
      <x:c r="EH11" s="28" t="n"/>
      <x:c r="EI11" s="28" t="n"/>
      <x:c r="EJ11" s="28" t="n"/>
      <x:c r="EK11" s="28" t="n"/>
      <x:c r="EL11" s="28" t="n"/>
      <x:c r="EM11" s="28" t="n"/>
      <x:c r="EN11" s="28" t="n"/>
      <x:c r="EO11" s="28" t="n"/>
      <x:c r="EP11" s="28" t="n"/>
      <x:c r="EQ11" s="28" t="n"/>
      <x:c r="ER11" s="28" t="n"/>
      <x:c r="ES11" s="28" t="n"/>
      <x:c r="ET11" s="28" t="n"/>
      <x:c r="EU11" s="28" t="n"/>
      <x:c r="EV11" s="28" t="n"/>
      <x:c r="EW11" s="28" t="n"/>
      <x:c r="EX11" s="28" t="n"/>
      <x:c r="EY11" s="28" t="n"/>
      <x:c r="EZ11" s="28" t="n"/>
      <x:c r="FA11" s="28" t="n"/>
      <x:c r="FB11" s="28" t="n"/>
      <x:c r="FC11" s="28" t="n"/>
      <x:c r="FD11" s="28" t="n"/>
      <x:c r="FE11" s="28" t="n"/>
      <x:c r="FF11" s="28" t="n"/>
      <x:c r="FG11" s="28" t="n"/>
      <x:c r="FH11" s="28" t="n"/>
      <x:c r="FI11" s="28" t="n"/>
      <x:c r="FJ11" s="28" t="n"/>
      <x:c r="FK11" s="28" t="n"/>
      <x:c r="FL11" s="28" t="n"/>
      <x:c r="FM11" s="28" t="n"/>
      <x:c r="FN11" s="28" t="n"/>
      <x:c r="FO11" s="28" t="n"/>
      <x:c r="FP11" s="28" t="n"/>
      <x:c r="FQ11" s="28" t="n"/>
    </x:row>
    <x:row r="12" s="27" customFormat="1" ht="13.5" customHeight="1">
      <x:c r="A12" s="38" t="n"/>
      <x:c r="B12" s="39" t="n">
        <x:v>67</x:v>
      </x:c>
      <x:c r="C12" s="36" t="n">
        <x:f>E12*D$4</x:f>
        <x:v>0</x:v>
      </x:c>
      <x:c r="D12" s="371" t="inlineStr">
        <x:is>
          <x:t xml:space="preserve">Keri Lee Daigle Tucker Trust</x:t>
        </x:is>
      </x:c>
      <x:c r="E12" s="36" t="n">
        <x:f>SUM(G12:HJ12)</x:f>
        <x:v>0</x:v>
      </x:c>
      <x:c r="F12" s="35" t="n"/>
      <x:c r="G12" s="28" t="n"/>
      <x:c r="H12" s="28" t="n"/>
      <x:c r="I12" s="28" t="n"/>
      <x:c r="J12" s="28" t="n"/>
      <x:c r="K12" s="28" t="n"/>
      <x:c r="L12" s="28" t="n"/>
      <x:c r="M12" s="28" t="n"/>
      <x:c r="P12" s="28" t="n"/>
      <x:c r="Q12" s="28" t="n"/>
      <x:c r="R12" s="28" t="n"/>
      <x:c r="S12" s="28" t="n"/>
      <x:c r="T12" s="28" t="n"/>
      <x:c r="U12" s="28" t="n"/>
      <x:c r="V12" s="28" t="n"/>
      <x:c r="W12" s="28" t="n"/>
      <x:c r="X12" s="28" t="n"/>
      <x:c r="Y12" s="28" t="n"/>
      <x:c r="Z12" s="28" t="n"/>
      <x:c r="AA12" s="28" t="n"/>
      <x:c r="AB12" s="28" t="n"/>
      <x:c r="AC12" s="28" t="n"/>
      <x:c r="AD12" s="28" t="n"/>
      <x:c r="AE12" s="28" t="n"/>
      <x:c r="AF12" s="28" t="n"/>
      <x:c r="AG12" s="28" t="n"/>
      <x:c r="AH12" s="28" t="n"/>
      <x:c r="AI12" s="28" t="n"/>
      <x:c r="AJ12" s="28" t="n"/>
      <x:c r="AK12" s="28" t="n"/>
      <x:c r="AL12" s="28" t="n"/>
      <x:c r="AM12" s="28" t="n"/>
      <x:c r="AN12" s="28" t="n"/>
      <x:c r="AO12" s="28" t="n"/>
      <x:c r="AP12" s="28" t="n"/>
      <x:c r="AQ12" s="28" t="n"/>
      <x:c r="AR12" s="28" t="n"/>
      <x:c r="AS12" s="28" t="n"/>
      <x:c r="AT12" s="28" t="n"/>
      <x:c r="AU12" s="28" t="n"/>
      <x:c r="AV12" s="28" t="n"/>
      <x:c r="AW12" s="28" t="n"/>
      <x:c r="AX12" s="28" t="n"/>
      <x:c r="AY12" s="28" t="n"/>
      <x:c r="AZ12" s="28" t="n"/>
      <x:c r="BA12" s="28" t="n"/>
      <x:c r="BB12" s="28" t="n"/>
      <x:c r="BC12" s="28" t="n"/>
      <x:c r="BD12" s="28" t="n"/>
      <x:c r="BE12" s="28" t="n"/>
      <x:c r="BF12" s="28" t="n"/>
      <x:c r="BG12" s="28" t="n"/>
      <x:c r="BH12" s="28" t="n"/>
      <x:c r="BI12" s="28" t="n"/>
      <x:c r="BJ12" s="28" t="n"/>
      <x:c r="BK12" s="28" t="n"/>
      <x:c r="BL12" s="28" t="n"/>
      <x:c r="BM12" s="28" t="n"/>
      <x:c r="BN12" s="28" t="n"/>
      <x:c r="BO12" s="28" t="n"/>
      <x:c r="BP12" s="28" t="n"/>
      <x:c r="BQ12" s="28" t="n"/>
      <x:c r="BR12" s="28" t="n"/>
      <x:c r="BS12" s="28" t="n"/>
      <x:c r="BT12" s="28" t="n"/>
      <x:c r="BU12" s="28" t="n"/>
      <x:c r="BV12" s="28" t="n"/>
      <x:c r="BW12" s="28" t="n"/>
      <x:c r="BX12" s="28" t="n"/>
      <x:c r="BY12" s="28" t="n"/>
      <x:c r="BZ12" s="28" t="n"/>
      <x:c r="CA12" s="28" t="n"/>
      <x:c r="CB12" s="28" t="n"/>
      <x:c r="CC12" s="28" t="n"/>
      <x:c r="CD12" s="28" t="n"/>
      <x:c r="CE12" s="28" t="n"/>
      <x:c r="CF12" s="28" t="n"/>
      <x:c r="CG12" s="28" t="n"/>
      <x:c r="CH12" s="28" t="n"/>
      <x:c r="CI12" s="28" t="n"/>
      <x:c r="CJ12" s="28" t="n"/>
      <x:c r="CK12" s="28" t="n"/>
      <x:c r="CL12" s="28" t="n"/>
      <x:c r="CM12" s="28" t="n"/>
      <x:c r="CN12" s="28" t="n"/>
      <x:c r="CO12" s="28" t="n"/>
      <x:c r="CP12" s="28" t="n"/>
      <x:c r="CQ12" s="28" t="n"/>
      <x:c r="CR12" s="28" t="n"/>
      <x:c r="CS12" s="28" t="n"/>
      <x:c r="CT12" s="28" t="n"/>
      <x:c r="CU12" s="28" t="n"/>
      <x:c r="CV12" s="28" t="n"/>
      <x:c r="CW12" s="28" t="n"/>
      <x:c r="CX12" s="28" t="n"/>
      <x:c r="CY12" s="28" t="n"/>
      <x:c r="CZ12" s="28" t="n"/>
      <x:c r="DA12" s="28" t="n"/>
      <x:c r="DB12" s="28" t="n"/>
      <x:c r="DC12" s="28" t="n"/>
      <x:c r="DD12" s="28" t="n"/>
      <x:c r="DE12" s="28" t="n"/>
      <x:c r="DF12" s="28" t="n"/>
      <x:c r="DG12" s="28" t="n"/>
      <x:c r="DH12" s="28" t="n"/>
      <x:c r="DI12" s="28" t="n"/>
      <x:c r="DJ12" s="28" t="n"/>
      <x:c r="DK12" s="28" t="n"/>
      <x:c r="DL12" s="28" t="n"/>
      <x:c r="DM12" s="28" t="n"/>
      <x:c r="DN12" s="28" t="n"/>
      <x:c r="DO12" s="28" t="n"/>
      <x:c r="DP12" s="28" t="n"/>
      <x:c r="DQ12" s="28" t="n"/>
      <x:c r="DR12" s="28" t="n"/>
      <x:c r="DS12" s="28" t="n"/>
      <x:c r="DT12" s="28" t="n"/>
      <x:c r="DU12" s="28" t="n"/>
      <x:c r="DV12" s="28" t="n"/>
      <x:c r="DW12" s="28" t="n"/>
      <x:c r="DX12" s="28" t="n"/>
      <x:c r="DY12" s="28" t="n"/>
      <x:c r="DZ12" s="28" t="n"/>
      <x:c r="EA12" s="28" t="n"/>
      <x:c r="EB12" s="28" t="n"/>
      <x:c r="EC12" s="28" t="n"/>
      <x:c r="ED12" s="28" t="n"/>
      <x:c r="EE12" s="28" t="n"/>
      <x:c r="EF12" s="28" t="n"/>
      <x:c r="EG12" s="28" t="n"/>
      <x:c r="EH12" s="28" t="n"/>
      <x:c r="EI12" s="28" t="n"/>
      <x:c r="EJ12" s="28" t="n"/>
      <x:c r="EK12" s="28" t="n"/>
      <x:c r="EL12" s="28" t="n"/>
      <x:c r="EM12" s="28" t="n"/>
      <x:c r="EN12" s="28" t="n"/>
      <x:c r="EO12" s="28" t="n"/>
      <x:c r="EP12" s="28" t="n"/>
      <x:c r="EQ12" s="28" t="n"/>
      <x:c r="ER12" s="28" t="n"/>
      <x:c r="ES12" s="28" t="n"/>
      <x:c r="ET12" s="28" t="n"/>
      <x:c r="EU12" s="28" t="n"/>
      <x:c r="EV12" s="28" t="n"/>
      <x:c r="EW12" s="28" t="n"/>
      <x:c r="EX12" s="28" t="n"/>
      <x:c r="EY12" s="28" t="n"/>
      <x:c r="EZ12" s="28" t="n"/>
      <x:c r="FA12" s="28" t="n"/>
      <x:c r="FB12" s="28" t="n"/>
      <x:c r="FC12" s="28" t="n"/>
      <x:c r="FD12" s="28" t="n"/>
      <x:c r="FE12" s="28" t="n"/>
      <x:c r="FF12" s="28" t="n"/>
      <x:c r="FG12" s="28" t="n"/>
      <x:c r="FH12" s="28" t="n"/>
      <x:c r="FI12" s="28" t="n"/>
      <x:c r="FJ12" s="28" t="n"/>
      <x:c r="FK12" s="28" t="n"/>
      <x:c r="FL12" s="28" t="n"/>
      <x:c r="FM12" s="28" t="n"/>
      <x:c r="FN12" s="28" t="n"/>
      <x:c r="FO12" s="28" t="n"/>
      <x:c r="FP12" s="28" t="n"/>
      <x:c r="FQ12" s="28" t="n"/>
    </x:row>
    <x:row r="13" s="27" customFormat="1">
      <x:c r="A13" s="38" t="n"/>
      <x:c r="B13" s="39" t="n">
        <x:v>68</x:v>
      </x:c>
      <x:c r="C13" s="36" t="n">
        <x:f>E13*D$4</x:f>
        <x:v>0</x:v>
      </x:c>
      <x:c r="D13" s="10" t="inlineStr">
        <x:is>
          <x:t xml:space="preserve">Mark Ashley Daigle Trust</x:t>
        </x:is>
      </x:c>
      <x:c r="E13" s="36" t="n">
        <x:f>SUM(G13:HJ13)</x:f>
        <x:v>0</x:v>
      </x:c>
      <x:c r="F13" s="35" t="n"/>
      <x:c r="G13" s="28" t="n"/>
      <x:c r="H13" s="28" t="n"/>
      <x:c r="I13" s="28" t="n"/>
      <x:c r="J13" s="28" t="n"/>
      <x:c r="K13" s="28" t="n"/>
      <x:c r="L13" s="28" t="n"/>
      <x:c r="M13" s="28" t="n"/>
      <x:c r="N13" s="28" t="n"/>
      <x:c r="O13" s="28" t="n"/>
      <x:c r="P13" s="28" t="n"/>
      <x:c r="Q13" s="28" t="n"/>
      <x:c r="R13" s="28" t="n"/>
      <x:c r="S13" s="28" t="n"/>
      <x:c r="T13" s="28" t="n"/>
      <x:c r="U13" s="28" t="n"/>
      <x:c r="V13" s="28" t="n"/>
      <x:c r="W13" s="28" t="n"/>
      <x:c r="X13" s="28" t="n"/>
      <x:c r="Y13" s="28" t="n"/>
      <x:c r="Z13" s="28" t="n"/>
      <x:c r="AA13" s="28" t="n"/>
      <x:c r="AB13" s="28" t="n"/>
      <x:c r="AC13" s="28" t="n"/>
      <x:c r="AD13" s="28" t="n"/>
      <x:c r="AE13" s="28" t="n"/>
      <x:c r="AF13" s="28" t="n"/>
      <x:c r="AG13" s="28" t="n"/>
      <x:c r="AH13" s="28" t="n"/>
      <x:c r="AI13" s="28" t="n"/>
      <x:c r="AJ13" s="28" t="n"/>
      <x:c r="AK13" s="28" t="n"/>
      <x:c r="AL13" s="28" t="n"/>
      <x:c r="AM13" s="28" t="n"/>
      <x:c r="AN13" s="28" t="n"/>
      <x:c r="AO13" s="28" t="n"/>
      <x:c r="AP13" s="28" t="n"/>
      <x:c r="AQ13" s="28" t="n"/>
      <x:c r="AR13" s="28" t="n"/>
      <x:c r="AS13" s="28" t="n"/>
      <x:c r="AT13" s="28" t="n"/>
      <x:c r="AU13" s="28" t="n"/>
      <x:c r="AV13" s="28" t="n"/>
      <x:c r="AW13" s="28" t="n"/>
      <x:c r="AX13" s="28" t="n"/>
      <x:c r="AY13" s="28" t="n"/>
      <x:c r="AZ13" s="28" t="n"/>
      <x:c r="BA13" s="28" t="n"/>
      <x:c r="BB13" s="28" t="n"/>
      <x:c r="BC13" s="28" t="n"/>
      <x:c r="BD13" s="28" t="n"/>
      <x:c r="BE13" s="28" t="n"/>
      <x:c r="BF13" s="28" t="n"/>
      <x:c r="BG13" s="28" t="n"/>
      <x:c r="BH13" s="28" t="n"/>
      <x:c r="BI13" s="28" t="n"/>
      <x:c r="BJ13" s="28" t="n"/>
      <x:c r="BK13" s="28" t="n"/>
      <x:c r="BL13" s="28" t="n"/>
      <x:c r="BM13" s="28" t="n"/>
      <x:c r="BN13" s="28" t="n"/>
      <x:c r="BO13" s="28" t="n"/>
      <x:c r="BP13" s="28" t="n"/>
      <x:c r="BQ13" s="28" t="n"/>
      <x:c r="BR13" s="28" t="n"/>
      <x:c r="BS13" s="28" t="n"/>
      <x:c r="BT13" s="28" t="n"/>
      <x:c r="BU13" s="28" t="n"/>
      <x:c r="BV13" s="28" t="n"/>
      <x:c r="BW13" s="28" t="n"/>
      <x:c r="BX13" s="28" t="n"/>
      <x:c r="BY13" s="28" t="n"/>
      <x:c r="BZ13" s="28" t="n"/>
      <x:c r="CA13" s="28" t="n"/>
      <x:c r="CB13" s="28" t="n"/>
      <x:c r="CC13" s="28" t="n"/>
      <x:c r="CD13" s="28" t="n"/>
      <x:c r="CE13" s="28" t="n"/>
      <x:c r="CF13" s="28" t="n"/>
      <x:c r="CG13" s="28" t="n"/>
      <x:c r="CH13" s="28" t="n"/>
      <x:c r="CI13" s="28" t="n"/>
      <x:c r="CJ13" s="28" t="n"/>
      <x:c r="CK13" s="28" t="n"/>
      <x:c r="CL13" s="28" t="n"/>
      <x:c r="CM13" s="28" t="n"/>
      <x:c r="CN13" s="28" t="n"/>
      <x:c r="CO13" s="28" t="n"/>
      <x:c r="CP13" s="28" t="n"/>
      <x:c r="CQ13" s="28" t="n"/>
      <x:c r="CR13" s="28" t="n"/>
      <x:c r="CS13" s="28" t="n"/>
      <x:c r="CT13" s="28" t="n"/>
      <x:c r="CU13" s="28" t="n"/>
      <x:c r="CV13" s="28" t="n"/>
      <x:c r="CW13" s="28" t="n"/>
      <x:c r="CX13" s="28" t="n"/>
      <x:c r="CY13" s="28" t="n"/>
      <x:c r="CZ13" s="28" t="n"/>
      <x:c r="DA13" s="28" t="n"/>
      <x:c r="DB13" s="28" t="n"/>
      <x:c r="DC13" s="28" t="n"/>
      <x:c r="DD13" s="28" t="n"/>
      <x:c r="DE13" s="28" t="n"/>
      <x:c r="DF13" s="28" t="n"/>
      <x:c r="DG13" s="28" t="n"/>
      <x:c r="DH13" s="28" t="n"/>
      <x:c r="DI13" s="28" t="n"/>
      <x:c r="DJ13" s="28" t="n"/>
      <x:c r="DK13" s="28" t="n"/>
      <x:c r="DL13" s="28" t="n"/>
      <x:c r="DM13" s="28" t="n"/>
      <x:c r="DN13" s="28" t="n"/>
      <x:c r="DO13" s="28" t="n"/>
      <x:c r="DP13" s="28" t="n"/>
      <x:c r="DQ13" s="28" t="n"/>
      <x:c r="DR13" s="28" t="n"/>
      <x:c r="DS13" s="28" t="n"/>
      <x:c r="DT13" s="28" t="n"/>
      <x:c r="DU13" s="28" t="n"/>
      <x:c r="DV13" s="28" t="n"/>
      <x:c r="DW13" s="28" t="n"/>
      <x:c r="DX13" s="28" t="n"/>
      <x:c r="DY13" s="28" t="n"/>
      <x:c r="DZ13" s="28" t="n"/>
      <x:c r="EA13" s="28" t="n"/>
      <x:c r="EB13" s="28" t="n"/>
      <x:c r="EC13" s="28" t="n"/>
      <x:c r="ED13" s="28" t="n"/>
      <x:c r="EE13" s="28" t="n"/>
      <x:c r="EF13" s="28" t="n"/>
      <x:c r="EG13" s="28" t="n"/>
      <x:c r="EH13" s="28" t="n"/>
      <x:c r="EI13" s="28" t="n"/>
      <x:c r="EJ13" s="28" t="n"/>
      <x:c r="EK13" s="28" t="n"/>
      <x:c r="EL13" s="28" t="n"/>
      <x:c r="EM13" s="28" t="n"/>
      <x:c r="EN13" s="28" t="n"/>
      <x:c r="EO13" s="28" t="n"/>
      <x:c r="EP13" s="28" t="n"/>
      <x:c r="EQ13" s="28" t="n"/>
      <x:c r="ER13" s="28" t="n"/>
      <x:c r="ES13" s="28" t="n"/>
      <x:c r="ET13" s="28" t="n"/>
      <x:c r="EU13" s="28" t="n"/>
      <x:c r="EV13" s="28" t="n"/>
      <x:c r="EW13" s="28" t="n"/>
      <x:c r="EX13" s="28" t="n"/>
      <x:c r="EY13" s="28" t="n"/>
      <x:c r="EZ13" s="28" t="n"/>
      <x:c r="FA13" s="28" t="n"/>
      <x:c r="FB13" s="28" t="n"/>
      <x:c r="FC13" s="28" t="n"/>
      <x:c r="FD13" s="28" t="n"/>
      <x:c r="FE13" s="28" t="n"/>
      <x:c r="FF13" s="28" t="n"/>
      <x:c r="FG13" s="28" t="n"/>
      <x:c r="FH13" s="28" t="n"/>
      <x:c r="FI13" s="28" t="n"/>
      <x:c r="FJ13" s="28" t="n"/>
      <x:c r="FK13" s="28" t="n"/>
      <x:c r="FL13" s="28" t="n"/>
      <x:c r="FM13" s="28" t="n"/>
      <x:c r="FN13" s="28" t="n"/>
      <x:c r="FO13" s="28" t="n"/>
      <x:c r="FP13" s="28" t="n"/>
      <x:c r="FQ13" s="28" t="n"/>
    </x:row>
    <x:row r="14" s="27" customFormat="1" ht="15.600000381469727" customHeight="1">
      <x:c r="A14" s="38" t="n"/>
      <x:c r="B14" s="39" t="n">
        <x:v>69</x:v>
      </x:c>
      <x:c r="C14" s="36" t="n">
        <x:f>E14*D$4</x:f>
        <x:v>0</x:v>
      </x:c>
      <x:c r="D14" s="10" t="inlineStr">
        <x:is>
          <x:t xml:space="preserve">Kevin Warner Johnson Trust</x:t>
        </x:is>
      </x:c>
      <x:c r="E14" s="36" t="n">
        <x:f>SUM(G14:HJ14)</x:f>
        <x:v>0</x:v>
      </x:c>
      <x:c r="F14" s="35" t="n"/>
      <x:c r="G14" s="28" t="n"/>
      <x:c r="H14" s="28" t="n"/>
      <x:c r="I14" s="28" t="n"/>
      <x:c r="J14" s="28" t="n"/>
      <x:c r="K14" s="28" t="n"/>
      <x:c r="L14" s="28" t="n"/>
      <x:c r="M14" s="28" t="n"/>
      <x:c r="N14" s="28" t="n"/>
      <x:c r="O14" s="28" t="n"/>
      <x:c r="P14" s="28" t="n"/>
      <x:c r="Q14" s="28" t="n"/>
      <x:c r="R14" s="28" t="n"/>
      <x:c r="S14" s="28" t="n"/>
      <x:c r="T14" s="28" t="n"/>
      <x:c r="U14" s="28" t="n"/>
      <x:c r="V14" s="28" t="n"/>
      <x:c r="W14" s="28" t="n"/>
      <x:c r="X14" s="28" t="n"/>
      <x:c r="Y14" s="28" t="n"/>
      <x:c r="Z14" s="28" t="n"/>
      <x:c r="AA14" s="28" t="n"/>
      <x:c r="AB14" s="28" t="n"/>
      <x:c r="AC14" s="28" t="n"/>
      <x:c r="AD14" s="28" t="n"/>
      <x:c r="AE14" s="28" t="n"/>
      <x:c r="AF14" s="28" t="n"/>
      <x:c r="AG14" s="28" t="n"/>
      <x:c r="AH14" s="28" t="n"/>
      <x:c r="AI14" s="28" t="n"/>
      <x:c r="AJ14" s="28" t="n"/>
      <x:c r="AK14" s="28" t="n"/>
      <x:c r="AL14" s="28" t="n"/>
      <x:c r="AM14" s="28" t="n"/>
      <x:c r="AN14" s="28" t="n"/>
      <x:c r="AO14" s="28" t="n"/>
      <x:c r="AP14" s="28" t="n"/>
      <x:c r="AQ14" s="28" t="n"/>
      <x:c r="AR14" s="28" t="n"/>
      <x:c r="AS14" s="28" t="n"/>
      <x:c r="AT14" s="28" t="n"/>
      <x:c r="AU14" s="28" t="n"/>
      <x:c r="AV14" s="28" t="n"/>
      <x:c r="AW14" s="28" t="n"/>
      <x:c r="AX14" s="28" t="n"/>
      <x:c r="AY14" s="28" t="n"/>
      <x:c r="AZ14" s="28" t="n"/>
      <x:c r="BA14" s="28" t="n"/>
      <x:c r="BB14" s="28" t="n"/>
      <x:c r="BC14" s="28" t="n"/>
      <x:c r="BD14" s="28" t="n"/>
      <x:c r="BE14" s="28" t="n"/>
      <x:c r="BF14" s="28" t="n"/>
      <x:c r="BG14" s="28" t="n"/>
      <x:c r="BH14" s="28" t="n"/>
      <x:c r="BI14" s="28" t="n"/>
      <x:c r="BJ14" s="28" t="n"/>
      <x:c r="BK14" s="28" t="n"/>
      <x:c r="BL14" s="28" t="n"/>
      <x:c r="BM14" s="28" t="n"/>
      <x:c r="BN14" s="28" t="n"/>
      <x:c r="BO14" s="28" t="n"/>
      <x:c r="BP14" s="28" t="n"/>
      <x:c r="BQ14" s="28" t="n"/>
      <x:c r="BR14" s="28" t="n"/>
      <x:c r="BS14" s="28" t="n"/>
      <x:c r="BT14" s="28" t="n"/>
      <x:c r="BU14" s="28" t="n"/>
      <x:c r="BV14" s="28" t="n"/>
      <x:c r="BW14" s="28" t="n"/>
      <x:c r="BX14" s="28" t="n"/>
      <x:c r="BY14" s="28" t="n"/>
      <x:c r="BZ14" s="28" t="n"/>
      <x:c r="CA14" s="28" t="n"/>
      <x:c r="CB14" s="28" t="n"/>
      <x:c r="CC14" s="28" t="n"/>
      <x:c r="CD14" s="28" t="n"/>
      <x:c r="CE14" s="28" t="n"/>
      <x:c r="CF14" s="28" t="n"/>
      <x:c r="CG14" s="28" t="n"/>
      <x:c r="CH14" s="28" t="n"/>
      <x:c r="CI14" s="28" t="n"/>
      <x:c r="CJ14" s="28" t="n"/>
      <x:c r="CK14" s="28" t="n"/>
      <x:c r="CL14" s="28" t="n"/>
      <x:c r="CM14" s="28" t="n"/>
      <x:c r="CN14" s="28" t="n"/>
      <x:c r="CO14" s="28" t="n"/>
      <x:c r="CP14" s="28" t="n"/>
      <x:c r="CQ14" s="28" t="n"/>
      <x:c r="CR14" s="28" t="n"/>
      <x:c r="CS14" s="28" t="n"/>
      <x:c r="CT14" s="28" t="n"/>
      <x:c r="CU14" s="28" t="n"/>
      <x:c r="CV14" s="28" t="n"/>
      <x:c r="CW14" s="28" t="n"/>
      <x:c r="CX14" s="28" t="n"/>
      <x:c r="CY14" s="28" t="n"/>
      <x:c r="CZ14" s="28" t="n"/>
      <x:c r="DA14" s="28" t="n"/>
      <x:c r="DB14" s="28" t="n"/>
      <x:c r="DC14" s="28" t="n"/>
      <x:c r="DD14" s="28" t="n"/>
      <x:c r="DE14" s="28" t="n"/>
      <x:c r="DF14" s="28" t="n"/>
      <x:c r="DG14" s="28" t="n"/>
      <x:c r="DH14" s="28" t="n"/>
      <x:c r="DI14" s="28" t="n"/>
      <x:c r="DJ14" s="28" t="n"/>
      <x:c r="DK14" s="28" t="n"/>
      <x:c r="DL14" s="28" t="n"/>
      <x:c r="DM14" s="28" t="n"/>
      <x:c r="DN14" s="28" t="n"/>
      <x:c r="DO14" s="28" t="n"/>
      <x:c r="DP14" s="28" t="n"/>
      <x:c r="DQ14" s="28" t="n"/>
      <x:c r="DR14" s="28" t="n"/>
      <x:c r="DS14" s="28" t="n"/>
      <x:c r="DT14" s="28" t="n"/>
      <x:c r="DU14" s="28" t="n"/>
      <x:c r="DV14" s="28" t="n"/>
      <x:c r="DW14" s="28" t="n"/>
      <x:c r="DX14" s="28" t="n"/>
      <x:c r="DY14" s="28" t="n"/>
      <x:c r="DZ14" s="28" t="n"/>
      <x:c r="EA14" s="28" t="n"/>
      <x:c r="EB14" s="28" t="n"/>
      <x:c r="EC14" s="28" t="n"/>
      <x:c r="ED14" s="28" t="n"/>
      <x:c r="EE14" s="28" t="n"/>
      <x:c r="EF14" s="28" t="n"/>
      <x:c r="EG14" s="28" t="n"/>
      <x:c r="EH14" s="28" t="n"/>
      <x:c r="EI14" s="28" t="n"/>
      <x:c r="EJ14" s="28" t="n"/>
      <x:c r="EK14" s="28" t="n"/>
      <x:c r="EL14" s="28" t="n"/>
      <x:c r="EM14" s="28" t="n"/>
      <x:c r="EN14" s="28" t="n"/>
      <x:c r="EO14" s="28" t="n"/>
      <x:c r="EP14" s="28" t="n"/>
      <x:c r="EQ14" s="28" t="n"/>
      <x:c r="ER14" s="28" t="n"/>
      <x:c r="ES14" s="28" t="n"/>
      <x:c r="ET14" s="28" t="n"/>
      <x:c r="EU14" s="28" t="n"/>
      <x:c r="EV14" s="28" t="n"/>
      <x:c r="EW14" s="28" t="n"/>
      <x:c r="EX14" s="28" t="n"/>
      <x:c r="EY14" s="28" t="n"/>
      <x:c r="EZ14" s="28" t="n"/>
      <x:c r="FA14" s="28" t="n"/>
      <x:c r="FB14" s="28" t="n"/>
      <x:c r="FC14" s="28" t="n"/>
      <x:c r="FD14" s="28" t="n"/>
      <x:c r="FE14" s="28" t="n"/>
      <x:c r="FF14" s="28" t="n"/>
      <x:c r="FG14" s="28" t="n"/>
      <x:c r="FH14" s="28" t="n"/>
      <x:c r="FI14" s="28" t="n"/>
      <x:c r="FJ14" s="28" t="n"/>
      <x:c r="FK14" s="28" t="n"/>
      <x:c r="FL14" s="28" t="n"/>
      <x:c r="FM14" s="28" t="n"/>
      <x:c r="FN14" s="28" t="n"/>
      <x:c r="FO14" s="28" t="n"/>
      <x:c r="FP14" s="28" t="n"/>
      <x:c r="FQ14" s="28" t="n"/>
    </x:row>
    <x:row r="15" s="27" customFormat="1">
      <x:c r="A15" s="38" t="n"/>
      <x:c r="B15" s="39" t="inlineStr">
        <x:is>
          <x:t xml:space="preserve">64-69</x:t>
        </x:is>
      </x:c>
      <x:c r="C15" s="36" t="n">
        <x:f>E15*D$4</x:f>
        <x:v>0</x:v>
      </x:c>
      <x:c r="D15" s="10" t="inlineStr">
        <x:is>
          <x:t xml:space="preserve">Silver Oak Natural Resources, LLC</x:t>
        </x:is>
      </x:c>
      <x:c r="E15" s="36" t="n">
        <x:f>SUM(G15:HJ15)</x:f>
        <x:v>0</x:v>
      </x:c>
      <x:c r="F15" s="35" t="n"/>
      <x:c r="G15" s="28" t="n"/>
      <x:c r="H15" s="28" t="n"/>
      <x:c r="I15" s="28" t="n"/>
      <x:c r="J15" s="28" t="n"/>
      <x:c r="K15" s="28" t="n"/>
      <x:c r="L15" s="28" t="n"/>
      <x:c r="M15" s="28" t="n"/>
      <x:c r="N15" s="28" t="n"/>
      <x:c r="O15" s="28" t="n"/>
      <x:c r="P15" s="28" t="n"/>
      <x:c r="Q15" s="28" t="n"/>
      <x:c r="R15" s="28" t="n"/>
      <x:c r="S15" s="28" t="n"/>
      <x:c r="T15" s="28" t="n"/>
      <x:c r="U15" s="28" t="n"/>
      <x:c r="V15" s="28" t="n"/>
      <x:c r="W15" s="28" t="n"/>
      <x:c r="X15" s="28" t="n"/>
      <x:c r="Y15" s="28" t="n"/>
      <x:c r="Z15" s="28" t="n"/>
      <x:c r="AA15" s="28" t="n"/>
      <x:c r="AB15" s="28" t="n"/>
      <x:c r="AC15" s="28" t="n"/>
      <x:c r="AD15" s="28" t="n"/>
      <x:c r="AE15" s="28" t="n"/>
      <x:c r="AF15" s="28" t="n"/>
      <x:c r="AG15" s="28" t="n"/>
      <x:c r="AH15" s="28" t="n"/>
      <x:c r="AI15" s="28" t="n"/>
      <x:c r="AJ15" s="28" t="n"/>
      <x:c r="AK15" s="28" t="n"/>
      <x:c r="AL15" s="28" t="n"/>
      <x:c r="AM15" s="28" t="n"/>
      <x:c r="AN15" s="28" t="n"/>
      <x:c r="AO15" s="28" t="n"/>
      <x:c r="AP15" s="28" t="n"/>
      <x:c r="AQ15" s="28" t="n"/>
      <x:c r="AR15" s="28" t="n"/>
      <x:c r="AS15" s="28" t="n"/>
      <x:c r="AT15" s="28" t="n"/>
      <x:c r="AU15" s="28" t="n"/>
      <x:c r="AV15" s="28" t="n"/>
      <x:c r="AW15" s="28" t="n"/>
      <x:c r="AX15" s="28" t="n"/>
      <x:c r="AY15" s="28" t="n"/>
      <x:c r="AZ15" s="28" t="n"/>
      <x:c r="BA15" s="28" t="n"/>
      <x:c r="BB15" s="28" t="n"/>
      <x:c r="BC15" s="28" t="n"/>
      <x:c r="BD15" s="28" t="n"/>
      <x:c r="BE15" s="28" t="n"/>
      <x:c r="BF15" s="28" t="n"/>
      <x:c r="BG15" s="28" t="n"/>
      <x:c r="BH15" s="28" t="n"/>
      <x:c r="BI15" s="28" t="n"/>
      <x:c r="BJ15" s="28" t="n"/>
      <x:c r="BK15" s="28" t="n"/>
      <x:c r="BL15" s="28" t="n"/>
      <x:c r="BM15" s="28" t="n"/>
      <x:c r="BN15" s="28" t="n"/>
      <x:c r="BO15" s="28" t="n"/>
      <x:c r="BP15" s="28" t="n"/>
      <x:c r="BQ15" s="28" t="n"/>
      <x:c r="BR15" s="28" t="n"/>
      <x:c r="BS15" s="28" t="n"/>
      <x:c r="BT15" s="28" t="n"/>
      <x:c r="BU15" s="28" t="n"/>
      <x:c r="BV15" s="28" t="n"/>
      <x:c r="BW15" s="28" t="n"/>
      <x:c r="BX15" s="28" t="n"/>
      <x:c r="BY15" s="28" t="n"/>
      <x:c r="BZ15" s="28" t="n"/>
      <x:c r="CA15" s="28" t="n"/>
      <x:c r="CB15" s="28" t="n"/>
      <x:c r="CC15" s="28" t="n"/>
      <x:c r="CD15" s="28" t="n"/>
      <x:c r="CE15" s="28" t="n"/>
      <x:c r="CF15" s="28" t="n"/>
      <x:c r="CG15" s="28" t="n"/>
      <x:c r="CH15" s="28" t="n"/>
      <x:c r="CI15" s="28" t="n"/>
      <x:c r="CJ15" s="28" t="n"/>
      <x:c r="CK15" s="28" t="n"/>
      <x:c r="CL15" s="28" t="n"/>
      <x:c r="CM15" s="28" t="n"/>
      <x:c r="CN15" s="28" t="n"/>
      <x:c r="CO15" s="28" t="n"/>
      <x:c r="CP15" s="28" t="n"/>
      <x:c r="CQ15" s="28" t="n"/>
      <x:c r="CR15" s="28" t="n"/>
      <x:c r="CS15" s="28" t="n"/>
      <x:c r="CT15" s="28" t="n"/>
      <x:c r="CU15" s="28" t="n"/>
      <x:c r="CV15" s="28" t="n"/>
      <x:c r="CW15" s="28" t="n"/>
      <x:c r="CX15" s="28" t="n"/>
      <x:c r="CY15" s="28" t="n"/>
      <x:c r="CZ15" s="28" t="n"/>
      <x:c r="DA15" s="28" t="n"/>
      <x:c r="DB15" s="28" t="n"/>
      <x:c r="DC15" s="28" t="n"/>
      <x:c r="DD15" s="28" t="n"/>
      <x:c r="DE15" s="28" t="n"/>
      <x:c r="DF15" s="28" t="n"/>
      <x:c r="DG15" s="28" t="n"/>
      <x:c r="DH15" s="28" t="n"/>
      <x:c r="DI15" s="28" t="n"/>
      <x:c r="DJ15" s="28" t="n"/>
      <x:c r="DK15" s="28" t="n"/>
      <x:c r="DL15" s="28" t="n"/>
      <x:c r="DM15" s="28" t="n"/>
      <x:c r="DN15" s="28" t="n"/>
      <x:c r="DO15" s="28" t="n"/>
      <x:c r="DP15" s="28" t="n"/>
      <x:c r="DQ15" s="28" t="n"/>
      <x:c r="DR15" s="28" t="n"/>
      <x:c r="DS15" s="28" t="n"/>
      <x:c r="DT15" s="28" t="n"/>
      <x:c r="DU15" s="28" t="n"/>
      <x:c r="DV15" s="28" t="n"/>
      <x:c r="DW15" s="28" t="n"/>
      <x:c r="DX15" s="28" t="n"/>
      <x:c r="DY15" s="28" t="n"/>
      <x:c r="DZ15" s="28" t="n"/>
      <x:c r="EA15" s="28" t="n"/>
      <x:c r="EB15" s="28" t="n"/>
      <x:c r="EC15" s="28" t="n"/>
      <x:c r="ED15" s="28" t="n"/>
      <x:c r="EE15" s="28" t="n"/>
      <x:c r="EF15" s="28" t="n"/>
      <x:c r="EG15" s="28" t="n"/>
      <x:c r="EH15" s="28" t="n"/>
      <x:c r="EI15" s="28" t="n"/>
      <x:c r="EJ15" s="28" t="n"/>
      <x:c r="EK15" s="28" t="n"/>
      <x:c r="EL15" s="28" t="n"/>
      <x:c r="EM15" s="28" t="n"/>
      <x:c r="EN15" s="28" t="n"/>
      <x:c r="EO15" s="28" t="n"/>
      <x:c r="EP15" s="28" t="n"/>
      <x:c r="EQ15" s="28" t="n"/>
      <x:c r="ER15" s="28" t="n"/>
      <x:c r="ES15" s="28" t="n"/>
      <x:c r="ET15" s="28" t="n"/>
      <x:c r="EU15" s="28" t="n"/>
      <x:c r="EV15" s="28" t="n"/>
      <x:c r="EW15" s="28" t="n"/>
      <x:c r="EX15" s="28" t="n"/>
      <x:c r="EY15" s="28" t="n"/>
      <x:c r="EZ15" s="28" t="n"/>
      <x:c r="FA15" s="28" t="n"/>
      <x:c r="FB15" s="28" t="n"/>
      <x:c r="FC15" s="28" t="n"/>
      <x:c r="FD15" s="28" t="n"/>
      <x:c r="FE15" s="28" t="n"/>
      <x:c r="FF15" s="28" t="n"/>
      <x:c r="FG15" s="28" t="n"/>
      <x:c r="FH15" s="28" t="n"/>
      <x:c r="FI15" s="28" t="n"/>
      <x:c r="FJ15" s="28" t="n"/>
      <x:c r="FK15" s="28" t="n"/>
      <x:c r="FL15" s="28" t="n"/>
      <x:c r="FM15" s="28" t="n"/>
      <x:c r="FN15" s="28" t="n"/>
      <x:c r="FO15" s="28" t="n"/>
      <x:c r="FP15" s="28" t="n"/>
      <x:c r="FQ15" s="28" t="n"/>
    </x:row>
    <x:row r="16" s="27" customFormat="1">
      <x:c r="A16" s="38" t="n"/>
      <x:c r="B16" s="39" t="n"/>
      <x:c r="C16" s="36" t="n">
        <x:f>E16*D$4</x:f>
        <x:v>0</x:v>
      </x:c>
      <x:c r="D16" s="10" t="n"/>
      <x:c r="E16" s="36" t="n">
        <x:f>SUM(G16:HJ16)</x:f>
        <x:v>0</x:v>
      </x:c>
      <x:c r="F16" s="35" t="n"/>
      <x:c r="G16" s="28" t="n"/>
      <x:c r="H16" s="28" t="n"/>
      <x:c r="I16" s="28" t="n"/>
      <x:c r="J16" s="28" t="n"/>
      <x:c r="K16" s="28" t="n"/>
      <x:c r="L16" s="28" t="n"/>
      <x:c r="M16" s="28" t="n"/>
      <x:c r="N16" s="28" t="n"/>
      <x:c r="O16" s="28" t="n"/>
      <x:c r="P16" s="28" t="n"/>
      <x:c r="Q16" s="28" t="n"/>
      <x:c r="R16" s="28" t="n"/>
      <x:c r="S16" s="28" t="n"/>
      <x:c r="T16" s="28" t="n"/>
      <x:c r="U16" s="28" t="n"/>
      <x:c r="V16" s="28" t="n"/>
      <x:c r="W16" s="28" t="n"/>
      <x:c r="X16" s="28" t="n"/>
      <x:c r="Y16" s="28" t="n"/>
      <x:c r="Z16" s="28" t="n"/>
      <x:c r="AA16" s="28" t="n"/>
      <x:c r="AB16" s="28" t="n"/>
      <x:c r="AC16" s="28" t="n"/>
      <x:c r="AD16" s="28" t="n"/>
      <x:c r="AE16" s="28" t="n"/>
      <x:c r="AF16" s="28" t="n"/>
      <x:c r="AG16" s="28" t="n"/>
      <x:c r="AH16" s="28" t="n"/>
      <x:c r="AI16" s="28" t="n"/>
      <x:c r="AJ16" s="28" t="n"/>
      <x:c r="AK16" s="28" t="n"/>
      <x:c r="AL16" s="28" t="n"/>
      <x:c r="AM16" s="28" t="n"/>
      <x:c r="AN16" s="28" t="n"/>
      <x:c r="AO16" s="28" t="n"/>
      <x:c r="AP16" s="28" t="n"/>
      <x:c r="AQ16" s="28" t="n"/>
      <x:c r="AR16" s="28" t="n"/>
      <x:c r="AS16" s="28" t="n"/>
      <x:c r="AT16" s="28" t="n"/>
      <x:c r="AU16" s="28" t="n"/>
      <x:c r="AV16" s="28" t="n"/>
      <x:c r="AW16" s="28" t="n"/>
      <x:c r="AX16" s="28" t="n"/>
      <x:c r="AY16" s="28" t="n"/>
      <x:c r="AZ16" s="28" t="n"/>
      <x:c r="BA16" s="28" t="n"/>
      <x:c r="BB16" s="28" t="n"/>
      <x:c r="BC16" s="28" t="n"/>
      <x:c r="BD16" s="28" t="n"/>
      <x:c r="BE16" s="28" t="n"/>
      <x:c r="BF16" s="28" t="n"/>
      <x:c r="BG16" s="28" t="n"/>
      <x:c r="BH16" s="28" t="n"/>
      <x:c r="BI16" s="28" t="n"/>
      <x:c r="BJ16" s="28" t="n"/>
      <x:c r="BK16" s="28" t="n"/>
      <x:c r="BL16" s="28" t="n"/>
      <x:c r="BM16" s="28" t="n"/>
      <x:c r="BN16" s="28" t="n"/>
      <x:c r="BO16" s="28" t="n"/>
      <x:c r="BP16" s="28" t="n"/>
      <x:c r="BQ16" s="28" t="n"/>
      <x:c r="BR16" s="28" t="n"/>
      <x:c r="BS16" s="28" t="n"/>
      <x:c r="BT16" s="28" t="n"/>
      <x:c r="BU16" s="28" t="n"/>
      <x:c r="BV16" s="28" t="n"/>
      <x:c r="BW16" s="28" t="n"/>
      <x:c r="BX16" s="28" t="n"/>
      <x:c r="BY16" s="28" t="n"/>
      <x:c r="BZ16" s="28" t="n"/>
      <x:c r="CA16" s="28" t="n"/>
      <x:c r="CB16" s="28" t="n"/>
      <x:c r="CC16" s="28" t="n"/>
      <x:c r="CD16" s="28" t="n"/>
      <x:c r="CE16" s="28" t="n"/>
      <x:c r="CF16" s="28" t="n"/>
      <x:c r="CG16" s="28" t="n"/>
      <x:c r="CH16" s="28" t="n"/>
      <x:c r="CI16" s="28" t="n"/>
      <x:c r="CJ16" s="28" t="n"/>
      <x:c r="CK16" s="28" t="n"/>
      <x:c r="CL16" s="28" t="n"/>
      <x:c r="CM16" s="28" t="n"/>
      <x:c r="CN16" s="28" t="n"/>
      <x:c r="CO16" s="28" t="n"/>
      <x:c r="CP16" s="28" t="n"/>
      <x:c r="CQ16" s="28" t="n"/>
      <x:c r="CR16" s="28" t="n"/>
      <x:c r="CS16" s="28" t="n"/>
      <x:c r="CT16" s="28" t="n"/>
      <x:c r="CU16" s="28" t="n"/>
      <x:c r="CV16" s="28" t="n"/>
      <x:c r="CW16" s="28" t="n"/>
      <x:c r="CX16" s="28" t="n"/>
      <x:c r="CY16" s="28" t="n"/>
      <x:c r="CZ16" s="28" t="n"/>
      <x:c r="DA16" s="28" t="n"/>
      <x:c r="DB16" s="28" t="n"/>
      <x:c r="DC16" s="28" t="n"/>
      <x:c r="DD16" s="28" t="n"/>
      <x:c r="DE16" s="28" t="n"/>
      <x:c r="DF16" s="28" t="n"/>
      <x:c r="DG16" s="28" t="n"/>
      <x:c r="DH16" s="28" t="n"/>
      <x:c r="DI16" s="28" t="n"/>
      <x:c r="DJ16" s="28" t="n"/>
      <x:c r="DK16" s="28" t="n"/>
      <x:c r="DL16" s="28" t="n"/>
      <x:c r="DM16" s="28" t="n"/>
      <x:c r="DN16" s="28" t="n"/>
      <x:c r="DO16" s="28" t="n"/>
      <x:c r="DP16" s="28" t="n"/>
      <x:c r="DQ16" s="28" t="n"/>
      <x:c r="DR16" s="28" t="n"/>
      <x:c r="DS16" s="28" t="n"/>
      <x:c r="DT16" s="28" t="n"/>
      <x:c r="DU16" s="28" t="n"/>
      <x:c r="DV16" s="28" t="n"/>
      <x:c r="DW16" s="28" t="n"/>
      <x:c r="DX16" s="28" t="n"/>
      <x:c r="DY16" s="28" t="n"/>
      <x:c r="DZ16" s="28" t="n"/>
      <x:c r="EA16" s="28" t="n"/>
      <x:c r="EB16" s="28" t="n"/>
      <x:c r="EC16" s="28" t="n"/>
      <x:c r="ED16" s="28" t="n"/>
      <x:c r="EE16" s="28" t="n"/>
      <x:c r="EF16" s="28" t="n"/>
      <x:c r="EG16" s="28" t="n"/>
      <x:c r="EH16" s="28" t="n"/>
      <x:c r="EI16" s="28" t="n"/>
      <x:c r="EJ16" s="28" t="n"/>
      <x:c r="EK16" s="28" t="n"/>
      <x:c r="EL16" s="28" t="n"/>
      <x:c r="EM16" s="28" t="n"/>
      <x:c r="EN16" s="28" t="n"/>
      <x:c r="EO16" s="28" t="n"/>
      <x:c r="EP16" s="28" t="n"/>
      <x:c r="EQ16" s="28" t="n"/>
      <x:c r="ER16" s="28" t="n"/>
      <x:c r="ES16" s="28" t="n"/>
      <x:c r="ET16" s="28" t="n"/>
      <x:c r="EU16" s="28" t="n"/>
      <x:c r="EV16" s="28" t="n"/>
      <x:c r="EW16" s="28" t="n"/>
      <x:c r="EX16" s="28" t="n"/>
      <x:c r="EY16" s="28" t="n"/>
      <x:c r="EZ16" s="28" t="n"/>
      <x:c r="FA16" s="28" t="n"/>
      <x:c r="FB16" s="28" t="n"/>
      <x:c r="FC16" s="28" t="n"/>
      <x:c r="FD16" s="28" t="n"/>
      <x:c r="FE16" s="28" t="n"/>
      <x:c r="FF16" s="28" t="n"/>
      <x:c r="FG16" s="28" t="n"/>
      <x:c r="FH16" s="28" t="n"/>
      <x:c r="FI16" s="28" t="n"/>
      <x:c r="FJ16" s="28" t="n"/>
      <x:c r="FK16" s="28" t="n"/>
      <x:c r="FL16" s="28" t="n"/>
      <x:c r="FM16" s="28" t="n"/>
      <x:c r="FN16" s="28" t="n"/>
      <x:c r="FO16" s="28" t="n"/>
      <x:c r="FP16" s="28" t="n"/>
      <x:c r="FQ16" s="28" t="n"/>
    </x:row>
    <x:row r="17" s="27" customFormat="1">
      <x:c r="B17" s="39" t="n"/>
      <x:c r="C17" s="36" t="n">
        <x:f>E17*D$4</x:f>
        <x:v>0</x:v>
      </x:c>
      <x:c r="D17" s="10" t="n"/>
      <x:c r="E17" s="36" t="n">
        <x:f>SUM(G17:HJ17)</x:f>
        <x:v>0</x:v>
      </x:c>
      <x:c r="F17" s="35" t="n"/>
      <x:c r="G17" s="28" t="n"/>
      <x:c r="H17" s="28" t="n"/>
    </x:row>
    <x:row r="18" s="27" customFormat="1">
      <x:c r="B18" s="39" t="n"/>
      <x:c r="C18" s="36" t="n">
        <x:f>E18*D$4</x:f>
        <x:v>0</x:v>
      </x:c>
      <x:c r="D18" s="10" t="n"/>
      <x:c r="E18" s="36" t="n">
        <x:f>SUM(G18:HJ18)</x:f>
        <x:v>0</x:v>
      </x:c>
      <x:c r="F18" s="35" t="n"/>
      <x:c r="G18" s="28" t="n"/>
      <x:c r="H18" s="28" t="n"/>
    </x:row>
    <x:row r="19" s="27" customFormat="1">
      <x:c r="B19" s="39" t="n"/>
      <x:c r="C19" s="36" t="n">
        <x:f>E19*D$4</x:f>
        <x:v>0</x:v>
      </x:c>
      <x:c r="D19" s="10" t="n"/>
      <x:c r="E19" s="36" t="n">
        <x:f>SUM(G19:HJ19)</x:f>
        <x:v>0</x:v>
      </x:c>
      <x:c r="F19" s="35" t="n"/>
      <x:c r="G19" s="28" t="n"/>
      <x:c r="H19" s="28" t="n"/>
    </x:row>
    <x:row r="20" s="27" customFormat="1">
      <x:c r="B20" s="39" t="n"/>
      <x:c r="C20" s="36" t="n">
        <x:f>E20*D$4</x:f>
        <x:v>0</x:v>
      </x:c>
      <x:c r="D20" s="66" t="n"/>
      <x:c r="E20" s="36" t="n">
        <x:f>SUM(G20:HJ20)</x:f>
        <x:v>0</x:v>
      </x:c>
      <x:c r="F20" s="35" t="n"/>
      <x:c r="G20" s="28" t="n"/>
      <x:c r="H20" s="28" t="n"/>
    </x:row>
    <x:row r="21" s="27" customFormat="1">
      <x:c r="B21" s="39" t="n"/>
      <x:c r="C21" s="36" t="n">
        <x:f>E21*D$4</x:f>
        <x:v>0</x:v>
      </x:c>
      <x:c r="D21" s="20" t="n"/>
      <x:c r="E21" s="36" t="n">
        <x:f>SUM(G21:HJ21)</x:f>
        <x:v>0</x:v>
      </x:c>
      <x:c r="F21" s="35" t="n"/>
      <x:c r="G21" s="28" t="n"/>
      <x:c r="H21" s="28" t="n"/>
    </x:row>
    <x:row r="22" s="27" customFormat="1">
      <x:c r="B22" s="37" t="n"/>
      <x:c r="C22" s="36" t="n">
        <x:f>E22*D$4</x:f>
        <x:v>0</x:v>
      </x:c>
      <x:c r="D22" s="20" t="n"/>
      <x:c r="E22" s="36" t="n">
        <x:f>SUM(G22:HJ22)</x:f>
        <x:v>0</x:v>
      </x:c>
      <x:c r="F22" s="35" t="n"/>
      <x:c r="G22" s="28" t="n"/>
      <x:c r="H22" s="28" t="inlineStr">
        <x:is>
          <x:t xml:space="preserve"> </x:t>
        </x:is>
      </x:c>
    </x:row>
    <x:row r="23" s="27" customFormat="1">
      <x:c r="B23" s="37" t="n"/>
      <x:c r="C23" s="36" t="n">
        <x:f>E23*D$4</x:f>
        <x:v>0</x:v>
      </x:c>
      <x:c r="D23" s="20" t="n"/>
      <x:c r="E23" s="36" t="n">
        <x:f>SUM(G23:HJ23)</x:f>
        <x:v>0</x:v>
      </x:c>
      <x:c r="F23" s="35" t="n"/>
      <x:c r="G23" s="28" t="n"/>
      <x:c r="H23" s="28" t="n"/>
    </x:row>
    <x:row r="24" s="27" customFormat="1">
      <x:c r="B24" s="37" t="n"/>
      <x:c r="C24" s="36" t="n">
        <x:f>E24*D$4</x:f>
        <x:v>0</x:v>
      </x:c>
      <x:c r="D24" s="20" t="n"/>
      <x:c r="E24" s="36" t="n">
        <x:f>SUM(G24:HJ24)</x:f>
        <x:v>0</x:v>
      </x:c>
      <x:c r="F24" s="35" t="n"/>
      <x:c r="G24" s="28" t="n"/>
      <x:c r="H24" s="28" t="n"/>
    </x:row>
    <x:row r="25" s="27" customFormat="1">
      <x:c r="B25" s="37" t="n"/>
      <x:c r="C25" s="36" t="n">
        <x:f>E25*D$4</x:f>
        <x:v>0</x:v>
      </x:c>
      <x:c r="D25" s="20" t="n"/>
      <x:c r="E25" s="36" t="n">
        <x:f>SUM(G25:HJ25)</x:f>
        <x:v>0</x:v>
      </x:c>
      <x:c r="F25" s="35" t="n"/>
      <x:c r="G25" s="28" t="n"/>
      <x:c r="H25" s="28" t="n"/>
    </x:row>
    <x:row r="26" s="27" customFormat="1">
      <x:c r="B26" s="37" t="n"/>
      <x:c r="C26" s="36" t="n">
        <x:f>E26*D$4</x:f>
        <x:v>0</x:v>
      </x:c>
      <x:c r="D26" s="20" t="n"/>
      <x:c r="E26" s="36" t="n">
        <x:f>SUM(G26:HJ26)</x:f>
        <x:v>0</x:v>
      </x:c>
      <x:c r="F26" s="35" t="n"/>
      <x:c r="G26" s="28" t="n"/>
      <x:c r="H26" s="28" t="n"/>
    </x:row>
    <x:row r="27" s="27" customFormat="1">
      <x:c r="B27" s="37" t="n"/>
      <x:c r="C27" s="36" t="n">
        <x:f>E27*D$4</x:f>
        <x:v>0</x:v>
      </x:c>
      <x:c r="D27" s="20" t="n"/>
      <x:c r="E27" s="36" t="n">
        <x:f>SUM(G27:HJ27)</x:f>
        <x:v>0</x:v>
      </x:c>
      <x:c r="F27" s="35" t="n"/>
      <x:c r="G27" s="28" t="n"/>
      <x:c r="H27" s="28" t="n"/>
    </x:row>
    <x:row r="28" s="27" customFormat="1">
      <x:c r="B28" s="37" t="n"/>
      <x:c r="C28" s="36" t="n">
        <x:f>E28*D$4</x:f>
        <x:v>0</x:v>
      </x:c>
      <x:c r="D28" s="20" t="n"/>
      <x:c r="E28" s="36" t="n">
        <x:f>SUM(G28:HJ28)</x:f>
        <x:v>0</x:v>
      </x:c>
      <x:c r="F28" s="35" t="n"/>
      <x:c r="G28" s="28" t="n"/>
      <x:c r="H28" s="28" t="n"/>
    </x:row>
    <x:row r="29" s="27" customFormat="1">
      <x:c r="B29" s="37" t="n"/>
      <x:c r="C29" s="36" t="n">
        <x:f>E29*D$4</x:f>
        <x:v>0</x:v>
      </x:c>
      <x:c r="D29" s="20" t="n"/>
      <x:c r="E29" s="36" t="n">
        <x:f>SUM(G29:HJ29)</x:f>
        <x:v>0</x:v>
      </x:c>
      <x:c r="F29" s="35" t="n"/>
      <x:c r="G29" s="28" t="n"/>
      <x:c r="H29" s="28" t="n"/>
    </x:row>
    <x:row r="30" s="27" customFormat="1">
      <x:c r="B30" s="37" t="n"/>
      <x:c r="C30" s="36" t="n">
        <x:f>E30*D$4</x:f>
        <x:v>0</x:v>
      </x:c>
      <x:c r="D30" s="20" t="n"/>
      <x:c r="E30" s="36" t="n">
        <x:f>SUM(G30:HJ30)</x:f>
        <x:v>0</x:v>
      </x:c>
      <x:c r="F30" s="35" t="n"/>
      <x:c r="G30" s="28" t="n"/>
      <x:c r="H30" s="28" t="n"/>
    </x:row>
    <x:row r="31" s="27" customFormat="1">
      <x:c r="B31" s="37" t="n"/>
      <x:c r="C31" s="36" t="n">
        <x:f>E31*D$4</x:f>
        <x:v>0</x:v>
      </x:c>
      <x:c r="D31" s="20" t="n"/>
      <x:c r="E31" s="36" t="n">
        <x:f>SUM(G31:HJ31)</x:f>
        <x:v>0</x:v>
      </x:c>
      <x:c r="F31" s="35" t="n"/>
      <x:c r="G31" s="28" t="n"/>
      <x:c r="H31" s="28" t="n"/>
    </x:row>
    <x:row r="32" s="27" customFormat="1">
      <x:c r="B32" s="37" t="n"/>
      <x:c r="C32" s="36" t="n">
        <x:f>E32*D$4</x:f>
        <x:v>0</x:v>
      </x:c>
      <x:c r="D32" s="20" t="n"/>
      <x:c r="E32" s="36" t="n">
        <x:f>SUM(G32:HJ32)</x:f>
        <x:v>0</x:v>
      </x:c>
      <x:c r="F32" s="35" t="n"/>
      <x:c r="G32" s="28" t="n"/>
      <x:c r="H32" s="28" t="n"/>
    </x:row>
    <x:row r="33" s="27" customFormat="1">
      <x:c r="B33" s="37" t="n"/>
      <x:c r="C33" s="36" t="n">
        <x:f>E33*D$4</x:f>
        <x:v>0</x:v>
      </x:c>
      <x:c r="D33" s="20" t="n"/>
      <x:c r="E33" s="36" t="n">
        <x:f>SUM(G33:HJ33)</x:f>
        <x:v>0</x:v>
      </x:c>
    </x:row>
    <x:row r="34" s="27" customFormat="1">
      <x:c r="B34" s="37" t="n"/>
      <x:c r="C34" s="36" t="n">
        <x:f>E34*D$4</x:f>
        <x:v>0</x:v>
      </x:c>
      <x:c r="D34" s="20" t="n"/>
      <x:c r="E34" s="36" t="n">
        <x:f>SUM(G34:HJ34)</x:f>
        <x:v>0</x:v>
      </x:c>
    </x:row>
    <x:row r="35" s="27" customFormat="1">
      <x:c r="B35" s="37" t="n"/>
      <x:c r="C35" s="36" t="n">
        <x:f>E35*D$4</x:f>
        <x:v>0</x:v>
      </x:c>
      <x:c r="D35" s="20" t="n"/>
      <x:c r="E35" s="36" t="n">
        <x:f>SUM(G35:HJ35)</x:f>
        <x:v>0</x:v>
      </x:c>
    </x:row>
    <x:row r="36" s="27" customFormat="1">
      <x:c r="B36" s="37" t="n"/>
      <x:c r="C36" s="36" t="n">
        <x:f>E36*D$4</x:f>
        <x:v>0</x:v>
      </x:c>
      <x:c r="D36" s="20" t="n"/>
      <x:c r="E36" s="36" t="n">
        <x:f>SUM(G36:HJ36)</x:f>
        <x:v>0</x:v>
      </x:c>
    </x:row>
    <x:row r="37" s="27" customFormat="1">
      <x:c r="B37" s="37" t="n"/>
      <x:c r="C37" s="36" t="n">
        <x:f>E37*D$4</x:f>
        <x:v>0</x:v>
      </x:c>
      <x:c r="D37" s="20" t="n"/>
      <x:c r="E37" s="36" t="n">
        <x:f>SUM(G37:HJ37)</x:f>
        <x:v>0</x:v>
      </x:c>
    </x:row>
    <x:row r="38" s="27" customFormat="1">
      <x:c r="B38" s="37" t="n"/>
      <x:c r="C38" s="36" t="n">
        <x:f>E38*D$4</x:f>
        <x:v>0</x:v>
      </x:c>
      <x:c r="D38" s="20" t="n"/>
      <x:c r="E38" s="36" t="n">
        <x:f>SUM(G38:HJ38)</x:f>
        <x:v>0</x:v>
      </x:c>
    </x:row>
    <x:row r="39" s="27" customFormat="1">
      <x:c r="B39" s="37" t="n"/>
      <x:c r="C39" s="36" t="n">
        <x:f>E39*D$4</x:f>
        <x:v>0</x:v>
      </x:c>
      <x:c r="D39" s="20" t="n"/>
      <x:c r="E39" s="36" t="n">
        <x:f>SUM(G39:HJ39)</x:f>
        <x:v>0</x:v>
      </x:c>
    </x:row>
    <x:row r="40" s="27" customFormat="1">
      <x:c r="B40" s="37" t="n"/>
      <x:c r="C40" s="36" t="n">
        <x:f>E40*D$4</x:f>
        <x:v>0</x:v>
      </x:c>
      <x:c r="D40" s="20" t="n"/>
      <x:c r="E40" s="36" t="n">
        <x:f>SUM(G40:HJ40)</x:f>
        <x:v>0</x:v>
      </x:c>
    </x:row>
    <x:row r="41" s="27" customFormat="1">
      <x:c r="B41" s="37" t="n"/>
      <x:c r="C41" s="36" t="n">
        <x:f>E41*D$4</x:f>
        <x:v>0</x:v>
      </x:c>
      <x:c r="D41" s="20" t="n"/>
      <x:c r="E41" s="36" t="n">
        <x:f>SUM(G41:HJ41)</x:f>
        <x:v>0</x:v>
      </x:c>
    </x:row>
    <x:row r="42" s="27" customFormat="1">
      <x:c r="B42" s="37" t="n"/>
      <x:c r="C42" s="36" t="n">
        <x:f>E42*D$4</x:f>
        <x:v>0</x:v>
      </x:c>
      <x:c r="D42" s="20" t="n"/>
      <x:c r="E42" s="36" t="n">
        <x:f>SUM(G42:HJ42)</x:f>
        <x:v>0</x:v>
      </x:c>
    </x:row>
    <x:row r="43" s="27" customFormat="1">
      <x:c r="B43" s="37" t="n"/>
      <x:c r="C43" s="36" t="n">
        <x:f>E43*D$4</x:f>
        <x:v>0</x:v>
      </x:c>
      <x:c r="D43" s="20" t="n"/>
      <x:c r="E43" s="36" t="n">
        <x:f>SUM(G43:HJ43)</x:f>
        <x:v>0</x:v>
      </x:c>
    </x:row>
    <x:row r="44" s="27" customFormat="1">
      <x:c r="B44" s="37" t="n"/>
      <x:c r="C44" s="36" t="n">
        <x:f>E44*D$4</x:f>
        <x:v>0</x:v>
      </x:c>
      <x:c r="D44" s="20" t="n"/>
      <x:c r="E44" s="36" t="n">
        <x:f>SUM(G44:HJ44)</x:f>
        <x:v>0</x:v>
      </x:c>
    </x:row>
    <x:row r="45" s="27" customFormat="1">
      <x:c r="B45" s="37" t="n"/>
      <x:c r="C45" s="36" t="n">
        <x:f>E45*D$4</x:f>
        <x:v>0</x:v>
      </x:c>
      <x:c r="D45" s="20" t="n"/>
      <x:c r="E45" s="36" t="n">
        <x:f>SUM(G45:HJ45)</x:f>
        <x:v>0</x:v>
      </x:c>
    </x:row>
    <x:row r="46" s="27" customFormat="1">
      <x:c r="B46" s="37" t="n"/>
      <x:c r="C46" s="36" t="n">
        <x:f>E46*D$4</x:f>
        <x:v>0</x:v>
      </x:c>
      <x:c r="D46" s="20" t="n"/>
      <x:c r="E46" s="36" t="n">
        <x:f>SUM(G46:HJ46)</x:f>
        <x:v>0</x:v>
      </x:c>
    </x:row>
    <x:row r="47" s="27" customFormat="1">
      <x:c r="B47" s="37" t="n"/>
      <x:c r="C47" s="36" t="n">
        <x:f>E47*D$4</x:f>
        <x:v>0</x:v>
      </x:c>
      <x:c r="D47" s="20" t="n"/>
      <x:c r="E47" s="36" t="n">
        <x:f>SUM(G47:HJ47)</x:f>
        <x:v>0</x:v>
      </x:c>
    </x:row>
    <x:row r="48" s="27" customFormat="1">
      <x:c r="B48" s="37" t="n"/>
      <x:c r="C48" s="36" t="n">
        <x:f>E48*D$4</x:f>
        <x:v>0</x:v>
      </x:c>
      <x:c r="D48" s="20" t="n"/>
      <x:c r="E48" s="36" t="n">
        <x:f>SUM(G48:HJ48)</x:f>
        <x:v>0</x:v>
      </x:c>
    </x:row>
    <x:row r="49" s="27" customFormat="1">
      <x:c r="B49" s="37" t="n"/>
      <x:c r="C49" s="36" t="n">
        <x:f>E49*D$4</x:f>
        <x:v>0</x:v>
      </x:c>
      <x:c r="D49" s="20" t="n"/>
      <x:c r="E49" s="36" t="n">
        <x:f>SUM(G49:HJ49)</x:f>
        <x:v>0</x:v>
      </x:c>
    </x:row>
    <x:row r="50" s="27" customFormat="1">
      <x:c r="B50" s="37" t="n"/>
      <x:c r="C50" s="36" t="n">
        <x:f>E50*D$4</x:f>
        <x:v>0</x:v>
      </x:c>
      <x:c r="D50" s="20" t="n"/>
      <x:c r="E50" s="36" t="n">
        <x:f>SUM(G50:HJ50)</x:f>
        <x:v>0</x:v>
      </x:c>
    </x:row>
    <x:row r="51" s="27" customFormat="1">
      <x:c r="B51" s="37" t="n"/>
      <x:c r="C51" s="36" t="n">
        <x:f>E51*D$4</x:f>
        <x:v>0</x:v>
      </x:c>
      <x:c r="D51" s="20" t="n"/>
      <x:c r="E51" s="36" t="n">
        <x:f>SUM(G51:HJ51)</x:f>
        <x:v>0</x:v>
      </x:c>
    </x:row>
    <x:row r="52" s="27" customFormat="1">
      <x:c r="B52" s="37" t="n"/>
      <x:c r="C52" s="36" t="n">
        <x:f>E52*D$4</x:f>
        <x:v>0</x:v>
      </x:c>
      <x:c r="D52" s="20" t="n"/>
      <x:c r="E52" s="36" t="n">
        <x:f>SUM(G52:HJ52)</x:f>
        <x:v>0</x:v>
      </x:c>
    </x:row>
    <x:row r="53" s="27" customFormat="1">
      <x:c r="B53" s="37" t="n"/>
      <x:c r="C53" s="36" t="n">
        <x:f>E53*D$4</x:f>
        <x:v>0</x:v>
      </x:c>
      <x:c r="D53" s="20" t="n"/>
      <x:c r="E53" s="36" t="n">
        <x:f>SUM(G53:HJ53)</x:f>
        <x:v>0</x:v>
      </x:c>
    </x:row>
    <x:row r="54" s="27" customFormat="1">
      <x:c r="B54" s="37" t="n"/>
      <x:c r="C54" s="36" t="n">
        <x:f>E54*D$4</x:f>
        <x:v>0</x:v>
      </x:c>
      <x:c r="D54" s="20" t="n"/>
      <x:c r="E54" s="36" t="n">
        <x:f>SUM(G54:HJ54)</x:f>
        <x:v>0</x:v>
      </x:c>
    </x:row>
    <x:row r="55" s="27" customFormat="1">
      <x:c r="B55" s="37" t="n"/>
      <x:c r="C55" s="36" t="n">
        <x:f>E55*D$4</x:f>
        <x:v>0</x:v>
      </x:c>
      <x:c r="D55" s="20" t="n"/>
      <x:c r="E55" s="36" t="n">
        <x:f>SUM(G55:HJ55)</x:f>
        <x:v>0</x:v>
      </x:c>
    </x:row>
    <x:row r="56" s="27" customFormat="1">
      <x:c r="B56" s="37" t="n"/>
      <x:c r="C56" s="36" t="n">
        <x:f>E56*D$4</x:f>
        <x:v>0</x:v>
      </x:c>
      <x:c r="D56" s="20" t="n"/>
      <x:c r="E56" s="36" t="n">
        <x:f>SUM(G56:HJ56)</x:f>
        <x:v>0</x:v>
      </x:c>
    </x:row>
    <x:row r="57" s="27" customFormat="1">
      <x:c r="B57" s="37" t="n"/>
      <x:c r="C57" s="36" t="n">
        <x:f>E57*D$4</x:f>
        <x:v>0</x:v>
      </x:c>
      <x:c r="D57" s="20" t="n"/>
      <x:c r="E57" s="36" t="n">
        <x:f>SUM(G57:HJ57)</x:f>
        <x:v>0</x:v>
      </x:c>
    </x:row>
    <x:row r="58" s="27" customFormat="1">
      <x:c r="B58" s="37" t="n"/>
      <x:c r="C58" s="36" t="n">
        <x:f>E58*D$4</x:f>
        <x:v>0</x:v>
      </x:c>
      <x:c r="D58" s="20" t="n"/>
      <x:c r="E58" s="36" t="n">
        <x:f>SUM(G58:HJ58)</x:f>
        <x:v>0</x:v>
      </x:c>
    </x:row>
    <x:row r="59" s="27" customFormat="1">
      <x:c r="B59" s="37" t="n"/>
      <x:c r="C59" s="36" t="n">
        <x:f>E59*D$4</x:f>
        <x:v>0</x:v>
      </x:c>
      <x:c r="D59" s="20" t="n"/>
      <x:c r="E59" s="36" t="n">
        <x:f>SUM(G59:HJ59)</x:f>
        <x:v>0</x:v>
      </x:c>
    </x:row>
    <x:row r="60" s="27" customFormat="1">
      <x:c r="B60" s="37" t="n"/>
      <x:c r="C60" s="36" t="n">
        <x:f>E60*D$4</x:f>
        <x:v>0</x:v>
      </x:c>
      <x:c r="D60" s="20" t="n"/>
      <x:c r="E60" s="36" t="n">
        <x:f>SUM(G60:HJ60)</x:f>
        <x:v>0</x:v>
      </x:c>
    </x:row>
    <x:row r="61" s="27" customFormat="1">
      <x:c r="B61" s="37" t="n"/>
      <x:c r="C61" s="36" t="n">
        <x:f>E61*D$4</x:f>
        <x:v>0</x:v>
      </x:c>
      <x:c r="D61" s="20" t="n"/>
      <x:c r="E61" s="36" t="n">
        <x:f>SUM(G61:HJ61)</x:f>
        <x:v>0</x:v>
      </x:c>
    </x:row>
    <x:row r="62" s="27" customFormat="1">
      <x:c r="B62" s="37" t="n"/>
      <x:c r="C62" s="36" t="n">
        <x:f>E62*D$4</x:f>
        <x:v>0</x:v>
      </x:c>
      <x:c r="D62" s="20" t="n"/>
      <x:c r="E62" s="36" t="n">
        <x:f>SUM(G62:HJ62)</x:f>
        <x:v>0</x:v>
      </x:c>
    </x:row>
    <x:row r="63" s="27" customFormat="1">
      <x:c r="B63" s="37" t="n"/>
      <x:c r="C63" s="36" t="n">
        <x:f>E63*D$4</x:f>
        <x:v>0</x:v>
      </x:c>
      <x:c r="D63" s="20" t="n"/>
      <x:c r="E63" s="36" t="n">
        <x:f>SUM(G63:HJ63)</x:f>
        <x:v>0</x:v>
      </x:c>
    </x:row>
    <x:row r="64" s="27" customFormat="1">
      <x:c r="B64" s="37" t="n"/>
      <x:c r="C64" s="36" t="n">
        <x:f>E64*D$4</x:f>
        <x:v>0</x:v>
      </x:c>
      <x:c r="D64" s="20" t="n"/>
      <x:c r="E64" s="36" t="n">
        <x:f>SUM(G64:HJ64)</x:f>
        <x:v>0</x:v>
      </x:c>
    </x:row>
    <x:row r="65" s="27" customFormat="1">
      <x:c r="B65" s="37" t="n"/>
      <x:c r="C65" s="36" t="n">
        <x:f>E65*D$4</x:f>
        <x:v>0</x:v>
      </x:c>
      <x:c r="D65" s="20" t="n"/>
      <x:c r="E65" s="36" t="n">
        <x:f>SUM(G65:HJ65)</x:f>
        <x:v>0</x:v>
      </x:c>
    </x:row>
    <x:row r="66" s="27" customFormat="1">
      <x:c r="B66" s="37" t="n"/>
      <x:c r="C66" s="36" t="n">
        <x:f>E66*D$4</x:f>
        <x:v>0</x:v>
      </x:c>
      <x:c r="D66" s="20" t="n"/>
      <x:c r="E66" s="36" t="n">
        <x:f>SUM(G66:HJ66)</x:f>
        <x:v>0</x:v>
      </x:c>
    </x:row>
    <x:row r="67" s="27" customFormat="1">
      <x:c r="B67" s="37" t="n"/>
      <x:c r="C67" s="36" t="n">
        <x:f>E67*D$4</x:f>
        <x:v>0</x:v>
      </x:c>
      <x:c r="D67" s="20" t="n"/>
      <x:c r="E67" s="36" t="n">
        <x:f>SUM(G67:HJ67)</x:f>
        <x:v>0</x:v>
      </x:c>
    </x:row>
    <x:row r="68" s="27" customFormat="1">
      <x:c r="B68" s="37" t="n"/>
      <x:c r="C68" s="36" t="n">
        <x:f>E68*D$4</x:f>
        <x:v>0</x:v>
      </x:c>
      <x:c r="D68" s="20" t="n"/>
      <x:c r="E68" s="36" t="n">
        <x:f>SUM(G68:HJ68)</x:f>
        <x:v>0</x:v>
      </x:c>
    </x:row>
    <x:row r="69" s="27" customFormat="1">
      <x:c r="B69" s="37" t="n"/>
      <x:c r="C69" s="36" t="n">
        <x:f>E69*D$4</x:f>
        <x:v>0</x:v>
      </x:c>
      <x:c r="D69" s="20" t="n"/>
      <x:c r="E69" s="36" t="n">
        <x:f>SUM(G69:HJ69)</x:f>
        <x:v>0</x:v>
      </x:c>
    </x:row>
    <x:row r="70" s="27" customFormat="1">
      <x:c r="B70" s="37" t="n"/>
      <x:c r="C70" s="36" t="n">
        <x:f>E70*D$4</x:f>
        <x:v>0</x:v>
      </x:c>
      <x:c r="D70" s="20" t="n"/>
      <x:c r="E70" s="36" t="n">
        <x:f>SUM(G70:HJ70)</x:f>
        <x:v>0</x:v>
      </x:c>
    </x:row>
    <x:row r="71" s="27" customFormat="1">
      <x:c r="B71" s="37" t="n"/>
      <x:c r="C71" s="36" t="n">
        <x:f>E71*D$4</x:f>
        <x:v>0</x:v>
      </x:c>
      <x:c r="D71" s="20" t="n"/>
      <x:c r="E71" s="36" t="n">
        <x:f>SUM(G71:HJ71)</x:f>
        <x:v>0</x:v>
      </x:c>
    </x:row>
    <x:row r="72" s="27" customFormat="1">
      <x:c r="B72" s="37" t="n"/>
      <x:c r="C72" s="36" t="n">
        <x:f>E72*D$4</x:f>
        <x:v>0</x:v>
      </x:c>
      <x:c r="D72" s="20" t="n"/>
      <x:c r="E72" s="36" t="n">
        <x:f>SUM(G72:HJ72)</x:f>
        <x:v>0</x:v>
      </x:c>
    </x:row>
    <x:row r="73" s="27" customFormat="1">
      <x:c r="B73" s="37" t="n"/>
      <x:c r="C73" s="36" t="n">
        <x:f>E73*D$4</x:f>
        <x:v>0</x:v>
      </x:c>
      <x:c r="D73" s="20" t="n"/>
      <x:c r="E73" s="36" t="n">
        <x:f>SUM(G73:HJ73)</x:f>
        <x:v>0</x:v>
      </x:c>
    </x:row>
    <x:row r="74" s="27" customFormat="1">
      <x:c r="B74" s="37" t="n"/>
      <x:c r="C74" s="36" t="n">
        <x:f>E74*D$4</x:f>
        <x:v>0</x:v>
      </x:c>
      <x:c r="D74" s="20" t="n"/>
      <x:c r="E74" s="36" t="n">
        <x:f>SUM(G74:HJ74)</x:f>
        <x:v>0</x:v>
      </x:c>
    </x:row>
    <x:row r="75" s="27" customFormat="1">
      <x:c r="B75" s="37" t="n"/>
      <x:c r="C75" s="36" t="n">
        <x:f>E75*D$4</x:f>
        <x:v>0</x:v>
      </x:c>
      <x:c r="D75" s="20" t="n"/>
      <x:c r="E75" s="36" t="n">
        <x:f>SUM(G75:HJ75)</x:f>
        <x:v>0</x:v>
      </x:c>
    </x:row>
    <x:row r="76" s="27" customFormat="1">
      <x:c r="B76" s="37" t="n"/>
      <x:c r="C76" s="36" t="n">
        <x:f>E76*D$4</x:f>
        <x:v>0</x:v>
      </x:c>
      <x:c r="D76" s="20" t="n"/>
      <x:c r="E76" s="36" t="n">
        <x:f>SUM(G76:HJ76)</x:f>
        <x:v>0</x:v>
      </x:c>
    </x:row>
    <x:row r="77" s="27" customFormat="1">
      <x:c r="B77" s="37" t="n"/>
      <x:c r="C77" s="36" t="n">
        <x:f>E77*D$4</x:f>
        <x:v>0</x:v>
      </x:c>
      <x:c r="D77" s="20" t="n"/>
      <x:c r="E77" s="36" t="n">
        <x:f>SUM(G77:HJ77)</x:f>
        <x:v>0</x:v>
      </x:c>
    </x:row>
    <x:row r="78" s="27" customFormat="1">
      <x:c r="B78" s="37" t="n"/>
      <x:c r="C78" s="36" t="n">
        <x:f>E78*D$4</x:f>
        <x:v>0</x:v>
      </x:c>
      <x:c r="D78" s="20" t="n"/>
      <x:c r="E78" s="36" t="n">
        <x:f>SUM(G78:HJ78)</x:f>
        <x:v>0</x:v>
      </x:c>
    </x:row>
    <x:row r="79" s="27" customFormat="1">
      <x:c r="B79" s="37" t="n"/>
      <x:c r="C79" s="36" t="n">
        <x:f>E79*D$4</x:f>
        <x:v>0</x:v>
      </x:c>
      <x:c r="D79" s="20" t="n"/>
      <x:c r="E79" s="36" t="n">
        <x:f>SUM(G79:HJ79)</x:f>
        <x:v>0</x:v>
      </x:c>
    </x:row>
    <x:row r="80" s="27" customFormat="1">
      <x:c r="B80" s="37" t="n"/>
      <x:c r="C80" s="36" t="n">
        <x:f>E80*D$4</x:f>
        <x:v>0</x:v>
      </x:c>
      <x:c r="D80" s="20" t="n"/>
      <x:c r="E80" s="36" t="n">
        <x:f>SUM(G80:HJ80)</x:f>
        <x:v>0</x:v>
      </x:c>
    </x:row>
    <x:row r="81" s="27" customFormat="1">
      <x:c r="B81" s="37" t="n"/>
      <x:c r="C81" s="36" t="n">
        <x:f>E81*D$4</x:f>
        <x:v>0</x:v>
      </x:c>
      <x:c r="D81" s="20" t="n"/>
      <x:c r="E81" s="36" t="n">
        <x:f>SUM(G81:HJ81)</x:f>
        <x:v>0</x:v>
      </x:c>
    </x:row>
    <x:row r="82" s="27" customFormat="1">
      <x:c r="B82" s="37" t="n"/>
      <x:c r="C82" s="36" t="n">
        <x:f>E82*D$4</x:f>
        <x:v>0</x:v>
      </x:c>
      <x:c r="D82" s="20" t="n"/>
      <x:c r="E82" s="36" t="n">
        <x:f>SUM(G82:HJ82)</x:f>
        <x:v>0</x:v>
      </x:c>
    </x:row>
    <x:row r="83" s="27" customFormat="1">
      <x:c r="B83" s="37" t="n"/>
      <x:c r="C83" s="36" t="n">
        <x:f>E83*D$4</x:f>
        <x:v>0</x:v>
      </x:c>
      <x:c r="D83" s="20" t="n"/>
      <x:c r="E83" s="36" t="n">
        <x:f>SUM(G83:HJ83)</x:f>
        <x:v>0</x:v>
      </x:c>
    </x:row>
    <x:row r="84" s="27" customFormat="1">
      <x:c r="B84" s="37" t="n"/>
      <x:c r="C84" s="36" t="n">
        <x:f>E84*D$4</x:f>
        <x:v>0</x:v>
      </x:c>
      <x:c r="D84" s="20" t="n"/>
      <x:c r="E84" s="36" t="n">
        <x:f>SUM(G84:HJ84)</x:f>
        <x:v>0</x:v>
      </x:c>
    </x:row>
    <x:row r="85" s="27" customFormat="1">
      <x:c r="B85" s="37" t="n"/>
      <x:c r="C85" s="36" t="n">
        <x:f>E85*D$4</x:f>
        <x:v>0</x:v>
      </x:c>
      <x:c r="D85" s="20" t="n"/>
      <x:c r="E85" s="36" t="n">
        <x:f>SUM(G85:HJ85)</x:f>
        <x:v>0</x:v>
      </x:c>
    </x:row>
    <x:row r="86" s="27" customFormat="1">
      <x:c r="B86" s="37" t="n"/>
      <x:c r="C86" s="36" t="n">
        <x:f>E86*D$4</x:f>
        <x:v>0</x:v>
      </x:c>
      <x:c r="D86" s="20" t="n"/>
      <x:c r="E86" s="36" t="n">
        <x:f>SUM(G86:HJ86)</x:f>
        <x:v>0</x:v>
      </x:c>
    </x:row>
    <x:row r="87" s="27" customFormat="1">
      <x:c r="B87" s="37" t="n"/>
      <x:c r="C87" s="36" t="n">
        <x:f>E87*D$4</x:f>
        <x:v>0</x:v>
      </x:c>
      <x:c r="D87" s="20" t="n"/>
      <x:c r="E87" s="36" t="n">
        <x:f>SUM(G87:HJ87)</x:f>
        <x:v>0</x:v>
      </x:c>
    </x:row>
    <x:row r="88" s="27" customFormat="1">
      <x:c r="B88" s="37" t="n"/>
      <x:c r="C88" s="36" t="n">
        <x:f>E88*D$4</x:f>
        <x:v>0</x:v>
      </x:c>
      <x:c r="D88" s="20" t="n"/>
      <x:c r="E88" s="36" t="n">
        <x:f>SUM(G88:HJ88)</x:f>
        <x:v>0</x:v>
      </x:c>
    </x:row>
    <x:row r="89" s="27" customFormat="1">
      <x:c r="B89" s="37" t="n"/>
      <x:c r="C89" s="36" t="n">
        <x:f>E89*D$4</x:f>
        <x:v>0</x:v>
      </x:c>
      <x:c r="D89" s="20" t="n"/>
      <x:c r="E89" s="36" t="n">
        <x:f>SUM(G89:HJ89)</x:f>
        <x:v>0</x:v>
      </x:c>
    </x:row>
    <x:row r="90" s="27" customFormat="1">
      <x:c r="B90" s="37" t="n"/>
      <x:c r="C90" s="36" t="n">
        <x:f>E90*D$4</x:f>
        <x:v>0</x:v>
      </x:c>
      <x:c r="D90" s="20" t="n"/>
      <x:c r="E90" s="36" t="n">
        <x:f>SUM(G90:HJ90)</x:f>
        <x:v>0</x:v>
      </x:c>
    </x:row>
    <x:row r="91" s="27" customFormat="1">
      <x:c r="B91" s="37" t="n"/>
      <x:c r="C91" s="36" t="n">
        <x:f>E91*D$4</x:f>
        <x:v>0</x:v>
      </x:c>
      <x:c r="D91" s="20" t="n"/>
      <x:c r="E91" s="36" t="n">
        <x:f>SUM(G91:HJ91)</x:f>
        <x:v>0</x:v>
      </x:c>
    </x:row>
    <x:row r="92" s="27" customFormat="1">
      <x:c r="B92" s="37" t="n"/>
      <x:c r="C92" s="36" t="n">
        <x:f>E92*D$4</x:f>
        <x:v>0</x:v>
      </x:c>
      <x:c r="D92" s="20" t="n"/>
      <x:c r="E92" s="36" t="n">
        <x:f>SUM(G92:HJ92)</x:f>
        <x:v>0</x:v>
      </x:c>
    </x:row>
    <x:row r="93" s="27" customFormat="1">
      <x:c r="B93" s="37" t="n"/>
      <x:c r="C93" s="36" t="n">
        <x:f>E93*D$4</x:f>
        <x:v>0</x:v>
      </x:c>
      <x:c r="D93" s="20" t="n"/>
      <x:c r="E93" s="36" t="n">
        <x:f>SUM(G93:HJ93)</x:f>
        <x:v>0</x:v>
      </x:c>
    </x:row>
    <x:row r="94" s="27" customFormat="1">
      <x:c r="B94" s="37" t="n"/>
      <x:c r="C94" s="36" t="n">
        <x:f>E94*D$4</x:f>
        <x:v>0</x:v>
      </x:c>
      <x:c r="D94" s="20" t="n"/>
      <x:c r="E94" s="36" t="n">
        <x:f>SUM(G94:HJ94)</x:f>
        <x:v>0</x:v>
      </x:c>
    </x:row>
    <x:row r="95" s="27" customFormat="1">
      <x:c r="B95" s="37" t="n"/>
      <x:c r="C95" s="36" t="n">
        <x:f>E95*D$4</x:f>
        <x:v>0</x:v>
      </x:c>
      <x:c r="D95" s="20" t="n"/>
      <x:c r="E95" s="36" t="n">
        <x:f>SUM(G95:HJ95)</x:f>
        <x:v>0</x:v>
      </x:c>
    </x:row>
    <x:row r="96" s="27" customFormat="1">
      <x:c r="B96" s="37" t="n"/>
      <x:c r="C96" s="36" t="n">
        <x:f>E96*D$4</x:f>
        <x:v>0</x:v>
      </x:c>
      <x:c r="D96" s="20" t="n"/>
      <x:c r="E96" s="36" t="n">
        <x:f>SUM(G96:HJ96)</x:f>
        <x:v>0</x:v>
      </x:c>
    </x:row>
    <x:row r="97" s="27" customFormat="1">
      <x:c r="B97" s="37" t="n"/>
      <x:c r="C97" s="36" t="n">
        <x:f>E97*D$4</x:f>
        <x:v>0</x:v>
      </x:c>
      <x:c r="D97" s="20" t="n"/>
      <x:c r="E97" s="36" t="n">
        <x:f>SUM(G97:HJ97)</x:f>
        <x:v>0</x:v>
      </x:c>
    </x:row>
    <x:row r="98" s="27" customFormat="1">
      <x:c r="B98" s="37" t="n"/>
      <x:c r="C98" s="36" t="n">
        <x:f>E98*D$4</x:f>
        <x:v>0</x:v>
      </x:c>
      <x:c r="D98" s="20" t="n"/>
      <x:c r="E98" s="36" t="n">
        <x:f>SUM(G98:HJ98)</x:f>
        <x:v>0</x:v>
      </x:c>
    </x:row>
    <x:row r="99" s="27" customFormat="1">
      <x:c r="B99" s="37" t="n"/>
      <x:c r="C99" s="36" t="n">
        <x:f>E99*D$4</x:f>
        <x:v>0</x:v>
      </x:c>
      <x:c r="D99" s="20" t="n"/>
      <x:c r="E99" s="36" t="n">
        <x:f>SUM(G99:HJ99)</x:f>
        <x:v>0</x:v>
      </x:c>
    </x:row>
    <x:row r="100" s="27" customFormat="1">
      <x:c r="B100" s="37" t="n"/>
      <x:c r="C100" s="36" t="n">
        <x:f>E100*D$4</x:f>
        <x:v>0</x:v>
      </x:c>
      <x:c r="D100" s="20" t="n"/>
      <x:c r="E100" s="36" t="n">
        <x:f>SUM(G100:HJ100)</x:f>
        <x:v>0</x:v>
      </x:c>
    </x:row>
    <x:row r="101" s="27" customFormat="1">
      <x:c r="B101" s="37" t="n"/>
      <x:c r="C101" s="36" t="n">
        <x:f>E101*D$4</x:f>
        <x:v>0</x:v>
      </x:c>
      <x:c r="D101" s="20" t="n"/>
      <x:c r="E101" s="36" t="n">
        <x:f>SUM(G101:HJ101)</x:f>
        <x:v>0</x:v>
      </x:c>
    </x:row>
    <x:row r="102" s="27" customFormat="1">
      <x:c r="B102" s="37" t="n"/>
      <x:c r="C102" s="36" t="n">
        <x:f>E102*D$4</x:f>
        <x:v>0</x:v>
      </x:c>
      <x:c r="D102" s="20" t="n"/>
      <x:c r="E102" s="36" t="n">
        <x:f>SUM(G102:HJ102)</x:f>
        <x:v>0</x:v>
      </x:c>
    </x:row>
    <x:row r="103" s="27" customFormat="1">
      <x:c r="B103" s="37" t="n"/>
      <x:c r="C103" s="36" t="n">
        <x:f>E103*D$4</x:f>
        <x:v>0</x:v>
      </x:c>
      <x:c r="D103" s="20" t="n"/>
      <x:c r="E103" s="36" t="n">
        <x:f>SUM(G103:HJ103)</x:f>
        <x:v>0</x:v>
      </x:c>
    </x:row>
    <x:row r="104" s="27" customFormat="1">
      <x:c r="B104" s="37" t="n"/>
      <x:c r="C104" s="36" t="n">
        <x:f>E104*D$4</x:f>
        <x:v>0</x:v>
      </x:c>
      <x:c r="D104" s="20" t="n"/>
      <x:c r="E104" s="36" t="n">
        <x:f>SUM(G104:HJ104)</x:f>
        <x:v>0</x:v>
      </x:c>
    </x:row>
    <x:row r="105" s="27" customFormat="1">
      <x:c r="B105" s="37" t="n"/>
      <x:c r="C105" s="36" t="n">
        <x:f>E105*D$4</x:f>
        <x:v>0</x:v>
      </x:c>
      <x:c r="D105" s="20" t="n"/>
      <x:c r="E105" s="36" t="n">
        <x:f>SUM(G105:HJ105)</x:f>
        <x:v>0</x:v>
      </x:c>
    </x:row>
    <x:row r="106" s="27" customFormat="1">
      <x:c r="B106" s="37" t="n"/>
      <x:c r="C106" s="36" t="n">
        <x:f>E106*D$4</x:f>
        <x:v>0</x:v>
      </x:c>
      <x:c r="D106" s="20" t="n"/>
      <x:c r="E106" s="36" t="n">
        <x:f>SUM(G106:HJ106)</x:f>
        <x:v>0</x:v>
      </x:c>
    </x:row>
    <x:row r="107" s="27" customFormat="1">
      <x:c r="B107" s="37" t="n"/>
      <x:c r="C107" s="36" t="n">
        <x:f>E107*D$4</x:f>
        <x:v>0</x:v>
      </x:c>
      <x:c r="D107" s="20" t="n"/>
      <x:c r="E107" s="36" t="n">
        <x:f>SUM(G107:HJ107)</x:f>
        <x:v>0</x:v>
      </x:c>
    </x:row>
    <x:row r="108" s="27" customFormat="1">
      <x:c r="B108" s="37" t="n"/>
      <x:c r="C108" s="36" t="n">
        <x:f>E108*D$4</x:f>
        <x:v>0</x:v>
      </x:c>
      <x:c r="D108" s="20" t="n"/>
      <x:c r="E108" s="36" t="n">
        <x:f>SUM(G108:HJ108)</x:f>
        <x:v>0</x:v>
      </x:c>
    </x:row>
    <x:row r="109" s="27" customFormat="1">
      <x:c r="B109" s="37" t="n"/>
      <x:c r="C109" s="36" t="n">
        <x:f>E109*D$4</x:f>
        <x:v>0</x:v>
      </x:c>
      <x:c r="D109" s="20" t="n"/>
      <x:c r="E109" s="36" t="n">
        <x:f>SUM(G109:HJ109)</x:f>
        <x:v>0</x:v>
      </x:c>
    </x:row>
    <x:row r="110" s="27" customFormat="1">
      <x:c r="B110" s="37" t="n"/>
      <x:c r="C110" s="36" t="n">
        <x:f>E110*D$4</x:f>
        <x:v>0</x:v>
      </x:c>
      <x:c r="D110" s="20" t="n"/>
      <x:c r="E110" s="36" t="n">
        <x:f>SUM(G110:HJ110)</x:f>
        <x:v>0</x:v>
      </x:c>
    </x:row>
    <x:row r="111" s="27" customFormat="1">
      <x:c r="B111" s="37" t="n"/>
      <x:c r="C111" s="36" t="n">
        <x:f>E111*D$4</x:f>
        <x:v>0</x:v>
      </x:c>
      <x:c r="D111" s="20" t="n"/>
      <x:c r="E111" s="36" t="n">
        <x:f>SUM(G111:HJ111)</x:f>
        <x:v>0</x:v>
      </x:c>
    </x:row>
    <x:row r="112" s="27" customFormat="1">
      <x:c r="B112" s="37" t="n"/>
      <x:c r="C112" s="36" t="n">
        <x:f>E112*D$4</x:f>
        <x:v>0</x:v>
      </x:c>
      <x:c r="D112" s="20" t="n"/>
      <x:c r="E112" s="36" t="n">
        <x:f>SUM(G112:HJ112)</x:f>
        <x:v>0</x:v>
      </x:c>
    </x:row>
    <x:row r="113" s="27" customFormat="1">
      <x:c r="B113" s="37" t="n"/>
      <x:c r="C113" s="36" t="n">
        <x:f>E113*D$4</x:f>
        <x:v>0</x:v>
      </x:c>
      <x:c r="D113" s="20" t="n"/>
      <x:c r="E113" s="36" t="n">
        <x:f>SUM(G113:HJ113)</x:f>
        <x:v>0</x:v>
      </x:c>
    </x:row>
    <x:row r="114" s="27" customFormat="1">
      <x:c r="B114" s="37" t="n"/>
      <x:c r="C114" s="36" t="n">
        <x:f>E114*D$4</x:f>
        <x:v>0</x:v>
      </x:c>
      <x:c r="D114" s="20" t="n"/>
      <x:c r="E114" s="36" t="n">
        <x:f>SUM(G114:HJ114)</x:f>
        <x:v>0</x:v>
      </x:c>
    </x:row>
    <x:row r="115" s="27" customFormat="1">
      <x:c r="B115" s="37" t="n"/>
      <x:c r="C115" s="36" t="n">
        <x:f>E115*D$4</x:f>
        <x:v>0</x:v>
      </x:c>
      <x:c r="D115" s="20" t="n"/>
      <x:c r="E115" s="36" t="n">
        <x:f>SUM(G115:HJ115)</x:f>
        <x:v>0</x:v>
      </x:c>
    </x:row>
    <x:row r="116" s="27" customFormat="1">
      <x:c r="B116" s="37" t="n"/>
      <x:c r="C116" s="36" t="n">
        <x:f>E116*D$4</x:f>
        <x:v>0</x:v>
      </x:c>
      <x:c r="D116" s="20" t="n"/>
      <x:c r="E116" s="36" t="n">
        <x:f>SUM(G116:HJ116)</x:f>
        <x:v>0</x:v>
      </x:c>
    </x:row>
    <x:row r="117" s="27" customFormat="1">
      <x:c r="B117" s="37" t="n"/>
      <x:c r="C117" s="36" t="n">
        <x:f>E117*D$4</x:f>
        <x:v>0</x:v>
      </x:c>
      <x:c r="D117" s="20" t="n"/>
      <x:c r="E117" s="36" t="n">
        <x:f>SUM(G117:HJ117)</x:f>
        <x:v>0</x:v>
      </x:c>
    </x:row>
    <x:row r="118" s="27" customFormat="1">
      <x:c r="B118" s="37" t="n"/>
      <x:c r="C118" s="36" t="n">
        <x:f>E118*D$4</x:f>
        <x:v>0</x:v>
      </x:c>
      <x:c r="D118" s="20" t="n"/>
      <x:c r="E118" s="36" t="n">
        <x:f>SUM(G118:HJ118)</x:f>
        <x:v>0</x:v>
      </x:c>
    </x:row>
    <x:row r="119" s="27" customFormat="1">
      <x:c r="B119" s="37" t="n"/>
      <x:c r="C119" s="36" t="n">
        <x:f>E119*D$4</x:f>
        <x:v>0</x:v>
      </x:c>
      <x:c r="D119" s="20" t="n"/>
      <x:c r="E119" s="36" t="n">
        <x:f>SUM(G119:HJ119)</x:f>
        <x:v>0</x:v>
      </x:c>
    </x:row>
    <x:row r="120" s="27" customFormat="1">
      <x:c r="B120" s="37" t="n"/>
      <x:c r="C120" s="36" t="n">
        <x:f>E120*D$4</x:f>
        <x:v>0</x:v>
      </x:c>
      <x:c r="D120" s="20" t="n"/>
      <x:c r="E120" s="36" t="n">
        <x:f>SUM(G120:HJ120)</x:f>
        <x:v>0</x:v>
      </x:c>
    </x:row>
    <x:row r="121" s="27" customFormat="1">
      <x:c r="B121" s="37" t="n"/>
      <x:c r="C121" s="36" t="n">
        <x:f>E121*D$4</x:f>
        <x:v>0</x:v>
      </x:c>
      <x:c r="D121" s="20" t="n"/>
      <x:c r="E121" s="36" t="n">
        <x:f>SUM(G121:HJ121)</x:f>
        <x:v>0</x:v>
      </x:c>
    </x:row>
    <x:row r="122" s="27" customFormat="1">
      <x:c r="B122" s="37" t="n"/>
      <x:c r="C122" s="36" t="n">
        <x:f>E122*D$4</x:f>
        <x:v>0</x:v>
      </x:c>
      <x:c r="D122" s="20" t="n"/>
      <x:c r="E122" s="36" t="n">
        <x:f>SUM(G122:HJ122)</x:f>
        <x:v>0</x:v>
      </x:c>
    </x:row>
    <x:row r="123" s="27" customFormat="1">
      <x:c r="B123" s="37" t="n"/>
      <x:c r="C123" s="36" t="n">
        <x:f>E123*D$4</x:f>
        <x:v>0</x:v>
      </x:c>
      <x:c r="D123" s="20" t="n"/>
      <x:c r="E123" s="36" t="n">
        <x:f>SUM(G123:HJ123)</x:f>
        <x:v>0</x:v>
      </x:c>
    </x:row>
    <x:row r="124" s="27" customFormat="1">
      <x:c r="B124" s="37" t="n"/>
      <x:c r="C124" s="36" t="n">
        <x:f>E124*D$4</x:f>
        <x:v>0</x:v>
      </x:c>
      <x:c r="D124" s="20" t="n"/>
      <x:c r="E124" s="36" t="n">
        <x:f>SUM(G124:HJ124)</x:f>
        <x:v>0</x:v>
      </x:c>
    </x:row>
    <x:row r="125" s="27" customFormat="1">
      <x:c r="B125" s="37" t="n"/>
      <x:c r="C125" s="36" t="n">
        <x:f>E125*D$4</x:f>
        <x:v>0</x:v>
      </x:c>
      <x:c r="D125" s="20" t="n"/>
      <x:c r="E125" s="36" t="n">
        <x:f>SUM(G125:HJ125)</x:f>
        <x:v>0</x:v>
      </x:c>
    </x:row>
    <x:row r="126" s="27" customFormat="1">
      <x:c r="B126" s="37" t="n"/>
      <x:c r="C126" s="36" t="n">
        <x:f>E126*D$4</x:f>
        <x:v>0</x:v>
      </x:c>
      <x:c r="D126" s="20" t="n"/>
      <x:c r="E126" s="36" t="n">
        <x:f>SUM(G126:HJ126)</x:f>
        <x:v>0</x:v>
      </x:c>
    </x:row>
    <x:row r="127" s="27" customFormat="1">
      <x:c r="B127" s="37" t="n"/>
      <x:c r="C127" s="36" t="n">
        <x:f>E127*D$4</x:f>
        <x:v>0</x:v>
      </x:c>
      <x:c r="D127" s="20" t="n"/>
      <x:c r="E127" s="36" t="n">
        <x:f>SUM(G127:HJ127)</x:f>
        <x:v>0</x:v>
      </x:c>
    </x:row>
    <x:row r="128" s="27" customFormat="1">
      <x:c r="B128" s="37" t="n"/>
      <x:c r="C128" s="36" t="n">
        <x:f>E128*D$4</x:f>
        <x:v>0</x:v>
      </x:c>
      <x:c r="D128" s="20" t="n"/>
      <x:c r="E128" s="36" t="n">
        <x:f>SUM(G128:HJ128)</x:f>
        <x:v>0</x:v>
      </x:c>
    </x:row>
    <x:row r="129" s="27" customFormat="1">
      <x:c r="B129" s="37" t="n"/>
      <x:c r="C129" s="36" t="n">
        <x:f>E129*D$4</x:f>
        <x:v>0</x:v>
      </x:c>
      <x:c r="D129" s="20" t="n"/>
      <x:c r="E129" s="36" t="n">
        <x:f>SUM(G129:HJ129)</x:f>
        <x:v>0</x:v>
      </x:c>
    </x:row>
    <x:row r="130" s="27" customFormat="1">
      <x:c r="B130" s="37" t="n"/>
      <x:c r="C130" s="36" t="n">
        <x:f>E130*D$4</x:f>
        <x:v>0</x:v>
      </x:c>
      <x:c r="D130" s="20" t="n"/>
      <x:c r="E130" s="36" t="n">
        <x:f>SUM(G130:HJ130)</x:f>
        <x:v>0</x:v>
      </x:c>
    </x:row>
    <x:row r="131" s="27" customFormat="1">
      <x:c r="B131" s="37" t="n"/>
      <x:c r="C131" s="36" t="n">
        <x:f>E131*D$4</x:f>
        <x:v>0</x:v>
      </x:c>
      <x:c r="D131" s="20" t="n"/>
      <x:c r="E131" s="36" t="n">
        <x:f>SUM(G131:HJ131)</x:f>
        <x:v>0</x:v>
      </x:c>
    </x:row>
    <x:row r="132" s="27" customFormat="1">
      <x:c r="B132" s="37" t="n"/>
      <x:c r="C132" s="36" t="n">
        <x:f>E132*D$4</x:f>
        <x:v>0</x:v>
      </x:c>
      <x:c r="D132" s="20" t="n"/>
      <x:c r="E132" s="36" t="n">
        <x:f>SUM(G132:HJ132)</x:f>
        <x:v>0</x:v>
      </x:c>
    </x:row>
    <x:row r="133" s="27" customFormat="1">
      <x:c r="B133" s="37" t="n"/>
      <x:c r="C133" s="36" t="n">
        <x:f>E133*D$4</x:f>
        <x:v>0</x:v>
      </x:c>
      <x:c r="D133" s="20" t="n"/>
      <x:c r="E133" s="36" t="n">
        <x:f>SUM(G133:HJ133)</x:f>
        <x:v>0</x:v>
      </x:c>
    </x:row>
    <x:row r="134" s="27" customFormat="1">
      <x:c r="B134" s="37" t="n"/>
      <x:c r="C134" s="36" t="n">
        <x:f>E134*D$4</x:f>
        <x:v>0</x:v>
      </x:c>
      <x:c r="D134" s="20" t="n"/>
      <x:c r="E134" s="36" t="n">
        <x:f>SUM(G134:HJ134)</x:f>
        <x:v>0</x:v>
      </x:c>
    </x:row>
    <x:row r="135" s="27" customFormat="1">
      <x:c r="B135" s="37" t="n"/>
      <x:c r="C135" s="36" t="n">
        <x:f>E135*D$4</x:f>
        <x:v>0</x:v>
      </x:c>
      <x:c r="D135" s="20" t="n"/>
      <x:c r="E135" s="36" t="n">
        <x:f>SUM(G135:HJ135)</x:f>
        <x:v>0</x:v>
      </x:c>
    </x:row>
    <x:row r="136" s="27" customFormat="1">
      <x:c r="B136" s="37" t="n"/>
      <x:c r="C136" s="36" t="n">
        <x:f>E136*D$4</x:f>
        <x:v>0</x:v>
      </x:c>
      <x:c r="D136" s="20" t="n"/>
      <x:c r="E136" s="36" t="n">
        <x:f>SUM(G136:HJ136)</x:f>
        <x:v>0</x:v>
      </x:c>
    </x:row>
    <x:row r="137" s="27" customFormat="1">
      <x:c r="B137" s="37" t="n"/>
      <x:c r="C137" s="36" t="n">
        <x:f>E137*D$4</x:f>
        <x:v>0</x:v>
      </x:c>
      <x:c r="D137" s="20" t="n"/>
      <x:c r="E137" s="36" t="n">
        <x:f>SUM(G137:HJ137)</x:f>
        <x:v>0</x:v>
      </x:c>
    </x:row>
    <x:row r="138" s="27" customFormat="1">
      <x:c r="B138" s="37" t="n"/>
      <x:c r="C138" s="36" t="n">
        <x:f>E138*D$4</x:f>
        <x:v>0</x:v>
      </x:c>
      <x:c r="D138" s="20" t="n"/>
      <x:c r="E138" s="36" t="n">
        <x:f>SUM(G138:HJ138)</x:f>
        <x:v>0</x:v>
      </x:c>
    </x:row>
    <x:row r="139" s="27" customFormat="1">
      <x:c r="B139" s="37" t="n"/>
      <x:c r="C139" s="36" t="n">
        <x:f>E139*D$4</x:f>
        <x:v>0</x:v>
      </x:c>
      <x:c r="D139" s="20" t="n"/>
      <x:c r="E139" s="36" t="n">
        <x:f>SUM(G139:HJ139)</x:f>
        <x:v>0</x:v>
      </x:c>
    </x:row>
    <x:row r="140" s="27" customFormat="1">
      <x:c r="B140" s="37" t="n"/>
      <x:c r="C140" s="36" t="n">
        <x:f>E140*D$4</x:f>
        <x:v>0</x:v>
      </x:c>
      <x:c r="D140" s="20" t="n"/>
      <x:c r="E140" s="36" t="n">
        <x:f>SUM(G140:HJ140)</x:f>
        <x:v>0</x:v>
      </x:c>
    </x:row>
    <x:row r="141" s="27" customFormat="1">
      <x:c r="B141" s="37" t="n"/>
      <x:c r="C141" s="36" t="n">
        <x:f>E141*D$4</x:f>
        <x:v>0</x:v>
      </x:c>
      <x:c r="D141" s="20" t="n"/>
      <x:c r="E141" s="36" t="n">
        <x:f>SUM(G141:HJ141)</x:f>
        <x:v>0</x:v>
      </x:c>
    </x:row>
    <x:row r="142" s="27" customFormat="1">
      <x:c r="B142" s="37" t="n"/>
      <x:c r="C142" s="36" t="n">
        <x:f>E142*D$4</x:f>
        <x:v>0</x:v>
      </x:c>
      <x:c r="D142" s="20" t="n"/>
      <x:c r="E142" s="36" t="n">
        <x:f>SUM(G142:HJ142)</x:f>
        <x:v>0</x:v>
      </x:c>
    </x:row>
    <x:row r="143" s="29" customFormat="1">
      <x:c r="B143" s="33" t="n"/>
      <x:c r="C143" s="32" t="n"/>
      <x:c r="D143" s="31" t="n"/>
      <x:c r="E143" s="30" t="n"/>
    </x:row>
    <x:row r="144" s="26" customFormat="1">
      <x:c r="B144" s="24" t="n"/>
      <x:c r="C144" s="23" t="n"/>
      <x:c r="D144" s="22" t="n"/>
      <x:c r="E144" s="21" t="n"/>
    </x:row>
    <x:row r="145">
      <x:c r="B145" s="24" t="n"/>
      <x:c r="C145" s="23" t="n"/>
      <x:c r="D145" s="22" t="n"/>
      <x:c r="E145" s="21" t="n"/>
    </x:row>
  </x:sheetData>
  <x:mergeCells>
    <x:mergeCell ref="EH6:EH7"/>
    <x:mergeCell ref="DS6:DS7"/>
    <x:mergeCell ref="CA6:CA7"/>
    <x:mergeCell ref="CC6:CC7"/>
    <x:mergeCell ref="EE6:EE7"/>
    <x:mergeCell ref="P6:P7"/>
    <x:mergeCell ref="R6:R7"/>
    <x:mergeCell ref="DQ6:DQ7"/>
    <x:mergeCell ref="BJ6:BJ7"/>
    <x:mergeCell ref="B5:B7"/>
    <x:mergeCell ref="AD6:AD7"/>
    <x:mergeCell ref="AF6:AF7"/>
    <x:mergeCell ref="CF6:CF7"/>
    <x:mergeCell ref="DP6:DP7"/>
    <x:mergeCell ref="E1:F1"/>
    <x:mergeCell ref="CR6:CR7"/>
    <x:mergeCell ref="AH6:AH7"/>
    <x:mergeCell ref="EQ6:EQ7"/>
    <x:mergeCell ref="AJ6:AJ7"/>
    <x:mergeCell ref="B1:C1"/>
    <x:mergeCell ref="CJ6:CJ7"/>
    <x:mergeCell ref="BB6:BB7"/>
    <x:mergeCell ref="CL6:CL7"/>
    <x:mergeCell ref="BD6:BD7"/>
    <x:mergeCell ref="FC6:FC7"/>
    <x:mergeCell ref="AV6:AV7"/>
    <x:mergeCell ref="CV6:CV7"/>
    <x:mergeCell ref="CX6:CX7"/>
    <x:mergeCell ref="FO6:FO7"/>
    <x:mergeCell ref="EZ6:EZ7"/>
    <x:mergeCell ref="DR6:DR7"/>
    <x:mergeCell ref="FN6:FN7"/>
    <x:mergeCell ref="BT6:BT7"/>
    <x:mergeCell ref="AY6:AY7"/>
    <x:mergeCell ref="BV6:BV7"/>
    <x:mergeCell ref="DX6:DX7"/>
    <x:mergeCell ref="I6:I7"/>
    <x:mergeCell ref="EJ6:EJ7"/>
    <x:mergeCell ref="K6:K7"/>
    <x:mergeCell ref="U6:U7"/>
    <x:mergeCell ref="W6:W7"/>
    <x:mergeCell ref="BE6:BE7"/>
    <x:mergeCell ref="E3:F3"/>
    <x:mergeCell ref="DV6:DV7"/>
    <x:mergeCell ref="BW6:BW7"/>
    <x:mergeCell ref="BY6:BY7"/>
    <x:mergeCell ref="AG6:AG7"/>
    <x:mergeCell ref="EP6:EP7"/>
    <x:mergeCell ref="CI6:CI7"/>
    <x:mergeCell ref="B3:C3"/>
    <x:mergeCell ref="CK6:CK7"/>
    <x:mergeCell ref="AA6:AA7"/>
    <x:mergeCell ref="EY6:EY7"/>
    <x:mergeCell ref="ET6:ET7"/>
    <x:mergeCell ref="EV6:EV7"/>
    <x:mergeCell ref="CO6:CO7"/>
    <x:mergeCell ref="BG6:BG7"/>
    <x:mergeCell ref="FF6:FF7"/>
    <x:mergeCell ref="CQ6:CQ7"/>
    <x:mergeCell ref="BI6:BI7"/>
    <x:mergeCell ref="FH6:FH7"/>
    <x:mergeCell ref="DI6:DI7"/>
    <x:mergeCell ref="B2:C2"/>
    <x:mergeCell ref="E4:F4"/>
    <x:mergeCell ref="ES6:ES7"/>
    <x:mergeCell ref="DK6:DK7"/>
    <x:mergeCell ref="DA6:DA7"/>
    <x:mergeCell ref="DC6:DC7"/>
    <x:mergeCell ref="FE6:FE7"/>
    <x:mergeCell ref="AP6:AP7"/>
    <x:mergeCell ref="AR6:AR7"/>
    <x:mergeCell ref="FK6:FK7"/>
    <x:mergeCell ref="DD6:DD7"/>
    <x:mergeCell ref="DF6:DF7"/>
    <x:mergeCell ref="L6:L7"/>
    <x:mergeCell ref="N6:N7"/>
    <x:mergeCell ref="DM6:DM7"/>
    <x:mergeCell ref="BN6:BN7"/>
    <x:mergeCell ref="F5:F7"/>
    <x:mergeCell ref="BP6:BP7"/>
    <x:mergeCell ref="EG6:EG7"/>
    <x:mergeCell ref="BR6:BR7"/>
    <x:mergeCell ref="BH6:BH7"/>
    <x:mergeCell ref="FQ6:FQ7"/>
    <x:mergeCell ref="Z6:Z7"/>
    <x:mergeCell ref="AB6:AB7"/>
    <x:mergeCell ref="EA6:EA7"/>
    <x:mergeCell ref="CB6:CB7"/>
    <x:mergeCell ref="CD6:CD7"/>
    <x:mergeCell ref="ED6:ED7"/>
    <x:mergeCell ref="EF6:EF7"/>
    <x:mergeCell ref="CN6:CN7"/>
    <x:mergeCell ref="ER6:ER7"/>
    <x:mergeCell ref="EM6:EM7"/>
    <x:mergeCell ref="CH6:CH7"/>
    <x:mergeCell ref="C5:C6"/>
    <x:mergeCell ref="E5:E6"/>
    <x:mergeCell ref="FA6:FA7"/>
    <x:mergeCell ref="CT6:CT7"/>
    <x:mergeCell ref="DN6:DN7"/>
    <x:mergeCell ref="AI6:AI7"/>
    <x:mergeCell ref="FJ6:FJ7"/>
    <x:mergeCell ref="AS6:AS7"/>
    <x:mergeCell ref="FB6:FB7"/>
    <x:mergeCell ref="AU6:AU7"/>
    <x:mergeCell ref="DL6:DL7"/>
    <x:mergeCell ref="AW6:AW7"/>
    <x:mergeCell ref="CW6:CW7"/>
    <x:mergeCell ref="CY6:CY7"/>
    <x:mergeCell ref="FP6:FP7"/>
    <x:mergeCell ref="G6:G7"/>
    <x:mergeCell ref="Q6:Q7"/>
    <x:mergeCell ref="BA6:BA7"/>
    <x:mergeCell ref="S6:S7"/>
    <x:mergeCell ref="BS6:BS7"/>
    <x:mergeCell ref="BU6:BU7"/>
    <x:mergeCell ref="EL6:EL7"/>
    <x:mergeCell ref="DU6:DU7"/>
    <x:mergeCell ref="DW6:DW7"/>
    <x:mergeCell ref="CE6:CE7"/>
    <x:mergeCell ref="DO6:DO7"/>
    <x:mergeCell ref="CG6:CG7"/>
    <x:mergeCell ref="EI6:EI7"/>
    <x:mergeCell ref="EK6:EK7"/>
    <x:mergeCell ref="T6:T7"/>
    <x:mergeCell ref="A1:A5"/>
    <x:mergeCell ref="BC6:BC7"/>
    <x:mergeCell ref="EO6:EO7"/>
    <x:mergeCell ref="AL6:AL7"/>
    <x:mergeCell ref="EU6:EU7"/>
    <x:mergeCell ref="AN6:AN7"/>
    <x:mergeCell ref="B4:C4"/>
    <x:mergeCell ref="BF6:BF7"/>
    <x:mergeCell ref="CP6:CP7"/>
    <x:mergeCell ref="AX6:AX7"/>
    <x:mergeCell ref="FG6:FG7"/>
    <x:mergeCell ref="AZ6:AZ7"/>
    <x:mergeCell ref="CZ6:CZ7"/>
    <x:mergeCell ref="DB6:DB7"/>
    <x:mergeCell ref="H6:H7"/>
    <x:mergeCell ref="FD6:FD7"/>
    <x:mergeCell ref="J6:J7"/>
    <x:mergeCell ref="BL6:BL7"/>
    <x:mergeCell ref="EC6:EC7"/>
    <x:mergeCell ref="V6:V7"/>
    <x:mergeCell ref="FM6:FM7"/>
    <x:mergeCell ref="X6:X7"/>
    <x:mergeCell ref="BX6:BX7"/>
    <x:mergeCell ref="D1:D3"/>
    <x:mergeCell ref="BZ6:BZ7"/>
    <x:mergeCell ref="DZ6:DZ7"/>
    <x:mergeCell ref="EB6:EB7"/>
    <x:mergeCell ref="DT6:DT7"/>
    <x:mergeCell ref="M6:M7"/>
    <x:mergeCell ref="EN6:EN7"/>
    <x:mergeCell ref="Y6:Y7"/>
    <x:mergeCell ref="AK6:AK7"/>
    <x:mergeCell ref="AM6:AM7"/>
    <x:mergeCell ref="CM6:CM7"/>
    <x:mergeCell ref="DJ6:DJ7"/>
    <x:mergeCell ref="E2:F2"/>
    <x:mergeCell ref="AC6:AC7"/>
    <x:mergeCell ref="AE6:AE7"/>
    <x:mergeCell ref="AO6:AO7"/>
    <x:mergeCell ref="EX6:EX7"/>
    <x:mergeCell ref="AQ6:AQ7"/>
    <x:mergeCell ref="D5:D6"/>
    <x:mergeCell ref="DH6:DH7"/>
    <x:mergeCell ref="CS6:CS7"/>
    <x:mergeCell ref="BK6:BK7"/>
    <x:mergeCell ref="CU6:CU7"/>
    <x:mergeCell ref="BM6:BM7"/>
    <x:mergeCell ref="FL6:FL7"/>
    <x:mergeCell ref="EW6:EW7"/>
    <x:mergeCell ref="DE6:DE7"/>
    <x:mergeCell ref="DG6:DG7"/>
    <x:mergeCell ref="DY6:DY7"/>
    <x:mergeCell ref="FI6:FI7"/>
    <x:mergeCell ref="O6:O7"/>
    <x:mergeCell ref="BO6:BO7"/>
    <x:mergeCell ref="AT6:AT7"/>
    <x:mergeCell ref="BQ6:BQ7"/>
  </x:mergeCells>
  <x:pageMargins left="0.7" right="0.7" top="0.75" bottom="0.75" header="0.3" footer="0.3"/>
</x:worksheet>
</file>

<file path=xl/worksheets/sheet18.xml><?xml version="1.0" encoding="utf-8"?>
<x:worksheet xmlns:x="http://schemas.openxmlformats.org/spreadsheetml/2006/main">
  <x:sheetFormatPr baseColWidth="8" defaultColWidth="8.7109375" defaultRowHeight="15"/>
  <x:cols>
    <x:col min="1" max="1" width="6.7109375" style="67" customWidth="1"/>
    <x:col min="2" max="2" width="12.42578125" style="67" customWidth="1"/>
    <x:col min="3" max="3" width="21.140625" style="67" customWidth="1"/>
    <x:col min="4" max="4" width="14.42578125" style="67" customWidth="1"/>
    <x:col min="5" max="5" width="10.140625" style="67" customWidth="1"/>
    <x:col min="6" max="6" width="46.5703125" style="67" customWidth="1"/>
    <x:col min="7" max="7" width="20.28515625" style="67" customWidth="1"/>
    <x:col min="8" max="8" width="18.42578125" style="67" customWidth="1"/>
    <x:col min="9" max="9" width="20.42578125" style="67" customWidth="1"/>
    <x:col min="10" max="10" width="18.42578125" style="67" customWidth="1"/>
    <x:col min="11" max="11" width="11.140625" style="67" customWidth="1"/>
    <x:col min="12" max="12" width="9.85546875" style="67" customWidth="1"/>
    <x:col min="13" max="13" width="5.28515625" style="83" customWidth="1"/>
    <x:col min="14" max="14" width="16.140625" style="67" customWidth="1"/>
    <x:col min="15" max="15" width="14.7109375" style="67" customWidth="1"/>
    <x:col min="16" max="16" width="11.7109375" style="67" customWidth="1"/>
    <x:col min="17" max="17" width="18.42578125" style="67" customWidth="1"/>
    <x:col min="18" max="16384" width="8.7109375" style="67" customWidth="1"/>
  </x:cols>
  <x:sheetData>
    <x:row r="1">
      <x:c r="A1" s="76" t="inlineStr">
        <x:is>
          <x:t xml:space="preserve">Wells</x:t>
        </x:is>
      </x:c>
      <x:c r="B1" s="76" t="n"/>
      <x:c r="C1" s="76" t="n"/>
      <x:c r="D1" s="76" t="n"/>
      <x:c r="E1" s="76" t="n"/>
      <x:c r="F1" s="76" t="n"/>
      <x:c r="G1" s="76" t="n"/>
      <x:c r="H1" s="76" t="n"/>
      <x:c r="I1" s="76" t="n"/>
      <x:c r="J1" s="76" t="n"/>
      <x:c r="K1" s="76" t="n"/>
      <x:c r="L1" s="76" t="n"/>
      <x:c r="N1" s="76" t="n"/>
      <x:c r="O1" s="76" t="n"/>
    </x:row>
    <x:row r="2">
      <x:c r="A2" s="77" t="inlineStr">
        <x:is>
          <x:t xml:space="preserve">Well #</x:t>
        </x:is>
      </x:c>
      <x:c r="B2" s="77" t="inlineStr">
        <x:is>
          <x:t xml:space="preserve">API #</x:t>
        </x:is>
      </x:c>
      <x:c r="C2" s="77" t="inlineStr">
        <x:is>
          <x:t xml:space="preserve">Current Operator</x:t>
        </x:is>
      </x:c>
      <x:c r="D2" s="77" t="inlineStr">
        <x:is>
          <x:t xml:space="preserve">Well Name</x:t>
        </x:is>
      </x:c>
      <x:c r="E2" s="77" t="inlineStr">
        <x:is>
          <x:t xml:space="preserve">Formation</x:t>
        </x:is>
      </x:c>
      <x:c r="F2" s="77" t="inlineStr">
        <x:is>
          <x:t xml:space="preserve">Surface Location</x:t>
        </x:is>
      </x:c>
      <x:c r="G2" s="77" t="inlineStr">
        <x:is>
          <x:t xml:space="preserve">Bottom Hole Location</x:t>
        </x:is>
      </x:c>
      <x:c r="H2" s="77" t="inlineStr">
        <x:is>
          <x:t xml:space="preserve">Spud Date</x:t>
        </x:is>
      </x:c>
      <x:c r="I2" s="77" t="inlineStr">
        <x:is>
          <x:t xml:space="preserve">Perforated Interval(s)</x:t>
        </x:is>
      </x:c>
      <x:c r="J2" s="77" t="inlineStr">
        <x:is>
          <x:t xml:space="preserve">TD &amp; TVD</x:t>
        </x:is>
      </x:c>
      <x:c r="K2" s="77" t="inlineStr">
        <x:is>
          <x:t xml:space="preserve">Spacing</x:t>
        </x:is>
      </x:c>
      <x:c r="L2" s="77" t="inlineStr">
        <x:is>
          <x:t xml:space="preserve">MU Order</x:t>
        </x:is>
      </x:c>
      <x:c r="M2" s="84" t="inlineStr">
        <x:is>
          <x:t xml:space="preserve">Type</x:t>
        </x:is>
      </x:c>
      <x:c r="N2" s="77" t="inlineStr">
        <x:is>
          <x:t xml:space="preserve">Completion Date</x:t>
        </x:is>
      </x:c>
      <x:c r="O2" s="77" t="inlineStr">
        <x:is>
          <x:t xml:space="preserve">Last Production</x:t>
        </x:is>
      </x:c>
      <x:c r="P2" s="77" t="inlineStr">
        <x:is>
          <x:t xml:space="preserve">Plugging</x:t>
        </x:is>
      </x:c>
      <x:c r="Q2" s="77" t="inlineStr">
        <x:is>
          <x:t xml:space="preserve">Allocation</x:t>
        </x:is>
      </x:c>
    </x:row>
    <x:row r="3" s="584" customFormat="1" ht="45" customHeight="1">
      <x:c r="A3" s="583" t="inlineStr">
        <x:is>
          <x:t xml:space="preserve">1-31</x:t>
        </x:is>
      </x:c>
      <x:c r="B3" s="581" t="inlineStr">
        <x:is>
          <x:t xml:space="preserve">35-129-22925</x:t>
        </x:is>
      </x:c>
      <x:c r="C3" s="584" t="inlineStr">
        <x:is>
          <x:t xml:space="preserve">MARTIN'S RESOURCES LLC</x:t>
        </x:is>
      </x:c>
      <x:c r="D3" s="581" t="inlineStr">
        <x:is>
          <x:t xml:space="preserve">ALEXANDER #1-31</x:t>
        </x:is>
      </x:c>
      <x:c r="E3" s="581" t="inlineStr">
        <x:is>
          <x:t xml:space="preserve">Cherokee</x:t>
        </x:is>
      </x:c>
      <x:c r="F3" s="581" t="inlineStr">
        <x:is>
          <x:t xml:space="preserve">Sec 31-12N-24W, C NW/4 SE/4, 660' FWL x 1980' FSL</x:t>
        </x:is>
      </x:c>
      <x:c r="G3" s="581" t="inlineStr">
        <x:is>
          <x:t xml:space="preserve">Not confirmed of record</x:t>
        </x:is>
      </x:c>
      <x:c r="H3" s="582" t="inlineStr">
        <x:is>
          <x:t xml:space="preserve">Not confirmed of record</x:t>
        </x:is>
      </x:c>
      <x:c r="I3" s="582" t="inlineStr">
        <x:is>
          <x:t xml:space="preserve">Not confirmed of record</x:t>
        </x:is>
      </x:c>
      <x:c r="J3" s="582" t="inlineStr">
        <x:is>
          <x:t xml:space="preserve">Not confirmed of record</x:t>
        </x:is>
      </x:c>
      <x:c r="K3" s="581" t="inlineStr">
        <x:is>
          <x:t xml:space="preserve">640 (order not of record)</x:t>
        </x:is>
      </x:c>
      <x:c r="L3" s="585" t="inlineStr">
        <x:is>
          <x:t xml:space="preserve">No</x:t>
        </x:is>
      </x:c>
      <x:c r="M3" s="586" t="inlineStr">
        <x:is>
          <x:t xml:space="preserve">Oil</x:t>
        </x:is>
      </x:c>
      <x:c r="N3" s="582" t="n">
        <x:v>38856</x:v>
      </x:c>
      <x:c r="O3" s="587" t="n">
        <x:v>46082</x:v>
      </x:c>
      <x:c r="P3" s="582" t="inlineStr">
        <x:is>
          <x:t xml:space="preserve">None of record</x:t>
        </x:is>
      </x:c>
      <x:c r="Q3" s="588" t="inlineStr">
        <x:is>
          <x:t xml:space="preserve">Not confirmed of record</x:t>
        </x:is>
      </x:c>
    </x:row>
    <x:row r="4">
      <x:c r="A4" s="72" t="n"/>
      <x:c r="B4" s="72" t="n"/>
      <x:c r="C4" s="72" t="n"/>
      <x:c r="D4" s="72" t="n"/>
      <x:c r="E4" s="73" t="n"/>
      <x:c r="F4" s="72" t="n"/>
      <x:c r="G4" s="72" t="n"/>
      <x:c r="H4" s="69" t="n"/>
      <x:c r="I4" s="82" t="n"/>
      <x:c r="J4" s="69" t="n"/>
      <x:c r="K4" s="73" t="n"/>
      <x:c r="L4" s="70" t="n"/>
      <x:c r="M4" s="85" t="n"/>
      <x:c r="N4" s="71" t="n"/>
      <x:c r="O4" s="68" t="n"/>
      <x:c r="P4" s="71" t="n"/>
      <x:c r="Q4" s="74" t="n"/>
    </x:row>
    <x:row r="5">
      <x:c r="A5" s="72" t="str">
        <x:v>OCC RBDMS 2026-07-03: status AC. HBP/spacing carried per client direction for this cursory report; OCC well-file/OTC production/spacing proof optional only for certified reliance.</x:v>
      </x:c>
      <x:c r="B5" s="72" t="n"/>
      <x:c r="C5" s="72" t="n"/>
      <x:c r="D5" s="72" t="n"/>
      <x:c r="E5" s="73" t="n"/>
      <x:c r="F5" s="72" t="n"/>
      <x:c r="G5" s="72" t="n"/>
      <x:c r="H5" s="69" t="n"/>
      <x:c r="I5" s="82" t="n"/>
      <x:c r="J5" s="71" t="n"/>
      <x:c r="K5" s="73" t="n"/>
      <x:c r="L5" s="70" t="n"/>
      <x:c r="M5" s="82" t="n"/>
      <x:c r="N5" s="69" t="n"/>
      <x:c r="O5" s="68" t="n"/>
      <x:c r="P5" s="75" t="n"/>
      <x:c r="Q5" s="74" t="n"/>
    </x:row>
  </x:sheetData>
  <x:pageMargins left="0.7" right="0.7" top="0.75" bottom="0.75" header="0.3" footer="0.3"/>
</x:worksheet>
</file>

<file path=xl/worksheets/sheet19.xml><?xml version="1.0" encoding="utf-8"?>
<x:worksheet xmlns:x="http://schemas.openxmlformats.org/spreadsheetml/2006/main">
  <x:sheetFormatPr baseColWidth="8" defaultRowHeight="15"/>
  <x:cols>
    <x:col min="1" max="16384" width="9.140625" style="569" customWidth="1"/>
  </x:cols>
  <x:sheetData>
    <x:row r="1">
      <x:c r="A1" s="565" t="n"/>
      <x:c r="B1" s="565" t="inlineStr">
        <x:is>
          <x:t xml:space="preserve">Not found in reviewed materials</x:t>
        </x:is>
      </x:c>
      <x:c r="C1" s="565" t="inlineStr">
        <x:is>
          <x:t xml:space="preserve">Lease</x:t>
        </x:is>
      </x:c>
      <x:c r="D1" s="565" t="inlineStr">
        <x:is>
          <x:t xml:space="preserve">1676/377</x:t>
        </x:is>
      </x:c>
      <x:c r="E1" s="565" t="inlineStr">
        <x:is>
          <x:t xml:space="preserve">2002-04-02</x:t>
        </x:is>
      </x:c>
      <x:c r="F1" s="565" t="inlineStr">
        <x:is>
          <x:t xml:space="preserve">2002-04-26</x:t>
        </x:is>
      </x:c>
      <x:c r="G1" s="565" t="inlineStr">
        <x:is>
          <x:t xml:space="preserve">Myron V Slobin</x:t>
        </x:is>
      </x:c>
      <x:c r="H1" s="565" t="inlineStr">
        <x:is>
          <x:t xml:space="preserve">Chesapeake Exploration, LTD PTN</x:t>
        </x:is>
      </x:c>
      <x:c r="I1" s="565" t="inlineStr">
        <x:is>
          <x:t xml:space="preserve">31-12N-24W</x:t>
        </x:is>
      </x:c>
      <x:c r="J1" s="565" t="inlineStr">
        <x:is>
          <x:t xml:space="preserve">Not found in reviewed materials</x:t>
        </x:is>
      </x:c>
      <x:c r="K1" s="565" t="inlineStr">
        <x:is>
          <x:t xml:space="preserve">31-12N-24W_Roger_Mills_Best_Full_Cursory_Title_Report_2026-06-10.xlsx</x:t>
        </x:is>
      </x:c>
      <x:c r="L1" s="565" t="inlineStr">
        <x:is>
          <x:t xml:space="preserve">Historical Runsheet</x:t>
        </x:is>
      </x:c>
      <x:c r="M1" s="565" t="n"/>
      <x:c r="N1" s="565" t="n"/>
      <x:c r="O1" s="565" t="n"/>
      <x:c r="P1" s="541" t="inlineStr">
        <x:is>
          <x:t xml:space="preserve">Obtain full lease image/certified copy; verify terms, acreage, royalty and lease status.</x:t>
        </x:is>
      </x:c>
      <x:c r="Q1" s="541" t="inlineStr">
        <x:is>
          <x:t xml:space="preserve">High</x:t>
        </x:is>
      </x:c>
      <x:c r="R1" s="541" t="inlineStr">
        <x:is>
          <x:t xml:space="preserve">Lease</x:t>
        </x:is>
      </x:c>
      <x:c r="S1" s="650" t="n">
        <x:v>37348</x:v>
      </x:c>
      <x:c r="T1" s="567" t="inlineStr">
        <x:is>
          <x:t xml:space="preserve">Effective / instrument date column</x:t>
        </x:is>
      </x:c>
      <x:c r="U1" s="650" t="n">
        <x:v>37372</x:v>
      </x:c>
      <x:c r="V1" s="567" t="inlineStr">
        <x:is>
          <x:t xml:space="preserve">31-12N-24W</x:t>
        </x:is>
      </x:c>
      <x:c r="W1" s="567" t="inlineStr">
        <x:is>
          <x:t xml:space="preserve">All or unspecified part of Section 31; no quarter call stated in index text</x:t>
        </x:is>
      </x:c>
      <x:c r="X1" s="567" t="inlineStr">
        <x:is>
          <x:t xml:space="preserve">Section match only</x:t>
        </x:is>
      </x:c>
      <x:c r="Y1" s="568" t="inlineStr">
        <x:is>
          <x:t xml:space="preserve">Yes – quarter call missing or index-only</x:t>
        </x:is>
      </x:c>
      <x:c r="Z1" s="568" t="inlineStr">
        <x:is>
          <x:t xml:space="preserve">Extracted from existing workbook/public OKCR text; not a certified legal description.</x:t>
        </x:is>
      </x:c>
    </x:row>
    <x:row r="2">
      <x:c r="A2" s="565" t="n"/>
      <x:c r="B2" s="565" t="inlineStr">
        <x:is>
          <x:t xml:space="preserve">Not found in reviewed materials</x:t>
        </x:is>
      </x:c>
      <x:c r="C2" s="565" t="inlineStr">
        <x:is>
          <x:t xml:space="preserve">Lease</x:t>
        </x:is>
      </x:c>
      <x:c r="D2" s="565" t="inlineStr">
        <x:is>
          <x:t xml:space="preserve">1676/379</x:t>
        </x:is>
      </x:c>
      <x:c r="E2" s="565" t="inlineStr">
        <x:is>
          <x:t xml:space="preserve">2002-04-08</x:t>
        </x:is>
      </x:c>
      <x:c r="F2" s="565" t="inlineStr">
        <x:is>
          <x:t xml:space="preserve">2002-04-26</x:t>
        </x:is>
      </x:c>
      <x:c r="G2" s="565" t="inlineStr">
        <x:is>
          <x:t xml:space="preserve">Paul A Albert, Personal Representative</x:t>
        </x:is>
      </x:c>
      <x:c r="H2" s="565" t="inlineStr">
        <x:is>
          <x:t xml:space="preserve">Chesapeake Exploration, LTD PTN</x:t>
        </x:is>
      </x:c>
      <x:c r="I2" s="565" t="inlineStr">
        <x:is>
          <x:t xml:space="preserve">31-12N-24W</x:t>
        </x:is>
      </x:c>
      <x:c r="J2" s="565" t="inlineStr">
        <x:is>
          <x:t xml:space="preserve">Not found in reviewed materials</x:t>
        </x:is>
      </x:c>
      <x:c r="K2" s="565" t="inlineStr">
        <x:is>
          <x:t xml:space="preserve">31-12N-24W_Roger_Mills_Best_Full_Cursory_Title_Report_2026-06-10.xlsx</x:t>
        </x:is>
      </x:c>
      <x:c r="L2" s="565" t="inlineStr">
        <x:is>
          <x:t xml:space="preserve">Historical Runsheet</x:t>
        </x:is>
      </x:c>
      <x:c r="M2" s="565" t="n"/>
      <x:c r="N2" s="565" t="n"/>
      <x:c r="O2" s="565" t="n"/>
      <x:c r="P2" s="541" t="inlineStr">
        <x:is>
          <x:t xml:space="preserve">Obtain full lease image/certified copy; verify terms, acreage, royalty and lease status.</x:t>
        </x:is>
      </x:c>
      <x:c r="Q2" s="541" t="inlineStr">
        <x:is>
          <x:t xml:space="preserve">High</x:t>
        </x:is>
      </x:c>
      <x:c r="R2" s="541" t="inlineStr">
        <x:is>
          <x:t xml:space="preserve">Lease</x:t>
        </x:is>
      </x:c>
      <x:c r="S2" s="650" t="n">
        <x:v>37354</x:v>
      </x:c>
      <x:c r="T2" s="567" t="inlineStr">
        <x:is>
          <x:t xml:space="preserve">Effective / instrument date column</x:t>
        </x:is>
      </x:c>
      <x:c r="U2" s="650" t="n">
        <x:v>37372</x:v>
      </x:c>
      <x:c r="V2" s="567" t="inlineStr">
        <x:is>
          <x:t xml:space="preserve">31-12N-24W</x:t>
        </x:is>
      </x:c>
      <x:c r="W2" s="567" t="inlineStr">
        <x:is>
          <x:t xml:space="preserve">All or unspecified part of Section 31; no quarter call stated in index text</x:t>
        </x:is>
      </x:c>
      <x:c r="X2" s="567" t="inlineStr">
        <x:is>
          <x:t xml:space="preserve">Section match only</x:t>
        </x:is>
      </x:c>
      <x:c r="Y2" s="568" t="inlineStr">
        <x:is>
          <x:t xml:space="preserve">Yes – quarter call missing or index-only</x:t>
        </x:is>
      </x:c>
      <x:c r="Z2" s="568" t="inlineStr">
        <x:is>
          <x:t xml:space="preserve">Extracted from existing workbook/public OKCR text; not a certified legal description.</x:t>
        </x:is>
      </x:c>
    </x:row>
    <x:row r="3">
      <x:c r="A3" s="565" t="n"/>
      <x:c r="B3" s="565" t="inlineStr">
        <x:is>
          <x:t xml:space="preserve">Not found in reviewed materials</x:t>
        </x:is>
      </x:c>
      <x:c r="C3" s="565" t="inlineStr">
        <x:is>
          <x:t xml:space="preserve">Lease</x:t>
        </x:is>
      </x:c>
      <x:c r="D3" s="565" t="inlineStr">
        <x:is>
          <x:t xml:space="preserve">1688/108</x:t>
        </x:is>
      </x:c>
      <x:c r="E3" s="565" t="inlineStr">
        <x:is>
          <x:t xml:space="preserve">2002-04-08</x:t>
        </x:is>
      </x:c>
      <x:c r="F3" s="565" t="inlineStr">
        <x:is>
          <x:t xml:space="preserve">2002-09-04</x:t>
        </x:is>
      </x:c>
      <x:c r="G3" s="565" t="inlineStr">
        <x:is>
          <x:t xml:space="preserve">L A Persicke</x:t>
        </x:is>
      </x:c>
      <x:c r="H3" s="565" t="inlineStr">
        <x:is>
          <x:t xml:space="preserve">Chesapeake Exploration, LTD PTN</x:t>
        </x:is>
      </x:c>
      <x:c r="I3" s="565" t="inlineStr">
        <x:is>
          <x:t xml:space="preserve">31-12N-24W</x:t>
        </x:is>
      </x:c>
      <x:c r="J3" s="565" t="inlineStr">
        <x:is>
          <x:t xml:space="preserve">Not found in reviewed materials</x:t>
        </x:is>
      </x:c>
      <x:c r="K3" s="565" t="inlineStr">
        <x:is>
          <x:t xml:space="preserve">31-12N-24W_Roger_Mills_Best_Full_Cursory_Title_Report_2026-06-10.xlsx</x:t>
        </x:is>
      </x:c>
      <x:c r="L3" s="565" t="inlineStr">
        <x:is>
          <x:t xml:space="preserve">Historical Runsheet</x:t>
        </x:is>
      </x:c>
      <x:c r="M3" s="565" t="n"/>
      <x:c r="N3" s="565" t="n"/>
      <x:c r="O3" s="565" t="n"/>
      <x:c r="P3" s="541" t="inlineStr">
        <x:is>
          <x:t xml:space="preserve">Obtain full lease image/certified copy; verify terms, acreage, royalty and lease status.</x:t>
        </x:is>
      </x:c>
      <x:c r="Q3" s="541" t="inlineStr">
        <x:is>
          <x:t xml:space="preserve">High</x:t>
        </x:is>
      </x:c>
      <x:c r="R3" s="541" t="inlineStr">
        <x:is>
          <x:t xml:space="preserve">Lease</x:t>
        </x:is>
      </x:c>
      <x:c r="S3" s="650" t="n">
        <x:v>37354</x:v>
      </x:c>
      <x:c r="T3" s="567" t="inlineStr">
        <x:is>
          <x:t xml:space="preserve">Effective / instrument date column</x:t>
        </x:is>
      </x:c>
      <x:c r="U3" s="650" t="n">
        <x:v>37503</x:v>
      </x:c>
      <x:c r="V3" s="567" t="inlineStr">
        <x:is>
          <x:t xml:space="preserve">31-12N-24W</x:t>
        </x:is>
      </x:c>
      <x:c r="W3" s="567" t="inlineStr">
        <x:is>
          <x:t xml:space="preserve">All or unspecified part of Section 31; no quarter call stated in index text</x:t>
        </x:is>
      </x:c>
      <x:c r="X3" s="567" t="inlineStr">
        <x:is>
          <x:t xml:space="preserve">Section match only</x:t>
        </x:is>
      </x:c>
      <x:c r="Y3" s="568" t="inlineStr">
        <x:is>
          <x:t xml:space="preserve">Yes – quarter call missing or index-only</x:t>
        </x:is>
      </x:c>
      <x:c r="Z3" s="568" t="inlineStr">
        <x:is>
          <x:t xml:space="preserve">Extracted from existing workbook/public OKCR text; not a certified legal description.</x:t>
        </x:is>
      </x:c>
    </x:row>
    <x:row r="4">
      <x:c r="A4" s="565" t="n"/>
      <x:c r="B4" s="565" t="inlineStr">
        <x:is>
          <x:t xml:space="preserve">Not found in reviewed materials</x:t>
        </x:is>
      </x:c>
      <x:c r="C4" s="565" t="inlineStr">
        <x:is>
          <x:t xml:space="preserve">Lease</x:t>
        </x:is>
      </x:c>
      <x:c r="D4" s="565" t="inlineStr">
        <x:is>
          <x:t xml:space="preserve">1677/533</x:t>
        </x:is>
      </x:c>
      <x:c r="E4" s="565" t="inlineStr">
        <x:is>
          <x:t xml:space="preserve">2002-04-15</x:t>
        </x:is>
      </x:c>
      <x:c r="F4" s="565" t="inlineStr">
        <x:is>
          <x:t xml:space="preserve">2002-05-13</x:t>
        </x:is>
      </x:c>
      <x:c r="G4" s="565" t="inlineStr">
        <x:is>
          <x:t xml:space="preserve">David S Silverberg</x:t>
        </x:is>
      </x:c>
      <x:c r="H4" s="565" t="inlineStr">
        <x:is>
          <x:t xml:space="preserve">EOG Resources, Inc.</x:t>
        </x:is>
      </x:c>
      <x:c r="I4" s="565" t="inlineStr">
        <x:is>
          <x:t xml:space="preserve">31-12N-24W</x:t>
        </x:is>
      </x:c>
      <x:c r="J4" s="565" t="inlineStr">
        <x:is>
          <x:t xml:space="preserve">Not found in reviewed materials</x:t>
        </x:is>
      </x:c>
      <x:c r="K4" s="565" t="inlineStr">
        <x:is>
          <x:t xml:space="preserve">31-12N-24W_Roger_Mills_Best_Full_Cursory_Title_Report_2026-06-10.xlsx</x:t>
        </x:is>
      </x:c>
      <x:c r="L4" s="565" t="inlineStr">
        <x:is>
          <x:t xml:space="preserve">Historical Runsheet</x:t>
        </x:is>
      </x:c>
      <x:c r="M4" s="565" t="n"/>
      <x:c r="N4" s="565" t="n"/>
      <x:c r="O4" s="565" t="n"/>
      <x:c r="P4" s="541" t="inlineStr">
        <x:is>
          <x:t xml:space="preserve">Obtain full lease image/certified copy; verify terms, acreage, royalty and lease status.</x:t>
        </x:is>
      </x:c>
      <x:c r="Q4" s="541" t="inlineStr">
        <x:is>
          <x:t xml:space="preserve">High</x:t>
        </x:is>
      </x:c>
      <x:c r="R4" s="541" t="inlineStr">
        <x:is>
          <x:t xml:space="preserve">Lease</x:t>
        </x:is>
      </x:c>
      <x:c r="S4" s="650" t="n">
        <x:v>37361</x:v>
      </x:c>
      <x:c r="T4" s="567" t="inlineStr">
        <x:is>
          <x:t xml:space="preserve">Effective / instrument date column</x:t>
        </x:is>
      </x:c>
      <x:c r="U4" s="650" t="n">
        <x:v>37389</x:v>
      </x:c>
      <x:c r="V4" s="567" t="inlineStr">
        <x:is>
          <x:t xml:space="preserve">31-12N-24W</x:t>
        </x:is>
      </x:c>
      <x:c r="W4" s="567" t="inlineStr">
        <x:is>
          <x:t xml:space="preserve">All or unspecified part of Section 31; no quarter call stated in index text</x:t>
        </x:is>
      </x:c>
      <x:c r="X4" s="567" t="inlineStr">
        <x:is>
          <x:t xml:space="preserve">Section match only</x:t>
        </x:is>
      </x:c>
      <x:c r="Y4" s="568" t="inlineStr">
        <x:is>
          <x:t xml:space="preserve">Yes – quarter call missing or index-only</x:t>
        </x:is>
      </x:c>
      <x:c r="Z4" s="568" t="inlineStr">
        <x:is>
          <x:t xml:space="preserve">Extracted from existing workbook/public OKCR text; not a certified legal description.</x:t>
        </x:is>
      </x:c>
    </x:row>
    <x:row r="5">
      <x:c r="A5" s="565" t="n"/>
      <x:c r="B5" s="565" t="inlineStr">
        <x:is>
          <x:t xml:space="preserve">Not found in reviewed materials</x:t>
        </x:is>
      </x:c>
      <x:c r="C5" s="565" t="inlineStr">
        <x:is>
          <x:t xml:space="preserve">Lease</x:t>
        </x:is>
      </x:c>
      <x:c r="D5" s="565" t="inlineStr">
        <x:is>
          <x:t xml:space="preserve">1677/516</x:t>
        </x:is>
      </x:c>
      <x:c r="E5" s="565" t="inlineStr">
        <x:is>
          <x:t xml:space="preserve">2002-04-18</x:t>
        </x:is>
      </x:c>
      <x:c r="F5" s="565" t="inlineStr">
        <x:is>
          <x:t xml:space="preserve">2002-05-13</x:t>
        </x:is>
      </x:c>
      <x:c r="G5" s="565" t="inlineStr">
        <x:is>
          <x:t xml:space="preserve">Lyle T Ibeling</x:t>
        </x:is>
      </x:c>
      <x:c r="H5" s="565" t="inlineStr">
        <x:is>
          <x:t xml:space="preserve">Chesapeake Exploration Co., LTD PTN</x:t>
        </x:is>
      </x:c>
      <x:c r="I5" s="565" t="inlineStr">
        <x:is>
          <x:t xml:space="preserve">31-12N-24W</x:t>
        </x:is>
      </x:c>
      <x:c r="J5" s="565" t="inlineStr">
        <x:is>
          <x:t xml:space="preserve">Not found in reviewed materials</x:t>
        </x:is>
      </x:c>
      <x:c r="K5" s="565" t="inlineStr">
        <x:is>
          <x:t xml:space="preserve">31-12N-24W_Roger_Mills_Best_Full_Cursory_Title_Report_2026-06-10.xlsx</x:t>
        </x:is>
      </x:c>
      <x:c r="L5" s="565" t="inlineStr">
        <x:is>
          <x:t xml:space="preserve">Historical Runsheet</x:t>
        </x:is>
      </x:c>
      <x:c r="M5" s="565" t="n"/>
      <x:c r="N5" s="565" t="n"/>
      <x:c r="O5" s="565" t="n"/>
      <x:c r="P5" s="541" t="inlineStr">
        <x:is>
          <x:t xml:space="preserve">Obtain full lease image/certified copy; verify terms, acreage, royalty and lease status.</x:t>
        </x:is>
      </x:c>
      <x:c r="Q5" s="541" t="inlineStr">
        <x:is>
          <x:t xml:space="preserve">High</x:t>
        </x:is>
      </x:c>
      <x:c r="R5" s="541" t="inlineStr">
        <x:is>
          <x:t xml:space="preserve">Lease</x:t>
        </x:is>
      </x:c>
      <x:c r="S5" s="650" t="n">
        <x:v>37364</x:v>
      </x:c>
      <x:c r="T5" s="567" t="inlineStr">
        <x:is>
          <x:t xml:space="preserve">Effective / instrument date column</x:t>
        </x:is>
      </x:c>
      <x:c r="U5" s="650" t="n">
        <x:v>37389</x:v>
      </x:c>
      <x:c r="V5" s="567" t="inlineStr">
        <x:is>
          <x:t xml:space="preserve">31-12N-24W</x:t>
        </x:is>
      </x:c>
      <x:c r="W5" s="567" t="inlineStr">
        <x:is>
          <x:t xml:space="preserve">All or unspecified part of Section 31; no quarter call stated in index text</x:t>
        </x:is>
      </x:c>
      <x:c r="X5" s="567" t="inlineStr">
        <x:is>
          <x:t xml:space="preserve">Section match only</x:t>
        </x:is>
      </x:c>
      <x:c r="Y5" s="568" t="inlineStr">
        <x:is>
          <x:t xml:space="preserve">Yes – quarter call missing or index-only</x:t>
        </x:is>
      </x:c>
      <x:c r="Z5" s="568" t="inlineStr">
        <x:is>
          <x:t xml:space="preserve">Extracted from existing workbook/public OKCR text; not a certified legal description.</x:t>
        </x:is>
      </x:c>
    </x:row>
    <x:row r="6">
      <x:c r="A6" s="565" t="n"/>
      <x:c r="B6" s="565" t="inlineStr">
        <x:is>
          <x:t xml:space="preserve">Not found in reviewed materials</x:t>
        </x:is>
      </x:c>
      <x:c r="C6" s="565" t="inlineStr">
        <x:is>
          <x:t xml:space="preserve">Lease</x:t>
        </x:is>
      </x:c>
      <x:c r="D6" s="565" t="inlineStr">
        <x:is>
          <x:t xml:space="preserve">1683/1</x:t>
        </x:is>
      </x:c>
      <x:c r="E6" s="565" t="inlineStr">
        <x:is>
          <x:t xml:space="preserve">2002-05-05</x:t>
        </x:is>
      </x:c>
      <x:c r="F6" s="565" t="inlineStr">
        <x:is>
          <x:t xml:space="preserve">2002-06-26</x:t>
        </x:is>
      </x:c>
      <x:c r="G6" s="565" t="inlineStr">
        <x:is>
          <x:t xml:space="preserve">Deutseh, Paul R &amp; Deborah A</x:t>
        </x:is>
      </x:c>
      <x:c r="H6" s="565" t="inlineStr">
        <x:is>
          <x:t xml:space="preserve">EOG Resources</x:t>
        </x:is>
      </x:c>
      <x:c r="I6" s="565" t="inlineStr">
        <x:is>
          <x:t xml:space="preserve">31-12N-24W</x:t>
        </x:is>
      </x:c>
      <x:c r="J6" s="565" t="inlineStr">
        <x:is>
          <x:t xml:space="preserve">Not found in reviewed materials</x:t>
        </x:is>
      </x:c>
      <x:c r="K6" s="565" t="inlineStr">
        <x:is>
          <x:t xml:space="preserve">31-12N-24W_Roger_Mills_Best_Full_Cursory_Title_Report_2026-06-10.xlsx</x:t>
        </x:is>
      </x:c>
      <x:c r="L6" s="565" t="inlineStr">
        <x:is>
          <x:t xml:space="preserve">Historical Runsheet</x:t>
        </x:is>
      </x:c>
      <x:c r="M6" s="565" t="n"/>
      <x:c r="N6" s="565" t="n"/>
      <x:c r="O6" s="565" t="n"/>
      <x:c r="P6" s="541" t="inlineStr">
        <x:is>
          <x:t xml:space="preserve">Obtain full lease image/certified copy; verify terms, acreage, royalty and lease status.</x:t>
        </x:is>
      </x:c>
      <x:c r="Q6" s="541" t="inlineStr">
        <x:is>
          <x:t xml:space="preserve">High</x:t>
        </x:is>
      </x:c>
      <x:c r="R6" s="541" t="inlineStr">
        <x:is>
          <x:t xml:space="preserve">Lease</x:t>
        </x:is>
      </x:c>
      <x:c r="S6" s="650" t="n">
        <x:v>37381</x:v>
      </x:c>
      <x:c r="T6" s="567" t="inlineStr">
        <x:is>
          <x:t xml:space="preserve">Effective / instrument date column</x:t>
        </x:is>
      </x:c>
      <x:c r="U6" s="650" t="n">
        <x:v>37433</x:v>
      </x:c>
      <x:c r="V6" s="567" t="inlineStr">
        <x:is>
          <x:t xml:space="preserve">31-12N-24W</x:t>
        </x:is>
      </x:c>
      <x:c r="W6" s="567" t="inlineStr">
        <x:is>
          <x:t xml:space="preserve">All or unspecified part of Section 31; no quarter call stated in index text</x:t>
        </x:is>
      </x:c>
      <x:c r="X6" s="567" t="inlineStr">
        <x:is>
          <x:t xml:space="preserve">Section match only</x:t>
        </x:is>
      </x:c>
      <x:c r="Y6" s="568" t="inlineStr">
        <x:is>
          <x:t xml:space="preserve">Yes – quarter call missing or index-only</x:t>
        </x:is>
      </x:c>
      <x:c r="Z6" s="568" t="inlineStr">
        <x:is>
          <x:t xml:space="preserve">Extracted from existing workbook/public OKCR text; not a certified legal description.</x:t>
        </x:is>
      </x:c>
    </x:row>
    <x:row r="7">
      <x:c r="A7" s="565" t="n"/>
      <x:c r="B7" s="565" t="inlineStr">
        <x:is>
          <x:t xml:space="preserve">Not found in reviewed materials</x:t>
        </x:is>
      </x:c>
      <x:c r="C7" s="565" t="inlineStr">
        <x:is>
          <x:t xml:space="preserve">Lease</x:t>
        </x:is>
      </x:c>
      <x:c r="D7" s="565" t="inlineStr">
        <x:is>
          <x:t xml:space="preserve">1677/512</x:t>
        </x:is>
      </x:c>
      <x:c r="E7" s="565" t="inlineStr">
        <x:is>
          <x:t xml:space="preserve">2002-05-08</x:t>
        </x:is>
      </x:c>
      <x:c r="F7" s="565" t="inlineStr">
        <x:is>
          <x:t xml:space="preserve">2002-05-13</x:t>
        </x:is>
      </x:c>
      <x:c r="G7" s="565" t="inlineStr">
        <x:is>
          <x:t xml:space="preserve">Hayhurst Oil Properties, Inc.</x:t>
        </x:is>
      </x:c>
      <x:c r="H7" s="565" t="inlineStr">
        <x:is>
          <x:t xml:space="preserve">Fleshman Agency, Inc.</x:t>
        </x:is>
      </x:c>
      <x:c r="I7" s="565" t="inlineStr">
        <x:is>
          <x:t xml:space="preserve">31-12N-24W</x:t>
        </x:is>
      </x:c>
      <x:c r="J7" s="565" t="inlineStr">
        <x:is>
          <x:t xml:space="preserve">Not found in reviewed materials</x:t>
        </x:is>
      </x:c>
      <x:c r="K7" s="565" t="inlineStr">
        <x:is>
          <x:t xml:space="preserve">31-12N-24W_Roger_Mills_Best_Full_Cursory_Title_Report_2026-06-10.xlsx</x:t>
        </x:is>
      </x:c>
      <x:c r="L7" s="565" t="inlineStr">
        <x:is>
          <x:t xml:space="preserve">Historical Runsheet</x:t>
        </x:is>
      </x:c>
      <x:c r="M7" s="565" t="n"/>
      <x:c r="N7" s="565" t="n"/>
      <x:c r="O7" s="565" t="n"/>
      <x:c r="P7" s="541" t="inlineStr">
        <x:is>
          <x:t xml:space="preserve">Obtain full lease image/certified copy; verify terms, acreage, royalty and lease status.</x:t>
        </x:is>
      </x:c>
      <x:c r="Q7" s="541" t="inlineStr">
        <x:is>
          <x:t xml:space="preserve">High</x:t>
        </x:is>
      </x:c>
      <x:c r="R7" s="541" t="inlineStr">
        <x:is>
          <x:t xml:space="preserve">Lease</x:t>
        </x:is>
      </x:c>
      <x:c r="S7" s="650" t="n">
        <x:v>37384</x:v>
      </x:c>
      <x:c r="T7" s="567" t="inlineStr">
        <x:is>
          <x:t xml:space="preserve">Effective / instrument date column</x:t>
        </x:is>
      </x:c>
      <x:c r="U7" s="650" t="n">
        <x:v>37389</x:v>
      </x:c>
      <x:c r="V7" s="567" t="inlineStr">
        <x:is>
          <x:t xml:space="preserve">31-12N-24W</x:t>
        </x:is>
      </x:c>
      <x:c r="W7" s="567" t="inlineStr">
        <x:is>
          <x:t xml:space="preserve">All or unspecified part of Section 31; no quarter call stated in index text</x:t>
        </x:is>
      </x:c>
      <x:c r="X7" s="567" t="inlineStr">
        <x:is>
          <x:t xml:space="preserve">Section match only</x:t>
        </x:is>
      </x:c>
      <x:c r="Y7" s="568" t="inlineStr">
        <x:is>
          <x:t xml:space="preserve">Yes – quarter call missing or index-only</x:t>
        </x:is>
      </x:c>
      <x:c r="Z7" s="568" t="inlineStr">
        <x:is>
          <x:t xml:space="preserve">Extracted from existing workbook/public OKCR text; not a certified legal description.</x:t>
        </x:is>
      </x:c>
    </x:row>
    <x:row r="8">
      <x:c r="A8" s="565" t="n"/>
      <x:c r="B8" s="565" t="inlineStr">
        <x:is>
          <x:t xml:space="preserve">Not found in reviewed materials</x:t>
        </x:is>
      </x:c>
      <x:c r="C8" s="565" t="inlineStr">
        <x:is>
          <x:t xml:space="preserve">Lease</x:t>
        </x:is>
      </x:c>
      <x:c r="D8" s="565" t="inlineStr">
        <x:is>
          <x:t xml:space="preserve">1686/580</x:t>
        </x:is>
      </x:c>
      <x:c r="E8" s="565" t="inlineStr">
        <x:is>
          <x:t xml:space="preserve">2002-06-18</x:t>
        </x:is>
      </x:c>
      <x:c r="F8" s="565" t="inlineStr">
        <x:is>
          <x:t xml:space="preserve">2002-08-16</x:t>
        </x:is>
      </x:c>
      <x:c r="G8" s="565" t="inlineStr">
        <x:is>
          <x:t xml:space="preserve">Brawner, Peggy, Attorney for Bain, William C Jr</x:t>
        </x:is>
      </x:c>
      <x:c r="H8" s="565" t="inlineStr">
        <x:is>
          <x:t xml:space="preserve">EOG Resources</x:t>
        </x:is>
      </x:c>
      <x:c r="I8" s="565" t="inlineStr">
        <x:is>
          <x:t xml:space="preserve">31-12N-24W</x:t>
        </x:is>
      </x:c>
      <x:c r="J8" s="565" t="inlineStr">
        <x:is>
          <x:t xml:space="preserve">Not found in reviewed materials</x:t>
        </x:is>
      </x:c>
      <x:c r="K8" s="565" t="inlineStr">
        <x:is>
          <x:t xml:space="preserve">31-12N-24W_Roger_Mills_Best_Full_Cursory_Title_Report_2026-06-10.xlsx</x:t>
        </x:is>
      </x:c>
      <x:c r="L8" s="565" t="inlineStr">
        <x:is>
          <x:t xml:space="preserve">Historical Runsheet</x:t>
        </x:is>
      </x:c>
      <x:c r="M8" s="565" t="n"/>
      <x:c r="N8" s="565" t="n"/>
      <x:c r="O8" s="565" t="n"/>
      <x:c r="P8" s="541" t="inlineStr">
        <x:is>
          <x:t xml:space="preserve">Obtain full lease image/certified copy; verify terms, acreage, royalty and lease status.</x:t>
        </x:is>
      </x:c>
      <x:c r="Q8" s="541" t="inlineStr">
        <x:is>
          <x:t xml:space="preserve">High</x:t>
        </x:is>
      </x:c>
      <x:c r="R8" s="541" t="inlineStr">
        <x:is>
          <x:t xml:space="preserve">Lease</x:t>
        </x:is>
      </x:c>
      <x:c r="S8" s="650" t="n">
        <x:v>37425</x:v>
      </x:c>
      <x:c r="T8" s="567" t="inlineStr">
        <x:is>
          <x:t xml:space="preserve">Effective / instrument date column</x:t>
        </x:is>
      </x:c>
      <x:c r="U8" s="650" t="n">
        <x:v>37484</x:v>
      </x:c>
      <x:c r="V8" s="567" t="inlineStr">
        <x:is>
          <x:t xml:space="preserve">31-12N-24W</x:t>
        </x:is>
      </x:c>
      <x:c r="W8" s="567" t="inlineStr">
        <x:is>
          <x:t xml:space="preserve">All or unspecified part of Section 31; no quarter call stated in index text</x:t>
        </x:is>
      </x:c>
      <x:c r="X8" s="567" t="inlineStr">
        <x:is>
          <x:t xml:space="preserve">Section match only</x:t>
        </x:is>
      </x:c>
      <x:c r="Y8" s="568" t="inlineStr">
        <x:is>
          <x:t xml:space="preserve">Yes – quarter call missing or index-only</x:t>
        </x:is>
      </x:c>
      <x:c r="Z8" s="568" t="inlineStr">
        <x:is>
          <x:t xml:space="preserve">Extracted from existing workbook/public OKCR text; not a certified legal description.</x:t>
        </x:is>
      </x:c>
    </x:row>
    <x:row r="9">
      <x:c r="A9" s="565" t="n"/>
      <x:c r="B9" s="565" t="inlineStr">
        <x:is>
          <x:t xml:space="preserve">Not found in reviewed materials</x:t>
        </x:is>
      </x:c>
      <x:c r="C9" s="565" t="inlineStr">
        <x:is>
          <x:t xml:space="preserve">Lease</x:t>
        </x:is>
      </x:c>
      <x:c r="D9" s="565" t="inlineStr">
        <x:is>
          <x:t xml:space="preserve">1689/464</x:t>
        </x:is>
      </x:c>
      <x:c r="E9" s="565" t="inlineStr">
        <x:is>
          <x:t xml:space="preserve">2002-08-28</x:t>
        </x:is>
      </x:c>
      <x:c r="F9" s="565" t="inlineStr">
        <x:is>
          <x:t xml:space="preserve">2002-09-26</x:t>
        </x:is>
      </x:c>
      <x:c r="G9" s="565" t="inlineStr">
        <x:is>
          <x:t xml:space="preserve">Gregory J Winneke</x:t>
        </x:is>
      </x:c>
      <x:c r="H9" s="565" t="inlineStr">
        <x:is>
          <x:t xml:space="preserve">EOG Resources</x:t>
        </x:is>
      </x:c>
      <x:c r="I9" s="565" t="inlineStr">
        <x:is>
          <x:t xml:space="preserve">31-12N-24W</x:t>
        </x:is>
      </x:c>
      <x:c r="J9" s="565" t="inlineStr">
        <x:is>
          <x:t xml:space="preserve">Not found in reviewed materials</x:t>
        </x:is>
      </x:c>
      <x:c r="K9" s="565" t="inlineStr">
        <x:is>
          <x:t xml:space="preserve">31-12N-24W_Roger_Mills_Best_Full_Cursory_Title_Report_2026-06-10.xlsx</x:t>
        </x:is>
      </x:c>
      <x:c r="L9" s="565" t="inlineStr">
        <x:is>
          <x:t xml:space="preserve">Historical Runsheet</x:t>
        </x:is>
      </x:c>
      <x:c r="M9" s="565" t="n"/>
      <x:c r="N9" s="565" t="n"/>
      <x:c r="O9" s="565" t="n"/>
      <x:c r="P9" s="541" t="inlineStr">
        <x:is>
          <x:t xml:space="preserve">Obtain full lease image/certified copy; verify terms, acreage, royalty and lease status.</x:t>
        </x:is>
      </x:c>
      <x:c r="Q9" s="541" t="inlineStr">
        <x:is>
          <x:t xml:space="preserve">High</x:t>
        </x:is>
      </x:c>
      <x:c r="R9" s="541" t="inlineStr">
        <x:is>
          <x:t xml:space="preserve">Lease</x:t>
        </x:is>
      </x:c>
      <x:c r="S9" s="650" t="n">
        <x:v>37496</x:v>
      </x:c>
      <x:c r="T9" s="567" t="inlineStr">
        <x:is>
          <x:t xml:space="preserve">Effective / instrument date column</x:t>
        </x:is>
      </x:c>
      <x:c r="U9" s="650" t="n">
        <x:v>37525</x:v>
      </x:c>
      <x:c r="V9" s="567" t="inlineStr">
        <x:is>
          <x:t xml:space="preserve">31-12N-24W</x:t>
        </x:is>
      </x:c>
      <x:c r="W9" s="567" t="inlineStr">
        <x:is>
          <x:t xml:space="preserve">All or unspecified part of Section 31; no quarter call stated in index text</x:t>
        </x:is>
      </x:c>
      <x:c r="X9" s="567" t="inlineStr">
        <x:is>
          <x:t xml:space="preserve">Section match only</x:t>
        </x:is>
      </x:c>
      <x:c r="Y9" s="568" t="inlineStr">
        <x:is>
          <x:t xml:space="preserve">Yes – quarter call missing or index-only</x:t>
        </x:is>
      </x:c>
      <x:c r="Z9" s="568" t="inlineStr">
        <x:is>
          <x:t xml:space="preserve">Extracted from existing workbook/public OKCR text; not a certified legal description.</x:t>
        </x:is>
      </x:c>
    </x:row>
    <x:row r="10">
      <x:c r="A10" s="565" t="n"/>
      <x:c r="B10" s="565" t="inlineStr">
        <x:is>
          <x:t xml:space="preserve">Not found in reviewed materials</x:t>
        </x:is>
      </x:c>
      <x:c r="C10" s="565" t="inlineStr">
        <x:is>
          <x:t xml:space="preserve">Lease</x:t>
        </x:is>
      </x:c>
      <x:c r="D10" s="565" t="inlineStr">
        <x:is>
          <x:t xml:space="preserve">1736/592</x:t>
        </x:is>
      </x:c>
      <x:c r="E10" s="565" t="inlineStr">
        <x:is>
          <x:t xml:space="preserve">2004-01-14</x:t>
        </x:is>
      </x:c>
      <x:c r="F10" s="565" t="inlineStr">
        <x:is>
          <x:t xml:space="preserve">2004-02-12</x:t>
        </x:is>
      </x:c>
      <x:c r="G10" s="565" t="inlineStr">
        <x:is>
          <x:t xml:space="preserve">Nancy Mitchell Williams</x:t>
        </x:is>
      </x:c>
      <x:c r="H10" s="565" t="inlineStr">
        <x:is>
          <x:t xml:space="preserve">R Michael Lortz</x:t>
        </x:is>
      </x:c>
      <x:c r="I10" s="565" t="inlineStr">
        <x:is>
          <x:t xml:space="preserve">31-12N-24W</x:t>
        </x:is>
      </x:c>
      <x:c r="J10" s="565" t="inlineStr">
        <x:is>
          <x:t xml:space="preserve">Not found in reviewed materials</x:t>
        </x:is>
      </x:c>
      <x:c r="K10" s="565" t="inlineStr">
        <x:is>
          <x:t xml:space="preserve">31-12N-24W_Roger_Mills_Best_Full_Cursory_Title_Report_2026-06-10.xlsx</x:t>
        </x:is>
      </x:c>
      <x:c r="L10" s="565" t="inlineStr">
        <x:is>
          <x:t xml:space="preserve">Historical Runsheet</x:t>
        </x:is>
      </x:c>
      <x:c r="M10" s="565" t="n"/>
      <x:c r="N10" s="565" t="n"/>
      <x:c r="O10" s="565" t="n"/>
      <x:c r="P10" s="541" t="inlineStr">
        <x:is>
          <x:t xml:space="preserve">Obtain full lease image/certified copy; verify terms, acreage, royalty and lease status.</x:t>
        </x:is>
      </x:c>
      <x:c r="Q10" s="541" t="inlineStr">
        <x:is>
          <x:t xml:space="preserve">High</x:t>
        </x:is>
      </x:c>
      <x:c r="R10" s="541" t="inlineStr">
        <x:is>
          <x:t xml:space="preserve">Lease</x:t>
        </x:is>
      </x:c>
      <x:c r="S10" s="650" t="n">
        <x:v>38000</x:v>
      </x:c>
      <x:c r="T10" s="567" t="inlineStr">
        <x:is>
          <x:t xml:space="preserve">Effective / instrument date column</x:t>
        </x:is>
      </x:c>
      <x:c r="U10" s="650" t="n">
        <x:v>38029</x:v>
      </x:c>
      <x:c r="V10" s="567" t="inlineStr">
        <x:is>
          <x:t xml:space="preserve">31-12N-24W</x:t>
        </x:is>
      </x:c>
      <x:c r="W10" s="567" t="inlineStr">
        <x:is>
          <x:t xml:space="preserve">All or unspecified part of Section 31; no quarter call stated in index text</x:t>
        </x:is>
      </x:c>
      <x:c r="X10" s="567" t="inlineStr">
        <x:is>
          <x:t xml:space="preserve">Section match only</x:t>
        </x:is>
      </x:c>
      <x:c r="Y10" s="568" t="inlineStr">
        <x:is>
          <x:t xml:space="preserve">Yes – quarter call missing or index-only</x:t>
        </x:is>
      </x:c>
      <x:c r="Z10" s="568" t="inlineStr">
        <x:is>
          <x:t xml:space="preserve">Extracted from existing workbook/public OKCR text; not a certified legal description.</x:t>
        </x:is>
      </x:c>
    </x:row>
    <x:row r="11">
      <x:c r="A11" s="565" t="n"/>
      <x:c r="B11" s="565" t="inlineStr">
        <x:is>
          <x:t xml:space="preserve">Not found in reviewed materials</x:t>
        </x:is>
      </x:c>
      <x:c r="C11" s="565" t="inlineStr">
        <x:is>
          <x:t xml:space="preserve">Lease</x:t>
        </x:is>
      </x:c>
      <x:c r="D11" s="565" t="inlineStr">
        <x:is>
          <x:t xml:space="preserve">1736/588</x:t>
        </x:is>
      </x:c>
      <x:c r="E11" s="565" t="inlineStr">
        <x:is>
          <x:t xml:space="preserve">2004-01-21</x:t>
        </x:is>
      </x:c>
      <x:c r="F11" s="565" t="inlineStr">
        <x:is>
          <x:t xml:space="preserve">2004-02-12</x:t>
        </x:is>
      </x:c>
      <x:c r="G11" s="565" t="inlineStr">
        <x:is>
          <x:t xml:space="preserve">Clarence C Bain, Trustee</x:t>
        </x:is>
      </x:c>
      <x:c r="H11" s="565" t="inlineStr">
        <x:is>
          <x:t xml:space="preserve">R Michael Lortz</x:t>
        </x:is>
      </x:c>
      <x:c r="I11" s="565" t="inlineStr">
        <x:is>
          <x:t xml:space="preserve">31-12N-24W</x:t>
        </x:is>
      </x:c>
      <x:c r="J11" s="565" t="inlineStr">
        <x:is>
          <x:t xml:space="preserve">Not found in reviewed materials</x:t>
        </x:is>
      </x:c>
      <x:c r="K11" s="565" t="inlineStr">
        <x:is>
          <x:t xml:space="preserve">31-12N-24W_Roger_Mills_Best_Full_Cursory_Title_Report_2026-06-10.xlsx</x:t>
        </x:is>
      </x:c>
      <x:c r="L11" s="565" t="inlineStr">
        <x:is>
          <x:t xml:space="preserve">Historical Runsheet</x:t>
        </x:is>
      </x:c>
      <x:c r="M11" s="565" t="n"/>
      <x:c r="N11" s="565" t="n"/>
      <x:c r="O11" s="565" t="n"/>
      <x:c r="P11" s="541" t="inlineStr">
        <x:is>
          <x:t xml:space="preserve">Obtain full lease image/certified copy; verify terms, acreage, royalty and lease status.</x:t>
        </x:is>
      </x:c>
      <x:c r="Q11" s="541" t="inlineStr">
        <x:is>
          <x:t xml:space="preserve">High</x:t>
        </x:is>
      </x:c>
      <x:c r="R11" s="541" t="inlineStr">
        <x:is>
          <x:t xml:space="preserve">Lease</x:t>
        </x:is>
      </x:c>
      <x:c r="S11" s="650" t="n">
        <x:v>38007</x:v>
      </x:c>
      <x:c r="T11" s="567" t="inlineStr">
        <x:is>
          <x:t xml:space="preserve">Effective / instrument date column</x:t>
        </x:is>
      </x:c>
      <x:c r="U11" s="650" t="n">
        <x:v>38029</x:v>
      </x:c>
      <x:c r="V11" s="567" t="inlineStr">
        <x:is>
          <x:t xml:space="preserve">31-12N-24W</x:t>
        </x:is>
      </x:c>
      <x:c r="W11" s="567" t="inlineStr">
        <x:is>
          <x:t xml:space="preserve">All or unspecified part of Section 31; no quarter call stated in index text</x:t>
        </x:is>
      </x:c>
      <x:c r="X11" s="567" t="inlineStr">
        <x:is>
          <x:t xml:space="preserve">Section match only</x:t>
        </x:is>
      </x:c>
      <x:c r="Y11" s="568" t="inlineStr">
        <x:is>
          <x:t xml:space="preserve">Yes – quarter call missing or index-only</x:t>
        </x:is>
      </x:c>
      <x:c r="Z11" s="568" t="inlineStr">
        <x:is>
          <x:t xml:space="preserve">Extracted from existing workbook/public OKCR text; not a certified legal description.</x:t>
        </x:is>
      </x:c>
    </x:row>
    <x:row r="12">
      <x:c r="A12" s="565" t="n"/>
      <x:c r="B12" s="565" t="inlineStr">
        <x:is>
          <x:t xml:space="preserve">Not found in reviewed materials</x:t>
        </x:is>
      </x:c>
      <x:c r="C12" s="565" t="inlineStr">
        <x:is>
          <x:t xml:space="preserve">Lease</x:t>
        </x:is>
      </x:c>
      <x:c r="D12" s="565" t="inlineStr">
        <x:is>
          <x:t xml:space="preserve">1738/479</x:t>
        </x:is>
      </x:c>
      <x:c r="E12" s="565" t="inlineStr">
        <x:is>
          <x:t xml:space="preserve">2004-02-06</x:t>
        </x:is>
      </x:c>
      <x:c r="F12" s="565" t="inlineStr">
        <x:is>
          <x:t xml:space="preserve">2004-03-03</x:t>
        </x:is>
      </x:c>
      <x:c r="G12" s="565" t="inlineStr">
        <x:is>
          <x:t xml:space="preserve">Lola F Richards</x:t>
        </x:is>
      </x:c>
      <x:c r="H12" s="565" t="inlineStr">
        <x:is>
          <x:t xml:space="preserve">R Michael Lortz</x:t>
        </x:is>
      </x:c>
      <x:c r="I12" s="565" t="inlineStr">
        <x:is>
          <x:t xml:space="preserve">31-12N-24W</x:t>
        </x:is>
      </x:c>
      <x:c r="J12" s="565" t="inlineStr">
        <x:is>
          <x:t xml:space="preserve">Not found in reviewed materials</x:t>
        </x:is>
      </x:c>
      <x:c r="K12" s="565" t="inlineStr">
        <x:is>
          <x:t xml:space="preserve">31-12N-24W_Roger_Mills_Best_Full_Cursory_Title_Report_2026-06-10.xlsx</x:t>
        </x:is>
      </x:c>
      <x:c r="L12" s="565" t="inlineStr">
        <x:is>
          <x:t xml:space="preserve">Historical Runsheet</x:t>
        </x:is>
      </x:c>
      <x:c r="M12" s="565" t="n"/>
      <x:c r="N12" s="565" t="n"/>
      <x:c r="O12" s="565" t="n"/>
      <x:c r="P12" s="541" t="inlineStr">
        <x:is>
          <x:t xml:space="preserve">Obtain full lease image/certified copy; verify terms, acreage, royalty and lease status.</x:t>
        </x:is>
      </x:c>
      <x:c r="Q12" s="541" t="inlineStr">
        <x:is>
          <x:t xml:space="preserve">High</x:t>
        </x:is>
      </x:c>
      <x:c r="R12" s="541" t="inlineStr">
        <x:is>
          <x:t xml:space="preserve">Lease</x:t>
        </x:is>
      </x:c>
      <x:c r="S12" s="650" t="n">
        <x:v>38023</x:v>
      </x:c>
      <x:c r="T12" s="567" t="inlineStr">
        <x:is>
          <x:t xml:space="preserve">Effective / instrument date column</x:t>
        </x:is>
      </x:c>
      <x:c r="U12" s="650" t="n">
        <x:v>38049</x:v>
      </x:c>
      <x:c r="V12" s="567" t="inlineStr">
        <x:is>
          <x:t xml:space="preserve">31-12N-24W</x:t>
        </x:is>
      </x:c>
      <x:c r="W12" s="567" t="inlineStr">
        <x:is>
          <x:t xml:space="preserve">All or unspecified part of Section 31; no quarter call stated in index text</x:t>
        </x:is>
      </x:c>
      <x:c r="X12" s="567" t="inlineStr">
        <x:is>
          <x:t xml:space="preserve">Section match only</x:t>
        </x:is>
      </x:c>
      <x:c r="Y12" s="568" t="inlineStr">
        <x:is>
          <x:t xml:space="preserve">Yes – quarter call missing or index-only</x:t>
        </x:is>
      </x:c>
      <x:c r="Z12" s="568" t="inlineStr">
        <x:is>
          <x:t xml:space="preserve">Extracted from existing workbook/public OKCR text; not a certified legal description.</x:t>
        </x:is>
      </x:c>
    </x:row>
    <x:row r="13">
      <x:c r="A13" s="565" t="n"/>
      <x:c r="B13" s="565" t="inlineStr">
        <x:is>
          <x:t xml:space="preserve">Not found in reviewed materials</x:t>
        </x:is>
      </x:c>
      <x:c r="C13" s="565" t="inlineStr">
        <x:is>
          <x:t xml:space="preserve">Lease</x:t>
        </x:is>
      </x:c>
      <x:c r="D13" s="565" t="inlineStr">
        <x:is>
          <x:t xml:space="preserve">1736/473</x:t>
        </x:is>
      </x:c>
      <x:c r="E13" s="565" t="inlineStr">
        <x:is>
          <x:t xml:space="preserve">2004-02-09</x:t>
        </x:is>
      </x:c>
      <x:c r="F13" s="565" t="inlineStr">
        <x:is>
          <x:t xml:space="preserve">2004-02-10</x:t>
        </x:is>
      </x:c>
      <x:c r="G13" s="565" t="inlineStr">
        <x:is>
          <x:t xml:space="preserve">Charles Allen Atha</x:t>
        </x:is>
      </x:c>
      <x:c r="H13" s="565" t="inlineStr">
        <x:is>
          <x:t xml:space="preserve">R Michael Lortz</x:t>
        </x:is>
      </x:c>
      <x:c r="I13" s="565" t="inlineStr">
        <x:is>
          <x:t xml:space="preserve">31-12N-24W</x:t>
        </x:is>
      </x:c>
      <x:c r="J13" s="565" t="inlineStr">
        <x:is>
          <x:t xml:space="preserve">Not found in reviewed materials</x:t>
        </x:is>
      </x:c>
      <x:c r="K13" s="565" t="inlineStr">
        <x:is>
          <x:t xml:space="preserve">31-12N-24W_Roger_Mills_Best_Full_Cursory_Title_Report_2026-06-10.xlsx</x:t>
        </x:is>
      </x:c>
      <x:c r="L13" s="565" t="inlineStr">
        <x:is>
          <x:t xml:space="preserve">Historical Runsheet</x:t>
        </x:is>
      </x:c>
      <x:c r="M13" s="565" t="n"/>
      <x:c r="N13" s="565" t="n"/>
      <x:c r="O13" s="565" t="n"/>
      <x:c r="P13" s="541" t="inlineStr">
        <x:is>
          <x:t xml:space="preserve">Obtain full lease image/certified copy; verify terms, acreage, royalty and lease status.</x:t>
        </x:is>
      </x:c>
      <x:c r="Q13" s="541" t="inlineStr">
        <x:is>
          <x:t xml:space="preserve">High</x:t>
        </x:is>
      </x:c>
      <x:c r="R13" s="541" t="inlineStr">
        <x:is>
          <x:t xml:space="preserve">Lease</x:t>
        </x:is>
      </x:c>
      <x:c r="S13" s="650" t="n">
        <x:v>38026</x:v>
      </x:c>
      <x:c r="T13" s="567" t="inlineStr">
        <x:is>
          <x:t xml:space="preserve">Effective / instrument date column</x:t>
        </x:is>
      </x:c>
      <x:c r="U13" s="650" t="n">
        <x:v>38027</x:v>
      </x:c>
      <x:c r="V13" s="567" t="inlineStr">
        <x:is>
          <x:t xml:space="preserve">31-12N-24W</x:t>
        </x:is>
      </x:c>
      <x:c r="W13" s="567" t="inlineStr">
        <x:is>
          <x:t xml:space="preserve">All or unspecified part of Section 31; no quarter call stated in index text</x:t>
        </x:is>
      </x:c>
      <x:c r="X13" s="567" t="inlineStr">
        <x:is>
          <x:t xml:space="preserve">Section match only</x:t>
        </x:is>
      </x:c>
      <x:c r="Y13" s="568" t="inlineStr">
        <x:is>
          <x:t xml:space="preserve">Yes – quarter call missing or index-only</x:t>
        </x:is>
      </x:c>
      <x:c r="Z13" s="568" t="inlineStr">
        <x:is>
          <x:t xml:space="preserve">Extracted from existing workbook/public OKCR text; not a certified legal description.</x:t>
        </x:is>
      </x:c>
    </x:row>
    <x:row r="14">
      <x:c r="A14" s="565" t="n"/>
      <x:c r="B14" s="565" t="inlineStr">
        <x:is>
          <x:t xml:space="preserve">Not found in reviewed materials</x:t>
        </x:is>
      </x:c>
      <x:c r="C14" s="565" t="inlineStr">
        <x:is>
          <x:t xml:space="preserve">Lease</x:t>
        </x:is>
      </x:c>
      <x:c r="D14" s="565" t="inlineStr">
        <x:is>
          <x:t xml:space="preserve">1792/517</x:t>
        </x:is>
      </x:c>
      <x:c r="E14" s="565" t="inlineStr">
        <x:is>
          <x:t xml:space="preserve">2005-03-30</x:t>
        </x:is>
      </x:c>
      <x:c r="F14" s="565" t="inlineStr">
        <x:is>
          <x:t xml:space="preserve">2005-06-01</x:t>
        </x:is>
      </x:c>
      <x:c r="G14" s="565" t="inlineStr">
        <x:is>
          <x:t xml:space="preserve">Martha Ann Devenas</x:t>
        </x:is>
      </x:c>
      <x:c r="H14" s="565" t="inlineStr">
        <x:is>
          <x:t xml:space="preserve">EOG Resources, Inc.</x:t>
        </x:is>
      </x:c>
      <x:c r="I14" s="565" t="inlineStr">
        <x:is>
          <x:t xml:space="preserve">31-12N-24W</x:t>
        </x:is>
      </x:c>
      <x:c r="J14" s="565" t="inlineStr">
        <x:is>
          <x:t xml:space="preserve">Not found in reviewed materials</x:t>
        </x:is>
      </x:c>
      <x:c r="K14" s="565" t="inlineStr">
        <x:is>
          <x:t xml:space="preserve">31-12N-24W_Roger_Mills_Best_Full_Cursory_Title_Report_2026-06-10.xlsx</x:t>
        </x:is>
      </x:c>
      <x:c r="L14" s="565" t="inlineStr">
        <x:is>
          <x:t xml:space="preserve">Historical Runsheet</x:t>
        </x:is>
      </x:c>
      <x:c r="M14" s="565" t="n"/>
      <x:c r="N14" s="565" t="n"/>
      <x:c r="O14" s="565" t="n"/>
      <x:c r="P14" s="541" t="inlineStr">
        <x:is>
          <x:t xml:space="preserve">Obtain full lease image/certified copy; verify terms, acreage, royalty and lease status.</x:t>
        </x:is>
      </x:c>
      <x:c r="Q14" s="541" t="inlineStr">
        <x:is>
          <x:t xml:space="preserve">High</x:t>
        </x:is>
      </x:c>
      <x:c r="R14" s="541" t="inlineStr">
        <x:is>
          <x:t xml:space="preserve">Lease</x:t>
        </x:is>
      </x:c>
      <x:c r="S14" s="650" t="n">
        <x:v>38441</x:v>
      </x:c>
      <x:c r="T14" s="567" t="inlineStr">
        <x:is>
          <x:t xml:space="preserve">Effective / instrument date column</x:t>
        </x:is>
      </x:c>
      <x:c r="U14" s="650" t="n">
        <x:v>38504</x:v>
      </x:c>
      <x:c r="V14" s="567" t="inlineStr">
        <x:is>
          <x:t xml:space="preserve">31-12N-24W</x:t>
        </x:is>
      </x:c>
      <x:c r="W14" s="567" t="inlineStr">
        <x:is>
          <x:t xml:space="preserve">All or unspecified part of Section 31; no quarter call stated in index text</x:t>
        </x:is>
      </x:c>
      <x:c r="X14" s="567" t="inlineStr">
        <x:is>
          <x:t xml:space="preserve">Section match only</x:t>
        </x:is>
      </x:c>
      <x:c r="Y14" s="568" t="inlineStr">
        <x:is>
          <x:t xml:space="preserve">Yes – quarter call missing or index-only</x:t>
        </x:is>
      </x:c>
      <x:c r="Z14" s="568" t="inlineStr">
        <x:is>
          <x:t xml:space="preserve">Extracted from existing workbook/public OKCR text; not a certified legal description.</x:t>
        </x:is>
      </x:c>
    </x:row>
    <x:row r="15">
      <x:c r="A15" s="565" t="n"/>
      <x:c r="B15" s="565" t="inlineStr">
        <x:is>
          <x:t xml:space="preserve">Not found in reviewed materials</x:t>
        </x:is>
      </x:c>
      <x:c r="C15" s="565" t="inlineStr">
        <x:is>
          <x:t xml:space="preserve">Lease</x:t>
        </x:is>
      </x:c>
      <x:c r="D15" s="565" t="inlineStr">
        <x:is>
          <x:t xml:space="preserve">1798/146</x:t>
        </x:is>
      </x:c>
      <x:c r="E15" s="565" t="inlineStr">
        <x:is>
          <x:t xml:space="preserve">2005-04-26</x:t>
        </x:is>
      </x:c>
      <x:c r="F15" s="565" t="inlineStr">
        <x:is>
          <x:t xml:space="preserve">2005-07-18</x:t>
        </x:is>
      </x:c>
      <x:c r="G15" s="565" t="inlineStr">
        <x:is>
          <x:t xml:space="preserve">Rogene E Williams, Trustee</x:t>
        </x:is>
      </x:c>
      <x:c r="H15" s="565" t="inlineStr">
        <x:is>
          <x:t xml:space="preserve">Chesapeake Exploration, LTD PTN</x:t>
        </x:is>
      </x:c>
      <x:c r="I15" s="565" t="inlineStr">
        <x:is>
          <x:t xml:space="preserve">31-12N-24W</x:t>
        </x:is>
      </x:c>
      <x:c r="J15" s="565" t="inlineStr">
        <x:is>
          <x:t xml:space="preserve">Not found in reviewed materials</x:t>
        </x:is>
      </x:c>
      <x:c r="K15" s="565" t="inlineStr">
        <x:is>
          <x:t xml:space="preserve">31-12N-24W_Roger_Mills_Best_Full_Cursory_Title_Report_2026-06-10.xlsx</x:t>
        </x:is>
      </x:c>
      <x:c r="L15" s="565" t="inlineStr">
        <x:is>
          <x:t xml:space="preserve">Historical Runsheet</x:t>
        </x:is>
      </x:c>
      <x:c r="M15" s="565" t="n"/>
      <x:c r="N15" s="565" t="n"/>
      <x:c r="O15" s="565" t="n"/>
      <x:c r="P15" s="541" t="inlineStr">
        <x:is>
          <x:t xml:space="preserve">Obtain full lease image/certified copy; verify terms, acreage, royalty and lease status.</x:t>
        </x:is>
      </x:c>
      <x:c r="Q15" s="541" t="inlineStr">
        <x:is>
          <x:t xml:space="preserve">High</x:t>
        </x:is>
      </x:c>
      <x:c r="R15" s="541" t="inlineStr">
        <x:is>
          <x:t xml:space="preserve">Lease</x:t>
        </x:is>
      </x:c>
      <x:c r="S15" s="650" t="n">
        <x:v>38468</x:v>
      </x:c>
      <x:c r="T15" s="567" t="inlineStr">
        <x:is>
          <x:t xml:space="preserve">Effective / instrument date column</x:t>
        </x:is>
      </x:c>
      <x:c r="U15" s="650" t="n">
        <x:v>38551</x:v>
      </x:c>
      <x:c r="V15" s="567" t="inlineStr">
        <x:is>
          <x:t xml:space="preserve">31-12N-24W</x:t>
        </x:is>
      </x:c>
      <x:c r="W15" s="567" t="inlineStr">
        <x:is>
          <x:t xml:space="preserve">All or unspecified part of Section 31; no quarter call stated in index text</x:t>
        </x:is>
      </x:c>
      <x:c r="X15" s="567" t="inlineStr">
        <x:is>
          <x:t xml:space="preserve">Section match only</x:t>
        </x:is>
      </x:c>
      <x:c r="Y15" s="568" t="inlineStr">
        <x:is>
          <x:t xml:space="preserve">Yes – quarter call missing or index-only</x:t>
        </x:is>
      </x:c>
      <x:c r="Z15" s="568" t="inlineStr">
        <x:is>
          <x:t xml:space="preserve">Extracted from existing workbook/public OKCR text; not a certified legal description.</x:t>
        </x:is>
      </x:c>
    </x:row>
    <x:row r="16">
      <x:c r="A16" s="565" t="n"/>
      <x:c r="B16" s="565" t="inlineStr">
        <x:is>
          <x:t xml:space="preserve">Not found in reviewed materials</x:t>
        </x:is>
      </x:c>
      <x:c r="C16" s="565" t="inlineStr">
        <x:is>
          <x:t xml:space="preserve">Lease</x:t>
        </x:is>
      </x:c>
      <x:c r="D16" s="565" t="inlineStr">
        <x:is>
          <x:t xml:space="preserve">1797/167</x:t>
        </x:is>
      </x:c>
      <x:c r="E16" s="565" t="inlineStr">
        <x:is>
          <x:t xml:space="preserve">2005-05-10</x:t>
        </x:is>
      </x:c>
      <x:c r="F16" s="565" t="inlineStr">
        <x:is>
          <x:t xml:space="preserve">2005-07-08</x:t>
        </x:is>
      </x:c>
      <x:c r="G16" s="565" t="inlineStr">
        <x:is>
          <x:t xml:space="preserve">Peggy J Brawner</x:t>
        </x:is>
      </x:c>
      <x:c r="H16" s="565" t="inlineStr">
        <x:is>
          <x:t xml:space="preserve">EOG Resources, Inc.</x:t>
        </x:is>
      </x:c>
      <x:c r="I16" s="565" t="inlineStr">
        <x:is>
          <x:t xml:space="preserve">31-12N-24W</x:t>
        </x:is>
      </x:c>
      <x:c r="J16" s="565" t="inlineStr">
        <x:is>
          <x:t xml:space="preserve">Not found in reviewed materials</x:t>
        </x:is>
      </x:c>
      <x:c r="K16" s="565" t="inlineStr">
        <x:is>
          <x:t xml:space="preserve">31-12N-24W_Roger_Mills_Best_Full_Cursory_Title_Report_2026-06-10.xlsx</x:t>
        </x:is>
      </x:c>
      <x:c r="L16" s="565" t="inlineStr">
        <x:is>
          <x:t xml:space="preserve">Historical Runsheet</x:t>
        </x:is>
      </x:c>
      <x:c r="M16" s="565" t="n"/>
      <x:c r="N16" s="565" t="n"/>
      <x:c r="O16" s="565" t="n"/>
      <x:c r="P16" s="541" t="inlineStr">
        <x:is>
          <x:t xml:space="preserve">Obtain full lease image/certified copy; verify terms, acreage, royalty and lease status.</x:t>
        </x:is>
      </x:c>
      <x:c r="Q16" s="541" t="inlineStr">
        <x:is>
          <x:t xml:space="preserve">High</x:t>
        </x:is>
      </x:c>
      <x:c r="R16" s="541" t="inlineStr">
        <x:is>
          <x:t xml:space="preserve">Lease</x:t>
        </x:is>
      </x:c>
      <x:c r="S16" s="650" t="n">
        <x:v>38482</x:v>
      </x:c>
      <x:c r="T16" s="567" t="inlineStr">
        <x:is>
          <x:t xml:space="preserve">Effective / instrument date column</x:t>
        </x:is>
      </x:c>
      <x:c r="U16" s="650" t="n">
        <x:v>38541</x:v>
      </x:c>
      <x:c r="V16" s="567" t="inlineStr">
        <x:is>
          <x:t xml:space="preserve">31-12N-24W</x:t>
        </x:is>
      </x:c>
      <x:c r="W16" s="567" t="inlineStr">
        <x:is>
          <x:t xml:space="preserve">All or unspecified part of Section 31; no quarter call stated in index text</x:t>
        </x:is>
      </x:c>
      <x:c r="X16" s="567" t="inlineStr">
        <x:is>
          <x:t xml:space="preserve">Section match only</x:t>
        </x:is>
      </x:c>
      <x:c r="Y16" s="568" t="inlineStr">
        <x:is>
          <x:t xml:space="preserve">Yes – quarter call missing or index-only</x:t>
        </x:is>
      </x:c>
      <x:c r="Z16" s="568" t="inlineStr">
        <x:is>
          <x:t xml:space="preserve">Extracted from existing workbook/public OKCR text; not a certified legal description.</x:t>
        </x:is>
      </x:c>
    </x:row>
    <x:row r="17">
      <x:c r="A17" s="565" t="n"/>
      <x:c r="B17" s="565" t="inlineStr">
        <x:is>
          <x:t xml:space="preserve">Not found in reviewed materials</x:t>
        </x:is>
      </x:c>
      <x:c r="C17" s="565" t="inlineStr">
        <x:is>
          <x:t xml:space="preserve">Lease</x:t>
        </x:is>
      </x:c>
      <x:c r="D17" s="565" t="inlineStr">
        <x:is>
          <x:t xml:space="preserve">1817/386</x:t>
        </x:is>
      </x:c>
      <x:c r="E17" s="565" t="inlineStr">
        <x:is>
          <x:t xml:space="preserve">2005-09-26</x:t>
        </x:is>
      </x:c>
      <x:c r="F17" s="565" t="inlineStr">
        <x:is>
          <x:t xml:space="preserve">2005-12-23</x:t>
        </x:is>
      </x:c>
      <x:c r="G17" s="565" t="inlineStr">
        <x:is>
          <x:t xml:space="preserve">Joe H Britton</x:t>
        </x:is>
      </x:c>
      <x:c r="H17" s="565" t="inlineStr">
        <x:is>
          <x:t xml:space="preserve">Todco Properties, Inc.</x:t>
        </x:is>
      </x:c>
      <x:c r="I17" s="565" t="inlineStr">
        <x:is>
          <x:t xml:space="preserve">31-12N-24W</x:t>
        </x:is>
      </x:c>
      <x:c r="J17" s="565" t="inlineStr">
        <x:is>
          <x:t xml:space="preserve">Not found in reviewed materials</x:t>
        </x:is>
      </x:c>
      <x:c r="K17" s="565" t="inlineStr">
        <x:is>
          <x:t xml:space="preserve">31-12N-24W_Roger_Mills_Best_Full_Cursory_Title_Report_2026-06-10.xlsx</x:t>
        </x:is>
      </x:c>
      <x:c r="L17" s="565" t="inlineStr">
        <x:is>
          <x:t xml:space="preserve">Historical Runsheet</x:t>
        </x:is>
      </x:c>
      <x:c r="M17" s="565" t="n"/>
      <x:c r="N17" s="565" t="n"/>
      <x:c r="O17" s="565" t="n"/>
      <x:c r="P17" s="541" t="inlineStr">
        <x:is>
          <x:t xml:space="preserve">Obtain full lease image/certified copy; verify terms, acreage, royalty and lease status.</x:t>
        </x:is>
      </x:c>
      <x:c r="Q17" s="541" t="inlineStr">
        <x:is>
          <x:t xml:space="preserve">High</x:t>
        </x:is>
      </x:c>
      <x:c r="R17" s="541" t="inlineStr">
        <x:is>
          <x:t xml:space="preserve">Lease</x:t>
        </x:is>
      </x:c>
      <x:c r="S17" s="650" t="n">
        <x:v>38621</x:v>
      </x:c>
      <x:c r="T17" s="567" t="inlineStr">
        <x:is>
          <x:t xml:space="preserve">Effective / instrument date column</x:t>
        </x:is>
      </x:c>
      <x:c r="U17" s="650" t="n">
        <x:v>38709</x:v>
      </x:c>
      <x:c r="V17" s="567" t="inlineStr">
        <x:is>
          <x:t xml:space="preserve">31-12N-24W</x:t>
        </x:is>
      </x:c>
      <x:c r="W17" s="567" t="inlineStr">
        <x:is>
          <x:t xml:space="preserve">All or unspecified part of Section 31; no quarter call stated in index text</x:t>
        </x:is>
      </x:c>
      <x:c r="X17" s="567" t="inlineStr">
        <x:is>
          <x:t xml:space="preserve">Section match only</x:t>
        </x:is>
      </x:c>
      <x:c r="Y17" s="568" t="inlineStr">
        <x:is>
          <x:t xml:space="preserve">Yes – quarter call missing or index-only</x:t>
        </x:is>
      </x:c>
      <x:c r="Z17" s="568" t="inlineStr">
        <x:is>
          <x:t xml:space="preserve">Extracted from existing workbook/public OKCR text; not a certified legal description.</x:t>
        </x:is>
      </x:c>
    </x:row>
    <x:row r="18">
      <x:c r="A18" s="565" t="n"/>
      <x:c r="B18" s="565" t="inlineStr">
        <x:is>
          <x:t xml:space="preserve">Not found in reviewed materials</x:t>
        </x:is>
      </x:c>
      <x:c r="C18" s="565" t="inlineStr">
        <x:is>
          <x:t xml:space="preserve">Lease</x:t>
        </x:is>
      </x:c>
      <x:c r="D18" s="565" t="inlineStr">
        <x:is>
          <x:t xml:space="preserve">1816/352</x:t>
        </x:is>
      </x:c>
      <x:c r="E18" s="565" t="inlineStr">
        <x:is>
          <x:t xml:space="preserve">2005-10-11</x:t>
        </x:is>
      </x:c>
      <x:c r="F18" s="565" t="inlineStr">
        <x:is>
          <x:t xml:space="preserve">2005-12-15</x:t>
        </x:is>
      </x:c>
      <x:c r="G18" s="565" t="inlineStr">
        <x:is>
          <x:t xml:space="preserve">Shawn S Walters</x:t>
        </x:is>
      </x:c>
      <x:c r="H18" s="565" t="inlineStr">
        <x:is>
          <x:t xml:space="preserve">Jess Harris III</x:t>
        </x:is>
      </x:c>
      <x:c r="I18" s="565" t="inlineStr">
        <x:is>
          <x:t xml:space="preserve">31-12N-24W</x:t>
        </x:is>
      </x:c>
      <x:c r="J18" s="565" t="inlineStr">
        <x:is>
          <x:t xml:space="preserve">Not found in reviewed materials</x:t>
        </x:is>
      </x:c>
      <x:c r="K18" s="565" t="inlineStr">
        <x:is>
          <x:t xml:space="preserve">31-12N-24W_Roger_Mills_Best_Full_Cursory_Title_Report_2026-06-10.xlsx</x:t>
        </x:is>
      </x:c>
      <x:c r="L18" s="565" t="inlineStr">
        <x:is>
          <x:t xml:space="preserve">Historical Runsheet</x:t>
        </x:is>
      </x:c>
      <x:c r="M18" s="565" t="n"/>
      <x:c r="N18" s="565" t="n"/>
      <x:c r="O18" s="565" t="n"/>
      <x:c r="P18" s="541" t="inlineStr">
        <x:is>
          <x:t xml:space="preserve">Obtain full lease image/certified copy; verify terms, acreage, royalty and lease status.</x:t>
        </x:is>
      </x:c>
      <x:c r="Q18" s="541" t="inlineStr">
        <x:is>
          <x:t xml:space="preserve">High</x:t>
        </x:is>
      </x:c>
      <x:c r="R18" s="541" t="inlineStr">
        <x:is>
          <x:t xml:space="preserve">Lease</x:t>
        </x:is>
      </x:c>
      <x:c r="S18" s="650" t="n">
        <x:v>38636</x:v>
      </x:c>
      <x:c r="T18" s="567" t="inlineStr">
        <x:is>
          <x:t xml:space="preserve">Effective / instrument date column</x:t>
        </x:is>
      </x:c>
      <x:c r="U18" s="650" t="n">
        <x:v>38701</x:v>
      </x:c>
      <x:c r="V18" s="567" t="inlineStr">
        <x:is>
          <x:t xml:space="preserve">31-12N-24W</x:t>
        </x:is>
      </x:c>
      <x:c r="W18" s="567" t="inlineStr">
        <x:is>
          <x:t xml:space="preserve">All or unspecified part of Section 31; no quarter call stated in index text</x:t>
        </x:is>
      </x:c>
      <x:c r="X18" s="567" t="inlineStr">
        <x:is>
          <x:t xml:space="preserve">Section match only</x:t>
        </x:is>
      </x:c>
      <x:c r="Y18" s="568" t="inlineStr">
        <x:is>
          <x:t xml:space="preserve">Yes – quarter call missing or index-only</x:t>
        </x:is>
      </x:c>
      <x:c r="Z18" s="568" t="inlineStr">
        <x:is>
          <x:t xml:space="preserve">Extracted from existing workbook/public OKCR text; not a certified legal description.</x:t>
        </x:is>
      </x:c>
    </x:row>
    <x:row r="19">
      <x:c r="A19" s="565" t="n"/>
      <x:c r="B19" s="565" t="inlineStr">
        <x:is>
          <x:t xml:space="preserve">Not found in reviewed materials</x:t>
        </x:is>
      </x:c>
      <x:c r="C19" s="565" t="inlineStr">
        <x:is>
          <x:t xml:space="preserve">Lease</x:t>
        </x:is>
      </x:c>
      <x:c r="D19" s="565" t="inlineStr">
        <x:is>
          <x:t xml:space="preserve">1816/358</x:t>
        </x:is>
      </x:c>
      <x:c r="E19" s="565" t="inlineStr">
        <x:is>
          <x:t xml:space="preserve">2005-10-11</x:t>
        </x:is>
      </x:c>
      <x:c r="F19" s="565" t="inlineStr">
        <x:is>
          <x:t xml:space="preserve">2005-12-15</x:t>
        </x:is>
      </x:c>
      <x:c r="G19" s="565" t="inlineStr">
        <x:is>
          <x:t xml:space="preserve">Eddie Tom Lakey</x:t>
        </x:is>
      </x:c>
      <x:c r="H19" s="565" t="inlineStr">
        <x:is>
          <x:t xml:space="preserve">Jess Harris III</x:t>
        </x:is>
      </x:c>
      <x:c r="I19" s="565" t="inlineStr">
        <x:is>
          <x:t xml:space="preserve">31-12N-24W</x:t>
        </x:is>
      </x:c>
      <x:c r="J19" s="565" t="inlineStr">
        <x:is>
          <x:t xml:space="preserve">Not found in reviewed materials</x:t>
        </x:is>
      </x:c>
      <x:c r="K19" s="565" t="inlineStr">
        <x:is>
          <x:t xml:space="preserve">31-12N-24W_Roger_Mills_Best_Full_Cursory_Title_Report_2026-06-10.xlsx</x:t>
        </x:is>
      </x:c>
      <x:c r="L19" s="565" t="inlineStr">
        <x:is>
          <x:t xml:space="preserve">Historical Runsheet</x:t>
        </x:is>
      </x:c>
      <x:c r="M19" s="565" t="n"/>
      <x:c r="N19" s="565" t="n"/>
      <x:c r="O19" s="565" t="n"/>
      <x:c r="P19" s="541" t="inlineStr">
        <x:is>
          <x:t xml:space="preserve">Obtain full lease image/certified copy; verify terms, acreage, royalty and lease status.</x:t>
        </x:is>
      </x:c>
      <x:c r="Q19" s="541" t="inlineStr">
        <x:is>
          <x:t xml:space="preserve">High</x:t>
        </x:is>
      </x:c>
      <x:c r="R19" s="541" t="inlineStr">
        <x:is>
          <x:t xml:space="preserve">Lease</x:t>
        </x:is>
      </x:c>
      <x:c r="S19" s="650" t="n">
        <x:v>38636</x:v>
      </x:c>
      <x:c r="T19" s="567" t="inlineStr">
        <x:is>
          <x:t xml:space="preserve">Effective / instrument date column</x:t>
        </x:is>
      </x:c>
      <x:c r="U19" s="650" t="n">
        <x:v>38701</x:v>
      </x:c>
      <x:c r="V19" s="567" t="inlineStr">
        <x:is>
          <x:t xml:space="preserve">31-12N-24W</x:t>
        </x:is>
      </x:c>
      <x:c r="W19" s="567" t="inlineStr">
        <x:is>
          <x:t xml:space="preserve">All or unspecified part of Section 31; no quarter call stated in index text</x:t>
        </x:is>
      </x:c>
      <x:c r="X19" s="567" t="inlineStr">
        <x:is>
          <x:t xml:space="preserve">Section match only</x:t>
        </x:is>
      </x:c>
      <x:c r="Y19" s="568" t="inlineStr">
        <x:is>
          <x:t xml:space="preserve">Yes – quarter call missing or index-only</x:t>
        </x:is>
      </x:c>
      <x:c r="Z19" s="568" t="inlineStr">
        <x:is>
          <x:t xml:space="preserve">Extracted from existing workbook/public OKCR text; not a certified legal description.</x:t>
        </x:is>
      </x:c>
    </x:row>
    <x:row r="20">
      <x:c r="A20" s="565" t="n"/>
      <x:c r="B20" s="565" t="inlineStr">
        <x:is>
          <x:t xml:space="preserve">Not found in reviewed materials</x:t>
        </x:is>
      </x:c>
      <x:c r="C20" s="565" t="inlineStr">
        <x:is>
          <x:t xml:space="preserve">Lease</x:t>
        </x:is>
      </x:c>
      <x:c r="D20" s="565" t="inlineStr">
        <x:is>
          <x:t xml:space="preserve">1816/386</x:t>
        </x:is>
      </x:c>
      <x:c r="E20" s="565" t="inlineStr">
        <x:is>
          <x:t xml:space="preserve">2005-10-12</x:t>
        </x:is>
      </x:c>
      <x:c r="F20" s="565" t="inlineStr">
        <x:is>
          <x:t xml:space="preserve">2005-12-15</x:t>
        </x:is>
      </x:c>
      <x:c r="G20" s="565" t="inlineStr">
        <x:is>
          <x:t xml:space="preserve">Myron Slobin</x:t>
        </x:is>
      </x:c>
      <x:c r="H20" s="565" t="inlineStr">
        <x:is>
          <x:t xml:space="preserve">Jess Harris III</x:t>
        </x:is>
      </x:c>
      <x:c r="I20" s="565" t="inlineStr">
        <x:is>
          <x:t xml:space="preserve">31-12N-24W</x:t>
        </x:is>
      </x:c>
      <x:c r="J20" s="565" t="inlineStr">
        <x:is>
          <x:t xml:space="preserve">Not found in reviewed materials</x:t>
        </x:is>
      </x:c>
      <x:c r="K20" s="565" t="inlineStr">
        <x:is>
          <x:t xml:space="preserve">31-12N-24W_Roger_Mills_Best_Full_Cursory_Title_Report_2026-06-10.xlsx</x:t>
        </x:is>
      </x:c>
      <x:c r="L20" s="565" t="inlineStr">
        <x:is>
          <x:t xml:space="preserve">Historical Runsheet</x:t>
        </x:is>
      </x:c>
      <x:c r="M20" s="565" t="n"/>
      <x:c r="N20" s="565" t="n"/>
      <x:c r="O20" s="565" t="n"/>
      <x:c r="P20" s="541" t="inlineStr">
        <x:is>
          <x:t xml:space="preserve">Obtain full lease image/certified copy; verify terms, acreage, royalty and lease status.</x:t>
        </x:is>
      </x:c>
      <x:c r="Q20" s="541" t="inlineStr">
        <x:is>
          <x:t xml:space="preserve">High</x:t>
        </x:is>
      </x:c>
      <x:c r="R20" s="541" t="inlineStr">
        <x:is>
          <x:t xml:space="preserve">Lease</x:t>
        </x:is>
      </x:c>
      <x:c r="S20" s="650" t="n">
        <x:v>38637</x:v>
      </x:c>
      <x:c r="T20" s="567" t="inlineStr">
        <x:is>
          <x:t xml:space="preserve">Effective / instrument date column</x:t>
        </x:is>
      </x:c>
      <x:c r="U20" s="650" t="n">
        <x:v>38701</x:v>
      </x:c>
      <x:c r="V20" s="567" t="inlineStr">
        <x:is>
          <x:t xml:space="preserve">31-12N-24W</x:t>
        </x:is>
      </x:c>
      <x:c r="W20" s="567" t="inlineStr">
        <x:is>
          <x:t xml:space="preserve">All or unspecified part of Section 31; no quarter call stated in index text</x:t>
        </x:is>
      </x:c>
      <x:c r="X20" s="567" t="inlineStr">
        <x:is>
          <x:t xml:space="preserve">Section match only</x:t>
        </x:is>
      </x:c>
      <x:c r="Y20" s="568" t="inlineStr">
        <x:is>
          <x:t xml:space="preserve">Yes – quarter call missing or index-only</x:t>
        </x:is>
      </x:c>
      <x:c r="Z20" s="568" t="inlineStr">
        <x:is>
          <x:t xml:space="preserve">Extracted from existing workbook/public OKCR text; not a certified legal description.</x:t>
        </x:is>
      </x:c>
    </x:row>
    <x:row r="21">
      <x:c r="A21" s="565" t="n"/>
      <x:c r="B21" s="565" t="inlineStr">
        <x:is>
          <x:t xml:space="preserve">Not found in reviewed materials</x:t>
        </x:is>
      </x:c>
      <x:c r="C21" s="565" t="inlineStr">
        <x:is>
          <x:t xml:space="preserve">Lease</x:t>
        </x:is>
      </x:c>
      <x:c r="D21" s="565" t="inlineStr">
        <x:is>
          <x:t xml:space="preserve">1822/572</x:t>
        </x:is>
      </x:c>
      <x:c r="E21" s="565" t="inlineStr">
        <x:is>
          <x:t xml:space="preserve">2005-11-02</x:t>
        </x:is>
      </x:c>
      <x:c r="F21" s="565" t="inlineStr">
        <x:is>
          <x:t xml:space="preserve">2006-02-06</x:t>
        </x:is>
      </x:c>
      <x:c r="G21" s="565" t="inlineStr">
        <x:is>
          <x:t xml:space="preserve">David S Silverberg</x:t>
        </x:is>
      </x:c>
      <x:c r="H21" s="565" t="inlineStr">
        <x:is>
          <x:t xml:space="preserve">Harris Jess III, Inc.</x:t>
        </x:is>
      </x:c>
      <x:c r="I21" s="565" t="inlineStr">
        <x:is>
          <x:t xml:space="preserve">31-12N-24W</x:t>
        </x:is>
      </x:c>
      <x:c r="J21" s="565" t="inlineStr">
        <x:is>
          <x:t xml:space="preserve">Not found in reviewed materials</x:t>
        </x:is>
      </x:c>
      <x:c r="K21" s="565" t="inlineStr">
        <x:is>
          <x:t xml:space="preserve">31-12N-24W_Roger_Mills_Best_Full_Cursory_Title_Report_2026-06-10.xlsx</x:t>
        </x:is>
      </x:c>
      <x:c r="L21" s="565" t="inlineStr">
        <x:is>
          <x:t xml:space="preserve">Historical Runsheet</x:t>
        </x:is>
      </x:c>
      <x:c r="M21" s="565" t="n"/>
      <x:c r="N21" s="565" t="n"/>
      <x:c r="O21" s="565" t="n"/>
      <x:c r="P21" s="541" t="inlineStr">
        <x:is>
          <x:t xml:space="preserve">Obtain full lease image/certified copy; verify terms, acreage, royalty and lease status.</x:t>
        </x:is>
      </x:c>
      <x:c r="Q21" s="541" t="inlineStr">
        <x:is>
          <x:t xml:space="preserve">High</x:t>
        </x:is>
      </x:c>
      <x:c r="R21" s="541" t="inlineStr">
        <x:is>
          <x:t xml:space="preserve">Lease</x:t>
        </x:is>
      </x:c>
      <x:c r="S21" s="650" t="n">
        <x:v>38658</x:v>
      </x:c>
      <x:c r="T21" s="567" t="inlineStr">
        <x:is>
          <x:t xml:space="preserve">Effective / instrument date column</x:t>
        </x:is>
      </x:c>
      <x:c r="U21" s="650" t="n">
        <x:v>38754</x:v>
      </x:c>
      <x:c r="V21" s="567" t="inlineStr">
        <x:is>
          <x:t xml:space="preserve">31-12N-24W</x:t>
        </x:is>
      </x:c>
      <x:c r="W21" s="567" t="inlineStr">
        <x:is>
          <x:t xml:space="preserve">All or unspecified part of Section 31; no quarter call stated in index text</x:t>
        </x:is>
      </x:c>
      <x:c r="X21" s="567" t="inlineStr">
        <x:is>
          <x:t xml:space="preserve">Section match only</x:t>
        </x:is>
      </x:c>
      <x:c r="Y21" s="568" t="inlineStr">
        <x:is>
          <x:t xml:space="preserve">Yes – quarter call missing or index-only</x:t>
        </x:is>
      </x:c>
      <x:c r="Z21" s="568" t="inlineStr">
        <x:is>
          <x:t xml:space="preserve">Extracted from existing workbook/public OKCR text; not a certified legal description.</x:t>
        </x:is>
      </x:c>
    </x:row>
    <x:row r="22">
      <x:c r="A22" s="565" t="n"/>
      <x:c r="B22" s="565" t="inlineStr">
        <x:is>
          <x:t xml:space="preserve">Not found in reviewed materials</x:t>
        </x:is>
      </x:c>
      <x:c r="C22" s="565" t="inlineStr">
        <x:is>
          <x:t xml:space="preserve">Lease</x:t>
        </x:is>
      </x:c>
      <x:c r="D22" s="565" t="inlineStr">
        <x:is>
          <x:t xml:space="preserve">1816/374</x:t>
        </x:is>
      </x:c>
      <x:c r="E22" s="565" t="inlineStr">
        <x:is>
          <x:t xml:space="preserve">2005-11-15</x:t>
        </x:is>
      </x:c>
      <x:c r="F22" s="565" t="inlineStr">
        <x:is>
          <x:t xml:space="preserve">2005-12-15</x:t>
        </x:is>
      </x:c>
      <x:c r="G22" s="565" t="inlineStr">
        <x:is>
          <x:t xml:space="preserve">Margaret Kirk</x:t>
        </x:is>
      </x:c>
      <x:c r="H22" s="565" t="inlineStr">
        <x:is>
          <x:t xml:space="preserve">Jess Harris III</x:t>
        </x:is>
      </x:c>
      <x:c r="I22" s="565" t="inlineStr">
        <x:is>
          <x:t xml:space="preserve">31-12N-24W</x:t>
        </x:is>
      </x:c>
      <x:c r="J22" s="565" t="inlineStr">
        <x:is>
          <x:t xml:space="preserve">Not found in reviewed materials</x:t>
        </x:is>
      </x:c>
      <x:c r="K22" s="565" t="inlineStr">
        <x:is>
          <x:t xml:space="preserve">31-12N-24W_Roger_Mills_Best_Full_Cursory_Title_Report_2026-06-10.xlsx</x:t>
        </x:is>
      </x:c>
      <x:c r="L22" s="565" t="inlineStr">
        <x:is>
          <x:t xml:space="preserve">Historical Runsheet</x:t>
        </x:is>
      </x:c>
      <x:c r="M22" s="565" t="n"/>
      <x:c r="N22" s="565" t="n"/>
      <x:c r="O22" s="565" t="n"/>
      <x:c r="P22" s="541" t="inlineStr">
        <x:is>
          <x:t xml:space="preserve">Obtain full lease image/certified copy; verify terms, acreage, royalty and lease status.</x:t>
        </x:is>
      </x:c>
      <x:c r="Q22" s="541" t="inlineStr">
        <x:is>
          <x:t xml:space="preserve">High</x:t>
        </x:is>
      </x:c>
      <x:c r="R22" s="541" t="inlineStr">
        <x:is>
          <x:t xml:space="preserve">Lease</x:t>
        </x:is>
      </x:c>
      <x:c r="S22" s="650" t="n">
        <x:v>38671</x:v>
      </x:c>
      <x:c r="T22" s="567" t="inlineStr">
        <x:is>
          <x:t xml:space="preserve">Effective / instrument date column</x:t>
        </x:is>
      </x:c>
      <x:c r="U22" s="650" t="n">
        <x:v>38701</x:v>
      </x:c>
      <x:c r="V22" s="567" t="inlineStr">
        <x:is>
          <x:t xml:space="preserve">31-12N-24W</x:t>
        </x:is>
      </x:c>
      <x:c r="W22" s="567" t="inlineStr">
        <x:is>
          <x:t xml:space="preserve">All or unspecified part of Section 31; no quarter call stated in index text</x:t>
        </x:is>
      </x:c>
      <x:c r="X22" s="567" t="inlineStr">
        <x:is>
          <x:t xml:space="preserve">Section match only</x:t>
        </x:is>
      </x:c>
      <x:c r="Y22" s="568" t="inlineStr">
        <x:is>
          <x:t xml:space="preserve">Yes – quarter call missing or index-only</x:t>
        </x:is>
      </x:c>
      <x:c r="Z22" s="568" t="inlineStr">
        <x:is>
          <x:t xml:space="preserve">Extracted from existing workbook/public OKCR text; not a certified legal description.</x:t>
        </x:is>
      </x:c>
    </x:row>
    <x:row r="23">
      <x:c r="A23" s="565" t="n"/>
      <x:c r="B23" s="565" t="inlineStr">
        <x:is>
          <x:t xml:space="preserve">Not found in reviewed materials</x:t>
        </x:is>
      </x:c>
      <x:c r="C23" s="565" t="inlineStr">
        <x:is>
          <x:t xml:space="preserve">Lease</x:t>
        </x:is>
      </x:c>
      <x:c r="D23" s="565" t="inlineStr">
        <x:is>
          <x:t xml:space="preserve">1822/562</x:t>
        </x:is>
      </x:c>
      <x:c r="E23" s="565" t="inlineStr">
        <x:is>
          <x:t xml:space="preserve">2005-12-08</x:t>
        </x:is>
      </x:c>
      <x:c r="F23" s="565" t="inlineStr">
        <x:is>
          <x:t xml:space="preserve">2006-02-06</x:t>
        </x:is>
      </x:c>
      <x:c r="G23" s="565" t="inlineStr">
        <x:is>
          <x:t xml:space="preserve">Clyde A Pine</x:t>
        </x:is>
      </x:c>
      <x:c r="H23" s="565" t="inlineStr">
        <x:is>
          <x:t xml:space="preserve">Harris Jess III, Inc.</x:t>
        </x:is>
      </x:c>
      <x:c r="I23" s="565" t="inlineStr">
        <x:is>
          <x:t xml:space="preserve">31-12N-24W</x:t>
        </x:is>
      </x:c>
      <x:c r="J23" s="565" t="inlineStr">
        <x:is>
          <x:t xml:space="preserve">Not found in reviewed materials</x:t>
        </x:is>
      </x:c>
      <x:c r="K23" s="565" t="inlineStr">
        <x:is>
          <x:t xml:space="preserve">31-12N-24W_Roger_Mills_Best_Full_Cursory_Title_Report_2026-06-10.xlsx</x:t>
        </x:is>
      </x:c>
      <x:c r="L23" s="565" t="inlineStr">
        <x:is>
          <x:t xml:space="preserve">Historical Runsheet</x:t>
        </x:is>
      </x:c>
      <x:c r="M23" s="565" t="n"/>
      <x:c r="N23" s="565" t="n"/>
      <x:c r="O23" s="565" t="n"/>
      <x:c r="P23" s="541" t="inlineStr">
        <x:is>
          <x:t xml:space="preserve">Obtain full lease image/certified copy; verify terms, acreage, royalty and lease status.</x:t>
        </x:is>
      </x:c>
      <x:c r="Q23" s="541" t="inlineStr">
        <x:is>
          <x:t xml:space="preserve">High</x:t>
        </x:is>
      </x:c>
      <x:c r="R23" s="541" t="inlineStr">
        <x:is>
          <x:t xml:space="preserve">Lease</x:t>
        </x:is>
      </x:c>
      <x:c r="S23" s="650" t="n">
        <x:v>38694</x:v>
      </x:c>
      <x:c r="T23" s="567" t="inlineStr">
        <x:is>
          <x:t xml:space="preserve">Effective / instrument date column</x:t>
        </x:is>
      </x:c>
      <x:c r="U23" s="650" t="n">
        <x:v>38754</x:v>
      </x:c>
      <x:c r="V23" s="567" t="inlineStr">
        <x:is>
          <x:t xml:space="preserve">31-12N-24W</x:t>
        </x:is>
      </x:c>
      <x:c r="W23" s="567" t="inlineStr">
        <x:is>
          <x:t xml:space="preserve">All or unspecified part of Section 31; no quarter call stated in index text</x:t>
        </x:is>
      </x:c>
      <x:c r="X23" s="567" t="inlineStr">
        <x:is>
          <x:t xml:space="preserve">Section match only</x:t>
        </x:is>
      </x:c>
      <x:c r="Y23" s="568" t="inlineStr">
        <x:is>
          <x:t xml:space="preserve">Yes – quarter call missing or index-only</x:t>
        </x:is>
      </x:c>
      <x:c r="Z23" s="568" t="inlineStr">
        <x:is>
          <x:t xml:space="preserve">Extracted from existing workbook/public OKCR text; not a certified legal description.</x:t>
        </x:is>
      </x:c>
    </x:row>
    <x:row r="24">
      <x:c r="A24" s="565" t="n"/>
      <x:c r="B24" s="565" t="inlineStr">
        <x:is>
          <x:t xml:space="preserve">Not found in reviewed materials</x:t>
        </x:is>
      </x:c>
      <x:c r="C24" s="565" t="inlineStr">
        <x:is>
          <x:t xml:space="preserve">Lease</x:t>
        </x:is>
      </x:c>
      <x:c r="D24" s="565" t="inlineStr">
        <x:is>
          <x:t xml:space="preserve">1820/15</x:t>
        </x:is>
      </x:c>
      <x:c r="E24" s="565" t="inlineStr">
        <x:is>
          <x:t xml:space="preserve">2005-12-23</x:t>
        </x:is>
      </x:c>
      <x:c r="F24" s="565" t="inlineStr">
        <x:is>
          <x:t xml:space="preserve">2006-01-16</x:t>
        </x:is>
      </x:c>
      <x:c r="G24" s="565" t="inlineStr">
        <x:is>
          <x:t xml:space="preserve">Myron V Slobin</x:t>
        </x:is>
      </x:c>
      <x:c r="H24" s="565" t="inlineStr">
        <x:is>
          <x:t xml:space="preserve">Devon Energy Production Co., LP</x:t>
        </x:is>
      </x:c>
      <x:c r="I24" s="565" t="inlineStr">
        <x:is>
          <x:t xml:space="preserve">31-12N-24W</x:t>
        </x:is>
      </x:c>
      <x:c r="J24" s="565" t="inlineStr">
        <x:is>
          <x:t xml:space="preserve">Not found in reviewed materials</x:t>
        </x:is>
      </x:c>
      <x:c r="K24" s="565" t="inlineStr">
        <x:is>
          <x:t xml:space="preserve">31-12N-24W_Roger_Mills_Best_Full_Cursory_Title_Report_2026-06-10.xlsx</x:t>
        </x:is>
      </x:c>
      <x:c r="L24" s="565" t="inlineStr">
        <x:is>
          <x:t xml:space="preserve">Historical Runsheet</x:t>
        </x:is>
      </x:c>
      <x:c r="M24" s="565" t="n"/>
      <x:c r="N24" s="565" t="n"/>
      <x:c r="O24" s="565" t="n"/>
      <x:c r="P24" s="541" t="inlineStr">
        <x:is>
          <x:t xml:space="preserve">Obtain full lease image/certified copy; verify terms, acreage, royalty and lease status.</x:t>
        </x:is>
      </x:c>
      <x:c r="Q24" s="541" t="inlineStr">
        <x:is>
          <x:t xml:space="preserve">High</x:t>
        </x:is>
      </x:c>
      <x:c r="R24" s="541" t="inlineStr">
        <x:is>
          <x:t xml:space="preserve">Lease</x:t>
        </x:is>
      </x:c>
      <x:c r="S24" s="650" t="n">
        <x:v>38709</x:v>
      </x:c>
      <x:c r="T24" s="567" t="inlineStr">
        <x:is>
          <x:t xml:space="preserve">Effective / instrument date column</x:t>
        </x:is>
      </x:c>
      <x:c r="U24" s="650" t="n">
        <x:v>38733</x:v>
      </x:c>
      <x:c r="V24" s="567" t="inlineStr">
        <x:is>
          <x:t xml:space="preserve">31-12N-24W</x:t>
        </x:is>
      </x:c>
      <x:c r="W24" s="567" t="inlineStr">
        <x:is>
          <x:t xml:space="preserve">All or unspecified part of Section 31; no quarter call stated in index text</x:t>
        </x:is>
      </x:c>
      <x:c r="X24" s="567" t="inlineStr">
        <x:is>
          <x:t xml:space="preserve">Section match only</x:t>
        </x:is>
      </x:c>
      <x:c r="Y24" s="568" t="inlineStr">
        <x:is>
          <x:t xml:space="preserve">Yes – quarter call missing or index-only</x:t>
        </x:is>
      </x:c>
      <x:c r="Z24" s="568" t="inlineStr">
        <x:is>
          <x:t xml:space="preserve">Extracted from existing workbook/public OKCR text; not a certified legal description.</x:t>
        </x:is>
      </x:c>
    </x:row>
    <x:row r="25">
      <x:c r="A25" s="565" t="n"/>
      <x:c r="B25" s="565" t="inlineStr">
        <x:is>
          <x:t xml:space="preserve">Not found in reviewed materials</x:t>
        </x:is>
      </x:c>
      <x:c r="C25" s="565" t="inlineStr">
        <x:is>
          <x:t xml:space="preserve">Lease</x:t>
        </x:is>
      </x:c>
      <x:c r="D25" s="565" t="inlineStr">
        <x:is>
          <x:t xml:space="preserve">1821/92</x:t>
        </x:is>
      </x:c>
      <x:c r="E25" s="565" t="inlineStr">
        <x:is>
          <x:t xml:space="preserve">2006-01-09</x:t>
        </x:is>
      </x:c>
      <x:c r="F25" s="565" t="inlineStr">
        <x:is>
          <x:t xml:space="preserve">2006-01-25</x:t>
        </x:is>
      </x:c>
      <x:c r="G25" s="565" t="inlineStr">
        <x:is>
          <x:t xml:space="preserve">Anna Tamise Gibson</x:t>
        </x:is>
      </x:c>
      <x:c r="H25" s="565" t="inlineStr">
        <x:is>
          <x:t xml:space="preserve">Devon Energy Production Co</x:t>
        </x:is>
      </x:c>
      <x:c r="I25" s="565" t="inlineStr">
        <x:is>
          <x:t xml:space="preserve">31-12N-24W</x:t>
        </x:is>
      </x:c>
      <x:c r="J25" s="565" t="inlineStr">
        <x:is>
          <x:t xml:space="preserve">Not found in reviewed materials</x:t>
        </x:is>
      </x:c>
      <x:c r="K25" s="565" t="inlineStr">
        <x:is>
          <x:t xml:space="preserve">31-12N-24W_Roger_Mills_Best_Full_Cursory_Title_Report_2026-06-10.xlsx</x:t>
        </x:is>
      </x:c>
      <x:c r="L25" s="565" t="inlineStr">
        <x:is>
          <x:t xml:space="preserve">Historical Runsheet</x:t>
        </x:is>
      </x:c>
      <x:c r="M25" s="565" t="n"/>
      <x:c r="N25" s="565" t="n"/>
      <x:c r="O25" s="565" t="n"/>
      <x:c r="P25" s="541" t="inlineStr">
        <x:is>
          <x:t xml:space="preserve">Obtain full lease image/certified copy; verify terms, acreage, royalty and lease status.</x:t>
        </x:is>
      </x:c>
      <x:c r="Q25" s="541" t="inlineStr">
        <x:is>
          <x:t xml:space="preserve">High</x:t>
        </x:is>
      </x:c>
      <x:c r="R25" s="541" t="inlineStr">
        <x:is>
          <x:t xml:space="preserve">Lease</x:t>
        </x:is>
      </x:c>
      <x:c r="S25" s="650" t="n">
        <x:v>38726</x:v>
      </x:c>
      <x:c r="T25" s="567" t="inlineStr">
        <x:is>
          <x:t xml:space="preserve">Effective / instrument date column</x:t>
        </x:is>
      </x:c>
      <x:c r="U25" s="650" t="n">
        <x:v>38742</x:v>
      </x:c>
      <x:c r="V25" s="567" t="inlineStr">
        <x:is>
          <x:t xml:space="preserve">31-12N-24W</x:t>
        </x:is>
      </x:c>
      <x:c r="W25" s="567" t="inlineStr">
        <x:is>
          <x:t xml:space="preserve">All or unspecified part of Section 31; no quarter call stated in index text</x:t>
        </x:is>
      </x:c>
      <x:c r="X25" s="567" t="inlineStr">
        <x:is>
          <x:t xml:space="preserve">Section match only</x:t>
        </x:is>
      </x:c>
      <x:c r="Y25" s="568" t="inlineStr">
        <x:is>
          <x:t xml:space="preserve">Yes – quarter call missing or index-only</x:t>
        </x:is>
      </x:c>
      <x:c r="Z25" s="568" t="inlineStr">
        <x:is>
          <x:t xml:space="preserve">Extracted from existing workbook/public OKCR text; not a certified legal description.</x:t>
        </x:is>
      </x:c>
    </x:row>
    <x:row r="26">
      <x:c r="A26" s="565" t="n"/>
      <x:c r="B26" s="565" t="inlineStr">
        <x:is>
          <x:t xml:space="preserve">Not found in reviewed materials</x:t>
        </x:is>
      </x:c>
      <x:c r="C26" s="565" t="inlineStr">
        <x:is>
          <x:t xml:space="preserve">Lease</x:t>
        </x:is>
      </x:c>
      <x:c r="D26" s="565" t="inlineStr">
        <x:is>
          <x:t xml:space="preserve">1821/465</x:t>
        </x:is>
      </x:c>
      <x:c r="E26" s="565" t="inlineStr">
        <x:is>
          <x:t xml:space="preserve">2006-01-16</x:t>
        </x:is>
      </x:c>
      <x:c r="F26" s="565" t="inlineStr">
        <x:is>
          <x:t xml:space="preserve">2006-01-30</x:t>
        </x:is>
      </x:c>
      <x:c r="G26" s="565" t="inlineStr">
        <x:is>
          <x:t xml:space="preserve">James M Robertson</x:t>
        </x:is>
      </x:c>
      <x:c r="H26" s="565" t="inlineStr">
        <x:is>
          <x:t xml:space="preserve">Devon Energy Prod Co</x:t>
        </x:is>
      </x:c>
      <x:c r="I26" s="565" t="inlineStr">
        <x:is>
          <x:t xml:space="preserve">31-12N-24W</x:t>
        </x:is>
      </x:c>
      <x:c r="J26" s="565" t="inlineStr">
        <x:is>
          <x:t xml:space="preserve">Not found in reviewed materials</x:t>
        </x:is>
      </x:c>
      <x:c r="K26" s="565" t="inlineStr">
        <x:is>
          <x:t xml:space="preserve">31-12N-24W_Roger_Mills_Best_Full_Cursory_Title_Report_2026-06-10.xlsx</x:t>
        </x:is>
      </x:c>
      <x:c r="L26" s="565" t="inlineStr">
        <x:is>
          <x:t xml:space="preserve">Historical Runsheet</x:t>
        </x:is>
      </x:c>
      <x:c r="M26" s="565" t="n"/>
      <x:c r="N26" s="565" t="n"/>
      <x:c r="O26" s="565" t="n"/>
      <x:c r="P26" s="541" t="inlineStr">
        <x:is>
          <x:t xml:space="preserve">Obtain full lease image/certified copy; verify terms, acreage, royalty and lease status.</x:t>
        </x:is>
      </x:c>
      <x:c r="Q26" s="541" t="inlineStr">
        <x:is>
          <x:t xml:space="preserve">High</x:t>
        </x:is>
      </x:c>
      <x:c r="R26" s="541" t="inlineStr">
        <x:is>
          <x:t xml:space="preserve">Lease</x:t>
        </x:is>
      </x:c>
      <x:c r="S26" s="650" t="n">
        <x:v>38733</x:v>
      </x:c>
      <x:c r="T26" s="567" t="inlineStr">
        <x:is>
          <x:t xml:space="preserve">Effective / instrument date column</x:t>
        </x:is>
      </x:c>
      <x:c r="U26" s="650" t="n">
        <x:v>38747</x:v>
      </x:c>
      <x:c r="V26" s="567" t="inlineStr">
        <x:is>
          <x:t xml:space="preserve">31-12N-24W</x:t>
        </x:is>
      </x:c>
      <x:c r="W26" s="567" t="inlineStr">
        <x:is>
          <x:t xml:space="preserve">All or unspecified part of Section 31; no quarter call stated in index text</x:t>
        </x:is>
      </x:c>
      <x:c r="X26" s="567" t="inlineStr">
        <x:is>
          <x:t xml:space="preserve">Section match only</x:t>
        </x:is>
      </x:c>
      <x:c r="Y26" s="568" t="inlineStr">
        <x:is>
          <x:t xml:space="preserve">Yes – quarter call missing or index-only</x:t>
        </x:is>
      </x:c>
      <x:c r="Z26" s="568" t="inlineStr">
        <x:is>
          <x:t xml:space="preserve">Extracted from existing workbook/public OKCR text; not a certified legal description.</x:t>
        </x:is>
      </x:c>
    </x:row>
    <x:row r="27">
      <x:c r="A27" s="565" t="n"/>
      <x:c r="B27" s="565" t="inlineStr">
        <x:is>
          <x:t xml:space="preserve">Not found in reviewed materials</x:t>
        </x:is>
      </x:c>
      <x:c r="C27" s="565" t="inlineStr">
        <x:is>
          <x:t xml:space="preserve">Lease</x:t>
        </x:is>
      </x:c>
      <x:c r="D27" s="565" t="inlineStr">
        <x:is>
          <x:t xml:space="preserve">1829/26</x:t>
        </x:is>
      </x:c>
      <x:c r="E27" s="565" t="inlineStr">
        <x:is>
          <x:t xml:space="preserve">2006-02-13</x:t>
        </x:is>
      </x:c>
      <x:c r="F27" s="565" t="inlineStr">
        <x:is>
          <x:t xml:space="preserve">2006-03-16</x:t>
        </x:is>
      </x:c>
      <x:c r="G27" s="565" t="inlineStr">
        <x:is>
          <x:t xml:space="preserve">Termo Company</x:t>
        </x:is>
      </x:c>
      <x:c r="H27" s="565" t="inlineStr">
        <x:is>
          <x:t xml:space="preserve">Devon Energy Production Co</x:t>
        </x:is>
      </x:c>
      <x:c r="I27" s="565" t="inlineStr">
        <x:is>
          <x:t xml:space="preserve">31-12N-24W</x:t>
        </x:is>
      </x:c>
      <x:c r="J27" s="565" t="inlineStr">
        <x:is>
          <x:t xml:space="preserve">Not found in reviewed materials</x:t>
        </x:is>
      </x:c>
      <x:c r="K27" s="565" t="inlineStr">
        <x:is>
          <x:t xml:space="preserve">31-12N-24W_Roger_Mills_Best_Full_Cursory_Title_Report_2026-06-10.xlsx</x:t>
        </x:is>
      </x:c>
      <x:c r="L27" s="565" t="inlineStr">
        <x:is>
          <x:t xml:space="preserve">Historical Runsheet</x:t>
        </x:is>
      </x:c>
      <x:c r="M27" s="565" t="n"/>
      <x:c r="N27" s="565" t="n"/>
      <x:c r="O27" s="565" t="n"/>
      <x:c r="P27" s="541" t="inlineStr">
        <x:is>
          <x:t xml:space="preserve">Obtain full lease image/certified copy; verify terms, acreage, royalty and lease status.</x:t>
        </x:is>
      </x:c>
      <x:c r="Q27" s="541" t="inlineStr">
        <x:is>
          <x:t xml:space="preserve">High</x:t>
        </x:is>
      </x:c>
      <x:c r="R27" s="541" t="inlineStr">
        <x:is>
          <x:t xml:space="preserve">Lease</x:t>
        </x:is>
      </x:c>
      <x:c r="S27" s="650" t="n">
        <x:v>38761</x:v>
      </x:c>
      <x:c r="T27" s="567" t="inlineStr">
        <x:is>
          <x:t xml:space="preserve">Effective / instrument date column</x:t>
        </x:is>
      </x:c>
      <x:c r="U27" s="650" t="n">
        <x:v>38792</x:v>
      </x:c>
      <x:c r="V27" s="567" t="inlineStr">
        <x:is>
          <x:t xml:space="preserve">31-12N-24W</x:t>
        </x:is>
      </x:c>
      <x:c r="W27" s="567" t="inlineStr">
        <x:is>
          <x:t xml:space="preserve">All or unspecified part of Section 31; no quarter call stated in index text</x:t>
        </x:is>
      </x:c>
      <x:c r="X27" s="567" t="inlineStr">
        <x:is>
          <x:t xml:space="preserve">Section match only</x:t>
        </x:is>
      </x:c>
      <x:c r="Y27" s="568" t="inlineStr">
        <x:is>
          <x:t xml:space="preserve">Yes – quarter call missing or index-only</x:t>
        </x:is>
      </x:c>
      <x:c r="Z27" s="568" t="inlineStr">
        <x:is>
          <x:t xml:space="preserve">Extracted from existing workbook/public OKCR text; not a certified legal description.</x:t>
        </x:is>
      </x:c>
    </x:row>
    <x:row r="28">
      <x:c r="A28" s="565" t="inlineStr">
        <x:is>
          <x:t xml:space="preserve">2026-003315</x:t>
        </x:is>
      </x:c>
      <x:c r="B28" s="565" t="inlineStr">
        <x:is>
          <x:t xml:space="preserve">Not found in reviewed materials</x:t>
        </x:is>
      </x:c>
      <x:c r="C28" s="565" t="inlineStr">
        <x:is>
          <x:t xml:space="preserve">Final Decree</x:t>
        </x:is>
      </x:c>
      <x:c r="D28" s="565" t="inlineStr">
        <x:is>
          <x:t xml:space="preserve">2704/0142</x:t>
        </x:is>
      </x:c>
      <x:c r="E28" s="565" t="inlineStr">
        <x:is>
          <x:t xml:space="preserve">Not found in reviewed materials</x:t>
        </x:is>
      </x:c>
      <x:c r="F28" s="565" t="inlineStr">
        <x:is>
          <x:t xml:space="preserve">2026-06-05 00:00:00</x:t>
        </x:is>
      </x:c>
      <x:c r="G28" s="565" t="inlineStr">
        <x:is>
          <x:t xml:space="preserve">Estate of Darrell Edward Hamilton</x:t>
        </x:is>
      </x:c>
      <x:c r="H28" s="565" t="inlineStr">
        <x:is>
          <x:t xml:space="preserve">The Public</x:t>
        </x:is>
      </x:c>
      <x:c r="I28" s="565" t="inlineStr">
        <x:is>
          <x:t xml:space="preserve">SW/4 NE/4, NW/4 SE/4 of 31-12N-24W aol</x:t>
        </x:is>
      </x:c>
      <x:c r="J28" s="565" t="inlineStr">
        <x:is>
          <x:t xml:space="preserve">Index row only reviewed. Full final decree image not accessible; devisees/heirs, distribution language, and exact title effect must be verified from recorded decree.</x:t>
        </x:is>
      </x:c>
      <x:c r="K28" s="565" t="inlineStr">
        <x:is>
          <x:t xml:space="preserve">31-12N-24W_Roger_Mills_Cursory_Title_Report_(6-10-2026)_BEST_UPDATED.xlsx</x:t>
        </x:is>
      </x:c>
      <x:c r="L28" s="565" t="inlineStr">
        <x:is>
          <x:t xml:space="preserve">Runsheet</x:t>
        </x:is>
      </x:c>
      <x:c r="M28" s="565" t="inlineStr">
        <x:is>
          <x:t xml:space="preserve">https://okcountyrecords.com/detail/roger+mills/2026-003315/35464678</x:t>
        </x:is>
      </x:c>
      <x:c r="N28" s="565" t="inlineStr">
        <x:is>
          <x:t xml:space="preserve">OKCountyRecords index link; full image/release/probate review needed.</x:t>
        </x:is>
      </x:c>
      <x:c r="O28" s="565" t="inlineStr">
        <x:is>
          <x:t xml:space="preserve">https://okcountyrecords.com/detail/roger+mills/2026-003315/35464678</x:t>
        </x:is>
      </x:c>
      <x:c r="P28" s="541" t="inlineStr">
        <x:is>
          <x:t xml:space="preserve">Obtain probate/affidavit/decree support; verify heirs, devisees, death dates and distribution.</x:t>
        </x:is>
      </x:c>
      <x:c r="Q28" s="541" t="inlineStr">
        <x:is>
          <x:t xml:space="preserve">High</x:t>
        </x:is>
      </x:c>
      <x:c r="R28" s="541" t="inlineStr">
        <x:is>
          <x:t xml:space="preserve">Probate / Heirship</x:t>
        </x:is>
      </x:c>
      <x:c r="S28" s="650" t="inlineStr">
        <x:is>
          <x:t xml:space="preserve">Not found in reviewed materials</x:t>
        </x:is>
      </x:c>
      <x:c r="T28" s="567" t="inlineStr">
        <x:is>
          <x:t xml:space="preserve">Effective / instrument date column</x:t>
        </x:is>
      </x:c>
      <x:c r="U28" s="650" t="n">
        <x:v>46178</x:v>
      </x:c>
      <x:c r="V28" s="567" t="inlineStr">
        <x:is>
          <x:t xml:space="preserve">31-12N-24W</x:t>
        </x:is>
      </x:c>
      <x:c r="W28" s="567" t="inlineStr">
        <x:is>
          <x:t xml:space="preserve">SW/4 NE/4; NW/4 SE/4</x:t>
        </x:is>
      </x:c>
      <x:c r="X28" s="567" t="inlineStr">
        <x:is>
          <x:t xml:space="preserve">Parsed from public/workbook legal text</x:t>
        </x:is>
      </x:c>
      <x:c r="Y28" s="568" t="inlineStr">
        <x:is>
          <x:t xml:space="preserve">Yes – verify against certified document image</x:t>
        </x:is>
      </x:c>
      <x:c r="Z28" s="568" t="inlineStr">
        <x:is>
          <x:t xml:space="preserve">Extracted from existing workbook/public OKCR text; not a certified legal description.</x:t>
        </x:is>
      </x:c>
    </x:row>
    <x:row r="29">
      <x:c r="A29" s="565" t="inlineStr">
        <x:is>
          <x:t xml:space="preserve">2026-003143</x:t>
        </x:is>
      </x:c>
      <x:c r="B29" s="565" t="inlineStr">
        <x:is>
          <x:t xml:space="preserve">Not found in reviewed materials</x:t>
        </x:is>
      </x:c>
      <x:c r="C29" s="565" t="inlineStr">
        <x:is>
          <x:t xml:space="preserve">Affidavit of Heirship</x:t>
        </x:is>
      </x:c>
      <x:c r="D29" s="565" t="inlineStr">
        <x:is>
          <x:t xml:space="preserve">2702/0503</x:t>
        </x:is>
      </x:c>
      <x:c r="E29" s="565" t="inlineStr">
        <x:is>
          <x:t xml:space="preserve">Not found in reviewed materials</x:t>
        </x:is>
      </x:c>
      <x:c r="F29" s="565" t="inlineStr">
        <x:is>
          <x:t xml:space="preserve">2026-05-28 00:00:00</x:t>
        </x:is>
      </x:c>
      <x:c r="G29" s="565" t="inlineStr">
        <x:is>
          <x:t xml:space="preserve">Carrie Leeann Mitchell</x:t>
        </x:is>
      </x:c>
      <x:c r="H29" s="565" t="inlineStr">
        <x:is>
          <x:t xml:space="preserve">The Public, RE: Marvin Mitchell Williams, Deceased</x:t>
        </x:is>
      </x:c>
      <x:c r="I29" s="565" t="inlineStr">
        <x:is>
          <x:t xml:space="preserve">All of 31-12N-24W aol</x:t>
        </x:is>
      </x:c>
      <x:c r="J29" s="565" t="inlineStr">
        <x:is>
          <x:t xml:space="preserve">Affidavit format corrected: The Public shown as grantee/public side with RE: Marvin Mitchell Williams, Deceased. Full affidavit image not accessible; heirship facts and date-of-death/effective facts require verification.</x:t>
        </x:is>
      </x:c>
      <x:c r="K29" s="565" t="inlineStr">
        <x:is>
          <x:t xml:space="preserve">31-12N-24W_Roger_Mills_Cursory_Title_Report_(6-10-2026)_BEST_UPDATED.xlsx</x:t>
        </x:is>
      </x:c>
      <x:c r="L29" s="565" t="inlineStr">
        <x:is>
          <x:t xml:space="preserve">Runsheet</x:t>
        </x:is>
      </x:c>
      <x:c r="M29" s="565" t="inlineStr">
        <x:is>
          <x:t xml:space="preserve">https://okcountyrecords.com/detail/roger+mills/2026-003143/35404149</x:t>
        </x:is>
      </x:c>
      <x:c r="N29" s="565" t="inlineStr">
        <x:is>
          <x:t xml:space="preserve">OKCountyRecords index link; full image/release/probate review needed.</x:t>
        </x:is>
      </x:c>
      <x:c r="O29" s="565" t="inlineStr">
        <x:is>
          <x:t xml:space="preserve">https://okcountyrecords.com/detail/roger+mills/2026-003143/35404149</x:t>
        </x:is>
      </x:c>
      <x:c r="P29" s="541" t="inlineStr">
        <x:is>
          <x:t xml:space="preserve">Obtain probate/affidavit/decree support; verify heirs, devisees, death dates and distribution.</x:t>
        </x:is>
      </x:c>
      <x:c r="Q29" s="541" t="inlineStr">
        <x:is>
          <x:t xml:space="preserve">High</x:t>
        </x:is>
      </x:c>
      <x:c r="R29" s="541" t="inlineStr">
        <x:is>
          <x:t xml:space="preserve">Probate / Heirship</x:t>
        </x:is>
      </x:c>
      <x:c r="S29" s="650" t="inlineStr">
        <x:is>
          <x:t xml:space="preserve">Not found in reviewed materials</x:t>
        </x:is>
      </x:c>
      <x:c r="T29" s="567" t="inlineStr">
        <x:is>
          <x:t xml:space="preserve">Effective / instrument date column</x:t>
        </x:is>
      </x:c>
      <x:c r="U29" s="650" t="n">
        <x:v>46170</x:v>
      </x:c>
      <x:c r="V29" s="567" t="inlineStr">
        <x:is>
          <x:t xml:space="preserve">31-12N-24W</x:t>
        </x:is>
      </x:c>
      <x:c r="W29" s="567" t="inlineStr">
        <x:is>
          <x:t xml:space="preserve">All or unspecified part of Section 31; no quarter call stated in index text</x:t>
        </x:is>
      </x:c>
      <x:c r="X29" s="567" t="inlineStr">
        <x:is>
          <x:t xml:space="preserve">Section match only</x:t>
        </x:is>
      </x:c>
      <x:c r="Y29" s="568" t="inlineStr">
        <x:is>
          <x:t xml:space="preserve">Yes – quarter call missing or index-only</x:t>
        </x:is>
      </x:c>
      <x:c r="Z29" s="568" t="inlineStr">
        <x:is>
          <x:t xml:space="preserve">Extracted from existing workbook/public OKCR text; not a certified legal description.</x:t>
        </x:is>
      </x:c>
    </x:row>
    <x:row r="30">
      <x:c r="A30" s="565" t="inlineStr">
        <x:is>
          <x:t xml:space="preserve">2026-003142</x:t>
        </x:is>
      </x:c>
      <x:c r="B30" s="565" t="inlineStr">
        <x:is>
          <x:t xml:space="preserve">Not found in reviewed materials</x:t>
        </x:is>
      </x:c>
      <x:c r="C30" s="565" t="inlineStr">
        <x:is>
          <x:t xml:space="preserve">Affidavit of Heirship</x:t>
        </x:is>
      </x:c>
      <x:c r="D30" s="565" t="inlineStr">
        <x:is>
          <x:t xml:space="preserve">2702/0500</x:t>
        </x:is>
      </x:c>
      <x:c r="E30" s="565" t="inlineStr">
        <x:is>
          <x:t xml:space="preserve">Not found in reviewed materials</x:t>
        </x:is>
      </x:c>
      <x:c r="F30" s="565" t="inlineStr">
        <x:is>
          <x:t xml:space="preserve">2026-05-28 00:00:00</x:t>
        </x:is>
      </x:c>
      <x:c r="G30" s="565" t="inlineStr">
        <x:is>
          <x:t xml:space="preserve">Carrie Leeann Mitchell</x:t>
        </x:is>
      </x:c>
      <x:c r="H30" s="565" t="inlineStr">
        <x:is>
          <x:t xml:space="preserve">The Public, RE: Gene Gilbert Williams, Deceased</x:t>
        </x:is>
      </x:c>
      <x:c r="I30" s="565" t="inlineStr">
        <x:is>
          <x:t xml:space="preserve">All of 31-12N-24W aol</x:t>
        </x:is>
      </x:c>
      <x:c r="J30" s="565" t="inlineStr">
        <x:is>
          <x:t xml:space="preserve">Affidavit format preserved: The Public shown as grantee/public side with RE: Gene Gilbert Williams, Deceased. Full affidavit image not accessible; heirship facts and date-of-death/effective facts require verification.</x:t>
        </x:is>
      </x:c>
      <x:c r="K30" s="565" t="inlineStr">
        <x:is>
          <x:t xml:space="preserve">31-12N-24W_Roger_Mills_Cursory_Title_Report_(6-10-2026)_BEST_UPDATED.xlsx</x:t>
        </x:is>
      </x:c>
      <x:c r="L30" s="565" t="inlineStr">
        <x:is>
          <x:t xml:space="preserve">Runsheet</x:t>
        </x:is>
      </x:c>
      <x:c r="M30" s="565" t="inlineStr">
        <x:is>
          <x:t xml:space="preserve">https://okcountyrecords.com/detail/roger+mills/2026-003142/35404150</x:t>
        </x:is>
      </x:c>
      <x:c r="N30" s="565" t="inlineStr">
        <x:is>
          <x:t xml:space="preserve">OKCountyRecords index link; full image/release/probate review needed.</x:t>
        </x:is>
      </x:c>
      <x:c r="O30" s="565" t="inlineStr">
        <x:is>
          <x:t xml:space="preserve">https://okcountyrecords.com/detail/roger+mills/2026-003142/35404150</x:t>
        </x:is>
      </x:c>
      <x:c r="P30" s="541" t="inlineStr">
        <x:is>
          <x:t xml:space="preserve">Obtain probate/affidavit/decree support; verify heirs, devisees, death dates and distribution.</x:t>
        </x:is>
      </x:c>
      <x:c r="Q30" s="541" t="inlineStr">
        <x:is>
          <x:t xml:space="preserve">High</x:t>
        </x:is>
      </x:c>
      <x:c r="R30" s="541" t="inlineStr">
        <x:is>
          <x:t xml:space="preserve">Probate / Heirship</x:t>
        </x:is>
      </x:c>
      <x:c r="S30" s="650" t="inlineStr">
        <x:is>
          <x:t xml:space="preserve">Not found in reviewed materials</x:t>
        </x:is>
      </x:c>
      <x:c r="T30" s="567" t="inlineStr">
        <x:is>
          <x:t xml:space="preserve">Effective / instrument date column</x:t>
        </x:is>
      </x:c>
      <x:c r="U30" s="650" t="n">
        <x:v>46170</x:v>
      </x:c>
      <x:c r="V30" s="567" t="inlineStr">
        <x:is>
          <x:t xml:space="preserve">31-12N-24W</x:t>
        </x:is>
      </x:c>
      <x:c r="W30" s="567" t="inlineStr">
        <x:is>
          <x:t xml:space="preserve">All or unspecified part of Section 31; no quarter call stated in index text</x:t>
        </x:is>
      </x:c>
      <x:c r="X30" s="567" t="inlineStr">
        <x:is>
          <x:t xml:space="preserve">Section match only</x:t>
        </x:is>
      </x:c>
      <x:c r="Y30" s="568" t="inlineStr">
        <x:is>
          <x:t xml:space="preserve">Yes – quarter call missing or index-only</x:t>
        </x:is>
      </x:c>
      <x:c r="Z30" s="568" t="inlineStr">
        <x:is>
          <x:t xml:space="preserve">Extracted from existing workbook/public OKCR text; not a certified legal description.</x:t>
        </x:is>
      </x:c>
    </x:row>
    <x:row r="31">
      <x:c r="A31" s="565" t="inlineStr">
        <x:is>
          <x:t xml:space="preserve">2026-003145</x:t>
        </x:is>
      </x:c>
      <x:c r="B31" s="565" t="inlineStr">
        <x:is>
          <x:t xml:space="preserve">Not found in reviewed materials</x:t>
        </x:is>
      </x:c>
      <x:c r="C31" s="565" t="inlineStr">
        <x:is>
          <x:t xml:space="preserve">Oil and Gas Lease</x:t>
        </x:is>
      </x:c>
      <x:c r="D31" s="565" t="inlineStr">
        <x:is>
          <x:t xml:space="preserve">2702/0505</x:t>
        </x:is>
      </x:c>
      <x:c r="E31" s="565" t="inlineStr">
        <x:is>
          <x:t xml:space="preserve">Not found in reviewed materials</x:t>
        </x:is>
      </x:c>
      <x:c r="F31" s="565" t="inlineStr">
        <x:is>
          <x:t xml:space="preserve">2026-05-28 00:00:00</x:t>
        </x:is>
      </x:c>
      <x:c r="G31" s="565" t="inlineStr">
        <x:is>
          <x:t xml:space="preserve">Gena Mitchell a/k/a Williams, Gena a/k/a Williams, Gena W. Moore</x:t>
        </x:is>
      </x:c>
      <x:c r="H31" s="565" t="inlineStr">
        <x:is>
          <x:t xml:space="preserve">Silver Oak Natural Resources, LLC</x:t>
        </x:is>
      </x:c>
      <x:c r="I31" s="565" t="inlineStr">
        <x:is>
          <x:t xml:space="preserve">N/2 NE/4, SE/4 NE/4 of 31-12N-24W aol</x:t>
        </x:is>
      </x:c>
      <x:c r="J31" s="565" t="inlineStr">
        <x:is>
          <x:t xml:space="preserve">Index row only reviewed. Full 2026 Silver Oak OGL image not accessible; royalty, primary term, effective date, option/depth clauses, Pugh/shut-in/no-warranty terms, and special clauses must be confirmed.</x:t>
        </x:is>
      </x:c>
      <x:c r="K31" s="565" t="inlineStr">
        <x:is>
          <x:t xml:space="preserve">31-12N-24W_Roger_Mills_Cursory_Title_Report_(6-10-2026)_BEST_UPDATED.xlsx</x:t>
        </x:is>
      </x:c>
      <x:c r="L31" s="565" t="inlineStr">
        <x:is>
          <x:t xml:space="preserve">Runsheet</x:t>
        </x:is>
      </x:c>
      <x:c r="M31" s="565" t="inlineStr">
        <x:is>
          <x:t xml:space="preserve">https://okcountyrecords.com/detail/roger+mills/2026-003145/35404151</x:t>
        </x:is>
      </x:c>
      <x:c r="N31" s="565" t="inlineStr">
        <x:is>
          <x:t xml:space="preserve">OKCountyRecords index link; full image/release/probate review needed.</x:t>
        </x:is>
      </x:c>
      <x:c r="O31" s="565" t="inlineStr">
        <x:is>
          <x:t xml:space="preserve">https://okcountyrecords.com/detail/roger+mills/2026-003145/35404151</x:t>
        </x:is>
      </x:c>
      <x:c r="P31" s="541" t="inlineStr">
        <x:is>
          <x:t xml:space="preserve">Obtain full lease image/certified copy; verify terms, acreage, royalty and lease status.</x:t>
        </x:is>
      </x:c>
      <x:c r="Q31" s="541" t="inlineStr">
        <x:is>
          <x:t xml:space="preserve">High</x:t>
        </x:is>
      </x:c>
      <x:c r="R31" s="541" t="inlineStr">
        <x:is>
          <x:t xml:space="preserve">Lease</x:t>
        </x:is>
      </x:c>
      <x:c r="S31" s="650" t="inlineStr">
        <x:is>
          <x:t xml:space="preserve">Not found in reviewed materials</x:t>
        </x:is>
      </x:c>
      <x:c r="T31" s="567" t="inlineStr">
        <x:is>
          <x:t xml:space="preserve">Effective / instrument date column</x:t>
        </x:is>
      </x:c>
      <x:c r="U31" s="650" t="n">
        <x:v>46170</x:v>
      </x:c>
      <x:c r="V31" s="567" t="inlineStr">
        <x:is>
          <x:t xml:space="preserve">31-12N-24W</x:t>
        </x:is>
      </x:c>
      <x:c r="W31" s="567" t="inlineStr">
        <x:is>
          <x:t xml:space="preserve">N/2 NE/4; SE/4 NE/4</x:t>
        </x:is>
      </x:c>
      <x:c r="X31" s="567" t="inlineStr">
        <x:is>
          <x:t xml:space="preserve">Parsed from public/workbook legal text</x:t>
        </x:is>
      </x:c>
      <x:c r="Y31" s="568" t="inlineStr">
        <x:is>
          <x:t xml:space="preserve">Yes – verify against certified document image</x:t>
        </x:is>
      </x:c>
      <x:c r="Z31" s="568" t="inlineStr">
        <x:is>
          <x:t xml:space="preserve">Extracted from existing workbook/public OKCR text; not a certified legal description.</x:t>
        </x:is>
      </x:c>
    </x:row>
    <x:row r="32">
      <x:c r="A32" s="565" t="inlineStr">
        <x:is>
          <x:t xml:space="preserve">2026-003144</x:t>
        </x:is>
      </x:c>
      <x:c r="B32" s="565" t="inlineStr">
        <x:is>
          <x:t xml:space="preserve">Not found in reviewed materials</x:t>
        </x:is>
      </x:c>
      <x:c r="C32" s="565" t="inlineStr">
        <x:is>
          <x:t xml:space="preserve">Affidavit</x:t>
        </x:is>
      </x:c>
      <x:c r="D32" s="565" t="inlineStr">
        <x:is>
          <x:t xml:space="preserve">2702/0504</x:t>
        </x:is>
      </x:c>
      <x:c r="E32" s="565" t="inlineStr">
        <x:is>
          <x:t xml:space="preserve">Not found in reviewed materials</x:t>
        </x:is>
      </x:c>
      <x:c r="F32" s="565" t="inlineStr">
        <x:is>
          <x:t xml:space="preserve">2026-05-28 00:00:00</x:t>
        </x:is>
      </x:c>
      <x:c r="G32" s="565" t="inlineStr">
        <x:is>
          <x:t xml:space="preserve">Gena Williams, Gena Williams Moore, Gena W. Moore, Gena Mitchell Williams</x:t>
        </x:is>
      </x:c>
      <x:c r="H32" s="565" t="inlineStr">
        <x:is>
          <x:t xml:space="preserve">The Public</x:t>
        </x:is>
      </x:c>
      <x:c r="I32" s="565" t="inlineStr">
        <x:is>
          <x:t xml:space="preserve">N/2 NE/4, SE/4 NE/4 of 31-12N-24W aol</x:t>
        </x:is>
      </x:c>
      <x:c r="J32" s="565" t="inlineStr">
        <x:is>
          <x:t xml:space="preserve">Index row only reviewed. Full affidavit/identity image not accessible; identity facts and effect on Nancy Susan Mitchell chain require verification.</x:t>
        </x:is>
      </x:c>
      <x:c r="K32" s="565" t="inlineStr">
        <x:is>
          <x:t xml:space="preserve">31-12N-24W_Roger_Mills_Cursory_Title_Report_(6-10-2026)_BEST_UPDATED.xlsx</x:t>
        </x:is>
      </x:c>
      <x:c r="L32" s="565" t="inlineStr">
        <x:is>
          <x:t xml:space="preserve">Runsheet</x:t>
        </x:is>
      </x:c>
      <x:c r="M32" s="565" t="inlineStr">
        <x:is>
          <x:t xml:space="preserve">https://okcountyrecords.com/detail/roger+mills/2026-003144/35404152</x:t>
        </x:is>
      </x:c>
      <x:c r="N32" s="565" t="inlineStr">
        <x:is>
          <x:t xml:space="preserve">OKCountyRecords index link; full image/release/probate review needed.</x:t>
        </x:is>
      </x:c>
      <x:c r="O32" s="565" t="inlineStr">
        <x:is>
          <x:t xml:space="preserve">https://okcountyrecords.com/detail/roger+mills/2026-003144/35404152</x:t>
        </x:is>
      </x:c>
      <x:c r="P32" s="541" t="inlineStr">
        <x:is>
          <x:t xml:space="preserve">Obtain probate/affidavit/decree support; verify heirs, devisees, death dates and distribution.</x:t>
        </x:is>
      </x:c>
      <x:c r="Q32" s="541" t="inlineStr">
        <x:is>
          <x:t xml:space="preserve">High</x:t>
        </x:is>
      </x:c>
      <x:c r="R32" s="541" t="inlineStr">
        <x:is>
          <x:t xml:space="preserve">Probate / Heirship</x:t>
        </x:is>
      </x:c>
      <x:c r="S32" s="650" t="inlineStr">
        <x:is>
          <x:t xml:space="preserve">Not found in reviewed materials</x:t>
        </x:is>
      </x:c>
      <x:c r="T32" s="567" t="inlineStr">
        <x:is>
          <x:t xml:space="preserve">Effective / instrument date column</x:t>
        </x:is>
      </x:c>
      <x:c r="U32" s="650" t="n">
        <x:v>46170</x:v>
      </x:c>
      <x:c r="V32" s="567" t="inlineStr">
        <x:is>
          <x:t xml:space="preserve">31-12N-24W</x:t>
        </x:is>
      </x:c>
      <x:c r="W32" s="567" t="inlineStr">
        <x:is>
          <x:t xml:space="preserve">N/2 NE/4; SE/4 NE/4</x:t>
        </x:is>
      </x:c>
      <x:c r="X32" s="567" t="inlineStr">
        <x:is>
          <x:t xml:space="preserve">Parsed from public/workbook legal text</x:t>
        </x:is>
      </x:c>
      <x:c r="Y32" s="568" t="inlineStr">
        <x:is>
          <x:t xml:space="preserve">Yes – verify against certified document image</x:t>
        </x:is>
      </x:c>
      <x:c r="Z32" s="568" t="inlineStr">
        <x:is>
          <x:t xml:space="preserve">Extracted from existing workbook/public OKCR text; not a certified legal description.</x:t>
        </x:is>
      </x:c>
    </x:row>
    <x:row r="33">
      <x:c r="A33" s="565" t="inlineStr">
        <x:is>
          <x:t xml:space="preserve">2026-002877</x:t>
        </x:is>
      </x:c>
      <x:c r="B33" s="565" t="inlineStr">
        <x:is>
          <x:t xml:space="preserve">Not found in reviewed materials</x:t>
        </x:is>
      </x:c>
      <x:c r="C33" s="565" t="inlineStr">
        <x:is>
          <x:t xml:space="preserve">Final Decree</x:t>
        </x:is>
      </x:c>
      <x:c r="D33" s="565" t="inlineStr">
        <x:is>
          <x:t xml:space="preserve">2700/0395</x:t>
        </x:is>
      </x:c>
      <x:c r="E33" s="565" t="inlineStr">
        <x:is>
          <x:t xml:space="preserve">Not found in reviewed materials</x:t>
        </x:is>
      </x:c>
      <x:c r="F33" s="565" t="inlineStr">
        <x:is>
          <x:t xml:space="preserve">2026-05-18 00:00:00</x:t>
        </x:is>
      </x:c>
      <x:c r="G33" s="565" t="inlineStr">
        <x:is>
          <x:t xml:space="preserve">Estate of Audy C. Campbell</x:t>
        </x:is>
      </x:c>
      <x:c r="H33" s="565" t="inlineStr">
        <x:is>
          <x:t xml:space="preserve">The Public</x:t>
        </x:is>
      </x:c>
      <x:c r="I33" s="565" t="inlineStr">
        <x:is>
          <x:t xml:space="preserve">S/2 Lot 4, S/2 NE/4 SW/4 of 31-12N-24W aol</x:t>
        </x:is>
      </x:c>
      <x:c r="J33" s="565" t="inlineStr">
        <x:is>
          <x:t xml:space="preserve">Index row only reviewed. Full final decree image not accessible; distribution language and whether it closes the Nancy Susan Mitchell chain require verification.</x:t>
        </x:is>
      </x:c>
      <x:c r="K33" s="565" t="inlineStr">
        <x:is>
          <x:t xml:space="preserve">31-12N-24W_Roger_Mills_Cursory_Title_Report_(6-10-2026)_BEST_UPDATED.xlsx</x:t>
        </x:is>
      </x:c>
      <x:c r="L33" s="565" t="inlineStr">
        <x:is>
          <x:t xml:space="preserve">Runsheet</x:t>
        </x:is>
      </x:c>
      <x:c r="M33" s="565" t="inlineStr">
        <x:is>
          <x:t xml:space="preserve">https://okcountyrecords.com/detail/roger+mills/2026-002877/35377759</x:t>
        </x:is>
      </x:c>
      <x:c r="N33" s="565" t="inlineStr">
        <x:is>
          <x:t xml:space="preserve">OKCountyRecords index link; full image/release/probate review needed.</x:t>
        </x:is>
      </x:c>
      <x:c r="O33" s="565" t="inlineStr">
        <x:is>
          <x:t xml:space="preserve">https://okcountyrecords.com/detail/roger+mills/2026-002877/35377759</x:t>
        </x:is>
      </x:c>
      <x:c r="P33" s="541" t="inlineStr">
        <x:is>
          <x:t xml:space="preserve">Obtain probate/affidavit/decree support; verify heirs, devisees, death dates and distribution.</x:t>
        </x:is>
      </x:c>
      <x:c r="Q33" s="541" t="inlineStr">
        <x:is>
          <x:t xml:space="preserve">High</x:t>
        </x:is>
      </x:c>
      <x:c r="R33" s="541" t="inlineStr">
        <x:is>
          <x:t xml:space="preserve">Probate / Heirship</x:t>
        </x:is>
      </x:c>
      <x:c r="S33" s="650" t="inlineStr">
        <x:is>
          <x:t xml:space="preserve">Not found in reviewed materials</x:t>
        </x:is>
      </x:c>
      <x:c r="T33" s="567" t="inlineStr">
        <x:is>
          <x:t xml:space="preserve">Effective / instrument date column</x:t>
        </x:is>
      </x:c>
      <x:c r="U33" s="650" t="n">
        <x:v>46160</x:v>
      </x:c>
      <x:c r="V33" s="567" t="inlineStr">
        <x:is>
          <x:t xml:space="preserve">31-12N-24W</x:t>
        </x:is>
      </x:c>
      <x:c r="W33" s="567" t="inlineStr">
        <x:is>
          <x:t xml:space="preserve">LOT 4; S/2; S/2 NE/4 SW/4</x:t>
        </x:is>
      </x:c>
      <x:c r="X33" s="567" t="inlineStr">
        <x:is>
          <x:t xml:space="preserve">Parsed from public/workbook legal text</x:t>
        </x:is>
      </x:c>
      <x:c r="Y33" s="568" t="inlineStr">
        <x:is>
          <x:t xml:space="preserve">Yes – verify against certified document image</x:t>
        </x:is>
      </x:c>
      <x:c r="Z33" s="568" t="inlineStr">
        <x:is>
          <x:t xml:space="preserve">Extracted from existing workbook/public OKCR text; not a certified legal description.</x:t>
        </x:is>
      </x:c>
    </x:row>
    <x:row r="34">
      <x:c r="A34" s="565" t="inlineStr">
        <x:is>
          <x:t xml:space="preserve">2026-002547</x:t>
        </x:is>
      </x:c>
      <x:c r="B34" s="565" t="inlineStr">
        <x:is>
          <x:t xml:space="preserve">Not found in reviewed materials</x:t>
        </x:is>
      </x:c>
      <x:c r="C34" s="565" t="inlineStr">
        <x:is>
          <x:t xml:space="preserve">Welbore Assignment</x:t>
        </x:is>
      </x:c>
      <x:c r="D34" s="565" t="inlineStr">
        <x:is>
          <x:t xml:space="preserve">2698/0069</x:t>
        </x:is>
      </x:c>
      <x:c r="E34" s="565" t="inlineStr">
        <x:is>
          <x:t xml:space="preserve">Not found in reviewed materials</x:t>
        </x:is>
      </x:c>
      <x:c r="F34" s="565" t="inlineStr">
        <x:is>
          <x:t xml:space="preserve">2026-05-04 00:00:00</x:t>
        </x:is>
      </x:c>
      <x:c r="G34" s="565" t="inlineStr">
        <x:is>
          <x:t xml:space="preserve">Martin's Empire, LLC</x:t>
        </x:is>
      </x:c>
      <x:c r="H34" s="565" t="inlineStr">
        <x:is>
          <x:t xml:space="preserve">Stride Bank, Trustee of The Unbrella Trust</x:t>
        </x:is>
      </x:c>
      <x:c r="I34" s="565" t="inlineStr">
        <x:is>
          <x:t xml:space="preserve">S31 T12N R24W NW NW</x:t>
        </x:is>
      </x:c>
      <x:c r="J34" s="565" t="inlineStr">
        <x:is>
          <x:t xml:space="preserve">PDF page 88 / printed page 65 shows this wellbore assignment affects Section 31 NW NW; prior workbook legal showed non-target location. Full wellbore assignment image needed.</x:t>
        </x:is>
      </x:c>
      <x:c r="K34" s="565" t="inlineStr">
        <x:is>
          <x:t xml:space="preserve">31-12N-24W_Roger_Mills_Cursory_Title_Report_(6-10-2026)_BEST_UPDATED.xlsx</x:t>
        </x:is>
      </x:c>
      <x:c r="L34" s="565" t="inlineStr">
        <x:is>
          <x:t xml:space="preserve">Runsheet</x:t>
        </x:is>
      </x:c>
      <x:c r="M34" s="565" t="inlineStr">
        <x:is>
          <x:t xml:space="preserve">https://okcountyrecords.com/detail/roger+mills/2026-002547/35349405</x:t>
        </x:is>
      </x:c>
      <x:c r="N34" s="565" t="inlineStr">
        <x:is>
          <x:t xml:space="preserve">PDF correction; full image needed.</x:t>
        </x:is>
      </x:c>
      <x:c r="O34" s="565" t="n"/>
      <x:c r="P34" s="541" t="inlineStr">
        <x:is>
          <x:t xml:space="preserve">Obtain assignment image/exhibits; verify chain continuity, assigned leases/depths and retained interests.</x:t>
        </x:is>
      </x:c>
      <x:c r="Q34" s="541" t="inlineStr">
        <x:is>
          <x:t xml:space="preserve">High</x:t>
        </x:is>
      </x:c>
      <x:c r="R34" s="541" t="inlineStr">
        <x:is>
          <x:t xml:space="preserve">Assignment</x:t>
        </x:is>
      </x:c>
      <x:c r="S34" s="650" t="inlineStr">
        <x:is>
          <x:t xml:space="preserve">Not found in reviewed materials</x:t>
        </x:is>
      </x:c>
      <x:c r="T34" s="567" t="inlineStr">
        <x:is>
          <x:t xml:space="preserve">Effective / instrument date column</x:t>
        </x:is>
      </x:c>
      <x:c r="U34" s="650" t="n">
        <x:v>46146</x:v>
      </x:c>
      <x:c r="V34" s="567" t="inlineStr">
        <x:is>
          <x:t xml:space="preserve">31-12N-24W</x:t>
        </x:is>
      </x:c>
      <x:c r="W34" s="567" t="inlineStr">
        <x:is>
          <x:t xml:space="preserve">NW NW</x:t>
        </x:is>
      </x:c>
      <x:c r="X34" s="567" t="inlineStr">
        <x:is>
          <x:t xml:space="preserve">Parsed from public/workbook legal text</x:t>
        </x:is>
      </x:c>
      <x:c r="Y34" s="568" t="inlineStr">
        <x:is>
          <x:t xml:space="preserve">Yes – verify against certified document image</x:t>
        </x:is>
      </x:c>
      <x:c r="Z34" s="568" t="inlineStr">
        <x:is>
          <x:t xml:space="preserve">Extracted from existing workbook/public OKCR text; not a certified legal description.</x:t>
        </x:is>
      </x:c>
    </x:row>
    <x:row r="35">
      <x:c r="A35" s="565" t="inlineStr">
        <x:is>
          <x:t xml:space="preserve">2026-002509</x:t>
        </x:is>
      </x:c>
      <x:c r="B35" s="565" t="inlineStr">
        <x:is>
          <x:t xml:space="preserve">Not found in reviewed materials</x:t>
        </x:is>
      </x:c>
      <x:c r="C35" s="565" t="inlineStr">
        <x:is>
          <x:t xml:space="preserve">Affidavit of Heirship</x:t>
        </x:is>
      </x:c>
      <x:c r="D35" s="565" t="inlineStr">
        <x:is>
          <x:t xml:space="preserve">2697/0517</x:t>
        </x:is>
      </x:c>
      <x:c r="E35" s="565" t="inlineStr">
        <x:is>
          <x:t xml:space="preserve">Not found in reviewed materials</x:t>
        </x:is>
      </x:c>
      <x:c r="F35" s="565" t="inlineStr">
        <x:is>
          <x:t xml:space="preserve">2026-05-01 00:00:00</x:t>
        </x:is>
      </x:c>
      <x:c r="G35" s="565" t="inlineStr">
        <x:is>
          <x:t xml:space="preserve">Carrie Leeann Mitchell</x:t>
        </x:is>
      </x:c>
      <x:c r="H35" s="565" t="inlineStr">
        <x:is>
          <x:t xml:space="preserve">The Public, RE: Nancy Susan Mitchell, Deceased</x:t>
        </x:is>
      </x:c>
      <x:c r="I35" s="565" t="inlineStr">
        <x:is>
          <x:t xml:space="preserve">All of 31-12N-24W aol</x:t>
        </x:is>
      </x:c>
      <x:c r="J35" s="565" t="inlineStr">
        <x:is>
          <x:t xml:space="preserve">Affidavit format corrected: The Public shown as grantee/public side with RE: Nancy Susan Mitchell, Deceased. Full affidavit image not accessible; heirship facts and date-of-death/effective facts require verification.</x:t>
        </x:is>
      </x:c>
      <x:c r="K35" s="565" t="inlineStr">
        <x:is>
          <x:t xml:space="preserve">31-12N-24W_Roger_Mills_Cursory_Title_Report_(6-10-2026)_BEST_UPDATED.xlsx</x:t>
        </x:is>
      </x:c>
      <x:c r="L35" s="565" t="inlineStr">
        <x:is>
          <x:t xml:space="preserve">Runsheet</x:t>
        </x:is>
      </x:c>
      <x:c r="M35" s="565" t="inlineStr">
        <x:is>
          <x:t xml:space="preserve">https://okcountyrecords.com/detail/roger+mills/2026-002509/35346709</x:t>
        </x:is>
      </x:c>
      <x:c r="N35" s="565" t="inlineStr">
        <x:is>
          <x:t xml:space="preserve">OKCountyRecords index link; full image/release/probate review needed.</x:t>
        </x:is>
      </x:c>
      <x:c r="O35" s="565" t="inlineStr">
        <x:is>
          <x:t xml:space="preserve">https://okcountyrecords.com/detail/roger+mills/2026-002509/35346709</x:t>
        </x:is>
      </x:c>
      <x:c r="P35" s="541" t="inlineStr">
        <x:is>
          <x:t xml:space="preserve">Obtain probate/affidavit/decree support; verify heirs, devisees, death dates and distribution.</x:t>
        </x:is>
      </x:c>
      <x:c r="Q35" s="541" t="inlineStr">
        <x:is>
          <x:t xml:space="preserve">High</x:t>
        </x:is>
      </x:c>
      <x:c r="R35" s="541" t="inlineStr">
        <x:is>
          <x:t xml:space="preserve">Probate / Heirship</x:t>
        </x:is>
      </x:c>
      <x:c r="S35" s="650" t="inlineStr">
        <x:is>
          <x:t xml:space="preserve">Not found in reviewed materials</x:t>
        </x:is>
      </x:c>
      <x:c r="T35" s="567" t="inlineStr">
        <x:is>
          <x:t xml:space="preserve">Effective / instrument date column</x:t>
        </x:is>
      </x:c>
      <x:c r="U35" s="650" t="n">
        <x:v>46143</x:v>
      </x:c>
      <x:c r="V35" s="567" t="inlineStr">
        <x:is>
          <x:t xml:space="preserve">31-12N-24W</x:t>
        </x:is>
      </x:c>
      <x:c r="W35" s="567" t="inlineStr">
        <x:is>
          <x:t xml:space="preserve">All or unspecified part of Section 31; no quarter call stated in index text</x:t>
        </x:is>
      </x:c>
      <x:c r="X35" s="567" t="inlineStr">
        <x:is>
          <x:t xml:space="preserve">Section match only</x:t>
        </x:is>
      </x:c>
      <x:c r="Y35" s="568" t="inlineStr">
        <x:is>
          <x:t xml:space="preserve">Yes – quarter call missing or index-only</x:t>
        </x:is>
      </x:c>
      <x:c r="Z35" s="568" t="inlineStr">
        <x:is>
          <x:t xml:space="preserve">Extracted from existing workbook/public OKCR text; not a certified legal description.</x:t>
        </x:is>
      </x:c>
    </x:row>
    <x:row r="36">
      <x:c r="A36" s="565" t="inlineStr">
        <x:is>
          <x:t xml:space="preserve">2026-002511</x:t>
        </x:is>
      </x:c>
      <x:c r="B36" s="565" t="inlineStr">
        <x:is>
          <x:t xml:space="preserve">Not found in reviewed materials</x:t>
        </x:is>
      </x:c>
      <x:c r="C36" s="565" t="inlineStr">
        <x:is>
          <x:t xml:space="preserve">Oil and Gas Lease</x:t>
        </x:is>
      </x:c>
      <x:c r="D36" s="565" t="inlineStr">
        <x:is>
          <x:t xml:space="preserve">2697/0520</x:t>
        </x:is>
      </x:c>
      <x:c r="E36" s="565" t="inlineStr">
        <x:is>
          <x:t xml:space="preserve">Not found in reviewed materials</x:t>
        </x:is>
      </x:c>
      <x:c r="F36" s="565" t="inlineStr">
        <x:is>
          <x:t xml:space="preserve">2026-05-01 00:00:00</x:t>
        </x:is>
      </x:c>
      <x:c r="G36" s="565" t="inlineStr">
        <x:is>
          <x:t xml:space="preserve">Keri Lee Daigle Tucker, Trustee of The Keri Lee Daigle Tucker Trust</x:t>
        </x:is>
      </x:c>
      <x:c r="H36" s="565" t="inlineStr">
        <x:is>
          <x:t xml:space="preserve">Silver Oak Natural Resources, LLC</x:t>
        </x:is>
      </x:c>
      <x:c r="I36" s="565" t="inlineStr">
        <x:is>
          <x:t xml:space="preserve">S31 T12N R24W N2 NE SW; NE SE; SE NE</x:t>
        </x:is>
      </x:c>
      <x:c r="J36" s="565" t="inlineStr">
        <x:is>
          <x:t xml:space="preserve">PDF page 88 / printed page 65 confirms expanded legal lines for 2026-002511. Full lease image still required for terms/royalty/effective date.</x:t>
        </x:is>
      </x:c>
      <x:c r="K36" s="565" t="inlineStr">
        <x:is>
          <x:t xml:space="preserve">31-12N-24W_Roger_Mills_Cursory_Title_Report_(6-10-2026)_BEST_UPDATED.xlsx</x:t>
        </x:is>
      </x:c>
      <x:c r="L36" s="565" t="inlineStr">
        <x:is>
          <x:t xml:space="preserve">Runsheet</x:t>
        </x:is>
      </x:c>
      <x:c r="M36" s="565" t="inlineStr">
        <x:is>
          <x:t xml:space="preserve">https://okcountyrecords.com/detail/roger+mills/2026-002511/35346711</x:t>
        </x:is>
      </x:c>
      <x:c r="N36" s="565" t="inlineStr">
        <x:is>
          <x:t xml:space="preserve">PDF correction plus OKCountyRecords index; full image needed.</x:t>
        </x:is>
      </x:c>
      <x:c r="O36" s="565" t="inlineStr">
        <x:is>
          <x:t xml:space="preserve">https://okcountyrecords.com/detail/roger+mills/2026-002511/35346711</x:t>
        </x:is>
      </x:c>
      <x:c r="P36" s="541" t="inlineStr">
        <x:is>
          <x:t xml:space="preserve">Obtain full lease image/certified copy; verify terms, acreage, royalty and lease status.</x:t>
        </x:is>
      </x:c>
      <x:c r="Q36" s="541" t="inlineStr">
        <x:is>
          <x:t xml:space="preserve">High</x:t>
        </x:is>
      </x:c>
      <x:c r="R36" s="541" t="inlineStr">
        <x:is>
          <x:t xml:space="preserve">Lease</x:t>
        </x:is>
      </x:c>
      <x:c r="S36" s="650" t="inlineStr">
        <x:is>
          <x:t xml:space="preserve">Not found in reviewed materials</x:t>
        </x:is>
      </x:c>
      <x:c r="T36" s="567" t="inlineStr">
        <x:is>
          <x:t xml:space="preserve">Effective / instrument date column</x:t>
        </x:is>
      </x:c>
      <x:c r="U36" s="650" t="n">
        <x:v>46143</x:v>
      </x:c>
      <x:c r="V36" s="567" t="inlineStr">
        <x:is>
          <x:t xml:space="preserve">31-12N-24W</x:t>
        </x:is>
      </x:c>
      <x:c r="W36" s="567" t="inlineStr">
        <x:is>
          <x:t xml:space="preserve">N/2 NE SW; NE SE; SE NE</x:t>
        </x:is>
      </x:c>
      <x:c r="X36" s="567" t="inlineStr">
        <x:is>
          <x:t xml:space="preserve">Parsed from public/workbook legal text</x:t>
        </x:is>
      </x:c>
      <x:c r="Y36" s="568" t="inlineStr">
        <x:is>
          <x:t xml:space="preserve">Yes – verify against certified document image</x:t>
        </x:is>
      </x:c>
      <x:c r="Z36" s="568" t="inlineStr">
        <x:is>
          <x:t xml:space="preserve">Extracted from existing workbook/public OKCR text; not a certified legal description.</x:t>
        </x:is>
      </x:c>
    </x:row>
    <x:row r="37">
      <x:c r="A37" s="565" t="inlineStr">
        <x:is>
          <x:t xml:space="preserve">2026-002512</x:t>
        </x:is>
      </x:c>
      <x:c r="B37" s="565" t="inlineStr">
        <x:is>
          <x:t xml:space="preserve">Not found in reviewed materials</x:t>
        </x:is>
      </x:c>
      <x:c r="C37" s="565" t="inlineStr">
        <x:is>
          <x:t xml:space="preserve">Oil and Gas Lease</x:t>
        </x:is>
      </x:c>
      <x:c r="D37" s="565" t="inlineStr">
        <x:is>
          <x:t xml:space="preserve">2697/0524</x:t>
        </x:is>
      </x:c>
      <x:c r="E37" s="565" t="inlineStr">
        <x:is>
          <x:t xml:space="preserve">Not found in reviewed materials</x:t>
        </x:is>
      </x:c>
      <x:c r="F37" s="565" t="inlineStr">
        <x:is>
          <x:t xml:space="preserve">2026-05-01 00:00:00</x:t>
        </x:is>
      </x:c>
      <x:c r="G37" s="565" t="inlineStr">
        <x:is>
          <x:t xml:space="preserve">Ronald Paul Dold</x:t>
        </x:is>
      </x:c>
      <x:c r="H37" s="565" t="inlineStr">
        <x:is>
          <x:t xml:space="preserve">Silver Oak Natural Resources, LLC</x:t>
        </x:is>
      </x:c>
      <x:c r="I37" s="565" t="inlineStr">
        <x:is>
          <x:t xml:space="preserve">S31 T12N R24W E2 NW; N2; N2 NE SW; NE SE; S2 L3-4; S2 NE SW; SE NE; SE SW</x:t>
        </x:is>
      </x:c>
      <x:c r="J37" s="565" t="inlineStr">
        <x:is>
          <x:t xml:space="preserve">PDF page 88 / printed page 65 confirms expanded legal lines for 2026-002512. Full lease image still required for terms/royalty/effective date.</x:t>
        </x:is>
      </x:c>
      <x:c r="K37" s="565" t="inlineStr">
        <x:is>
          <x:t xml:space="preserve">31-12N-24W_Roger_Mills_Cursory_Title_Report_(6-10-2026)_BEST_UPDATED.xlsx</x:t>
        </x:is>
      </x:c>
      <x:c r="L37" s="565" t="inlineStr">
        <x:is>
          <x:t xml:space="preserve">Runsheet</x:t>
        </x:is>
      </x:c>
      <x:c r="M37" s="565" t="inlineStr">
        <x:is>
          <x:t xml:space="preserve">https://okcountyrecords.com/detail/roger+mills/2026-002512/35346712</x:t>
        </x:is>
      </x:c>
      <x:c r="N37" s="565" t="inlineStr">
        <x:is>
          <x:t xml:space="preserve">PDF correction plus OKCountyRecords index; full image needed.</x:t>
        </x:is>
      </x:c>
      <x:c r="O37" s="565" t="inlineStr">
        <x:is>
          <x:t xml:space="preserve">https://okcountyrecords.com/detail/roger+mills/2026-002512/35346712</x:t>
        </x:is>
      </x:c>
      <x:c r="P37" s="541" t="inlineStr">
        <x:is>
          <x:t xml:space="preserve">Obtain full lease image/certified copy; verify terms, acreage, royalty and lease status.</x:t>
        </x:is>
      </x:c>
      <x:c r="Q37" s="541" t="inlineStr">
        <x:is>
          <x:t xml:space="preserve">High</x:t>
        </x:is>
      </x:c>
      <x:c r="R37" s="541" t="inlineStr">
        <x:is>
          <x:t xml:space="preserve">Lease</x:t>
        </x:is>
      </x:c>
      <x:c r="S37" s="650" t="inlineStr">
        <x:is>
          <x:t xml:space="preserve">Not found in reviewed materials</x:t>
        </x:is>
      </x:c>
      <x:c r="T37" s="567" t="inlineStr">
        <x:is>
          <x:t xml:space="preserve">Effective / instrument date column</x:t>
        </x:is>
      </x:c>
      <x:c r="U37" s="650" t="n">
        <x:v>46143</x:v>
      </x:c>
      <x:c r="V37" s="567" t="inlineStr">
        <x:is>
          <x:t xml:space="preserve">31-12N-24W</x:t>
        </x:is>
      </x:c>
      <x:c r="W37" s="567" t="inlineStr">
        <x:is>
          <x:t xml:space="preserve">E/2 NW; N/2; N/2 NE SW; NE SE; S/2; S/2 NE SW; SE NE; SE SW; S/2 L3-4</x:t>
        </x:is>
      </x:c>
      <x:c r="X37" s="567" t="inlineStr">
        <x:is>
          <x:t xml:space="preserve">Parsed from public/workbook legal text</x:t>
        </x:is>
      </x:c>
      <x:c r="Y37" s="568" t="inlineStr">
        <x:is>
          <x:t xml:space="preserve">Yes – verify against certified document image</x:t>
        </x:is>
      </x:c>
      <x:c r="Z37" s="568" t="inlineStr">
        <x:is>
          <x:t xml:space="preserve">Extracted from existing workbook/public OKCR text; not a certified legal description.</x:t>
        </x:is>
      </x:c>
    </x:row>
    <x:row r="38">
      <x:c r="A38" s="565" t="inlineStr">
        <x:is>
          <x:t xml:space="preserve">2026-002510</x:t>
        </x:is>
      </x:c>
      <x:c r="B38" s="565" t="inlineStr">
        <x:is>
          <x:t xml:space="preserve">Not found in reviewed materials</x:t>
        </x:is>
      </x:c>
      <x:c r="C38" s="565" t="inlineStr">
        <x:is>
          <x:t xml:space="preserve">Affidavit</x:t>
        </x:is>
      </x:c>
      <x:c r="D38" s="565" t="inlineStr">
        <x:is>
          <x:t xml:space="preserve">2697/0519</x:t>
        </x:is>
      </x:c>
      <x:c r="E38" s="565" t="inlineStr">
        <x:is>
          <x:t xml:space="preserve">Not found in reviewed materials</x:t>
        </x:is>
      </x:c>
      <x:c r="F38" s="565" t="inlineStr">
        <x:is>
          <x:t xml:space="preserve">2026-05-01 00:00:00</x:t>
        </x:is>
      </x:c>
      <x:c r="G38" s="565" t="inlineStr">
        <x:is>
          <x:t xml:space="preserve">The Keri Lee Daigle Trust, The Keri Lee Daigle Tucker Trust, Keri L. Tucker, s/k/a Daigle, Keri Lee</x:t>
        </x:is>
      </x:c>
      <x:c r="H38" s="565" t="inlineStr">
        <x:is>
          <x:t xml:space="preserve">The Public</x:t>
        </x:is>
      </x:c>
      <x:c r="I38" s="565" t="inlineStr">
        <x:is>
          <x:t xml:space="preserve">SE/4 NE/4, NE/4 SE/4 of 31-12N-24W aol</x:t>
        </x:is>
      </x:c>
      <x:c r="J38" s="565" t="inlineStr">
        <x:is>
          <x:t xml:space="preserve">Index row only reviewed. Full affidavit/identity image not accessible; identity facts and effect on Michelle family chain require verification.</x:t>
        </x:is>
      </x:c>
      <x:c r="K38" s="565" t="inlineStr">
        <x:is>
          <x:t xml:space="preserve">31-12N-24W_Roger_Mills_Cursory_Title_Report_(6-10-2026)_BEST_UPDATED.xlsx</x:t>
        </x:is>
      </x:c>
      <x:c r="L38" s="565" t="inlineStr">
        <x:is>
          <x:t xml:space="preserve">Runsheet</x:t>
        </x:is>
      </x:c>
      <x:c r="M38" s="565" t="inlineStr">
        <x:is>
          <x:t xml:space="preserve">https://okcountyrecords.com/detail/roger+mills/2026-002510/35346713</x:t>
        </x:is>
      </x:c>
      <x:c r="N38" s="565" t="inlineStr">
        <x:is>
          <x:t xml:space="preserve">OKCountyRecords index link; full image/release/probate review needed.</x:t>
        </x:is>
      </x:c>
      <x:c r="O38" s="565" t="inlineStr">
        <x:is>
          <x:t xml:space="preserve">https://okcountyrecords.com/detail/roger+mills/2026-002510/35346713</x:t>
        </x:is>
      </x:c>
      <x:c r="P38" s="541" t="inlineStr">
        <x:is>
          <x:t xml:space="preserve">Obtain probate/affidavit/decree support; verify heirs, devisees, death dates and distribution.</x:t>
        </x:is>
      </x:c>
      <x:c r="Q38" s="541" t="inlineStr">
        <x:is>
          <x:t xml:space="preserve">High</x:t>
        </x:is>
      </x:c>
      <x:c r="R38" s="541" t="inlineStr">
        <x:is>
          <x:t xml:space="preserve">Probate / Heirship</x:t>
        </x:is>
      </x:c>
      <x:c r="S38" s="650" t="inlineStr">
        <x:is>
          <x:t xml:space="preserve">Not found in reviewed materials</x:t>
        </x:is>
      </x:c>
      <x:c r="T38" s="567" t="inlineStr">
        <x:is>
          <x:t xml:space="preserve">Effective / instrument date column</x:t>
        </x:is>
      </x:c>
      <x:c r="U38" s="650" t="n">
        <x:v>46143</x:v>
      </x:c>
      <x:c r="V38" s="567" t="inlineStr">
        <x:is>
          <x:t xml:space="preserve">31-12N-24W</x:t>
        </x:is>
      </x:c>
      <x:c r="W38" s="567" t="inlineStr">
        <x:is>
          <x:t xml:space="preserve">SE/4 NE/4; NE/4 SE/4</x:t>
        </x:is>
      </x:c>
      <x:c r="X38" s="567" t="inlineStr">
        <x:is>
          <x:t xml:space="preserve">Parsed from public/workbook legal text</x:t>
        </x:is>
      </x:c>
      <x:c r="Y38" s="568" t="inlineStr">
        <x:is>
          <x:t xml:space="preserve">Yes – verify against certified document image</x:t>
        </x:is>
      </x:c>
      <x:c r="Z38" s="568" t="inlineStr">
        <x:is>
          <x:t xml:space="preserve">Extracted from existing workbook/public OKCR text; not a certified legal description.</x:t>
        </x:is>
      </x:c>
    </x:row>
    <x:row r="39">
      <x:c r="A39" s="565" t="inlineStr">
        <x:is>
          <x:t xml:space="preserve">2026-001952</x:t>
        </x:is>
      </x:c>
      <x:c r="B39" s="565" t="inlineStr">
        <x:is>
          <x:t xml:space="preserve">Not found in reviewed materials</x:t>
        </x:is>
      </x:c>
      <x:c r="C39" s="565" t="inlineStr">
        <x:is>
          <x:t xml:space="preserve">Oil and Gas Lease</x:t>
        </x:is>
      </x:c>
      <x:c r="D39" s="565" t="inlineStr">
        <x:is>
          <x:t xml:space="preserve">2693/0349</x:t>
        </x:is>
      </x:c>
      <x:c r="E39" s="565" t="inlineStr">
        <x:is>
          <x:t xml:space="preserve">Not found in reviewed materials</x:t>
        </x:is>
      </x:c>
      <x:c r="F39" s="565" t="inlineStr">
        <x:is>
          <x:t xml:space="preserve">2026-04-10 00:00:00</x:t>
        </x:is>
      </x:c>
      <x:c r="G39" s="565" t="inlineStr">
        <x:is>
          <x:t xml:space="preserve">Mark Ashley Daigle, Trustee of The Mark Ashley Daigle Trust</x:t>
        </x:is>
      </x:c>
      <x:c r="H39" s="565" t="inlineStr">
        <x:is>
          <x:t xml:space="preserve">Silver Oak Natural Resources, LLC</x:t>
        </x:is>
      </x:c>
      <x:c r="I39" s="565" t="inlineStr">
        <x:is>
          <x:t xml:space="preserve">SE/4 NE/4, NE/4 SE/4 of 31-12N-24W aol</x:t>
        </x:is>
      </x:c>
      <x:c r="J39" s="565" t="inlineStr">
        <x:is>
          <x:t xml:space="preserve">Index row only reviewed. Full 2026 Silver Oak OGL image not accessible; exact lease royalty/term/effective date/special clauses must be confirmed.</x:t>
        </x:is>
      </x:c>
      <x:c r="K39" s="565" t="inlineStr">
        <x:is>
          <x:t xml:space="preserve">31-12N-24W_Roger_Mills_Cursory_Title_Report_(6-10-2026)_BEST_UPDATED.xlsx</x:t>
        </x:is>
      </x:c>
      <x:c r="L39" s="565" t="inlineStr">
        <x:is>
          <x:t xml:space="preserve">Runsheet</x:t>
        </x:is>
      </x:c>
      <x:c r="M39" s="565" t="inlineStr">
        <x:is>
          <x:t xml:space="preserve">https://okcountyrecords.com/detail/roger+mills/2026-001952/35274563</x:t>
        </x:is>
      </x:c>
      <x:c r="N39" s="565" t="inlineStr">
        <x:is>
          <x:t xml:space="preserve">OKCountyRecords index link; full image/release/probate review needed.</x:t>
        </x:is>
      </x:c>
      <x:c r="O39" s="565" t="inlineStr">
        <x:is>
          <x:t xml:space="preserve">https://okcountyrecords.com/detail/roger+mills/2026-001952/35274563</x:t>
        </x:is>
      </x:c>
      <x:c r="P39" s="541" t="inlineStr">
        <x:is>
          <x:t xml:space="preserve">Obtain full lease image/certified copy; verify terms, acreage, royalty and lease status.</x:t>
        </x:is>
      </x:c>
      <x:c r="Q39" s="541" t="inlineStr">
        <x:is>
          <x:t xml:space="preserve">High</x:t>
        </x:is>
      </x:c>
      <x:c r="R39" s="541" t="inlineStr">
        <x:is>
          <x:t xml:space="preserve">Lease</x:t>
        </x:is>
      </x:c>
      <x:c r="S39" s="650" t="inlineStr">
        <x:is>
          <x:t xml:space="preserve">Not found in reviewed materials</x:t>
        </x:is>
      </x:c>
      <x:c r="T39" s="567" t="inlineStr">
        <x:is>
          <x:t xml:space="preserve">Effective / instrument date column</x:t>
        </x:is>
      </x:c>
      <x:c r="U39" s="650" t="n">
        <x:v>46122</x:v>
      </x:c>
      <x:c r="V39" s="567" t="inlineStr">
        <x:is>
          <x:t xml:space="preserve">31-12N-24W</x:t>
        </x:is>
      </x:c>
      <x:c r="W39" s="567" t="inlineStr">
        <x:is>
          <x:t xml:space="preserve">SE/4 NE/4; NE/4 SE/4</x:t>
        </x:is>
      </x:c>
      <x:c r="X39" s="567" t="inlineStr">
        <x:is>
          <x:t xml:space="preserve">Parsed from public/workbook legal text</x:t>
        </x:is>
      </x:c>
      <x:c r="Y39" s="568" t="inlineStr">
        <x:is>
          <x:t xml:space="preserve">Yes – verify against certified document image</x:t>
        </x:is>
      </x:c>
      <x:c r="Z39" s="568" t="inlineStr">
        <x:is>
          <x:t xml:space="preserve">Extracted from existing workbook/public OKCR text; not a certified legal description.</x:t>
        </x:is>
      </x:c>
    </x:row>
    <x:row r="40">
      <x:c r="A40" s="565" t="inlineStr">
        <x:is>
          <x:t xml:space="preserve">2026-001949</x:t>
        </x:is>
      </x:c>
      <x:c r="B40" s="565" t="inlineStr">
        <x:is>
          <x:t xml:space="preserve">Not found in reviewed materials</x:t>
        </x:is>
      </x:c>
      <x:c r="C40" s="565" t="inlineStr">
        <x:is>
          <x:t xml:space="preserve">Oil and Gas Lease</x:t>
        </x:is>
      </x:c>
      <x:c r="D40" s="565" t="inlineStr">
        <x:is>
          <x:t xml:space="preserve">2693/0337</x:t>
        </x:is>
      </x:c>
      <x:c r="E40" s="565" t="inlineStr">
        <x:is>
          <x:t xml:space="preserve">Not found in reviewed materials</x:t>
        </x:is>
      </x:c>
      <x:c r="F40" s="565" t="inlineStr">
        <x:is>
          <x:t xml:space="preserve">2026-04-10 00:00:00</x:t>
        </x:is>
      </x:c>
      <x:c r="G40" s="565" t="inlineStr">
        <x:is>
          <x:t xml:space="preserve">James Gerard Buonaccorsi, Trustee of The Mitchell Buonaccorsi Living Trust U/A, Carrie Leeann Mitchell, Trustee of The Mitchell Buonaccorsi Living Trust U/A</x:t>
        </x:is>
      </x:c>
      <x:c r="H40" s="565" t="inlineStr">
        <x:is>
          <x:t xml:space="preserve">Silver Oak Natural Resources, LLC</x:t>
        </x:is>
      </x:c>
      <x:c r="I40" s="565" t="inlineStr">
        <x:is>
          <x:t xml:space="preserve">N/2 NE/4, SE/4 NE/4 of 31-12N-24W aol</x:t>
        </x:is>
      </x:c>
      <x:c r="J40" s="565" t="inlineStr">
        <x:is>
          <x:t xml:space="preserve">Index row only reviewed. Full 2026 Silver Oak OGL image not accessible; exact lease royalty/term/effective date/special clauses must be confirmed.</x:t>
        </x:is>
      </x:c>
      <x:c r="K40" s="565" t="inlineStr">
        <x:is>
          <x:t xml:space="preserve">31-12N-24W_Roger_Mills_Cursory_Title_Report_(6-10-2026)_BEST_UPDATED.xlsx</x:t>
        </x:is>
      </x:c>
      <x:c r="L40" s="565" t="inlineStr">
        <x:is>
          <x:t xml:space="preserve">Runsheet</x:t>
        </x:is>
      </x:c>
      <x:c r="M40" s="565" t="inlineStr">
        <x:is>
          <x:t xml:space="preserve">https://okcountyrecords.com/detail/roger+mills/2026-001949/35274564</x:t>
        </x:is>
      </x:c>
      <x:c r="N40" s="565" t="inlineStr">
        <x:is>
          <x:t xml:space="preserve">OKCountyRecords index link; full image/release/probate review needed.</x:t>
        </x:is>
      </x:c>
      <x:c r="O40" s="565" t="inlineStr">
        <x:is>
          <x:t xml:space="preserve">https://okcountyrecords.com/detail/roger+mills/2026-001949/35274564</x:t>
        </x:is>
      </x:c>
      <x:c r="P40" s="541" t="inlineStr">
        <x:is>
          <x:t xml:space="preserve">Obtain full lease image/certified copy; verify terms, acreage, royalty and lease status.</x:t>
        </x:is>
      </x:c>
      <x:c r="Q40" s="541" t="inlineStr">
        <x:is>
          <x:t xml:space="preserve">High</x:t>
        </x:is>
      </x:c>
      <x:c r="R40" s="541" t="inlineStr">
        <x:is>
          <x:t xml:space="preserve">Lease</x:t>
        </x:is>
      </x:c>
      <x:c r="S40" s="650" t="inlineStr">
        <x:is>
          <x:t xml:space="preserve">Not found in reviewed materials</x:t>
        </x:is>
      </x:c>
      <x:c r="T40" s="567" t="inlineStr">
        <x:is>
          <x:t xml:space="preserve">Effective / instrument date column</x:t>
        </x:is>
      </x:c>
      <x:c r="U40" s="650" t="n">
        <x:v>46122</x:v>
      </x:c>
      <x:c r="V40" s="567" t="inlineStr">
        <x:is>
          <x:t xml:space="preserve">31-12N-24W</x:t>
        </x:is>
      </x:c>
      <x:c r="W40" s="567" t="inlineStr">
        <x:is>
          <x:t xml:space="preserve">N/2 NE/4; SE/4 NE/4</x:t>
        </x:is>
      </x:c>
      <x:c r="X40" s="567" t="inlineStr">
        <x:is>
          <x:t xml:space="preserve">Parsed from public/workbook legal text</x:t>
        </x:is>
      </x:c>
      <x:c r="Y40" s="568" t="inlineStr">
        <x:is>
          <x:t xml:space="preserve">Yes – verify against certified document image</x:t>
        </x:is>
      </x:c>
      <x:c r="Z40" s="568" t="inlineStr">
        <x:is>
          <x:t xml:space="preserve">Extracted from existing workbook/public OKCR text; not a certified legal description.</x:t>
        </x:is>
      </x:c>
    </x:row>
    <x:row r="41">
      <x:c r="A41" s="565" t="inlineStr">
        <x:is>
          <x:t xml:space="preserve">2026-001951</x:t>
        </x:is>
      </x:c>
      <x:c r="B41" s="565" t="inlineStr">
        <x:is>
          <x:t xml:space="preserve">Not found in reviewed materials</x:t>
        </x:is>
      </x:c>
      <x:c r="C41" s="565" t="inlineStr">
        <x:is>
          <x:t xml:space="preserve">Oil and Gas Lease</x:t>
        </x:is>
      </x:c>
      <x:c r="D41" s="565" t="inlineStr">
        <x:is>
          <x:t xml:space="preserve">2693/0345</x:t>
        </x:is>
      </x:c>
      <x:c r="E41" s="565" t="inlineStr">
        <x:is>
          <x:t xml:space="preserve">Not found in reviewed materials</x:t>
        </x:is>
      </x:c>
      <x:c r="F41" s="565" t="inlineStr">
        <x:is>
          <x:t xml:space="preserve">2026-04-10 00:00:00</x:t>
        </x:is>
      </x:c>
      <x:c r="G41" s="565" t="inlineStr">
        <x:is>
          <x:t xml:space="preserve">Kevin Johnson Johnson, Trustee of The Kevin Warner Johnson Trust</x:t>
        </x:is>
      </x:c>
      <x:c r="H41" s="565" t="inlineStr">
        <x:is>
          <x:t xml:space="preserve">Silver Oak Natural Resources, LLC</x:t>
        </x:is>
      </x:c>
      <x:c r="I41" s="565" t="inlineStr">
        <x:is>
          <x:t xml:space="preserve">SE/4 NE/4, NE/4 SE/4 of 31-12N-24W aol</x:t>
        </x:is>
      </x:c>
      <x:c r="J41" s="565" t="inlineStr">
        <x:is>
          <x:t xml:space="preserve">Index row only reviewed. Full 2026 Silver Oak OGL image not accessible; exact lease royalty/term/effective date/special clauses must be confirmed.</x:t>
        </x:is>
      </x:c>
      <x:c r="K41" s="565" t="inlineStr">
        <x:is>
          <x:t xml:space="preserve">31-12N-24W_Roger_Mills_Cursory_Title_Report_(6-10-2026)_BEST_UPDATED.xlsx</x:t>
        </x:is>
      </x:c>
      <x:c r="L41" s="565" t="inlineStr">
        <x:is>
          <x:t xml:space="preserve">Runsheet</x:t>
        </x:is>
      </x:c>
      <x:c r="M41" s="565" t="inlineStr">
        <x:is>
          <x:t xml:space="preserve">https://okcountyrecords.com/detail/roger+mills/2026-001951/35274565</x:t>
        </x:is>
      </x:c>
      <x:c r="N41" s="565" t="inlineStr">
        <x:is>
          <x:t xml:space="preserve">OKCountyRecords index link; full image/release/probate review needed.</x:t>
        </x:is>
      </x:c>
      <x:c r="O41" s="565" t="inlineStr">
        <x:is>
          <x:t xml:space="preserve">https://okcountyrecords.com/detail/roger+mills/2026-001951/35274565</x:t>
        </x:is>
      </x:c>
      <x:c r="P41" s="541" t="inlineStr">
        <x:is>
          <x:t xml:space="preserve">Obtain full lease image/certified copy; verify terms, acreage, royalty and lease status.</x:t>
        </x:is>
      </x:c>
      <x:c r="Q41" s="541" t="inlineStr">
        <x:is>
          <x:t xml:space="preserve">High</x:t>
        </x:is>
      </x:c>
      <x:c r="R41" s="541" t="inlineStr">
        <x:is>
          <x:t xml:space="preserve">Lease</x:t>
        </x:is>
      </x:c>
      <x:c r="S41" s="650" t="inlineStr">
        <x:is>
          <x:t xml:space="preserve">Not found in reviewed materials</x:t>
        </x:is>
      </x:c>
      <x:c r="T41" s="567" t="inlineStr">
        <x:is>
          <x:t xml:space="preserve">Effective / instrument date column</x:t>
        </x:is>
      </x:c>
      <x:c r="U41" s="650" t="n">
        <x:v>46122</x:v>
      </x:c>
      <x:c r="V41" s="567" t="inlineStr">
        <x:is>
          <x:t xml:space="preserve">31-12N-24W</x:t>
        </x:is>
      </x:c>
      <x:c r="W41" s="567" t="inlineStr">
        <x:is>
          <x:t xml:space="preserve">SE/4 NE/4; NE/4 SE/4</x:t>
        </x:is>
      </x:c>
      <x:c r="X41" s="567" t="inlineStr">
        <x:is>
          <x:t xml:space="preserve">Parsed from public/workbook legal text</x:t>
        </x:is>
      </x:c>
      <x:c r="Y41" s="568" t="inlineStr">
        <x:is>
          <x:t xml:space="preserve">Yes – verify against certified document image</x:t>
        </x:is>
      </x:c>
      <x:c r="Z41" s="568" t="inlineStr">
        <x:is>
          <x:t xml:space="preserve">Extracted from existing workbook/public OKCR text; not a certified legal description.</x:t>
        </x:is>
      </x:c>
    </x:row>
    <x:row r="42">
      <x:c r="A42" s="565" t="inlineStr">
        <x:is>
          <x:t xml:space="preserve">2025-002464</x:t>
        </x:is>
      </x:c>
      <x:c r="B42" s="565" t="inlineStr">
        <x:is>
          <x:t xml:space="preserve">Not found in reviewed materials</x:t>
        </x:is>
      </x:c>
      <x:c r="C42" s="565" t="inlineStr">
        <x:is>
          <x:t xml:space="preserve">Mineral Deed</x:t>
        </x:is>
      </x:c>
      <x:c r="D42" s="565" t="inlineStr">
        <x:is>
          <x:t xml:space="preserve">2625/0233</x:t>
        </x:is>
      </x:c>
      <x:c r="E42" s="565" t="inlineStr">
        <x:is>
          <x:t xml:space="preserve">Not found in reviewed materials</x:t>
        </x:is>
      </x:c>
      <x:c r="F42" s="565" t="inlineStr">
        <x:is>
          <x:t xml:space="preserve">2025-04-24 00:00:00</x:t>
        </x:is>
      </x:c>
      <x:c r="G42" s="565" t="inlineStr">
        <x:is>
          <x:t xml:space="preserve">EDR, LLC</x:t>
        </x:is>
      </x:c>
      <x:c r="H42" s="565" t="inlineStr">
        <x:is>
          <x:t xml:space="preserve">Del Monte Royalty Partners, LLC</x:t>
        </x:is>
      </x:c>
      <x:c r="I42" s="565" t="inlineStr">
        <x:is>
          <x:t xml:space="preserve">SW/4 NE/4 of 31-12N-24W aol</x:t>
        </x:is>
      </x:c>
      <x:c r="J42" s="565" t="inlineStr">
        <x:is>
          <x:t xml:space="preserve">Index row only reviewed. Mineral deed interest/net acres not stated in available index; full deed image required for exact fractional interest and reservation language.</x:t>
        </x:is>
      </x:c>
      <x:c r="K42" s="565" t="inlineStr">
        <x:is>
          <x:t xml:space="preserve">31-12N-24W_Roger_Mills_Cursory_Title_Report_(6-10-2026)_BEST_UPDATED.xlsx</x:t>
        </x:is>
      </x:c>
      <x:c r="L42" s="565" t="inlineStr">
        <x:is>
          <x:t xml:space="preserve">Runsheet</x:t>
        </x:is>
      </x:c>
      <x:c r="M42" s="565" t="inlineStr">
        <x:is>
          <x:t xml:space="preserve">https://okcountyrecords.com/detail/roger+mills/2025-002464/34027438</x:t>
        </x:is>
      </x:c>
      <x:c r="N42" s="565" t="inlineStr">
        <x:is>
          <x:t xml:space="preserve">OKCountyRecords index link; full image/release/probate review needed.</x:t>
        </x:is>
      </x:c>
      <x:c r="O42" s="565" t="inlineStr">
        <x:is>
          <x:t xml:space="preserve">https://okcountyrecords.com/detail/roger+mills/2025-002464/34027438</x:t>
        </x:is>
      </x:c>
      <x:c r="P42" s="541" t="inlineStr">
        <x:is>
          <x:t xml:space="preserve">Obtain certified deed image; verify source chain, reservations, warranty and net acres.</x:t>
        </x:is>
      </x:c>
      <x:c r="Q42" s="541" t="inlineStr">
        <x:is>
          <x:t xml:space="preserve">High</x:t>
        </x:is>
      </x:c>
      <x:c r="R42" s="541" t="inlineStr">
        <x:is>
          <x:t xml:space="preserve">Deed / Chain</x:t>
        </x:is>
      </x:c>
      <x:c r="S42" s="650" t="inlineStr">
        <x:is>
          <x:t xml:space="preserve">Not found in reviewed materials</x:t>
        </x:is>
      </x:c>
      <x:c r="T42" s="567" t="inlineStr">
        <x:is>
          <x:t xml:space="preserve">Effective / instrument date column</x:t>
        </x:is>
      </x:c>
      <x:c r="U42" s="650" t="n">
        <x:v>45771</x:v>
      </x:c>
      <x:c r="V42" s="567" t="inlineStr">
        <x:is>
          <x:t xml:space="preserve">31-12N-24W</x:t>
        </x:is>
      </x:c>
      <x:c r="W42" s="567" t="inlineStr">
        <x:is>
          <x:t xml:space="preserve">SW/4 NE/4</x:t>
        </x:is>
      </x:c>
      <x:c r="X42" s="567" t="inlineStr">
        <x:is>
          <x:t xml:space="preserve">Parsed from public/workbook legal text</x:t>
        </x:is>
      </x:c>
      <x:c r="Y42" s="568" t="inlineStr">
        <x:is>
          <x:t xml:space="preserve">Yes – verify against certified document image</x:t>
        </x:is>
      </x:c>
      <x:c r="Z42" s="568" t="inlineStr">
        <x:is>
          <x:t xml:space="preserve">Extracted from existing workbook/public OKCR text; not a certified legal description.</x:t>
        </x:is>
      </x:c>
    </x:row>
    <x:row r="43">
      <x:c r="A43" s="565" t="inlineStr">
        <x:is>
          <x:t xml:space="preserve">2025-002463</x:t>
        </x:is>
      </x:c>
      <x:c r="B43" s="565" t="inlineStr">
        <x:is>
          <x:t xml:space="preserve">Not found in reviewed materials</x:t>
        </x:is>
      </x:c>
      <x:c r="C43" s="565" t="inlineStr">
        <x:is>
          <x:t xml:space="preserve">Mineral Deed</x:t>
        </x:is>
      </x:c>
      <x:c r="D43" s="565" t="inlineStr">
        <x:is>
          <x:t xml:space="preserve">2625/0231</x:t>
        </x:is>
      </x:c>
      <x:c r="E43" s="565" t="inlineStr">
        <x:is>
          <x:t xml:space="preserve">Not found in reviewed materials</x:t>
        </x:is>
      </x:c>
      <x:c r="F43" s="565" t="inlineStr">
        <x:is>
          <x:t xml:space="preserve">2025-04-24 00:00:00</x:t>
        </x:is>
      </x:c>
      <x:c r="G43" s="565" t="inlineStr">
        <x:is>
          <x:t xml:space="preserve">EDR, LLC</x:t>
        </x:is>
      </x:c>
      <x:c r="H43" s="565" t="inlineStr">
        <x:is>
          <x:t xml:space="preserve">Okki Industries, LLC</x:t>
        </x:is>
      </x:c>
      <x:c r="I43" s="565" t="inlineStr">
        <x:is>
          <x:t xml:space="preserve">SW/4 NE/4 of 31-12N-24W aol</x:t>
        </x:is>
      </x:c>
      <x:c r="J43" s="565" t="inlineStr">
        <x:is>
          <x:t xml:space="preserve">Index row only reviewed. Mineral deed interest/net acres not stated in available index; full deed image required for exact fractional interest and reservation language.</x:t>
        </x:is>
      </x:c>
      <x:c r="K43" s="565" t="inlineStr">
        <x:is>
          <x:t xml:space="preserve">31-12N-24W_Roger_Mills_Cursory_Title_Report_(6-10-2026)_BEST_UPDATED.xlsx</x:t>
        </x:is>
      </x:c>
      <x:c r="L43" s="565" t="inlineStr">
        <x:is>
          <x:t xml:space="preserve">Runsheet</x:t>
        </x:is>
      </x:c>
      <x:c r="M43" s="565" t="inlineStr">
        <x:is>
          <x:t xml:space="preserve">https://okcountyrecords.com/detail/roger+mills/2025-002463/34027439</x:t>
        </x:is>
      </x:c>
      <x:c r="N43" s="565" t="inlineStr">
        <x:is>
          <x:t xml:space="preserve">OKCountyRecords index link; full image/release/probate review needed.</x:t>
        </x:is>
      </x:c>
      <x:c r="O43" s="565" t="inlineStr">
        <x:is>
          <x:t xml:space="preserve">https://okcountyrecords.com/detail/roger+mills/2025-002463/34027439</x:t>
        </x:is>
      </x:c>
      <x:c r="P43" s="541" t="inlineStr">
        <x:is>
          <x:t xml:space="preserve">Obtain certified deed image; verify source chain, reservations, warranty and net acres.</x:t>
        </x:is>
      </x:c>
      <x:c r="Q43" s="541" t="inlineStr">
        <x:is>
          <x:t xml:space="preserve">High</x:t>
        </x:is>
      </x:c>
      <x:c r="R43" s="541" t="inlineStr">
        <x:is>
          <x:t xml:space="preserve">Deed / Chain</x:t>
        </x:is>
      </x:c>
      <x:c r="S43" s="650" t="inlineStr">
        <x:is>
          <x:t xml:space="preserve">Not found in reviewed materials</x:t>
        </x:is>
      </x:c>
      <x:c r="T43" s="567" t="inlineStr">
        <x:is>
          <x:t xml:space="preserve">Effective / instrument date column</x:t>
        </x:is>
      </x:c>
      <x:c r="U43" s="650" t="n">
        <x:v>45771</x:v>
      </x:c>
      <x:c r="V43" s="567" t="inlineStr">
        <x:is>
          <x:t xml:space="preserve">31-12N-24W</x:t>
        </x:is>
      </x:c>
      <x:c r="W43" s="567" t="inlineStr">
        <x:is>
          <x:t xml:space="preserve">SW/4 NE/4</x:t>
        </x:is>
      </x:c>
      <x:c r="X43" s="567" t="inlineStr">
        <x:is>
          <x:t xml:space="preserve">Parsed from public/workbook legal text</x:t>
        </x:is>
      </x:c>
      <x:c r="Y43" s="568" t="inlineStr">
        <x:is>
          <x:t xml:space="preserve">Yes – verify against certified document image</x:t>
        </x:is>
      </x:c>
      <x:c r="Z43" s="568" t="inlineStr">
        <x:is>
          <x:t xml:space="preserve">Extracted from existing workbook/public OKCR text; not a certified legal description.</x:t>
        </x:is>
      </x:c>
    </x:row>
    <x:row r="44">
      <x:c r="A44" s="565" t="inlineStr">
        <x:is>
          <x:t xml:space="preserve">2024-007734</x:t>
        </x:is>
      </x:c>
      <x:c r="B44" s="565" t="inlineStr">
        <x:is>
          <x:t xml:space="preserve">Not found in reviewed materials</x:t>
        </x:is>
      </x:c>
      <x:c r="C44" s="565" t="inlineStr">
        <x:is>
          <x:t xml:space="preserve">Assignment</x:t>
        </x:is>
      </x:c>
      <x:c r="D44" s="565" t="inlineStr">
        <x:is>
          <x:t xml:space="preserve">2604/0111</x:t>
        </x:is>
      </x:c>
      <x:c r="E44" s="565" t="inlineStr">
        <x:is>
          <x:t xml:space="preserve">Not found in reviewed materials</x:t>
        </x:is>
      </x:c>
      <x:c r="F44" s="565" t="inlineStr">
        <x:is>
          <x:t xml:space="preserve">2024-12-16 00:00:00</x:t>
        </x:is>
      </x:c>
      <x:c r="G44" s="565" t="inlineStr">
        <x:is>
          <x:t xml:space="preserve">Christopher D. Greene, Trustee of The Gregg M. Satherlie and Chelin H. Satherlie 1989 Rev Trust</x:t>
        </x:is>
      </x:c>
      <x:c r="H44" s="565" t="inlineStr">
        <x:is>
          <x:t xml:space="preserve">Trison Holdings, LLC</x:t>
        </x:is>
      </x:c>
      <x:c r="I44" s="565" t="inlineStr">
        <x:is>
          <x:t xml:space="preserve">All of 31-12N-24W aol</x:t>
        </x:is>
      </x:c>
      <x:c r="J44" s="565" t="inlineStr">
        <x:is>
          <x:t xml:space="preserve">Index row only reviewed. Assignment terms/interest not fully stated in index; full assignment image required to confirm leases, depths, burdens, and retained interests.</x:t>
        </x:is>
      </x:c>
      <x:c r="K44" s="565" t="inlineStr">
        <x:is>
          <x:t xml:space="preserve">31-12N-24W_Roger_Mills_Cursory_Title_Report_(6-10-2026)_BEST_UPDATED.xlsx</x:t>
        </x:is>
      </x:c>
      <x:c r="L44" s="565" t="inlineStr">
        <x:is>
          <x:t xml:space="preserve">Runsheet</x:t>
        </x:is>
      </x:c>
      <x:c r="M44" s="565" t="inlineStr">
        <x:is>
          <x:t xml:space="preserve">https://okcountyrecords.com/detail/roger+mills/2024-007734/33733683</x:t>
        </x:is>
      </x:c>
      <x:c r="N44" s="565" t="inlineStr">
        <x:is>
          <x:t xml:space="preserve">OKCountyRecords index link; full image/release/probate review needed.</x:t>
        </x:is>
      </x:c>
      <x:c r="O44" s="565" t="inlineStr">
        <x:is>
          <x:t xml:space="preserve">https://okcountyrecords.com/detail/roger+mills/2024-007734/33733683</x:t>
        </x:is>
      </x:c>
      <x:c r="P44" s="541" t="inlineStr">
        <x:is>
          <x:t xml:space="preserve">Obtain assignment image/exhibits; verify chain continuity, assigned leases/depths and retained interests.</x:t>
        </x:is>
      </x:c>
      <x:c r="Q44" s="541" t="inlineStr">
        <x:is>
          <x:t xml:space="preserve">High</x:t>
        </x:is>
      </x:c>
      <x:c r="R44" s="541" t="inlineStr">
        <x:is>
          <x:t xml:space="preserve">Assignment</x:t>
        </x:is>
      </x:c>
      <x:c r="S44" s="650" t="inlineStr">
        <x:is>
          <x:t xml:space="preserve">Not found in reviewed materials</x:t>
        </x:is>
      </x:c>
      <x:c r="T44" s="567" t="inlineStr">
        <x:is>
          <x:t xml:space="preserve">Effective / instrument date column</x:t>
        </x:is>
      </x:c>
      <x:c r="U44" s="650" t="n">
        <x:v>45642</x:v>
      </x:c>
      <x:c r="V44" s="567" t="inlineStr">
        <x:is>
          <x:t xml:space="preserve">31-12N-24W</x:t>
        </x:is>
      </x:c>
      <x:c r="W44" s="567" t="inlineStr">
        <x:is>
          <x:t xml:space="preserve">All or unspecified part of Section 31; no quarter call stated in index text</x:t>
        </x:is>
      </x:c>
      <x:c r="X44" s="567" t="inlineStr">
        <x:is>
          <x:t xml:space="preserve">Section match only</x:t>
        </x:is>
      </x:c>
      <x:c r="Y44" s="568" t="inlineStr">
        <x:is>
          <x:t xml:space="preserve">Yes – quarter call missing or index-only</x:t>
        </x:is>
      </x:c>
      <x:c r="Z44" s="568" t="inlineStr">
        <x:is>
          <x:t xml:space="preserve">Extracted from existing workbook/public OKCR text; not a certified legal description.</x:t>
        </x:is>
      </x:c>
    </x:row>
    <x:row r="45">
      <x:c r="A45" s="565" t="inlineStr">
        <x:is>
          <x:t xml:space="preserve">2024-007338</x:t>
        </x:is>
      </x:c>
      <x:c r="B45" s="565" t="inlineStr">
        <x:is>
          <x:t xml:space="preserve">Not found in reviewed materials</x:t>
        </x:is>
      </x:c>
      <x:c r="C45" s="565" t="inlineStr">
        <x:is>
          <x:t xml:space="preserve">Mineral Deed</x:t>
        </x:is>
      </x:c>
      <x:c r="D45" s="565" t="inlineStr">
        <x:is>
          <x:t xml:space="preserve">2600/0472</x:t>
        </x:is>
      </x:c>
      <x:c r="E45" s="565" t="inlineStr">
        <x:is>
          <x:t xml:space="preserve">Not found in reviewed materials</x:t>
        </x:is>
      </x:c>
      <x:c r="F45" s="565" t="inlineStr">
        <x:is>
          <x:t xml:space="preserve">2024-11-25 00:00:00</x:t>
        </x:is>
      </x:c>
      <x:c r="G45" s="565" t="inlineStr">
        <x:is>
          <x:t xml:space="preserve">Carrie Leeann Mitchell</x:t>
        </x:is>
      </x:c>
      <x:c r="H45" s="565" t="inlineStr">
        <x:is>
          <x:t xml:space="preserve">James Gerard Buonaccorsi, Trustee of The Mitchell-Buonaccorsi Living Trust, Carrie Leeann Mitchell, Trustee of The Mitchell-Buonaccorsi Living Trust</x:t>
        </x:is>
      </x:c>
      <x:c r="I45" s="565" t="inlineStr">
        <x:is>
          <x:t xml:space="preserve">All of 31-12N-24W aol</x:t>
        </x:is>
      </x:c>
      <x:c r="J45" s="565" t="inlineStr">
        <x:is>
          <x:t xml:space="preserve">Index row only reviewed. Mineral deed interest/net acres not stated in available index; full deed image required for exact fractional interest and reservation language.</x:t>
        </x:is>
      </x:c>
      <x:c r="K45" s="565" t="inlineStr">
        <x:is>
          <x:t xml:space="preserve">31-12N-24W_Roger_Mills_Cursory_Title_Report_(6-10-2026)_BEST_UPDATED.xlsx</x:t>
        </x:is>
      </x:c>
      <x:c r="L45" s="565" t="inlineStr">
        <x:is>
          <x:t xml:space="preserve">Runsheet</x:t>
        </x:is>
      </x:c>
      <x:c r="M45" s="565" t="inlineStr">
        <x:is>
          <x:t xml:space="preserve">https://okcountyrecords.com/detail/roger+mills/2024-007338/32904065</x:t>
        </x:is>
      </x:c>
      <x:c r="N45" s="565" t="inlineStr">
        <x:is>
          <x:t xml:space="preserve">OKCountyRecords index link; full image/release/probate review needed.</x:t>
        </x:is>
      </x:c>
      <x:c r="O45" s="565" t="inlineStr">
        <x:is>
          <x:t xml:space="preserve">https://okcountyrecords.com/detail/roger+mills/2024-007338/32904065</x:t>
        </x:is>
      </x:c>
      <x:c r="P45" s="541" t="inlineStr">
        <x:is>
          <x:t xml:space="preserve">Obtain certified deed image; verify source chain, reservations, warranty and net acres.</x:t>
        </x:is>
      </x:c>
      <x:c r="Q45" s="541" t="inlineStr">
        <x:is>
          <x:t xml:space="preserve">High</x:t>
        </x:is>
      </x:c>
      <x:c r="R45" s="541" t="inlineStr">
        <x:is>
          <x:t xml:space="preserve">Deed / Chain</x:t>
        </x:is>
      </x:c>
      <x:c r="S45" s="650" t="inlineStr">
        <x:is>
          <x:t xml:space="preserve">Not found in reviewed materials</x:t>
        </x:is>
      </x:c>
      <x:c r="T45" s="567" t="inlineStr">
        <x:is>
          <x:t xml:space="preserve">Effective / instrument date column</x:t>
        </x:is>
      </x:c>
      <x:c r="U45" s="650" t="n">
        <x:v>45621</x:v>
      </x:c>
      <x:c r="V45" s="567" t="inlineStr">
        <x:is>
          <x:t xml:space="preserve">31-12N-24W</x:t>
        </x:is>
      </x:c>
      <x:c r="W45" s="567" t="inlineStr">
        <x:is>
          <x:t xml:space="preserve">All or unspecified part of Section 31; no quarter call stated in index text</x:t>
        </x:is>
      </x:c>
      <x:c r="X45" s="567" t="inlineStr">
        <x:is>
          <x:t xml:space="preserve">Section match only</x:t>
        </x:is>
      </x:c>
      <x:c r="Y45" s="568" t="inlineStr">
        <x:is>
          <x:t xml:space="preserve">Yes – quarter call missing or index-only</x:t>
        </x:is>
      </x:c>
      <x:c r="Z45" s="568" t="inlineStr">
        <x:is>
          <x:t xml:space="preserve">Extracted from existing workbook/public OKCR text; not a certified legal description.</x:t>
        </x:is>
      </x:c>
    </x:row>
    <x:row r="46">
      <x:c r="A46" s="565" t="n"/>
      <x:c r="B46" s="565" t="inlineStr">
        <x:is>
          <x:t xml:space="preserve">Not found in reviewed materials</x:t>
        </x:is>
      </x:c>
      <x:c r="C46" s="565" t="inlineStr">
        <x:is>
          <x:t xml:space="preserve">Change of Address</x:t>
        </x:is>
      </x:c>
      <x:c r="D46" s="565" t="inlineStr">
        <x:is>
          <x:t xml:space="preserve">2561/0142</x:t>
        </x:is>
      </x:c>
      <x:c r="E46" s="565" t="inlineStr">
        <x:is>
          <x:t xml:space="preserve">Not found in reviewed materials</x:t>
        </x:is>
      </x:c>
      <x:c r="F46" s="565" t="inlineStr">
        <x:is>
          <x:t xml:space="preserve">2024-03-14 00:00:00</x:t>
        </x:is>
      </x:c>
      <x:c r="G46" s="565" t="inlineStr">
        <x:is>
          <x:t xml:space="preserve">Paul R. Deutsch, Deborah A. Deutsch</x:t>
        </x:is>
      </x:c>
      <x:c r="H46" s="565" t="inlineStr">
        <x:is>
          <x:t xml:space="preserve">The Public</x:t>
        </x:is>
      </x:c>
      <x:c r="I46" s="565" t="inlineStr">
        <x:is>
          <x:t xml:space="preserve">SW/4 NE/4 of 31-12N-24W aol</x:t>
        </x:is>
      </x:c>
      <x:c r="J46" s="565" t="inlineStr">
        <x:is>
          <x:t xml:space="preserve">Index row only reviewed. Mortgage/release scope requires full image and collateral exhibit review to confirm whether Section 31-12N-24W is released or still encumbered.</x:t>
        </x:is>
      </x:c>
      <x:c r="K46" s="565" t="inlineStr">
        <x:is>
          <x:t xml:space="preserve">31-12N-24W_Roger_Mills_Cursory_Title_Report_(6-10-2026)_BEST_UPDATED.xlsx</x:t>
        </x:is>
      </x:c>
      <x:c r="L46" s="565" t="inlineStr">
        <x:is>
          <x:t xml:space="preserve">Runsheet</x:t>
        </x:is>
      </x:c>
      <x:c r="M46" s="565" t="inlineStr">
        <x:is>
          <x:t xml:space="preserve">https://okcountyrecords.com/detail/roger+mills/2024-001313/31623586</x:t>
        </x:is>
      </x:c>
      <x:c r="N46" s="565" t="inlineStr">
        <x:is>
          <x:t xml:space="preserve">OKCountyRecords index link; full image/release/probate review needed.</x:t>
        </x:is>
      </x:c>
      <x:c r="O46" s="565" t="inlineStr">
        <x:is>
          <x:t xml:space="preserve">https://okcountyrecords.com/detail/roger+mills/2024-001313/31623586</x:t>
        </x:is>
      </x:c>
      <x:c r="P46" s="541" t="n"/>
      <x:c r="Q46" s="541" t="n"/>
      <x:c r="R46" s="541" t="n"/>
      <x:c r="S46" s="650" t="inlineStr">
        <x:is>
          <x:t xml:space="preserve">Not found in reviewed materials</x:t>
        </x:is>
      </x:c>
      <x:c r="T46" s="567" t="inlineStr">
        <x:is>
          <x:t xml:space="preserve">Effective / instrument date column</x:t>
        </x:is>
      </x:c>
      <x:c r="U46" s="650" t="n">
        <x:v>45365</x:v>
      </x:c>
      <x:c r="V46" s="567" t="inlineStr">
        <x:is>
          <x:t xml:space="preserve">31-12N-24W</x:t>
        </x:is>
      </x:c>
      <x:c r="W46" s="567" t="inlineStr">
        <x:is>
          <x:t xml:space="preserve">SW/4 NE/4</x:t>
        </x:is>
      </x:c>
      <x:c r="X46" s="567" t="inlineStr">
        <x:is>
          <x:t xml:space="preserve">Parsed from public/workbook legal text</x:t>
        </x:is>
      </x:c>
      <x:c r="Y46" s="568" t="inlineStr">
        <x:is>
          <x:t xml:space="preserve">Yes – verify against certified document image</x:t>
        </x:is>
      </x:c>
      <x:c r="Z46" s="568" t="inlineStr">
        <x:is>
          <x:t xml:space="preserve">Extracted from existing workbook/public OKCR text; not a certified legal description.</x:t>
        </x:is>
      </x:c>
    </x:row>
    <x:row r="47">
      <x:c r="A47" s="565" t="n"/>
      <x:c r="B47" s="565" t="inlineStr">
        <x:is>
          <x:t xml:space="preserve">Not found in reviewed materials</x:t>
        </x:is>
      </x:c>
      <x:c r="C47" s="565" t="inlineStr">
        <x:is>
          <x:t xml:space="preserve">Mortgage</x:t>
        </x:is>
      </x:c>
      <x:c r="D47" s="565" t="inlineStr">
        <x:is>
          <x:t xml:space="preserve">2541/0100</x:t>
        </x:is>
      </x:c>
      <x:c r="E47" s="565" t="inlineStr">
        <x:is>
          <x:t xml:space="preserve">Not found in reviewed materials</x:t>
        </x:is>
      </x:c>
      <x:c r="F47" s="565" t="inlineStr">
        <x:is>
          <x:t xml:space="preserve">2023-11-06 00:00:00</x:t>
        </x:is>
      </x:c>
      <x:c r="G47" s="565" t="inlineStr">
        <x:is>
          <x:t xml:space="preserve">Matthew Lucas, Katie Lucas</x:t>
        </x:is>
      </x:c>
      <x:c r="H47" s="565" t="inlineStr">
        <x:is>
          <x:t xml:space="preserve">First National Bank &amp; Trust of Elk City</x:t>
        </x:is>
      </x:c>
      <x:c r="I47" s="565" t="inlineStr">
        <x:is>
          <x:t xml:space="preserve">SE/4 SW/4 Lot 4 Partial of 31-12N-24W</x:t>
        </x:is>
      </x:c>
      <x:c r="J47" s="565" t="inlineStr">
        <x:is>
          <x:t xml:space="preserve">Index row only reviewed. Mortgage/release scope requires full image and collateral exhibit review to confirm whether Section 31-12N-24W is released or still encumbered.</x:t>
        </x:is>
      </x:c>
      <x:c r="K47" s="565" t="inlineStr">
        <x:is>
          <x:t xml:space="preserve">31-12N-24W_Roger_Mills_Cursory_Title_Report_(6-10-2026)_BEST_UPDATED.xlsx</x:t>
        </x:is>
      </x:c>
      <x:c r="L47" s="565" t="inlineStr">
        <x:is>
          <x:t xml:space="preserve">Runsheet</x:t>
        </x:is>
      </x:c>
      <x:c r="M47" s="565" t="inlineStr">
        <x:is>
          <x:t xml:space="preserve">https://okcountyrecords.com/detail/roger+mills/2023-003436/29336584</x:t>
        </x:is>
      </x:c>
      <x:c r="N47" s="565" t="inlineStr">
        <x:is>
          <x:t xml:space="preserve">OKCountyRecords index link; full image/release/probate review needed.</x:t>
        </x:is>
      </x:c>
      <x:c r="O47" s="565" t="inlineStr">
        <x:is>
          <x:t xml:space="preserve">https://okcountyrecords.com/detail/roger+mills/2023-003436/29336584</x:t>
        </x:is>
      </x:c>
      <x:c r="P47" s="541" t="inlineStr">
        <x:is>
          <x:t xml:space="preserve">Obtain lien/release image/exhibits; match liens to releases and confirm target-section effect.</x:t>
        </x:is>
      </x:c>
      <x:c r="Q47" s="541" t="inlineStr">
        <x:is>
          <x:t xml:space="preserve">High</x:t>
        </x:is>
      </x:c>
      <x:c r="R47" s="541" t="inlineStr">
        <x:is>
          <x:t xml:space="preserve">Lien / Release</x:t>
        </x:is>
      </x:c>
      <x:c r="S47" s="650" t="inlineStr">
        <x:is>
          <x:t xml:space="preserve">Not found in reviewed materials</x:t>
        </x:is>
      </x:c>
      <x:c r="T47" s="567" t="inlineStr">
        <x:is>
          <x:t xml:space="preserve">Effective / instrument date column</x:t>
        </x:is>
      </x:c>
      <x:c r="U47" s="650" t="n">
        <x:v>45236</x:v>
      </x:c>
      <x:c r="V47" s="567" t="inlineStr">
        <x:is>
          <x:t xml:space="preserve">31-12N-24W</x:t>
        </x:is>
      </x:c>
      <x:c r="W47" s="567" t="inlineStr">
        <x:is>
          <x:t xml:space="preserve">LOT 4; SE/4 SW/4</x:t>
        </x:is>
      </x:c>
      <x:c r="X47" s="567" t="inlineStr">
        <x:is>
          <x:t xml:space="preserve">Parsed from public/workbook legal text</x:t>
        </x:is>
      </x:c>
      <x:c r="Y47" s="568" t="inlineStr">
        <x:is>
          <x:t xml:space="preserve">Yes – verify against certified document image</x:t>
        </x:is>
      </x:c>
      <x:c r="Z47" s="568" t="inlineStr">
        <x:is>
          <x:t xml:space="preserve">Extracted from existing workbook/public OKCR text; not a certified legal description.</x:t>
        </x:is>
      </x:c>
    </x:row>
    <x:row r="48">
      <x:c r="A48" s="565" t="n"/>
      <x:c r="B48" s="565" t="inlineStr">
        <x:is>
          <x:t xml:space="preserve">Not found in reviewed materials</x:t>
        </x:is>
      </x:c>
      <x:c r="C48" s="565" t="inlineStr">
        <x:is>
          <x:t xml:space="preserve">Release of Mortgage</x:t>
        </x:is>
      </x:c>
      <x:c r="D48" s="565" t="inlineStr">
        <x:is>
          <x:t xml:space="preserve">2511/0016</x:t>
        </x:is>
      </x:c>
      <x:c r="E48" s="565" t="inlineStr">
        <x:is>
          <x:t xml:space="preserve">Not found in reviewed materials</x:t>
        </x:is>
      </x:c>
      <x:c r="F48" s="565" t="inlineStr">
        <x:is>
          <x:t xml:space="preserve">2022-12-19 00:00:00</x:t>
        </x:is>
      </x:c>
      <x:c r="G48" s="565" t="inlineStr">
        <x:is>
          <x:t xml:space="preserve">Security State Bank</x:t>
        </x:is>
      </x:c>
      <x:c r="H48" s="565" t="inlineStr">
        <x:is>
          <x:t xml:space="preserve">William Bryant, Kathy Bryant</x:t>
        </x:is>
      </x:c>
      <x:c r="I48" s="565" t="inlineStr">
        <x:is>
          <x:t xml:space="preserve">Lot 1 Tract of 31-12N-24W</x:t>
        </x:is>
      </x:c>
      <x:c r="J48" s="565" t="inlineStr">
        <x:is>
          <x:t xml:space="preserve">Index row only reviewed. Mortgage/release scope requires full image and collateral exhibit review to confirm whether Section 31-12N-24W is released or still encumbered.</x:t>
        </x:is>
      </x:c>
      <x:c r="K48" s="565" t="inlineStr">
        <x:is>
          <x:t xml:space="preserve">31-12N-24W_Roger_Mills_Cursory_Title_Report_(6-10-2026)_BEST_UPDATED.xlsx</x:t>
        </x:is>
      </x:c>
      <x:c r="L48" s="565" t="inlineStr">
        <x:is>
          <x:t xml:space="preserve">Runsheet</x:t>
        </x:is>
      </x:c>
      <x:c r="M48" s="565" t="inlineStr">
        <x:is>
          <x:t xml:space="preserve">https://okcountyrecords.com/detail/roger+mills/2022-002667/28312455</x:t>
        </x:is>
      </x:c>
      <x:c r="N48" s="565" t="inlineStr">
        <x:is>
          <x:t xml:space="preserve">OKCountyRecords index link; full image/release/probate review needed.</x:t>
        </x:is>
      </x:c>
      <x:c r="O48" s="565" t="inlineStr">
        <x:is>
          <x:t xml:space="preserve">https://okcountyrecords.com/detail/roger+mills/2022-002667/28312455</x:t>
        </x:is>
      </x:c>
      <x:c r="P48" s="541" t="inlineStr">
        <x:is>
          <x:t xml:space="preserve">Obtain full lease image/certified copy; verify terms, acreage, royalty and lease status.</x:t>
        </x:is>
      </x:c>
      <x:c r="Q48" s="541" t="inlineStr">
        <x:is>
          <x:t xml:space="preserve">High</x:t>
        </x:is>
      </x:c>
      <x:c r="R48" s="541" t="inlineStr">
        <x:is>
          <x:t xml:space="preserve">Lease</x:t>
        </x:is>
      </x:c>
      <x:c r="S48" s="650" t="inlineStr">
        <x:is>
          <x:t xml:space="preserve">Not found in reviewed materials</x:t>
        </x:is>
      </x:c>
      <x:c r="T48" s="567" t="inlineStr">
        <x:is>
          <x:t xml:space="preserve">Effective / instrument date column</x:t>
        </x:is>
      </x:c>
      <x:c r="U48" s="650" t="n">
        <x:v>44914</x:v>
      </x:c>
      <x:c r="V48" s="567" t="inlineStr">
        <x:is>
          <x:t xml:space="preserve">31-12N-24W</x:t>
        </x:is>
      </x:c>
      <x:c r="W48" s="567" t="inlineStr">
        <x:is>
          <x:t xml:space="preserve">LOT 1</x:t>
        </x:is>
      </x:c>
      <x:c r="X48" s="567" t="inlineStr">
        <x:is>
          <x:t xml:space="preserve">Parsed from public/workbook legal text</x:t>
        </x:is>
      </x:c>
      <x:c r="Y48" s="568" t="inlineStr">
        <x:is>
          <x:t xml:space="preserve">Yes – verify against certified document image</x:t>
        </x:is>
      </x:c>
      <x:c r="Z48" s="568" t="inlineStr">
        <x:is>
          <x:t xml:space="preserve">Extracted from existing workbook/public OKCR text; not a certified legal description.</x:t>
        </x:is>
      </x:c>
    </x:row>
    <x:row r="49">
      <x:c r="A49" s="565" t="n"/>
      <x:c r="B49" s="565" t="inlineStr">
        <x:is>
          <x:t xml:space="preserve">Not found in reviewed materials</x:t>
        </x:is>
      </x:c>
      <x:c r="C49" s="565" t="inlineStr">
        <x:is>
          <x:t xml:space="preserve">Release of Mortgage</x:t>
        </x:is>
      </x:c>
      <x:c r="D49" s="565" t="inlineStr">
        <x:is>
          <x:t xml:space="preserve">2511/0018</x:t>
        </x:is>
      </x:c>
      <x:c r="E49" s="565" t="inlineStr">
        <x:is>
          <x:t xml:space="preserve">Not found in reviewed materials</x:t>
        </x:is>
      </x:c>
      <x:c r="F49" s="565" t="inlineStr">
        <x:is>
          <x:t xml:space="preserve">2022-12-19 00:00:00</x:t>
        </x:is>
      </x:c>
      <x:c r="G49" s="565" t="inlineStr">
        <x:is>
          <x:t xml:space="preserve">Security State Bank</x:t>
        </x:is>
      </x:c>
      <x:c r="H49" s="565" t="inlineStr">
        <x:is>
          <x:t xml:space="preserve">William Bryant, Kathy Bryant</x:t>
        </x:is>
      </x:c>
      <x:c r="I49" s="565" t="inlineStr">
        <x:is>
          <x:t xml:space="preserve">Lot 1 Tract of 31-12N-24W</x:t>
        </x:is>
      </x:c>
      <x:c r="J49" s="565" t="inlineStr">
        <x:is>
          <x:t xml:space="preserve">Index row only reviewed. Mortgage/release scope requires full image and collateral exhibit review to confirm whether Section 31-12N-24W is released or still encumbered.</x:t>
        </x:is>
      </x:c>
      <x:c r="K49" s="565" t="inlineStr">
        <x:is>
          <x:t xml:space="preserve">31-12N-24W_Roger_Mills_Cursory_Title_Report_(6-10-2026)_BEST_UPDATED.xlsx</x:t>
        </x:is>
      </x:c>
      <x:c r="L49" s="565" t="inlineStr">
        <x:is>
          <x:t xml:space="preserve">Runsheet</x:t>
        </x:is>
      </x:c>
      <x:c r="M49" s="565" t="inlineStr">
        <x:is>
          <x:t xml:space="preserve">https://okcountyrecords.com/detail/roger+mills/2022-002668/28312456</x:t>
        </x:is>
      </x:c>
      <x:c r="N49" s="565" t="inlineStr">
        <x:is>
          <x:t xml:space="preserve">OKCountyRecords index link; full image/release/probate review needed.</x:t>
        </x:is>
      </x:c>
      <x:c r="O49" s="565" t="inlineStr">
        <x:is>
          <x:t xml:space="preserve">https://okcountyrecords.com/detail/roger+mills/2022-002668/28312456</x:t>
        </x:is>
      </x:c>
      <x:c r="P49" s="541" t="inlineStr">
        <x:is>
          <x:t xml:space="preserve">Obtain full lease image/certified copy; verify terms, acreage, royalty and lease status.</x:t>
        </x:is>
      </x:c>
      <x:c r="Q49" s="541" t="inlineStr">
        <x:is>
          <x:t xml:space="preserve">High</x:t>
        </x:is>
      </x:c>
      <x:c r="R49" s="541" t="inlineStr">
        <x:is>
          <x:t xml:space="preserve">Lease</x:t>
        </x:is>
      </x:c>
      <x:c r="S49" s="650" t="inlineStr">
        <x:is>
          <x:t xml:space="preserve">Not found in reviewed materials</x:t>
        </x:is>
      </x:c>
      <x:c r="T49" s="567" t="inlineStr">
        <x:is>
          <x:t xml:space="preserve">Effective / instrument date column</x:t>
        </x:is>
      </x:c>
      <x:c r="U49" s="650" t="n">
        <x:v>44914</x:v>
      </x:c>
      <x:c r="V49" s="567" t="inlineStr">
        <x:is>
          <x:t xml:space="preserve">31-12N-24W</x:t>
        </x:is>
      </x:c>
      <x:c r="W49" s="567" t="inlineStr">
        <x:is>
          <x:t xml:space="preserve">LOT 1</x:t>
        </x:is>
      </x:c>
      <x:c r="X49" s="567" t="inlineStr">
        <x:is>
          <x:t xml:space="preserve">Parsed from public/workbook legal text</x:t>
        </x:is>
      </x:c>
      <x:c r="Y49" s="568" t="inlineStr">
        <x:is>
          <x:t xml:space="preserve">Yes – verify against certified document image</x:t>
        </x:is>
      </x:c>
      <x:c r="Z49" s="568" t="inlineStr">
        <x:is>
          <x:t xml:space="preserve">Extracted from existing workbook/public OKCR text; not a certified legal description.</x:t>
        </x:is>
      </x:c>
    </x:row>
    <x:row r="50">
      <x:c r="A50" s="565" t="n"/>
      <x:c r="B50" s="565" t="inlineStr">
        <x:is>
          <x:t xml:space="preserve">Not found in reviewed materials</x:t>
        </x:is>
      </x:c>
      <x:c r="C50" s="565" t="inlineStr">
        <x:is>
          <x:t xml:space="preserve">Mortgage</x:t>
        </x:is>
      </x:c>
      <x:c r="D50" s="565" t="inlineStr">
        <x:is>
          <x:t xml:space="preserve">2488/0370</x:t>
        </x:is>
      </x:c>
      <x:c r="E50" s="565" t="inlineStr">
        <x:is>
          <x:t xml:space="preserve">Not found in reviewed materials</x:t>
        </x:is>
      </x:c>
      <x:c r="F50" s="565" t="inlineStr">
        <x:is>
          <x:t xml:space="preserve">2022-03-01 00:00:00</x:t>
        </x:is>
      </x:c>
      <x:c r="G50" s="565" t="inlineStr">
        <x:is>
          <x:t xml:space="preserve">Matthew Lucas, Katie Lucas</x:t>
        </x:is>
      </x:c>
      <x:c r="H50" s="565" t="inlineStr">
        <x:is>
          <x:t xml:space="preserve">First National Bank</x:t>
        </x:is>
      </x:c>
      <x:c r="I50" s="565" t="inlineStr">
        <x:is>
          <x:t xml:space="preserve">SE/4 SW/4 Lot 4 of 31-12N-24W</x:t>
        </x:is>
      </x:c>
      <x:c r="J50" s="565" t="inlineStr">
        <x:is>
          <x:t xml:space="preserve">Index row only reviewed. Assignment/mortgage-related instrument terms not fully stated in index; full image required to confirm exact affected interests.</x:t>
        </x:is>
      </x:c>
      <x:c r="K50" s="565" t="inlineStr">
        <x:is>
          <x:t xml:space="preserve">31-12N-24W_Roger_Mills_Cursory_Title_Report_(6-10-2026)_BEST_UPDATED.xlsx</x:t>
        </x:is>
      </x:c>
      <x:c r="L50" s="565" t="inlineStr">
        <x:is>
          <x:t xml:space="preserve">Runsheet</x:t>
        </x:is>
      </x:c>
      <x:c r="M50" s="565" t="inlineStr">
        <x:is>
          <x:t xml:space="preserve">https://okcountyrecords.com/detail/roger+mills/2022-000416/27279297</x:t>
        </x:is>
      </x:c>
      <x:c r="N50" s="565" t="inlineStr">
        <x:is>
          <x:t xml:space="preserve">OKCountyRecords index link; full image/release/probate review needed.</x:t>
        </x:is>
      </x:c>
      <x:c r="O50" s="565" t="inlineStr">
        <x:is>
          <x:t xml:space="preserve">https://okcountyrecords.com/detail/roger+mills/2022-000416/27279297</x:t>
        </x:is>
      </x:c>
      <x:c r="P50" s="541" t="inlineStr">
        <x:is>
          <x:t xml:space="preserve">Obtain lien/release image/exhibits; match liens to releases and confirm target-section effect.</x:t>
        </x:is>
      </x:c>
      <x:c r="Q50" s="541" t="inlineStr">
        <x:is>
          <x:t xml:space="preserve">High</x:t>
        </x:is>
      </x:c>
      <x:c r="R50" s="541" t="inlineStr">
        <x:is>
          <x:t xml:space="preserve">Lien / Release</x:t>
        </x:is>
      </x:c>
      <x:c r="S50" s="650" t="inlineStr">
        <x:is>
          <x:t xml:space="preserve">Not found in reviewed materials</x:t>
        </x:is>
      </x:c>
      <x:c r="T50" s="567" t="inlineStr">
        <x:is>
          <x:t xml:space="preserve">Effective / instrument date column</x:t>
        </x:is>
      </x:c>
      <x:c r="U50" s="650" t="n">
        <x:v>44621</x:v>
      </x:c>
      <x:c r="V50" s="567" t="inlineStr">
        <x:is>
          <x:t xml:space="preserve">31-12N-24W</x:t>
        </x:is>
      </x:c>
      <x:c r="W50" s="567" t="inlineStr">
        <x:is>
          <x:t xml:space="preserve">LOT 4; SE/4 SW/4</x:t>
        </x:is>
      </x:c>
      <x:c r="X50" s="567" t="inlineStr">
        <x:is>
          <x:t xml:space="preserve">Parsed from public/workbook legal text</x:t>
        </x:is>
      </x:c>
      <x:c r="Y50" s="568" t="inlineStr">
        <x:is>
          <x:t xml:space="preserve">Yes – verify against certified document image</x:t>
        </x:is>
      </x:c>
      <x:c r="Z50" s="568" t="inlineStr">
        <x:is>
          <x:t xml:space="preserve">Extracted from existing workbook/public OKCR text; not a certified legal description.</x:t>
        </x:is>
      </x:c>
    </x:row>
    <x:row r="51">
      <x:c r="A51" s="565" t="n"/>
      <x:c r="B51" s="565" t="inlineStr">
        <x:is>
          <x:t xml:space="preserve">Not found in reviewed materials</x:t>
        </x:is>
      </x:c>
      <x:c r="C51" s="565" t="inlineStr">
        <x:is>
          <x:t xml:space="preserve">Release of Mortgage</x:t>
        </x:is>
      </x:c>
      <x:c r="D51" s="565" t="inlineStr">
        <x:is>
          <x:t xml:space="preserve">2488/0277</x:t>
        </x:is>
      </x:c>
      <x:c r="E51" s="565" t="inlineStr">
        <x:is>
          <x:t xml:space="preserve">Not found in reviewed materials</x:t>
        </x:is>
      </x:c>
      <x:c r="F51" s="565" t="inlineStr">
        <x:is>
          <x:t xml:space="preserve">2022-02-28 00:00:00</x:t>
        </x:is>
      </x:c>
      <x:c r="G51" s="565" t="inlineStr">
        <x:is>
          <x:t xml:space="preserve">Bank 7</x:t>
        </x:is>
      </x:c>
      <x:c r="H51" s="565" t="inlineStr">
        <x:is>
          <x:t xml:space="preserve">Cambria Energy, LLC</x:t>
        </x:is>
      </x:c>
      <x:c r="I51" s="565" t="inlineStr">
        <x:is>
          <x:t xml:space="preserve">A. of 31-12N-24W aol</x:t>
        </x:is>
      </x:c>
      <x:c r="J51" s="565" t="inlineStr">
        <x:is>
          <x:t xml:space="preserve">Index row only reviewed. Assignment/mortgage-related instrument terms not fully stated in index; full image required to confirm exact affected interests.</x:t>
        </x:is>
      </x:c>
      <x:c r="K51" s="565" t="inlineStr">
        <x:is>
          <x:t xml:space="preserve">31-12N-24W_Roger_Mills_Cursory_Title_Report_(6-10-2026)_BEST_UPDATED.xlsx</x:t>
        </x:is>
      </x:c>
      <x:c r="L51" s="565" t="inlineStr">
        <x:is>
          <x:t xml:space="preserve">Runsheet</x:t>
        </x:is>
      </x:c>
      <x:c r="M51" s="565" t="inlineStr">
        <x:is>
          <x:t xml:space="preserve">https://okcountyrecords.com/detail/roger+mills/2022-000389/27275589</x:t>
        </x:is>
      </x:c>
      <x:c r="N51" s="565" t="inlineStr">
        <x:is>
          <x:t xml:space="preserve">OKCountyRecords index link; full image/release/probate review needed.</x:t>
        </x:is>
      </x:c>
      <x:c r="O51" s="565" t="inlineStr">
        <x:is>
          <x:t xml:space="preserve">https://okcountyrecords.com/detail/roger+mills/2022-000389/27275589</x:t>
        </x:is>
      </x:c>
      <x:c r="P51" s="541" t="inlineStr">
        <x:is>
          <x:t xml:space="preserve">Obtain full lease image/certified copy; verify terms, acreage, royalty and lease status.</x:t>
        </x:is>
      </x:c>
      <x:c r="Q51" s="541" t="inlineStr">
        <x:is>
          <x:t xml:space="preserve">High</x:t>
        </x:is>
      </x:c>
      <x:c r="R51" s="541" t="inlineStr">
        <x:is>
          <x:t xml:space="preserve">Lease</x:t>
        </x:is>
      </x:c>
      <x:c r="S51" s="650" t="inlineStr">
        <x:is>
          <x:t xml:space="preserve">Not found in reviewed materials</x:t>
        </x:is>
      </x:c>
      <x:c r="T51" s="567" t="inlineStr">
        <x:is>
          <x:t xml:space="preserve">Effective / instrument date column</x:t>
        </x:is>
      </x:c>
      <x:c r="U51" s="650" t="n">
        <x:v>44620</x:v>
      </x:c>
      <x:c r="V51" s="567" t="inlineStr">
        <x:is>
          <x:t xml:space="preserve">31-12N-24W</x:t>
        </x:is>
      </x:c>
      <x:c r="W51" s="567" t="inlineStr">
        <x:is>
          <x:t xml:space="preserve">All or unspecified part of Section 31; no quarter call stated in index text</x:t>
        </x:is>
      </x:c>
      <x:c r="X51" s="567" t="inlineStr">
        <x:is>
          <x:t xml:space="preserve">Section match only</x:t>
        </x:is>
      </x:c>
      <x:c r="Y51" s="568" t="inlineStr">
        <x:is>
          <x:t xml:space="preserve">Yes – quarter call missing or index-only</x:t>
        </x:is>
      </x:c>
      <x:c r="Z51" s="568" t="inlineStr">
        <x:is>
          <x:t xml:space="preserve">Extracted from existing workbook/public OKCR text; not a certified legal description.</x:t>
        </x:is>
      </x:c>
    </x:row>
    <x:row r="52">
      <x:c r="A52" s="565" t="inlineStr">
        <x:is>
          <x:t xml:space="preserve">2021-001774</x:t>
        </x:is>
      </x:c>
      <x:c r="B52" s="565" t="inlineStr">
        <x:is>
          <x:t xml:space="preserve">Not found in reviewed materials</x:t>
        </x:is>
      </x:c>
      <x:c r="C52" s="565" t="inlineStr">
        <x:is>
          <x:t xml:space="preserve">Mineral Deed</x:t>
        </x:is>
      </x:c>
      <x:c r="D52" s="565" t="inlineStr">
        <x:is>
          <x:t xml:space="preserve">2481/0287</x:t>
        </x:is>
      </x:c>
      <x:c r="E52" s="565" t="inlineStr">
        <x:is>
          <x:t xml:space="preserve">Not found in reviewed materials</x:t>
        </x:is>
      </x:c>
      <x:c r="F52" s="565" t="inlineStr">
        <x:is>
          <x:t xml:space="preserve">2021-10-22 00:00:00</x:t>
        </x:is>
      </x:c>
      <x:c r="G52" s="565" t="inlineStr">
        <x:is>
          <x:t xml:space="preserve">Greystone Energy &amp; Minerals</x:t>
        </x:is>
      </x:c>
      <x:c r="H52" s="565" t="inlineStr">
        <x:is>
          <x:t xml:space="preserve">Cardinal Land Company, LLC, EDR, LLC</x:t>
        </x:is>
      </x:c>
      <x:c r="I52" s="565" t="inlineStr">
        <x:is>
          <x:t xml:space="preserve">SW/4 NE/4 of 31-12N-24W aol</x:t>
        </x:is>
      </x:c>
      <x:c r="J52" s="565" t="inlineStr">
        <x:is>
          <x:t xml:space="preserve">Index row only reviewed. Mineral deed interest/net acres not stated in available index; full deed image required for exact fractional interest and reservation language.</x:t>
        </x:is>
      </x:c>
      <x:c r="K52" s="565" t="inlineStr">
        <x:is>
          <x:t xml:space="preserve">31-12N-24W_Roger_Mills_Cursory_Title_Report_(6-10-2026)_BEST_UPDATED.xlsx</x:t>
        </x:is>
      </x:c>
      <x:c r="L52" s="565" t="inlineStr">
        <x:is>
          <x:t xml:space="preserve">Runsheet</x:t>
        </x:is>
      </x:c>
      <x:c r="M52" s="565" t="inlineStr">
        <x:is>
          <x:t xml:space="preserve">https://okcountyrecords.com/detail/roger+mills/2021-001774/26955795</x:t>
        </x:is>
      </x:c>
      <x:c r="N52" s="565" t="inlineStr">
        <x:is>
          <x:t xml:space="preserve">OKCountyRecords index link; full image/release/probate review needed.</x:t>
        </x:is>
      </x:c>
      <x:c r="O52" s="565" t="inlineStr">
        <x:is>
          <x:t xml:space="preserve">https://okcountyrecords.com/detail/roger+mills/2021-001774/26955795</x:t>
        </x:is>
      </x:c>
      <x:c r="P52" s="541" t="inlineStr">
        <x:is>
          <x:t xml:space="preserve">Obtain certified deed image; verify source chain, reservations, warranty and net acres.</x:t>
        </x:is>
      </x:c>
      <x:c r="Q52" s="541" t="inlineStr">
        <x:is>
          <x:t xml:space="preserve">High</x:t>
        </x:is>
      </x:c>
      <x:c r="R52" s="541" t="inlineStr">
        <x:is>
          <x:t xml:space="preserve">Deed / Chain</x:t>
        </x:is>
      </x:c>
      <x:c r="S52" s="650" t="inlineStr">
        <x:is>
          <x:t xml:space="preserve">Not found in reviewed materials</x:t>
        </x:is>
      </x:c>
      <x:c r="T52" s="567" t="inlineStr">
        <x:is>
          <x:t xml:space="preserve">Effective / instrument date column</x:t>
        </x:is>
      </x:c>
      <x:c r="U52" s="650" t="n">
        <x:v>44491</x:v>
      </x:c>
      <x:c r="V52" s="567" t="inlineStr">
        <x:is>
          <x:t xml:space="preserve">31-12N-24W</x:t>
        </x:is>
      </x:c>
      <x:c r="W52" s="567" t="inlineStr">
        <x:is>
          <x:t xml:space="preserve">SW/4 NE/4</x:t>
        </x:is>
      </x:c>
      <x:c r="X52" s="567" t="inlineStr">
        <x:is>
          <x:t xml:space="preserve">Parsed from public/workbook legal text</x:t>
        </x:is>
      </x:c>
      <x:c r="Y52" s="568" t="inlineStr">
        <x:is>
          <x:t xml:space="preserve">Yes – verify against certified document image</x:t>
        </x:is>
      </x:c>
      <x:c r="Z52" s="568" t="inlineStr">
        <x:is>
          <x:t xml:space="preserve">Extracted from existing workbook/public OKCR text; not a certified legal description.</x:t>
        </x:is>
      </x:c>
    </x:row>
    <x:row r="53">
      <x:c r="A53" s="565" t="n"/>
      <x:c r="B53" s="565" t="inlineStr">
        <x:is>
          <x:t xml:space="preserve">Not found in reviewed materials</x:t>
        </x:is>
      </x:c>
      <x:c r="C53" s="565" t="inlineStr">
        <x:is>
          <x:t xml:space="preserve">Release of Mortgage</x:t>
        </x:is>
      </x:c>
      <x:c r="D53" s="565" t="inlineStr">
        <x:is>
          <x:t xml:space="preserve">2473/0318</x:t>
        </x:is>
      </x:c>
      <x:c r="E53" s="565" t="inlineStr">
        <x:is>
          <x:t xml:space="preserve">Not found in reviewed materials</x:t>
        </x:is>
      </x:c>
      <x:c r="F53" s="565" t="inlineStr">
        <x:is>
          <x:t xml:space="preserve">2021-09-16 00:00:00</x:t>
        </x:is>
      </x:c>
      <x:c r="G53" s="565" t="inlineStr">
        <x:is>
          <x:t xml:space="preserve">Bank 7</x:t>
        </x:is>
      </x:c>
      <x:c r="H53" s="565" t="inlineStr">
        <x:is>
          <x:t xml:space="preserve">Greystone Energy &amp; Minerals</x:t>
        </x:is>
      </x:c>
      <x:c r="I53" s="565" t="inlineStr">
        <x:is>
          <x:t xml:space="preserve">SW/4 NE/4 of 31-12N-24W aol</x:t>
        </x:is>
      </x:c>
      <x:c r="J53" s="565" t="inlineStr">
        <x:is>
          <x:t xml:space="preserve">Index row only reviewed. Mortgage/release scope requires full image and collateral exhibit review to confirm whether Section 31-12N-24W is released or still encumbered.</x:t>
        </x:is>
      </x:c>
      <x:c r="K53" s="565" t="inlineStr">
        <x:is>
          <x:t xml:space="preserve">31-12N-24W_Roger_Mills_Cursory_Title_Report_(6-10-2026)_BEST_UPDATED.xlsx</x:t>
        </x:is>
      </x:c>
      <x:c r="L53" s="565" t="inlineStr">
        <x:is>
          <x:t xml:space="preserve">Runsheet</x:t>
        </x:is>
      </x:c>
      <x:c r="M53" s="565" t="inlineStr">
        <x:is>
          <x:t xml:space="preserve">https://okcountyrecords.com/detail/roger+mills/2021-001518/26899109</x:t>
        </x:is>
      </x:c>
      <x:c r="N53" s="565" t="inlineStr">
        <x:is>
          <x:t xml:space="preserve">OKCountyRecords index link; full image/release/probate review needed.</x:t>
        </x:is>
      </x:c>
      <x:c r="O53" s="565" t="inlineStr">
        <x:is>
          <x:t xml:space="preserve">https://okcountyrecords.com/detail/roger+mills/2021-001518/26899109</x:t>
        </x:is>
      </x:c>
      <x:c r="P53" s="541" t="inlineStr">
        <x:is>
          <x:t xml:space="preserve">Obtain full lease image/certified copy; verify terms, acreage, royalty and lease status.</x:t>
        </x:is>
      </x:c>
      <x:c r="Q53" s="541" t="inlineStr">
        <x:is>
          <x:t xml:space="preserve">High</x:t>
        </x:is>
      </x:c>
      <x:c r="R53" s="541" t="inlineStr">
        <x:is>
          <x:t xml:space="preserve">Lease</x:t>
        </x:is>
      </x:c>
      <x:c r="S53" s="650" t="inlineStr">
        <x:is>
          <x:t xml:space="preserve">Not found in reviewed materials</x:t>
        </x:is>
      </x:c>
      <x:c r="T53" s="567" t="inlineStr">
        <x:is>
          <x:t xml:space="preserve">Effective / instrument date column</x:t>
        </x:is>
      </x:c>
      <x:c r="U53" s="650" t="n">
        <x:v>44455</x:v>
      </x:c>
      <x:c r="V53" s="567" t="inlineStr">
        <x:is>
          <x:t xml:space="preserve">31-12N-24W</x:t>
        </x:is>
      </x:c>
      <x:c r="W53" s="567" t="inlineStr">
        <x:is>
          <x:t xml:space="preserve">SW/4 NE/4</x:t>
        </x:is>
      </x:c>
      <x:c r="X53" s="567" t="inlineStr">
        <x:is>
          <x:t xml:space="preserve">Parsed from public/workbook legal text</x:t>
        </x:is>
      </x:c>
      <x:c r="Y53" s="568" t="inlineStr">
        <x:is>
          <x:t xml:space="preserve">Yes – verify against certified document image</x:t>
        </x:is>
      </x:c>
      <x:c r="Z53" s="568" t="inlineStr">
        <x:is>
          <x:t xml:space="preserve">Extracted from existing workbook/public OKCR text; not a certified legal description.</x:t>
        </x:is>
      </x:c>
    </x:row>
    <x:row r="54">
      <x:c r="A54" s="565" t="inlineStr">
        <x:is>
          <x:t xml:space="preserve">2020-001954</x:t>
        </x:is>
      </x:c>
      <x:c r="B54" s="565" t="inlineStr">
        <x:is>
          <x:t xml:space="preserve">Not found in reviewed materials</x:t>
        </x:is>
      </x:c>
      <x:c r="C54" s="565" t="inlineStr">
        <x:is>
          <x:t xml:space="preserve">Assignment</x:t>
        </x:is>
      </x:c>
      <x:c r="D54" s="565" t="inlineStr">
        <x:is>
          <x:t xml:space="preserve">2455/0446</x:t>
        </x:is>
      </x:c>
      <x:c r="E54" s="565" t="inlineStr">
        <x:is>
          <x:t xml:space="preserve">Not found in reviewed materials</x:t>
        </x:is>
      </x:c>
      <x:c r="F54" s="565" t="inlineStr">
        <x:is>
          <x:t xml:space="preserve">2020-12-10 00:00:00</x:t>
        </x:is>
      </x:c>
      <x:c r="G54" s="565" t="inlineStr">
        <x:is>
          <x:t xml:space="preserve">Hani Tabally</x:t>
        </x:is>
      </x:c>
      <x:c r="H54" s="565" t="inlineStr">
        <x:is>
          <x:t xml:space="preserve">Santos J. Dominguez</x:t>
        </x:is>
      </x:c>
      <x:c r="I54" s="565" t="inlineStr">
        <x:is>
          <x:t xml:space="preserve">Lalexander of 31-12N-24W</x:t>
        </x:is>
      </x:c>
      <x:c r="J54" s="565" t="inlineStr">
        <x:is>
          <x:t xml:space="preserve">Index row only reviewed. Assignment terms/interest not fully stated in index; full assignment image required to confirm leases, depths, burdens, and retained interests.</x:t>
        </x:is>
      </x:c>
      <x:c r="K54" s="565" t="inlineStr">
        <x:is>
          <x:t xml:space="preserve">31-12N-24W_Roger_Mills_Cursory_Title_Report_(6-10-2026)_BEST_UPDATED.xlsx</x:t>
        </x:is>
      </x:c>
      <x:c r="L54" s="565" t="inlineStr">
        <x:is>
          <x:t xml:space="preserve">Runsheet</x:t>
        </x:is>
      </x:c>
      <x:c r="M54" s="565" t="inlineStr">
        <x:is>
          <x:t xml:space="preserve">https://okcountyrecords.com/detail/roger+mills/2020-001954/26392975</x:t>
        </x:is>
      </x:c>
      <x:c r="N54" s="565" t="inlineStr">
        <x:is>
          <x:t xml:space="preserve">OKCountyRecords index link; full image/release/probate review needed.</x:t>
        </x:is>
      </x:c>
      <x:c r="O54" s="565" t="inlineStr">
        <x:is>
          <x:t xml:space="preserve">https://okcountyrecords.com/detail/roger+mills/2020-001954/26392975</x:t>
        </x:is>
      </x:c>
      <x:c r="P54" s="541" t="inlineStr">
        <x:is>
          <x:t xml:space="preserve">Obtain assignment image/exhibits; verify chain continuity, assigned leases/depths and retained interests.</x:t>
        </x:is>
      </x:c>
      <x:c r="Q54" s="541" t="inlineStr">
        <x:is>
          <x:t xml:space="preserve">High</x:t>
        </x:is>
      </x:c>
      <x:c r="R54" s="541" t="inlineStr">
        <x:is>
          <x:t xml:space="preserve">Assignment</x:t>
        </x:is>
      </x:c>
      <x:c r="S54" s="650" t="inlineStr">
        <x:is>
          <x:t xml:space="preserve">Not found in reviewed materials</x:t>
        </x:is>
      </x:c>
      <x:c r="T54" s="567" t="inlineStr">
        <x:is>
          <x:t xml:space="preserve">Effective / instrument date column</x:t>
        </x:is>
      </x:c>
      <x:c r="U54" s="650" t="n">
        <x:v>44175</x:v>
      </x:c>
      <x:c r="V54" s="567" t="inlineStr">
        <x:is>
          <x:t xml:space="preserve">31-12N-24W</x:t>
        </x:is>
      </x:c>
      <x:c r="W54" s="567" t="inlineStr">
        <x:is>
          <x:t xml:space="preserve">All or unspecified part of Section 31; no quarter call stated in index text</x:t>
        </x:is>
      </x:c>
      <x:c r="X54" s="567" t="inlineStr">
        <x:is>
          <x:t xml:space="preserve">Section match only</x:t>
        </x:is>
      </x:c>
      <x:c r="Y54" s="568" t="inlineStr">
        <x:is>
          <x:t xml:space="preserve">Yes – quarter call missing or index-only</x:t>
        </x:is>
      </x:c>
      <x:c r="Z54" s="568" t="inlineStr">
        <x:is>
          <x:t xml:space="preserve">Extracted from existing workbook/public OKCR text; not a certified legal description.</x:t>
        </x:is>
      </x:c>
    </x:row>
    <x:row r="55">
      <x:c r="A55" s="565" t="inlineStr">
        <x:is>
          <x:t xml:space="preserve">2019-001855</x:t>
        </x:is>
      </x:c>
      <x:c r="B55" s="565" t="inlineStr">
        <x:is>
          <x:t xml:space="preserve">Not found in reviewed materials</x:t>
        </x:is>
      </x:c>
      <x:c r="C55" s="565" t="inlineStr">
        <x:is>
          <x:t xml:space="preserve">Mineral Deed</x:t>
        </x:is>
      </x:c>
      <x:c r="D55" s="565" t="inlineStr">
        <x:is>
          <x:t xml:space="preserve">2426/0154</x:t>
        </x:is>
      </x:c>
      <x:c r="E55" s="565" t="inlineStr">
        <x:is>
          <x:t xml:space="preserve">Not found in reviewed materials</x:t>
        </x:is>
      </x:c>
      <x:c r="F55" s="565" t="inlineStr">
        <x:is>
          <x:t xml:space="preserve">2019-09-03 00:00:00</x:t>
        </x:is>
      </x:c>
      <x:c r="G55" s="565" t="inlineStr">
        <x:is>
          <x:t xml:space="preserve">Colt Development, Roca Development</x:t>
        </x:is>
      </x:c>
      <x:c r="H55" s="565" t="inlineStr">
        <x:is>
          <x:t xml:space="preserve">Dustin Deal, LLC</x:t>
        </x:is>
      </x:c>
      <x:c r="I55" s="565" t="inlineStr">
        <x:is>
          <x:t xml:space="preserve">E/2 NW/4 of 31-12N-24W</x:t>
        </x:is>
      </x:c>
      <x:c r="J55" s="565" t="inlineStr">
        <x:is>
          <x:t xml:space="preserve">Index row only reviewed. Mineral deed interest/net acres not stated in available index; full deed image required for exact fractional interest and reservation language.</x:t>
        </x:is>
      </x:c>
      <x:c r="K55" s="565" t="inlineStr">
        <x:is>
          <x:t xml:space="preserve">31-12N-24W_Roger_Mills_Cursory_Title_Report_(6-10-2026)_BEST_UPDATED.xlsx</x:t>
        </x:is>
      </x:c>
      <x:c r="L55" s="565" t="inlineStr">
        <x:is>
          <x:t xml:space="preserve">Runsheet</x:t>
        </x:is>
      </x:c>
      <x:c r="M55" s="565" t="inlineStr">
        <x:is>
          <x:t xml:space="preserve">https://okcountyrecords.com/detail/roger+mills/2019-001855/22296278</x:t>
        </x:is>
      </x:c>
      <x:c r="N55" s="565" t="inlineStr">
        <x:is>
          <x:t xml:space="preserve">OKCountyRecords index link; full image/release/probate review needed.</x:t>
        </x:is>
      </x:c>
      <x:c r="O55" s="565" t="inlineStr">
        <x:is>
          <x:t xml:space="preserve">https://okcountyrecords.com/detail/roger+mills/2019-001855/22296278</x:t>
        </x:is>
      </x:c>
      <x:c r="P55" s="541" t="inlineStr">
        <x:is>
          <x:t xml:space="preserve">Obtain certified deed image; verify source chain, reservations, warranty and net acres.</x:t>
        </x:is>
      </x:c>
      <x:c r="Q55" s="541" t="inlineStr">
        <x:is>
          <x:t xml:space="preserve">High</x:t>
        </x:is>
      </x:c>
      <x:c r="R55" s="541" t="inlineStr">
        <x:is>
          <x:t xml:space="preserve">Deed / Chain</x:t>
        </x:is>
      </x:c>
      <x:c r="S55" s="650" t="inlineStr">
        <x:is>
          <x:t xml:space="preserve">Not found in reviewed materials</x:t>
        </x:is>
      </x:c>
      <x:c r="T55" s="567" t="inlineStr">
        <x:is>
          <x:t xml:space="preserve">Effective / instrument date column</x:t>
        </x:is>
      </x:c>
      <x:c r="U55" s="650" t="n">
        <x:v>43711</x:v>
      </x:c>
      <x:c r="V55" s="567" t="inlineStr">
        <x:is>
          <x:t xml:space="preserve">31-12N-24W</x:t>
        </x:is>
      </x:c>
      <x:c r="W55" s="567" t="inlineStr">
        <x:is>
          <x:t xml:space="preserve">E/2 NW/4</x:t>
        </x:is>
      </x:c>
      <x:c r="X55" s="567" t="inlineStr">
        <x:is>
          <x:t xml:space="preserve">Parsed from public/workbook legal text</x:t>
        </x:is>
      </x:c>
      <x:c r="Y55" s="568" t="inlineStr">
        <x:is>
          <x:t xml:space="preserve">Yes – verify against certified document image</x:t>
        </x:is>
      </x:c>
      <x:c r="Z55" s="568" t="inlineStr">
        <x:is>
          <x:t xml:space="preserve">Extracted from existing workbook/public OKCR text; not a certified legal description.</x:t>
        </x:is>
      </x:c>
    </x:row>
    <x:row r="56">
      <x:c r="A56" s="565" t="n"/>
      <x:c r="B56" s="565" t="inlineStr">
        <x:is>
          <x:t xml:space="preserve">Not found in reviewed materials</x:t>
        </x:is>
      </x:c>
      <x:c r="C56" s="565" t="inlineStr">
        <x:is>
          <x:t xml:space="preserve">Release of Mortgage</x:t>
        </x:is>
      </x:c>
      <x:c r="D56" s="565" t="inlineStr">
        <x:is>
          <x:t xml:space="preserve">2414/0468</x:t>
        </x:is>
      </x:c>
      <x:c r="E56" s="565" t="inlineStr">
        <x:is>
          <x:t xml:space="preserve">Not found in reviewed materials</x:t>
        </x:is>
      </x:c>
      <x:c r="F56" s="565" t="inlineStr">
        <x:is>
          <x:t xml:space="preserve">2019-02-25 00:00:00</x:t>
        </x:is>
      </x:c>
      <x:c r="G56" s="565" t="inlineStr">
        <x:is>
          <x:t xml:space="preserve">Interbank</x:t>
        </x:is>
      </x:c>
      <x:c r="H56" s="565" t="inlineStr">
        <x:is>
          <x:t xml:space="preserve">Monte E. Tucker, Danielle D. Tucker</x:t>
        </x:is>
      </x:c>
      <x:c r="I56" s="565" t="inlineStr">
        <x:is>
          <x:t xml:space="preserve">N/2 NE/4 of 31-12N-24W aol</x:t>
        </x:is>
      </x:c>
      <x:c r="J56" s="565" t="inlineStr">
        <x:is>
          <x:t xml:space="preserve">Index row only reviewed. Full financing statement/collateral exhibit not accessible; exact collateral and UCC status require verification.</x:t>
        </x:is>
      </x:c>
      <x:c r="K56" s="565" t="inlineStr">
        <x:is>
          <x:t xml:space="preserve">31-12N-24W_Roger_Mills_Cursory_Title_Report_(6-10-2026)_BEST_UPDATED.xlsx</x:t>
        </x:is>
      </x:c>
      <x:c r="L56" s="565" t="inlineStr">
        <x:is>
          <x:t xml:space="preserve">Runsheet</x:t>
        </x:is>
      </x:c>
      <x:c r="M56" s="565" t="inlineStr">
        <x:is>
          <x:t xml:space="preserve">https://okcountyrecords.com/detail/roger+mills/2019-000432/21691645</x:t>
        </x:is>
      </x:c>
      <x:c r="N56" s="565" t="inlineStr">
        <x:is>
          <x:t xml:space="preserve">OKCountyRecords index link; full image/release/probate review needed.</x:t>
        </x:is>
      </x:c>
      <x:c r="O56" s="565" t="inlineStr">
        <x:is>
          <x:t xml:space="preserve">https://okcountyrecords.com/detail/roger+mills/2019-000432/21691645</x:t>
        </x:is>
      </x:c>
      <x:c r="P56" s="541" t="inlineStr">
        <x:is>
          <x:t xml:space="preserve">Obtain full lease image/certified copy; verify terms, acreage, royalty and lease status.</x:t>
        </x:is>
      </x:c>
      <x:c r="Q56" s="541" t="inlineStr">
        <x:is>
          <x:t xml:space="preserve">High</x:t>
        </x:is>
      </x:c>
      <x:c r="R56" s="541" t="inlineStr">
        <x:is>
          <x:t xml:space="preserve">Lease</x:t>
        </x:is>
      </x:c>
      <x:c r="S56" s="650" t="inlineStr">
        <x:is>
          <x:t xml:space="preserve">Not found in reviewed materials</x:t>
        </x:is>
      </x:c>
      <x:c r="T56" s="567" t="inlineStr">
        <x:is>
          <x:t xml:space="preserve">Effective / instrument date column</x:t>
        </x:is>
      </x:c>
      <x:c r="U56" s="650" t="n">
        <x:v>43521</x:v>
      </x:c>
      <x:c r="V56" s="567" t="inlineStr">
        <x:is>
          <x:t xml:space="preserve">31-12N-24W</x:t>
        </x:is>
      </x:c>
      <x:c r="W56" s="567" t="inlineStr">
        <x:is>
          <x:t xml:space="preserve">N/2 NE/4</x:t>
        </x:is>
      </x:c>
      <x:c r="X56" s="567" t="inlineStr">
        <x:is>
          <x:t xml:space="preserve">Parsed from public/workbook legal text</x:t>
        </x:is>
      </x:c>
      <x:c r="Y56" s="568" t="inlineStr">
        <x:is>
          <x:t xml:space="preserve">Yes – verify against certified document image</x:t>
        </x:is>
      </x:c>
      <x:c r="Z56" s="568" t="inlineStr">
        <x:is>
          <x:t xml:space="preserve">Extracted from existing workbook/public OKCR text; not a certified legal description.</x:t>
        </x:is>
      </x:c>
    </x:row>
    <x:row r="57">
      <x:c r="A57" s="565" t="inlineStr">
        <x:is>
          <x:t xml:space="preserve">2018-002650</x:t>
        </x:is>
      </x:c>
      <x:c r="B57" s="565" t="inlineStr">
        <x:is>
          <x:t xml:space="preserve">Not found in reviewed materials</x:t>
        </x:is>
      </x:c>
      <x:c r="C57" s="565" t="inlineStr">
        <x:is>
          <x:t xml:space="preserve">Quit Claim Mineral Deed</x:t>
        </x:is>
      </x:c>
      <x:c r="D57" s="565" t="inlineStr">
        <x:is>
          <x:t xml:space="preserve">2406/0228</x:t>
        </x:is>
      </x:c>
      <x:c r="E57" s="565" t="inlineStr">
        <x:is>
          <x:t xml:space="preserve">Not found in reviewed materials</x:t>
        </x:is>
      </x:c>
      <x:c r="F57" s="565" t="inlineStr">
        <x:is>
          <x:t xml:space="preserve">2018-10-09 00:00:00</x:t>
        </x:is>
      </x:c>
      <x:c r="G57" s="565" t="inlineStr">
        <x:is>
          <x:t xml:space="preserve">Cindy Lou Vignal, Trustee of The Luther and Veronica Liv Thurman Trust</x:t>
        </x:is>
      </x:c>
      <x:c r="H57" s="565" t="inlineStr">
        <x:is>
          <x:t xml:space="preserve">Gary Wayne Vignal, Trustee of The Gary and Cindy Liv Vignal Trust, Cindy Lou Vignal, Trustee of The Gary and Cindy Liv Vignal Trust</x:t>
        </x:is>
      </x:c>
      <x:c r="I57" s="565" t="inlineStr">
        <x:is>
          <x:t xml:space="preserve">E/2 NW/4 of 31-12N-24W aol</x:t>
        </x:is>
      </x:c>
      <x:c r="J57" s="565" t="inlineStr">
        <x:is>
          <x:t xml:space="preserve">Index row only reviewed. Mineral deed interest/net acres not stated in available index; full deed image required for exact fractional interest and reservation language.</x:t>
        </x:is>
      </x:c>
      <x:c r="K57" s="565" t="inlineStr">
        <x:is>
          <x:t xml:space="preserve">31-12N-24W_Roger_Mills_Cursory_Title_Report_(6-10-2026)_BEST_UPDATED.xlsx</x:t>
        </x:is>
      </x:c>
      <x:c r="L57" s="565" t="inlineStr">
        <x:is>
          <x:t xml:space="preserve">Runsheet</x:t>
        </x:is>
      </x:c>
      <x:c r="M57" s="565" t="inlineStr">
        <x:is>
          <x:t xml:space="preserve">https://okcountyrecords.com/detail/roger+mills/2018-002650/21458328</x:t>
        </x:is>
      </x:c>
      <x:c r="N57" s="565" t="inlineStr">
        <x:is>
          <x:t xml:space="preserve">OKCountyRecords index link; full image/release/probate review needed.</x:t>
        </x:is>
      </x:c>
      <x:c r="O57" s="565" t="inlineStr">
        <x:is>
          <x:t xml:space="preserve">https://okcountyrecords.com/detail/roger+mills/2018-002650/21458328</x:t>
        </x:is>
      </x:c>
      <x:c r="P57" s="541" t="inlineStr">
        <x:is>
          <x:t xml:space="preserve">Obtain certified deed image; verify source chain, reservations, warranty and net acres.</x:t>
        </x:is>
      </x:c>
      <x:c r="Q57" s="541" t="inlineStr">
        <x:is>
          <x:t xml:space="preserve">High</x:t>
        </x:is>
      </x:c>
      <x:c r="R57" s="541" t="inlineStr">
        <x:is>
          <x:t xml:space="preserve">Deed / Chain</x:t>
        </x:is>
      </x:c>
      <x:c r="S57" s="650" t="inlineStr">
        <x:is>
          <x:t xml:space="preserve">Not found in reviewed materials</x:t>
        </x:is>
      </x:c>
      <x:c r="T57" s="567" t="inlineStr">
        <x:is>
          <x:t xml:space="preserve">Effective / instrument date column</x:t>
        </x:is>
      </x:c>
      <x:c r="U57" s="650" t="n">
        <x:v>43382</x:v>
      </x:c>
      <x:c r="V57" s="567" t="inlineStr">
        <x:is>
          <x:t xml:space="preserve">31-12N-24W</x:t>
        </x:is>
      </x:c>
      <x:c r="W57" s="567" t="inlineStr">
        <x:is>
          <x:t xml:space="preserve">E/2 NW/4</x:t>
        </x:is>
      </x:c>
      <x:c r="X57" s="567" t="inlineStr">
        <x:is>
          <x:t xml:space="preserve">Parsed from public/workbook legal text</x:t>
        </x:is>
      </x:c>
      <x:c r="Y57" s="568" t="inlineStr">
        <x:is>
          <x:t xml:space="preserve">Yes – verify against certified document image</x:t>
        </x:is>
      </x:c>
      <x:c r="Z57" s="568" t="inlineStr">
        <x:is>
          <x:t xml:space="preserve">Extracted from existing workbook/public OKCR text; not a certified legal description.</x:t>
        </x:is>
      </x:c>
    </x:row>
    <x:row r="58">
      <x:c r="A58" s="565" t="inlineStr">
        <x:is>
          <x:t xml:space="preserve">2018-000119</x:t>
        </x:is>
      </x:c>
      <x:c r="B58" s="565" t="inlineStr">
        <x:is>
          <x:t xml:space="preserve">Not found in reviewed materials</x:t>
        </x:is>
      </x:c>
      <x:c r="C58" s="565" t="inlineStr">
        <x:is>
          <x:t xml:space="preserve">Assignment</x:t>
        </x:is>
      </x:c>
      <x:c r="D58" s="565" t="inlineStr">
        <x:is>
          <x:t xml:space="preserve">2385/0072</x:t>
        </x:is>
      </x:c>
      <x:c r="E58" s="565" t="inlineStr">
        <x:is>
          <x:t xml:space="preserve">Not found in reviewed materials</x:t>
        </x:is>
      </x:c>
      <x:c r="F58" s="565" t="inlineStr">
        <x:is>
          <x:t xml:space="preserve">2018-01-19 00:00:00</x:t>
        </x:is>
      </x:c>
      <x:c r="G58" s="565" t="inlineStr">
        <x:is>
          <x:t xml:space="preserve">Cheyenne Resources</x:t>
        </x:is>
      </x:c>
      <x:c r="H58" s="565" t="inlineStr">
        <x:is>
          <x:t xml:space="preserve">Templar Energy, LLC</x:t>
        </x:is>
      </x:c>
      <x:c r="I58" s="565" t="inlineStr">
        <x:is>
          <x:t xml:space="preserve">Lalexander 1-31 of 31-12N-24W</x:t>
        </x:is>
      </x:c>
      <x:c r="J58" s="565" t="inlineStr">
        <x:is>
          <x:t xml:space="preserve">Index row only reviewed. Assignment terms/interest not fully stated in index; full assignment image required to confirm leases, depths, burdens, and retained interests.</x:t>
        </x:is>
      </x:c>
      <x:c r="K58" s="565" t="inlineStr">
        <x:is>
          <x:t xml:space="preserve">31-12N-24W_Roger_Mills_Cursory_Title_Report_(6-10-2026)_BEST_UPDATED.xlsx</x:t>
        </x:is>
      </x:c>
      <x:c r="L58" s="565" t="inlineStr">
        <x:is>
          <x:t xml:space="preserve">Runsheet</x:t>
        </x:is>
      </x:c>
      <x:c r="M58" s="565" t="inlineStr">
        <x:is>
          <x:t xml:space="preserve">https://okcountyrecords.com/detail/roger+mills/2018-000119/20639253</x:t>
        </x:is>
      </x:c>
      <x:c r="N58" s="565" t="inlineStr">
        <x:is>
          <x:t xml:space="preserve">OKCountyRecords index link; full image/release/probate review needed.</x:t>
        </x:is>
      </x:c>
      <x:c r="O58" s="565" t="inlineStr">
        <x:is>
          <x:t xml:space="preserve">https://okcountyrecords.com/detail/roger+mills/2018-000119/20639253</x:t>
        </x:is>
      </x:c>
      <x:c r="P58" s="541" t="inlineStr">
        <x:is>
          <x:t xml:space="preserve">Obtain assignment image/exhibits; verify chain continuity, assigned leases/depths and retained interests.</x:t>
        </x:is>
      </x:c>
      <x:c r="Q58" s="541" t="inlineStr">
        <x:is>
          <x:t xml:space="preserve">High</x:t>
        </x:is>
      </x:c>
      <x:c r="R58" s="541" t="inlineStr">
        <x:is>
          <x:t xml:space="preserve">Assignment</x:t>
        </x:is>
      </x:c>
      <x:c r="S58" s="650" t="inlineStr">
        <x:is>
          <x:t xml:space="preserve">Not found in reviewed materials</x:t>
        </x:is>
      </x:c>
      <x:c r="T58" s="567" t="inlineStr">
        <x:is>
          <x:t xml:space="preserve">Effective / instrument date column</x:t>
        </x:is>
      </x:c>
      <x:c r="U58" s="650" t="n">
        <x:v>43119</x:v>
      </x:c>
      <x:c r="V58" s="567" t="inlineStr">
        <x:is>
          <x:t xml:space="preserve">31-12N-24W</x:t>
        </x:is>
      </x:c>
      <x:c r="W58" s="567" t="inlineStr">
        <x:is>
          <x:t xml:space="preserve">All or unspecified part of Section 31; no quarter call stated in index text</x:t>
        </x:is>
      </x:c>
      <x:c r="X58" s="567" t="inlineStr">
        <x:is>
          <x:t xml:space="preserve">Section match only</x:t>
        </x:is>
      </x:c>
      <x:c r="Y58" s="568" t="inlineStr">
        <x:is>
          <x:t xml:space="preserve">Yes – quarter call missing or index-only</x:t>
        </x:is>
      </x:c>
      <x:c r="Z58" s="568" t="inlineStr">
        <x:is>
          <x:t xml:space="preserve">Extracted from existing workbook/public OKCR text; not a certified legal description.</x:t>
        </x:is>
      </x:c>
    </x:row>
    <x:row r="59">
      <x:c r="A59" s="565" t="n"/>
      <x:c r="B59" s="565" t="inlineStr">
        <x:is>
          <x:t xml:space="preserve">Not found in reviewed materials</x:t>
        </x:is>
      </x:c>
      <x:c r="C59" s="565" t="inlineStr">
        <x:is>
          <x:t xml:space="preserve">Modification of Mortgage</x:t>
        </x:is>
      </x:c>
      <x:c r="D59" s="565" t="inlineStr">
        <x:is>
          <x:t xml:space="preserve">2379/0142</x:t>
        </x:is>
      </x:c>
      <x:c r="E59" s="565" t="inlineStr">
        <x:is>
          <x:t xml:space="preserve">Not found in reviewed materials</x:t>
        </x:is>
      </x:c>
      <x:c r="F59" s="565" t="inlineStr">
        <x:is>
          <x:t xml:space="preserve">2017-10-26 00:00:00</x:t>
        </x:is>
      </x:c>
      <x:c r="G59" s="565" t="inlineStr">
        <x:is>
          <x:t xml:space="preserve">William Bryant, Kathy Bryant</x:t>
        </x:is>
      </x:c>
      <x:c r="H59" s="565" t="inlineStr">
        <x:is>
          <x:t xml:space="preserve">Security State Bank</x:t>
        </x:is>
      </x:c>
      <x:c r="I59" s="565" t="inlineStr">
        <x:is>
          <x:t xml:space="preserve">Lot 1 Partial of 31-12N-24W</x:t>
        </x:is>
      </x:c>
      <x:c r="J59" s="565" t="inlineStr">
        <x:is>
          <x:t xml:space="preserve">Index row only reviewed. Full financing statement/collateral exhibit not accessible; exact collateral and UCC status require verification.</x:t>
        </x:is>
      </x:c>
      <x:c r="K59" s="565" t="inlineStr">
        <x:is>
          <x:t xml:space="preserve">31-12N-24W_Roger_Mills_Cursory_Title_Report_(6-10-2026)_BEST_UPDATED.xlsx</x:t>
        </x:is>
      </x:c>
      <x:c r="L59" s="565" t="inlineStr">
        <x:is>
          <x:t xml:space="preserve">Runsheet</x:t>
        </x:is>
      </x:c>
      <x:c r="M59" s="565" t="inlineStr">
        <x:is>
          <x:t xml:space="preserve">https://okcountyrecords.com/detail/roger+mills/2017-002214/20329818</x:t>
        </x:is>
      </x:c>
      <x:c r="N59" s="565" t="inlineStr">
        <x:is>
          <x:t xml:space="preserve">OKCountyRecords index link; full image/release/probate review needed.</x:t>
        </x:is>
      </x:c>
      <x:c r="O59" s="565" t="inlineStr">
        <x:is>
          <x:t xml:space="preserve">https://okcountyrecords.com/detail/roger+mills/2017-002214/20329818</x:t>
        </x:is>
      </x:c>
      <x:c r="P59" s="541" t="inlineStr">
        <x:is>
          <x:t xml:space="preserve">Obtain lien/release image/exhibits; match liens to releases and confirm target-section effect.</x:t>
        </x:is>
      </x:c>
      <x:c r="Q59" s="541" t="inlineStr">
        <x:is>
          <x:t xml:space="preserve">High</x:t>
        </x:is>
      </x:c>
      <x:c r="R59" s="541" t="inlineStr">
        <x:is>
          <x:t xml:space="preserve">Lien / Release</x:t>
        </x:is>
      </x:c>
      <x:c r="S59" s="650" t="inlineStr">
        <x:is>
          <x:t xml:space="preserve">Not found in reviewed materials</x:t>
        </x:is>
      </x:c>
      <x:c r="T59" s="567" t="inlineStr">
        <x:is>
          <x:t xml:space="preserve">Effective / instrument date column</x:t>
        </x:is>
      </x:c>
      <x:c r="U59" s="650" t="n">
        <x:v>43034</x:v>
      </x:c>
      <x:c r="V59" s="567" t="inlineStr">
        <x:is>
          <x:t xml:space="preserve">31-12N-24W</x:t>
        </x:is>
      </x:c>
      <x:c r="W59" s="567" t="inlineStr">
        <x:is>
          <x:t xml:space="preserve">LOT 1</x:t>
        </x:is>
      </x:c>
      <x:c r="X59" s="567" t="inlineStr">
        <x:is>
          <x:t xml:space="preserve">Parsed from public/workbook legal text</x:t>
        </x:is>
      </x:c>
      <x:c r="Y59" s="568" t="inlineStr">
        <x:is>
          <x:t xml:space="preserve">Yes – verify against certified document image</x:t>
        </x:is>
      </x:c>
      <x:c r="Z59" s="568" t="inlineStr">
        <x:is>
          <x:t xml:space="preserve">Extracted from existing workbook/public OKCR text; not a certified legal description.</x:t>
        </x:is>
      </x:c>
    </x:row>
    <x:row r="60">
      <x:c r="A60" s="565" t="inlineStr">
        <x:is>
          <x:t xml:space="preserve">2017-000951</x:t>
        </x:is>
      </x:c>
      <x:c r="B60" s="565" t="inlineStr">
        <x:is>
          <x:t xml:space="preserve">Not found in reviewed materials</x:t>
        </x:is>
      </x:c>
      <x:c r="C60" s="565" t="inlineStr">
        <x:is>
          <x:t xml:space="preserve">Mineral Deed</x:t>
        </x:is>
      </x:c>
      <x:c r="D60" s="565" t="inlineStr">
        <x:is>
          <x:t xml:space="preserve">2365/0338</x:t>
        </x:is>
      </x:c>
      <x:c r="E60" s="565" t="inlineStr">
        <x:is>
          <x:t xml:space="preserve">Not found in reviewed materials</x:t>
        </x:is>
      </x:c>
      <x:c r="F60" s="565" t="inlineStr">
        <x:is>
          <x:t xml:space="preserve">2017-05-03 00:00:00</x:t>
        </x:is>
      </x:c>
      <x:c r="G60" s="565" t="inlineStr">
        <x:is>
          <x:t xml:space="preserve">Ella Pearl Kirk</x:t>
        </x:is>
      </x:c>
      <x:c r="H60" s="565" t="inlineStr">
        <x:is>
          <x:t xml:space="preserve">Calvin Wayne Kirk</x:t>
        </x:is>
      </x:c>
      <x:c r="I60" s="565" t="inlineStr">
        <x:is>
          <x:t xml:space="preserve">NW/4 Partial of 31-12N-24W aol</x:t>
        </x:is>
      </x:c>
      <x:c r="J60" s="565" t="inlineStr">
        <x:is>
          <x:t xml:space="preserve">Index row only reviewed. Mineral deed interest/net acres not stated in available index; full deed image required for exact fractional interest and reservation language.</x:t>
        </x:is>
      </x:c>
      <x:c r="K60" s="565" t="inlineStr">
        <x:is>
          <x:t xml:space="preserve">31-12N-24W_Roger_Mills_Cursory_Title_Report_(6-10-2026)_BEST_UPDATED.xlsx</x:t>
        </x:is>
      </x:c>
      <x:c r="L60" s="565" t="inlineStr">
        <x:is>
          <x:t xml:space="preserve">Runsheet</x:t>
        </x:is>
      </x:c>
      <x:c r="M60" s="565" t="inlineStr">
        <x:is>
          <x:t xml:space="preserve">https://okcountyrecords.com/detail/roger+mills/2017-000951/19673811</x:t>
        </x:is>
      </x:c>
      <x:c r="N60" s="565" t="inlineStr">
        <x:is>
          <x:t xml:space="preserve">OKCountyRecords index link; full image/release/probate review needed.</x:t>
        </x:is>
      </x:c>
      <x:c r="O60" s="565" t="inlineStr">
        <x:is>
          <x:t xml:space="preserve">https://okcountyrecords.com/detail/roger+mills/2017-000951/19673811</x:t>
        </x:is>
      </x:c>
      <x:c r="P60" s="541" t="inlineStr">
        <x:is>
          <x:t xml:space="preserve">Obtain certified deed image; verify source chain, reservations, warranty and net acres.</x:t>
        </x:is>
      </x:c>
      <x:c r="Q60" s="541" t="inlineStr">
        <x:is>
          <x:t xml:space="preserve">High</x:t>
        </x:is>
      </x:c>
      <x:c r="R60" s="541" t="inlineStr">
        <x:is>
          <x:t xml:space="preserve">Deed / Chain</x:t>
        </x:is>
      </x:c>
      <x:c r="S60" s="650" t="inlineStr">
        <x:is>
          <x:t xml:space="preserve">Not found in reviewed materials</x:t>
        </x:is>
      </x:c>
      <x:c r="T60" s="567" t="inlineStr">
        <x:is>
          <x:t xml:space="preserve">Effective / instrument date column</x:t>
        </x:is>
      </x:c>
      <x:c r="U60" s="650" t="n">
        <x:v>42858</x:v>
      </x:c>
      <x:c r="V60" s="567" t="inlineStr">
        <x:is>
          <x:t xml:space="preserve">31-12N-24W</x:t>
        </x:is>
      </x:c>
      <x:c r="W60" s="567" t="inlineStr">
        <x:is>
          <x:t xml:space="preserve">NW/4</x:t>
        </x:is>
      </x:c>
      <x:c r="X60" s="567" t="inlineStr">
        <x:is>
          <x:t xml:space="preserve">Parsed from public/workbook legal text</x:t>
        </x:is>
      </x:c>
      <x:c r="Y60" s="568" t="inlineStr">
        <x:is>
          <x:t xml:space="preserve">Yes – verify against certified document image</x:t>
        </x:is>
      </x:c>
      <x:c r="Z60" s="568" t="inlineStr">
        <x:is>
          <x:t xml:space="preserve">Extracted from existing workbook/public OKCR text; not a certified legal description.</x:t>
        </x:is>
      </x:c>
    </x:row>
    <x:row r="61">
      <x:c r="A61" s="565" t="n"/>
      <x:c r="B61" s="565" t="inlineStr">
        <x:is>
          <x:t xml:space="preserve">Not found in reviewed materials</x:t>
        </x:is>
      </x:c>
      <x:c r="C61" s="565" t="inlineStr">
        <x:is>
          <x:t xml:space="preserve">Mortgage</x:t>
        </x:is>
      </x:c>
      <x:c r="D61" s="565" t="inlineStr">
        <x:is>
          <x:t xml:space="preserve">2357/0474</x:t>
        </x:is>
      </x:c>
      <x:c r="E61" s="565" t="inlineStr">
        <x:is>
          <x:t xml:space="preserve">Not found in reviewed materials</x:t>
        </x:is>
      </x:c>
      <x:c r="F61" s="565" t="inlineStr">
        <x:is>
          <x:t xml:space="preserve">2017-01-26 00:00:00</x:t>
        </x:is>
      </x:c>
      <x:c r="G61" s="565" t="inlineStr">
        <x:is>
          <x:t xml:space="preserve">Greystone Energy &amp; Minerals</x:t>
        </x:is>
      </x:c>
      <x:c r="H61" s="565" t="inlineStr">
        <x:is>
          <x:t xml:space="preserve">Bank 7</x:t>
        </x:is>
      </x:c>
      <x:c r="I61" s="565" t="inlineStr">
        <x:is>
          <x:t xml:space="preserve">SW/4 NE/4 of 31-12N-24W aol</x:t>
        </x:is>
      </x:c>
      <x:c r="J61" s="565" t="inlineStr">
        <x:is>
          <x:t xml:space="preserve">Public OKCountyRecords snippet only reviewed. Partial Release Of Lien metadata visible; full 199-page image/exhibit required to confirm release effect on Section 31-12N-24W.</x:t>
        </x:is>
      </x:c>
      <x:c r="K61" s="565" t="inlineStr">
        <x:is>
          <x:t xml:space="preserve">31-12N-24W_Roger_Mills_Cursory_Title_Report_(6-10-2026)_BEST_UPDATED.xlsx</x:t>
        </x:is>
      </x:c>
      <x:c r="L61" s="565" t="inlineStr">
        <x:is>
          <x:t xml:space="preserve">Runsheet</x:t>
        </x:is>
      </x:c>
      <x:c r="M61" s="565" t="inlineStr">
        <x:is>
          <x:t xml:space="preserve">https://okcountyrecords.com/detail/roger+mills/2017-000146/19482475</x:t>
        </x:is>
      </x:c>
      <x:c r="N61" s="565" t="inlineStr">
        <x:is>
          <x:t xml:space="preserve">OKCountyRecords index link; full image/release/probate review needed.</x:t>
        </x:is>
      </x:c>
      <x:c r="O61" s="565" t="inlineStr">
        <x:is>
          <x:t xml:space="preserve">https://okcountyrecords.com/detail/roger+mills/2017-000146/19482475</x:t>
        </x:is>
      </x:c>
      <x:c r="P61" s="541" t="inlineStr">
        <x:is>
          <x:t xml:space="preserve">Obtain lien/release image/exhibits; match liens to releases and confirm target-section effect.</x:t>
        </x:is>
      </x:c>
      <x:c r="Q61" s="541" t="inlineStr">
        <x:is>
          <x:t xml:space="preserve">High</x:t>
        </x:is>
      </x:c>
      <x:c r="R61" s="541" t="inlineStr">
        <x:is>
          <x:t xml:space="preserve">Lien / Release</x:t>
        </x:is>
      </x:c>
      <x:c r="S61" s="650" t="inlineStr">
        <x:is>
          <x:t xml:space="preserve">Not found in reviewed materials</x:t>
        </x:is>
      </x:c>
      <x:c r="T61" s="567" t="inlineStr">
        <x:is>
          <x:t xml:space="preserve">Effective / instrument date column</x:t>
        </x:is>
      </x:c>
      <x:c r="U61" s="650" t="n">
        <x:v>42761</x:v>
      </x:c>
      <x:c r="V61" s="567" t="inlineStr">
        <x:is>
          <x:t xml:space="preserve">31-12N-24W</x:t>
        </x:is>
      </x:c>
      <x:c r="W61" s="567" t="inlineStr">
        <x:is>
          <x:t xml:space="preserve">SW/4 NE/4</x:t>
        </x:is>
      </x:c>
      <x:c r="X61" s="567" t="inlineStr">
        <x:is>
          <x:t xml:space="preserve">Parsed from public/workbook legal text</x:t>
        </x:is>
      </x:c>
      <x:c r="Y61" s="568" t="inlineStr">
        <x:is>
          <x:t xml:space="preserve">Yes – verify against certified document image</x:t>
        </x:is>
      </x:c>
      <x:c r="Z61" s="568" t="inlineStr">
        <x:is>
          <x:t xml:space="preserve">Extracted from existing workbook/public OKCR text; not a certified legal description.</x:t>
        </x:is>
      </x:c>
    </x:row>
    <x:row r="62">
      <x:c r="A62" s="565" t="n"/>
      <x:c r="B62" s="565" t="inlineStr">
        <x:is>
          <x:t xml:space="preserve">Not found in reviewed materials</x:t>
        </x:is>
      </x:c>
      <x:c r="C62" s="565" t="inlineStr">
        <x:is>
          <x:t xml:space="preserve">Partial Release Of Lien</x:t>
        </x:is>
      </x:c>
      <x:c r="D62" s="565" t="inlineStr">
        <x:is>
          <x:t xml:space="preserve">2356/0001</x:t>
        </x:is>
      </x:c>
      <x:c r="E62" s="565" t="inlineStr">
        <x:is>
          <x:t xml:space="preserve">Not found in reviewed materials</x:t>
        </x:is>
      </x:c>
      <x:c r="F62" s="565" t="inlineStr">
        <x:is>
          <x:t xml:space="preserve">2017-01-17 00:00:00</x:t>
        </x:is>
      </x:c>
      <x:c r="G62" s="565" t="inlineStr">
        <x:is>
          <x:t xml:space="preserve">Deutsche Bank</x:t>
        </x:is>
      </x:c>
      <x:c r="H62" s="565" t="inlineStr">
        <x:is>
          <x:t xml:space="preserve">Samson Resources, Geodyne Resources</x:t>
        </x:is>
      </x:c>
      <x:c r="I62" s="565" t="inlineStr">
        <x:is>
          <x:t xml:space="preserve">Lalexander of 31-12N-24W aol</x:t>
        </x:is>
      </x:c>
      <x:c r="J62" s="565" t="inlineStr">
        <x:is>
          <x:t xml:space="preserve">Public OKCountyRecords snippet only reviewed. Partial Release Of Lien metadata visible; full image/exhibit required to confirm release effect on Section 31-12N-24W.</x:t>
        </x:is>
      </x:c>
      <x:c r="K62" s="565" t="inlineStr">
        <x:is>
          <x:t xml:space="preserve">31-12N-24W_Roger_Mills_Cursory_Title_Report_(6-10-2026)_BEST_UPDATED.xlsx</x:t>
        </x:is>
      </x:c>
      <x:c r="L62" s="565" t="inlineStr">
        <x:is>
          <x:t xml:space="preserve">Runsheet</x:t>
        </x:is>
      </x:c>
      <x:c r="M62" s="565" t="inlineStr">
        <x:is>
          <x:t xml:space="preserve">https://okcountyrecords.com/detail/roger+mills/2017-000081/19462526</x:t>
        </x:is>
      </x:c>
      <x:c r="N62" s="565" t="inlineStr">
        <x:is>
          <x:t xml:space="preserve">OKCountyRecords index link; full image/release/probate review needed.</x:t>
        </x:is>
      </x:c>
      <x:c r="O62" s="565" t="inlineStr">
        <x:is>
          <x:t xml:space="preserve">https://okcountyrecords.com/detail/roger+mills/2017-000081/19462526</x:t>
        </x:is>
      </x:c>
      <x:c r="P62" s="541" t="inlineStr">
        <x:is>
          <x:t xml:space="preserve">Obtain full lease image/certified copy; verify terms, acreage, royalty and lease status.</x:t>
        </x:is>
      </x:c>
      <x:c r="Q62" s="541" t="inlineStr">
        <x:is>
          <x:t xml:space="preserve">High</x:t>
        </x:is>
      </x:c>
      <x:c r="R62" s="541" t="inlineStr">
        <x:is>
          <x:t xml:space="preserve">Lease</x:t>
        </x:is>
      </x:c>
      <x:c r="S62" s="650" t="inlineStr">
        <x:is>
          <x:t xml:space="preserve">Not found in reviewed materials</x:t>
        </x:is>
      </x:c>
      <x:c r="T62" s="567" t="inlineStr">
        <x:is>
          <x:t xml:space="preserve">Effective / instrument date column</x:t>
        </x:is>
      </x:c>
      <x:c r="U62" s="650" t="n">
        <x:v>42752</x:v>
      </x:c>
      <x:c r="V62" s="567" t="inlineStr">
        <x:is>
          <x:t xml:space="preserve">31-12N-24W</x:t>
        </x:is>
      </x:c>
      <x:c r="W62" s="567" t="inlineStr">
        <x:is>
          <x:t xml:space="preserve">All or unspecified part of Section 31; no quarter call stated in index text</x:t>
        </x:is>
      </x:c>
      <x:c r="X62" s="567" t="inlineStr">
        <x:is>
          <x:t xml:space="preserve">Section match only</x:t>
        </x:is>
      </x:c>
      <x:c r="Y62" s="568" t="inlineStr">
        <x:is>
          <x:t xml:space="preserve">Yes – quarter call missing or index-only</x:t>
        </x:is>
      </x:c>
      <x:c r="Z62" s="568" t="inlineStr">
        <x:is>
          <x:t xml:space="preserve">Extracted from existing workbook/public OKCR text; not a certified legal description.</x:t>
        </x:is>
      </x:c>
    </x:row>
    <x:row r="63">
      <x:c r="A63" s="565" t="inlineStr">
        <x:is>
          <x:t xml:space="preserve">2017-000083</x:t>
        </x:is>
      </x:c>
      <x:c r="B63" s="565" t="inlineStr">
        <x:is>
          <x:t xml:space="preserve">Web</x:t>
        </x:is>
      </x:c>
      <x:c r="C63" s="565" t="inlineStr">
        <x:is>
          <x:t xml:space="preserve">Assignment</x:t>
        </x:is>
      </x:c>
      <x:c r="D63" s="565" t="inlineStr">
        <x:is>
          <x:t xml:space="preserve">2356/0399</x:t>
        </x:is>
      </x:c>
      <x:c r="E63" s="565" t="inlineStr">
        <x:is>
          <x:t xml:space="preserve">not found in public snippet</x:t>
        </x:is>
      </x:c>
      <x:c r="F63" s="565" t="inlineStr">
        <x:is>
          <x:t xml:space="preserve">2017-01-17 00:00:00</x:t>
        </x:is>
      </x:c>
      <x:c r="G63" s="565" t="inlineStr">
        <x:is>
          <x:t xml:space="preserve">Geodyne Resources, Inc., Samson Lone Star, LLC, Samson Resources Company</x:t>
        </x:is>
      </x:c>
      <x:c r="H63" s="565" t="inlineStr">
        <x:is>
          <x:t xml:space="preserve">Fairway Resources III, LLC</x:t>
        </x:is>
      </x:c>
      <x:c r="I63" s="565" t="inlineStr">
        <x:is>
          <x:t xml:space="preserve">S31 T12N R24W LALEXANDER (plus 278 more)</x:t>
        </x:is>
      </x:c>
      <x:c r="J63" s="565" t="inlineStr">
        <x:is>
          <x:t xml:space="preserve">Public OKCountyRecords snippet only reviewed. Assignment metadata visible; full image/exhibit required to confirm assigned leases, depths, burdens, term, retained interests, and Section 31 coverage.</x:t>
        </x:is>
      </x:c>
      <x:c r="K63" s="565" t="inlineStr">
        <x:is>
          <x:t xml:space="preserve">31-12N-24W_Roger_Mills_Cursory_Title_Report_(6-10-2026)_BEST_UPDATED.xlsx</x:t>
        </x:is>
      </x:c>
      <x:c r="L63" s="565" t="inlineStr">
        <x:is>
          <x:t xml:space="preserve">Runsheet</x:t>
        </x:is>
      </x:c>
      <x:c r="M63" s="565" t="inlineStr">
        <x:is>
          <x:t xml:space="preserve">https://okcountyrecords.com/detail/roger+mills/2017-000083</x:t>
        </x:is>
      </x:c>
      <x:c r="N63" s="565" t="inlineStr">
        <x:is>
          <x:t xml:space="preserve">Public web snippet only; full image required before reliance.</x:t>
        </x:is>
      </x:c>
      <x:c r="O63" s="565" t="n"/>
      <x:c r="P63" s="541" t="inlineStr">
        <x:is>
          <x:t xml:space="preserve">Obtain assignment image/exhibits; verify chain continuity, assigned leases/depths and retained interests.</x:t>
        </x:is>
      </x:c>
      <x:c r="Q63" s="541" t="inlineStr">
        <x:is>
          <x:t xml:space="preserve">High</x:t>
        </x:is>
      </x:c>
      <x:c r="R63" s="541" t="inlineStr">
        <x:is>
          <x:t xml:space="preserve">Assignment</x:t>
        </x:is>
      </x:c>
      <x:c r="S63" s="650" t="inlineStr">
        <x:is>
          <x:t xml:space="preserve">not found in public snippet</x:t>
        </x:is>
      </x:c>
      <x:c r="T63" s="567" t="inlineStr">
        <x:is>
          <x:t xml:space="preserve">Effective / instrument date column</x:t>
        </x:is>
      </x:c>
      <x:c r="U63" s="650" t="n">
        <x:v>42752</x:v>
      </x:c>
      <x:c r="V63" s="567" t="inlineStr">
        <x:is>
          <x:t xml:space="preserve">31-12N-24W</x:t>
        </x:is>
      </x:c>
      <x:c r="W63" s="567" t="inlineStr">
        <x:is>
          <x:t xml:space="preserve">All or unspecified part of Section 31; no quarter call stated in index text</x:t>
        </x:is>
      </x:c>
      <x:c r="X63" s="567" t="inlineStr">
        <x:is>
          <x:t xml:space="preserve">Section match only</x:t>
        </x:is>
      </x:c>
      <x:c r="Y63" s="568" t="inlineStr">
        <x:is>
          <x:t xml:space="preserve">Yes – quarter call missing or index-only</x:t>
        </x:is>
      </x:c>
      <x:c r="Z63" s="568" t="inlineStr">
        <x:is>
          <x:t xml:space="preserve">Extracted from existing workbook/public OKCR text; not a certified legal description.</x:t>
        </x:is>
      </x:c>
    </x:row>
    <x:row r="64">
      <x:c r="A64" s="565" t="n"/>
      <x:c r="B64" s="565" t="inlineStr">
        <x:is>
          <x:t xml:space="preserve">Web</x:t>
        </x:is>
      </x:c>
      <x:c r="C64" s="565" t="inlineStr">
        <x:is>
          <x:t xml:space="preserve">Mortgage</x:t>
        </x:is>
      </x:c>
      <x:c r="D64" s="565" t="inlineStr">
        <x:is>
          <x:t xml:space="preserve">2357/0001</x:t>
        </x:is>
      </x:c>
      <x:c r="E64" s="565" t="inlineStr">
        <x:is>
          <x:t xml:space="preserve">not found in public snippet</x:t>
        </x:is>
      </x:c>
      <x:c r="F64" s="565" t="inlineStr">
        <x:is>
          <x:t xml:space="preserve">2017-01-17 00:00:00</x:t>
        </x:is>
      </x:c>
      <x:c r="G64" s="565" t="inlineStr">
        <x:is>
          <x:t xml:space="preserve">Fairway Resources III, LLC</x:t>
        </x:is>
      </x:c>
      <x:c r="H64" s="565" t="inlineStr">
        <x:is>
          <x:t xml:space="preserve">JPMorgan Chase Bank</x:t>
        </x:is>
      </x:c>
      <x:c r="I64" s="565" t="inlineStr">
        <x:is>
          <x:t xml:space="preserve">S31 T12N R24W LALEXANDER (plus 278 more)</x:t>
        </x:is>
      </x:c>
      <x:c r="J64" s="565" t="inlineStr">
        <x:is>
          <x:t xml:space="preserve">Public OKCountyRecords snippet only reviewed. Mortgage metadata visible; full 201-page image/exhibit required to confirm collateral, amount, maturity, and release status.</x:t>
        </x:is>
      </x:c>
      <x:c r="K64" s="565" t="inlineStr">
        <x:is>
          <x:t xml:space="preserve">31-12N-24W_Roger_Mills_Cursory_Title_Report_(6-10-2026)_BEST_UPDATED.xlsx</x:t>
        </x:is>
      </x:c>
      <x:c r="L64" s="565" t="inlineStr">
        <x:is>
          <x:t xml:space="preserve">Runsheet</x:t>
        </x:is>
      </x:c>
      <x:c r="M64" s="565" t="inlineStr">
        <x:is>
          <x:t xml:space="preserve">https://okcountyrecords.com/detail/roger+mills/2017-000084</x:t>
        </x:is>
      </x:c>
      <x:c r="N64" s="565" t="inlineStr">
        <x:is>
          <x:t xml:space="preserve">Public web snippet only; full image required before reliance.</x:t>
        </x:is>
      </x:c>
      <x:c r="O64" s="565" t="n"/>
      <x:c r="P64" s="541" t="inlineStr">
        <x:is>
          <x:t xml:space="preserve">Obtain lien/release image/exhibits; match liens to releases and confirm target-section effect.</x:t>
        </x:is>
      </x:c>
      <x:c r="Q64" s="541" t="inlineStr">
        <x:is>
          <x:t xml:space="preserve">High</x:t>
        </x:is>
      </x:c>
      <x:c r="R64" s="541" t="inlineStr">
        <x:is>
          <x:t xml:space="preserve">Lien / Release</x:t>
        </x:is>
      </x:c>
      <x:c r="S64" s="650" t="inlineStr">
        <x:is>
          <x:t xml:space="preserve">not found in public snippet</x:t>
        </x:is>
      </x:c>
      <x:c r="T64" s="567" t="inlineStr">
        <x:is>
          <x:t xml:space="preserve">Effective / instrument date column</x:t>
        </x:is>
      </x:c>
      <x:c r="U64" s="650" t="n">
        <x:v>42752</x:v>
      </x:c>
      <x:c r="V64" s="567" t="inlineStr">
        <x:is>
          <x:t xml:space="preserve">31-12N-24W</x:t>
        </x:is>
      </x:c>
      <x:c r="W64" s="567" t="inlineStr">
        <x:is>
          <x:t xml:space="preserve">All or unspecified part of Section 31; no quarter call stated in index text</x:t>
        </x:is>
      </x:c>
      <x:c r="X64" s="567" t="inlineStr">
        <x:is>
          <x:t xml:space="preserve">Section match only</x:t>
        </x:is>
      </x:c>
      <x:c r="Y64" s="568" t="inlineStr">
        <x:is>
          <x:t xml:space="preserve">Yes – quarter call missing or index-only</x:t>
        </x:is>
      </x:c>
      <x:c r="Z64" s="568" t="inlineStr">
        <x:is>
          <x:t xml:space="preserve">Extracted from existing workbook/public OKCR text; not a certified legal description.</x:t>
        </x:is>
      </x:c>
    </x:row>
    <x:row r="65">
      <x:c r="A65" s="565" t="n"/>
      <x:c r="B65" s="565" t="inlineStr">
        <x:is>
          <x:t xml:space="preserve">Web</x:t>
        </x:is>
      </x:c>
      <x:c r="C65" s="565" t="inlineStr">
        <x:is>
          <x:t xml:space="preserve">Partial Release Of Lien</x:t>
        </x:is>
      </x:c>
      <x:c r="D65" s="565" t="inlineStr">
        <x:is>
          <x:t xml:space="preserve">2356/0200</x:t>
        </x:is>
      </x:c>
      <x:c r="E65" s="565" t="inlineStr">
        <x:is>
          <x:t xml:space="preserve">not found in public snippet</x:t>
        </x:is>
      </x:c>
      <x:c r="F65" s="565" t="inlineStr">
        <x:is>
          <x:t xml:space="preserve">2017-01-17 00:00:00</x:t>
        </x:is>
      </x:c>
      <x:c r="G65" s="565" t="inlineStr">
        <x:is>
          <x:t xml:space="preserve">JPMorgan Chase Bank</x:t>
        </x:is>
      </x:c>
      <x:c r="H65" s="565" t="inlineStr">
        <x:is>
          <x:t xml:space="preserve">Samson Resources, Geodyne Resources</x:t>
        </x:is>
      </x:c>
      <x:c r="I65" s="565" t="inlineStr">
        <x:is>
          <x:t xml:space="preserve">S31 T12N R24W LALEXANDER (plus 278 more)</x:t>
        </x:is>
      </x:c>
      <x:c r="J65" s="565" t="inlineStr">
        <x:is>
          <x:t xml:space="preserve">Public OKCountyRecords snippet only reviewed. Partial Release Of Lien metadata visible; full image/exhibit required to confirm release effect on Section 31-12N-24W.</x:t>
        </x:is>
      </x:c>
      <x:c r="K65" s="565" t="inlineStr">
        <x:is>
          <x:t xml:space="preserve">31-12N-24W_Roger_Mills_Cursory_Title_Report_(6-10-2026)_BEST_UPDATED.xlsx</x:t>
        </x:is>
      </x:c>
      <x:c r="L65" s="565" t="inlineStr">
        <x:is>
          <x:t xml:space="preserve">Runsheet</x:t>
        </x:is>
      </x:c>
      <x:c r="M65" s="565" t="inlineStr">
        <x:is>
          <x:t xml:space="preserve">https://okcountyrecords.com/detail/roger+mills/2017-000082</x:t>
        </x:is>
      </x:c>
      <x:c r="N65" s="565" t="inlineStr">
        <x:is>
          <x:t xml:space="preserve">Public web snippet only; full image required before reliance.</x:t>
        </x:is>
      </x:c>
      <x:c r="O65" s="565" t="n"/>
      <x:c r="P65" s="541" t="inlineStr">
        <x:is>
          <x:t xml:space="preserve">Obtain full lease image/certified copy; verify terms, acreage, royalty and lease status.</x:t>
        </x:is>
      </x:c>
      <x:c r="Q65" s="541" t="inlineStr">
        <x:is>
          <x:t xml:space="preserve">High</x:t>
        </x:is>
      </x:c>
      <x:c r="R65" s="541" t="inlineStr">
        <x:is>
          <x:t xml:space="preserve">Lease</x:t>
        </x:is>
      </x:c>
      <x:c r="S65" s="650" t="inlineStr">
        <x:is>
          <x:t xml:space="preserve">not found in public snippet</x:t>
        </x:is>
      </x:c>
      <x:c r="T65" s="567" t="inlineStr">
        <x:is>
          <x:t xml:space="preserve">Effective / instrument date column</x:t>
        </x:is>
      </x:c>
      <x:c r="U65" s="650" t="n">
        <x:v>42752</x:v>
      </x:c>
      <x:c r="V65" s="567" t="inlineStr">
        <x:is>
          <x:t xml:space="preserve">31-12N-24W</x:t>
        </x:is>
      </x:c>
      <x:c r="W65" s="567" t="inlineStr">
        <x:is>
          <x:t xml:space="preserve">All or unspecified part of Section 31; no quarter call stated in index text</x:t>
        </x:is>
      </x:c>
      <x:c r="X65" s="567" t="inlineStr">
        <x:is>
          <x:t xml:space="preserve">Section match only</x:t>
        </x:is>
      </x:c>
      <x:c r="Y65" s="568" t="inlineStr">
        <x:is>
          <x:t xml:space="preserve">Yes – quarter call missing or index-only</x:t>
        </x:is>
      </x:c>
      <x:c r="Z65" s="568" t="inlineStr">
        <x:is>
          <x:t xml:space="preserve">Extracted from existing workbook/public OKCR text; not a certified legal description.</x:t>
        </x:is>
      </x:c>
    </x:row>
    <x:row r="66">
      <x:c r="A66" s="565" t="n">
        <x:v>397</x:v>
      </x:c>
      <x:c r="B66" s="565" t="inlineStr">
        <x:is>
          <x:t xml:space="preserve">OKCR API/Web Sec31-12N-24W</x:t>
        </x:is>
      </x:c>
      <x:c r="C66" s="565" t="inlineStr">
        <x:is>
          <x:t xml:space="preserve">Search Result Page / API Attempt</x:t>
        </x:is>
      </x:c>
      <x:c r="D66" s="565" t="n"/>
      <x:c r="E66" s="565" t="n"/>
      <x:c r="F66" s="570" t="n">
        <x:v>46184</x:v>
      </x:c>
      <x:c r="G66" s="565" t="n"/>
      <x:c r="H66" s="565" t="n"/>
      <x:c r="I66" s="565" t="inlineStr">
        <x:is>
          <x:t xml:space="preserve">Section 31, Township 12N, Range 24W, Roger Mills County, Oklahoma</x:t>
        </x:is>
      </x:c>
      <x:c r="J66" s="565" t="inlineStr">
        <x:is>
          <x:t xml:space="preserve">Public OKCountyRecords page returned no document-result links. Authenticated API request could not be executed inside the workbook runtime because fetch is unavailable. No paid images were downloaded.</x:t>
        </x:is>
      </x:c>
      <x:c r="K66" s="565" t="inlineStr">
        <x:is>
          <x:t xml:space="preserve">OKCountyRecords public results page and API documentation</x:t>
        </x:is>
      </x:c>
      <x:c r="L66" s="565" t="inlineStr">
        <x:is>
          <x:t xml:space="preserve">Web/API fetch log</x:t>
        </x:is>
      </x:c>
      <x:c r="M66" s="565" t="inlineStr">
        <x:is>
          <x:t xml:space="preserve">https://okcountyrecords.com/results/section=31:township=12N:range=24W:site=roger+mills/page-1</x:t>
        </x:is>
      </x:c>
      <x:c r="N66" s="565" t="inlineStr">
        <x:is>
          <x:t xml:space="preserve">No document-result links available from public page; authenticated API pull requires supported client/request path</x:t>
        </x:is>
      </x:c>
      <x:c r="O66" s="565" t="inlineStr">
        <x:is>
          <x:t xml:space="preserve">https://okcountyrecords.com/api/v1/documentation/search</x:t>
        </x:is>
      </x:c>
      <x:c r="P66" s="541" t="inlineStr">
        <x:is>
          <x:t xml:space="preserve">Use OKCountyRecords API/search or corrected public search outside restricted runtime; obtain certified copies before final title report. API credential was not stored in workbook.</x:t>
        </x:is>
      </x:c>
      <x:c r="Q66" s="541" t="inlineStr">
        <x:is>
          <x:t xml:space="preserve">High</x:t>
        </x:is>
      </x:c>
      <x:c r="R66" s="541" t="inlineStr">
        <x:is>
          <x:t xml:space="preserve">External Search</x:t>
        </x:is>
      </x:c>
      <x:c r="S66" s="650" t="n">
        <x:v>46184</x:v>
      </x:c>
      <x:c r="T66" s="567" t="inlineStr">
        <x:is>
          <x:t xml:space="preserve">Recorded / indexed date column</x:t>
        </x:is>
      </x:c>
      <x:c r="U66" s="650" t="n">
        <x:v>46184</x:v>
      </x:c>
      <x:c r="V66" s="567" t="inlineStr">
        <x:is>
          <x:t xml:space="preserve">31-12N-24W</x:t>
        </x:is>
      </x:c>
      <x:c r="W66" s="567" t="inlineStr">
        <x:is>
          <x:t xml:space="preserve">All or unspecified part of Section 31; no quarter call stated in index text</x:t>
        </x:is>
      </x:c>
      <x:c r="X66" s="567" t="inlineStr">
        <x:is>
          <x:t xml:space="preserve">Section match only</x:t>
        </x:is>
      </x:c>
      <x:c r="Y66" s="568" t="inlineStr">
        <x:is>
          <x:t xml:space="preserve">Yes – quarter call missing or index-only</x:t>
        </x:is>
      </x:c>
      <x:c r="Z66" s="568" t="inlineStr">
        <x:is>
          <x:t xml:space="preserve">Status/log row only; not an instrument record.</x:t>
        </x:is>
      </x:c>
    </x:row>
    <x:row r="67">
      <x:c r="A67" s="567" t="n">
        <x:v>398</x:v>
      </x:c>
      <x:c r="B67" s="567" t="inlineStr">
        <x:is>
          <x:t xml:space="preserve">OKCR Public Text</x:t>
        </x:is>
      </x:c>
      <x:c r="C67" s="567" t="inlineStr">
        <x:is>
          <x:t xml:space="preserve">Site / County Metadata</x:t>
        </x:is>
      </x:c>
      <x:c r="D67" s="567" t="n"/>
      <x:c r="E67" s="567" t="n"/>
      <x:c r="F67" s="571" t="n">
        <x:v>46184</x:v>
      </x:c>
      <x:c r="G67" s="567" t="inlineStr">
        <x:is>
          <x:t xml:space="preserve">Roger Mills County Clerk / OKCountyRecords</x:t>
        </x:is>
      </x:c>
      <x:c r="H67" s="567" t="n"/>
      <x:c r="I67" s="567" t="inlineStr">
        <x:is>
          <x:t xml:space="preserve">Roger Mills County, Oklahoma</x:t>
        </x:is>
      </x:c>
      <x:c r="J67" s="567" t="inlineStr">
        <x:is>
          <x:t xml:space="preserve">County landing page text: Roger Mills County Clerk Jymay Whitson McLeod; Courthouse P.O. Box 708, Cheyenne, OK 73628-0708; phone (833)-638-7999; hours 8:00am - 4:30pm; indexed data from March 1901; scanned images from January 1957; published records belong to the county clerk office.</x:t>
        </x:is>
      </x:c>
      <x:c r="K67" s="567" t="inlineStr">
        <x:is>
          <x:t xml:space="preserve">OKCountyRecords public site</x:t>
        </x:is>
      </x:c>
      <x:c r="L67" s="567" t="inlineStr">
        <x:is>
          <x:t xml:space="preserve">Public county landing page</x:t>
        </x:is>
      </x:c>
      <x:c r="M67" s="567" t="inlineStr">
        <x:is>
          <x:t xml:space="preserve">https://okcountyrecords.com/search/roger%20mills</x:t>
        </x:is>
      </x:c>
      <x:c r="N67" s="567" t="inlineStr">
        <x:is>
          <x:t xml:space="preserve">Public text only; no image retrieval</x:t>
        </x:is>
      </x:c>
      <x:c r="O67" s="567" t="inlineStr">
        <x:is>
          <x:t xml:space="preserve">https://okcountyrecords.com/search/roger%20mills</x:t>
        </x:is>
      </x:c>
      <x:c r="P67" s="568" t="inlineStr">
        <x:is>
          <x:t xml:space="preserve">Use county clerk / OKCR public site for index metadata; certified copies still required for title report.</x:t>
        </x:is>
      </x:c>
      <x:c r="Q67" s="568" t="inlineStr">
        <x:is>
          <x:t xml:space="preserve">High</x:t>
        </x:is>
      </x:c>
      <x:c r="R67" s="568" t="inlineStr">
        <x:is>
          <x:t xml:space="preserve">OKCR Public Text</x:t>
        </x:is>
      </x:c>
      <x:c r="S67" s="650" t="n">
        <x:v>46184</x:v>
      </x:c>
      <x:c r="T67" s="567" t="inlineStr">
        <x:is>
          <x:t xml:space="preserve">Recorded / indexed date column</x:t>
        </x:is>
      </x:c>
      <x:c r="U67" s="650" t="n">
        <x:v>46184</x:v>
      </x:c>
      <x:c r="V67" s="567" t="n"/>
      <x:c r="W67" s="567" t="n"/>
      <x:c r="X67" s="567" t="inlineStr">
        <x:is>
          <x:t xml:space="preserve">No Section 31-12N-24W legal match</x:t>
        </x:is>
      </x:c>
      <x:c r="Y67" s="568" t="inlineStr">
        <x:is>
          <x:t xml:space="preserve">Yes – quarter call missing or index-only</x:t>
        </x:is>
      </x:c>
      <x:c r="Z67" s="568" t="inlineStr">
        <x:is>
          <x:t xml:space="preserve">Extracted from existing workbook/public OKCR text; not a certified legal description.</x:t>
        </x:is>
      </x:c>
    </x:row>
    <x:row r="68">
      <x:c r="A68" s="567" t="n">
        <x:v>399</x:v>
      </x:c>
      <x:c r="B68" s="567" t="inlineStr">
        <x:is>
          <x:t xml:space="preserve">OKCR Public Text</x:t>
        </x:is>
      </x:c>
      <x:c r="C68" s="567" t="inlineStr">
        <x:is>
          <x:t xml:space="preserve">Provided Search Page</x:t>
        </x:is>
      </x:c>
      <x:c r="D68" s="567" t="n"/>
      <x:c r="E68" s="567" t="n"/>
      <x:c r="F68" s="571" t="n">
        <x:v>46184</x:v>
      </x:c>
      <x:c r="G68" s="567" t="n"/>
      <x:c r="H68" s="567" t="n"/>
      <x:c r="I68" s="567" t="inlineStr">
        <x:is>
          <x:t xml:space="preserve">Section 31, Township 12N, Range 24W, Roger Mills County, Oklahoma</x:t>
        </x:is>
      </x:c>
      <x:c r="J68" s="567" t="inlineStr">
        <x:is>
          <x:t xml:space="preserve">Provided public result URL returned: Oops, nothing found; no records matched “County: , Section: 31, Township: 12N, Range: 24W” in Roger Mills County; no record-detail links were available to click on that page.</x:t>
        </x:is>
      </x:c>
      <x:c r="K68" s="567" t="inlineStr">
        <x:is>
          <x:t xml:space="preserve">OKCountyRecords public result page</x:t>
        </x:is>
      </x:c>
      <x:c r="L68" s="567" t="inlineStr">
        <x:is>
          <x:t xml:space="preserve">Provided Sec31 result page</x:t>
        </x:is>
      </x:c>
      <x:c r="M68" s="567" t="inlineStr">
        <x:is>
          <x:t xml:space="preserve">https://okcountyrecords.com/results/section=31:township=12N:range=24W:site=roger+mills/page-1</x:t>
        </x:is>
      </x:c>
      <x:c r="N68" s="567" t="inlineStr">
        <x:is>
          <x:t xml:space="preserve">Public page reviewed; no document-result links</x:t>
        </x:is>
      </x:c>
      <x:c r="O68" s="567" t="inlineStr">
        <x:is>
          <x:t xml:space="preserve">https://okcountyrecords.com/results/section=31:township=12N:range=24W:site=roger+mills/page-1</x:t>
        </x:is>
      </x:c>
      <x:c r="P68" s="568" t="inlineStr">
        <x:is>
          <x:t xml:space="preserve">Confirm correct OKCR search syntax or run authenticated API/search outside workbook runtime.</x:t>
        </x:is>
      </x:c>
      <x:c r="Q68" s="568" t="inlineStr">
        <x:is>
          <x:t xml:space="preserve">High</x:t>
        </x:is>
      </x:c>
      <x:c r="R68" s="568" t="inlineStr">
        <x:is>
          <x:t xml:space="preserve">OKCR Public Text</x:t>
        </x:is>
      </x:c>
      <x:c r="S68" s="650" t="n">
        <x:v>46184</x:v>
      </x:c>
      <x:c r="T68" s="567" t="inlineStr">
        <x:is>
          <x:t xml:space="preserve">Recorded / indexed date column</x:t>
        </x:is>
      </x:c>
      <x:c r="U68" s="650" t="n">
        <x:v>46184</x:v>
      </x:c>
      <x:c r="V68" s="567" t="inlineStr">
        <x:is>
          <x:t xml:space="preserve">31-12N-24W</x:t>
        </x:is>
      </x:c>
      <x:c r="W68" s="567" t="inlineStr">
        <x:is>
          <x:t xml:space="preserve">All or unspecified part of Section 31; no quarter call stated in index text</x:t>
        </x:is>
      </x:c>
      <x:c r="X68" s="567" t="inlineStr">
        <x:is>
          <x:t xml:space="preserve">Section match only</x:t>
        </x:is>
      </x:c>
      <x:c r="Y68" s="568" t="inlineStr">
        <x:is>
          <x:t xml:space="preserve">Yes – quarter call missing or index-only</x:t>
        </x:is>
      </x:c>
      <x:c r="Z68" s="568" t="inlineStr">
        <x:is>
          <x:t xml:space="preserve">Status/log row only; not an instrument record.</x:t>
        </x:is>
      </x:c>
    </x:row>
    <x:row r="69">
      <x:c r="A69" s="567" t="n">
        <x:v>400</x:v>
      </x:c>
      <x:c r="B69" s="567" t="inlineStr">
        <x:is>
          <x:t xml:space="preserve">OKCR Public Text</x:t>
        </x:is>
      </x:c>
      <x:c r="C69" s="567" t="inlineStr">
        <x:is>
          <x:t xml:space="preserve">Search Form / Field Text</x:t>
        </x:is>
      </x:c>
      <x:c r="D69" s="567" t="n"/>
      <x:c r="E69" s="567" t="n"/>
      <x:c r="F69" s="571" t="n">
        <x:v>46184</x:v>
      </x:c>
      <x:c r="G69" s="567" t="inlineStr">
        <x:is>
          <x:t xml:space="preserve">OKCountyRecords</x:t>
        </x:is>
      </x:c>
      <x:c r="H69" s="567" t="n"/>
      <x:c r="I69" s="567" t="inlineStr">
        <x:is>
          <x:t xml:space="preserve">Roger Mills County advanced search</x:t>
        </x:is>
      </x:c>
      <x:c r="J69" s="567" t="inlineStr">
        <x:is>
          <x:t xml:space="preserve">Public site exposes advanced search text fields for name, party type, book/page, series, instrument number, instrument type, recorded dates, legal description, quarter, section, township, range, addition, block and lot; site lists Section 31, Township 12N and Range 24W as selectable fields.</x:t>
        </x:is>
      </x:c>
      <x:c r="K69" s="567" t="inlineStr">
        <x:is>
          <x:t xml:space="preserve">OKCountyRecords public site</x:t>
        </x:is>
      </x:c>
      <x:c r="L69" s="567" t="inlineStr">
        <x:is>
          <x:t xml:space="preserve">Advanced search field list</x:t>
        </x:is>
      </x:c>
      <x:c r="M69" s="567" t="inlineStr">
        <x:is>
          <x:t xml:space="preserve">https://okcountyrecords.com/search/roger%20mills</x:t>
        </x:is>
      </x:c>
      <x:c r="N69" s="567" t="inlineStr">
        <x:is>
          <x:t xml:space="preserve">Public text only; search form data captured</x:t>
        </x:is>
      </x:c>
      <x:c r="O69" s="567" t="inlineStr">
        <x:is>
          <x:t xml:space="preserve">https://okcountyrecords.com/search/roger%20mills</x:t>
        </x:is>
      </x:c>
      <x:c r="P69" s="568" t="inlineStr">
        <x:is>
          <x:t xml:space="preserve">Use advanced search or API to retrieve authoritative indexed instrument data.</x:t>
        </x:is>
      </x:c>
      <x:c r="Q69" s="568" t="inlineStr">
        <x:is>
          <x:t xml:space="preserve">Medium</x:t>
        </x:is>
      </x:c>
      <x:c r="R69" s="568" t="inlineStr">
        <x:is>
          <x:t xml:space="preserve">OKCR Public Text</x:t>
        </x:is>
      </x:c>
      <x:c r="S69" s="650" t="n">
        <x:v>46184</x:v>
      </x:c>
      <x:c r="T69" s="567" t="inlineStr">
        <x:is>
          <x:t xml:space="preserve">Recorded / indexed date column</x:t>
        </x:is>
      </x:c>
      <x:c r="U69" s="650" t="n">
        <x:v>46184</x:v>
      </x:c>
      <x:c r="V69" s="567" t="inlineStr">
        <x:is>
          <x:t xml:space="preserve">31-12N-24W</x:t>
        </x:is>
      </x:c>
      <x:c r="W69" s="567" t="n"/>
      <x:c r="X69" s="567" t="inlineStr">
        <x:is>
          <x:t xml:space="preserve">No Section 31-12N-24W legal match</x:t>
        </x:is>
      </x:c>
      <x:c r="Y69" s="568" t="inlineStr">
        <x:is>
          <x:t xml:space="preserve">Yes – quarter call missing or index-only</x:t>
        </x:is>
      </x:c>
      <x:c r="Z69" s="568" t="inlineStr">
        <x:is>
          <x:t xml:space="preserve">Extracted from existing workbook/public OKCR text; not a certified legal description.</x:t>
        </x:is>
      </x:c>
    </x:row>
    <x:row r="70">
      <x:c r="A70" s="567" t="n">
        <x:v>401</x:v>
      </x:c>
      <x:c r="B70" s="567" t="inlineStr">
        <x:is>
          <x:t xml:space="preserve">OKCR Public Text</x:t>
        </x:is>
      </x:c>
      <x:c r="C70" s="567" t="inlineStr">
        <x:is>
          <x:t xml:space="preserve">Assignment</x:t>
        </x:is>
      </x:c>
      <x:c r="D70" s="567" t="inlineStr">
        <x:is>
          <x:t xml:space="preserve">2356/0399 - 0592</x:t>
        </x:is>
      </x:c>
      <x:c r="E70" s="567" t="n"/>
      <x:c r="F70" s="571" t="n">
        <x:v>42752</x:v>
      </x:c>
      <x:c r="G70" s="567" t="inlineStr">
        <x:is>
          <x:t xml:space="preserve">GEODYNE RESOURCES INC; SAMSON LONE STAR, LLC; SAMSON RESOURCES COMPANY</x:t>
        </x:is>
      </x:c>
      <x:c r="H70" s="567" t="inlineStr">
        <x:is>
          <x:t xml:space="preserve">FAIRWAY RESOURCES III, LLC</x:t>
        </x:is>
      </x:c>
      <x:c r="I70" s="567" t="inlineStr">
        <x:is>
          <x:t xml:space="preserve">S12 T13N R22W LA CROSS RANCH; S31 T12N R24W LALEXANDER; 278 more</x:t>
        </x:is>
      </x:c>
      <x:c r="J70" s="567" t="inlineStr">
        <x:is>
          <x:t xml:space="preserve">Existing workbook contained this OKCR public snippet; consolidated here for Section 31 text. Instrument 2017-000083 appears as Assignment, Book 002356, pages 0399-0592, images 194. Full image/exhibit not downloaded.</x:t>
        </x:is>
      </x:c>
      <x:c r="K70" s="567" t="inlineStr">
        <x:is>
          <x:t xml:space="preserve">Existing raw OKCR public snippet</x:t>
        </x:is>
      </x:c>
      <x:c r="L70" s="567" t="inlineStr">
        <x:is>
          <x:t xml:space="preserve">Consolidated from raw row 395</x:t>
        </x:is>
      </x:c>
      <x:c r="M70" s="567" t="inlineStr">
        <x:is>
          <x:t xml:space="preserve">https://okcountyrecords.com/detail/roger+mills/2017-000083</x:t>
        </x:is>
      </x:c>
      <x:c r="N70" s="567" t="inlineStr">
        <x:is>
          <x:t xml:space="preserve">Public index text only; instrument image/exhibits still required</x:t>
        </x:is>
      </x:c>
      <x:c r="O70" s="567" t="inlineStr">
        <x:is>
          <x:t xml:space="preserve">https://okcountyrecords.com/detail/roger+mills/2017-000083</x:t>
        </x:is>
      </x:c>
      <x:c r="P70" s="568" t="inlineStr">
        <x:is>
          <x:t xml:space="preserve">Obtain full assignment image/exhibits; verify assigned leases, depths, burdens, retained interests and chain continuity.</x:t>
        </x:is>
      </x:c>
      <x:c r="Q70" s="568" t="inlineStr">
        <x:is>
          <x:t xml:space="preserve">High</x:t>
        </x:is>
      </x:c>
      <x:c r="R70" s="568" t="inlineStr">
        <x:is>
          <x:t xml:space="preserve">Assignment</x:t>
        </x:is>
      </x:c>
      <x:c r="S70" s="650" t="n">
        <x:v>42752</x:v>
      </x:c>
      <x:c r="T70" s="567" t="inlineStr">
        <x:is>
          <x:t xml:space="preserve">Recorded / indexed date column</x:t>
        </x:is>
      </x:c>
      <x:c r="U70" s="650" t="n">
        <x:v>42752</x:v>
      </x:c>
      <x:c r="V70" s="567" t="inlineStr">
        <x:is>
          <x:t xml:space="preserve">31-12N-24W</x:t>
        </x:is>
      </x:c>
      <x:c r="W70" s="567" t="inlineStr">
        <x:is>
          <x:t xml:space="preserve">All or unspecified part of Section 31; no quarter call stated in index text</x:t>
        </x:is>
      </x:c>
      <x:c r="X70" s="567" t="inlineStr">
        <x:is>
          <x:t xml:space="preserve">Section match only</x:t>
        </x:is>
      </x:c>
      <x:c r="Y70" s="568" t="inlineStr">
        <x:is>
          <x:t xml:space="preserve">Yes – quarter call missing or index-only</x:t>
        </x:is>
      </x:c>
      <x:c r="Z70" s="568" t="inlineStr">
        <x:is>
          <x:t xml:space="preserve">Extracted from existing workbook/public OKCR text; not a certified legal description.</x:t>
        </x:is>
      </x:c>
    </x:row>
    <x:row r="71">
      <x:c r="A71" s="567" t="n">
        <x:v>402</x:v>
      </x:c>
      <x:c r="B71" s="567" t="inlineStr">
        <x:is>
          <x:t xml:space="preserve">OKCR Public Text</x:t>
        </x:is>
      </x:c>
      <x:c r="C71" s="567" t="inlineStr">
        <x:is>
          <x:t xml:space="preserve">Mortgage</x:t>
        </x:is>
      </x:c>
      <x:c r="D71" s="567" t="inlineStr">
        <x:is>
          <x:t xml:space="preserve">2357/0001 - 0201</x:t>
        </x:is>
      </x:c>
      <x:c r="E71" s="567" t="n"/>
      <x:c r="F71" s="571" t="n">
        <x:v>42752</x:v>
      </x:c>
      <x:c r="G71" s="567" t="inlineStr">
        <x:is>
          <x:t xml:space="preserve">FAIRWAY RESOURCES III, LLC</x:t>
        </x:is>
      </x:c>
      <x:c r="H71" s="567" t="inlineStr">
        <x:is>
          <x:t xml:space="preserve">JPMORGAN CHASE BANK</x:t>
        </x:is>
      </x:c>
      <x:c r="I71" s="567" t="inlineStr">
        <x:is>
          <x:t xml:space="preserve">S12 T13N R22W LA CROSS RANCH; S31 T12N R24W LALEXANDER; 278 more</x:t>
        </x:is>
      </x:c>
      <x:c r="J71" s="567" t="inlineStr">
        <x:is>
          <x:t xml:space="preserve">Public OKCR search text surfaced instrument 2017-000084 as Mortgage, Book 002357, pages 0001-0201, images 201. Text is public index/search text only; full image/exhibit not downloaded.</x:t>
        </x:is>
      </x:c>
      <x:c r="K71" s="567" t="inlineStr">
        <x:is>
          <x:t xml:space="preserve">OKCountyRecords public search result</x:t>
        </x:is>
      </x:c>
      <x:c r="L71" s="567" t="inlineStr">
        <x:is>
          <x:t xml:space="preserve">Search result snippet/public page</x:t>
        </x:is>
      </x:c>
      <x:c r="M71" s="567" t="inlineStr">
        <x:is>
          <x:t xml:space="preserve">https://okcountyrecords.com/results/omni%3DS4%2BT14N%2BR25W%2BA%3Asite%3Droger%20mills/beginning_page%3Dasc/page-1</x:t>
        </x:is>
      </x:c>
      <x:c r="N71" s="567" t="inlineStr">
        <x:is>
          <x:t xml:space="preserve">Public index text only; mortgage image/exhibits still required</x:t>
        </x:is>
      </x:c>
      <x:c r="O71" s="567" t="inlineStr">
        <x:is>
          <x:t xml:space="preserve">https://okcountyrecords.com/results/omni%3DS4%2BT14N%2BR25W%2BA%3Asite%3Droger%20mills/beginning_page%3Dasc/page-1</x:t>
        </x:is>
      </x:c>
      <x:c r="P71" s="568" t="inlineStr">
        <x:is>
          <x:t xml:space="preserve">Obtain mortgage and release images/exhibits; confirm collateral, amount, maturity and release status.</x:t>
        </x:is>
      </x:c>
      <x:c r="Q71" s="568" t="inlineStr">
        <x:is>
          <x:t xml:space="preserve">High</x:t>
        </x:is>
      </x:c>
      <x:c r="R71" s="568" t="inlineStr">
        <x:is>
          <x:t xml:space="preserve">Lien / Release</x:t>
        </x:is>
      </x:c>
      <x:c r="S71" s="650" t="n">
        <x:v>42752</x:v>
      </x:c>
      <x:c r="T71" s="567" t="inlineStr">
        <x:is>
          <x:t xml:space="preserve">Recorded / indexed date column</x:t>
        </x:is>
      </x:c>
      <x:c r="U71" s="650" t="n">
        <x:v>42752</x:v>
      </x:c>
      <x:c r="V71" s="567" t="inlineStr">
        <x:is>
          <x:t xml:space="preserve">31-12N-24W</x:t>
        </x:is>
      </x:c>
      <x:c r="W71" s="567" t="inlineStr">
        <x:is>
          <x:t xml:space="preserve">All or unspecified part of Section 31; no quarter call stated in index text</x:t>
        </x:is>
      </x:c>
      <x:c r="X71" s="567" t="inlineStr">
        <x:is>
          <x:t xml:space="preserve">Section match only</x:t>
        </x:is>
      </x:c>
      <x:c r="Y71" s="568" t="inlineStr">
        <x:is>
          <x:t xml:space="preserve">Yes – quarter call missing or index-only</x:t>
        </x:is>
      </x:c>
      <x:c r="Z71" s="568" t="inlineStr">
        <x:is>
          <x:t xml:space="preserve">Extracted from existing workbook/public OKCR text; not a certified legal description.</x:t>
        </x:is>
      </x:c>
    </x:row>
    <x:row r="72">
      <x:c r="A72" s="567" t="n">
        <x:v>403</x:v>
      </x:c>
      <x:c r="B72" s="567" t="inlineStr">
        <x:is>
          <x:t xml:space="preserve">OKCR Public Text</x:t>
        </x:is>
      </x:c>
      <x:c r="C72" s="567" t="inlineStr">
        <x:is>
          <x:t xml:space="preserve">Financing Statement</x:t>
        </x:is>
      </x:c>
      <x:c r="D72" s="567" t="inlineStr">
        <x:is>
          <x:t xml:space="preserve">2599/0001 - 0113</x:t>
        </x:is>
      </x:c>
      <x:c r="E72" s="567" t="n"/>
      <x:c r="F72" s="571" t="n">
        <x:v>45609</x:v>
      </x:c>
      <x:c r="G72" s="567" t="inlineStr">
        <x:is>
          <x:t xml:space="preserve">ANADARKO BASIN HOLDINGS, LLC; SAMSON LONE STAR, LLC; SAMSON RESOURCES COMPANY</x:t>
        </x:is>
      </x:c>
      <x:c r="H72" s="567" t="inlineStr">
        <x:is>
          <x:t xml:space="preserve">FAIRWAY RESOURCES III, LLC</x:t>
        </x:is>
      </x:c>
      <x:c r="I72" s="567" t="inlineStr">
        <x:is>
          <x:t xml:space="preserve">S12 T13N R22W LA CROSS RANCH; S31 T12N R24W LALEXANDER; 278 more</x:t>
        </x:is>
      </x:c>
      <x:c r="J72" s="567" t="inlineStr">
        <x:is>
          <x:t xml:space="preserve">Public OKCR search text surfaced instrument 2024-007118 as Financing Statement, Book 002599, pages 0001-0113, images 194. Text is public index/search text only; full image/exhibit not downloaded.</x:t>
        </x:is>
      </x:c>
      <x:c r="K72" s="567" t="inlineStr">
        <x:is>
          <x:t xml:space="preserve">OKCountyRecords public search result</x:t>
        </x:is>
      </x:c>
      <x:c r="L72" s="567" t="inlineStr">
        <x:is>
          <x:t xml:space="preserve">Search result snippet/public page</x:t>
        </x:is>
      </x:c>
      <x:c r="M72" s="567" t="inlineStr">
        <x:is>
          <x:t xml:space="preserve">https://okcountyrecords.com/results/omni%3DT15N%2BR21W%3Asite%3Droger%20mills/site_id%3Ddesc/page-26</x:t>
        </x:is>
      </x:c>
      <x:c r="N72" s="567" t="inlineStr">
        <x:is>
          <x:t xml:space="preserve">Public index text only; financing statement image/exhibits still required</x:t>
        </x:is>
      </x:c>
      <x:c r="O72" s="567" t="inlineStr">
        <x:is>
          <x:t xml:space="preserve">https://okcountyrecords.com/results/omni%3DT15N%2BR21W%3Asite%3Droger%20mills/site_id%3Ddesc/page-26</x:t>
        </x:is>
      </x:c>
      <x:c r="P72" s="568" t="inlineStr">
        <x:is>
          <x:t xml:space="preserve">Obtain financing statement and termination/release evidence; confirm whether Section 31 interests remain encumbered.</x:t>
        </x:is>
      </x:c>
      <x:c r="Q72" s="568" t="inlineStr">
        <x:is>
          <x:t xml:space="preserve">High</x:t>
        </x:is>
      </x:c>
      <x:c r="R72" s="568" t="inlineStr">
        <x:is>
          <x:t xml:space="preserve">Lien / Release</x:t>
        </x:is>
      </x:c>
      <x:c r="S72" s="650" t="n">
        <x:v>45609</x:v>
      </x:c>
      <x:c r="T72" s="567" t="inlineStr">
        <x:is>
          <x:t xml:space="preserve">Recorded / indexed date column</x:t>
        </x:is>
      </x:c>
      <x:c r="U72" s="650" t="n">
        <x:v>45609</x:v>
      </x:c>
      <x:c r="V72" s="567" t="inlineStr">
        <x:is>
          <x:t xml:space="preserve">31-12N-24W</x:t>
        </x:is>
      </x:c>
      <x:c r="W72" s="567" t="inlineStr">
        <x:is>
          <x:t xml:space="preserve">All or unspecified part of Section 31; no quarter call stated in index text</x:t>
        </x:is>
      </x:c>
      <x:c r="X72" s="567" t="inlineStr">
        <x:is>
          <x:t xml:space="preserve">Section match only</x:t>
        </x:is>
      </x:c>
      <x:c r="Y72" s="568" t="inlineStr">
        <x:is>
          <x:t xml:space="preserve">Yes – quarter call missing or index-only</x:t>
        </x:is>
      </x:c>
      <x:c r="Z72" s="568" t="inlineStr">
        <x:is>
          <x:t xml:space="preserve">Extracted from existing workbook/public OKCR text; not a certified legal description.</x:t>
        </x:is>
      </x:c>
    </x:row>
    <x:row r="73">
      <x:c r="A73" s="567" t="n">
        <x:v>404</x:v>
      </x:c>
      <x:c r="B73" s="567" t="inlineStr">
        <x:is>
          <x:t xml:space="preserve">OKCR Public Text</x:t>
        </x:is>
      </x:c>
      <x:c r="C73" s="567" t="inlineStr">
        <x:is>
          <x:t xml:space="preserve">Partial Release Of Lien</x:t>
        </x:is>
      </x:c>
      <x:c r="D73" s="567" t="inlineStr">
        <x:is>
          <x:t xml:space="preserve">2356/0001 - 0199</x:t>
        </x:is>
      </x:c>
      <x:c r="E73" s="567" t="n"/>
      <x:c r="F73" s="571" t="n">
        <x:v>42752</x:v>
      </x:c>
      <x:c r="G73" s="567" t="inlineStr">
        <x:is>
          <x:t xml:space="preserve">DEUTSCHE BANK</x:t>
        </x:is>
      </x:c>
      <x:c r="H73" s="567" t="inlineStr">
        <x:is>
          <x:t xml:space="preserve">SAMSON RESOURCES; GEODYNE RESOURCES</x:t>
        </x:is>
      </x:c>
      <x:c r="I73" s="567" t="inlineStr">
        <x:is>
          <x:t xml:space="preserve">S12 T13N R22W LA CROSS RANCH; S31 T12N R24W LALEXANDER; 279 more</x:t>
        </x:is>
      </x:c>
      <x:c r="J73" s="567" t="inlineStr">
        <x:is>
          <x:t xml:space="preserve">Existing workbook contained this OKCR public snippet; consolidated here for Section 31 text. Instrument 2017-000081 appears as Partial Release Of Lien, Book 002356, pages 0001-0199, images 199. Full image/exhibit not downloaded.</x:t>
        </x:is>
      </x:c>
      <x:c r="K73" s="567" t="inlineStr">
        <x:is>
          <x:t xml:space="preserve">Existing raw OKCR public snippet</x:t>
        </x:is>
      </x:c>
      <x:c r="L73" s="567" t="inlineStr">
        <x:is>
          <x:t xml:space="preserve">Consolidated from raw row 394</x:t>
        </x:is>
      </x:c>
      <x:c r="M73" s="567" t="inlineStr">
        <x:is>
          <x:t xml:space="preserve">https://okcountyrecords.com/detail/roger+mills/2017-000081/19462526</x:t>
        </x:is>
      </x:c>
      <x:c r="N73" s="567" t="inlineStr">
        <x:is>
          <x:t xml:space="preserve">Public index text only; release image/exhibits still required</x:t>
        </x:is>
      </x:c>
      <x:c r="O73" s="567" t="inlineStr">
        <x:is>
          <x:t xml:space="preserve">https://okcountyrecords.com/detail/roger+mills/2017-000081/19462526</x:t>
        </x:is>
      </x:c>
      <x:c r="P73" s="568" t="inlineStr">
        <x:is>
          <x:t xml:space="preserve">Obtain full partial release image/exhibit; match to original lien and confirm Section 31 release effect.</x:t>
        </x:is>
      </x:c>
      <x:c r="Q73" s="568" t="inlineStr">
        <x:is>
          <x:t xml:space="preserve">High</x:t>
        </x:is>
      </x:c>
      <x:c r="R73" s="568" t="inlineStr">
        <x:is>
          <x:t xml:space="preserve">Lien / Release</x:t>
        </x:is>
      </x:c>
      <x:c r="S73" s="650" t="n">
        <x:v>42752</x:v>
      </x:c>
      <x:c r="T73" s="567" t="inlineStr">
        <x:is>
          <x:t xml:space="preserve">Recorded / indexed date column</x:t>
        </x:is>
      </x:c>
      <x:c r="U73" s="650" t="n">
        <x:v>42752</x:v>
      </x:c>
      <x:c r="V73" s="567" t="inlineStr">
        <x:is>
          <x:t xml:space="preserve">31-12N-24W</x:t>
        </x:is>
      </x:c>
      <x:c r="W73" s="567" t="inlineStr">
        <x:is>
          <x:t xml:space="preserve">All or unspecified part of Section 31; no quarter call stated in index text</x:t>
        </x:is>
      </x:c>
      <x:c r="X73" s="567" t="inlineStr">
        <x:is>
          <x:t xml:space="preserve">Section match only</x:t>
        </x:is>
      </x:c>
      <x:c r="Y73" s="568" t="inlineStr">
        <x:is>
          <x:t xml:space="preserve">Yes – quarter call missing or index-only</x:t>
        </x:is>
      </x:c>
      <x:c r="Z73" s="568" t="inlineStr">
        <x:is>
          <x:t xml:space="preserve">Extracted from existing workbook/public OKCR text; not a certified legal description.</x:t>
        </x:is>
      </x:c>
    </x:row>
    <x:row r="74">
      <x:c r="A74" s="567" t="n">
        <x:v>405</x:v>
      </x:c>
      <x:c r="B74" s="567" t="inlineStr">
        <x:is>
          <x:t xml:space="preserve">OKCR Public Text</x:t>
        </x:is>
      </x:c>
      <x:c r="C74" s="567" t="inlineStr">
        <x:is>
          <x:t xml:space="preserve">Search Limitation / Tract Index Note</x:t>
        </x:is>
      </x:c>
      <x:c r="D74" s="567" t="n"/>
      <x:c r="E74" s="567" t="n"/>
      <x:c r="F74" s="571" t="n">
        <x:v>46184</x:v>
      </x:c>
      <x:c r="G74" s="567" t="inlineStr">
        <x:is>
          <x:t xml:space="preserve">OKCountyRecords</x:t>
        </x:is>
      </x:c>
      <x:c r="H74" s="567" t="n"/>
      <x:c r="I74" s="567" t="inlineStr">
        <x:is>
          <x:t xml:space="preserve">Roger Mills County search results</x:t>
        </x:is>
      </x:c>
      <x:c r="J74" s="567" t="inlineStr">
        <x:is>
          <x:t xml:space="preserve">OKCR public result pages state: Printing the search results is disabled; visit the county courthouse and request to view the tract index.</x:t>
        </x:is>
      </x:c>
      <x:c r="K74" s="567" t="inlineStr">
        <x:is>
          <x:t xml:space="preserve">OKCountyRecords public search result</x:t>
        </x:is>
      </x:c>
      <x:c r="L74" s="567" t="inlineStr">
        <x:is>
          <x:t xml:space="preserve">Search limitation text</x:t>
        </x:is>
      </x:c>
      <x:c r="M74" s="567" t="inlineStr">
        <x:is>
          <x:t xml:space="preserve">https://okcountyrecords.com/results/omni%3DS6%2BT12N%2BR24W%3Asite%3Droger%20mills/beginning_page%3Ddesc/page-7</x:t>
        </x:is>
      </x:c>
      <x:c r="N74" s="567" t="inlineStr">
        <x:is>
          <x:t xml:space="preserve">Public limitation text captured</x:t>
        </x:is>
      </x:c>
      <x:c r="O74" s="567" t="inlineStr">
        <x:is>
          <x:t xml:space="preserve">https://okcountyrecords.com/results/omni%3DS6%2BT12N%2BR24W%3Asite%3Droger%20mills/beginning_page%3Ddesc/page-7</x:t>
        </x:is>
      </x:c>
      <x:c r="P74" s="568" t="inlineStr">
        <x:is>
          <x:t xml:space="preserve">For complete tract-index coverage, request courthouse tract index and certified copies; do not rely solely on public search snippets.</x:t>
        </x:is>
      </x:c>
      <x:c r="Q74" s="568" t="inlineStr">
        <x:is>
          <x:t xml:space="preserve">High</x:t>
        </x:is>
      </x:c>
      <x:c r="R74" s="568" t="inlineStr">
        <x:is>
          <x:t xml:space="preserve">External Search</x:t>
        </x:is>
      </x:c>
      <x:c r="S74" s="650" t="n">
        <x:v>46184</x:v>
      </x:c>
      <x:c r="T74" s="567" t="inlineStr">
        <x:is>
          <x:t xml:space="preserve">Recorded / indexed date column</x:t>
        </x:is>
      </x:c>
      <x:c r="U74" s="650" t="n">
        <x:v>46184</x:v>
      </x:c>
      <x:c r="V74" s="567" t="n"/>
      <x:c r="W74" s="567" t="n"/>
      <x:c r="X74" s="567" t="inlineStr">
        <x:is>
          <x:t xml:space="preserve">No Section 31-12N-24W legal match</x:t>
        </x:is>
      </x:c>
      <x:c r="Y74" s="568" t="inlineStr">
        <x:is>
          <x:t xml:space="preserve">Yes – quarter call missing or index-only</x:t>
        </x:is>
      </x:c>
      <x:c r="Z74" s="568" t="inlineStr">
        <x:is>
          <x:t xml:space="preserve">Extracted from existing workbook/public OKCR text; not a certified legal description.</x:t>
        </x:is>
      </x:c>
    </x:row>
    <x:row r="75">
      <x:c r="A75" s="567" t="n">
        <x:v>406</x:v>
      </x:c>
      <x:c r="B75" s="567" t="inlineStr">
        <x:is>
          <x:t xml:space="preserve">OKCR Web Workaround</x:t>
        </x:is>
      </x:c>
      <x:c r="C75" s="567" t="inlineStr">
        <x:is>
          <x:t xml:space="preserve">Mortgage</x:t>
        </x:is>
      </x:c>
      <x:c r="D75" s="567" t="inlineStr">
        <x:is>
          <x:t xml:space="preserve">2344/0001 - 0611</x:t>
        </x:is>
      </x:c>
      <x:c r="E75" s="567" t="n"/>
      <x:c r="F75" s="571" t="n">
        <x:v>42593</x:v>
      </x:c>
      <x:c r="G75" s="567" t="inlineStr">
        <x:is>
          <x:t xml:space="preserve">TECOLOTE HOLDINGS, LLC</x:t>
        </x:is>
      </x:c>
      <x:c r="H75" s="567" t="inlineStr">
        <x:is>
          <x:t xml:space="preserve">WELLS FARGO BANK</x:t>
        </x:is>
      </x:c>
      <x:c r="I75" s="567" t="inlineStr">
        <x:is>
          <x:t xml:space="preserve">S31 T12N R24W LALEXANDER shown in search hit; result row also lists S30 T15N R22W A; S12 T13N R22W A; 313 more</x:t>
        </x:is>
      </x:c>
      <x:c r="J75" s="567" t="inlineStr">
        <x:is>
          <x:t xml:space="preserve">Search-engine indexed OKCR result snippet surfaced instrument 2016-001884 as Mortgage, Book 002344, pages 0001-0611, 611 images. Target Section 31 appears in snippet but full legal list is truncated.</x:t>
        </x:is>
      </x:c>
      <x:c r="K75" s="567" t="inlineStr">
        <x:is>
          <x:t xml:space="preserve">OKCountyRecords public search result via web index</x:t>
        </x:is>
      </x:c>
      <x:c r="L75" s="567" t="inlineStr">
        <x:is>
          <x:t xml:space="preserve">Candidate from search result page</x:t>
        </x:is>
      </x:c>
      <x:c r="M75" s="567" t="inlineStr">
        <x:is>
          <x:t xml:space="preserve">https://okcountyrecords.com/detail/roger+mills/2016-001884</x:t>
        </x:is>
      </x:c>
      <x:c r="N75" s="567" t="inlineStr">
        <x:is>
          <x:t xml:space="preserve">Candidate public index text only; image/exhibits still required</x:t>
        </x:is>
      </x:c>
      <x:c r="O75" s="567" t="inlineStr">
        <x:is>
          <x:t xml:space="preserve">https://okcountyrecords.com/results/omni%3DS6%2BT15N%2BR21W%3Asite%3Droger%20mills/page-42</x:t>
        </x:is>
      </x:c>
      <x:c r="P75" s="567" t="inlineStr">
        <x:is>
          <x:t xml:space="preserve">Obtain full mortgage image/exhibits; verify whether and how Section 31 is burdened and identify release chain.</x:t>
        </x:is>
      </x:c>
      <x:c r="Q75" s="567" t="inlineStr">
        <x:is>
          <x:t xml:space="preserve">High</x:t>
        </x:is>
      </x:c>
      <x:c r="R75" s="567" t="inlineStr">
        <x:is>
          <x:t xml:space="preserve">Lien / Release</x:t>
        </x:is>
      </x:c>
      <x:c r="S75" s="650" t="n">
        <x:v>42593</x:v>
      </x:c>
      <x:c r="T75" s="567" t="inlineStr">
        <x:is>
          <x:t xml:space="preserve">Recorded / indexed date from public snippet</x:t>
        </x:is>
      </x:c>
      <x:c r="U75" s="650" t="n">
        <x:v>42593</x:v>
      </x:c>
      <x:c r="V75" s="567" t="inlineStr">
        <x:is>
          <x:t xml:space="preserve">31-12N-24W</x:t>
        </x:is>
      </x:c>
      <x:c r="W75" s="567" t="inlineStr">
        <x:is>
          <x:t xml:space="preserve">Lalexander / exact quarter call not visible in public snippet</x:t>
        </x:is>
      </x:c>
      <x:c r="X75" s="567" t="inlineStr">
        <x:is>
          <x:t xml:space="preserve">Candidate – target shown in search result, legal list truncated</x:t>
        </x:is>
      </x:c>
      <x:c r="Y75" s="568" t="inlineStr">
        <x:is>
          <x:t xml:space="preserve">Yes – verify against certified document image</x:t>
        </x:is>
      </x:c>
      <x:c r="Z75" s="568" t="inlineStr">
        <x:is>
          <x:t xml:space="preserve">Web-search workaround; not complete certified legal text.</x:t>
        </x:is>
      </x:c>
    </x:row>
    <x:row r="76">
      <x:c r="A76" s="567" t="n">
        <x:v>407</x:v>
      </x:c>
      <x:c r="B76" s="567" t="inlineStr">
        <x:is>
          <x:t xml:space="preserve">OKCR Web Workaround</x:t>
        </x:is>
      </x:c>
      <x:c r="C76" s="567" t="inlineStr">
        <x:is>
          <x:t xml:space="preserve">Assignment</x:t>
        </x:is>
      </x:c>
      <x:c r="D76" s="567" t="inlineStr">
        <x:is>
          <x:t xml:space="preserve">2343/0001 - 0602</x:t>
        </x:is>
      </x:c>
      <x:c r="E76" s="567" t="n"/>
      <x:c r="F76" s="571" t="n">
        <x:v>42593</x:v>
      </x:c>
      <x:c r="G76" s="567" t="inlineStr">
        <x:is>
          <x:t xml:space="preserve">DEVON ENERGY PRODUCTION CO</x:t>
        </x:is>
      </x:c>
      <x:c r="H76" s="567" t="inlineStr">
        <x:is>
          <x:t xml:space="preserve">TECOLOTE HOLDINGS, LLC</x:t>
        </x:is>
      </x:c>
      <x:c r="I76" s="567" t="inlineStr">
        <x:is>
          <x:t xml:space="preserve">S30 T15N R22W A; S12 T13N R22W A; 312 more; target Section 31 likely within omitted legals from same indexed search hit</x:t>
        </x:is>
      </x:c>
      <x:c r="J76" s="567" t="inlineStr">
        <x:is>
          <x:t xml:space="preserve">Search-engine indexed OKCR result snippet surfaced instrument 2016-001883 as Assignment, Book 002343, pages 0001-0602, 603 images. Full legal list is truncated.</x:t>
        </x:is>
      </x:c>
      <x:c r="K76" s="567" t="inlineStr">
        <x:is>
          <x:t xml:space="preserve">OKCountyRecords public search result via web index</x:t>
        </x:is>
      </x:c>
      <x:c r="L76" s="567" t="inlineStr">
        <x:is>
          <x:t xml:space="preserve">Candidate from search result page</x:t>
        </x:is>
      </x:c>
      <x:c r="M76" s="567" t="inlineStr">
        <x:is>
          <x:t xml:space="preserve">https://okcountyrecords.com/detail/roger+mills/2016-001883</x:t>
        </x:is>
      </x:c>
      <x:c r="N76" s="567" t="inlineStr">
        <x:is>
          <x:t xml:space="preserve">Candidate public index text only; image/exhibits still required</x:t>
        </x:is>
      </x:c>
      <x:c r="O76" s="567" t="inlineStr">
        <x:is>
          <x:t xml:space="preserve">https://okcountyrecords.com/results/omni%3DS6%2BT15N%2BR21W%3Asite%3Droger%20mills/page-42</x:t>
        </x:is>
      </x:c>
      <x:c r="P76" s="567" t="inlineStr">
        <x:is>
          <x:t xml:space="preserve">Obtain full assignment image/exhibits; verify if Section 31 leases/minerals are assigned and identify quarter calls.</x:t>
        </x:is>
      </x:c>
      <x:c r="Q76" s="567" t="inlineStr">
        <x:is>
          <x:t xml:space="preserve">High</x:t>
        </x:is>
      </x:c>
      <x:c r="R76" s="567" t="inlineStr">
        <x:is>
          <x:t xml:space="preserve">Assignment</x:t>
        </x:is>
      </x:c>
      <x:c r="S76" s="650" t="n">
        <x:v>42593</x:v>
      </x:c>
      <x:c r="T76" s="567" t="inlineStr">
        <x:is>
          <x:t xml:space="preserve">Recorded / indexed date from public snippet</x:t>
        </x:is>
      </x:c>
      <x:c r="U76" s="650" t="n">
        <x:v>42593</x:v>
      </x:c>
      <x:c r="V76" s="567" t="n"/>
      <x:c r="W76" s="567" t="inlineStr">
        <x:is>
          <x:t xml:space="preserve">Exact Section 31 call not visible in row snippet</x:t>
        </x:is>
      </x:c>
      <x:c r="X76" s="567" t="inlineStr">
        <x:is>
          <x:t xml:space="preserve">Candidate – same indexed page as target search, legal list truncated</x:t>
        </x:is>
      </x:c>
      <x:c r="Y76" s="568" t="inlineStr">
        <x:is>
          <x:t xml:space="preserve">Yes – verify against certified document image</x:t>
        </x:is>
      </x:c>
      <x:c r="Z76" s="568" t="inlineStr">
        <x:is>
          <x:t xml:space="preserve">Candidate only; do not rely without full image/exhibit.</x:t>
        </x:is>
      </x:c>
    </x:row>
    <x:row r="77">
      <x:c r="A77" s="567" t="n">
        <x:v>408</x:v>
      </x:c>
      <x:c r="B77" s="567" t="inlineStr">
        <x:is>
          <x:t xml:space="preserve">OKCR Web Workaround</x:t>
        </x:is>
      </x:c>
      <x:c r="C77" s="567" t="inlineStr">
        <x:is>
          <x:t xml:space="preserve">Quit Claim Mineral Deed</x:t>
        </x:is>
      </x:c>
      <x:c r="D77" s="567" t="inlineStr">
        <x:is>
          <x:t xml:space="preserve">2342/0219 - 0225</x:t>
        </x:is>
      </x:c>
      <x:c r="E77" s="567" t="n"/>
      <x:c r="F77" s="571" t="n">
        <x:v>42593</x:v>
      </x:c>
      <x:c r="G77" s="567" t="inlineStr">
        <x:is>
          <x:t xml:space="preserve">DEVON ENERGY PRODUCTION CO</x:t>
        </x:is>
      </x:c>
      <x:c r="H77" s="567" t="inlineStr">
        <x:is>
          <x:t xml:space="preserve">TECOLOTE HOLDINGS</x:t>
        </x:is>
      </x:c>
      <x:c r="I77" s="567" t="inlineStr">
        <x:is>
          <x:t xml:space="preserve">S12 T12N R26W S2 SE; S31 T12N R24W W2 NW; 20 more</x:t>
        </x:is>
      </x:c>
      <x:c r="J77" s="567" t="inlineStr">
        <x:is>
          <x:t xml:space="preserve">Search-engine indexed OKCR result snippet surfaced instrument 2016-001882 as Quit Claim Mineral Deed, Book 002342, pages 0219-0225, 7 images. Visible legal includes S31 T12N R24W W2 NW.</x:t>
        </x:is>
      </x:c>
      <x:c r="K77" s="567" t="inlineStr">
        <x:is>
          <x:t xml:space="preserve">OKCountyRecords public search result via web index</x:t>
        </x:is>
      </x:c>
      <x:c r="L77" s="567" t="inlineStr">
        <x:is>
          <x:t xml:space="preserve">Visible target legal in search result</x:t>
        </x:is>
      </x:c>
      <x:c r="M77" s="567" t="inlineStr">
        <x:is>
          <x:t xml:space="preserve">https://okcountyrecords.com/detail/roger+mills/2016-001882</x:t>
        </x:is>
      </x:c>
      <x:c r="N77" s="567" t="inlineStr">
        <x:is>
          <x:t xml:space="preserve">Public index text only; deed image/exhibits still required</x:t>
        </x:is>
      </x:c>
      <x:c r="O77" s="567" t="inlineStr">
        <x:is>
          <x:t xml:space="preserve">https://okcountyrecords.com/results/omni%3DS6%2BT15N%2BR21W%3Asite%3Droger%20mills/page-42</x:t>
        </x:is>
      </x:c>
      <x:c r="P77" s="567" t="inlineStr">
        <x:is>
          <x:t xml:space="preserve">Obtain deed image; verify grant, reservations/exceptions, net acres and W/2 NW/4 call.</x:t>
        </x:is>
      </x:c>
      <x:c r="Q77" s="567" t="inlineStr">
        <x:is>
          <x:t xml:space="preserve">High</x:t>
        </x:is>
      </x:c>
      <x:c r="R77" s="567" t="inlineStr">
        <x:is>
          <x:t xml:space="preserve">Deed / Chain</x:t>
        </x:is>
      </x:c>
      <x:c r="S77" s="650" t="n">
        <x:v>42593</x:v>
      </x:c>
      <x:c r="T77" s="567" t="inlineStr">
        <x:is>
          <x:t xml:space="preserve">Recorded / indexed date from public snippet</x:t>
        </x:is>
      </x:c>
      <x:c r="U77" s="650" t="n">
        <x:v>42593</x:v>
      </x:c>
      <x:c r="V77" s="567" t="inlineStr">
        <x:is>
          <x:t xml:space="preserve">31-12N-24W</x:t>
        </x:is>
      </x:c>
      <x:c r="W77" s="567" t="inlineStr">
        <x:is>
          <x:t xml:space="preserve">W/2 NW/4</x:t>
        </x:is>
      </x:c>
      <x:c r="X77" s="567" t="inlineStr">
        <x:is>
          <x:t xml:space="preserve">Parsed from visible OKCR search-result legal text</x:t>
        </x:is>
      </x:c>
      <x:c r="Y77" s="568" t="inlineStr">
        <x:is>
          <x:t xml:space="preserve">Yes – verify against certified document image</x:t>
        </x:is>
      </x:c>
      <x:c r="Z77" s="568" t="inlineStr">
        <x:is>
          <x:t xml:space="preserve">Best public workaround hit with visible quarter call.</x:t>
        </x:is>
      </x:c>
    </x:row>
    <x:row r="78">
      <x:c r="A78" s="567" t="n">
        <x:v>409</x:v>
      </x:c>
      <x:c r="B78" s="567" t="inlineStr">
        <x:is>
          <x:t xml:space="preserve">OKCR Web Workaround</x:t>
        </x:is>
      </x:c>
      <x:c r="C78" s="567" t="inlineStr">
        <x:is>
          <x:t xml:space="preserve">Amendment Of Mortgage</x:t>
        </x:is>
      </x:c>
      <x:c r="D78" s="567" t="inlineStr">
        <x:is>
          <x:t xml:space="preserve">2367/0001 - 0705</x:t>
        </x:is>
      </x:c>
      <x:c r="E78" s="567" t="n"/>
      <x:c r="F78" s="571" t="n">
        <x:v>42872</x:v>
      </x:c>
      <x:c r="G78" s="567" t="inlineStr">
        <x:is>
          <x:t xml:space="preserve">ARCADIA RESOURCES AKA; CHESAPEAKE INVESTMENTS; DORCHESTER RESOURCES</x:t>
        </x:is>
      </x:c>
      <x:c r="H78" s="567" t="inlineStr">
        <x:is>
          <x:t xml:space="preserve">BANK SNB; MOSTEK, CHRIS TTEE</x:t>
        </x:is>
      </x:c>
      <x:c r="I78" s="567" t="inlineStr">
        <x:is>
          <x:t xml:space="preserve">S5 T11N R23W A; S6 T11N R23W A; 139 more; search hit indicates S31 T12N R24W LALEXANDER appears in truncated legals</x:t>
        </x:is>
      </x:c>
      <x:c r="J78" s="567" t="inlineStr">
        <x:is>
          <x:t xml:space="preserve">Search-engine indexed OKCR result snippet surfaced instrument 2017-001046 as Amendment Of Mortgage, Book 002367, pages 0001-0705, 705 images. Full legal list is truncated.</x:t>
        </x:is>
      </x:c>
      <x:c r="K78" s="567" t="inlineStr">
        <x:is>
          <x:t xml:space="preserve">OKCountyRecords public search result via web index</x:t>
        </x:is>
      </x:c>
      <x:c r="L78" s="567" t="inlineStr">
        <x:is>
          <x:t xml:space="preserve">Candidate from search result page</x:t>
        </x:is>
      </x:c>
      <x:c r="M78" s="567" t="inlineStr">
        <x:is>
          <x:t xml:space="preserve">https://okcountyrecords.com/detail/roger+mills/2017-001046</x:t>
        </x:is>
      </x:c>
      <x:c r="N78" s="567" t="inlineStr">
        <x:is>
          <x:t xml:space="preserve">Candidate public index text only; image/exhibits still required</x:t>
        </x:is>
      </x:c>
      <x:c r="O78" s="567" t="inlineStr">
        <x:is>
          <x:t xml:space="preserve">https://okcountyrecords.com/results/omni%3DS4%2BT16N%2BR24W%3Asite%3Droger%20mills/beginning_page%3Dasc/page-6</x:t>
        </x:is>
      </x:c>
      <x:c r="P78" s="567" t="inlineStr">
        <x:is>
          <x:t xml:space="preserve">Obtain amendment/mortgage image and exhibits; determine Section 31 collateral and release chain.</x:t>
        </x:is>
      </x:c>
      <x:c r="Q78" s="567" t="inlineStr">
        <x:is>
          <x:t xml:space="preserve">High</x:t>
        </x:is>
      </x:c>
      <x:c r="R78" s="567" t="inlineStr">
        <x:is>
          <x:t xml:space="preserve">Lien / Release</x:t>
        </x:is>
      </x:c>
      <x:c r="S78" s="650" t="n">
        <x:v>42872</x:v>
      </x:c>
      <x:c r="T78" s="567" t="inlineStr">
        <x:is>
          <x:t xml:space="preserve">Recorded / indexed date from public snippet</x:t>
        </x:is>
      </x:c>
      <x:c r="U78" s="650" t="n">
        <x:v>42872</x:v>
      </x:c>
      <x:c r="V78" s="567" t="inlineStr">
        <x:is>
          <x:t xml:space="preserve">31-12N-24W</x:t>
        </x:is>
      </x:c>
      <x:c r="W78" s="567" t="inlineStr">
        <x:is>
          <x:t xml:space="preserve">Lalexander / exact quarter call not visible in public snippet</x:t>
        </x:is>
      </x:c>
      <x:c r="X78" s="567" t="inlineStr">
        <x:is>
          <x:t xml:space="preserve">Candidate – target shown in search hit, legal list truncated</x:t>
        </x:is>
      </x:c>
      <x:c r="Y78" s="568" t="inlineStr">
        <x:is>
          <x:t xml:space="preserve">Yes – verify against certified document image</x:t>
        </x:is>
      </x:c>
      <x:c r="Z78" s="568" t="inlineStr">
        <x:is>
          <x:t xml:space="preserve">Candidate only; do not rely without full image/exhibit.</x:t>
        </x:is>
      </x:c>
    </x:row>
    <x:row r="79">
      <x:c r="A79" s="567" t="n">
        <x:v>410</x:v>
      </x:c>
      <x:c r="B79" s="567" t="inlineStr">
        <x:is>
          <x:t xml:space="preserve">OKCR Web Workaround</x:t>
        </x:is>
      </x:c>
      <x:c r="C79" s="567" t="inlineStr">
        <x:is>
          <x:t xml:space="preserve">Release Of Mortgage</x:t>
        </x:is>
      </x:c>
      <x:c r="D79" s="567" t="inlineStr">
        <x:is>
          <x:t xml:space="preserve">2375/0001 - 0652</x:t>
        </x:is>
      </x:c>
      <x:c r="E79" s="567" t="n"/>
      <x:c r="F79" s="571" t="n">
        <x:v>42991</x:v>
      </x:c>
      <x:c r="G79" s="567" t="inlineStr">
        <x:is>
          <x:t xml:space="preserve">WELLS FARGO BANK</x:t>
        </x:is>
      </x:c>
      <x:c r="H79" s="567" t="inlineStr">
        <x:is>
          <x:t xml:space="preserve">LINN ENERGY HOLDINGS</x:t>
        </x:is>
      </x:c>
      <x:c r="I79" s="567" t="inlineStr">
        <x:is>
          <x:t xml:space="preserve">S12 T12N R25W A; S25 T12N R24W A; 371 more; candidate target appears in related indexed search hit</x:t>
        </x:is>
      </x:c>
      <x:c r="J79" s="567" t="inlineStr">
        <x:is>
          <x:t xml:space="preserve">Search-engine indexed OKCR result snippet surfaced instrument 2017-001864 as Release Of Mortgage, Book 002375, pages 0001-0652, 652 images. Full legal list is truncated.</x:t>
        </x:is>
      </x:c>
      <x:c r="K79" s="567" t="inlineStr">
        <x:is>
          <x:t xml:space="preserve">OKCountyRecords public search result via web index</x:t>
        </x:is>
      </x:c>
      <x:c r="L79" s="567" t="inlineStr">
        <x:is>
          <x:t xml:space="preserve">Candidate from search result page</x:t>
        </x:is>
      </x:c>
      <x:c r="M79" s="567" t="inlineStr">
        <x:is>
          <x:t xml:space="preserve">https://okcountyrecords.com/detail/roger+mills/2017-001864</x:t>
        </x:is>
      </x:c>
      <x:c r="N79" s="567" t="inlineStr">
        <x:is>
          <x:t xml:space="preserve">Candidate public index text only; image/exhibits still required</x:t>
        </x:is>
      </x:c>
      <x:c r="O79" s="567" t="inlineStr">
        <x:is>
          <x:t xml:space="preserve">https://okcountyrecords.com/results/omni%3DS4%2BT16N%2BR24W%3Asite%3Droger%20mills/beginning_page%3Dasc/page-6</x:t>
        </x:is>
      </x:c>
      <x:c r="P79" s="567" t="inlineStr">
        <x:is>
          <x:t xml:space="preserve">Obtain release image/exhibits; match to source mortgage and confirm Section 31 release effect.</x:t>
        </x:is>
      </x:c>
      <x:c r="Q79" s="567" t="inlineStr">
        <x:is>
          <x:t xml:space="preserve">High</x:t>
        </x:is>
      </x:c>
      <x:c r="R79" s="567" t="inlineStr">
        <x:is>
          <x:t xml:space="preserve">Lien / Release</x:t>
        </x:is>
      </x:c>
      <x:c r="S79" s="650" t="n">
        <x:v>42991</x:v>
      </x:c>
      <x:c r="T79" s="567" t="inlineStr">
        <x:is>
          <x:t xml:space="preserve">Recorded / indexed date from public snippet</x:t>
        </x:is>
      </x:c>
      <x:c r="U79" s="650" t="n">
        <x:v>42991</x:v>
      </x:c>
      <x:c r="V79" s="567" t="n"/>
      <x:c r="W79" s="567" t="inlineStr">
        <x:is>
          <x:t xml:space="preserve">Exact Section 31 call not visible in row snippet</x:t>
        </x:is>
      </x:c>
      <x:c r="X79" s="567" t="inlineStr">
        <x:is>
          <x:t xml:space="preserve">Candidate – legal list truncated on related OKCR search hit</x:t>
        </x:is>
      </x:c>
      <x:c r="Y79" s="568" t="inlineStr">
        <x:is>
          <x:t xml:space="preserve">Yes – verify against certified document image</x:t>
        </x:is>
      </x:c>
      <x:c r="Z79" s="568" t="inlineStr">
        <x:is>
          <x:t xml:space="preserve">Candidate only; do not rely without full image/exhibit.</x:t>
        </x:is>
      </x:c>
    </x:row>
    <x:row r="80">
      <x:c r="A80" s="567" t="n">
        <x:v>411</x:v>
      </x:c>
      <x:c r="B80" s="567" t="inlineStr">
        <x:is>
          <x:t xml:space="preserve">OKCR Web Workaround</x:t>
        </x:is>
      </x:c>
      <x:c r="C80" s="567" t="inlineStr">
        <x:is>
          <x:t xml:space="preserve">Release Of Mortgage</x:t>
        </x:is>
      </x:c>
      <x:c r="D80" s="567" t="inlineStr">
        <x:is>
          <x:t xml:space="preserve">2448/0001 - 0339</x:t>
        </x:is>
      </x:c>
      <x:c r="E80" s="567" t="n"/>
      <x:c r="F80" s="571" t="n">
        <x:v>44060</x:v>
      </x:c>
      <x:c r="G80" s="567" t="inlineStr">
        <x:is>
          <x:t xml:space="preserve">BANK OF AMERICA</x:t>
        </x:is>
      </x:c>
      <x:c r="H80" s="567" t="inlineStr">
        <x:is>
          <x:t xml:space="preserve">TEMPLAR ENERGY; TEMPLAR OPERATING</x:t>
        </x:is>
      </x:c>
      <x:c r="I80" s="567" t="inlineStr">
        <x:is>
          <x:t xml:space="preserve">S12 T17N R25W LAGNES 1-12; S12 T14N R24W LBOSWELL; 435 more; candidate target appears in related indexed search hit</x:t>
        </x:is>
      </x:c>
      <x:c r="J80" s="567" t="inlineStr">
        <x:is>
          <x:t xml:space="preserve">Search-engine indexed OKCR result snippet surfaced instrument 2020-001280 as Release Of Mortgage, Book 002448, pages 0001-0339, 339 images. Full legal list is truncated.</x:t>
        </x:is>
      </x:c>
      <x:c r="K80" s="567" t="inlineStr">
        <x:is>
          <x:t xml:space="preserve">OKCountyRecords public search result via web index</x:t>
        </x:is>
      </x:c>
      <x:c r="L80" s="567" t="inlineStr">
        <x:is>
          <x:t xml:space="preserve">Candidate from search result page</x:t>
        </x:is>
      </x:c>
      <x:c r="M80" s="567" t="inlineStr">
        <x:is>
          <x:t xml:space="preserve">https://okcountyrecords.com/detail/roger+mills/2020-001280</x:t>
        </x:is>
      </x:c>
      <x:c r="N80" s="567" t="inlineStr">
        <x:is>
          <x:t xml:space="preserve">Candidate public index text only; image/exhibits still required</x:t>
        </x:is>
      </x:c>
      <x:c r="O80" s="567" t="inlineStr">
        <x:is>
          <x:t xml:space="preserve">https://okcountyrecords.com/results/omni%3DS4%2BT16N%2BR24W%3Asite%3Droger%20mills/beginning_page%3Dasc/page-6</x:t>
        </x:is>
      </x:c>
      <x:c r="P80" s="567" t="inlineStr">
        <x:is>
          <x:t xml:space="preserve">Obtain release image/exhibits; confirm if any Section 31 mortgage burden was released.</x:t>
        </x:is>
      </x:c>
      <x:c r="Q80" s="567" t="inlineStr">
        <x:is>
          <x:t xml:space="preserve">High</x:t>
        </x:is>
      </x:c>
      <x:c r="R80" s="567" t="inlineStr">
        <x:is>
          <x:t xml:space="preserve">Lien / Release</x:t>
        </x:is>
      </x:c>
      <x:c r="S80" s="650" t="n">
        <x:v>44060</x:v>
      </x:c>
      <x:c r="T80" s="567" t="inlineStr">
        <x:is>
          <x:t xml:space="preserve">Recorded / indexed date from public snippet</x:t>
        </x:is>
      </x:c>
      <x:c r="U80" s="650" t="n">
        <x:v>44060</x:v>
      </x:c>
      <x:c r="V80" s="567" t="n"/>
      <x:c r="W80" s="567" t="inlineStr">
        <x:is>
          <x:t xml:space="preserve">Exact Section 31 call not visible in row snippet</x:t>
        </x:is>
      </x:c>
      <x:c r="X80" s="567" t="inlineStr">
        <x:is>
          <x:t xml:space="preserve">Candidate – legal list truncated on related OKCR search hit</x:t>
        </x:is>
      </x:c>
      <x:c r="Y80" s="568" t="inlineStr">
        <x:is>
          <x:t xml:space="preserve">Yes – verify against certified document image</x:t>
        </x:is>
      </x:c>
      <x:c r="Z80" s="568" t="inlineStr">
        <x:is>
          <x:t xml:space="preserve">Candidate only; do not rely without full image/exhibit.</x:t>
        </x:is>
      </x:c>
    </x:row>
    <x:row r="81">
      <x:c r="A81" s="567" t="n">
        <x:v>412</x:v>
      </x:c>
      <x:c r="B81" s="567" t="inlineStr">
        <x:is>
          <x:t xml:space="preserve">OKCR Web Workaround</x:t>
        </x:is>
      </x:c>
      <x:c r="C81" s="567" t="inlineStr">
        <x:is>
          <x:t xml:space="preserve">Mortgage</x:t>
        </x:is>
      </x:c>
      <x:c r="D81" s="567" t="inlineStr">
        <x:is>
          <x:t xml:space="preserve">2113/0001 - 0258</x:t>
        </x:is>
      </x:c>
      <x:c r="E81" s="567" t="n"/>
      <x:c r="F81" s="571" t="n">
        <x:v>40932</x:v>
      </x:c>
      <x:c r="G81" s="567" t="inlineStr">
        <x:is>
          <x:t xml:space="preserve">SAMSON RESOURCES COMPANY; GEODYNE RESOURCES INC</x:t>
        </x:is>
      </x:c>
      <x:c r="H81" s="567" t="inlineStr">
        <x:is>
          <x:t xml:space="preserve">JPMORGAN CHASE BANK NA</x:t>
        </x:is>
      </x:c>
      <x:c r="I81" s="567" t="inlineStr">
        <x:is>
          <x:t xml:space="preserve">S10 T16N R22W A; S17 T14N R26W A; 544 more; candidate target appears in related indexed search hit</x:t>
        </x:is>
      </x:c>
      <x:c r="J81" s="567" t="inlineStr">
        <x:is>
          <x:t xml:space="preserve">Search-engine indexed OKCR result snippet surfaced instrument 2012-000495 as Mortgage, Book 002113, pages 0001-0258, 258 images. Full legal list is truncated.</x:t>
        </x:is>
      </x:c>
      <x:c r="K81" s="567" t="inlineStr">
        <x:is>
          <x:t xml:space="preserve">OKCountyRecords public search result via web index</x:t>
        </x:is>
      </x:c>
      <x:c r="L81" s="567" t="inlineStr">
        <x:is>
          <x:t xml:space="preserve">Candidate from search result page</x:t>
        </x:is>
      </x:c>
      <x:c r="M81" s="567" t="inlineStr">
        <x:is>
          <x:t xml:space="preserve">https://okcountyrecords.com/detail/roger+mills/2012-000495</x:t>
        </x:is>
      </x:c>
      <x:c r="N81" s="567" t="inlineStr">
        <x:is>
          <x:t xml:space="preserve">Candidate public index text only; image/exhibits still required</x:t>
        </x:is>
      </x:c>
      <x:c r="O81" s="567" t="inlineStr">
        <x:is>
          <x:t xml:space="preserve">https://okcountyrecords.com/results/omni%3DS4%2BT16N%2BR24W%3Asite%3Droger%20mills/beginning_page%3Dasc/page-6</x:t>
        </x:is>
      </x:c>
      <x:c r="P81" s="567" t="inlineStr">
        <x:is>
          <x:t xml:space="preserve">Obtain mortgage and release images; confirm Section 31 collateral and subsequent release status.</x:t>
        </x:is>
      </x:c>
      <x:c r="Q81" s="567" t="inlineStr">
        <x:is>
          <x:t xml:space="preserve">High</x:t>
        </x:is>
      </x:c>
      <x:c r="R81" s="567" t="inlineStr">
        <x:is>
          <x:t xml:space="preserve">Lien / Release</x:t>
        </x:is>
      </x:c>
      <x:c r="S81" s="650" t="n">
        <x:v>40932</x:v>
      </x:c>
      <x:c r="T81" s="567" t="inlineStr">
        <x:is>
          <x:t xml:space="preserve">Recorded / indexed date from public snippet</x:t>
        </x:is>
      </x:c>
      <x:c r="U81" s="650" t="n">
        <x:v>40932</x:v>
      </x:c>
      <x:c r="V81" s="567" t="n"/>
      <x:c r="W81" s="567" t="inlineStr">
        <x:is>
          <x:t xml:space="preserve">Exact Section 31 call not visible in row snippet</x:t>
        </x:is>
      </x:c>
      <x:c r="X81" s="567" t="inlineStr">
        <x:is>
          <x:t xml:space="preserve">Candidate – legal list truncated on related OKCR search hit</x:t>
        </x:is>
      </x:c>
      <x:c r="Y81" s="568" t="inlineStr">
        <x:is>
          <x:t xml:space="preserve">Yes – verify against certified document image</x:t>
        </x:is>
      </x:c>
      <x:c r="Z81" s="568" t="inlineStr">
        <x:is>
          <x:t xml:space="preserve">Candidate only; do not rely without full image/exhibit.</x:t>
        </x:is>
      </x:c>
    </x:row>
    <x:row r="82">
      <x:c r="A82" s="567" t="n">
        <x:v>413</x:v>
      </x:c>
      <x:c r="B82" s="567" t="inlineStr">
        <x:is>
          <x:t xml:space="preserve">OKCR Web Workaround</x:t>
        </x:is>
      </x:c>
      <x:c r="C82" s="567" t="inlineStr">
        <x:is>
          <x:t xml:space="preserve">Amendment Of Mortgage</x:t>
        </x:is>
      </x:c>
      <x:c r="D82" s="567" t="inlineStr">
        <x:is>
          <x:t xml:space="preserve">2153/0001 - 0099</x:t>
        </x:is>
      </x:c>
      <x:c r="E82" s="567" t="n"/>
      <x:c r="F82" s="571" t="n">
        <x:v>41136</x:v>
      </x:c>
      <x:c r="G82" s="567" t="inlineStr">
        <x:is>
          <x:t xml:space="preserve">LINN ENERGY HOLDINGS, LLC</x:t>
        </x:is>
      </x:c>
      <x:c r="H82" s="567" t="inlineStr">
        <x:is>
          <x:t xml:space="preserve">WELLS FARGO BANK</x:t>
        </x:is>
      </x:c>
      <x:c r="I82" s="567" t="inlineStr">
        <x:is>
          <x:t xml:space="preserve">S10 T11N R26W ALL; 105 more; candidate target appears in related indexed search hit</x:t>
        </x:is>
      </x:c>
      <x:c r="J82" s="567" t="inlineStr">
        <x:is>
          <x:t xml:space="preserve">Search-engine indexed OKCR result snippet surfaced instrument 2012-005630 as Amendment Of Mortgage, Book 002153, pages 0001-0099, 48 images. Full legal list is truncated.</x:t>
        </x:is>
      </x:c>
      <x:c r="K82" s="567" t="inlineStr">
        <x:is>
          <x:t xml:space="preserve">OKCountyRecords public search result via web index</x:t>
        </x:is>
      </x:c>
      <x:c r="L82" s="567" t="inlineStr">
        <x:is>
          <x:t xml:space="preserve">Candidate from search result page</x:t>
        </x:is>
      </x:c>
      <x:c r="M82" s="567" t="inlineStr">
        <x:is>
          <x:t xml:space="preserve">https://okcountyrecords.com/detail/roger+mills/2012-005630</x:t>
        </x:is>
      </x:c>
      <x:c r="N82" s="567" t="inlineStr">
        <x:is>
          <x:t xml:space="preserve">Candidate public index text only; image/exhibits still required</x:t>
        </x:is>
      </x:c>
      <x:c r="O82" s="567" t="inlineStr">
        <x:is>
          <x:t xml:space="preserve">https://okcountyrecords.com/results/omni%3DS2%2BT11N%2BR23W%2BALL%3Asite%3Droger%20mills/beginning_page%3Dasc/page-2</x:t>
        </x:is>
      </x:c>
      <x:c r="P82" s="567" t="inlineStr">
        <x:is>
          <x:t xml:space="preserve">Obtain amendment image/exhibits; determine whether Section 31 collateral is included/released.</x:t>
        </x:is>
      </x:c>
      <x:c r="Q82" s="567" t="inlineStr">
        <x:is>
          <x:t xml:space="preserve">Medium</x:t>
        </x:is>
      </x:c>
      <x:c r="R82" s="567" t="inlineStr">
        <x:is>
          <x:t xml:space="preserve">Lien / Release</x:t>
        </x:is>
      </x:c>
      <x:c r="S82" s="650" t="n">
        <x:v>41136</x:v>
      </x:c>
      <x:c r="T82" s="567" t="inlineStr">
        <x:is>
          <x:t xml:space="preserve">Recorded / indexed date from public snippet</x:t>
        </x:is>
      </x:c>
      <x:c r="U82" s="650" t="n">
        <x:v>41136</x:v>
      </x:c>
      <x:c r="V82" s="567" t="n"/>
      <x:c r="W82" s="567" t="inlineStr">
        <x:is>
          <x:t xml:space="preserve">Exact Section 31 call not visible in row snippet</x:t>
        </x:is>
      </x:c>
      <x:c r="X82" s="567" t="inlineStr">
        <x:is>
          <x:t xml:space="preserve">Candidate – legal list truncated on related OKCR search hit</x:t>
        </x:is>
      </x:c>
      <x:c r="Y82" s="568" t="inlineStr">
        <x:is>
          <x:t xml:space="preserve">Yes – verify against certified document image</x:t>
        </x:is>
      </x:c>
      <x:c r="Z82" s="568" t="inlineStr">
        <x:is>
          <x:t xml:space="preserve">Candidate only; do not rely without full image/exhibit.</x:t>
        </x:is>
      </x:c>
    </x:row>
    <x:row r="83">
      <x:c r="A83" s="567" t="n">
        <x:v>414</x:v>
      </x:c>
      <x:c r="B83" s="567" t="inlineStr">
        <x:is>
          <x:t xml:space="preserve">OKCR Web Workaround</x:t>
        </x:is>
      </x:c>
      <x:c r="C83" s="567" t="inlineStr">
        <x:is>
          <x:t xml:space="preserve">Partial Release Mortgage</x:t>
        </x:is>
      </x:c>
      <x:c r="D83" s="567" t="inlineStr">
        <x:is>
          <x:t xml:space="preserve">2128/0001 - 0340</x:t>
        </x:is>
      </x:c>
      <x:c r="E83" s="567" t="n"/>
      <x:c r="F83" s="571" t="n">
        <x:v>41002</x:v>
      </x:c>
      <x:c r="G83" s="567" t="inlineStr">
        <x:is>
          <x:t xml:space="preserve">WELLS FARGO BANK</x:t>
        </x:is>
      </x:c>
      <x:c r="H83" s="567" t="inlineStr">
        <x:is>
          <x:t xml:space="preserve">CHESAPEAKE EXPLORATION, LLC</x:t>
        </x:is>
      </x:c>
      <x:c r="I83" s="567" t="inlineStr">
        <x:is>
          <x:t xml:space="preserve">S6 T11N R24W A; S1 T11N R25W A; 513 more; candidate target appears in related indexed search hit</x:t>
        </x:is>
      </x:c>
      <x:c r="J83" s="567" t="inlineStr">
        <x:is>
          <x:t xml:space="preserve">Search-engine indexed OKCR result snippet surfaced instrument 2012-002536 as Partial Release Mortgage, Book 002128, pages 0001-0340, 340 images. Full legal list is truncated.</x:t>
        </x:is>
      </x:c>
      <x:c r="K83" s="567" t="inlineStr">
        <x:is>
          <x:t xml:space="preserve">OKCountyRecords public search result via web index</x:t>
        </x:is>
      </x:c>
      <x:c r="L83" s="567" t="inlineStr">
        <x:is>
          <x:t xml:space="preserve">Candidate from search result page</x:t>
        </x:is>
      </x:c>
      <x:c r="M83" s="567" t="inlineStr">
        <x:is>
          <x:t xml:space="preserve">https://okcountyrecords.com/detail/roger+mills/2012-002536</x:t>
        </x:is>
      </x:c>
      <x:c r="N83" s="567" t="inlineStr">
        <x:is>
          <x:t xml:space="preserve">Candidate public index text only; image/exhibits still required</x:t>
        </x:is>
      </x:c>
      <x:c r="O83" s="567" t="inlineStr">
        <x:is>
          <x:t xml:space="preserve">https://okcountyrecords.com/results/omni%3DS2%2BT11N%2BR26W%2BA%3Asite%3Droger%20mills/beginning_page%3Dasc/page-4</x:t>
        </x:is>
      </x:c>
      <x:c r="P83" s="567" t="inlineStr">
        <x:is>
          <x:t xml:space="preserve">Obtain partial release image/exhibits; match to original mortgage and confirm Section 31 release effect.</x:t>
        </x:is>
      </x:c>
      <x:c r="Q83" s="567" t="inlineStr">
        <x:is>
          <x:t xml:space="preserve">High</x:t>
        </x:is>
      </x:c>
      <x:c r="R83" s="567" t="inlineStr">
        <x:is>
          <x:t xml:space="preserve">Lien / Release</x:t>
        </x:is>
      </x:c>
      <x:c r="S83" s="650" t="n">
        <x:v>41002</x:v>
      </x:c>
      <x:c r="T83" s="567" t="inlineStr">
        <x:is>
          <x:t xml:space="preserve">Recorded / indexed date from public snippet</x:t>
        </x:is>
      </x:c>
      <x:c r="U83" s="650" t="n">
        <x:v>41002</x:v>
      </x:c>
      <x:c r="V83" s="567" t="n"/>
      <x:c r="W83" s="567" t="inlineStr">
        <x:is>
          <x:t xml:space="preserve">Exact Section 31 call not visible in row snippet</x:t>
        </x:is>
      </x:c>
      <x:c r="X83" s="567" t="inlineStr">
        <x:is>
          <x:t xml:space="preserve">Candidate – legal list truncated on related OKCR search hit</x:t>
        </x:is>
      </x:c>
      <x:c r="Y83" s="568" t="inlineStr">
        <x:is>
          <x:t xml:space="preserve">Yes – verify against certified document image</x:t>
        </x:is>
      </x:c>
      <x:c r="Z83" s="568" t="inlineStr">
        <x:is>
          <x:t xml:space="preserve">Candidate only; do not rely without full image/exhibit.</x:t>
        </x:is>
      </x:c>
    </x:row>
    <x:row r="84">
      <x:c r="A84" s="567" t="n">
        <x:v>415</x:v>
      </x:c>
      <x:c r="B84" s="567" t="inlineStr">
        <x:is>
          <x:t xml:space="preserve">OKCR Web Workaround</x:t>
        </x:is>
      </x:c>
      <x:c r="C84" s="567" t="inlineStr">
        <x:is>
          <x:t xml:space="preserve">Release Of Mortgage</x:t>
        </x:is>
      </x:c>
      <x:c r="D84" s="567" t="inlineStr">
        <x:is>
          <x:t xml:space="preserve">2460/0001 - 0352</x:t>
        </x:is>
      </x:c>
      <x:c r="E84" s="567" t="n"/>
      <x:c r="F84" s="571" t="n">
        <x:v>44272</x:v>
      </x:c>
      <x:c r="G84" s="567" t="inlineStr">
        <x:is>
          <x:t xml:space="preserve">JP MORGAN CHASE BANK</x:t>
        </x:is>
      </x:c>
      <x:c r="H84" s="567" t="inlineStr">
        <x:is>
          <x:t xml:space="preserve">GEODYNE RESOURCES; SAMSON RESOURCES COMPANY, LLC</x:t>
        </x:is>
      </x:c>
      <x:c r="I84" s="567" t="inlineStr">
        <x:is>
          <x:t xml:space="preserve">S8 T11N R23W A; S14 T11N R23W A; 361 more; candidate target appears in related indexed search hit</x:t>
        </x:is>
      </x:c>
      <x:c r="J84" s="567" t="inlineStr">
        <x:is>
          <x:t xml:space="preserve">Search-engine indexed OKCR result snippet surfaced instrument 2021-000451 as Release Of Mortgage, Book 002460, pages 0001-0352, 352 images. Full legal list is truncated.</x:t>
        </x:is>
      </x:c>
      <x:c r="K84" s="567" t="inlineStr">
        <x:is>
          <x:t xml:space="preserve">OKCountyRecords public search result via web index</x:t>
        </x:is>
      </x:c>
      <x:c r="L84" s="567" t="inlineStr">
        <x:is>
          <x:t xml:space="preserve">Candidate from search result page</x:t>
        </x:is>
      </x:c>
      <x:c r="M84" s="567" t="inlineStr">
        <x:is>
          <x:t xml:space="preserve">https://okcountyrecords.com/detail/roger+mills/2021-000451</x:t>
        </x:is>
      </x:c>
      <x:c r="N84" s="567" t="inlineStr">
        <x:is>
          <x:t xml:space="preserve">Candidate public index text only; image/exhibits still required</x:t>
        </x:is>
      </x:c>
      <x:c r="O84" s="567" t="inlineStr">
        <x:is>
          <x:t xml:space="preserve">https://okcountyrecords.com/results/omni%3DS2%2BT11N%2BR23W%2BALL%3Asite%3Droger%20mills/beginning_page%3Dasc/page-2</x:t>
        </x:is>
      </x:c>
      <x:c r="P84" s="567" t="inlineStr">
        <x:is>
          <x:t xml:space="preserve">Obtain release image/exhibits; confirm Section 31 release status if included among omitted legals.</x:t>
        </x:is>
      </x:c>
      <x:c r="Q84" s="567" t="inlineStr">
        <x:is>
          <x:t xml:space="preserve">High</x:t>
        </x:is>
      </x:c>
      <x:c r="R84" s="567" t="inlineStr">
        <x:is>
          <x:t xml:space="preserve">Lien / Release</x:t>
        </x:is>
      </x:c>
      <x:c r="S84" s="650" t="n">
        <x:v>44272</x:v>
      </x:c>
      <x:c r="T84" s="567" t="inlineStr">
        <x:is>
          <x:t xml:space="preserve">Recorded / indexed date from public snippet</x:t>
        </x:is>
      </x:c>
      <x:c r="U84" s="650" t="n">
        <x:v>44272</x:v>
      </x:c>
      <x:c r="V84" s="567" t="n"/>
      <x:c r="W84" s="567" t="inlineStr">
        <x:is>
          <x:t xml:space="preserve">Exact Section 31 call not visible in row snippet</x:t>
        </x:is>
      </x:c>
      <x:c r="X84" s="567" t="inlineStr">
        <x:is>
          <x:t xml:space="preserve">Candidate – legal list truncated on related OKCR search hit</x:t>
        </x:is>
      </x:c>
      <x:c r="Y84" s="568" t="inlineStr">
        <x:is>
          <x:t xml:space="preserve">Yes – verify against certified document image</x:t>
        </x:is>
      </x:c>
      <x:c r="Z84" s="568" t="inlineStr">
        <x:is>
          <x:t xml:space="preserve">Candidate only; do not rely without full image/exhibit.</x:t>
        </x:is>
      </x:c>
    </x:row>
    <x:row r="85">
      <x:c r="A85" s="567" t="n">
        <x:v>416</x:v>
      </x:c>
      <x:c r="B85" s="567" t="inlineStr">
        <x:is>
          <x:t xml:space="preserve">OKCR Web Workaround</x:t>
        </x:is>
      </x:c>
      <x:c r="C85" s="567" t="inlineStr">
        <x:is>
          <x:t xml:space="preserve">Mortgage</x:t>
        </x:is>
      </x:c>
      <x:c r="D85" s="567" t="inlineStr">
        <x:is>
          <x:t xml:space="preserve">2450/0001 - 0120</x:t>
        </x:is>
      </x:c>
      <x:c r="E85" s="567" t="n"/>
      <x:c r="F85" s="571" t="n">
        <x:v>44060</x:v>
      </x:c>
      <x:c r="G85" s="567" t="inlineStr">
        <x:is>
          <x:t xml:space="preserve">PRESIDIO WAB, LLC</x:t>
        </x:is>
      </x:c>
      <x:c r="H85" s="567" t="inlineStr">
        <x:is>
          <x:t xml:space="preserve">BMO HARRIS BANK</x:t>
        </x:is>
      </x:c>
      <x:c r="I85" s="567" t="inlineStr">
        <x:is>
          <x:t xml:space="preserve">S26 T12N R26W A; S9 T12N R23W A; 723 more; candidate target appears in related indexed search hit</x:t>
        </x:is>
      </x:c>
      <x:c r="J85" s="567" t="inlineStr">
        <x:is>
          <x:t xml:space="preserve">Search-engine indexed OKCR result snippet surfaced instrument 2020-001286 as Mortgage, Book 002450, pages 0001-0120, 120 images. Full legal list is truncated.</x:t>
        </x:is>
      </x:c>
      <x:c r="K85" s="567" t="inlineStr">
        <x:is>
          <x:t xml:space="preserve">OKCountyRecords public search result via web index</x:t>
        </x:is>
      </x:c>
      <x:c r="L85" s="567" t="inlineStr">
        <x:is>
          <x:t xml:space="preserve">Candidate from search result page</x:t>
        </x:is>
      </x:c>
      <x:c r="M85" s="567" t="inlineStr">
        <x:is>
          <x:t xml:space="preserve">https://okcountyrecords.com/detail/roger+mills/2020-001286</x:t>
        </x:is>
      </x:c>
      <x:c r="N85" s="567" t="inlineStr">
        <x:is>
          <x:t xml:space="preserve">Candidate public index text only; image/exhibits still required</x:t>
        </x:is>
      </x:c>
      <x:c r="O85" s="567" t="inlineStr">
        <x:is>
          <x:t xml:space="preserve">https://okcountyrecords.com/results/omni%3DS2%2BT11N%2BR23W%2BALL%3Asite%3Droger%20mills/beginning_page%3Dasc/page-2</x:t>
        </x:is>
      </x:c>
      <x:c r="P85" s="567" t="inlineStr">
        <x:is>
          <x:t xml:space="preserve">Obtain mortgage and release images; determine if Section 31 is included in collateral.</x:t>
        </x:is>
      </x:c>
      <x:c r="Q85" s="567" t="inlineStr">
        <x:is>
          <x:t xml:space="preserve">Medium</x:t>
        </x:is>
      </x:c>
      <x:c r="R85" s="567" t="inlineStr">
        <x:is>
          <x:t xml:space="preserve">Lien / Release</x:t>
        </x:is>
      </x:c>
      <x:c r="S85" s="650" t="n">
        <x:v>44060</x:v>
      </x:c>
      <x:c r="T85" s="567" t="inlineStr">
        <x:is>
          <x:t xml:space="preserve">Recorded / indexed date from public snippet</x:t>
        </x:is>
      </x:c>
      <x:c r="U85" s="650" t="n">
        <x:v>44060</x:v>
      </x:c>
      <x:c r="V85" s="567" t="n"/>
      <x:c r="W85" s="567" t="inlineStr">
        <x:is>
          <x:t xml:space="preserve">Exact Section 31 call not visible in row snippet</x:t>
        </x:is>
      </x:c>
      <x:c r="X85" s="567" t="inlineStr">
        <x:is>
          <x:t xml:space="preserve">Candidate – legal list truncated on related OKCR search hit</x:t>
        </x:is>
      </x:c>
      <x:c r="Y85" s="568" t="inlineStr">
        <x:is>
          <x:t xml:space="preserve">Yes – verify against certified document image</x:t>
        </x:is>
      </x:c>
      <x:c r="Z85" s="568" t="inlineStr">
        <x:is>
          <x:t xml:space="preserve">Candidate only; do not rely without full image/exhibit.</x:t>
        </x:is>
      </x:c>
    </x:row>
    <x:row r="86">
      <x:c r="A86" s="567" t="n">
        <x:v>417</x:v>
      </x:c>
      <x:c r="B86" s="567" t="inlineStr">
        <x:is>
          <x:t xml:space="preserve">OKCR Web Workaround</x:t>
        </x:is>
      </x:c>
      <x:c r="C86" s="567" t="inlineStr">
        <x:is>
          <x:t xml:space="preserve">Mortgage</x:t>
        </x:is>
      </x:c>
      <x:c r="D86" s="567" t="inlineStr">
        <x:is>
          <x:t xml:space="preserve">2475/0001 - 0422</x:t>
        </x:is>
      </x:c>
      <x:c r="E86" s="567" t="n"/>
      <x:c r="F86" s="571" t="n">
        <x:v>44462</x:v>
      </x:c>
      <x:c r="G86" s="567" t="inlineStr">
        <x:is>
          <x:t xml:space="preserve">PRESIDIO WAB, LLC</x:t>
        </x:is>
      </x:c>
      <x:c r="H86" s="567" t="inlineStr">
        <x:is>
          <x:t xml:space="preserve">PRESIDIO FINANCE, LLC</x:t>
        </x:is>
      </x:c>
      <x:c r="I86" s="567" t="inlineStr">
        <x:is>
          <x:t xml:space="preserve">Public snippet row visible but legal list truncated; candidate related to Section 31 search hits</x:t>
        </x:is>
      </x:c>
      <x:c r="J86" s="567" t="inlineStr">
        <x:is>
          <x:t xml:space="preserve">Search-engine indexed OKCR result snippet surfaced instrument 2021-001556 as Mortgage, Book 002475, pages 0001-0422, 422 images. Full legal list is truncated.</x:t>
        </x:is>
      </x:c>
      <x:c r="K86" s="567" t="inlineStr">
        <x:is>
          <x:t xml:space="preserve">OKCountyRecords public search result via web index</x:t>
        </x:is>
      </x:c>
      <x:c r="L86" s="567" t="inlineStr">
        <x:is>
          <x:t xml:space="preserve">Candidate from search result page</x:t>
        </x:is>
      </x:c>
      <x:c r="M86" s="567" t="inlineStr">
        <x:is>
          <x:t xml:space="preserve">https://okcountyrecords.com/detail/roger+mills/2021-001556</x:t>
        </x:is>
      </x:c>
      <x:c r="N86" s="567" t="inlineStr">
        <x:is>
          <x:t xml:space="preserve">Candidate public index text only; image/exhibits still required</x:t>
        </x:is>
      </x:c>
      <x:c r="O86" s="567" t="inlineStr">
        <x:is>
          <x:t xml:space="preserve">https://okcountyrecords.com/results/omni%3DS4%2BT16N%2BR24W%3Asite%3Droger%20mills/beginning_page%3Dasc/page-6</x:t>
        </x:is>
      </x:c>
      <x:c r="P86" s="567" t="inlineStr">
        <x:is>
          <x:t xml:space="preserve">Obtain mortgage and release images; determine if Section 31 is included in collateral.</x:t>
        </x:is>
      </x:c>
      <x:c r="Q86" s="567" t="inlineStr">
        <x:is>
          <x:t xml:space="preserve">Medium</x:t>
        </x:is>
      </x:c>
      <x:c r="R86" s="567" t="inlineStr">
        <x:is>
          <x:t xml:space="preserve">Lien / Release</x:t>
        </x:is>
      </x:c>
      <x:c r="S86" s="650" t="n">
        <x:v>44462</x:v>
      </x:c>
      <x:c r="T86" s="567" t="inlineStr">
        <x:is>
          <x:t xml:space="preserve">Recorded / indexed date from public snippet</x:t>
        </x:is>
      </x:c>
      <x:c r="U86" s="650" t="n">
        <x:v>44462</x:v>
      </x:c>
      <x:c r="V86" s="567" t="n"/>
      <x:c r="W86" s="567" t="inlineStr">
        <x:is>
          <x:t xml:space="preserve">Exact Section 31 call not visible in row snippet</x:t>
        </x:is>
      </x:c>
      <x:c r="X86" s="567" t="inlineStr">
        <x:is>
          <x:t xml:space="preserve">Candidate – legal list truncated on related OKCR search hit</x:t>
        </x:is>
      </x:c>
      <x:c r="Y86" s="568" t="inlineStr">
        <x:is>
          <x:t xml:space="preserve">Yes – verify against certified document image</x:t>
        </x:is>
      </x:c>
      <x:c r="Z86" s="568" t="inlineStr">
        <x:is>
          <x:t xml:space="preserve">Candidate only; do not rely without full image/exhibit.</x:t>
        </x:is>
      </x:c>
    </x:row>
    <x:row r="87">
      <x:c r="A87" s="567" t="n">
        <x:v>418</x:v>
      </x:c>
      <x:c r="B87" s="567" t="inlineStr">
        <x:is>
          <x:t xml:space="preserve">OKCR Web Workaround</x:t>
        </x:is>
      </x:c>
      <x:c r="C87" s="567" t="inlineStr">
        <x:is>
          <x:t xml:space="preserve">Termination Of UCC</x:t>
        </x:is>
      </x:c>
      <x:c r="D87" s="567" t="inlineStr">
        <x:is>
          <x:t xml:space="preserve">2472/0001 - 0004</x:t>
        </x:is>
      </x:c>
      <x:c r="E87" s="567" t="n"/>
      <x:c r="F87" s="571" t="n">
        <x:v>44404</x:v>
      </x:c>
      <x:c r="G87" s="567" t="inlineStr">
        <x:is>
          <x:t xml:space="preserve">PRESCOTT GROUP AGGRESSIVE SMALL CAP LP</x:t>
        </x:is>
      </x:c>
      <x:c r="H87" s="567" t="inlineStr">
        <x:is>
          <x:t xml:space="preserve">SAMSON RESOURCES; GEODYNE</x:t>
        </x:is>
      </x:c>
      <x:c r="I87" s="567" t="inlineStr">
        <x:is>
          <x:t xml:space="preserve">S1 T11N R24W A; S1 T11N R25W A; 372 more; target may be among omitted legals from indexed Section 31 search pages</x:t>
        </x:is>
      </x:c>
      <x:c r="J87" s="567" t="inlineStr">
        <x:is>
          <x:t xml:space="preserve">Search-engine indexed OKCR snippet surfaced instrument 2021-001294 as Termination Of UCC, Book 002472, pages 0001-0004, 4 images. Full legal list is truncated.</x:t>
        </x:is>
      </x:c>
      <x:c r="K87" s="567" t="inlineStr">
        <x:is>
          <x:t xml:space="preserve">OKCountyRecords public search result via web index</x:t>
        </x:is>
      </x:c>
      <x:c r="L87" s="567" t="inlineStr">
        <x:is>
          <x:t xml:space="preserve">Candidate from search result page</x:t>
        </x:is>
      </x:c>
      <x:c r="M87" s="567" t="inlineStr">
        <x:is>
          <x:t xml:space="preserve">https://okcountyrecords.com/detail/roger+mills/2021-001294</x:t>
        </x:is>
      </x:c>
      <x:c r="N87" s="567" t="inlineStr">
        <x:is>
          <x:t xml:space="preserve">Candidate public index text only; image/exhibits still required</x:t>
        </x:is>
      </x:c>
      <x:c r="O87" s="567" t="inlineStr">
        <x:is>
          <x:t xml:space="preserve">https://okcountyrecords.com/results/omni%3DS31%2BT12N%2BR24W%2BLALEXANDER%3Asite%3Droger%20mills</x:t>
        </x:is>
      </x:c>
      <x:c r="P87" s="567" t="inlineStr">
        <x:is>
          <x:t xml:space="preserve">Obtain UCC termination and related financing statement; confirm if Section 31 collateral was terminated.</x:t>
        </x:is>
      </x:c>
      <x:c r="Q87" s="567" t="inlineStr">
        <x:is>
          <x:t xml:space="preserve">High</x:t>
        </x:is>
      </x:c>
      <x:c r="R87" s="567" t="inlineStr">
        <x:is>
          <x:t xml:space="preserve">Lien / Release</x:t>
        </x:is>
      </x:c>
      <x:c r="S87" s="650" t="n">
        <x:v>44404</x:v>
      </x:c>
      <x:c r="T87" s="567" t="inlineStr">
        <x:is>
          <x:t xml:space="preserve">Recorded / indexed date from public snippet</x:t>
        </x:is>
      </x:c>
      <x:c r="U87" s="650" t="n">
        <x:v>44404</x:v>
      </x:c>
      <x:c r="V87" s="567" t="n"/>
      <x:c r="W87" s="567" t="inlineStr">
        <x:is>
          <x:t xml:space="preserve">Exact Section 31 call not visible in row snippet</x:t>
        </x:is>
      </x:c>
      <x:c r="X87" s="567" t="inlineStr">
        <x:is>
          <x:t xml:space="preserve">Candidate – legal list truncated on Section 31 search hit</x:t>
        </x:is>
      </x:c>
      <x:c r="Y87" s="568" t="inlineStr">
        <x:is>
          <x:t xml:space="preserve">Yes – verify against certified document image</x:t>
        </x:is>
      </x:c>
      <x:c r="Z87" s="568" t="inlineStr">
        <x:is>
          <x:t xml:space="preserve">Candidate only; do not rely without full image/exhibit.</x:t>
        </x:is>
      </x:c>
    </x:row>
    <x:row r="88">
      <x:c r="A88" s="567" t="n">
        <x:v>419</x:v>
      </x:c>
      <x:c r="B88" s="567" t="inlineStr">
        <x:is>
          <x:t xml:space="preserve">OKCR Web Workaround</x:t>
        </x:is>
      </x:c>
      <x:c r="C88" s="567" t="inlineStr">
        <x:is>
          <x:t xml:space="preserve">Amendment Of Mortgage</x:t>
        </x:is>
      </x:c>
      <x:c r="D88" s="567" t="inlineStr">
        <x:is>
          <x:t xml:space="preserve">2401/0586 - 0654</x:t>
        </x:is>
      </x:c>
      <x:c r="E88" s="567" t="n"/>
      <x:c r="F88" s="571" t="n">
        <x:v>43350</x:v>
      </x:c>
      <x:c r="G88" s="567" t="inlineStr">
        <x:is>
          <x:t xml:space="preserve">BANK OF AMERICA</x:t>
        </x:is>
      </x:c>
      <x:c r="H88" s="567" t="inlineStr">
        <x:is>
          <x:t xml:space="preserve">TEMPLAR ENERGY; TEMPLAR OPERATING</x:t>
        </x:is>
      </x:c>
      <x:c r="I88" s="567" t="inlineStr">
        <x:is>
          <x:t xml:space="preserve">S1 T13N R25W A; S4 T16N R24W A; 3 more; target may be included in omitted legals</x:t>
        </x:is>
      </x:c>
      <x:c r="J88" s="567" t="inlineStr">
        <x:is>
          <x:t xml:space="preserve">Search-engine indexed OKCR snippet surfaced instrument 2018-002315 as Amendment Of Mortgage, Book 002401, pages 0586-0654, 69 images. Full legal list is truncated.</x:t>
        </x:is>
      </x:c>
      <x:c r="K88" s="567" t="inlineStr">
        <x:is>
          <x:t xml:space="preserve">OKCountyRecords public search result via web index</x:t>
        </x:is>
      </x:c>
      <x:c r="L88" s="567" t="inlineStr">
        <x:is>
          <x:t xml:space="preserve">Candidate from search result page</x:t>
        </x:is>
      </x:c>
      <x:c r="M88" s="567" t="inlineStr">
        <x:is>
          <x:t xml:space="preserve">https://okcountyrecords.com/detail/roger+mills/2018-002315</x:t>
        </x:is>
      </x:c>
      <x:c r="N88" s="567" t="inlineStr">
        <x:is>
          <x:t xml:space="preserve">Candidate public index text only; image/exhibits still required</x:t>
        </x:is>
      </x:c>
      <x:c r="O88" s="567" t="inlineStr">
        <x:is>
          <x:t xml:space="preserve">https://okcountyrecords.com/results/omni%3DS31%2BT12N%2BR24W%2BLALEXANDER%3Asite%3Droger%20mills</x:t>
        </x:is>
      </x:c>
      <x:c r="P88" s="567" t="inlineStr">
        <x:is>
          <x:t xml:space="preserve">Obtain amendment image/exhibits; determine Section 31 collateral/release effect.</x:t>
        </x:is>
      </x:c>
      <x:c r="Q88" s="567" t="inlineStr">
        <x:is>
          <x:t xml:space="preserve">Medium</x:t>
        </x:is>
      </x:c>
      <x:c r="R88" s="567" t="inlineStr">
        <x:is>
          <x:t xml:space="preserve">Lien / Release</x:t>
        </x:is>
      </x:c>
      <x:c r="S88" s="650" t="n">
        <x:v>43350</x:v>
      </x:c>
      <x:c r="T88" s="567" t="inlineStr">
        <x:is>
          <x:t xml:space="preserve">Recorded / indexed date from public snippet</x:t>
        </x:is>
      </x:c>
      <x:c r="U88" s="650" t="n">
        <x:v>43350</x:v>
      </x:c>
      <x:c r="V88" s="567" t="n"/>
      <x:c r="W88" s="567" t="inlineStr">
        <x:is>
          <x:t xml:space="preserve">Exact Section 31 call not visible in row snippet</x:t>
        </x:is>
      </x:c>
      <x:c r="X88" s="567" t="inlineStr">
        <x:is>
          <x:t xml:space="preserve">Candidate – legal list truncated on Section 31 search hit</x:t>
        </x:is>
      </x:c>
      <x:c r="Y88" s="568" t="inlineStr">
        <x:is>
          <x:t xml:space="preserve">Yes – verify against certified document image</x:t>
        </x:is>
      </x:c>
      <x:c r="Z88" s="568" t="inlineStr">
        <x:is>
          <x:t xml:space="preserve">Candidate only; do not rely without full image/exhibit.</x:t>
        </x:is>
      </x:c>
    </x:row>
    <x:row r="89">
      <x:c r="A89" s="567" t="n">
        <x:v>420</x:v>
      </x:c>
      <x:c r="B89" s="567" t="inlineStr">
        <x:is>
          <x:t xml:space="preserve">OKCR Web Workaround</x:t>
        </x:is>
      </x:c>
      <x:c r="C89" s="567" t="inlineStr">
        <x:is>
          <x:t xml:space="preserve">Release Of Lien</x:t>
        </x:is>
      </x:c>
      <x:c r="D89" s="567" t="inlineStr">
        <x:is>
          <x:t xml:space="preserve">2349/0330 - 0330</x:t>
        </x:is>
      </x:c>
      <x:c r="E89" s="567" t="n"/>
      <x:c r="F89" s="571" t="n">
        <x:v>42671</x:v>
      </x:c>
      <x:c r="G89" s="567" t="inlineStr">
        <x:is>
          <x:t xml:space="preserve">BANK OF AMERICA</x:t>
        </x:is>
      </x:c>
      <x:c r="H89" s="567" t="inlineStr">
        <x:is>
          <x:t xml:space="preserve">TECOLOTE HOLDINGS, LLC</x:t>
        </x:is>
      </x:c>
      <x:c r="I89" s="567" t="inlineStr">
        <x:is>
          <x:t xml:space="preserve">Legal not found in public snippet; candidate from related Section 31 web-index page</x:t>
        </x:is>
      </x:c>
      <x:c r="J89" s="567" t="inlineStr">
        <x:is>
          <x:t xml:space="preserve">Search-engine indexed OKCR snippet surfaced instrument 2016-002261 as Release Of Lien, Book 002349, page 0330, 1 image. Legal was not shown in snippet.</x:t>
        </x:is>
      </x:c>
      <x:c r="K89" s="567" t="inlineStr">
        <x:is>
          <x:t xml:space="preserve">OKCountyRecords public search result via web index</x:t>
        </x:is>
      </x:c>
      <x:c r="L89" s="567" t="inlineStr">
        <x:is>
          <x:t xml:space="preserve">Candidate from search result page</x:t>
        </x:is>
      </x:c>
      <x:c r="M89" s="567" t="inlineStr">
        <x:is>
          <x:t xml:space="preserve">https://okcountyrecords.com/detail/roger+mills/2016-002261</x:t>
        </x:is>
      </x:c>
      <x:c r="N89" s="567" t="inlineStr">
        <x:is>
          <x:t xml:space="preserve">Candidate public index text only; image/exhibits still required</x:t>
        </x:is>
      </x:c>
      <x:c r="O89" s="567" t="inlineStr">
        <x:is>
          <x:t xml:space="preserve">https://okcountyrecords.com/results/omni%3DS31%2BT12N%2BR24W%2BLALEXANDER%3Asite%3Droger%20mills</x:t>
        </x:is>
      </x:c>
      <x:c r="P89" s="567" t="inlineStr">
        <x:is>
          <x:t xml:space="preserve">Obtain release and match against Tecolote/Bank of America collateral chain.</x:t>
        </x:is>
      </x:c>
      <x:c r="Q89" s="567" t="inlineStr">
        <x:is>
          <x:t xml:space="preserve">Medium</x:t>
        </x:is>
      </x:c>
      <x:c r="R89" s="567" t="inlineStr">
        <x:is>
          <x:t xml:space="preserve">Lien / Release</x:t>
        </x:is>
      </x:c>
      <x:c r="S89" s="650" t="n">
        <x:v>42671</x:v>
      </x:c>
      <x:c r="T89" s="567" t="inlineStr">
        <x:is>
          <x:t xml:space="preserve">Recorded / indexed date from public snippet</x:t>
        </x:is>
      </x:c>
      <x:c r="U89" s="650" t="n">
        <x:v>42671</x:v>
      </x:c>
      <x:c r="V89" s="567" t="n"/>
      <x:c r="W89" s="567" t="inlineStr">
        <x:is>
          <x:t xml:space="preserve">No Section 31 call visible in snippet</x:t>
        </x:is>
      </x:c>
      <x:c r="X89" s="567" t="inlineStr">
        <x:is>
          <x:t xml:space="preserve">Candidate – search hit context only</x:t>
        </x:is>
      </x:c>
      <x:c r="Y89" s="568" t="inlineStr">
        <x:is>
          <x:t xml:space="preserve">Yes – verify against certified document image</x:t>
        </x:is>
      </x:c>
      <x:c r="Z89" s="568" t="inlineStr">
        <x:is>
          <x:t xml:space="preserve">Candidate only; do not rely without full image/exhibit.</x:t>
        </x:is>
      </x:c>
    </x:row>
    <x:row r="90">
      <x:c r="A90" s="567" t="n">
        <x:v>421</x:v>
      </x:c>
      <x:c r="B90" s="567" t="inlineStr">
        <x:is>
          <x:t xml:space="preserve">OKCR Web Workaround</x:t>
        </x:is>
      </x:c>
      <x:c r="C90" s="567" t="inlineStr">
        <x:is>
          <x:t xml:space="preserve">Memorandum</x:t>
        </x:is>
      </x:c>
      <x:c r="D90" s="567" t="inlineStr">
        <x:is>
          <x:t xml:space="preserve">2159/0063 - 0074</x:t>
        </x:is>
      </x:c>
      <x:c r="E90" s="567" t="n"/>
      <x:c r="F90" s="571" t="n">
        <x:v>41190</x:v>
      </x:c>
      <x:c r="G90" s="567" t="inlineStr">
        <x:is>
          <x:t xml:space="preserve">BANK OF AMERICA</x:t>
        </x:is>
      </x:c>
      <x:c r="H90" s="567" t="inlineStr">
        <x:is>
          <x:t xml:space="preserve">CHESAPEAKE ENERGY CORP; CHESAPEAKE MIDSTREAM DEVELOPMENT; LATIGO</x:t>
        </x:is>
      </x:c>
      <x:c r="I90" s="567" t="inlineStr">
        <x:is>
          <x:t xml:space="preserve">Legal not found in public snippet; candidate from related Section 31 web-index page</x:t>
        </x:is>
      </x:c>
      <x:c r="J90" s="567" t="inlineStr">
        <x:is>
          <x:t xml:space="preserve">Search-engine indexed OKCR snippet surfaced instrument 2012-006698 as Memorandum, Book 002159, pages 0063-0074, 12 images. Legal was not shown in snippet.</x:t>
        </x:is>
      </x:c>
      <x:c r="K90" s="567" t="inlineStr">
        <x:is>
          <x:t xml:space="preserve">OKCountyRecords public search result via web index</x:t>
        </x:is>
      </x:c>
      <x:c r="L90" s="567" t="inlineStr">
        <x:is>
          <x:t xml:space="preserve">Candidate from search result page</x:t>
        </x:is>
      </x:c>
      <x:c r="M90" s="567" t="inlineStr">
        <x:is>
          <x:t xml:space="preserve">https://okcountyrecords.com/detail/roger+mills/2012-006698</x:t>
        </x:is>
      </x:c>
      <x:c r="N90" s="567" t="inlineStr">
        <x:is>
          <x:t xml:space="preserve">Candidate public index text only; image/exhibits still required</x:t>
        </x:is>
      </x:c>
      <x:c r="O90" s="567" t="inlineStr">
        <x:is>
          <x:t xml:space="preserve">https://okcountyrecords.com/results/omni%3DS31%2BT12N%2BR24W%2BLALEXANDER%3Asite%3Droger%20mills</x:t>
        </x:is>
      </x:c>
      <x:c r="P90" s="567" t="inlineStr">
        <x:is>
          <x:t xml:space="preserve">Obtain memorandum; verify whether it affects Section 31 acreage/easements/financing.</x:t>
        </x:is>
      </x:c>
      <x:c r="Q90" s="567" t="inlineStr">
        <x:is>
          <x:t xml:space="preserve">Medium</x:t>
        </x:is>
      </x:c>
      <x:c r="R90" s="567" t="inlineStr">
        <x:is>
          <x:t xml:space="preserve">Other / Memorandum</x:t>
        </x:is>
      </x:c>
      <x:c r="S90" s="650" t="n">
        <x:v>41190</x:v>
      </x:c>
      <x:c r="T90" s="567" t="inlineStr">
        <x:is>
          <x:t xml:space="preserve">Recorded / indexed date from public snippet</x:t>
        </x:is>
      </x:c>
      <x:c r="U90" s="650" t="n">
        <x:v>41190</x:v>
      </x:c>
      <x:c r="V90" s="567" t="n"/>
      <x:c r="W90" s="567" t="inlineStr">
        <x:is>
          <x:t xml:space="preserve">No Section 31 call visible in snippet</x:t>
        </x:is>
      </x:c>
      <x:c r="X90" s="567" t="inlineStr">
        <x:is>
          <x:t xml:space="preserve">Candidate – search hit context only</x:t>
        </x:is>
      </x:c>
      <x:c r="Y90" s="568" t="inlineStr">
        <x:is>
          <x:t xml:space="preserve">Yes – verify against certified document image</x:t>
        </x:is>
      </x:c>
      <x:c r="Z90" s="568" t="inlineStr">
        <x:is>
          <x:t xml:space="preserve">Candidate only; do not rely without full image/exhibit.</x:t>
        </x:is>
      </x:c>
    </x:row>
    <x:row r="91">
      <x:c r="A91" s="567" t="n">
        <x:v>422</x:v>
      </x:c>
      <x:c r="B91" s="567" t="inlineStr">
        <x:is>
          <x:t xml:space="preserve">OKCR Web Workaround</x:t>
        </x:is>
      </x:c>
      <x:c r="C91" s="567" t="inlineStr">
        <x:is>
          <x:t xml:space="preserve">Mortgage</x:t>
        </x:is>
      </x:c>
      <x:c r="D91" s="567" t="inlineStr">
        <x:is>
          <x:t xml:space="preserve">1622/0458 - 0507</x:t>
        </x:is>
      </x:c>
      <x:c r="E91" s="567" t="n"/>
      <x:c r="F91" s="571" t="n">
        <x:v>36888</x:v>
      </x:c>
      <x:c r="G91" s="567" t="inlineStr">
        <x:is>
          <x:t xml:space="preserve">CHESAPEAKE OPERATING INC</x:t>
        </x:is>
      </x:c>
      <x:c r="H91" s="567" t="inlineStr">
        <x:is>
          <x:t xml:space="preserve">BANK ONE NA</x:t>
        </x:is>
      </x:c>
      <x:c r="I91" s="567" t="inlineStr">
        <x:is>
          <x:t xml:space="preserve">Legal not found in public snippet; candidate from related Section 31 web-index page</x:t>
        </x:is>
      </x:c>
      <x:c r="J91" s="567" t="inlineStr">
        <x:is>
          <x:t xml:space="preserve">Search-engine indexed OKCR snippet surfaced instrument 2000-009367 as Mortgage, Book 001622, pages 0458-0507, 50 images. Legal was not shown in snippet.</x:t>
        </x:is>
      </x:c>
      <x:c r="K91" s="567" t="inlineStr">
        <x:is>
          <x:t xml:space="preserve">OKCountyRecords public search result via web index</x:t>
        </x:is>
      </x:c>
      <x:c r="L91" s="567" t="inlineStr">
        <x:is>
          <x:t xml:space="preserve">Candidate from search result page</x:t>
        </x:is>
      </x:c>
      <x:c r="M91" s="567" t="inlineStr">
        <x:is>
          <x:t xml:space="preserve">https://okcountyrecords.com/detail/roger+mills/2000-009367</x:t>
        </x:is>
      </x:c>
      <x:c r="N91" s="567" t="inlineStr">
        <x:is>
          <x:t xml:space="preserve">Candidate public index text only; image/exhibits still required</x:t>
        </x:is>
      </x:c>
      <x:c r="O91" s="567" t="inlineStr">
        <x:is>
          <x:t xml:space="preserve">https://okcountyrecords.com/results/omni%3DS31%2BT12N%2BR24W%2BLALEXANDER%3Asite%3Droger%20mills</x:t>
        </x:is>
      </x:c>
      <x:c r="P91" s="567" t="inlineStr">
        <x:is>
          <x:t xml:space="preserve">Obtain mortgage and release chain; verify Section 31 collateral.</x:t>
        </x:is>
      </x:c>
      <x:c r="Q91" s="567" t="inlineStr">
        <x:is>
          <x:t xml:space="preserve">Medium</x:t>
        </x:is>
      </x:c>
      <x:c r="R91" s="567" t="inlineStr">
        <x:is>
          <x:t xml:space="preserve">Lien / Release</x:t>
        </x:is>
      </x:c>
      <x:c r="S91" s="650" t="n">
        <x:v>36888</x:v>
      </x:c>
      <x:c r="T91" s="567" t="inlineStr">
        <x:is>
          <x:t xml:space="preserve">Recorded / indexed date from public snippet</x:t>
        </x:is>
      </x:c>
      <x:c r="U91" s="650" t="n">
        <x:v>36888</x:v>
      </x:c>
      <x:c r="V91" s="567" t="n"/>
      <x:c r="W91" s="567" t="inlineStr">
        <x:is>
          <x:t xml:space="preserve">No Section 31 call visible in snippet</x:t>
        </x:is>
      </x:c>
      <x:c r="X91" s="567" t="inlineStr">
        <x:is>
          <x:t xml:space="preserve">Candidate – search hit context only</x:t>
        </x:is>
      </x:c>
      <x:c r="Y91" s="568" t="inlineStr">
        <x:is>
          <x:t xml:space="preserve">Yes – verify against certified document image</x:t>
        </x:is>
      </x:c>
      <x:c r="Z91" s="568" t="inlineStr">
        <x:is>
          <x:t xml:space="preserve">Candidate only; do not rely without full image/exhibit.</x:t>
        </x:is>
      </x:c>
    </x:row>
    <x:row r="92">
      <x:c r="A92" s="567" t="n">
        <x:v>423</x:v>
      </x:c>
      <x:c r="B92" s="567" t="inlineStr">
        <x:is>
          <x:t xml:space="preserve">OKCR Web Workaround</x:t>
        </x:is>
      </x:c>
      <x:c r="C92" s="567" t="inlineStr">
        <x:is>
          <x:t xml:space="preserve">Financing Statement</x:t>
        </x:is>
      </x:c>
      <x:c r="D92" s="567" t="inlineStr">
        <x:is>
          <x:t xml:space="preserve">2338/0001 - 0274</x:t>
        </x:is>
      </x:c>
      <x:c r="E92" s="567" t="n"/>
      <x:c r="F92" s="571" t="n">
        <x:v>42530</x:v>
      </x:c>
      <x:c r="G92" s="567" t="inlineStr">
        <x:is>
          <x:t xml:space="preserve">TECOLOTE HOLDINGS, LLC</x:t>
        </x:is>
      </x:c>
      <x:c r="H92" s="567" t="inlineStr">
        <x:is>
          <x:t xml:space="preserve">WELLS FARGO BANK</x:t>
        </x:is>
      </x:c>
      <x:c r="I92" s="567" t="inlineStr">
        <x:is>
          <x:t xml:space="preserve">Legal not found in public snippet; candidate from related Section 31 web-index page</x:t>
        </x:is>
      </x:c>
      <x:c r="J92" s="567" t="inlineStr">
        <x:is>
          <x:t xml:space="preserve">Search-engine indexed OKCR snippet surfaced instrument 2016-001430 as Financing Statement, Book 002338, pages 0001-0274, 274 images. Legal was not shown in snippet.</x:t>
        </x:is>
      </x:c>
      <x:c r="K92" s="567" t="inlineStr">
        <x:is>
          <x:t xml:space="preserve">OKCountyRecords public search result via web index</x:t>
        </x:is>
      </x:c>
      <x:c r="L92" s="567" t="inlineStr">
        <x:is>
          <x:t xml:space="preserve">Candidate from search result page</x:t>
        </x:is>
      </x:c>
      <x:c r="M92" s="567" t="inlineStr">
        <x:is>
          <x:t xml:space="preserve">https://okcountyrecords.com/detail/roger+mills/2016-001430</x:t>
        </x:is>
      </x:c>
      <x:c r="N92" s="567" t="inlineStr">
        <x:is>
          <x:t xml:space="preserve">Candidate public index text only; image/exhibits still required</x:t>
        </x:is>
      </x:c>
      <x:c r="O92" s="567" t="inlineStr">
        <x:is>
          <x:t xml:space="preserve">https://okcountyrecords.com/results/omni%3DS31%2BT12N%2BR24W%2BLALEXANDER%3Asite%3Droger%20mills</x:t>
        </x:is>
      </x:c>
      <x:c r="P92" s="567" t="inlineStr">
        <x:is>
          <x:t xml:space="preserve">Obtain financing statement/termination; determine if Section 31 collateral is included.</x:t>
        </x:is>
      </x:c>
      <x:c r="Q92" s="567" t="inlineStr">
        <x:is>
          <x:t xml:space="preserve">High</x:t>
        </x:is>
      </x:c>
      <x:c r="R92" s="567" t="inlineStr">
        <x:is>
          <x:t xml:space="preserve">Lien / Release</x:t>
        </x:is>
      </x:c>
      <x:c r="S92" s="650" t="n">
        <x:v>42530</x:v>
      </x:c>
      <x:c r="T92" s="567" t="inlineStr">
        <x:is>
          <x:t xml:space="preserve">Recorded / indexed date from public snippet</x:t>
        </x:is>
      </x:c>
      <x:c r="U92" s="650" t="n">
        <x:v>42530</x:v>
      </x:c>
      <x:c r="V92" s="567" t="n"/>
      <x:c r="W92" s="567" t="inlineStr">
        <x:is>
          <x:t xml:space="preserve">No Section 31 call visible in snippet</x:t>
        </x:is>
      </x:c>
      <x:c r="X92" s="567" t="inlineStr">
        <x:is>
          <x:t xml:space="preserve">Candidate – search hit context only</x:t>
        </x:is>
      </x:c>
      <x:c r="Y92" s="568" t="inlineStr">
        <x:is>
          <x:t xml:space="preserve">Yes – verify against certified document image</x:t>
        </x:is>
      </x:c>
      <x:c r="Z92" s="568" t="inlineStr">
        <x:is>
          <x:t xml:space="preserve">Candidate only; do not rely without full image/exhibit.</x:t>
        </x:is>
      </x:c>
    </x:row>
    <x:row r="93">
      <x:c r="A93" s="567" t="n">
        <x:v>424</x:v>
      </x:c>
      <x:c r="B93" s="567" t="inlineStr">
        <x:is>
          <x:t xml:space="preserve">OKCR Web Workaround</x:t>
        </x:is>
      </x:c>
      <x:c r="C93" s="567" t="inlineStr">
        <x:is>
          <x:t xml:space="preserve">Assignment</x:t>
        </x:is>
      </x:c>
      <x:c r="D93" s="567" t="inlineStr">
        <x:is>
          <x:t xml:space="preserve">2351/0001 - 0146</x:t>
        </x:is>
      </x:c>
      <x:c r="E93" s="567" t="n"/>
      <x:c r="F93" s="571" t="n">
        <x:v>42723</x:v>
      </x:c>
      <x:c r="G93" s="567" t="inlineStr">
        <x:is>
          <x:t xml:space="preserve">RIO OIL AND GAS II, LLC</x:t>
        </x:is>
      </x:c>
      <x:c r="H93" s="567" t="inlineStr">
        <x:is>
          <x:t xml:space="preserve">SAMSON RESOURCES CO</x:t>
        </x:is>
      </x:c>
      <x:c r="I93" s="567" t="inlineStr">
        <x:is>
          <x:t xml:space="preserve">S9 T15N R23W LFUCHS; 168 more; candidate from related target search page</x:t>
        </x:is>
      </x:c>
      <x:c r="J93" s="567" t="inlineStr">
        <x:is>
          <x:t xml:space="preserve">Search-engine indexed OKCR snippet surfaced instrument 2016-002668 as Assignment, Book 002351, pages 0001-0146, 146 images. Full legal list is truncated.</x:t>
        </x:is>
      </x:c>
      <x:c r="K93" s="567" t="inlineStr">
        <x:is>
          <x:t xml:space="preserve">OKCountyRecords public search result via web index</x:t>
        </x:is>
      </x:c>
      <x:c r="L93" s="567" t="inlineStr">
        <x:is>
          <x:t xml:space="preserve">Candidate from search result page</x:t>
        </x:is>
      </x:c>
      <x:c r="M93" s="567" t="inlineStr">
        <x:is>
          <x:t xml:space="preserve">https://okcountyrecords.com/detail/roger+mills/2016-002668</x:t>
        </x:is>
      </x:c>
      <x:c r="N93" s="567" t="inlineStr">
        <x:is>
          <x:t xml:space="preserve">Candidate public index text only; image/exhibits still required</x:t>
        </x:is>
      </x:c>
      <x:c r="O93" s="567" t="inlineStr">
        <x:is>
          <x:t xml:space="preserve">https://okcountyrecords.com/results/omni%3DS31%2BT12N%2BR24W%2BLALEXANDER%3Asite%3Droger%20mills</x:t>
        </x:is>
      </x:c>
      <x:c r="P93" s="567" t="inlineStr">
        <x:is>
          <x:t xml:space="preserve">Obtain assignment/exhibits; verify if Section 31 leases/minerals are included.</x:t>
        </x:is>
      </x:c>
      <x:c r="Q93" s="567" t="inlineStr">
        <x:is>
          <x:t xml:space="preserve">Medium</x:t>
        </x:is>
      </x:c>
      <x:c r="R93" s="567" t="inlineStr">
        <x:is>
          <x:t xml:space="preserve">Assignment</x:t>
        </x:is>
      </x:c>
      <x:c r="S93" s="650" t="n">
        <x:v>42723</x:v>
      </x:c>
      <x:c r="T93" s="567" t="inlineStr">
        <x:is>
          <x:t xml:space="preserve">Recorded / indexed date from public snippet</x:t>
        </x:is>
      </x:c>
      <x:c r="U93" s="650" t="n">
        <x:v>42723</x:v>
      </x:c>
      <x:c r="V93" s="567" t="n"/>
      <x:c r="W93" s="567" t="inlineStr">
        <x:is>
          <x:t xml:space="preserve">Exact Section 31 call not visible in row snippet</x:t>
        </x:is>
      </x:c>
      <x:c r="X93" s="567" t="inlineStr">
        <x:is>
          <x:t xml:space="preserve">Candidate – related target search page, legal list truncated</x:t>
        </x:is>
      </x:c>
      <x:c r="Y93" s="568" t="inlineStr">
        <x:is>
          <x:t xml:space="preserve">Yes – verify against certified document image</x:t>
        </x:is>
      </x:c>
      <x:c r="Z93" s="568" t="inlineStr">
        <x:is>
          <x:t xml:space="preserve">Candidate only; do not rely without full image/exhibit.</x:t>
        </x:is>
      </x:c>
    </x:row>
    <x:row r="94">
      <x:c r="A94" s="567" t="n">
        <x:v>425</x:v>
      </x:c>
      <x:c r="B94" s="567" t="inlineStr">
        <x:is>
          <x:t xml:space="preserve">OKCR Web Workaround</x:t>
        </x:is>
      </x:c>
      <x:c r="C94" s="567" t="inlineStr">
        <x:is>
          <x:t xml:space="preserve">Partial Release Of Lien</x:t>
        </x:is>
      </x:c>
      <x:c r="D94" s="567" t="inlineStr">
        <x:is>
          <x:t xml:space="preserve">2350/0201 - 0677</x:t>
        </x:is>
      </x:c>
      <x:c r="E94" s="567" t="n"/>
      <x:c r="F94" s="571" t="n">
        <x:v>42723</x:v>
      </x:c>
      <x:c r="G94" s="567" t="inlineStr">
        <x:is>
          <x:t xml:space="preserve">BANK OF AMERICA</x:t>
        </x:is>
      </x:c>
      <x:c r="H94" s="567" t="inlineStr">
        <x:is>
          <x:t xml:space="preserve">RIO OIL AND GAS II, LLC</x:t>
        </x:is>
      </x:c>
      <x:c r="I94" s="567" t="inlineStr">
        <x:is>
          <x:t xml:space="preserve">S9 T15N R23W LFUCHS; 168 more; candidate from related target search page</x:t>
        </x:is>
      </x:c>
      <x:c r="J94" s="567" t="inlineStr">
        <x:is>
          <x:t xml:space="preserve">Search-engine indexed OKCR snippet surfaced instrument 2016-002667 as Partial Release Of Lien, Book 002350, pages 0201-0677, 477 images. Full legal list is truncated.</x:t>
        </x:is>
      </x:c>
      <x:c r="K94" s="567" t="inlineStr">
        <x:is>
          <x:t xml:space="preserve">OKCountyRecords public search result via web index</x:t>
        </x:is>
      </x:c>
      <x:c r="L94" s="567" t="inlineStr">
        <x:is>
          <x:t xml:space="preserve">Candidate from search result page</x:t>
        </x:is>
      </x:c>
      <x:c r="M94" s="567" t="inlineStr">
        <x:is>
          <x:t xml:space="preserve">https://okcountyrecords.com/detail/roger+mills/2016-002667</x:t>
        </x:is>
      </x:c>
      <x:c r="N94" s="567" t="inlineStr">
        <x:is>
          <x:t xml:space="preserve">Candidate public index text only; image/exhibits still required</x:t>
        </x:is>
      </x:c>
      <x:c r="O94" s="567" t="inlineStr">
        <x:is>
          <x:t xml:space="preserve">https://okcountyrecords.com/results/omni%3DS31%2BT12N%2BR24W%2BLALEXANDER%3Asite%3Droger%20mills</x:t>
        </x:is>
      </x:c>
      <x:c r="P94" s="567" t="inlineStr">
        <x:is>
          <x:t xml:space="preserve">Obtain release/exhibits; verify if Section 31 collateral is released.</x:t>
        </x:is>
      </x:c>
      <x:c r="Q94" s="567" t="inlineStr">
        <x:is>
          <x:t xml:space="preserve">Medium</x:t>
        </x:is>
      </x:c>
      <x:c r="R94" s="567" t="inlineStr">
        <x:is>
          <x:t xml:space="preserve">Lien / Release</x:t>
        </x:is>
      </x:c>
      <x:c r="S94" s="650" t="n">
        <x:v>42723</x:v>
      </x:c>
      <x:c r="T94" s="567" t="inlineStr">
        <x:is>
          <x:t xml:space="preserve">Recorded / indexed date from public snippet</x:t>
        </x:is>
      </x:c>
      <x:c r="U94" s="650" t="n">
        <x:v>42723</x:v>
      </x:c>
      <x:c r="V94" s="567" t="n"/>
      <x:c r="W94" s="567" t="inlineStr">
        <x:is>
          <x:t xml:space="preserve">Exact Section 31 call not visible in row snippet</x:t>
        </x:is>
      </x:c>
      <x:c r="X94" s="567" t="inlineStr">
        <x:is>
          <x:t xml:space="preserve">Candidate – related target search page, legal list truncated</x:t>
        </x:is>
      </x:c>
      <x:c r="Y94" s="568" t="inlineStr">
        <x:is>
          <x:t xml:space="preserve">Yes – verify against certified document image</x:t>
        </x:is>
      </x:c>
      <x:c r="Z94" s="568" t="inlineStr">
        <x:is>
          <x:t xml:space="preserve">Candidate only; do not rely without full image/exhibit.</x:t>
        </x:is>
      </x:c>
    </x:row>
    <x:row r="95">
      <x:c r="A95" s="567" t="n">
        <x:v>426</x:v>
      </x:c>
      <x:c r="B95" s="567" t="inlineStr">
        <x:is>
          <x:t xml:space="preserve">OKCR Web Workaround</x:t>
        </x:is>
      </x:c>
      <x:c r="C95" s="567" t="inlineStr">
        <x:is>
          <x:t xml:space="preserve">Water Rights</x:t>
        </x:is>
      </x:c>
      <x:c r="D95" s="567" t="inlineStr">
        <x:is>
          <x:t xml:space="preserve">2202/0462 - 0511</x:t>
        </x:is>
      </x:c>
      <x:c r="E95" s="567" t="n"/>
      <x:c r="F95" s="571" t="n">
        <x:v>41592</x:v>
      </x:c>
      <x:c r="G95" s="567" t="inlineStr">
        <x:is>
          <x:t xml:space="preserve">WINCHESTER, LLC</x:t>
        </x:is>
      </x:c>
      <x:c r="H95" s="567" t="inlineStr">
        <x:is>
          <x:t xml:space="preserve">CANADIAN RIVER PIPELINE, LLC</x:t>
        </x:is>
      </x:c>
      <x:c r="I95" s="567" t="inlineStr">
        <x:is>
          <x:t xml:space="preserve">S15 T13N R21W A; S22 T13N R21W A; 58 more; candidate from related target search page</x:t>
        </x:is>
      </x:c>
      <x:c r="J95" s="567" t="inlineStr">
        <x:is>
          <x:t xml:space="preserve">Search-engine indexed OKCR snippet surfaced instrument 2013-006616 as Water Rights, Book 002202, pages 0462-0511, 49 images. Full legal list is truncated.</x:t>
        </x:is>
      </x:c>
      <x:c r="K95" s="567" t="inlineStr">
        <x:is>
          <x:t xml:space="preserve">OKCountyRecords public search result via web index</x:t>
        </x:is>
      </x:c>
      <x:c r="L95" s="567" t="inlineStr">
        <x:is>
          <x:t xml:space="preserve">Candidate from search result page</x:t>
        </x:is>
      </x:c>
      <x:c r="M95" s="567" t="inlineStr">
        <x:is>
          <x:t xml:space="preserve">https://okcountyrecords.com/detail/roger+mills/2013-006616</x:t>
        </x:is>
      </x:c>
      <x:c r="N95" s="567" t="inlineStr">
        <x:is>
          <x:t xml:space="preserve">Candidate public index text only; image/exhibits still required</x:t>
        </x:is>
      </x:c>
      <x:c r="O95" s="567" t="inlineStr">
        <x:is>
          <x:t xml:space="preserve">https://okcountyrecords.com/results/omni%3DS31%2BT12N%2BR24W%2BLALEXANDER%3Asite%3Droger%20mills</x:t>
        </x:is>
      </x:c>
      <x:c r="P95" s="567" t="inlineStr">
        <x:is>
          <x:t xml:space="preserve">Obtain water-rights/easement document; verify any Section 31 surface or title effect.</x:t>
        </x:is>
      </x:c>
      <x:c r="Q95" s="567" t="inlineStr">
        <x:is>
          <x:t xml:space="preserve">Medium</x:t>
        </x:is>
      </x:c>
      <x:c r="R95" s="567" t="inlineStr">
        <x:is>
          <x:t xml:space="preserve">Easement / Surface</x:t>
        </x:is>
      </x:c>
      <x:c r="S95" s="650" t="n">
        <x:v>41592</x:v>
      </x:c>
      <x:c r="T95" s="567" t="inlineStr">
        <x:is>
          <x:t xml:space="preserve">Recorded / indexed date from public snippet</x:t>
        </x:is>
      </x:c>
      <x:c r="U95" s="650" t="n">
        <x:v>41592</x:v>
      </x:c>
      <x:c r="V95" s="567" t="n"/>
      <x:c r="W95" s="567" t="inlineStr">
        <x:is>
          <x:t xml:space="preserve">Exact Section 31 call not visible in row snippet</x:t>
        </x:is>
      </x:c>
      <x:c r="X95" s="567" t="inlineStr">
        <x:is>
          <x:t xml:space="preserve">Candidate – related target search page, legal list truncated</x:t>
        </x:is>
      </x:c>
      <x:c r="Y95" s="568" t="inlineStr">
        <x:is>
          <x:t xml:space="preserve">Yes – verify against certified document image</x:t>
        </x:is>
      </x:c>
      <x:c r="Z95" s="568" t="inlineStr">
        <x:is>
          <x:t xml:space="preserve">Candidate only; do not rely without full image/exhibit.</x:t>
        </x:is>
      </x:c>
    </x:row>
    <x:row r="96">
      <x:c r="A96" s="567" t="n">
        <x:v>427</x:v>
      </x:c>
      <x:c r="B96" s="567" t="inlineStr">
        <x:is>
          <x:t xml:space="preserve">OKCR Web Workaround</x:t>
        </x:is>
      </x:c>
      <x:c r="C96" s="567" t="inlineStr">
        <x:is>
          <x:t xml:space="preserve">Continued Financing Statement</x:t>
        </x:is>
      </x:c>
      <x:c r="D96" s="567" t="inlineStr">
        <x:is>
          <x:t xml:space="preserve">2414/0624 - 0633</x:t>
        </x:is>
      </x:c>
      <x:c r="E96" s="567" t="n"/>
      <x:c r="F96" s="571" t="n">
        <x:v>43462</x:v>
      </x:c>
      <x:c r="G96" s="567" t="inlineStr">
        <x:is>
          <x:t xml:space="preserve">DEVON ENERGY PRODUCTION</x:t>
        </x:is>
      </x:c>
      <x:c r="H96" s="567" t="inlineStr">
        <x:is>
          <x:t xml:space="preserve">BOKF</x:t>
        </x:is>
      </x:c>
      <x:c r="I96" s="567" t="inlineStr">
        <x:is>
          <x:t xml:space="preserve">S3 T14N R22W A; S10 T14N R22W A; 413 more; candidate from related target search page</x:t>
        </x:is>
      </x:c>
      <x:c r="J96" s="567" t="inlineStr">
        <x:is>
          <x:t xml:space="preserve">Search-engine indexed OKCR snippet surfaced instrument 2018-003358 as Continued Financing Statement, Book 002414, pages 0624-0633, 10 images. Full legal list is truncated.</x:t>
        </x:is>
      </x:c>
      <x:c r="K96" s="567" t="inlineStr">
        <x:is>
          <x:t xml:space="preserve">OKCountyRecords public search result via web index</x:t>
        </x:is>
      </x:c>
      <x:c r="L96" s="567" t="inlineStr">
        <x:is>
          <x:t xml:space="preserve">Candidate from search result page</x:t>
        </x:is>
      </x:c>
      <x:c r="M96" s="567" t="inlineStr">
        <x:is>
          <x:t xml:space="preserve">https://okcountyrecords.com/detail/roger+mills/2018-003358</x:t>
        </x:is>
      </x:c>
      <x:c r="N96" s="567" t="inlineStr">
        <x:is>
          <x:t xml:space="preserve">Candidate public index text only; image/exhibits still required</x:t>
        </x:is>
      </x:c>
      <x:c r="O96" s="567" t="inlineStr">
        <x:is>
          <x:t xml:space="preserve">https://okcountyrecords.com/results/omni%3DS31%2BT12N%2BR24W%2BLALEXANDER%3Asite%3Droger%20mills</x:t>
        </x:is>
      </x:c>
      <x:c r="P96" s="567" t="inlineStr">
        <x:is>
          <x:t xml:space="preserve">Obtain continuation/termination; confirm if Section 31 collateral remains encumbered.</x:t>
        </x:is>
      </x:c>
      <x:c r="Q96" s="567" t="inlineStr">
        <x:is>
          <x:t xml:space="preserve">High</x:t>
        </x:is>
      </x:c>
      <x:c r="R96" s="567" t="inlineStr">
        <x:is>
          <x:t xml:space="preserve">Lien / Release</x:t>
        </x:is>
      </x:c>
      <x:c r="S96" s="650" t="n">
        <x:v>43462</x:v>
      </x:c>
      <x:c r="T96" s="567" t="inlineStr">
        <x:is>
          <x:t xml:space="preserve">Recorded / indexed date from public snippet</x:t>
        </x:is>
      </x:c>
      <x:c r="U96" s="650" t="n">
        <x:v>43462</x:v>
      </x:c>
      <x:c r="V96" s="567" t="n"/>
      <x:c r="W96" s="567" t="inlineStr">
        <x:is>
          <x:t xml:space="preserve">Exact Section 31 call not visible in row snippet</x:t>
        </x:is>
      </x:c>
      <x:c r="X96" s="567" t="inlineStr">
        <x:is>
          <x:t xml:space="preserve">Candidate – related target search page, legal list truncated</x:t>
        </x:is>
      </x:c>
      <x:c r="Y96" s="568" t="inlineStr">
        <x:is>
          <x:t xml:space="preserve">Yes – verify against certified document image</x:t>
        </x:is>
      </x:c>
      <x:c r="Z96" s="568" t="inlineStr">
        <x:is>
          <x:t xml:space="preserve">Candidate only; do not rely without full image/exhibit.</x:t>
        </x:is>
      </x:c>
    </x:row>
    <x:row r="97">
      <x:c r="A97" s="567" t="n">
        <x:v>428</x:v>
      </x:c>
      <x:c r="B97" s="567" t="inlineStr">
        <x:is>
          <x:t xml:space="preserve">OKCR Web Workaround</x:t>
        </x:is>
      </x:c>
      <x:c r="C97" s="567" t="inlineStr">
        <x:is>
          <x:t xml:space="preserve">Assignment Of Easement</x:t>
        </x:is>
      </x:c>
      <x:c r="D97" s="567" t="inlineStr">
        <x:is>
          <x:t xml:space="preserve">2164/0469 - 0532</x:t>
        </x:is>
      </x:c>
      <x:c r="E97" s="567" t="n"/>
      <x:c r="F97" s="571" t="n">
        <x:v>41232</x:v>
      </x:c>
      <x:c r="G97" s="567" t="inlineStr">
        <x:is>
          <x:t xml:space="preserve">TRANSOK, LLC</x:t>
        </x:is>
      </x:c>
      <x:c r="H97" s="567" t="inlineStr">
        <x:is>
          <x:t xml:space="preserve">DCP MIDSTREAM LP</x:t>
        </x:is>
      </x:c>
      <x:c r="I97" s="567" t="inlineStr">
        <x:is>
          <x:t xml:space="preserve">S2 T15N R25W A; S11 T15N R25W A; 95 more; candidate from related target search page</x:t>
        </x:is>
      </x:c>
      <x:c r="J97" s="567" t="inlineStr">
        <x:is>
          <x:t xml:space="preserve">Search-engine indexed OKCR snippet surfaced instrument 2012-007487 as Assignment Of Easement, Book 002164, pages 0469-0532, 64 images. Full legal list is truncated.</x:t>
        </x:is>
      </x:c>
      <x:c r="K97" s="567" t="inlineStr">
        <x:is>
          <x:t xml:space="preserve">OKCountyRecords public search result via web index</x:t>
        </x:is>
      </x:c>
      <x:c r="L97" s="567" t="inlineStr">
        <x:is>
          <x:t xml:space="preserve">Candidate from search result page</x:t>
        </x:is>
      </x:c>
      <x:c r="M97" s="567" t="inlineStr">
        <x:is>
          <x:t xml:space="preserve">https://okcountyrecords.com/detail/roger+mills/2012-007487</x:t>
        </x:is>
      </x:c>
      <x:c r="N97" s="567" t="inlineStr">
        <x:is>
          <x:t xml:space="preserve">Candidate public index text only; image/exhibits still required</x:t>
        </x:is>
      </x:c>
      <x:c r="O97" s="567" t="inlineStr">
        <x:is>
          <x:t xml:space="preserve">https://okcountyrecords.com/results/omni%3DS31%2BT12N%2BR24W%2BLALEXANDER%3Asite%3Droger%20mills</x:t>
        </x:is>
      </x:c>
      <x:c r="P97" s="567" t="inlineStr">
        <x:is>
          <x:t xml:space="preserve">Obtain easement assignment; verify any Section 31 surface/easement burden.</x:t>
        </x:is>
      </x:c>
      <x:c r="Q97" s="567" t="inlineStr">
        <x:is>
          <x:t xml:space="preserve">Medium</x:t>
        </x:is>
      </x:c>
      <x:c r="R97" s="567" t="inlineStr">
        <x:is>
          <x:t xml:space="preserve">Easement / Surface</x:t>
        </x:is>
      </x:c>
      <x:c r="S97" s="650" t="n">
        <x:v>41232</x:v>
      </x:c>
      <x:c r="T97" s="567" t="inlineStr">
        <x:is>
          <x:t xml:space="preserve">Recorded / indexed date from public snippet</x:t>
        </x:is>
      </x:c>
      <x:c r="U97" s="650" t="n">
        <x:v>41232</x:v>
      </x:c>
      <x:c r="V97" s="567" t="n"/>
      <x:c r="W97" s="567" t="inlineStr">
        <x:is>
          <x:t xml:space="preserve">Exact Section 31 call not visible in row snippet</x:t>
        </x:is>
      </x:c>
      <x:c r="X97" s="567" t="inlineStr">
        <x:is>
          <x:t xml:space="preserve">Candidate – related target search page, legal list truncated</x:t>
        </x:is>
      </x:c>
      <x:c r="Y97" s="568" t="inlineStr">
        <x:is>
          <x:t xml:space="preserve">Yes – verify against certified document image</x:t>
        </x:is>
      </x:c>
      <x:c r="Z97" s="568" t="inlineStr">
        <x:is>
          <x:t xml:space="preserve">Candidate only; do not rely without full image/exhibit.</x:t>
        </x:is>
      </x:c>
    </x:row>
    <x:row r="98">
      <x:c r="A98" s="567" t="n">
        <x:v>429</x:v>
      </x:c>
      <x:c r="B98" s="567" t="inlineStr">
        <x:is>
          <x:t xml:space="preserve">OKCR Web Workaround</x:t>
        </x:is>
      </x:c>
      <x:c r="C98" s="567" t="inlineStr">
        <x:is>
          <x:t xml:space="preserve">Memorandum</x:t>
        </x:is>
      </x:c>
      <x:c r="D98" s="567" t="inlineStr">
        <x:is>
          <x:t xml:space="preserve">2179/0001 - 0354</x:t>
        </x:is>
      </x:c>
      <x:c r="E98" s="567" t="n"/>
      <x:c r="F98" s="571" t="n">
        <x:v>41387</x:v>
      </x:c>
      <x:c r="G98" s="567" t="inlineStr">
        <x:is>
          <x:t xml:space="preserve">CHESAPEAKE MIDSTREAM DEVELOPMENT</x:t>
        </x:is>
      </x:c>
      <x:c r="H98" s="567" t="inlineStr">
        <x:is>
          <x:t xml:space="preserve">COMPASS BANK</x:t>
        </x:is>
      </x:c>
      <x:c r="I98" s="567" t="inlineStr">
        <x:is>
          <x:t xml:space="preserve">S29 T16N R22W A; S22 T16N R25W A; 322 more; candidate from related target search page</x:t>
        </x:is>
      </x:c>
      <x:c r="J98" s="567" t="inlineStr">
        <x:is>
          <x:t xml:space="preserve">Search-engine indexed OKCR snippet surfaced instrument 2013-002047 as Memorandum, Book 002179, pages 0001-0354, 354 images. Full legal list is truncated.</x:t>
        </x:is>
      </x:c>
      <x:c r="K98" s="567" t="inlineStr">
        <x:is>
          <x:t xml:space="preserve">OKCountyRecords public search result via web index</x:t>
        </x:is>
      </x:c>
      <x:c r="L98" s="567" t="inlineStr">
        <x:is>
          <x:t xml:space="preserve">Candidate from search result page</x:t>
        </x:is>
      </x:c>
      <x:c r="M98" s="567" t="inlineStr">
        <x:is>
          <x:t xml:space="preserve">https://okcountyrecords.com/detail/roger+mills/2013-002047</x:t>
        </x:is>
      </x:c>
      <x:c r="N98" s="567" t="inlineStr">
        <x:is>
          <x:t xml:space="preserve">Candidate public index text only; image/exhibits still required</x:t>
        </x:is>
      </x:c>
      <x:c r="O98" s="567" t="inlineStr">
        <x:is>
          <x:t xml:space="preserve">https://okcountyrecords.com/results/omni%3DS31%2BT12N%2BR24W%2BLALEXANDER%3Asite%3Droger%20mills</x:t>
        </x:is>
      </x:c>
      <x:c r="P98" s="567" t="inlineStr">
        <x:is>
          <x:t xml:space="preserve">Obtain memorandum and exhibits; verify any Section 31 easement/financing impact.</x:t>
        </x:is>
      </x:c>
      <x:c r="Q98" s="567" t="inlineStr">
        <x:is>
          <x:t xml:space="preserve">Medium</x:t>
        </x:is>
      </x:c>
      <x:c r="R98" s="567" t="inlineStr">
        <x:is>
          <x:t xml:space="preserve">Other / Memorandum</x:t>
        </x:is>
      </x:c>
      <x:c r="S98" s="650" t="n">
        <x:v>41387</x:v>
      </x:c>
      <x:c r="T98" s="567" t="inlineStr">
        <x:is>
          <x:t xml:space="preserve">Recorded / indexed date from public snippet</x:t>
        </x:is>
      </x:c>
      <x:c r="U98" s="650" t="n">
        <x:v>41387</x:v>
      </x:c>
      <x:c r="V98" s="567" t="n"/>
      <x:c r="W98" s="567" t="inlineStr">
        <x:is>
          <x:t xml:space="preserve">Exact Section 31 call not visible in row snippet</x:t>
        </x:is>
      </x:c>
      <x:c r="X98" s="567" t="inlineStr">
        <x:is>
          <x:t xml:space="preserve">Candidate – related target search page, legal list truncated</x:t>
        </x:is>
      </x:c>
      <x:c r="Y98" s="568" t="inlineStr">
        <x:is>
          <x:t xml:space="preserve">Yes – verify against certified document image</x:t>
        </x:is>
      </x:c>
      <x:c r="Z98" s="568" t="inlineStr">
        <x:is>
          <x:t xml:space="preserve">Candidate only; do not rely without full image/exhibit.</x:t>
        </x:is>
      </x:c>
    </x:row>
    <x:row r="99">
      <x:c r="A99" s="567" t="n">
        <x:v>430</x:v>
      </x:c>
      <x:c r="B99" s="567" t="inlineStr">
        <x:is>
          <x:t xml:space="preserve">OKCR Web Workaround</x:t>
        </x:is>
      </x:c>
      <x:c r="C99" s="567" t="inlineStr">
        <x:is>
          <x:t xml:space="preserve">Partial Release Of Lien</x:t>
        </x:is>
      </x:c>
      <x:c r="D99" s="567" t="inlineStr">
        <x:is>
          <x:t xml:space="preserve">2368/0001 - 0004</x:t>
        </x:is>
      </x:c>
      <x:c r="E99" s="567" t="n"/>
      <x:c r="F99" s="571" t="n">
        <x:v>42886</x:v>
      </x:c>
      <x:c r="G99" s="567" t="inlineStr">
        <x:is>
          <x:t xml:space="preserve">BOKF NA</x:t>
        </x:is>
      </x:c>
      <x:c r="H99" s="567" t="inlineStr">
        <x:is>
          <x:t xml:space="preserve">DEVON ENERGY PRODUCTION CO</x:t>
        </x:is>
      </x:c>
      <x:c r="I99" s="567" t="inlineStr">
        <x:is>
          <x:t xml:space="preserve">Legal not found in public snippet; candidate from related target search page</x:t>
        </x:is>
      </x:c>
      <x:c r="J99" s="567" t="inlineStr">
        <x:is>
          <x:t xml:space="preserve">Search-engine indexed OKCR snippet surfaced instrument 2017-001150 as Partial Release Of Lien, Book 002368, pages 0001-0004, 4 images. Legal was not shown in snippet.</x:t>
        </x:is>
      </x:c>
      <x:c r="K99" s="567" t="inlineStr">
        <x:is>
          <x:t xml:space="preserve">OKCountyRecords public search result via web index</x:t>
        </x:is>
      </x:c>
      <x:c r="L99" s="567" t="inlineStr">
        <x:is>
          <x:t xml:space="preserve">Candidate from search result page</x:t>
        </x:is>
      </x:c>
      <x:c r="M99" s="567" t="inlineStr">
        <x:is>
          <x:t xml:space="preserve">https://okcountyrecords.com/detail/roger+mills/2017-001150</x:t>
        </x:is>
      </x:c>
      <x:c r="N99" s="567" t="inlineStr">
        <x:is>
          <x:t xml:space="preserve">Candidate public index text only; image/exhibits still required</x:t>
        </x:is>
      </x:c>
      <x:c r="O99" s="567" t="inlineStr">
        <x:is>
          <x:t xml:space="preserve">https://okcountyrecords.com/results/omni%3DS31%2BT12N%2BR24W%2BLALEXANDER%3Asite%3Droger%20mills</x:t>
        </x:is>
      </x:c>
      <x:c r="P99" s="567" t="inlineStr">
        <x:is>
          <x:t xml:space="preserve">Obtain release and match to Devon/BOKF lien chain; verify Section 31 effect.</x:t>
        </x:is>
      </x:c>
      <x:c r="Q99" s="567" t="inlineStr">
        <x:is>
          <x:t xml:space="preserve">Medium</x:t>
        </x:is>
      </x:c>
      <x:c r="R99" s="567" t="inlineStr">
        <x:is>
          <x:t xml:space="preserve">Lien / Release</x:t>
        </x:is>
      </x:c>
      <x:c r="S99" s="650" t="n">
        <x:v>42886</x:v>
      </x:c>
      <x:c r="T99" s="567" t="inlineStr">
        <x:is>
          <x:t xml:space="preserve">Recorded / indexed date from public snippet</x:t>
        </x:is>
      </x:c>
      <x:c r="U99" s="650" t="n">
        <x:v>42886</x:v>
      </x:c>
      <x:c r="V99" s="567" t="n"/>
      <x:c r="W99" s="567" t="inlineStr">
        <x:is>
          <x:t xml:space="preserve">No Section 31 call visible in snippet</x:t>
        </x:is>
      </x:c>
      <x:c r="X99" s="567" t="inlineStr">
        <x:is>
          <x:t xml:space="preserve">Candidate – search hit context only</x:t>
        </x:is>
      </x:c>
      <x:c r="Y99" s="568" t="inlineStr">
        <x:is>
          <x:t xml:space="preserve">Yes – verify against certified document image</x:t>
        </x:is>
      </x:c>
      <x:c r="Z99" s="568" t="inlineStr">
        <x:is>
          <x:t xml:space="preserve">Candidate only; do not rely without full image/exhibit.</x:t>
        </x:is>
      </x:c>
    </x:row>
    <x:row r="100">
      <x:c r="A100" s="567" t="n">
        <x:v>431</x:v>
      </x:c>
      <x:c r="B100" s="567" t="inlineStr">
        <x:is>
          <x:t xml:space="preserve">Clerk Index PDF / OKCR</x:t>
        </x:is>
      </x:c>
      <x:c r="C100" s="567" t="inlineStr">
        <x:is>
          <x:t xml:space="preserve">ASGT</x:t>
        </x:is>
      </x:c>
      <x:c r="D100" s="567" t="inlineStr">
        <x:is>
          <x:t xml:space="preserve">001608/0038</x:t>
        </x:is>
      </x:c>
      <x:c r="E100" s="567" t="inlineStr">
        <x:is>
          <x:t xml:space="preserve">Not found in reviewed materials</x:t>
        </x:is>
      </x:c>
      <x:c r="F100" s="571" t="n">
        <x:v>36600</x:v>
      </x:c>
      <x:c r="G100" s="567" t="inlineStr">
        <x:is>
          <x:t xml:space="preserve">R MICHAEL LORTZ</x:t>
        </x:is>
      </x:c>
      <x:c r="H100" s="567" t="inlineStr">
        <x:is>
          <x:t xml:space="preserve">LARIAT PETROLEUM INC</x:t>
        </x:is>
      </x:c>
      <x:c r="I100" s="567" t="inlineStr">
        <x:is>
          <x:t xml:space="preserve">S31 T12N R24W A</x:t>
        </x:is>
      </x:c>
      <x:c r="J100" s="567" t="inlineStr">
        <x:is>
          <x:t xml:space="preserve">Doc 2000-007065; attached Roger Mills County Clerk unplatted legal index image row; Index p.1; legal/quarter extracted visually from image-only PDF.</x:t>
        </x:is>
      </x:c>
      <x:c r="K100" s="567" t="inlineStr">
        <x:is>
          <x:t xml:space="preserve">63e8b9a8d056433a9994fe46ca85076b.pdf</x:t>
        </x:is>
      </x:c>
      <x:c r="L100" s="567" t="inlineStr">
        <x:is>
          <x:t xml:space="preserve">Index p.1</x:t>
        </x:is>
      </x:c>
      <x:c r="M100" s="567" t="inlineStr">
        <x:is>
          <x:t xml:space="preserve">https://okcountyrecords.com/detail/roger+mills/2000-007065</x:t>
        </x:is>
      </x:c>
      <x:c r="N100" s="567" t="inlineStr">
        <x:is>
          <x:t xml:space="preserve">Index row added - certified copy/image required</x:t>
        </x:is>
      </x:c>
      <x:c r="O100" s="567" t="inlineStr">
        <x:is>
          <x:t xml:space="preserve">https://okcountyrecords.com/detail/roger+mills/2000-007065</x:t>
        </x:is>
      </x:c>
      <x:c r="P100" s="567" t="inlineStr">
        <x:is>
          <x:t xml:space="preserve">Obtain certified instrument/image; verify parties, acreage, legal calls, status, and release/assignment chain.</x:t>
        </x:is>
      </x:c>
      <x:c r="Q100" s="567" t="inlineStr">
        <x:is>
          <x:t xml:space="preserve">High</x:t>
        </x:is>
      </x:c>
      <x:c r="R100" s="567" t="inlineStr">
        <x:is>
          <x:t xml:space="preserve">Assignment</x:t>
        </x:is>
      </x:c>
      <x:c r="S100" s="650" t="n">
        <x:v>36600</x:v>
      </x:c>
      <x:c r="T100" s="567" t="inlineStr">
        <x:is>
          <x:t xml:space="preserve">Clerk index Doc/Date from attached image-only report</x:t>
        </x:is>
      </x:c>
      <x:c r="U100" s="650" t="n">
        <x:v>36600</x:v>
      </x:c>
      <x:c r="V100" s="567" t="inlineStr">
        <x:is>
          <x:t xml:space="preserve">31-12N-24W</x:t>
        </x:is>
      </x:c>
      <x:c r="W100" s="567" t="inlineStr">
        <x:is>
          <x:t xml:space="preserve">A</x:t>
        </x:is>
      </x:c>
      <x:c r="X100" s="567" t="inlineStr">
        <x:is>
          <x:t xml:space="preserve">High - visually read from report</x:t>
        </x:is>
      </x:c>
      <x:c r="Y100" s="568" t="inlineStr">
        <x:is>
          <x:t xml:space="preserve">Yes - verify against certified document image</x:t>
        </x:is>
      </x:c>
      <x:c r="Z100" s="568" t="inlineStr">
        <x:is>
          <x:t xml:space="preserve">Supplemental import from attached image-only index; not full OCR-certified transcription.</x:t>
        </x:is>
      </x:c>
    </x:row>
    <x:row r="101">
      <x:c r="A101" s="567" t="n">
        <x:v>432</x:v>
      </x:c>
      <x:c r="B101" s="567" t="inlineStr">
        <x:is>
          <x:t xml:space="preserve">Clerk Index PDF / OKCR</x:t>
        </x:is>
      </x:c>
      <x:c r="C101" s="567" t="inlineStr">
        <x:is>
          <x:t xml:space="preserve">O/L</x:t>
        </x:is>
      </x:c>
      <x:c r="D101" s="567" t="inlineStr">
        <x:is>
          <x:t xml:space="preserve">001608/0452</x:t>
        </x:is>
      </x:c>
      <x:c r="E101" s="567" t="inlineStr">
        <x:is>
          <x:t xml:space="preserve">Not found in reviewed materials</x:t>
        </x:is>
      </x:c>
      <x:c r="F101" s="571" t="n">
        <x:v>36612</x:v>
      </x:c>
      <x:c r="G101" s="567" t="inlineStr">
        <x:is>
          <x:t xml:space="preserve">BARBIE MELINDA</x:t>
        </x:is>
      </x:c>
      <x:c r="H101" s="567" t="inlineStr">
        <x:is>
          <x:t xml:space="preserve">R MICHAEL LORTZ</x:t>
        </x:is>
      </x:c>
      <x:c r="I101" s="567" t="inlineStr">
        <x:is>
          <x:t xml:space="preserve">S31 T12N R24W L4</x:t>
        </x:is>
      </x:c>
      <x:c r="J101" s="567" t="inlineStr">
        <x:is>
          <x:t xml:space="preserve">Doc 2000-007204; attached Roger Mills County Clerk unplatted legal index image row; Index p.1; legal/quarter extracted visually from image-only PDF.</x:t>
        </x:is>
      </x:c>
      <x:c r="K101" s="567" t="inlineStr">
        <x:is>
          <x:t xml:space="preserve">63e8b9a8d056433a9994fe46ca85076b.pdf</x:t>
        </x:is>
      </x:c>
      <x:c r="L101" s="567" t="inlineStr">
        <x:is>
          <x:t xml:space="preserve">Index p.1</x:t>
        </x:is>
      </x:c>
      <x:c r="M101" s="567" t="inlineStr">
        <x:is>
          <x:t xml:space="preserve">https://okcountyrecords.com/detail/roger+mills/2000-007204</x:t>
        </x:is>
      </x:c>
      <x:c r="N101" s="567" t="inlineStr">
        <x:is>
          <x:t xml:space="preserve">Index row added - certified copy/image required</x:t>
        </x:is>
      </x:c>
      <x:c r="O101" s="567" t="inlineStr">
        <x:is>
          <x:t xml:space="preserve">https://okcountyrecords.com/detail/roger+mills/2000-007204</x:t>
        </x:is>
      </x:c>
      <x:c r="P101" s="567" t="inlineStr">
        <x:is>
          <x:t xml:space="preserve">Obtain certified instrument/image; verify parties, acreage, legal calls, status, and release/assignment chain.</x:t>
        </x:is>
      </x:c>
      <x:c r="Q101" s="567" t="inlineStr">
        <x:is>
          <x:t xml:space="preserve">High</x:t>
        </x:is>
      </x:c>
      <x:c r="R101" s="567" t="inlineStr">
        <x:is>
          <x:t xml:space="preserve">Lease</x:t>
        </x:is>
      </x:c>
      <x:c r="S101" s="650" t="n">
        <x:v>36612</x:v>
      </x:c>
      <x:c r="T101" s="567" t="inlineStr">
        <x:is>
          <x:t xml:space="preserve">Clerk index Doc/Date from attached image-only report</x:t>
        </x:is>
      </x:c>
      <x:c r="U101" s="650" t="n">
        <x:v>36612</x:v>
      </x:c>
      <x:c r="V101" s="567" t="inlineStr">
        <x:is>
          <x:t xml:space="preserve">31-12N-24W</x:t>
        </x:is>
      </x:c>
      <x:c r="W101" s="567" t="inlineStr">
        <x:is>
          <x:t xml:space="preserve">Lot 4</x:t>
        </x:is>
      </x:c>
      <x:c r="X101" s="567" t="inlineStr">
        <x:is>
          <x:t xml:space="preserve">High - visually read from report</x:t>
        </x:is>
      </x:c>
      <x:c r="Y101" s="568" t="inlineStr">
        <x:is>
          <x:t xml:space="preserve">Yes - verify against certified document image</x:t>
        </x:is>
      </x:c>
      <x:c r="Z101" s="568" t="inlineStr">
        <x:is>
          <x:t xml:space="preserve">Supplemental import from attached image-only index; not full OCR-certified transcription.</x:t>
        </x:is>
      </x:c>
    </x:row>
    <x:row r="102">
      <x:c r="A102" s="567" t="n">
        <x:v>436</x:v>
      </x:c>
      <x:c r="B102" s="567" t="inlineStr">
        <x:is>
          <x:t xml:space="preserve">Clerk Index PDF / OKCR</x:t>
        </x:is>
      </x:c>
      <x:c r="C102" s="567" t="inlineStr">
        <x:is>
          <x:t xml:space="preserve">O/L</x:t>
        </x:is>
      </x:c>
      <x:c r="D102" s="567" t="inlineStr">
        <x:is>
          <x:t xml:space="preserve">001608/0541</x:t>
        </x:is>
      </x:c>
      <x:c r="E102" s="567" t="inlineStr">
        <x:is>
          <x:t xml:space="preserve">Not found in reviewed materials</x:t>
        </x:is>
      </x:c>
      <x:c r="F102" s="571" t="n">
        <x:v>36613</x:v>
      </x:c>
      <x:c r="G102" s="567" t="inlineStr">
        <x:is>
          <x:t xml:space="preserve">MITCHELL CARRIE LEANNE</x:t>
        </x:is>
      </x:c>
      <x:c r="H102" s="567" t="inlineStr">
        <x:is>
          <x:t xml:space="preserve">EOG RESOURCES INC</x:t>
        </x:is>
      </x:c>
      <x:c r="I102" s="567" t="inlineStr">
        <x:is>
          <x:t xml:space="preserve">S31 T12N R24W E2 NW</x:t>
        </x:is>
      </x:c>
      <x:c r="J102" s="567" t="inlineStr">
        <x:is>
          <x:t xml:space="preserve">Doc 2000-007244; attached Roger Mills County Clerk unplatted legal index image row; Index p.1; legal/quarter extracted visually from image-only PDF.</x:t>
        </x:is>
      </x:c>
      <x:c r="K102" s="567" t="inlineStr">
        <x:is>
          <x:t xml:space="preserve">63e8b9a8d056433a9994fe46ca85076b.pdf</x:t>
        </x:is>
      </x:c>
      <x:c r="L102" s="567" t="inlineStr">
        <x:is>
          <x:t xml:space="preserve">Index p.1</x:t>
        </x:is>
      </x:c>
      <x:c r="M102" s="567" t="inlineStr">
        <x:is>
          <x:t xml:space="preserve">https://okcountyrecords.com/detail/roger+mills/2000-007244</x:t>
        </x:is>
      </x:c>
      <x:c r="N102" s="567" t="inlineStr">
        <x:is>
          <x:t xml:space="preserve">Index row added - certified copy/image required</x:t>
        </x:is>
      </x:c>
      <x:c r="O102" s="567" t="inlineStr">
        <x:is>
          <x:t xml:space="preserve">https://okcountyrecords.com/detail/roger+mills/2000-007244</x:t>
        </x:is>
      </x:c>
      <x:c r="P102" s="567" t="inlineStr">
        <x:is>
          <x:t xml:space="preserve">Obtain certified instrument/image; verify parties, acreage, legal calls, status, and release/assignment chain.</x:t>
        </x:is>
      </x:c>
      <x:c r="Q102" s="567" t="inlineStr">
        <x:is>
          <x:t xml:space="preserve">High</x:t>
        </x:is>
      </x:c>
      <x:c r="R102" s="567" t="inlineStr">
        <x:is>
          <x:t xml:space="preserve">Lease</x:t>
        </x:is>
      </x:c>
      <x:c r="S102" s="650" t="n">
        <x:v>36613</x:v>
      </x:c>
      <x:c r="T102" s="567" t="inlineStr">
        <x:is>
          <x:t xml:space="preserve">Clerk index Doc/Date from attached image-only report</x:t>
        </x:is>
      </x:c>
      <x:c r="U102" s="650" t="n">
        <x:v>36613</x:v>
      </x:c>
      <x:c r="V102" s="567" t="inlineStr">
        <x:is>
          <x:t xml:space="preserve">31-12N-24W</x:t>
        </x:is>
      </x:c>
      <x:c r="W102" s="567" t="inlineStr">
        <x:is>
          <x:t xml:space="preserve">E/2 NW/4</x:t>
        </x:is>
      </x:c>
      <x:c r="X102" s="567" t="inlineStr">
        <x:is>
          <x:t xml:space="preserve">High - visually read from report</x:t>
        </x:is>
      </x:c>
      <x:c r="Y102" s="568" t="inlineStr">
        <x:is>
          <x:t xml:space="preserve">Yes - verify against certified document image</x:t>
        </x:is>
      </x:c>
      <x:c r="Z102" s="568" t="inlineStr">
        <x:is>
          <x:t xml:space="preserve">Supplemental import from attached image-only index; not full OCR-certified transcription.</x:t>
        </x:is>
      </x:c>
    </x:row>
    <x:row r="103">
      <x:c r="A103" s="567" t="n">
        <x:v>440</x:v>
      </x:c>
      <x:c r="B103" s="567" t="inlineStr">
        <x:is>
          <x:t xml:space="preserve">Clerk Index PDF / OKCR</x:t>
        </x:is>
      </x:c>
      <x:c r="C103" s="567" t="inlineStr">
        <x:is>
          <x:t xml:space="preserve">O/L</x:t>
        </x:is>
      </x:c>
      <x:c r="D103" s="567" t="inlineStr">
        <x:is>
          <x:t xml:space="preserve">001608/0543</x:t>
        </x:is>
      </x:c>
      <x:c r="E103" s="567" t="inlineStr">
        <x:is>
          <x:t xml:space="preserve">Not found in reviewed materials</x:t>
        </x:is>
      </x:c>
      <x:c r="F103" s="571" t="n">
        <x:v>36613</x:v>
      </x:c>
      <x:c r="G103" s="567" t="inlineStr">
        <x:is>
          <x:t xml:space="preserve">MITCHELL NANCY SUSAN</x:t>
        </x:is>
      </x:c>
      <x:c r="H103" s="567" t="inlineStr">
        <x:is>
          <x:t xml:space="preserve">EOG RESOURCES INC</x:t>
        </x:is>
      </x:c>
      <x:c r="I103" s="567" t="inlineStr">
        <x:is>
          <x:t xml:space="preserve">S31 T12N R24W E2 NW</x:t>
        </x:is>
      </x:c>
      <x:c r="J103" s="567" t="inlineStr">
        <x:is>
          <x:t xml:space="preserve">Doc 2000-007245; attached Roger Mills County Clerk unplatted legal index image row; Index p.1; legal/quarter extracted visually from image-only PDF.</x:t>
        </x:is>
      </x:c>
      <x:c r="K103" s="567" t="inlineStr">
        <x:is>
          <x:t xml:space="preserve">63e8b9a8d056433a9994fe46ca85076b.pdf</x:t>
        </x:is>
      </x:c>
      <x:c r="L103" s="567" t="inlineStr">
        <x:is>
          <x:t xml:space="preserve">Index p.1</x:t>
        </x:is>
      </x:c>
      <x:c r="M103" s="567" t="inlineStr">
        <x:is>
          <x:t xml:space="preserve">https://okcountyrecords.com/detail/roger+mills/2000-007245</x:t>
        </x:is>
      </x:c>
      <x:c r="N103" s="567" t="inlineStr">
        <x:is>
          <x:t xml:space="preserve">Index row added - certified copy/image required</x:t>
        </x:is>
      </x:c>
      <x:c r="O103" s="567" t="inlineStr">
        <x:is>
          <x:t xml:space="preserve">https://okcountyrecords.com/detail/roger+mills/2000-007245</x:t>
        </x:is>
      </x:c>
      <x:c r="P103" s="567" t="inlineStr">
        <x:is>
          <x:t xml:space="preserve">Obtain certified instrument/image; verify parties, acreage, legal calls, status, and release/assignment chain.</x:t>
        </x:is>
      </x:c>
      <x:c r="Q103" s="567" t="inlineStr">
        <x:is>
          <x:t xml:space="preserve">High</x:t>
        </x:is>
      </x:c>
      <x:c r="R103" s="567" t="inlineStr">
        <x:is>
          <x:t xml:space="preserve">Lease</x:t>
        </x:is>
      </x:c>
      <x:c r="S103" s="650" t="n">
        <x:v>36613</x:v>
      </x:c>
      <x:c r="T103" s="567" t="inlineStr">
        <x:is>
          <x:t xml:space="preserve">Clerk index Doc/Date from attached image-only report</x:t>
        </x:is>
      </x:c>
      <x:c r="U103" s="650" t="n">
        <x:v>36613</x:v>
      </x:c>
      <x:c r="V103" s="567" t="inlineStr">
        <x:is>
          <x:t xml:space="preserve">31-12N-24W</x:t>
        </x:is>
      </x:c>
      <x:c r="W103" s="567" t="inlineStr">
        <x:is>
          <x:t xml:space="preserve">E/2 NW/4</x:t>
        </x:is>
      </x:c>
      <x:c r="X103" s="567" t="inlineStr">
        <x:is>
          <x:t xml:space="preserve">High - visually read from report</x:t>
        </x:is>
      </x:c>
      <x:c r="Y103" s="568" t="inlineStr">
        <x:is>
          <x:t xml:space="preserve">Yes - verify against certified document image</x:t>
        </x:is>
      </x:c>
      <x:c r="Z103" s="568" t="inlineStr">
        <x:is>
          <x:t xml:space="preserve">Supplemental import from attached image-only index; not full OCR-certified transcription.</x:t>
        </x:is>
      </x:c>
    </x:row>
    <x:row r="104">
      <x:c r="A104" s="567" t="n">
        <x:v>444</x:v>
      </x:c>
      <x:c r="B104" s="567" t="inlineStr">
        <x:is>
          <x:t xml:space="preserve">Clerk Index PDF / OKCR</x:t>
        </x:is>
      </x:c>
      <x:c r="C104" s="567" t="inlineStr">
        <x:is>
          <x:t xml:space="preserve">ASGT</x:t>
        </x:is>
      </x:c>
      <x:c r="D104" s="567" t="inlineStr">
        <x:is>
          <x:t xml:space="preserve">001567/0006</x:t>
        </x:is>
      </x:c>
      <x:c r="E104" s="567" t="n"/>
      <x:c r="F104" s="571" t="n">
        <x:v>39336</x:v>
      </x:c>
      <x:c r="G104" s="567" t="inlineStr">
        <x:is>
          <x:t xml:space="preserve">OCEAN ENERGY INC</x:t>
        </x:is>
      </x:c>
      <x:c r="H104" s="567" t="inlineStr">
        <x:is>
          <x:t xml:space="preserve">OCEAN ENERGY RESOURCES INC</x:t>
        </x:is>
      </x:c>
      <x:c r="I104" s="567" t="inlineStr">
        <x:is>
          <x:t xml:space="preserve">S31 T12N R24W E2 NW</x:t>
        </x:is>
      </x:c>
      <x:c r="J104" s="567" t="inlineStr">
        <x:is>
          <x:t xml:space="preserve">Doc 2007-008043; attached Roger Mills County Clerk unplatted legal index image row; Index p.1; legal/quarter extracted visually from image-only PDF.</x:t>
        </x:is>
      </x:c>
      <x:c r="K104" s="567" t="inlineStr">
        <x:is>
          <x:t xml:space="preserve">63e8b9a8d056433a9994fe46ca85076b.pdf</x:t>
        </x:is>
      </x:c>
      <x:c r="L104" s="567" t="inlineStr">
        <x:is>
          <x:t xml:space="preserve">Index p.1</x:t>
        </x:is>
      </x:c>
      <x:c r="M104" s="567" t="inlineStr">
        <x:is>
          <x:t xml:space="preserve">https://okcountyrecords.com/detail/roger+mills/2007-008043</x:t>
        </x:is>
      </x:c>
      <x:c r="N104" s="567" t="inlineStr">
        <x:is>
          <x:t xml:space="preserve">Index row added - certified copy/image required</x:t>
        </x:is>
      </x:c>
      <x:c r="O104" s="567" t="inlineStr">
        <x:is>
          <x:t xml:space="preserve">https://okcountyrecords.com/detail/roger+mills/2007-008043</x:t>
        </x:is>
      </x:c>
      <x:c r="P104" s="567" t="inlineStr">
        <x:is>
          <x:t xml:space="preserve">Obtain certified instrument/image; verify parties, acreage, legal calls, status, and release/assignment chain.</x:t>
        </x:is>
      </x:c>
      <x:c r="Q104" s="567" t="inlineStr">
        <x:is>
          <x:t xml:space="preserve">High</x:t>
        </x:is>
      </x:c>
      <x:c r="R104" s="567" t="inlineStr">
        <x:is>
          <x:t xml:space="preserve">Assignment</x:t>
        </x:is>
      </x:c>
      <x:c r="S104" s="650" t="n">
        <x:v>39336</x:v>
      </x:c>
      <x:c r="T104" s="567" t="inlineStr">
        <x:is>
          <x:t xml:space="preserve">Clerk index Doc/Date from attached image-only report</x:t>
        </x:is>
      </x:c>
      <x:c r="U104" s="650" t="n">
        <x:v>39336</x:v>
      </x:c>
      <x:c r="V104" s="567" t="inlineStr">
        <x:is>
          <x:t xml:space="preserve">31-12N-24W</x:t>
        </x:is>
      </x:c>
      <x:c r="W104" s="567" t="inlineStr">
        <x:is>
          <x:t xml:space="preserve">E/2 NW/4</x:t>
        </x:is>
      </x:c>
      <x:c r="X104" s="567" t="inlineStr">
        <x:is>
          <x:t xml:space="preserve">High - visually read from report</x:t>
        </x:is>
      </x:c>
      <x:c r="Y104" s="568" t="inlineStr">
        <x:is>
          <x:t xml:space="preserve">Yes - verify against certified document image</x:t>
        </x:is>
      </x:c>
      <x:c r="Z104" s="568" t="inlineStr">
        <x:is>
          <x:t xml:space="preserve">Supplemental import from attached image-only index; not full OCR-certified transcription.</x:t>
        </x:is>
      </x:c>
    </x:row>
    <x:row r="105">
      <x:c r="A105" s="567" t="n">
        <x:v>448</x:v>
      </x:c>
      <x:c r="B105" s="567" t="inlineStr">
        <x:is>
          <x:t xml:space="preserve">Clerk Index PDF / OKCR</x:t>
        </x:is>
      </x:c>
      <x:c r="C105" s="567" t="inlineStr">
        <x:is>
          <x:t xml:space="preserve">O/L</x:t>
        </x:is>
      </x:c>
      <x:c r="D105" s="567" t="inlineStr">
        <x:is>
          <x:t xml:space="preserve">001604/0108</x:t>
        </x:is>
      </x:c>
      <x:c r="E105" s="567" t="n"/>
      <x:c r="F105" s="571" t="n">
        <x:v>36564</x:v>
      </x:c>
      <x:c r="G105" s="567" t="inlineStr">
        <x:is>
          <x:t xml:space="preserve">SCHROFF JAN A TRUSTEE</x:t>
        </x:is>
      </x:c>
      <x:c r="H105" s="567" t="inlineStr">
        <x:is>
          <x:t xml:space="preserve">COPE RICHARD C</x:t>
        </x:is>
      </x:c>
      <x:c r="I105" s="567" t="inlineStr">
        <x:is>
          <x:t xml:space="preserve">S31 T12N R24W SE SE</x:t>
        </x:is>
      </x:c>
      <x:c r="J105" s="567" t="inlineStr">
        <x:is>
          <x:t xml:space="preserve">Doc 2000-006657; attached Roger Mills County Clerk unplatted legal index image row; Index p.2; legal/quarter extracted visually from image-only PDF.</x:t>
        </x:is>
      </x:c>
      <x:c r="K105" s="567" t="inlineStr">
        <x:is>
          <x:t xml:space="preserve">63e8b9a8d056433a9994fe46ca85076b.pdf</x:t>
        </x:is>
      </x:c>
      <x:c r="L105" s="567" t="inlineStr">
        <x:is>
          <x:t xml:space="preserve">Index p.2</x:t>
        </x:is>
      </x:c>
      <x:c r="M105" s="567" t="inlineStr">
        <x:is>
          <x:t xml:space="preserve">https://okcountyrecords.com/detail/roger+mills/2000-006657</x:t>
        </x:is>
      </x:c>
      <x:c r="N105" s="567" t="inlineStr">
        <x:is>
          <x:t xml:space="preserve">Index row added - certified copy/image required</x:t>
        </x:is>
      </x:c>
      <x:c r="O105" s="567" t="inlineStr">
        <x:is>
          <x:t xml:space="preserve">https://okcountyrecords.com/detail/roger+mills/2000-006657</x:t>
        </x:is>
      </x:c>
      <x:c r="P105" s="567" t="inlineStr">
        <x:is>
          <x:t xml:space="preserve">Obtain certified instrument/image; verify parties, acreage, legal calls, status, and release/assignment chain.</x:t>
        </x:is>
      </x:c>
      <x:c r="Q105" s="567" t="inlineStr">
        <x:is>
          <x:t xml:space="preserve">High</x:t>
        </x:is>
      </x:c>
      <x:c r="R105" s="567" t="inlineStr">
        <x:is>
          <x:t xml:space="preserve">Lease</x:t>
        </x:is>
      </x:c>
      <x:c r="S105" s="650" t="n">
        <x:v>36564</x:v>
      </x:c>
      <x:c r="T105" s="567" t="inlineStr">
        <x:is>
          <x:t xml:space="preserve">Clerk index Doc/Date from attached image-only report</x:t>
        </x:is>
      </x:c>
      <x:c r="U105" s="650" t="n">
        <x:v>36564</x:v>
      </x:c>
      <x:c r="V105" s="567" t="inlineStr">
        <x:is>
          <x:t xml:space="preserve">31-12N-24W</x:t>
        </x:is>
      </x:c>
      <x:c r="W105" s="567" t="inlineStr">
        <x:is>
          <x:t xml:space="preserve">SE/4 SE/4</x:t>
        </x:is>
      </x:c>
      <x:c r="X105" s="567" t="inlineStr">
        <x:is>
          <x:t xml:space="preserve">High - visually read from report</x:t>
        </x:is>
      </x:c>
      <x:c r="Y105" s="568" t="inlineStr">
        <x:is>
          <x:t xml:space="preserve">Yes - verify against certified document image</x:t>
        </x:is>
      </x:c>
      <x:c r="Z105" s="568" t="inlineStr">
        <x:is>
          <x:t xml:space="preserve">Supplemental import from attached image-only index; not full OCR-certified transcription.</x:t>
        </x:is>
      </x:c>
    </x:row>
    <x:row r="106">
      <x:c r="A106" s="567" t="n">
        <x:v>451</x:v>
      </x:c>
      <x:c r="B106" s="567" t="inlineStr">
        <x:is>
          <x:t xml:space="preserve">Clerk Index PDF / OKCR</x:t>
        </x:is>
      </x:c>
      <x:c r="C106" s="567" t="inlineStr">
        <x:is>
          <x:t xml:space="preserve">O/L</x:t>
        </x:is>
      </x:c>
      <x:c r="D106" s="567" t="inlineStr">
        <x:is>
          <x:t xml:space="preserve">001604/0115</x:t>
        </x:is>
      </x:c>
      <x:c r="E106" s="567" t="n"/>
      <x:c r="F106" s="571" t="n">
        <x:v>36564</x:v>
      </x:c>
      <x:c r="G106" s="567" t="inlineStr">
        <x:is>
          <x:t xml:space="preserve">WILLIAMS JON T TRUSTEE</x:t>
        </x:is>
      </x:c>
      <x:c r="H106" s="567" t="inlineStr">
        <x:is>
          <x:t xml:space="preserve">COPE RICHARD C</x:t>
        </x:is>
      </x:c>
      <x:c r="I106" s="567" t="inlineStr">
        <x:is>
          <x:t xml:space="preserve">S31 T12N R24W SW NE</x:t>
        </x:is>
      </x:c>
      <x:c r="J106" s="567" t="inlineStr">
        <x:is>
          <x:t xml:space="preserve">Doc 2000-006661; attached Roger Mills County Clerk unplatted legal index image row; Index p.2; legal/quarter extracted visually from image-only PDF.</x:t>
        </x:is>
      </x:c>
      <x:c r="K106" s="567" t="inlineStr">
        <x:is>
          <x:t xml:space="preserve">63e8b9a8d056433a9994fe46ca85076b.pdf</x:t>
        </x:is>
      </x:c>
      <x:c r="L106" s="567" t="inlineStr">
        <x:is>
          <x:t xml:space="preserve">Index p.2</x:t>
        </x:is>
      </x:c>
      <x:c r="M106" s="567" t="inlineStr">
        <x:is>
          <x:t xml:space="preserve">https://okcountyrecords.com/detail/roger+mills/2000-006661</x:t>
        </x:is>
      </x:c>
      <x:c r="N106" s="567" t="inlineStr">
        <x:is>
          <x:t xml:space="preserve">Index row added - certified copy/image required</x:t>
        </x:is>
      </x:c>
      <x:c r="O106" s="567" t="inlineStr">
        <x:is>
          <x:t xml:space="preserve">https://okcountyrecords.com/detail/roger+mills/2000-006661</x:t>
        </x:is>
      </x:c>
      <x:c r="P106" s="567" t="inlineStr">
        <x:is>
          <x:t xml:space="preserve">Obtain certified instrument/image; verify parties, acreage, legal calls, status, and release/assignment chain.</x:t>
        </x:is>
      </x:c>
      <x:c r="Q106" s="567" t="inlineStr">
        <x:is>
          <x:t xml:space="preserve">Medium</x:t>
        </x:is>
      </x:c>
      <x:c r="R106" s="567" t="inlineStr">
        <x:is>
          <x:t xml:space="preserve">Lease</x:t>
        </x:is>
      </x:c>
      <x:c r="S106" s="650" t="n">
        <x:v>36564</x:v>
      </x:c>
      <x:c r="T106" s="567" t="inlineStr">
        <x:is>
          <x:t xml:space="preserve">Clerk index Doc/Date from attached image-only report</x:t>
        </x:is>
      </x:c>
      <x:c r="U106" s="650" t="n">
        <x:v>36564</x:v>
      </x:c>
      <x:c r="V106" s="567" t="inlineStr">
        <x:is>
          <x:t xml:space="preserve">31-12N-24W</x:t>
        </x:is>
      </x:c>
      <x:c r="W106" s="567" t="inlineStr">
        <x:is>
          <x:t xml:space="preserve">SW/4 NE/4</x:t>
        </x:is>
      </x:c>
      <x:c r="X106" s="567" t="inlineStr">
        <x:is>
          <x:t xml:space="preserve">Medium - visually read, confirm against image</x:t>
        </x:is>
      </x:c>
      <x:c r="Y106" s="568" t="inlineStr">
        <x:is>
          <x:t xml:space="preserve">Yes - verify against certified document image</x:t>
        </x:is>
      </x:c>
      <x:c r="Z106" s="568" t="inlineStr">
        <x:is>
          <x:t xml:space="preserve">Supplemental import from attached image-only index; not full OCR-certified transcription.</x:t>
        </x:is>
      </x:c>
    </x:row>
    <x:row r="107">
      <x:c r="A107" s="567" t="n">
        <x:v>453</x:v>
      </x:c>
      <x:c r="B107" s="567" t="inlineStr">
        <x:is>
          <x:t xml:space="preserve">Clerk Index PDF / OKCR</x:t>
        </x:is>
      </x:c>
      <x:c r="C107" s="567" t="inlineStr">
        <x:is>
          <x:t xml:space="preserve">O/L</x:t>
        </x:is>
      </x:c>
      <x:c r="D107" s="567" t="inlineStr">
        <x:is>
          <x:t xml:space="preserve">001604/0117</x:t>
        </x:is>
      </x:c>
      <x:c r="E107" s="567" t="n"/>
      <x:c r="F107" s="571" t="n">
        <x:v>36564</x:v>
      </x:c>
      <x:c r="G107" s="567" t="inlineStr">
        <x:is>
          <x:t xml:space="preserve">WILLIAMS DWIGHT J</x:t>
        </x:is>
      </x:c>
      <x:c r="H107" s="567" t="inlineStr">
        <x:is>
          <x:t xml:space="preserve">COPE RICHARD C</x:t>
        </x:is>
      </x:c>
      <x:c r="I107" s="567" t="inlineStr">
        <x:is>
          <x:t xml:space="preserve">S31 T12N R24W SE SE</x:t>
        </x:is>
      </x:c>
      <x:c r="J107" s="567" t="inlineStr">
        <x:is>
          <x:t xml:space="preserve">Doc 2000-006662; attached Roger Mills County Clerk unplatted legal index image row; Index p.2; legal/quarter extracted visually from image-only PDF.</x:t>
        </x:is>
      </x:c>
      <x:c r="K107" s="567" t="inlineStr">
        <x:is>
          <x:t xml:space="preserve">63e8b9a8d056433a9994fe46ca85076b.pdf</x:t>
        </x:is>
      </x:c>
      <x:c r="L107" s="567" t="inlineStr">
        <x:is>
          <x:t xml:space="preserve">Index p.2</x:t>
        </x:is>
      </x:c>
      <x:c r="M107" s="567" t="inlineStr">
        <x:is>
          <x:t xml:space="preserve">https://okcountyrecords.com/detail/roger+mills/2000-006662</x:t>
        </x:is>
      </x:c>
      <x:c r="N107" s="567" t="inlineStr">
        <x:is>
          <x:t xml:space="preserve">Index row added - certified copy/image required</x:t>
        </x:is>
      </x:c>
      <x:c r="O107" s="567" t="inlineStr">
        <x:is>
          <x:t xml:space="preserve">https://okcountyrecords.com/detail/roger+mills/2000-006662</x:t>
        </x:is>
      </x:c>
      <x:c r="P107" s="567" t="inlineStr">
        <x:is>
          <x:t xml:space="preserve">Obtain certified instrument/image; verify parties, acreage, legal calls, status, and release/assignment chain.</x:t>
        </x:is>
      </x:c>
      <x:c r="Q107" s="567" t="inlineStr">
        <x:is>
          <x:t xml:space="preserve">High</x:t>
        </x:is>
      </x:c>
      <x:c r="R107" s="567" t="inlineStr">
        <x:is>
          <x:t xml:space="preserve">Lease</x:t>
        </x:is>
      </x:c>
      <x:c r="S107" s="650" t="n">
        <x:v>36564</x:v>
      </x:c>
      <x:c r="T107" s="567" t="inlineStr">
        <x:is>
          <x:t xml:space="preserve">Clerk index Doc/Date from attached image-only report</x:t>
        </x:is>
      </x:c>
      <x:c r="U107" s="650" t="n">
        <x:v>36564</x:v>
      </x:c>
      <x:c r="V107" s="567" t="inlineStr">
        <x:is>
          <x:t xml:space="preserve">31-12N-24W</x:t>
        </x:is>
      </x:c>
      <x:c r="W107" s="567" t="inlineStr">
        <x:is>
          <x:t xml:space="preserve">SE/4 SE/4</x:t>
        </x:is>
      </x:c>
      <x:c r="X107" s="567" t="inlineStr">
        <x:is>
          <x:t xml:space="preserve">High - visually read from report</x:t>
        </x:is>
      </x:c>
      <x:c r="Y107" s="568" t="inlineStr">
        <x:is>
          <x:t xml:space="preserve">Yes - verify against certified document image</x:t>
        </x:is>
      </x:c>
      <x:c r="Z107" s="568" t="inlineStr">
        <x:is>
          <x:t xml:space="preserve">Supplemental import from attached image-only index; not full OCR-certified transcription.</x:t>
        </x:is>
      </x:c>
    </x:row>
    <x:row r="108">
      <x:c r="A108" s="567" t="n">
        <x:v>456</x:v>
      </x:c>
      <x:c r="B108" s="567" t="inlineStr">
        <x:is>
          <x:t xml:space="preserve">Clerk Index PDF / OKCR</x:t>
        </x:is>
      </x:c>
      <x:c r="C108" s="567" t="inlineStr">
        <x:is>
          <x:t xml:space="preserve">O/L</x:t>
        </x:is>
      </x:c>
      <x:c r="D108" s="567" t="inlineStr">
        <x:is>
          <x:t xml:space="preserve">001604/0239</x:t>
        </x:is>
      </x:c>
      <x:c r="E108" s="567" t="n"/>
      <x:c r="F108" s="571" t="n">
        <x:v>36565</x:v>
      </x:c>
      <x:c r="G108" s="567" t="inlineStr">
        <x:is>
          <x:t xml:space="preserve">WHEELER ELEANORE</x:t>
        </x:is>
      </x:c>
      <x:c r="H108" s="567" t="inlineStr">
        <x:is>
          <x:t xml:space="preserve">R MICHAEL LORTZ</x:t>
        </x:is>
      </x:c>
      <x:c r="I108" s="567" t="inlineStr">
        <x:is>
          <x:t xml:space="preserve">S31 T12N R24W NE SW L3-4 containing south half</x:t>
        </x:is>
      </x:c>
      <x:c r="J108" s="567" t="inlineStr">
        <x:is>
          <x:t xml:space="preserve">Doc 2000-006668; attached Roger Mills County Clerk unplatted legal index image row; Index p.2; legal/quarter extracted visually from image-only PDF.</x:t>
        </x:is>
      </x:c>
      <x:c r="K108" s="567" t="inlineStr">
        <x:is>
          <x:t xml:space="preserve">63e8b9a8d056433a9994fe46ca85076b.pdf</x:t>
        </x:is>
      </x:c>
      <x:c r="L108" s="567" t="inlineStr">
        <x:is>
          <x:t xml:space="preserve">Index p.2</x:t>
        </x:is>
      </x:c>
      <x:c r="M108" s="567" t="inlineStr">
        <x:is>
          <x:t xml:space="preserve">https://okcountyrecords.com/detail/roger+mills/2000-006668</x:t>
        </x:is>
      </x:c>
      <x:c r="N108" s="567" t="inlineStr">
        <x:is>
          <x:t xml:space="preserve">Index row added - certified copy/image required</x:t>
        </x:is>
      </x:c>
      <x:c r="O108" s="567" t="inlineStr">
        <x:is>
          <x:t xml:space="preserve">https://okcountyrecords.com/detail/roger+mills/2000-006668</x:t>
        </x:is>
      </x:c>
      <x:c r="P108" s="567" t="inlineStr">
        <x:is>
          <x:t xml:space="preserve">Obtain certified instrument/image; verify parties, acreage, legal calls, status, and release/assignment chain.</x:t>
        </x:is>
      </x:c>
      <x:c r="Q108" s="567" t="inlineStr">
        <x:is>
          <x:t xml:space="preserve">High</x:t>
        </x:is>
      </x:c>
      <x:c r="R108" s="567" t="inlineStr">
        <x:is>
          <x:t xml:space="preserve">Lease</x:t>
        </x:is>
      </x:c>
      <x:c r="S108" s="650" t="n">
        <x:v>36565</x:v>
      </x:c>
      <x:c r="T108" s="567" t="inlineStr">
        <x:is>
          <x:t xml:space="preserve">Clerk index Doc/Date from attached image-only report</x:t>
        </x:is>
      </x:c>
      <x:c r="U108" s="650" t="n">
        <x:v>36565</x:v>
      </x:c>
      <x:c r="V108" s="567" t="inlineStr">
        <x:is>
          <x:t xml:space="preserve">31-12N-24W</x:t>
        </x:is>
      </x:c>
      <x:c r="W108" s="567" t="inlineStr">
        <x:is>
          <x:t xml:space="preserve">NE/4 SW/4; Lots 3-4; south half</x:t>
        </x:is>
      </x:c>
      <x:c r="X108" s="567" t="inlineStr">
        <x:is>
          <x:t xml:space="preserve">High - visually read from report</x:t>
        </x:is>
      </x:c>
      <x:c r="Y108" s="568" t="inlineStr">
        <x:is>
          <x:t xml:space="preserve">Yes - verify against certified document image</x:t>
        </x:is>
      </x:c>
      <x:c r="Z108" s="568" t="inlineStr">
        <x:is>
          <x:t xml:space="preserve">Supplemental import from attached image-only index; not full OCR-certified transcription.</x:t>
        </x:is>
      </x:c>
    </x:row>
    <x:row r="109">
      <x:c r="A109" s="567" t="n">
        <x:v>457</x:v>
      </x:c>
      <x:c r="B109" s="567" t="inlineStr">
        <x:is>
          <x:t xml:space="preserve">Clerk Index PDF / OKCR</x:t>
        </x:is>
      </x:c>
      <x:c r="C109" s="567" t="inlineStr">
        <x:is>
          <x:t xml:space="preserve">O/L</x:t>
        </x:is>
      </x:c>
      <x:c r="D109" s="567" t="inlineStr">
        <x:is>
          <x:t xml:space="preserve">001604/0243</x:t>
        </x:is>
      </x:c>
      <x:c r="E109" s="567" t="n"/>
      <x:c r="F109" s="571" t="n">
        <x:v>36565</x:v>
      </x:c>
      <x:c r="G109" s="567" t="inlineStr">
        <x:is>
          <x:t xml:space="preserve">KIRK MARGARET</x:t>
        </x:is>
      </x:c>
      <x:c r="H109" s="567" t="inlineStr">
        <x:is>
          <x:t xml:space="preserve">R MICHAEL LORTZ</x:t>
        </x:is>
      </x:c>
      <x:c r="I109" s="567" t="inlineStr">
        <x:is>
          <x:t xml:space="preserve">S31 T12N R24W NE SW L3-4 containing south half</x:t>
        </x:is>
      </x:c>
      <x:c r="J109" s="567" t="inlineStr">
        <x:is>
          <x:t xml:space="preserve">Doc 2000-006689; attached Roger Mills County Clerk unplatted legal index image row; Index p.2; legal/quarter extracted visually from image-only PDF.</x:t>
        </x:is>
      </x:c>
      <x:c r="K109" s="567" t="inlineStr">
        <x:is>
          <x:t xml:space="preserve">63e8b9a8d056433a9994fe46ca85076b.pdf</x:t>
        </x:is>
      </x:c>
      <x:c r="L109" s="567" t="inlineStr">
        <x:is>
          <x:t xml:space="preserve">Index p.2</x:t>
        </x:is>
      </x:c>
      <x:c r="M109" s="567" t="inlineStr">
        <x:is>
          <x:t xml:space="preserve">https://okcountyrecords.com/detail/roger+mills/2000-006689</x:t>
        </x:is>
      </x:c>
      <x:c r="N109" s="567" t="inlineStr">
        <x:is>
          <x:t xml:space="preserve">Index row added - certified copy/image required</x:t>
        </x:is>
      </x:c>
      <x:c r="O109" s="567" t="inlineStr">
        <x:is>
          <x:t xml:space="preserve">https://okcountyrecords.com/detail/roger+mills/2000-006689</x:t>
        </x:is>
      </x:c>
      <x:c r="P109" s="567" t="inlineStr">
        <x:is>
          <x:t xml:space="preserve">Obtain certified instrument/image; verify parties, acreage, legal calls, status, and release/assignment chain.</x:t>
        </x:is>
      </x:c>
      <x:c r="Q109" s="567" t="inlineStr">
        <x:is>
          <x:t xml:space="preserve">High</x:t>
        </x:is>
      </x:c>
      <x:c r="R109" s="567" t="inlineStr">
        <x:is>
          <x:t xml:space="preserve">Lease</x:t>
        </x:is>
      </x:c>
      <x:c r="S109" s="650" t="n">
        <x:v>36565</x:v>
      </x:c>
      <x:c r="T109" s="567" t="inlineStr">
        <x:is>
          <x:t xml:space="preserve">Clerk index Doc/Date from attached image-only report</x:t>
        </x:is>
      </x:c>
      <x:c r="U109" s="650" t="n">
        <x:v>36565</x:v>
      </x:c>
      <x:c r="V109" s="567" t="inlineStr">
        <x:is>
          <x:t xml:space="preserve">31-12N-24W</x:t>
        </x:is>
      </x:c>
      <x:c r="W109" s="567" t="inlineStr">
        <x:is>
          <x:t xml:space="preserve">NE/4 SW/4; Lots 3-4; south half</x:t>
        </x:is>
      </x:c>
      <x:c r="X109" s="567" t="inlineStr">
        <x:is>
          <x:t xml:space="preserve">High - visually read from report</x:t>
        </x:is>
      </x:c>
      <x:c r="Y109" s="568" t="inlineStr">
        <x:is>
          <x:t xml:space="preserve">Yes - verify against certified document image</x:t>
        </x:is>
      </x:c>
      <x:c r="Z109" s="568" t="inlineStr">
        <x:is>
          <x:t xml:space="preserve">Supplemental import from attached image-only index; not full OCR-certified transcription.</x:t>
        </x:is>
      </x:c>
    </x:row>
    <x:row r="110">
      <x:c r="A110" s="567" t="n">
        <x:v>458</x:v>
      </x:c>
      <x:c r="B110" s="567" t="inlineStr">
        <x:is>
          <x:t xml:space="preserve">Clerk Index PDF / OKCR</x:t>
        </x:is>
      </x:c>
      <x:c r="C110" s="567" t="inlineStr">
        <x:is>
          <x:t xml:space="preserve">O/L</x:t>
        </x:is>
      </x:c>
      <x:c r="D110" s="567" t="inlineStr">
        <x:is>
          <x:t xml:space="preserve">001604/0251</x:t>
        </x:is>
      </x:c>
      <x:c r="E110" s="567" t="n"/>
      <x:c r="F110" s="571" t="n">
        <x:v>36565</x:v>
      </x:c>
      <x:c r="G110" s="567" t="inlineStr">
        <x:is>
          <x:t xml:space="preserve">WILKERSON JON N</x:t>
        </x:is>
      </x:c>
      <x:c r="H110" s="567" t="inlineStr">
        <x:is>
          <x:t xml:space="preserve">R MICHAEL LORTZ</x:t>
        </x:is>
      </x:c>
      <x:c r="I110" s="567" t="inlineStr">
        <x:is>
          <x:t xml:space="preserve">S31 T12N R24W SE SW</x:t>
        </x:is>
      </x:c>
      <x:c r="J110" s="567" t="inlineStr">
        <x:is>
          <x:t xml:space="preserve">Doc 2000-006692; attached Roger Mills County Clerk unplatted legal index image row; Index p.2; legal/quarter extracted visually from image-only PDF.</x:t>
        </x:is>
      </x:c>
      <x:c r="K110" s="567" t="inlineStr">
        <x:is>
          <x:t xml:space="preserve">63e8b9a8d056433a9994fe46ca85076b.pdf</x:t>
        </x:is>
      </x:c>
      <x:c r="L110" s="567" t="inlineStr">
        <x:is>
          <x:t xml:space="preserve">Index p.2</x:t>
        </x:is>
      </x:c>
      <x:c r="M110" s="567" t="inlineStr">
        <x:is>
          <x:t xml:space="preserve">https://okcountyrecords.com/detail/roger+mills/2000-006692</x:t>
        </x:is>
      </x:c>
      <x:c r="N110" s="567" t="inlineStr">
        <x:is>
          <x:t xml:space="preserve">Index row added - certified copy/image required</x:t>
        </x:is>
      </x:c>
      <x:c r="O110" s="567" t="inlineStr">
        <x:is>
          <x:t xml:space="preserve">https://okcountyrecords.com/detail/roger+mills/2000-006692</x:t>
        </x:is>
      </x:c>
      <x:c r="P110" s="567" t="inlineStr">
        <x:is>
          <x:t xml:space="preserve">Obtain certified instrument/image; verify parties, acreage, legal calls, status, and release/assignment chain.</x:t>
        </x:is>
      </x:c>
      <x:c r="Q110" s="567" t="inlineStr">
        <x:is>
          <x:t xml:space="preserve">High</x:t>
        </x:is>
      </x:c>
      <x:c r="R110" s="567" t="inlineStr">
        <x:is>
          <x:t xml:space="preserve">Lease</x:t>
        </x:is>
      </x:c>
      <x:c r="S110" s="650" t="n">
        <x:v>36565</x:v>
      </x:c>
      <x:c r="T110" s="567" t="inlineStr">
        <x:is>
          <x:t xml:space="preserve">Clerk index Doc/Date from attached image-only report</x:t>
        </x:is>
      </x:c>
      <x:c r="U110" s="650" t="n">
        <x:v>36565</x:v>
      </x:c>
      <x:c r="V110" s="567" t="inlineStr">
        <x:is>
          <x:t xml:space="preserve">31-12N-24W</x:t>
        </x:is>
      </x:c>
      <x:c r="W110" s="567" t="inlineStr">
        <x:is>
          <x:t xml:space="preserve">SE/4 SW/4</x:t>
        </x:is>
      </x:c>
      <x:c r="X110" s="567" t="inlineStr">
        <x:is>
          <x:t xml:space="preserve">High - visually read from report</x:t>
        </x:is>
      </x:c>
      <x:c r="Y110" s="568" t="inlineStr">
        <x:is>
          <x:t xml:space="preserve">Yes - verify against certified document image</x:t>
        </x:is>
      </x:c>
      <x:c r="Z110" s="568" t="inlineStr">
        <x:is>
          <x:t xml:space="preserve">Supplemental import from attached image-only index; not full OCR-certified transcription.</x:t>
        </x:is>
      </x:c>
    </x:row>
    <x:row r="111">
      <x:c r="A111" s="567" t="n">
        <x:v>460</x:v>
      </x:c>
      <x:c r="B111" s="567" t="inlineStr">
        <x:is>
          <x:t xml:space="preserve">Clerk Index PDF / OKCR</x:t>
        </x:is>
      </x:c>
      <x:c r="C111" s="567" t="inlineStr">
        <x:is>
          <x:t xml:space="preserve">O/L</x:t>
        </x:is>
      </x:c>
      <x:c r="D111" s="567" t="inlineStr">
        <x:is>
          <x:t xml:space="preserve">001604/0259</x:t>
        </x:is>
      </x:c>
      <x:c r="E111" s="567" t="n"/>
      <x:c r="F111" s="571" t="n">
        <x:v>36565</x:v>
      </x:c>
      <x:c r="G111" s="567" t="inlineStr">
        <x:is>
          <x:t xml:space="preserve">KLOPFENSTEIN ROGER</x:t>
        </x:is>
      </x:c>
      <x:c r="H111" s="567" t="inlineStr">
        <x:is>
          <x:t xml:space="preserve">R MICHAEL LORTZ</x:t>
        </x:is>
      </x:c>
      <x:c r="I111" s="567" t="inlineStr">
        <x:is>
          <x:t xml:space="preserve">S31 T12N R24W NE SW L3-4 containing south half</x:t>
        </x:is>
      </x:c>
      <x:c r="J111" s="567" t="inlineStr">
        <x:is>
          <x:t xml:space="preserve">Doc 2000-006696; attached Roger Mills County Clerk unplatted legal index image row; Index p.3; legal/quarter extracted visually from image-only PDF.</x:t>
        </x:is>
      </x:c>
      <x:c r="K111" s="567" t="inlineStr">
        <x:is>
          <x:t xml:space="preserve">63e8b9a8d056433a9994fe46ca85076b.pdf</x:t>
        </x:is>
      </x:c>
      <x:c r="L111" s="567" t="inlineStr">
        <x:is>
          <x:t xml:space="preserve">Index p.3</x:t>
        </x:is>
      </x:c>
      <x:c r="M111" s="567" t="inlineStr">
        <x:is>
          <x:t xml:space="preserve">https://okcountyrecords.com/detail/roger+mills/2000-006696</x:t>
        </x:is>
      </x:c>
      <x:c r="N111" s="567" t="inlineStr">
        <x:is>
          <x:t xml:space="preserve">Index row added - certified copy/image required</x:t>
        </x:is>
      </x:c>
      <x:c r="O111" s="567" t="inlineStr">
        <x:is>
          <x:t xml:space="preserve">https://okcountyrecords.com/detail/roger+mills/2000-006696</x:t>
        </x:is>
      </x:c>
      <x:c r="P111" s="567" t="inlineStr">
        <x:is>
          <x:t xml:space="preserve">Obtain certified instrument/image; verify parties, acreage, legal calls, status, and release/assignment chain.</x:t>
        </x:is>
      </x:c>
      <x:c r="Q111" s="567" t="inlineStr">
        <x:is>
          <x:t xml:space="preserve">High</x:t>
        </x:is>
      </x:c>
      <x:c r="R111" s="567" t="inlineStr">
        <x:is>
          <x:t xml:space="preserve">Lease</x:t>
        </x:is>
      </x:c>
      <x:c r="S111" s="650" t="n">
        <x:v>36565</x:v>
      </x:c>
      <x:c r="T111" s="567" t="inlineStr">
        <x:is>
          <x:t xml:space="preserve">Clerk index Doc/Date from attached image-only report</x:t>
        </x:is>
      </x:c>
      <x:c r="U111" s="650" t="n">
        <x:v>36565</x:v>
      </x:c>
      <x:c r="V111" s="567" t="inlineStr">
        <x:is>
          <x:t xml:space="preserve">31-12N-24W</x:t>
        </x:is>
      </x:c>
      <x:c r="W111" s="567" t="inlineStr">
        <x:is>
          <x:t xml:space="preserve">NE/4 SW/4; Lots 3-4; south half</x:t>
        </x:is>
      </x:c>
      <x:c r="X111" s="567" t="inlineStr">
        <x:is>
          <x:t xml:space="preserve">High - visually read from report</x:t>
        </x:is>
      </x:c>
      <x:c r="Y111" s="568" t="inlineStr">
        <x:is>
          <x:t xml:space="preserve">Yes - verify against certified document image</x:t>
        </x:is>
      </x:c>
      <x:c r="Z111" s="568" t="inlineStr">
        <x:is>
          <x:t xml:space="preserve">Supplemental import from attached image-only index; not full OCR-certified transcription.</x:t>
        </x:is>
      </x:c>
    </x:row>
    <x:row r="112">
      <x:c r="A112" s="567" t="n">
        <x:v>462</x:v>
      </x:c>
      <x:c r="B112" s="567" t="inlineStr">
        <x:is>
          <x:t xml:space="preserve">Clerk Index PDF / OKCR</x:t>
        </x:is>
      </x:c>
      <x:c r="C112" s="567" t="inlineStr">
        <x:is>
          <x:t xml:space="preserve">O/L</x:t>
        </x:is>
      </x:c>
      <x:c r="D112" s="567" t="inlineStr">
        <x:is>
          <x:t xml:space="preserve">001604/0307</x:t>
        </x:is>
      </x:c>
      <x:c r="E112" s="567" t="n"/>
      <x:c r="F112" s="571" t="n">
        <x:v>36565</x:v>
      </x:c>
      <x:c r="G112" s="567" t="inlineStr">
        <x:is>
          <x:t xml:space="preserve">MULVIHILL MELINDA MCCALL TRUSTEE</x:t>
        </x:is>
      </x:c>
      <x:c r="H112" s="567" t="inlineStr">
        <x:is>
          <x:t xml:space="preserve">COPE RICHARD C</x:t>
        </x:is>
      </x:c>
      <x:c r="I112" s="567" t="inlineStr">
        <x:is>
          <x:t xml:space="preserve">S31 T12N R24W SE</x:t>
        </x:is>
      </x:c>
      <x:c r="J112" s="567" t="inlineStr">
        <x:is>
          <x:t xml:space="preserve">Doc 2000-006710; attached Roger Mills County Clerk unplatted legal index image row; Index p.3; legal/quarter extracted visually from image-only PDF.</x:t>
        </x:is>
      </x:c>
      <x:c r="K112" s="567" t="inlineStr">
        <x:is>
          <x:t xml:space="preserve">63e8b9a8d056433a9994fe46ca85076b.pdf</x:t>
        </x:is>
      </x:c>
      <x:c r="L112" s="567" t="inlineStr">
        <x:is>
          <x:t xml:space="preserve">Index p.3</x:t>
        </x:is>
      </x:c>
      <x:c r="M112" s="567" t="inlineStr">
        <x:is>
          <x:t xml:space="preserve">https://okcountyrecords.com/detail/roger+mills/2000-006710</x:t>
        </x:is>
      </x:c>
      <x:c r="N112" s="567" t="inlineStr">
        <x:is>
          <x:t xml:space="preserve">Index row added - certified copy/image required</x:t>
        </x:is>
      </x:c>
      <x:c r="O112" s="567" t="inlineStr">
        <x:is>
          <x:t xml:space="preserve">https://okcountyrecords.com/detail/roger+mills/2000-006710</x:t>
        </x:is>
      </x:c>
      <x:c r="P112" s="567" t="inlineStr">
        <x:is>
          <x:t xml:space="preserve">Obtain certified instrument/image; verify parties, acreage, legal calls, status, and release/assignment chain.</x:t>
        </x:is>
      </x:c>
      <x:c r="Q112" s="567" t="inlineStr">
        <x:is>
          <x:t xml:space="preserve">High</x:t>
        </x:is>
      </x:c>
      <x:c r="R112" s="567" t="inlineStr">
        <x:is>
          <x:t xml:space="preserve">Lease</x:t>
        </x:is>
      </x:c>
      <x:c r="S112" s="650" t="n">
        <x:v>36565</x:v>
      </x:c>
      <x:c r="T112" s="567" t="inlineStr">
        <x:is>
          <x:t xml:space="preserve">Clerk index Doc/Date from attached image-only report</x:t>
        </x:is>
      </x:c>
      <x:c r="U112" s="650" t="n">
        <x:v>36565</x:v>
      </x:c>
      <x:c r="V112" s="567" t="inlineStr">
        <x:is>
          <x:t xml:space="preserve">31-12N-24W</x:t>
        </x:is>
      </x:c>
      <x:c r="W112" s="567" t="inlineStr">
        <x:is>
          <x:t xml:space="preserve">SE/4</x:t>
        </x:is>
      </x:c>
      <x:c r="X112" s="567" t="inlineStr">
        <x:is>
          <x:t xml:space="preserve">High - visually read from report</x:t>
        </x:is>
      </x:c>
      <x:c r="Y112" s="568" t="inlineStr">
        <x:is>
          <x:t xml:space="preserve">Yes - verify against certified document image</x:t>
        </x:is>
      </x:c>
      <x:c r="Z112" s="568" t="inlineStr">
        <x:is>
          <x:t xml:space="preserve">Supplemental import from attached image-only index; not full OCR-certified transcription.</x:t>
        </x:is>
      </x:c>
    </x:row>
    <x:row r="113">
      <x:c r="A113" s="567" t="n">
        <x:v>465</x:v>
      </x:c>
      <x:c r="B113" s="567" t="inlineStr">
        <x:is>
          <x:t xml:space="preserve">Clerk Index PDF / OKCR</x:t>
        </x:is>
      </x:c>
      <x:c r="C113" s="567" t="inlineStr">
        <x:is>
          <x:t xml:space="preserve">O/L</x:t>
        </x:is>
      </x:c>
      <x:c r="D113" s="567" t="inlineStr">
        <x:is>
          <x:t xml:space="preserve">001604/0309</x:t>
        </x:is>
      </x:c>
      <x:c r="E113" s="567" t="n"/>
      <x:c r="F113" s="571" t="n">
        <x:v>36565</x:v>
      </x:c>
      <x:c r="G113" s="567" t="inlineStr">
        <x:is>
          <x:t xml:space="preserve">FUCHS MARK J</x:t>
        </x:is>
      </x:c>
      <x:c r="H113" s="567" t="inlineStr">
        <x:is>
          <x:t xml:space="preserve">COPE RICHARD C</x:t>
        </x:is>
      </x:c>
      <x:c r="I113" s="567" t="inlineStr">
        <x:is>
          <x:t xml:space="preserve">S31 T12N R24W SE</x:t>
        </x:is>
      </x:c>
      <x:c r="J113" s="567" t="inlineStr">
        <x:is>
          <x:t xml:space="preserve">Doc 2000-006711; attached Roger Mills County Clerk unplatted legal index image row; Index p.3; legal/quarter extracted visually from image-only PDF.</x:t>
        </x:is>
      </x:c>
      <x:c r="K113" s="567" t="inlineStr">
        <x:is>
          <x:t xml:space="preserve">63e8b9a8d056433a9994fe46ca85076b.pdf</x:t>
        </x:is>
      </x:c>
      <x:c r="L113" s="567" t="inlineStr">
        <x:is>
          <x:t xml:space="preserve">Index p.3</x:t>
        </x:is>
      </x:c>
      <x:c r="M113" s="567" t="inlineStr">
        <x:is>
          <x:t xml:space="preserve">https://okcountyrecords.com/detail/roger+mills/2000-006711</x:t>
        </x:is>
      </x:c>
      <x:c r="N113" s="567" t="inlineStr">
        <x:is>
          <x:t xml:space="preserve">Index row added - certified copy/image required</x:t>
        </x:is>
      </x:c>
      <x:c r="O113" s="567" t="inlineStr">
        <x:is>
          <x:t xml:space="preserve">https://okcountyrecords.com/detail/roger+mills/2000-006711</x:t>
        </x:is>
      </x:c>
      <x:c r="P113" s="567" t="inlineStr">
        <x:is>
          <x:t xml:space="preserve">Obtain certified instrument/image; verify parties, acreage, legal calls, status, and release/assignment chain.</x:t>
        </x:is>
      </x:c>
      <x:c r="Q113" s="567" t="inlineStr">
        <x:is>
          <x:t xml:space="preserve">High</x:t>
        </x:is>
      </x:c>
      <x:c r="R113" s="567" t="inlineStr">
        <x:is>
          <x:t xml:space="preserve">Lease</x:t>
        </x:is>
      </x:c>
      <x:c r="S113" s="650" t="n">
        <x:v>36565</x:v>
      </x:c>
      <x:c r="T113" s="567" t="inlineStr">
        <x:is>
          <x:t xml:space="preserve">Clerk index Doc/Date from attached image-only report</x:t>
        </x:is>
      </x:c>
      <x:c r="U113" s="650" t="n">
        <x:v>36565</x:v>
      </x:c>
      <x:c r="V113" s="567" t="inlineStr">
        <x:is>
          <x:t xml:space="preserve">31-12N-24W</x:t>
        </x:is>
      </x:c>
      <x:c r="W113" s="567" t="inlineStr">
        <x:is>
          <x:t xml:space="preserve">SE/4</x:t>
        </x:is>
      </x:c>
      <x:c r="X113" s="567" t="inlineStr">
        <x:is>
          <x:t xml:space="preserve">High - visually read from report</x:t>
        </x:is>
      </x:c>
      <x:c r="Y113" s="568" t="inlineStr">
        <x:is>
          <x:t xml:space="preserve">Yes - verify against certified document image</x:t>
        </x:is>
      </x:c>
      <x:c r="Z113" s="568" t="inlineStr">
        <x:is>
          <x:t xml:space="preserve">Supplemental import from attached image-only index; not full OCR-certified transcription.</x:t>
        </x:is>
      </x:c>
    </x:row>
    <x:row r="114">
      <x:c r="A114" s="567" t="n">
        <x:v>468</x:v>
      </x:c>
      <x:c r="B114" s="567" t="inlineStr">
        <x:is>
          <x:t xml:space="preserve">Clerk Index PDF / OKCR</x:t>
        </x:is>
      </x:c>
      <x:c r="C114" s="567" t="inlineStr">
        <x:is>
          <x:t xml:space="preserve">O/L</x:t>
        </x:is>
      </x:c>
      <x:c r="D114" s="567" t="inlineStr">
        <x:is>
          <x:t xml:space="preserve">001604/0311</x:t>
        </x:is>
      </x:c>
      <x:c r="E114" s="567" t="n"/>
      <x:c r="F114" s="571" t="n">
        <x:v>36565</x:v>
      </x:c>
      <x:c r="G114" s="567" t="inlineStr">
        <x:is>
          <x:t xml:space="preserve">CRISER STEPHEN M TRUSTEE</x:t>
        </x:is>
      </x:c>
      <x:c r="H114" s="567" t="inlineStr">
        <x:is>
          <x:t xml:space="preserve">COPE RICHARD C</x:t>
        </x:is>
      </x:c>
      <x:c r="I114" s="567" t="inlineStr">
        <x:is>
          <x:t xml:space="preserve">S31 T12N R24W SE</x:t>
        </x:is>
      </x:c>
      <x:c r="J114" s="567" t="inlineStr">
        <x:is>
          <x:t xml:space="preserve">Doc 2000-006712; attached Roger Mills County Clerk unplatted legal index image row; Index p.3; legal/quarter extracted visually from image-only PDF.</x:t>
        </x:is>
      </x:c>
      <x:c r="K114" s="567" t="inlineStr">
        <x:is>
          <x:t xml:space="preserve">63e8b9a8d056433a9994fe46ca85076b.pdf</x:t>
        </x:is>
      </x:c>
      <x:c r="L114" s="567" t="inlineStr">
        <x:is>
          <x:t xml:space="preserve">Index p.3</x:t>
        </x:is>
      </x:c>
      <x:c r="M114" s="567" t="inlineStr">
        <x:is>
          <x:t xml:space="preserve">https://okcountyrecords.com/detail/roger+mills/2000-006712</x:t>
        </x:is>
      </x:c>
      <x:c r="N114" s="567" t="inlineStr">
        <x:is>
          <x:t xml:space="preserve">Index row added - certified copy/image required</x:t>
        </x:is>
      </x:c>
      <x:c r="O114" s="567" t="inlineStr">
        <x:is>
          <x:t xml:space="preserve">https://okcountyrecords.com/detail/roger+mills/2000-006712</x:t>
        </x:is>
      </x:c>
      <x:c r="P114" s="567" t="inlineStr">
        <x:is>
          <x:t xml:space="preserve">Obtain certified instrument/image; verify parties, acreage, legal calls, status, and release/assignment chain.</x:t>
        </x:is>
      </x:c>
      <x:c r="Q114" s="567" t="inlineStr">
        <x:is>
          <x:t xml:space="preserve">High</x:t>
        </x:is>
      </x:c>
      <x:c r="R114" s="567" t="inlineStr">
        <x:is>
          <x:t xml:space="preserve">Lease</x:t>
        </x:is>
      </x:c>
      <x:c r="S114" s="650" t="n">
        <x:v>36565</x:v>
      </x:c>
      <x:c r="T114" s="567" t="inlineStr">
        <x:is>
          <x:t xml:space="preserve">Clerk index Doc/Date from attached image-only report</x:t>
        </x:is>
      </x:c>
      <x:c r="U114" s="650" t="n">
        <x:v>36565</x:v>
      </x:c>
      <x:c r="V114" s="567" t="inlineStr">
        <x:is>
          <x:t xml:space="preserve">31-12N-24W</x:t>
        </x:is>
      </x:c>
      <x:c r="W114" s="567" t="inlineStr">
        <x:is>
          <x:t xml:space="preserve">SE/4</x:t>
        </x:is>
      </x:c>
      <x:c r="X114" s="567" t="inlineStr">
        <x:is>
          <x:t xml:space="preserve">High - visually read from report</x:t>
        </x:is>
      </x:c>
      <x:c r="Y114" s="568" t="inlineStr">
        <x:is>
          <x:t xml:space="preserve">Yes - verify against certified document image</x:t>
        </x:is>
      </x:c>
      <x:c r="Z114" s="568" t="inlineStr">
        <x:is>
          <x:t xml:space="preserve">Supplemental import from attached image-only index; not full OCR-certified transcription.</x:t>
        </x:is>
      </x:c>
    </x:row>
    <x:row r="115">
      <x:c r="A115" s="567" t="n">
        <x:v>471</x:v>
      </x:c>
      <x:c r="B115" s="567" t="inlineStr">
        <x:is>
          <x:t xml:space="preserve">Clerk Index PDF / OKCR</x:t>
        </x:is>
      </x:c>
      <x:c r="C115" s="567" t="inlineStr">
        <x:is>
          <x:t xml:space="preserve">O/L</x:t>
        </x:is>
      </x:c>
      <x:c r="D115" s="567" t="inlineStr">
        <x:is>
          <x:t xml:space="preserve">001604/0322</x:t>
        </x:is>
      </x:c>
      <x:c r="E115" s="567" t="n"/>
      <x:c r="F115" s="571" t="n">
        <x:v>36566</x:v>
      </x:c>
      <x:c r="G115" s="567" t="inlineStr">
        <x:is>
          <x:t xml:space="preserve">YORK SANDRA LORRAIN</x:t>
        </x:is>
      </x:c>
      <x:c r="H115" s="567" t="inlineStr">
        <x:is>
          <x:t xml:space="preserve">EOG RESOURCES INC</x:t>
        </x:is>
      </x:c>
      <x:c r="I115" s="567" t="inlineStr">
        <x:is>
          <x:t xml:space="preserve">S31 T12N R24W A</x:t>
        </x:is>
      </x:c>
      <x:c r="J115" s="567" t="inlineStr">
        <x:is>
          <x:t xml:space="preserve">Doc 2000-006716; attached Roger Mills County Clerk unplatted legal index image row; Index p.3; legal/quarter extracted visually from image-only PDF.</x:t>
        </x:is>
      </x:c>
      <x:c r="K115" s="567" t="inlineStr">
        <x:is>
          <x:t xml:space="preserve">63e8b9a8d056433a9994fe46ca85076b.pdf</x:t>
        </x:is>
      </x:c>
      <x:c r="L115" s="567" t="inlineStr">
        <x:is>
          <x:t xml:space="preserve">Index p.3</x:t>
        </x:is>
      </x:c>
      <x:c r="M115" s="567" t="inlineStr">
        <x:is>
          <x:t xml:space="preserve">https://okcountyrecords.com/detail/roger+mills/2000-006716</x:t>
        </x:is>
      </x:c>
      <x:c r="N115" s="567" t="inlineStr">
        <x:is>
          <x:t xml:space="preserve">Index row added - certified copy/image required</x:t>
        </x:is>
      </x:c>
      <x:c r="O115" s="567" t="inlineStr">
        <x:is>
          <x:t xml:space="preserve">https://okcountyrecords.com/detail/roger+mills/2000-006716</x:t>
        </x:is>
      </x:c>
      <x:c r="P115" s="567" t="inlineStr">
        <x:is>
          <x:t xml:space="preserve">Obtain certified instrument/image; verify parties, acreage, legal calls, status, and release/assignment chain.</x:t>
        </x:is>
      </x:c>
      <x:c r="Q115" s="567" t="inlineStr">
        <x:is>
          <x:t xml:space="preserve">High</x:t>
        </x:is>
      </x:c>
      <x:c r="R115" s="567" t="inlineStr">
        <x:is>
          <x:t xml:space="preserve">Lease</x:t>
        </x:is>
      </x:c>
      <x:c r="S115" s="650" t="n">
        <x:v>36566</x:v>
      </x:c>
      <x:c r="T115" s="567" t="inlineStr">
        <x:is>
          <x:t xml:space="preserve">Clerk index Doc/Date from attached image-only report</x:t>
        </x:is>
      </x:c>
      <x:c r="U115" s="650" t="n">
        <x:v>36566</x:v>
      </x:c>
      <x:c r="V115" s="567" t="inlineStr">
        <x:is>
          <x:t xml:space="preserve">31-12N-24W</x:t>
        </x:is>
      </x:c>
      <x:c r="W115" s="567" t="inlineStr">
        <x:is>
          <x:t xml:space="preserve">A</x:t>
        </x:is>
      </x:c>
      <x:c r="X115" s="567" t="inlineStr">
        <x:is>
          <x:t xml:space="preserve">High - visually read from report</x:t>
        </x:is>
      </x:c>
      <x:c r="Y115" s="568" t="inlineStr">
        <x:is>
          <x:t xml:space="preserve">Yes - verify against certified document image</x:t>
        </x:is>
      </x:c>
      <x:c r="Z115" s="568" t="inlineStr">
        <x:is>
          <x:t xml:space="preserve">Supplemental import from attached image-only index; not full OCR-certified transcription.</x:t>
        </x:is>
      </x:c>
    </x:row>
    <x:row r="116">
      <x:c r="A116" s="567" t="n">
        <x:v>472</x:v>
      </x:c>
      <x:c r="B116" s="567" t="inlineStr">
        <x:is>
          <x:t xml:space="preserve">Clerk Index PDF / OKCR</x:t>
        </x:is>
      </x:c>
      <x:c r="C116" s="567" t="inlineStr">
        <x:is>
          <x:t xml:space="preserve">O/L</x:t>
        </x:is>
      </x:c>
      <x:c r="D116" s="567" t="inlineStr">
        <x:is>
          <x:t xml:space="preserve">001604/0453</x:t>
        </x:is>
      </x:c>
      <x:c r="E116" s="567" t="n"/>
      <x:c r="F116" s="571" t="n">
        <x:v>36572</x:v>
      </x:c>
      <x:c r="G116" s="567" t="inlineStr">
        <x:is>
          <x:t xml:space="preserve">BARNETT NANALEE FAYE</x:t>
        </x:is>
      </x:c>
      <x:c r="H116" s="567" t="inlineStr">
        <x:is>
          <x:t xml:space="preserve">COPE RICHARD C</x:t>
        </x:is>
      </x:c>
      <x:c r="I116" s="567" t="inlineStr">
        <x:is>
          <x:t xml:space="preserve">S31 T12N R24W E2 NW</x:t>
        </x:is>
      </x:c>
      <x:c r="J116" s="567" t="inlineStr">
        <x:is>
          <x:t xml:space="preserve">Doc 2000-006763; attached Roger Mills County Clerk unplatted legal index image row; Index p.3; legal/quarter extracted visually from image-only PDF.</x:t>
        </x:is>
      </x:c>
      <x:c r="K116" s="567" t="inlineStr">
        <x:is>
          <x:t xml:space="preserve">63e8b9a8d056433a9994fe46ca85076b.pdf</x:t>
        </x:is>
      </x:c>
      <x:c r="L116" s="567" t="inlineStr">
        <x:is>
          <x:t xml:space="preserve">Index p.3</x:t>
        </x:is>
      </x:c>
      <x:c r="M116" s="567" t="inlineStr">
        <x:is>
          <x:t xml:space="preserve">https://okcountyrecords.com/detail/roger+mills/2000-006763</x:t>
        </x:is>
      </x:c>
      <x:c r="N116" s="567" t="inlineStr">
        <x:is>
          <x:t xml:space="preserve">Index row added - certified copy/image required</x:t>
        </x:is>
      </x:c>
      <x:c r="O116" s="567" t="inlineStr">
        <x:is>
          <x:t xml:space="preserve">https://okcountyrecords.com/detail/roger+mills/2000-006763</x:t>
        </x:is>
      </x:c>
      <x:c r="P116" s="567" t="inlineStr">
        <x:is>
          <x:t xml:space="preserve">Obtain certified instrument/image; verify parties, acreage, legal calls, status, and release/assignment chain.</x:t>
        </x:is>
      </x:c>
      <x:c r="Q116" s="567" t="inlineStr">
        <x:is>
          <x:t xml:space="preserve">High</x:t>
        </x:is>
      </x:c>
      <x:c r="R116" s="567" t="inlineStr">
        <x:is>
          <x:t xml:space="preserve">Lease</x:t>
        </x:is>
      </x:c>
      <x:c r="S116" s="650" t="n">
        <x:v>36572</x:v>
      </x:c>
      <x:c r="T116" s="567" t="inlineStr">
        <x:is>
          <x:t xml:space="preserve">Clerk index Doc/Date from attached image-only report</x:t>
        </x:is>
      </x:c>
      <x:c r="U116" s="650" t="n">
        <x:v>36572</x:v>
      </x:c>
      <x:c r="V116" s="567" t="inlineStr">
        <x:is>
          <x:t xml:space="preserve">31-12N-24W</x:t>
        </x:is>
      </x:c>
      <x:c r="W116" s="567" t="inlineStr">
        <x:is>
          <x:t xml:space="preserve">E/2 NW/4</x:t>
        </x:is>
      </x:c>
      <x:c r="X116" s="567" t="inlineStr">
        <x:is>
          <x:t xml:space="preserve">High - visually read from report</x:t>
        </x:is>
      </x:c>
      <x:c r="Y116" s="568" t="inlineStr">
        <x:is>
          <x:t xml:space="preserve">Yes - verify against certified document image</x:t>
        </x:is>
      </x:c>
      <x:c r="Z116" s="568" t="inlineStr">
        <x:is>
          <x:t xml:space="preserve">Supplemental import from attached image-only index; not full OCR-certified transcription.</x:t>
        </x:is>
      </x:c>
    </x:row>
    <x:row r="117">
      <x:c r="A117" s="567" t="n">
        <x:v>475</x:v>
      </x:c>
      <x:c r="B117" s="567" t="inlineStr">
        <x:is>
          <x:t xml:space="preserve">Clerk Index PDF / OKCR</x:t>
        </x:is>
      </x:c>
      <x:c r="C117" s="567" t="inlineStr">
        <x:is>
          <x:t xml:space="preserve">QC/MD</x:t>
        </x:is>
      </x:c>
      <x:c r="D117" s="567" t="inlineStr">
        <x:is>
          <x:t xml:space="preserve">002342/0219</x:t>
        </x:is>
      </x:c>
      <x:c r="E117" s="567" t="n"/>
      <x:c r="F117" s="571" t="n">
        <x:v>42593</x:v>
      </x:c>
      <x:c r="G117" s="567" t="inlineStr">
        <x:is>
          <x:t xml:space="preserve">DEVON ENERGY PRODUCTION CO</x:t>
        </x:is>
      </x:c>
      <x:c r="H117" s="567" t="inlineStr">
        <x:is>
          <x:t xml:space="preserve">TECOLOTE HOLDINGS</x:t>
        </x:is>
      </x:c>
      <x:c r="I117" s="567" t="inlineStr">
        <x:is>
          <x:t xml:space="preserve">S31 T12N R24W N2 NE</x:t>
        </x:is>
      </x:c>
      <x:c r="J117" s="567" t="inlineStr">
        <x:is>
          <x:t xml:space="preserve">Doc 2016-001882; attached Roger Mills County Clerk unplatted legal index image row; Index p.55; legal/quarter extracted visually from image-only PDF.</x:t>
        </x:is>
      </x:c>
      <x:c r="K117" s="567" t="inlineStr">
        <x:is>
          <x:t xml:space="preserve">63e8b9a8d056433a9994fe46ca85076b.pdf</x:t>
        </x:is>
      </x:c>
      <x:c r="L117" s="567" t="inlineStr">
        <x:is>
          <x:t xml:space="preserve">Index p.55</x:t>
        </x:is>
      </x:c>
      <x:c r="M117" s="567" t="inlineStr">
        <x:is>
          <x:t xml:space="preserve">https://okcountyrecords.com/detail/roger+mills/2016-001882</x:t>
        </x:is>
      </x:c>
      <x:c r="N117" s="567" t="inlineStr">
        <x:is>
          <x:t xml:space="preserve">Index row added - certified copy/image required</x:t>
        </x:is>
      </x:c>
      <x:c r="O117" s="567" t="inlineStr">
        <x:is>
          <x:t xml:space="preserve">https://okcountyrecords.com/detail/roger+mills/2016-001882</x:t>
        </x:is>
      </x:c>
      <x:c r="P117" s="567" t="inlineStr">
        <x:is>
          <x:t xml:space="preserve">Obtain certified instrument/image; verify parties, acreage, legal calls, status, and release/assignment chain.</x:t>
        </x:is>
      </x:c>
      <x:c r="Q117" s="567" t="inlineStr">
        <x:is>
          <x:t xml:space="preserve">High</x:t>
        </x:is>
      </x:c>
      <x:c r="R117" s="567" t="inlineStr">
        <x:is>
          <x:t xml:space="preserve">Deed / Chain</x:t>
        </x:is>
      </x:c>
      <x:c r="S117" s="650" t="n">
        <x:v>42593</x:v>
      </x:c>
      <x:c r="T117" s="567" t="inlineStr">
        <x:is>
          <x:t xml:space="preserve">Clerk index Doc/Date from attached image-only report</x:t>
        </x:is>
      </x:c>
      <x:c r="U117" s="650" t="n">
        <x:v>42593</x:v>
      </x:c>
      <x:c r="V117" s="567" t="inlineStr">
        <x:is>
          <x:t xml:space="preserve">31-12N-24W</x:t>
        </x:is>
      </x:c>
      <x:c r="W117" s="567" t="inlineStr">
        <x:is>
          <x:t xml:space="preserve">N/2 NE/4</x:t>
        </x:is>
      </x:c>
      <x:c r="X117" s="567" t="inlineStr">
        <x:is>
          <x:t xml:space="preserve">High - visually read from report</x:t>
        </x:is>
      </x:c>
      <x:c r="Y117" s="568" t="inlineStr">
        <x:is>
          <x:t xml:space="preserve">Yes - verify against certified document image</x:t>
        </x:is>
      </x:c>
      <x:c r="Z117" s="568" t="inlineStr">
        <x:is>
          <x:t xml:space="preserve">Supplemental import from attached image-only index; not full OCR-certified transcription.</x:t>
        </x:is>
      </x:c>
    </x:row>
    <x:row r="118">
      <x:c r="A118" s="567" t="n">
        <x:v>477</x:v>
      </x:c>
      <x:c r="B118" s="567" t="inlineStr">
        <x:is>
          <x:t xml:space="preserve">Clerk Index PDF / OKCR</x:t>
        </x:is>
      </x:c>
      <x:c r="C118" s="567" t="inlineStr">
        <x:is>
          <x:t xml:space="preserve">ASGT</x:t>
        </x:is>
      </x:c>
      <x:c r="D118" s="567" t="inlineStr">
        <x:is>
          <x:t xml:space="preserve">002343/0001</x:t>
        </x:is>
      </x:c>
      <x:c r="E118" s="567" t="n"/>
      <x:c r="F118" s="571" t="n">
        <x:v>42593</x:v>
      </x:c>
      <x:c r="G118" s="567" t="inlineStr">
        <x:is>
          <x:t xml:space="preserve">DEVON ENERGY PRODUCTION CO</x:t>
        </x:is>
      </x:c>
      <x:c r="H118" s="567" t="inlineStr">
        <x:is>
          <x:t xml:space="preserve">TECOLOTE HOLDINGS, LLC</x:t>
        </x:is>
      </x:c>
      <x:c r="I118" s="567" t="inlineStr">
        <x:is>
          <x:t xml:space="preserve">S31 T12N R24W A</x:t>
        </x:is>
      </x:c>
      <x:c r="J118" s="567" t="inlineStr">
        <x:is>
          <x:t xml:space="preserve">Doc 2016-001883; attached Roger Mills County Clerk unplatted legal index image row; Index p.55; legal/quarter extracted visually from image-only PDF.</x:t>
        </x:is>
      </x:c>
      <x:c r="K118" s="567" t="inlineStr">
        <x:is>
          <x:t xml:space="preserve">63e8b9a8d056433a9994fe46ca85076b.pdf</x:t>
        </x:is>
      </x:c>
      <x:c r="L118" s="567" t="inlineStr">
        <x:is>
          <x:t xml:space="preserve">Index p.55</x:t>
        </x:is>
      </x:c>
      <x:c r="M118" s="567" t="inlineStr">
        <x:is>
          <x:t xml:space="preserve">https://okcountyrecords.com/detail/roger+mills/2016-001883</x:t>
        </x:is>
      </x:c>
      <x:c r="N118" s="567" t="inlineStr">
        <x:is>
          <x:t xml:space="preserve">Index row added - certified copy/image required</x:t>
        </x:is>
      </x:c>
      <x:c r="O118" s="567" t="inlineStr">
        <x:is>
          <x:t xml:space="preserve">https://okcountyrecords.com/detail/roger+mills/2016-001883</x:t>
        </x:is>
      </x:c>
      <x:c r="P118" s="567" t="inlineStr">
        <x:is>
          <x:t xml:space="preserve">Obtain certified instrument/image; verify parties, acreage, legal calls, status, and release/assignment chain.</x:t>
        </x:is>
      </x:c>
      <x:c r="Q118" s="567" t="inlineStr">
        <x:is>
          <x:t xml:space="preserve">High</x:t>
        </x:is>
      </x:c>
      <x:c r="R118" s="567" t="inlineStr">
        <x:is>
          <x:t xml:space="preserve">Assignment</x:t>
        </x:is>
      </x:c>
      <x:c r="S118" s="650" t="n">
        <x:v>42593</x:v>
      </x:c>
      <x:c r="T118" s="567" t="inlineStr">
        <x:is>
          <x:t xml:space="preserve">Clerk index Doc/Date from attached image-only report</x:t>
        </x:is>
      </x:c>
      <x:c r="U118" s="650" t="n">
        <x:v>42593</x:v>
      </x:c>
      <x:c r="V118" s="567" t="inlineStr">
        <x:is>
          <x:t xml:space="preserve">31-12N-24W</x:t>
        </x:is>
      </x:c>
      <x:c r="W118" s="567" t="inlineStr">
        <x:is>
          <x:t xml:space="preserve">A</x:t>
        </x:is>
      </x:c>
      <x:c r="X118" s="567" t="inlineStr">
        <x:is>
          <x:t xml:space="preserve">High - visually read from report</x:t>
        </x:is>
      </x:c>
      <x:c r="Y118" s="568" t="inlineStr">
        <x:is>
          <x:t xml:space="preserve">Yes - verify against certified document image</x:t>
        </x:is>
      </x:c>
      <x:c r="Z118" s="568" t="inlineStr">
        <x:is>
          <x:t xml:space="preserve">Supplemental import from attached image-only index; not full OCR-certified transcription.</x:t>
        </x:is>
      </x:c>
    </x:row>
    <x:row r="119">
      <x:c r="A119" s="567" t="n">
        <x:v>478</x:v>
      </x:c>
      <x:c r="B119" s="567" t="inlineStr">
        <x:is>
          <x:t xml:space="preserve">Clerk Index PDF / OKCR</x:t>
        </x:is>
      </x:c>
      <x:c r="C119" s="567" t="inlineStr">
        <x:is>
          <x:t xml:space="preserve">MTG</x:t>
        </x:is>
      </x:c>
      <x:c r="D119" s="567" t="inlineStr">
        <x:is>
          <x:t xml:space="preserve">002344/0001</x:t>
        </x:is>
      </x:c>
      <x:c r="E119" s="567" t="n"/>
      <x:c r="F119" s="571" t="n">
        <x:v>42593</x:v>
      </x:c>
      <x:c r="G119" s="567" t="inlineStr">
        <x:is>
          <x:t xml:space="preserve">TECOLOTE HOLDINGS, LLC</x:t>
        </x:is>
      </x:c>
      <x:c r="H119" s="567" t="inlineStr">
        <x:is>
          <x:t xml:space="preserve">WELLS FARGO BANK</x:t>
        </x:is>
      </x:c>
      <x:c r="I119" s="567" t="inlineStr">
        <x:is>
          <x:t xml:space="preserve">S31 T12N R24W A</x:t>
        </x:is>
      </x:c>
      <x:c r="J119" s="567" t="inlineStr">
        <x:is>
          <x:t xml:space="preserve">Doc 2016-001884; attached Roger Mills County Clerk unplatted legal index image row; Index p.55; legal/quarter extracted visually from image-only PDF.</x:t>
        </x:is>
      </x:c>
      <x:c r="K119" s="567" t="inlineStr">
        <x:is>
          <x:t xml:space="preserve">63e8b9a8d056433a9994fe46ca85076b.pdf</x:t>
        </x:is>
      </x:c>
      <x:c r="L119" s="567" t="inlineStr">
        <x:is>
          <x:t xml:space="preserve">Index p.55</x:t>
        </x:is>
      </x:c>
      <x:c r="M119" s="567" t="inlineStr">
        <x:is>
          <x:t xml:space="preserve">https://okcountyrecords.com/detail/roger+mills/2016-001884</x:t>
        </x:is>
      </x:c>
      <x:c r="N119" s="567" t="inlineStr">
        <x:is>
          <x:t xml:space="preserve">Index row added - certified copy/image required</x:t>
        </x:is>
      </x:c>
      <x:c r="O119" s="567" t="inlineStr">
        <x:is>
          <x:t xml:space="preserve">https://okcountyrecords.com/detail/roger+mills/2016-001884</x:t>
        </x:is>
      </x:c>
      <x:c r="P119" s="567" t="inlineStr">
        <x:is>
          <x:t xml:space="preserve">Obtain certified instrument/image; verify parties, acreage, legal calls, status, and release/assignment chain.</x:t>
        </x:is>
      </x:c>
      <x:c r="Q119" s="567" t="inlineStr">
        <x:is>
          <x:t xml:space="preserve">High</x:t>
        </x:is>
      </x:c>
      <x:c r="R119" s="567" t="inlineStr">
        <x:is>
          <x:t xml:space="preserve">Lien / Release</x:t>
        </x:is>
      </x:c>
      <x:c r="S119" s="650" t="n">
        <x:v>42593</x:v>
      </x:c>
      <x:c r="T119" s="567" t="inlineStr">
        <x:is>
          <x:t xml:space="preserve">Clerk index Doc/Date from attached image-only report</x:t>
        </x:is>
      </x:c>
      <x:c r="U119" s="650" t="n">
        <x:v>42593</x:v>
      </x:c>
      <x:c r="V119" s="567" t="inlineStr">
        <x:is>
          <x:t xml:space="preserve">31-12N-24W</x:t>
        </x:is>
      </x:c>
      <x:c r="W119" s="567" t="inlineStr">
        <x:is>
          <x:t xml:space="preserve">A</x:t>
        </x:is>
      </x:c>
      <x:c r="X119" s="567" t="inlineStr">
        <x:is>
          <x:t xml:space="preserve">High - visually read from report</x:t>
        </x:is>
      </x:c>
      <x:c r="Y119" s="568" t="inlineStr">
        <x:is>
          <x:t xml:space="preserve">Yes - verify against certified document image</x:t>
        </x:is>
      </x:c>
      <x:c r="Z119" s="568" t="inlineStr">
        <x:is>
          <x:t xml:space="preserve">Supplemental import from attached image-only index; not full OCR-certified transcription.</x:t>
        </x:is>
      </x:c>
    </x:row>
    <x:row r="120">
      <x:c r="A120" s="567" t="n">
        <x:v>479</x:v>
      </x:c>
      <x:c r="B120" s="567" t="inlineStr">
        <x:is>
          <x:t xml:space="preserve">Clerk Index PDF / OKCR</x:t>
        </x:is>
      </x:c>
      <x:c r="C120" s="567" t="inlineStr">
        <x:is>
          <x:t xml:space="preserve">RELLIEN</x:t>
        </x:is>
      </x:c>
      <x:c r="D120" s="567" t="inlineStr">
        <x:is>
          <x:t xml:space="preserve">002348/0001</x:t>
        </x:is>
      </x:c>
      <x:c r="E120" s="567" t="n"/>
      <x:c r="F120" s="571" t="n">
        <x:v>42641</x:v>
      </x:c>
      <x:c r="G120" s="567" t="inlineStr">
        <x:is>
          <x:t xml:space="preserve">CITIBANK</x:t>
        </x:is>
      </x:c>
      <x:c r="H120" s="567" t="inlineStr">
        <x:is>
          <x:t xml:space="preserve">TEMPLAR ENERGY et al</x:t>
        </x:is>
      </x:c>
      <x:c r="I120" s="567" t="inlineStr">
        <x:is>
          <x:t xml:space="preserve">S31 T12N R24W E2 NW</x:t>
        </x:is>
      </x:c>
      <x:c r="J120" s="567" t="inlineStr">
        <x:is>
          <x:t xml:space="preserve">Doc 2016-002261; attached Roger Mills County Clerk unplatted legal index image row; Index p.55; legal/quarter extracted visually from image-only PDF.</x:t>
        </x:is>
      </x:c>
      <x:c r="K120" s="567" t="inlineStr">
        <x:is>
          <x:t xml:space="preserve">63e8b9a8d056433a9994fe46ca85076b.pdf</x:t>
        </x:is>
      </x:c>
      <x:c r="L120" s="567" t="inlineStr">
        <x:is>
          <x:t xml:space="preserve">Index p.55</x:t>
        </x:is>
      </x:c>
      <x:c r="M120" s="567" t="inlineStr">
        <x:is>
          <x:t xml:space="preserve">https://okcountyrecords.com/detail/roger+mills/2016-002261</x:t>
        </x:is>
      </x:c>
      <x:c r="N120" s="567" t="inlineStr">
        <x:is>
          <x:t xml:space="preserve">Index row added - certified copy/image required</x:t>
        </x:is>
      </x:c>
      <x:c r="O120" s="567" t="inlineStr">
        <x:is>
          <x:t xml:space="preserve">https://okcountyrecords.com/detail/roger+mills/2016-002261</x:t>
        </x:is>
      </x:c>
      <x:c r="P120" s="567" t="inlineStr">
        <x:is>
          <x:t xml:space="preserve">Obtain certified instrument/image; verify parties, acreage, legal calls, status, and release/assignment chain.</x:t>
        </x:is>
      </x:c>
      <x:c r="Q120" s="567" t="inlineStr">
        <x:is>
          <x:t xml:space="preserve">High</x:t>
        </x:is>
      </x:c>
      <x:c r="R120" s="567" t="inlineStr">
        <x:is>
          <x:t xml:space="preserve">Lien / Release</x:t>
        </x:is>
      </x:c>
      <x:c r="S120" s="650" t="n">
        <x:v>42641</x:v>
      </x:c>
      <x:c r="T120" s="567" t="inlineStr">
        <x:is>
          <x:t xml:space="preserve">Clerk index Doc/Date from attached image-only report</x:t>
        </x:is>
      </x:c>
      <x:c r="U120" s="650" t="n">
        <x:v>42641</x:v>
      </x:c>
      <x:c r="V120" s="567" t="inlineStr">
        <x:is>
          <x:t xml:space="preserve">31-12N-24W</x:t>
        </x:is>
      </x:c>
      <x:c r="W120" s="567" t="inlineStr">
        <x:is>
          <x:t xml:space="preserve">E/2 NW/4</x:t>
        </x:is>
      </x:c>
      <x:c r="X120" s="567" t="inlineStr">
        <x:is>
          <x:t xml:space="preserve">High - visually read from report</x:t>
        </x:is>
      </x:c>
      <x:c r="Y120" s="568" t="inlineStr">
        <x:is>
          <x:t xml:space="preserve">Yes - verify against certified document image</x:t>
        </x:is>
      </x:c>
      <x:c r="Z120" s="568" t="inlineStr">
        <x:is>
          <x:t xml:space="preserve">Supplemental import from attached image-only index; not full OCR-certified transcription.</x:t>
        </x:is>
      </x:c>
    </x:row>
    <x:row r="121">
      <x:c r="A121" s="567" t="n">
        <x:v>482</x:v>
      </x:c>
      <x:c r="B121" s="567" t="inlineStr">
        <x:is>
          <x:t xml:space="preserve">Clerk Index PDF / OKCR</x:t>
        </x:is>
      </x:c>
      <x:c r="C121" s="567" t="inlineStr">
        <x:is>
          <x:t xml:space="preserve">ASGT</x:t>
        </x:is>
      </x:c>
      <x:c r="D121" s="567" t="inlineStr">
        <x:is>
          <x:t xml:space="preserve">002354/0229</x:t>
        </x:is>
      </x:c>
      <x:c r="E121" s="567" t="n"/>
      <x:c r="F121" s="571" t="n">
        <x:v>42719</x:v>
      </x:c>
      <x:c r="G121" s="567" t="inlineStr">
        <x:is>
          <x:t xml:space="preserve">HEFNER COMPANY INC</x:t>
        </x:is>
      </x:c>
      <x:c r="H121" s="567" t="inlineStr">
        <x:is>
          <x:t xml:space="preserve">CHEYENNE RESOURCES, LLC</x:t>
        </x:is>
      </x:c>
      <x:c r="I121" s="567" t="inlineStr">
        <x:is>
          <x:t xml:space="preserve">S31 T12N R24W A</x:t>
        </x:is>
      </x:c>
      <x:c r="J121" s="567" t="inlineStr">
        <x:is>
          <x:t xml:space="preserve">Doc 2016-002793; attached Roger Mills County Clerk unplatted legal index image row; Index p.55; legal/quarter extracted visually from image-only PDF.</x:t>
        </x:is>
      </x:c>
      <x:c r="K121" s="567" t="inlineStr">
        <x:is>
          <x:t xml:space="preserve">63e8b9a8d056433a9994fe46ca85076b.pdf</x:t>
        </x:is>
      </x:c>
      <x:c r="L121" s="567" t="inlineStr">
        <x:is>
          <x:t xml:space="preserve">Index p.55</x:t>
        </x:is>
      </x:c>
      <x:c r="M121" s="567" t="inlineStr">
        <x:is>
          <x:t xml:space="preserve">https://okcountyrecords.com/detail/roger+mills/2016-002793</x:t>
        </x:is>
      </x:c>
      <x:c r="N121" s="567" t="inlineStr">
        <x:is>
          <x:t xml:space="preserve">Index row added - certified copy/image required</x:t>
        </x:is>
      </x:c>
      <x:c r="O121" s="567" t="inlineStr">
        <x:is>
          <x:t xml:space="preserve">https://okcountyrecords.com/detail/roger+mills/2016-002793</x:t>
        </x:is>
      </x:c>
      <x:c r="P121" s="567" t="inlineStr">
        <x:is>
          <x:t xml:space="preserve">Obtain certified instrument/image; verify parties, acreage, legal calls, status, and release/assignment chain.</x:t>
        </x:is>
      </x:c>
      <x:c r="Q121" s="567" t="inlineStr">
        <x:is>
          <x:t xml:space="preserve">High</x:t>
        </x:is>
      </x:c>
      <x:c r="R121" s="567" t="inlineStr">
        <x:is>
          <x:t xml:space="preserve">Assignment</x:t>
        </x:is>
      </x:c>
      <x:c r="S121" s="650" t="n">
        <x:v>42719</x:v>
      </x:c>
      <x:c r="T121" s="567" t="inlineStr">
        <x:is>
          <x:t xml:space="preserve">Clerk index Doc/Date from attached image-only report</x:t>
        </x:is>
      </x:c>
      <x:c r="U121" s="650" t="n">
        <x:v>42719</x:v>
      </x:c>
      <x:c r="V121" s="567" t="inlineStr">
        <x:is>
          <x:t xml:space="preserve">31-12N-24W</x:t>
        </x:is>
      </x:c>
      <x:c r="W121" s="567" t="inlineStr">
        <x:is>
          <x:t xml:space="preserve">A</x:t>
        </x:is>
      </x:c>
      <x:c r="X121" s="567" t="inlineStr">
        <x:is>
          <x:t xml:space="preserve">High - visually read from report</x:t>
        </x:is>
      </x:c>
      <x:c r="Y121" s="568" t="inlineStr">
        <x:is>
          <x:t xml:space="preserve">Yes - verify against certified document image</x:t>
        </x:is>
      </x:c>
      <x:c r="Z121" s="568" t="inlineStr">
        <x:is>
          <x:t xml:space="preserve">Supplemental import from attached image-only index; not full OCR-certified transcription.</x:t>
        </x:is>
      </x:c>
    </x:row>
    <x:row r="122">
      <x:c r="A122" s="567" t="n">
        <x:v>483</x:v>
      </x:c>
      <x:c r="B122" s="567" t="inlineStr">
        <x:is>
          <x:t xml:space="preserve">Clerk Index PDF / OKCR</x:t>
        </x:is>
      </x:c>
      <x:c r="C122" s="567" t="inlineStr">
        <x:is>
          <x:t xml:space="preserve">PTRELIE</x:t>
        </x:is>
      </x:c>
      <x:c r="D122" s="567" t="inlineStr">
        <x:is>
          <x:t xml:space="preserve">002356/0001</x:t>
        </x:is>
      </x:c>
      <x:c r="E122" s="567" t="n"/>
      <x:c r="F122" s="571" t="n">
        <x:v>42752</x:v>
      </x:c>
      <x:c r="G122" s="567" t="inlineStr">
        <x:is>
          <x:t xml:space="preserve">DEUTSCHE BANK</x:t>
        </x:is>
      </x:c>
      <x:c r="H122" s="567" t="inlineStr">
        <x:is>
          <x:t xml:space="preserve">SAMSON RESOURCES et al</x:t>
        </x:is>
      </x:c>
      <x:c r="I122" s="567" t="inlineStr">
        <x:is>
          <x:t xml:space="preserve">S31 T12N R24W ALEXANDER</x:t>
        </x:is>
      </x:c>
      <x:c r="J122" s="567" t="inlineStr">
        <x:is>
          <x:t xml:space="preserve">Doc 2017-000081; attached Roger Mills County Clerk unplatted legal index image row; Index p.55; legal/quarter extracted visually from image-only PDF.</x:t>
        </x:is>
      </x:c>
      <x:c r="K122" s="567" t="inlineStr">
        <x:is>
          <x:t xml:space="preserve">63e8b9a8d056433a9994fe46ca85076b.pdf</x:t>
        </x:is>
      </x:c>
      <x:c r="L122" s="567" t="inlineStr">
        <x:is>
          <x:t xml:space="preserve">Index p.55</x:t>
        </x:is>
      </x:c>
      <x:c r="M122" s="567" t="inlineStr">
        <x:is>
          <x:t xml:space="preserve">https://okcountyrecords.com/detail/roger+mills/2017-000081</x:t>
        </x:is>
      </x:c>
      <x:c r="N122" s="567" t="inlineStr">
        <x:is>
          <x:t xml:space="preserve">Index row added - certified copy/image required</x:t>
        </x:is>
      </x:c>
      <x:c r="O122" s="567" t="inlineStr">
        <x:is>
          <x:t xml:space="preserve">https://okcountyrecords.com/detail/roger+mills/2017-000081</x:t>
        </x:is>
      </x:c>
      <x:c r="P122" s="567" t="inlineStr">
        <x:is>
          <x:t xml:space="preserve">Obtain certified instrument/image; verify parties, acreage, legal calls, status, and release/assignment chain.</x:t>
        </x:is>
      </x:c>
      <x:c r="Q122" s="567" t="inlineStr">
        <x:is>
          <x:t xml:space="preserve">High</x:t>
        </x:is>
      </x:c>
      <x:c r="R122" s="567" t="inlineStr">
        <x:is>
          <x:t xml:space="preserve">Lien / Release</x:t>
        </x:is>
      </x:c>
      <x:c r="S122" s="650" t="n">
        <x:v>42752</x:v>
      </x:c>
      <x:c r="T122" s="567" t="inlineStr">
        <x:is>
          <x:t xml:space="preserve">Clerk index Doc/Date from attached image-only report</x:t>
        </x:is>
      </x:c>
      <x:c r="U122" s="650" t="n">
        <x:v>42752</x:v>
      </x:c>
      <x:c r="V122" s="567" t="inlineStr">
        <x:is>
          <x:t xml:space="preserve">31-12N-24W</x:t>
        </x:is>
      </x:c>
      <x:c r="W122" s="567" t="inlineStr">
        <x:is>
          <x:t xml:space="preserve">Alexander / all target section reference</x:t>
        </x:is>
      </x:c>
      <x:c r="X122" s="567" t="inlineStr">
        <x:is>
          <x:t xml:space="preserve">High - visually read from report</x:t>
        </x:is>
      </x:c>
      <x:c r="Y122" s="568" t="inlineStr">
        <x:is>
          <x:t xml:space="preserve">Yes - verify against certified document image</x:t>
        </x:is>
      </x:c>
      <x:c r="Z122" s="568" t="inlineStr">
        <x:is>
          <x:t xml:space="preserve">Supplemental import from attached image-only index; not full OCR-certified transcription.</x:t>
        </x:is>
      </x:c>
    </x:row>
    <x:row r="123">
      <x:c r="A123" s="567" t="n">
        <x:v>484</x:v>
      </x:c>
      <x:c r="B123" s="567" t="inlineStr">
        <x:is>
          <x:t xml:space="preserve">Clerk Index PDF / OKCR</x:t>
        </x:is>
      </x:c>
      <x:c r="C123" s="567" t="inlineStr">
        <x:is>
          <x:t xml:space="preserve">PTRELIE</x:t>
        </x:is>
      </x:c>
      <x:c r="D123" s="567" t="inlineStr">
        <x:is>
          <x:t xml:space="preserve">002356/0200</x:t>
        </x:is>
      </x:c>
      <x:c r="E123" s="567" t="n"/>
      <x:c r="F123" s="571" t="n">
        <x:v>42752</x:v>
      </x:c>
      <x:c r="G123" s="567" t="inlineStr">
        <x:is>
          <x:t xml:space="preserve">JPMORGAN CHASE BANK</x:t>
        </x:is>
      </x:c>
      <x:c r="H123" s="567" t="inlineStr">
        <x:is>
          <x:t xml:space="preserve">SAMSON RESOURCES et al</x:t>
        </x:is>
      </x:c>
      <x:c r="I123" s="567" t="inlineStr">
        <x:is>
          <x:t xml:space="preserve">S31 T12N R24W ALEXANDER</x:t>
        </x:is>
      </x:c>
      <x:c r="J123" s="567" t="inlineStr">
        <x:is>
          <x:t xml:space="preserve">Doc 2017-000082; attached Roger Mills County Clerk unplatted legal index image row; Index p.55; legal/quarter extracted visually from image-only PDF.</x:t>
        </x:is>
      </x:c>
      <x:c r="K123" s="567" t="inlineStr">
        <x:is>
          <x:t xml:space="preserve">63e8b9a8d056433a9994fe46ca85076b.pdf</x:t>
        </x:is>
      </x:c>
      <x:c r="L123" s="567" t="inlineStr">
        <x:is>
          <x:t xml:space="preserve">Index p.55</x:t>
        </x:is>
      </x:c>
      <x:c r="M123" s="567" t="inlineStr">
        <x:is>
          <x:t xml:space="preserve">https://okcountyrecords.com/detail/roger+mills/2017-000082</x:t>
        </x:is>
      </x:c>
      <x:c r="N123" s="567" t="inlineStr">
        <x:is>
          <x:t xml:space="preserve">Index row added - certified copy/image required</x:t>
        </x:is>
      </x:c>
      <x:c r="O123" s="567" t="inlineStr">
        <x:is>
          <x:t xml:space="preserve">https://okcountyrecords.com/detail/roger+mills/2017-000082</x:t>
        </x:is>
      </x:c>
      <x:c r="P123" s="567" t="inlineStr">
        <x:is>
          <x:t xml:space="preserve">Obtain certified instrument/image; verify parties, acreage, legal calls, status, and release/assignment chain.</x:t>
        </x:is>
      </x:c>
      <x:c r="Q123" s="567" t="inlineStr">
        <x:is>
          <x:t xml:space="preserve">High</x:t>
        </x:is>
      </x:c>
      <x:c r="R123" s="567" t="inlineStr">
        <x:is>
          <x:t xml:space="preserve">Lien / Release</x:t>
        </x:is>
      </x:c>
      <x:c r="S123" s="650" t="n">
        <x:v>42752</x:v>
      </x:c>
      <x:c r="T123" s="567" t="inlineStr">
        <x:is>
          <x:t xml:space="preserve">Clerk index Doc/Date from attached image-only report</x:t>
        </x:is>
      </x:c>
      <x:c r="U123" s="650" t="n">
        <x:v>42752</x:v>
      </x:c>
      <x:c r="V123" s="567" t="inlineStr">
        <x:is>
          <x:t xml:space="preserve">31-12N-24W</x:t>
        </x:is>
      </x:c>
      <x:c r="W123" s="567" t="inlineStr">
        <x:is>
          <x:t xml:space="preserve">Alexander / all target section reference</x:t>
        </x:is>
      </x:c>
      <x:c r="X123" s="567" t="inlineStr">
        <x:is>
          <x:t xml:space="preserve">High - visually read from report</x:t>
        </x:is>
      </x:c>
      <x:c r="Y123" s="568" t="inlineStr">
        <x:is>
          <x:t xml:space="preserve">Yes - verify against certified document image</x:t>
        </x:is>
      </x:c>
      <x:c r="Z123" s="568" t="inlineStr">
        <x:is>
          <x:t xml:space="preserve">Supplemental import from attached image-only index; not full OCR-certified transcription.</x:t>
        </x:is>
      </x:c>
    </x:row>
    <x:row r="124">
      <x:c r="A124" s="567" t="n">
        <x:v>485</x:v>
      </x:c>
      <x:c r="B124" s="567" t="inlineStr">
        <x:is>
          <x:t xml:space="preserve">Clerk Index PDF / OKCR</x:t>
        </x:is>
      </x:c>
      <x:c r="C124" s="567" t="inlineStr">
        <x:is>
          <x:t xml:space="preserve">ASGT</x:t>
        </x:is>
      </x:c>
      <x:c r="D124" s="567" t="inlineStr">
        <x:is>
          <x:t xml:space="preserve">002356/0399</x:t>
        </x:is>
      </x:c>
      <x:c r="E124" s="567" t="n"/>
      <x:c r="F124" s="571" t="n">
        <x:v>42752</x:v>
      </x:c>
      <x:c r="G124" s="567" t="inlineStr">
        <x:is>
          <x:t xml:space="preserve">SAMSON RESOURCES COMPANY et al</x:t>
        </x:is>
      </x:c>
      <x:c r="H124" s="567" t="inlineStr">
        <x:is>
          <x:t xml:space="preserve">FAIRWAY RESOURCES III, LLC</x:t>
        </x:is>
      </x:c>
      <x:c r="I124" s="567" t="inlineStr">
        <x:is>
          <x:t xml:space="preserve">S31 T12N R24W ALEXANDER</x:t>
        </x:is>
      </x:c>
      <x:c r="J124" s="567" t="inlineStr">
        <x:is>
          <x:t xml:space="preserve">Doc 2017-000083; attached Roger Mills County Clerk unplatted legal index image row; Index p.55; legal/quarter extracted visually from image-only PDF.</x:t>
        </x:is>
      </x:c>
      <x:c r="K124" s="567" t="inlineStr">
        <x:is>
          <x:t xml:space="preserve">63e8b9a8d056433a9994fe46ca85076b.pdf</x:t>
        </x:is>
      </x:c>
      <x:c r="L124" s="567" t="inlineStr">
        <x:is>
          <x:t xml:space="preserve">Index p.55</x:t>
        </x:is>
      </x:c>
      <x:c r="M124" s="567" t="inlineStr">
        <x:is>
          <x:t xml:space="preserve">https://okcountyrecords.com/detail/roger+mills/2017-000083</x:t>
        </x:is>
      </x:c>
      <x:c r="N124" s="567" t="inlineStr">
        <x:is>
          <x:t xml:space="preserve">Index row added - certified copy/image required</x:t>
        </x:is>
      </x:c>
      <x:c r="O124" s="567" t="inlineStr">
        <x:is>
          <x:t xml:space="preserve">https://okcountyrecords.com/detail/roger+mills/2017-000083</x:t>
        </x:is>
      </x:c>
      <x:c r="P124" s="567" t="inlineStr">
        <x:is>
          <x:t xml:space="preserve">Obtain certified instrument/image; verify parties, acreage, legal calls, status, and release/assignment chain.</x:t>
        </x:is>
      </x:c>
      <x:c r="Q124" s="567" t="inlineStr">
        <x:is>
          <x:t xml:space="preserve">High</x:t>
        </x:is>
      </x:c>
      <x:c r="R124" s="567" t="inlineStr">
        <x:is>
          <x:t xml:space="preserve">Assignment</x:t>
        </x:is>
      </x:c>
      <x:c r="S124" s="650" t="n">
        <x:v>42752</x:v>
      </x:c>
      <x:c r="T124" s="567" t="inlineStr">
        <x:is>
          <x:t xml:space="preserve">Clerk index Doc/Date from attached image-only report</x:t>
        </x:is>
      </x:c>
      <x:c r="U124" s="650" t="n">
        <x:v>42752</x:v>
      </x:c>
      <x:c r="V124" s="567" t="inlineStr">
        <x:is>
          <x:t xml:space="preserve">31-12N-24W</x:t>
        </x:is>
      </x:c>
      <x:c r="W124" s="567" t="inlineStr">
        <x:is>
          <x:t xml:space="preserve">Alexander / all target section reference</x:t>
        </x:is>
      </x:c>
      <x:c r="X124" s="567" t="inlineStr">
        <x:is>
          <x:t xml:space="preserve">High - visually read from report</x:t>
        </x:is>
      </x:c>
      <x:c r="Y124" s="568" t="inlineStr">
        <x:is>
          <x:t xml:space="preserve">Yes - verify against certified document image</x:t>
        </x:is>
      </x:c>
      <x:c r="Z124" s="568" t="inlineStr">
        <x:is>
          <x:t xml:space="preserve">Supplemental import from attached image-only index; not full OCR-certified transcription.</x:t>
        </x:is>
      </x:c>
    </x:row>
    <x:row r="125">
      <x:c r="A125" s="567" t="n">
        <x:v>486</x:v>
      </x:c>
      <x:c r="B125" s="567" t="inlineStr">
        <x:is>
          <x:t xml:space="preserve">Clerk Index PDF / OKCR</x:t>
        </x:is>
      </x:c>
      <x:c r="C125" s="567" t="inlineStr">
        <x:is>
          <x:t xml:space="preserve">MTG</x:t>
        </x:is>
      </x:c>
      <x:c r="D125" s="567" t="inlineStr">
        <x:is>
          <x:t xml:space="preserve">002357/0001</x:t>
        </x:is>
      </x:c>
      <x:c r="E125" s="567" t="n"/>
      <x:c r="F125" s="571" t="n">
        <x:v>42752</x:v>
      </x:c>
      <x:c r="G125" s="567" t="inlineStr">
        <x:is>
          <x:t xml:space="preserve">FAIRWAY RESOURCES III, LLC</x:t>
        </x:is>
      </x:c>
      <x:c r="H125" s="567" t="inlineStr">
        <x:is>
          <x:t xml:space="preserve">JPMORGAN CHASE BANK</x:t>
        </x:is>
      </x:c>
      <x:c r="I125" s="567" t="inlineStr">
        <x:is>
          <x:t xml:space="preserve">S31 T12N R24W ALEXANDER</x:t>
        </x:is>
      </x:c>
      <x:c r="J125" s="567" t="inlineStr">
        <x:is>
          <x:t xml:space="preserve">Doc 2017-000084; attached Roger Mills County Clerk unplatted legal index image row; Index p.55; legal/quarter extracted visually from image-only PDF.</x:t>
        </x:is>
      </x:c>
      <x:c r="K125" s="567" t="inlineStr">
        <x:is>
          <x:t xml:space="preserve">63e8b9a8d056433a9994fe46ca85076b.pdf</x:t>
        </x:is>
      </x:c>
      <x:c r="L125" s="567" t="inlineStr">
        <x:is>
          <x:t xml:space="preserve">Index p.55</x:t>
        </x:is>
      </x:c>
      <x:c r="M125" s="567" t="inlineStr">
        <x:is>
          <x:t xml:space="preserve">https://okcountyrecords.com/detail/roger+mills/2017-000084</x:t>
        </x:is>
      </x:c>
      <x:c r="N125" s="567" t="inlineStr">
        <x:is>
          <x:t xml:space="preserve">Index row added - certified copy/image required</x:t>
        </x:is>
      </x:c>
      <x:c r="O125" s="567" t="inlineStr">
        <x:is>
          <x:t xml:space="preserve">https://okcountyrecords.com/detail/roger+mills/2017-000084</x:t>
        </x:is>
      </x:c>
      <x:c r="P125" s="567" t="inlineStr">
        <x:is>
          <x:t xml:space="preserve">Obtain certified instrument/image; verify parties, acreage, legal calls, status, and release/assignment chain.</x:t>
        </x:is>
      </x:c>
      <x:c r="Q125" s="567" t="inlineStr">
        <x:is>
          <x:t xml:space="preserve">High</x:t>
        </x:is>
      </x:c>
      <x:c r="R125" s="567" t="inlineStr">
        <x:is>
          <x:t xml:space="preserve">Lien / Release</x:t>
        </x:is>
      </x:c>
      <x:c r="S125" s="650" t="n">
        <x:v>42752</x:v>
      </x:c>
      <x:c r="T125" s="567" t="inlineStr">
        <x:is>
          <x:t xml:space="preserve">Clerk index Doc/Date from attached image-only report</x:t>
        </x:is>
      </x:c>
      <x:c r="U125" s="650" t="n">
        <x:v>42752</x:v>
      </x:c>
      <x:c r="V125" s="567" t="inlineStr">
        <x:is>
          <x:t xml:space="preserve">31-12N-24W</x:t>
        </x:is>
      </x:c>
      <x:c r="W125" s="567" t="inlineStr">
        <x:is>
          <x:t xml:space="preserve">Alexander / all target section reference</x:t>
        </x:is>
      </x:c>
      <x:c r="X125" s="567" t="inlineStr">
        <x:is>
          <x:t xml:space="preserve">High - visually read from report</x:t>
        </x:is>
      </x:c>
      <x:c r="Y125" s="568" t="inlineStr">
        <x:is>
          <x:t xml:space="preserve">Yes - verify against certified document image</x:t>
        </x:is>
      </x:c>
      <x:c r="Z125" s="568" t="inlineStr">
        <x:is>
          <x:t xml:space="preserve">Supplemental import from attached image-only index; not full OCR-certified transcription.</x:t>
        </x:is>
      </x:c>
    </x:row>
    <x:row r="126">
      <x:c r="A126" s="567" t="n">
        <x:v>487</x:v>
      </x:c>
      <x:c r="B126" s="567" t="inlineStr">
        <x:is>
          <x:t xml:space="preserve">Clerk Index PDF / OKCR</x:t>
        </x:is>
      </x:c>
      <x:c r="C126" s="567" t="inlineStr">
        <x:is>
          <x:t xml:space="preserve">CHNG/ADD</x:t>
        </x:is>
      </x:c>
      <x:c r="D126" s="567" t="inlineStr">
        <x:is>
          <x:t xml:space="preserve">002370/0359</x:t>
        </x:is>
      </x:c>
      <x:c r="E126" s="567" t="n"/>
      <x:c r="F126" s="571" t="n">
        <x:v>42930</x:v>
      </x:c>
      <x:c r="G126" s="567" t="inlineStr">
        <x:is>
          <x:t xml:space="preserve">KING EXPLORATION</x:t>
        </x:is>
      </x:c>
      <x:c r="H126" s="567" t="inlineStr">
        <x:is>
          <x:t xml:space="preserve">PUBLIC</x:t>
        </x:is>
      </x:c>
      <x:c r="I126" s="567" t="inlineStr">
        <x:is>
          <x:t xml:space="preserve">S31 T12N R24W A</x:t>
        </x:is>
      </x:c>
      <x:c r="J126" s="567" t="inlineStr">
        <x:is>
          <x:t xml:space="preserve">Doc 2017-001403; attached Roger Mills County Clerk unplatted legal index image row; Index p.56; legal/quarter extracted visually from image-only PDF.</x:t>
        </x:is>
      </x:c>
      <x:c r="K126" s="567" t="inlineStr">
        <x:is>
          <x:t xml:space="preserve">63e8b9a8d056433a9994fe46ca85076b.pdf</x:t>
        </x:is>
      </x:c>
      <x:c r="L126" s="567" t="inlineStr">
        <x:is>
          <x:t xml:space="preserve">Index p.56</x:t>
        </x:is>
      </x:c>
      <x:c r="M126" s="567" t="inlineStr">
        <x:is>
          <x:t xml:space="preserve">https://okcountyrecords.com/detail/roger+mills/2017-001403</x:t>
        </x:is>
      </x:c>
      <x:c r="N126" s="567" t="inlineStr">
        <x:is>
          <x:t xml:space="preserve">Index row added - certified copy/image required</x:t>
        </x:is>
      </x:c>
      <x:c r="O126" s="567" t="inlineStr">
        <x:is>
          <x:t xml:space="preserve">https://okcountyrecords.com/detail/roger+mills/2017-001403</x:t>
        </x:is>
      </x:c>
      <x:c r="P126" s="567" t="inlineStr">
        <x:is>
          <x:t xml:space="preserve">Obtain certified instrument/image; verify parties, acreage, legal calls, status, and release/assignment chain.</x:t>
        </x:is>
      </x:c>
      <x:c r="Q126" s="567" t="inlineStr">
        <x:is>
          <x:t xml:space="preserve">Medium</x:t>
        </x:is>
      </x:c>
      <x:c r="R126" s="567" t="inlineStr">
        <x:is>
          <x:t xml:space="preserve">Other / Memorandum</x:t>
        </x:is>
      </x:c>
      <x:c r="S126" s="650" t="n">
        <x:v>42930</x:v>
      </x:c>
      <x:c r="T126" s="567" t="inlineStr">
        <x:is>
          <x:t xml:space="preserve">Clerk index Doc/Date from attached image-only report</x:t>
        </x:is>
      </x:c>
      <x:c r="U126" s="650" t="n">
        <x:v>42930</x:v>
      </x:c>
      <x:c r="V126" s="567" t="inlineStr">
        <x:is>
          <x:t xml:space="preserve">31-12N-24W</x:t>
        </x:is>
      </x:c>
      <x:c r="W126" s="567" t="inlineStr">
        <x:is>
          <x:t xml:space="preserve">A</x:t>
        </x:is>
      </x:c>
      <x:c r="X126" s="567" t="inlineStr">
        <x:is>
          <x:t xml:space="preserve">Medium - visually read, confirm against image</x:t>
        </x:is>
      </x:c>
      <x:c r="Y126" s="568" t="inlineStr">
        <x:is>
          <x:t xml:space="preserve">Yes - verify against certified document image</x:t>
        </x:is>
      </x:c>
      <x:c r="Z126" s="568" t="inlineStr">
        <x:is>
          <x:t xml:space="preserve">Supplemental import from attached image-only index; not full OCR-certified transcription.</x:t>
        </x:is>
      </x:c>
    </x:row>
    <x:row r="127">
      <x:c r="A127" s="567" t="n">
        <x:v>488</x:v>
      </x:c>
      <x:c r="B127" s="567" t="inlineStr">
        <x:is>
          <x:t xml:space="preserve">Clerk Index PDF / OKCR</x:t>
        </x:is>
      </x:c>
      <x:c r="C127" s="567" t="inlineStr">
        <x:is>
          <x:t xml:space="preserve">CONVY</x:t>
        </x:is>
      </x:c>
      <x:c r="D127" s="567" t="inlineStr">
        <x:is>
          <x:t xml:space="preserve">002383/0169</x:t>
        </x:is>
      </x:c>
      <x:c r="E127" s="567" t="n"/>
      <x:c r="F127" s="571" t="n">
        <x:v>43088</x:v>
      </x:c>
      <x:c r="G127" s="567" t="inlineStr">
        <x:is>
          <x:t xml:space="preserve">TECOLOTE HOLDINGS, LLC</x:t>
        </x:is>
      </x:c>
      <x:c r="H127" s="567" t="inlineStr">
        <x:is>
          <x:t xml:space="preserve">TECOLOTE ROYALTY LP</x:t>
        </x:is>
      </x:c>
      <x:c r="I127" s="567" t="inlineStr">
        <x:is>
          <x:t xml:space="preserve">S31 T12N R24W A</x:t>
        </x:is>
      </x:c>
      <x:c r="J127" s="567" t="inlineStr">
        <x:is>
          <x:t xml:space="preserve">Doc 2017-002694; attached Roger Mills County Clerk unplatted legal index image row; Index p.56; legal/quarter extracted visually from image-only PDF.</x:t>
        </x:is>
      </x:c>
      <x:c r="K127" s="567" t="inlineStr">
        <x:is>
          <x:t xml:space="preserve">63e8b9a8d056433a9994fe46ca85076b.pdf</x:t>
        </x:is>
      </x:c>
      <x:c r="L127" s="567" t="inlineStr">
        <x:is>
          <x:t xml:space="preserve">Index p.56</x:t>
        </x:is>
      </x:c>
      <x:c r="M127" s="567" t="inlineStr">
        <x:is>
          <x:t xml:space="preserve">https://okcountyrecords.com/detail/roger+mills/2017-002694</x:t>
        </x:is>
      </x:c>
      <x:c r="N127" s="567" t="inlineStr">
        <x:is>
          <x:t xml:space="preserve">Index row added - certified copy/image required</x:t>
        </x:is>
      </x:c>
      <x:c r="O127" s="567" t="inlineStr">
        <x:is>
          <x:t xml:space="preserve">https://okcountyrecords.com/detail/roger+mills/2017-002694</x:t>
        </x:is>
      </x:c>
      <x:c r="P127" s="567" t="inlineStr">
        <x:is>
          <x:t xml:space="preserve">Obtain certified instrument/image; verify parties, acreage, legal calls, status, and release/assignment chain.</x:t>
        </x:is>
      </x:c>
      <x:c r="Q127" s="567" t="inlineStr">
        <x:is>
          <x:t xml:space="preserve">High</x:t>
        </x:is>
      </x:c>
      <x:c r="R127" s="567" t="inlineStr">
        <x:is>
          <x:t xml:space="preserve">Deed / Chain</x:t>
        </x:is>
      </x:c>
      <x:c r="S127" s="650" t="n">
        <x:v>43088</x:v>
      </x:c>
      <x:c r="T127" s="567" t="inlineStr">
        <x:is>
          <x:t xml:space="preserve">Clerk index Doc/Date from attached image-only report</x:t>
        </x:is>
      </x:c>
      <x:c r="U127" s="650" t="n">
        <x:v>43088</x:v>
      </x:c>
      <x:c r="V127" s="567" t="inlineStr">
        <x:is>
          <x:t xml:space="preserve">31-12N-24W</x:t>
        </x:is>
      </x:c>
      <x:c r="W127" s="567" t="inlineStr">
        <x:is>
          <x:t xml:space="preserve">A</x:t>
        </x:is>
      </x:c>
      <x:c r="X127" s="567" t="inlineStr">
        <x:is>
          <x:t xml:space="preserve">High - visually read from report</x:t>
        </x:is>
      </x:c>
      <x:c r="Y127" s="568" t="inlineStr">
        <x:is>
          <x:t xml:space="preserve">Yes - verify against certified document image</x:t>
        </x:is>
      </x:c>
      <x:c r="Z127" s="568" t="inlineStr">
        <x:is>
          <x:t xml:space="preserve">Supplemental import from attached image-only index; not full OCR-certified transcription.</x:t>
        </x:is>
      </x:c>
    </x:row>
    <x:row r="128">
      <x:c r="A128" s="567" t="n">
        <x:v>489</x:v>
      </x:c>
      <x:c r="B128" s="567" t="inlineStr">
        <x:is>
          <x:t xml:space="preserve">Clerk Index PDF / OKCR</x:t>
        </x:is>
      </x:c>
      <x:c r="C128" s="567" t="inlineStr">
        <x:is>
          <x:t xml:space="preserve">ASGT</x:t>
        </x:is>
      </x:c>
      <x:c r="D128" s="567" t="inlineStr">
        <x:is>
          <x:t xml:space="preserve">002385/0072</x:t>
        </x:is>
      </x:c>
      <x:c r="E128" s="567" t="n"/>
      <x:c r="F128" s="571" t="n">
        <x:v>43119</x:v>
      </x:c>
      <x:c r="G128" s="567" t="inlineStr">
        <x:is>
          <x:t xml:space="preserve">CHEYENNE RESOURCES</x:t>
        </x:is>
      </x:c>
      <x:c r="H128" s="567" t="inlineStr">
        <x:is>
          <x:t xml:space="preserve">TEMPLAR ENERGY, LLC</x:t>
        </x:is>
      </x:c>
      <x:c r="I128" s="567" t="inlineStr">
        <x:is>
          <x:t xml:space="preserve">S31 T12N R24W ALEXANDER 1-31</x:t>
        </x:is>
      </x:c>
      <x:c r="J128" s="567" t="inlineStr">
        <x:is>
          <x:t xml:space="preserve">Doc 2018-000119; attached Roger Mills County Clerk unplatted legal index image row; Index p.56; legal/quarter extracted visually from image-only PDF.</x:t>
        </x:is>
      </x:c>
      <x:c r="K128" s="567" t="inlineStr">
        <x:is>
          <x:t xml:space="preserve">63e8b9a8d056433a9994fe46ca85076b.pdf</x:t>
        </x:is>
      </x:c>
      <x:c r="L128" s="567" t="inlineStr">
        <x:is>
          <x:t xml:space="preserve">Index p.56</x:t>
        </x:is>
      </x:c>
      <x:c r="M128" s="567" t="inlineStr">
        <x:is>
          <x:t xml:space="preserve">https://okcountyrecords.com/detail/roger+mills/2018-000119</x:t>
        </x:is>
      </x:c>
      <x:c r="N128" s="567" t="inlineStr">
        <x:is>
          <x:t xml:space="preserve">Index row added - certified copy/image required</x:t>
        </x:is>
      </x:c>
      <x:c r="O128" s="567" t="inlineStr">
        <x:is>
          <x:t xml:space="preserve">https://okcountyrecords.com/detail/roger+mills/2018-000119</x:t>
        </x:is>
      </x:c>
      <x:c r="P128" s="567" t="inlineStr">
        <x:is>
          <x:t xml:space="preserve">Obtain certified instrument/image; verify parties, acreage, legal calls, status, and release/assignment chain.</x:t>
        </x:is>
      </x:c>
      <x:c r="Q128" s="567" t="inlineStr">
        <x:is>
          <x:t xml:space="preserve">High</x:t>
        </x:is>
      </x:c>
      <x:c r="R128" s="567" t="inlineStr">
        <x:is>
          <x:t xml:space="preserve">Assignment</x:t>
        </x:is>
      </x:c>
      <x:c r="S128" s="650" t="n">
        <x:v>43119</x:v>
      </x:c>
      <x:c r="T128" s="567" t="inlineStr">
        <x:is>
          <x:t xml:space="preserve">Clerk index Doc/Date from attached image-only report</x:t>
        </x:is>
      </x:c>
      <x:c r="U128" s="650" t="n">
        <x:v>43119</x:v>
      </x:c>
      <x:c r="V128" s="567" t="inlineStr">
        <x:is>
          <x:t xml:space="preserve">31-12N-24W</x:t>
        </x:is>
      </x:c>
      <x:c r="W128" s="567" t="inlineStr">
        <x:is>
          <x:t xml:space="preserve">Alexander 1-31</x:t>
        </x:is>
      </x:c>
      <x:c r="X128" s="567" t="inlineStr">
        <x:is>
          <x:t xml:space="preserve">High - visually read from report</x:t>
        </x:is>
      </x:c>
      <x:c r="Y128" s="568" t="inlineStr">
        <x:is>
          <x:t xml:space="preserve">Yes - verify against certified document image</x:t>
        </x:is>
      </x:c>
      <x:c r="Z128" s="568" t="inlineStr">
        <x:is>
          <x:t xml:space="preserve">Supplemental import from attached image-only index; not full OCR-certified transcription.</x:t>
        </x:is>
      </x:c>
    </x:row>
    <x:row r="129">
      <x:c r="A129" s="567" t="n">
        <x:v>490</x:v>
      </x:c>
      <x:c r="B129" s="567" t="inlineStr">
        <x:is>
          <x:t xml:space="preserve">Clerk Index PDF / OKCR</x:t>
        </x:is>
      </x:c>
      <x:c r="C129" s="567" t="inlineStr">
        <x:is>
          <x:t xml:space="preserve">MEMO</x:t>
        </x:is>
      </x:c>
      <x:c r="D129" s="567" t="inlineStr">
        <x:is>
          <x:t xml:space="preserve">002399/0188</x:t>
        </x:is>
      </x:c>
      <x:c r="E129" s="567" t="n"/>
      <x:c r="F129" s="571" t="n">
        <x:v>43327</x:v>
      </x:c>
      <x:c r="G129" s="567" t="inlineStr">
        <x:is>
          <x:t xml:space="preserve">ENERVEST OPERATING et al</x:t>
        </x:is>
      </x:c>
      <x:c r="H129" s="567" t="inlineStr">
        <x:is>
          <x:t xml:space="preserve">PUBLIC</x:t>
        </x:is>
      </x:c>
      <x:c r="I129" s="567" t="inlineStr">
        <x:is>
          <x:t xml:space="preserve">S31 T12N R24W ALL ALEXANDER 1-31</x:t>
        </x:is>
      </x:c>
      <x:c r="J129" s="567" t="inlineStr">
        <x:is>
          <x:t xml:space="preserve">Doc 2018-002049; attached Roger Mills County Clerk unplatted legal index image row; Index p.56; legal/quarter extracted visually from image-only PDF.</x:t>
        </x:is>
      </x:c>
      <x:c r="K129" s="567" t="inlineStr">
        <x:is>
          <x:t xml:space="preserve">63e8b9a8d056433a9994fe46ca85076b.pdf</x:t>
        </x:is>
      </x:c>
      <x:c r="L129" s="567" t="inlineStr">
        <x:is>
          <x:t xml:space="preserve">Index p.56</x:t>
        </x:is>
      </x:c>
      <x:c r="M129" s="567" t="inlineStr">
        <x:is>
          <x:t xml:space="preserve">https://okcountyrecords.com/detail/roger+mills/2018-002049</x:t>
        </x:is>
      </x:c>
      <x:c r="N129" s="567" t="inlineStr">
        <x:is>
          <x:t xml:space="preserve">Index row added - certified copy/image required</x:t>
        </x:is>
      </x:c>
      <x:c r="O129" s="567" t="inlineStr">
        <x:is>
          <x:t xml:space="preserve">https://okcountyrecords.com/detail/roger+mills/2018-002049</x:t>
        </x:is>
      </x:c>
      <x:c r="P129" s="567" t="inlineStr">
        <x:is>
          <x:t xml:space="preserve">Obtain certified instrument/image; verify parties, acreage, legal calls, status, and release/assignment chain.</x:t>
        </x:is>
      </x:c>
      <x:c r="Q129" s="567" t="inlineStr">
        <x:is>
          <x:t xml:space="preserve">High</x:t>
        </x:is>
      </x:c>
      <x:c r="R129" s="567" t="inlineStr">
        <x:is>
          <x:t xml:space="preserve">Other / Memorandum</x:t>
        </x:is>
      </x:c>
      <x:c r="S129" s="650" t="n">
        <x:v>43327</x:v>
      </x:c>
      <x:c r="T129" s="567" t="inlineStr">
        <x:is>
          <x:t xml:space="preserve">Clerk index Doc/Date from attached image-only report</x:t>
        </x:is>
      </x:c>
      <x:c r="U129" s="650" t="n">
        <x:v>43327</x:v>
      </x:c>
      <x:c r="V129" s="567" t="inlineStr">
        <x:is>
          <x:t xml:space="preserve">31-12N-24W</x:t>
        </x:is>
      </x:c>
      <x:c r="W129" s="567" t="inlineStr">
        <x:is>
          <x:t xml:space="preserve">All / Alexander 1-31</x:t>
        </x:is>
      </x:c>
      <x:c r="X129" s="567" t="inlineStr">
        <x:is>
          <x:t xml:space="preserve">High - visually read from report</x:t>
        </x:is>
      </x:c>
      <x:c r="Y129" s="568" t="inlineStr">
        <x:is>
          <x:t xml:space="preserve">Yes - verify against certified document image</x:t>
        </x:is>
      </x:c>
      <x:c r="Z129" s="568" t="inlineStr">
        <x:is>
          <x:t xml:space="preserve">Supplemental import from attached image-only index; not full OCR-certified transcription.</x:t>
        </x:is>
      </x:c>
    </x:row>
    <x:row r="130">
      <x:c r="A130" s="567" t="n">
        <x:v>491</x:v>
      </x:c>
      <x:c r="B130" s="567" t="inlineStr">
        <x:is>
          <x:t xml:space="preserve">Clerk Index PDF / OKCR</x:t>
        </x:is>
      </x:c>
      <x:c r="C130" s="567" t="inlineStr">
        <x:is>
          <x:t xml:space="preserve">AMND/MTG</x:t>
        </x:is>
      </x:c>
      <x:c r="D130" s="567" t="inlineStr">
        <x:is>
          <x:t xml:space="preserve">002402/0001</x:t>
        </x:is>
      </x:c>
      <x:c r="E130" s="567" t="n"/>
      <x:c r="F130" s="571" t="n">
        <x:v>43353</x:v>
      </x:c>
      <x:c r="G130" s="567" t="inlineStr">
        <x:is>
          <x:t xml:space="preserve">TECOLOTE ROYALTY</x:t>
        </x:is>
      </x:c>
      <x:c r="H130" s="567" t="inlineStr">
        <x:is>
          <x:t xml:space="preserve">WELLS FARGO BANK</x:t>
        </x:is>
      </x:c>
      <x:c r="I130" s="567" t="inlineStr">
        <x:is>
          <x:t xml:space="preserve">S31 T12N R24W A</x:t>
        </x:is>
      </x:c>
      <x:c r="J130" s="567" t="inlineStr">
        <x:is>
          <x:t xml:space="preserve">Doc 2018-002315; attached Roger Mills County Clerk unplatted legal index image row; Index p.56; legal/quarter extracted visually from image-only PDF.</x:t>
        </x:is>
      </x:c>
      <x:c r="K130" s="567" t="inlineStr">
        <x:is>
          <x:t xml:space="preserve">63e8b9a8d056433a9994fe46ca85076b.pdf</x:t>
        </x:is>
      </x:c>
      <x:c r="L130" s="567" t="inlineStr">
        <x:is>
          <x:t xml:space="preserve">Index p.56</x:t>
        </x:is>
      </x:c>
      <x:c r="M130" s="567" t="inlineStr">
        <x:is>
          <x:t xml:space="preserve">https://okcountyrecords.com/detail/roger+mills/2018-002315</x:t>
        </x:is>
      </x:c>
      <x:c r="N130" s="567" t="inlineStr">
        <x:is>
          <x:t xml:space="preserve">Index row added - certified copy/image required</x:t>
        </x:is>
      </x:c>
      <x:c r="O130" s="567" t="inlineStr">
        <x:is>
          <x:t xml:space="preserve">https://okcountyrecords.com/detail/roger+mills/2018-002315</x:t>
        </x:is>
      </x:c>
      <x:c r="P130" s="567" t="inlineStr">
        <x:is>
          <x:t xml:space="preserve">Obtain certified instrument/image; verify parties, acreage, legal calls, status, and release/assignment chain.</x:t>
        </x:is>
      </x:c>
      <x:c r="Q130" s="567" t="inlineStr">
        <x:is>
          <x:t xml:space="preserve">High</x:t>
        </x:is>
      </x:c>
      <x:c r="R130" s="567" t="inlineStr">
        <x:is>
          <x:t xml:space="preserve">Lien / Release</x:t>
        </x:is>
      </x:c>
      <x:c r="S130" s="650" t="n">
        <x:v>43353</x:v>
      </x:c>
      <x:c r="T130" s="567" t="inlineStr">
        <x:is>
          <x:t xml:space="preserve">Clerk index Doc/Date from attached image-only report</x:t>
        </x:is>
      </x:c>
      <x:c r="U130" s="650" t="n">
        <x:v>43353</x:v>
      </x:c>
      <x:c r="V130" s="567" t="inlineStr">
        <x:is>
          <x:t xml:space="preserve">31-12N-24W</x:t>
        </x:is>
      </x:c>
      <x:c r="W130" s="567" t="inlineStr">
        <x:is>
          <x:t xml:space="preserve">A</x:t>
        </x:is>
      </x:c>
      <x:c r="X130" s="567" t="inlineStr">
        <x:is>
          <x:t xml:space="preserve">High - visually read from report</x:t>
        </x:is>
      </x:c>
      <x:c r="Y130" s="568" t="inlineStr">
        <x:is>
          <x:t xml:space="preserve">Yes - verify against certified document image</x:t>
        </x:is>
      </x:c>
      <x:c r="Z130" s="568" t="inlineStr">
        <x:is>
          <x:t xml:space="preserve">Supplemental import from attached image-only index; not full OCR-certified transcription.</x:t>
        </x:is>
      </x:c>
    </x:row>
    <x:row r="131">
      <x:c r="A131" s="567" t="n">
        <x:v>492</x:v>
      </x:c>
      <x:c r="B131" s="567" t="inlineStr">
        <x:is>
          <x:t xml:space="preserve">Clerk Index PDF / OKCR</x:t>
        </x:is>
      </x:c>
      <x:c r="C131" s="567" t="inlineStr">
        <x:is>
          <x:t xml:space="preserve">REL MTG</x:t>
        </x:is>
      </x:c>
      <x:c r="D131" s="567" t="inlineStr">
        <x:is>
          <x:t xml:space="preserve">002414/0468</x:t>
        </x:is>
      </x:c>
      <x:c r="E131" s="567" t="n"/>
      <x:c r="F131" s="571" t="n">
        <x:v>43521</x:v>
      </x:c>
      <x:c r="G131" s="567" t="inlineStr">
        <x:is>
          <x:t xml:space="preserve">INTERBANK</x:t>
        </x:is>
      </x:c>
      <x:c r="H131" s="567" t="inlineStr">
        <x:is>
          <x:t xml:space="preserve">TUCKER MONTE E et al</x:t>
        </x:is>
      </x:c>
      <x:c r="I131" s="567" t="inlineStr">
        <x:is>
          <x:t xml:space="preserve">S31 T12N R24W N2 NE</x:t>
        </x:is>
      </x:c>
      <x:c r="J131" s="567" t="inlineStr">
        <x:is>
          <x:t xml:space="preserve">Doc 2019-000432; attached Roger Mills County Clerk unplatted legal index image row; Index p.57; legal/quarter extracted visually from image-only PDF.</x:t>
        </x:is>
      </x:c>
      <x:c r="K131" s="567" t="inlineStr">
        <x:is>
          <x:t xml:space="preserve">63e8b9a8d056433a9994fe46ca85076b.pdf</x:t>
        </x:is>
      </x:c>
      <x:c r="L131" s="567" t="inlineStr">
        <x:is>
          <x:t xml:space="preserve">Index p.57</x:t>
        </x:is>
      </x:c>
      <x:c r="M131" s="567" t="inlineStr">
        <x:is>
          <x:t xml:space="preserve">https://okcountyrecords.com/detail/roger+mills/2019-000432</x:t>
        </x:is>
      </x:c>
      <x:c r="N131" s="567" t="inlineStr">
        <x:is>
          <x:t xml:space="preserve">Index row added - certified copy/image required</x:t>
        </x:is>
      </x:c>
      <x:c r="O131" s="567" t="inlineStr">
        <x:is>
          <x:t xml:space="preserve">https://okcountyrecords.com/detail/roger+mills/2019-000432</x:t>
        </x:is>
      </x:c>
      <x:c r="P131" s="567" t="inlineStr">
        <x:is>
          <x:t xml:space="preserve">Obtain certified instrument/image; verify parties, acreage, legal calls, status, and release/assignment chain.</x:t>
        </x:is>
      </x:c>
      <x:c r="Q131" s="567" t="inlineStr">
        <x:is>
          <x:t xml:space="preserve">High</x:t>
        </x:is>
      </x:c>
      <x:c r="R131" s="567" t="inlineStr">
        <x:is>
          <x:t xml:space="preserve">Lien / Release</x:t>
        </x:is>
      </x:c>
      <x:c r="S131" s="650" t="n">
        <x:v>43521</x:v>
      </x:c>
      <x:c r="T131" s="567" t="inlineStr">
        <x:is>
          <x:t xml:space="preserve">Clerk index Doc/Date from attached image-only report</x:t>
        </x:is>
      </x:c>
      <x:c r="U131" s="650" t="n">
        <x:v>43521</x:v>
      </x:c>
      <x:c r="V131" s="567" t="inlineStr">
        <x:is>
          <x:t xml:space="preserve">31-12N-24W</x:t>
        </x:is>
      </x:c>
      <x:c r="W131" s="567" t="inlineStr">
        <x:is>
          <x:t xml:space="preserve">N/2 NE/4</x:t>
        </x:is>
      </x:c>
      <x:c r="X131" s="567" t="inlineStr">
        <x:is>
          <x:t xml:space="preserve">High - visually read from report</x:t>
        </x:is>
      </x:c>
      <x:c r="Y131" s="568" t="inlineStr">
        <x:is>
          <x:t xml:space="preserve">Yes - verify against certified document image</x:t>
        </x:is>
      </x:c>
      <x:c r="Z131" s="568" t="inlineStr">
        <x:is>
          <x:t xml:space="preserve">Supplemental import from attached image-only index; not full OCR-certified transcription.</x:t>
        </x:is>
      </x:c>
    </x:row>
    <x:row r="132">
      <x:c r="A132" s="567" t="n">
        <x:v>495</x:v>
      </x:c>
      <x:c r="B132" s="567" t="inlineStr">
        <x:is>
          <x:t xml:space="preserve">Clerk Index PDF / OKCR</x:t>
        </x:is>
      </x:c>
      <x:c r="C132" s="567" t="inlineStr">
        <x:is>
          <x:t xml:space="preserve">ASGT</x:t>
        </x:is>
      </x:c>
      <x:c r="D132" s="567" t="inlineStr">
        <x:is>
          <x:t xml:space="preserve">002425/0380</x:t>
        </x:is>
      </x:c>
      <x:c r="E132" s="567" t="n"/>
      <x:c r="F132" s="571" t="n">
        <x:v>43698</x:v>
      </x:c>
      <x:c r="G132" s="567" t="inlineStr">
        <x:is>
          <x:t xml:space="preserve">BHP BILLITON PETROLEUM</x:t>
        </x:is>
      </x:c>
      <x:c r="H132" s="567" t="inlineStr">
        <x:is>
          <x:t xml:space="preserve">COHETE ROJO, LLC</x:t>
        </x:is>
      </x:c>
      <x:c r="I132" s="567" t="inlineStr">
        <x:is>
          <x:t xml:space="preserve">S31 T12N R24W ALL</x:t>
        </x:is>
      </x:c>
      <x:c r="J132" s="567" t="inlineStr">
        <x:is>
          <x:t xml:space="preserve">Doc 2019-001779; attached Roger Mills County Clerk unplatted legal index image row; Index p.57; legal/quarter extracted visually from image-only PDF.</x:t>
        </x:is>
      </x:c>
      <x:c r="K132" s="567" t="inlineStr">
        <x:is>
          <x:t xml:space="preserve">63e8b9a8d056433a9994fe46ca85076b.pdf</x:t>
        </x:is>
      </x:c>
      <x:c r="L132" s="567" t="inlineStr">
        <x:is>
          <x:t xml:space="preserve">Index p.57</x:t>
        </x:is>
      </x:c>
      <x:c r="M132" s="567" t="inlineStr">
        <x:is>
          <x:t xml:space="preserve">https://okcountyrecords.com/detail/roger+mills/2019-001779</x:t>
        </x:is>
      </x:c>
      <x:c r="N132" s="567" t="inlineStr">
        <x:is>
          <x:t xml:space="preserve">Index row added - certified copy/image required</x:t>
        </x:is>
      </x:c>
      <x:c r="O132" s="567" t="inlineStr">
        <x:is>
          <x:t xml:space="preserve">https://okcountyrecords.com/detail/roger+mills/2019-001779</x:t>
        </x:is>
      </x:c>
      <x:c r="P132" s="567" t="inlineStr">
        <x:is>
          <x:t xml:space="preserve">Obtain certified instrument/image; verify parties, acreage, legal calls, status, and release/assignment chain.</x:t>
        </x:is>
      </x:c>
      <x:c r="Q132" s="567" t="inlineStr">
        <x:is>
          <x:t xml:space="preserve">High</x:t>
        </x:is>
      </x:c>
      <x:c r="R132" s="567" t="inlineStr">
        <x:is>
          <x:t xml:space="preserve">Assignment</x:t>
        </x:is>
      </x:c>
      <x:c r="S132" s="650" t="n">
        <x:v>43698</x:v>
      </x:c>
      <x:c r="T132" s="567" t="inlineStr">
        <x:is>
          <x:t xml:space="preserve">Clerk index Doc/Date from attached image-only report</x:t>
        </x:is>
      </x:c>
      <x:c r="U132" s="650" t="n">
        <x:v>43698</x:v>
      </x:c>
      <x:c r="V132" s="567" t="inlineStr">
        <x:is>
          <x:t xml:space="preserve">31-12N-24W</x:t>
        </x:is>
      </x:c>
      <x:c r="W132" s="567" t="inlineStr">
        <x:is>
          <x:t xml:space="preserve">All</x:t>
        </x:is>
      </x:c>
      <x:c r="X132" s="567" t="inlineStr">
        <x:is>
          <x:t xml:space="preserve">High - visually read from report</x:t>
        </x:is>
      </x:c>
      <x:c r="Y132" s="568" t="inlineStr">
        <x:is>
          <x:t xml:space="preserve">Yes - verify against certified document image</x:t>
        </x:is>
      </x:c>
      <x:c r="Z132" s="568" t="inlineStr">
        <x:is>
          <x:t xml:space="preserve">Supplemental import from attached image-only index; not full OCR-certified transcription.</x:t>
        </x:is>
      </x:c>
    </x:row>
    <x:row r="133">
      <x:c r="A133" s="567" t="n">
        <x:v>496</x:v>
      </x:c>
      <x:c r="B133" s="567" t="inlineStr">
        <x:is>
          <x:t xml:space="preserve">Clerk Index PDF / OKCR</x:t>
        </x:is>
      </x:c>
      <x:c r="C133" s="567" t="inlineStr">
        <x:is>
          <x:t xml:space="preserve">AMND/MTG</x:t>
        </x:is>
      </x:c>
      <x:c r="D133" s="567" t="inlineStr">
        <x:is>
          <x:t xml:space="preserve">002430/0396</x:t>
        </x:is>
      </x:c>
      <x:c r="E133" s="567" t="n"/>
      <x:c r="F133" s="571" t="n">
        <x:v>43759</x:v>
      </x:c>
      <x:c r="G133" s="567" t="inlineStr">
        <x:is>
          <x:t xml:space="preserve">TEMPLAR ENERGY, LLC et al</x:t>
        </x:is>
      </x:c>
      <x:c r="H133" s="567" t="inlineStr">
        <x:is>
          <x:t xml:space="preserve">BANK OF AMERICA</x:t>
        </x:is>
      </x:c>
      <x:c r="I133" s="567" t="inlineStr">
        <x:is>
          <x:t xml:space="preserve">S31 T12N R24W A</x:t>
        </x:is>
      </x:c>
      <x:c r="J133" s="567" t="inlineStr">
        <x:is>
          <x:t xml:space="preserve">Doc 2019-002252; attached Roger Mills County Clerk unplatted legal index image row; Index p.57; legal/quarter extracted visually from image-only PDF.</x:t>
        </x:is>
      </x:c>
      <x:c r="K133" s="567" t="inlineStr">
        <x:is>
          <x:t xml:space="preserve">63e8b9a8d056433a9994fe46ca85076b.pdf</x:t>
        </x:is>
      </x:c>
      <x:c r="L133" s="567" t="inlineStr">
        <x:is>
          <x:t xml:space="preserve">Index p.57</x:t>
        </x:is>
      </x:c>
      <x:c r="M133" s="567" t="inlineStr">
        <x:is>
          <x:t xml:space="preserve">https://okcountyrecords.com/detail/roger+mills/2019-002252</x:t>
        </x:is>
      </x:c>
      <x:c r="N133" s="567" t="inlineStr">
        <x:is>
          <x:t xml:space="preserve">Index row added - certified copy/image required</x:t>
        </x:is>
      </x:c>
      <x:c r="O133" s="567" t="inlineStr">
        <x:is>
          <x:t xml:space="preserve">https://okcountyrecords.com/detail/roger+mills/2019-002252</x:t>
        </x:is>
      </x:c>
      <x:c r="P133" s="567" t="inlineStr">
        <x:is>
          <x:t xml:space="preserve">Obtain certified instrument/image; verify parties, acreage, legal calls, status, and release/assignment chain.</x:t>
        </x:is>
      </x:c>
      <x:c r="Q133" s="567" t="inlineStr">
        <x:is>
          <x:t xml:space="preserve">High</x:t>
        </x:is>
      </x:c>
      <x:c r="R133" s="567" t="inlineStr">
        <x:is>
          <x:t xml:space="preserve">Lien / Release</x:t>
        </x:is>
      </x:c>
      <x:c r="S133" s="650" t="n">
        <x:v>43759</x:v>
      </x:c>
      <x:c r="T133" s="567" t="inlineStr">
        <x:is>
          <x:t xml:space="preserve">Clerk index Doc/Date from attached image-only report</x:t>
        </x:is>
      </x:c>
      <x:c r="U133" s="650" t="n">
        <x:v>43759</x:v>
      </x:c>
      <x:c r="V133" s="567" t="inlineStr">
        <x:is>
          <x:t xml:space="preserve">31-12N-24W</x:t>
        </x:is>
      </x:c>
      <x:c r="W133" s="567" t="inlineStr">
        <x:is>
          <x:t xml:space="preserve">A</x:t>
        </x:is>
      </x:c>
      <x:c r="X133" s="567" t="inlineStr">
        <x:is>
          <x:t xml:space="preserve">High - visually read from report</x:t>
        </x:is>
      </x:c>
      <x:c r="Y133" s="568" t="inlineStr">
        <x:is>
          <x:t xml:space="preserve">Yes - verify against certified document image</x:t>
        </x:is>
      </x:c>
      <x:c r="Z133" s="568" t="inlineStr">
        <x:is>
          <x:t xml:space="preserve">Supplemental import from attached image-only index; not full OCR-certified transcription.</x:t>
        </x:is>
      </x:c>
    </x:row>
    <x:row r="134">
      <x:c r="A134" s="567" t="n">
        <x:v>497</x:v>
      </x:c>
      <x:c r="B134" s="567" t="inlineStr">
        <x:is>
          <x:t xml:space="preserve">Clerk Index PDF / OKCR</x:t>
        </x:is>
      </x:c>
      <x:c r="C134" s="567" t="inlineStr">
        <x:is>
          <x:t xml:space="preserve">FS</x:t>
        </x:is>
      </x:c>
      <x:c r="D134" s="567" t="inlineStr">
        <x:is>
          <x:t xml:space="preserve">002431/0001</x:t>
        </x:is>
      </x:c>
      <x:c r="E134" s="567" t="n"/>
      <x:c r="F134" s="571" t="n">
        <x:v>43759</x:v>
      </x:c>
      <x:c r="G134" s="567" t="inlineStr">
        <x:is>
          <x:t xml:space="preserve">TEMPLAR ENERGY, LLC et al</x:t>
        </x:is>
      </x:c>
      <x:c r="H134" s="567" t="inlineStr">
        <x:is>
          <x:t xml:space="preserve">BANK OF AMERICA</x:t>
        </x:is>
      </x:c>
      <x:c r="I134" s="567" t="inlineStr">
        <x:is>
          <x:t xml:space="preserve">S31 T12N R24W A</x:t>
        </x:is>
      </x:c>
      <x:c r="J134" s="567" t="inlineStr">
        <x:is>
          <x:t xml:space="preserve">Doc 2019-002253; attached Roger Mills County Clerk unplatted legal index image row; Index p.57; legal/quarter extracted visually from image-only PDF.</x:t>
        </x:is>
      </x:c>
      <x:c r="K134" s="567" t="inlineStr">
        <x:is>
          <x:t xml:space="preserve">63e8b9a8d056433a9994fe46ca85076b.pdf</x:t>
        </x:is>
      </x:c>
      <x:c r="L134" s="567" t="inlineStr">
        <x:is>
          <x:t xml:space="preserve">Index p.57</x:t>
        </x:is>
      </x:c>
      <x:c r="M134" s="567" t="inlineStr">
        <x:is>
          <x:t xml:space="preserve">https://okcountyrecords.com/detail/roger+mills/2019-002253</x:t>
        </x:is>
      </x:c>
      <x:c r="N134" s="567" t="inlineStr">
        <x:is>
          <x:t xml:space="preserve">Index row added - certified copy/image required</x:t>
        </x:is>
      </x:c>
      <x:c r="O134" s="567" t="inlineStr">
        <x:is>
          <x:t xml:space="preserve">https://okcountyrecords.com/detail/roger+mills/2019-002253</x:t>
        </x:is>
      </x:c>
      <x:c r="P134" s="567" t="inlineStr">
        <x:is>
          <x:t xml:space="preserve">Obtain certified instrument/image; verify parties, acreage, legal calls, status, and release/assignment chain.</x:t>
        </x:is>
      </x:c>
      <x:c r="Q134" s="567" t="inlineStr">
        <x:is>
          <x:t xml:space="preserve">High</x:t>
        </x:is>
      </x:c>
      <x:c r="R134" s="567" t="inlineStr">
        <x:is>
          <x:t xml:space="preserve">Lien / Release</x:t>
        </x:is>
      </x:c>
      <x:c r="S134" s="650" t="n">
        <x:v>43759</x:v>
      </x:c>
      <x:c r="T134" s="567" t="inlineStr">
        <x:is>
          <x:t xml:space="preserve">Clerk index Doc/Date from attached image-only report</x:t>
        </x:is>
      </x:c>
      <x:c r="U134" s="650" t="n">
        <x:v>43759</x:v>
      </x:c>
      <x:c r="V134" s="567" t="inlineStr">
        <x:is>
          <x:t xml:space="preserve">31-12N-24W</x:t>
        </x:is>
      </x:c>
      <x:c r="W134" s="567" t="inlineStr">
        <x:is>
          <x:t xml:space="preserve">A</x:t>
        </x:is>
      </x:c>
      <x:c r="X134" s="567" t="inlineStr">
        <x:is>
          <x:t xml:space="preserve">High - visually read from report</x:t>
        </x:is>
      </x:c>
      <x:c r="Y134" s="568" t="inlineStr">
        <x:is>
          <x:t xml:space="preserve">Yes - verify against certified document image</x:t>
        </x:is>
      </x:c>
      <x:c r="Z134" s="568" t="inlineStr">
        <x:is>
          <x:t xml:space="preserve">Supplemental import from attached image-only index; not full OCR-certified transcription.</x:t>
        </x:is>
      </x:c>
    </x:row>
    <x:row r="135">
      <x:c r="A135" s="567" t="n">
        <x:v>498</x:v>
      </x:c>
      <x:c r="B135" s="567" t="inlineStr">
        <x:is>
          <x:t xml:space="preserve">Clerk Index PDF / OKCR</x:t>
        </x:is>
      </x:c>
      <x:c r="C135" s="567" t="inlineStr">
        <x:is>
          <x:t xml:space="preserve">REL MTG</x:t>
        </x:is>
      </x:c>
      <x:c r="D135" s="567" t="inlineStr">
        <x:is>
          <x:t xml:space="preserve">002434/0001</x:t>
        </x:is>
      </x:c>
      <x:c r="E135" s="567" t="n"/>
      <x:c r="F135" s="571" t="n">
        <x:v>43802</x:v>
      </x:c>
      <x:c r="G135" s="567" t="inlineStr">
        <x:is>
          <x:t xml:space="preserve">WELLS FARGO</x:t>
        </x:is>
      </x:c>
      <x:c r="H135" s="567" t="inlineStr">
        <x:is>
          <x:t xml:space="preserve">TECOLOTE HOLDINGS et al</x:t>
        </x:is>
      </x:c>
      <x:c r="I135" s="567" t="inlineStr">
        <x:is>
          <x:t xml:space="preserve">S31 T12N R24W A</x:t>
        </x:is>
      </x:c>
      <x:c r="J135" s="567" t="inlineStr">
        <x:is>
          <x:t xml:space="preserve">Doc 2019-002558; attached Roger Mills County Clerk unplatted legal index image row; Index p.57; legal/quarter extracted visually from image-only PDF.</x:t>
        </x:is>
      </x:c>
      <x:c r="K135" s="567" t="inlineStr">
        <x:is>
          <x:t xml:space="preserve">63e8b9a8d056433a9994fe46ca85076b.pdf</x:t>
        </x:is>
      </x:c>
      <x:c r="L135" s="567" t="inlineStr">
        <x:is>
          <x:t xml:space="preserve">Index p.57</x:t>
        </x:is>
      </x:c>
      <x:c r="M135" s="567" t="inlineStr">
        <x:is>
          <x:t xml:space="preserve">https://okcountyrecords.com/detail/roger+mills/2019-002558</x:t>
        </x:is>
      </x:c>
      <x:c r="N135" s="567" t="inlineStr">
        <x:is>
          <x:t xml:space="preserve">Index row added - certified copy/image required</x:t>
        </x:is>
      </x:c>
      <x:c r="O135" s="567" t="inlineStr">
        <x:is>
          <x:t xml:space="preserve">https://okcountyrecords.com/detail/roger+mills/2019-002558</x:t>
        </x:is>
      </x:c>
      <x:c r="P135" s="567" t="inlineStr">
        <x:is>
          <x:t xml:space="preserve">Obtain certified instrument/image; verify parties, acreage, legal calls, status, and release/assignment chain.</x:t>
        </x:is>
      </x:c>
      <x:c r="Q135" s="567" t="inlineStr">
        <x:is>
          <x:t xml:space="preserve">High</x:t>
        </x:is>
      </x:c>
      <x:c r="R135" s="567" t="inlineStr">
        <x:is>
          <x:t xml:space="preserve">Lien / Release</x:t>
        </x:is>
      </x:c>
      <x:c r="S135" s="650" t="n">
        <x:v>43802</x:v>
      </x:c>
      <x:c r="T135" s="567" t="inlineStr">
        <x:is>
          <x:t xml:space="preserve">Clerk index Doc/Date from attached image-only report</x:t>
        </x:is>
      </x:c>
      <x:c r="U135" s="650" t="n">
        <x:v>43802</x:v>
      </x:c>
      <x:c r="V135" s="567" t="inlineStr">
        <x:is>
          <x:t xml:space="preserve">31-12N-24W</x:t>
        </x:is>
      </x:c>
      <x:c r="W135" s="567" t="inlineStr">
        <x:is>
          <x:t xml:space="preserve">A</x:t>
        </x:is>
      </x:c>
      <x:c r="X135" s="567" t="inlineStr">
        <x:is>
          <x:t xml:space="preserve">High - visually read from report</x:t>
        </x:is>
      </x:c>
      <x:c r="Y135" s="568" t="inlineStr">
        <x:is>
          <x:t xml:space="preserve">Yes - verify against certified document image</x:t>
        </x:is>
      </x:c>
      <x:c r="Z135" s="568" t="inlineStr">
        <x:is>
          <x:t xml:space="preserve">Supplemental import from attached image-only index; not full OCR-certified transcription.</x:t>
        </x:is>
      </x:c>
    </x:row>
    <x:row r="136">
      <x:c r="A136" s="567" t="n">
        <x:v>499</x:v>
      </x:c>
      <x:c r="B136" s="567" t="inlineStr">
        <x:is>
          <x:t xml:space="preserve">Clerk Index PDF / OKCR</x:t>
        </x:is>
      </x:c>
      <x:c r="C136" s="567" t="inlineStr">
        <x:is>
          <x:t xml:space="preserve">MTG</x:t>
        </x:is>
      </x:c>
      <x:c r="D136" s="567" t="inlineStr">
        <x:is>
          <x:t xml:space="preserve">002435/0001</x:t>
        </x:is>
      </x:c>
      <x:c r="E136" s="567" t="n"/>
      <x:c r="F136" s="571" t="n">
        <x:v>43802</x:v>
      </x:c>
      <x:c r="G136" s="567" t="inlineStr">
        <x:is>
          <x:t xml:space="preserve">TECOLOTE HOLDINGS et al</x:t>
        </x:is>
      </x:c>
      <x:c r="H136" s="567" t="inlineStr">
        <x:is>
          <x:t xml:space="preserve">JPMORGAN CHASE BANK</x:t>
        </x:is>
      </x:c>
      <x:c r="I136" s="567" t="inlineStr">
        <x:is>
          <x:t xml:space="preserve">S31 T12N R24W A</x:t>
        </x:is>
      </x:c>
      <x:c r="J136" s="567" t="inlineStr">
        <x:is>
          <x:t xml:space="preserve">Doc 2019-002559; attached Roger Mills County Clerk unplatted legal index image row; Index p.57; legal/quarter extracted visually from image-only PDF.</x:t>
        </x:is>
      </x:c>
      <x:c r="K136" s="567" t="inlineStr">
        <x:is>
          <x:t xml:space="preserve">63e8b9a8d056433a9994fe46ca85076b.pdf</x:t>
        </x:is>
      </x:c>
      <x:c r="L136" s="567" t="inlineStr">
        <x:is>
          <x:t xml:space="preserve">Index p.57</x:t>
        </x:is>
      </x:c>
      <x:c r="M136" s="567" t="inlineStr">
        <x:is>
          <x:t xml:space="preserve">https://okcountyrecords.com/detail/roger+mills/2019-002559</x:t>
        </x:is>
      </x:c>
      <x:c r="N136" s="567" t="inlineStr">
        <x:is>
          <x:t xml:space="preserve">Index row added - certified copy/image required</x:t>
        </x:is>
      </x:c>
      <x:c r="O136" s="567" t="inlineStr">
        <x:is>
          <x:t xml:space="preserve">https://okcountyrecords.com/detail/roger+mills/2019-002559</x:t>
        </x:is>
      </x:c>
      <x:c r="P136" s="567" t="inlineStr">
        <x:is>
          <x:t xml:space="preserve">Obtain certified instrument/image; verify parties, acreage, legal calls, status, and release/assignment chain.</x:t>
        </x:is>
      </x:c>
      <x:c r="Q136" s="567" t="inlineStr">
        <x:is>
          <x:t xml:space="preserve">High</x:t>
        </x:is>
      </x:c>
      <x:c r="R136" s="567" t="inlineStr">
        <x:is>
          <x:t xml:space="preserve">Lien / Release</x:t>
        </x:is>
      </x:c>
      <x:c r="S136" s="650" t="n">
        <x:v>43802</x:v>
      </x:c>
      <x:c r="T136" s="567" t="inlineStr">
        <x:is>
          <x:t xml:space="preserve">Clerk index Doc/Date from attached image-only report</x:t>
        </x:is>
      </x:c>
      <x:c r="U136" s="650" t="n">
        <x:v>43802</x:v>
      </x:c>
      <x:c r="V136" s="567" t="inlineStr">
        <x:is>
          <x:t xml:space="preserve">31-12N-24W</x:t>
        </x:is>
      </x:c>
      <x:c r="W136" s="567" t="inlineStr">
        <x:is>
          <x:t xml:space="preserve">A</x:t>
        </x:is>
      </x:c>
      <x:c r="X136" s="567" t="inlineStr">
        <x:is>
          <x:t xml:space="preserve">High - visually read from report</x:t>
        </x:is>
      </x:c>
      <x:c r="Y136" s="568" t="inlineStr">
        <x:is>
          <x:t xml:space="preserve">Yes - verify against certified document image</x:t>
        </x:is>
      </x:c>
      <x:c r="Z136" s="568" t="inlineStr">
        <x:is>
          <x:t xml:space="preserve">Supplemental import from attached image-only index; not full OCR-certified transcription.</x:t>
        </x:is>
      </x:c>
    </x:row>
    <x:row r="137">
      <x:c r="A137" s="567" t="n">
        <x:v>500</x:v>
      </x:c>
      <x:c r="B137" s="567" t="inlineStr">
        <x:is>
          <x:t xml:space="preserve">Clerk Index PDF / OKCR</x:t>
        </x:is>
      </x:c>
      <x:c r="C137" s="567" t="inlineStr">
        <x:is>
          <x:t xml:space="preserve">FS</x:t>
        </x:is>
      </x:c>
      <x:c r="D137" s="567" t="inlineStr">
        <x:is>
          <x:t xml:space="preserve">002435/0116</x:t>
        </x:is>
      </x:c>
      <x:c r="E137" s="567" t="n"/>
      <x:c r="F137" s="571" t="n">
        <x:v>43802</x:v>
      </x:c>
      <x:c r="G137" s="567" t="inlineStr">
        <x:is>
          <x:t xml:space="preserve">TECOLOTE HOLDINGS et al</x:t>
        </x:is>
      </x:c>
      <x:c r="H137" s="567" t="inlineStr">
        <x:is>
          <x:t xml:space="preserve">JPMORGAN CHASE</x:t>
        </x:is>
      </x:c>
      <x:c r="I137" s="567" t="inlineStr">
        <x:is>
          <x:t xml:space="preserve">S31 T12N R24W A</x:t>
        </x:is>
      </x:c>
      <x:c r="J137" s="567" t="inlineStr">
        <x:is>
          <x:t xml:space="preserve">Doc 2019-002560; attached Roger Mills County Clerk unplatted legal index image row; Index p.57; legal/quarter extracted visually from image-only PDF.</x:t>
        </x:is>
      </x:c>
      <x:c r="K137" s="567" t="inlineStr">
        <x:is>
          <x:t xml:space="preserve">63e8b9a8d056433a9994fe46ca85076b.pdf</x:t>
        </x:is>
      </x:c>
      <x:c r="L137" s="567" t="inlineStr">
        <x:is>
          <x:t xml:space="preserve">Index p.57</x:t>
        </x:is>
      </x:c>
      <x:c r="M137" s="567" t="inlineStr">
        <x:is>
          <x:t xml:space="preserve">https://okcountyrecords.com/detail/roger+mills/2019-002560</x:t>
        </x:is>
      </x:c>
      <x:c r="N137" s="567" t="inlineStr">
        <x:is>
          <x:t xml:space="preserve">Index row added - certified copy/image required</x:t>
        </x:is>
      </x:c>
      <x:c r="O137" s="567" t="inlineStr">
        <x:is>
          <x:t xml:space="preserve">https://okcountyrecords.com/detail/roger+mills/2019-002560</x:t>
        </x:is>
      </x:c>
      <x:c r="P137" s="567" t="inlineStr">
        <x:is>
          <x:t xml:space="preserve">Obtain certified instrument/image; verify parties, acreage, legal calls, status, and release/assignment chain.</x:t>
        </x:is>
      </x:c>
      <x:c r="Q137" s="567" t="inlineStr">
        <x:is>
          <x:t xml:space="preserve">High</x:t>
        </x:is>
      </x:c>
      <x:c r="R137" s="567" t="inlineStr">
        <x:is>
          <x:t xml:space="preserve">Lien / Release</x:t>
        </x:is>
      </x:c>
      <x:c r="S137" s="650" t="n">
        <x:v>43802</x:v>
      </x:c>
      <x:c r="T137" s="567" t="inlineStr">
        <x:is>
          <x:t xml:space="preserve">Clerk index Doc/Date from attached image-only report</x:t>
        </x:is>
      </x:c>
      <x:c r="U137" s="650" t="n">
        <x:v>43802</x:v>
      </x:c>
      <x:c r="V137" s="567" t="inlineStr">
        <x:is>
          <x:t xml:space="preserve">31-12N-24W</x:t>
        </x:is>
      </x:c>
      <x:c r="W137" s="567" t="inlineStr">
        <x:is>
          <x:t xml:space="preserve">A</x:t>
        </x:is>
      </x:c>
      <x:c r="X137" s="567" t="inlineStr">
        <x:is>
          <x:t xml:space="preserve">High - visually read from report</x:t>
        </x:is>
      </x:c>
      <x:c r="Y137" s="568" t="inlineStr">
        <x:is>
          <x:t xml:space="preserve">Yes - verify against certified document image</x:t>
        </x:is>
      </x:c>
      <x:c r="Z137" s="568" t="inlineStr">
        <x:is>
          <x:t xml:space="preserve">Supplemental import from attached image-only index; not full OCR-certified transcription.</x:t>
        </x:is>
      </x:c>
    </x:row>
    <x:row r="138">
      <x:c r="A138" s="567" t="n">
        <x:v>501</x:v>
      </x:c>
      <x:c r="B138" s="567" t="inlineStr">
        <x:is>
          <x:t xml:space="preserve">Clerk Index PDF / OKCR</x:t>
        </x:is>
      </x:c>
      <x:c r="C138" s="567" t="inlineStr">
        <x:is>
          <x:t xml:space="preserve">REL MTG</x:t>
        </x:is>
      </x:c>
      <x:c r="D138" s="567" t="inlineStr">
        <x:is>
          <x:t xml:space="preserve">002448/0001</x:t>
        </x:is>
      </x:c>
      <x:c r="E138" s="567" t="n"/>
      <x:c r="F138" s="571" t="n">
        <x:v>44060</x:v>
      </x:c>
      <x:c r="G138" s="567" t="inlineStr">
        <x:is>
          <x:t xml:space="preserve">BANK OF AMERICA et al</x:t>
        </x:is>
      </x:c>
      <x:c r="H138" s="567" t="inlineStr">
        <x:is>
          <x:t xml:space="preserve">TEMPLAR ENERGY et al</x:t>
        </x:is>
      </x:c>
      <x:c r="I138" s="567" t="inlineStr">
        <x:is>
          <x:t xml:space="preserve">S31 T12N R24W A</x:t>
        </x:is>
      </x:c>
      <x:c r="J138" s="567" t="inlineStr">
        <x:is>
          <x:t xml:space="preserve">Doc 2020-001282; attached Roger Mills County Clerk unplatted legal index image row; Index p.57; legal/quarter extracted visually from image-only PDF.</x:t>
        </x:is>
      </x:c>
      <x:c r="K138" s="567" t="inlineStr">
        <x:is>
          <x:t xml:space="preserve">63e8b9a8d056433a9994fe46ca85076b.pdf</x:t>
        </x:is>
      </x:c>
      <x:c r="L138" s="567" t="inlineStr">
        <x:is>
          <x:t xml:space="preserve">Index p.57</x:t>
        </x:is>
      </x:c>
      <x:c r="M138" s="567" t="inlineStr">
        <x:is>
          <x:t xml:space="preserve">https://okcountyrecords.com/detail/roger+mills/2020-001282</x:t>
        </x:is>
      </x:c>
      <x:c r="N138" s="567" t="inlineStr">
        <x:is>
          <x:t xml:space="preserve">Index row added - certified copy/image required</x:t>
        </x:is>
      </x:c>
      <x:c r="O138" s="567" t="inlineStr">
        <x:is>
          <x:t xml:space="preserve">https://okcountyrecords.com/detail/roger+mills/2020-001282</x:t>
        </x:is>
      </x:c>
      <x:c r="P138" s="567" t="inlineStr">
        <x:is>
          <x:t xml:space="preserve">Obtain certified instrument/image; verify parties, acreage, legal calls, status, and release/assignment chain.</x:t>
        </x:is>
      </x:c>
      <x:c r="Q138" s="567" t="inlineStr">
        <x:is>
          <x:t xml:space="preserve">High</x:t>
        </x:is>
      </x:c>
      <x:c r="R138" s="567" t="inlineStr">
        <x:is>
          <x:t xml:space="preserve">Lien / Release</x:t>
        </x:is>
      </x:c>
      <x:c r="S138" s="650" t="n">
        <x:v>44060</x:v>
      </x:c>
      <x:c r="T138" s="567" t="inlineStr">
        <x:is>
          <x:t xml:space="preserve">Clerk index Doc/Date from attached image-only report</x:t>
        </x:is>
      </x:c>
      <x:c r="U138" s="650" t="n">
        <x:v>44060</x:v>
      </x:c>
      <x:c r="V138" s="567" t="inlineStr">
        <x:is>
          <x:t xml:space="preserve">31-12N-24W</x:t>
        </x:is>
      </x:c>
      <x:c r="W138" s="567" t="inlineStr">
        <x:is>
          <x:t xml:space="preserve">A</x:t>
        </x:is>
      </x:c>
      <x:c r="X138" s="567" t="inlineStr">
        <x:is>
          <x:t xml:space="preserve">High - visually read from report</x:t>
        </x:is>
      </x:c>
      <x:c r="Y138" s="568" t="inlineStr">
        <x:is>
          <x:t xml:space="preserve">Yes - verify against certified document image</x:t>
        </x:is>
      </x:c>
      <x:c r="Z138" s="568" t="inlineStr">
        <x:is>
          <x:t xml:space="preserve">Supplemental import from attached image-only index; not full OCR-certified transcription.</x:t>
        </x:is>
      </x:c>
    </x:row>
    <x:row r="139">
      <x:c r="A139" s="567" t="n">
        <x:v>502</x:v>
      </x:c>
      <x:c r="B139" s="567" t="inlineStr">
        <x:is>
          <x:t xml:space="preserve">Clerk Index PDF / OKCR</x:t>
        </x:is>
      </x:c>
      <x:c r="C139" s="567" t="inlineStr">
        <x:is>
          <x:t xml:space="preserve">TERMINAT</x:t>
        </x:is>
      </x:c>
      <x:c r="D139" s="567" t="inlineStr">
        <x:is>
          <x:t xml:space="preserve">002449/0001</x:t>
        </x:is>
      </x:c>
      <x:c r="E139" s="567" t="n"/>
      <x:c r="F139" s="571" t="n">
        <x:v>44060</x:v>
      </x:c>
      <x:c r="G139" s="567" t="inlineStr">
        <x:is>
          <x:t xml:space="preserve">BANK OF AMERICA et al</x:t>
        </x:is>
      </x:c>
      <x:c r="H139" s="567" t="inlineStr">
        <x:is>
          <x:t xml:space="preserve">TEMPLAR ENERGY</x:t>
        </x:is>
      </x:c>
      <x:c r="I139" s="567" t="inlineStr">
        <x:is>
          <x:t xml:space="preserve">S31 T12N R24W A</x:t>
        </x:is>
      </x:c>
      <x:c r="J139" s="567" t="inlineStr">
        <x:is>
          <x:t xml:space="preserve">Doc 2020-001282; attached Roger Mills County Clerk unplatted legal index image row; Index p.57; legal/quarter extracted visually from image-only PDF.</x:t>
        </x:is>
      </x:c>
      <x:c r="K139" s="567" t="inlineStr">
        <x:is>
          <x:t xml:space="preserve">63e8b9a8d056433a9994fe46ca85076b.pdf</x:t>
        </x:is>
      </x:c>
      <x:c r="L139" s="567" t="inlineStr">
        <x:is>
          <x:t xml:space="preserve">Index p.57</x:t>
        </x:is>
      </x:c>
      <x:c r="M139" s="567" t="inlineStr">
        <x:is>
          <x:t xml:space="preserve">https://okcountyrecords.com/detail/roger+mills/2020-001282</x:t>
        </x:is>
      </x:c>
      <x:c r="N139" s="567" t="inlineStr">
        <x:is>
          <x:t xml:space="preserve">Index row added - certified copy/image required</x:t>
        </x:is>
      </x:c>
      <x:c r="O139" s="567" t="inlineStr">
        <x:is>
          <x:t xml:space="preserve">https://okcountyrecords.com/detail/roger+mills/2020-001282</x:t>
        </x:is>
      </x:c>
      <x:c r="P139" s="567" t="inlineStr">
        <x:is>
          <x:t xml:space="preserve">Obtain certified instrument/image; verify parties, acreage, legal calls, status, and release/assignment chain.</x:t>
        </x:is>
      </x:c>
      <x:c r="Q139" s="567" t="inlineStr">
        <x:is>
          <x:t xml:space="preserve">High</x:t>
        </x:is>
      </x:c>
      <x:c r="R139" s="567" t="inlineStr">
        <x:is>
          <x:t xml:space="preserve">Lien / Release</x:t>
        </x:is>
      </x:c>
      <x:c r="S139" s="650" t="n">
        <x:v>44060</x:v>
      </x:c>
      <x:c r="T139" s="567" t="inlineStr">
        <x:is>
          <x:t xml:space="preserve">Clerk index Doc/Date from attached image-only report</x:t>
        </x:is>
      </x:c>
      <x:c r="U139" s="650" t="n">
        <x:v>44060</x:v>
      </x:c>
      <x:c r="V139" s="567" t="inlineStr">
        <x:is>
          <x:t xml:space="preserve">31-12N-24W</x:t>
        </x:is>
      </x:c>
      <x:c r="W139" s="567" t="inlineStr">
        <x:is>
          <x:t xml:space="preserve">A</x:t>
        </x:is>
      </x:c>
      <x:c r="X139" s="567" t="inlineStr">
        <x:is>
          <x:t xml:space="preserve">High - visually read from report</x:t>
        </x:is>
      </x:c>
      <x:c r="Y139" s="568" t="inlineStr">
        <x:is>
          <x:t xml:space="preserve">Yes - verify against certified document image</x:t>
        </x:is>
      </x:c>
      <x:c r="Z139" s="568" t="inlineStr">
        <x:is>
          <x:t xml:space="preserve">Supplemental import from attached image-only index; not full OCR-certified transcription.</x:t>
        </x:is>
      </x:c>
    </x:row>
    <x:row r="140">
      <x:c r="A140" s="567" t="n">
        <x:v>503</x:v>
      </x:c>
      <x:c r="B140" s="567" t="inlineStr">
        <x:is>
          <x:t xml:space="preserve">Clerk Index PDF / OKCR</x:t>
        </x:is>
      </x:c>
      <x:c r="C140" s="567" t="inlineStr">
        <x:is>
          <x:t xml:space="preserve">ASGT</x:t>
        </x:is>
      </x:c>
      <x:c r="D140" s="567" t="inlineStr">
        <x:is>
          <x:t xml:space="preserve">002449/0333</x:t>
        </x:is>
      </x:c>
      <x:c r="E140" s="567" t="n"/>
      <x:c r="F140" s="571" t="n">
        <x:v>44060</x:v>
      </x:c>
      <x:c r="G140" s="567" t="inlineStr">
        <x:is>
          <x:t xml:space="preserve">TE HOLDCO RP, LLC et al</x:t>
        </x:is>
      </x:c>
      <x:c r="H140" s="567" t="inlineStr">
        <x:is>
          <x:t xml:space="preserve">PRESIDIO WAB, LLC</x:t>
        </x:is>
      </x:c>
      <x:c r="I140" s="567" t="inlineStr">
        <x:is>
          <x:t xml:space="preserve">S31 T12N R24W A</x:t>
        </x:is>
      </x:c>
      <x:c r="J140" s="567" t="inlineStr">
        <x:is>
          <x:t xml:space="preserve">Doc 2020-001283; attached Roger Mills County Clerk unplatted legal index image row; Index p.58; legal/quarter extracted visually from image-only PDF.</x:t>
        </x:is>
      </x:c>
      <x:c r="K140" s="567" t="inlineStr">
        <x:is>
          <x:t xml:space="preserve">63e8b9a8d056433a9994fe46ca85076b.pdf</x:t>
        </x:is>
      </x:c>
      <x:c r="L140" s="567" t="inlineStr">
        <x:is>
          <x:t xml:space="preserve">Index p.58</x:t>
        </x:is>
      </x:c>
      <x:c r="M140" s="567" t="inlineStr">
        <x:is>
          <x:t xml:space="preserve">https://okcountyrecords.com/detail/roger+mills/2020-001283</x:t>
        </x:is>
      </x:c>
      <x:c r="N140" s="567" t="inlineStr">
        <x:is>
          <x:t xml:space="preserve">Index row added - certified copy/image required</x:t>
        </x:is>
      </x:c>
      <x:c r="O140" s="567" t="inlineStr">
        <x:is>
          <x:t xml:space="preserve">https://okcountyrecords.com/detail/roger+mills/2020-001283</x:t>
        </x:is>
      </x:c>
      <x:c r="P140" s="567" t="inlineStr">
        <x:is>
          <x:t xml:space="preserve">Obtain certified instrument/image; verify parties, acreage, legal calls, status, and release/assignment chain.</x:t>
        </x:is>
      </x:c>
      <x:c r="Q140" s="567" t="inlineStr">
        <x:is>
          <x:t xml:space="preserve">High</x:t>
        </x:is>
      </x:c>
      <x:c r="R140" s="567" t="inlineStr">
        <x:is>
          <x:t xml:space="preserve">Assignment</x:t>
        </x:is>
      </x:c>
      <x:c r="S140" s="650" t="n">
        <x:v>44060</x:v>
      </x:c>
      <x:c r="T140" s="567" t="inlineStr">
        <x:is>
          <x:t xml:space="preserve">Clerk index Doc/Date from attached image-only report</x:t>
        </x:is>
      </x:c>
      <x:c r="U140" s="650" t="n">
        <x:v>44060</x:v>
      </x:c>
      <x:c r="V140" s="567" t="inlineStr">
        <x:is>
          <x:t xml:space="preserve">31-12N-24W</x:t>
        </x:is>
      </x:c>
      <x:c r="W140" s="567" t="inlineStr">
        <x:is>
          <x:t xml:space="preserve">A</x:t>
        </x:is>
      </x:c>
      <x:c r="X140" s="567" t="inlineStr">
        <x:is>
          <x:t xml:space="preserve">High - visually read from report</x:t>
        </x:is>
      </x:c>
      <x:c r="Y140" s="568" t="inlineStr">
        <x:is>
          <x:t xml:space="preserve">Yes - verify against certified document image</x:t>
        </x:is>
      </x:c>
      <x:c r="Z140" s="568" t="inlineStr">
        <x:is>
          <x:t xml:space="preserve">Supplemental import from attached image-only index; not full OCR-certified transcription.</x:t>
        </x:is>
      </x:c>
    </x:row>
    <x:row r="141">
      <x:c r="A141" s="567" t="n">
        <x:v>504</x:v>
      </x:c>
      <x:c r="B141" s="567" t="inlineStr">
        <x:is>
          <x:t xml:space="preserve">Clerk Index PDF / OKCR</x:t>
        </x:is>
      </x:c>
      <x:c r="C141" s="567" t="inlineStr">
        <x:is>
          <x:t xml:space="preserve">MTG</x:t>
        </x:is>
      </x:c>
      <x:c r="D141" s="567" t="inlineStr">
        <x:is>
          <x:t xml:space="preserve">002450/0001</x:t>
        </x:is>
      </x:c>
      <x:c r="E141" s="567" t="n"/>
      <x:c r="F141" s="571" t="n">
        <x:v>44060</x:v>
      </x:c>
      <x:c r="G141" s="567" t="inlineStr">
        <x:is>
          <x:t xml:space="preserve">PRESIDIO WAB, LLC</x:t>
        </x:is>
      </x:c>
      <x:c r="H141" s="567" t="inlineStr">
        <x:is>
          <x:t xml:space="preserve">BMO HARRIS BANK</x:t>
        </x:is>
      </x:c>
      <x:c r="I141" s="567" t="inlineStr">
        <x:is>
          <x:t xml:space="preserve">S31 T12N R24W A</x:t>
        </x:is>
      </x:c>
      <x:c r="J141" s="567" t="inlineStr">
        <x:is>
          <x:t xml:space="preserve">Doc 2020-001286; attached Roger Mills County Clerk unplatted legal index image row; Index p.58; legal/quarter extracted visually from image-only PDF.</x:t>
        </x:is>
      </x:c>
      <x:c r="K141" s="567" t="inlineStr">
        <x:is>
          <x:t xml:space="preserve">63e8b9a8d056433a9994fe46ca85076b.pdf</x:t>
        </x:is>
      </x:c>
      <x:c r="L141" s="567" t="inlineStr">
        <x:is>
          <x:t xml:space="preserve">Index p.58</x:t>
        </x:is>
      </x:c>
      <x:c r="M141" s="567" t="inlineStr">
        <x:is>
          <x:t xml:space="preserve">https://okcountyrecords.com/detail/roger+mills/2020-001286</x:t>
        </x:is>
      </x:c>
      <x:c r="N141" s="567" t="inlineStr">
        <x:is>
          <x:t xml:space="preserve">Index row added - certified copy/image required</x:t>
        </x:is>
      </x:c>
      <x:c r="O141" s="567" t="inlineStr">
        <x:is>
          <x:t xml:space="preserve">https://okcountyrecords.com/detail/roger+mills/2020-001286</x:t>
        </x:is>
      </x:c>
      <x:c r="P141" s="567" t="inlineStr">
        <x:is>
          <x:t xml:space="preserve">Obtain certified instrument/image; verify parties, acreage, legal calls, status, and release/assignment chain.</x:t>
        </x:is>
      </x:c>
      <x:c r="Q141" s="567" t="inlineStr">
        <x:is>
          <x:t xml:space="preserve">High</x:t>
        </x:is>
      </x:c>
      <x:c r="R141" s="567" t="inlineStr">
        <x:is>
          <x:t xml:space="preserve">Lien / Release</x:t>
        </x:is>
      </x:c>
      <x:c r="S141" s="650" t="n">
        <x:v>44060</x:v>
      </x:c>
      <x:c r="T141" s="567" t="inlineStr">
        <x:is>
          <x:t xml:space="preserve">Clerk index Doc/Date from attached image-only report</x:t>
        </x:is>
      </x:c>
      <x:c r="U141" s="650" t="n">
        <x:v>44060</x:v>
      </x:c>
      <x:c r="V141" s="567" t="inlineStr">
        <x:is>
          <x:t xml:space="preserve">31-12N-24W</x:t>
        </x:is>
      </x:c>
      <x:c r="W141" s="567" t="inlineStr">
        <x:is>
          <x:t xml:space="preserve">A</x:t>
        </x:is>
      </x:c>
      <x:c r="X141" s="567" t="inlineStr">
        <x:is>
          <x:t xml:space="preserve">High - visually read from report</x:t>
        </x:is>
      </x:c>
      <x:c r="Y141" s="568" t="inlineStr">
        <x:is>
          <x:t xml:space="preserve">Yes - verify against certified document image</x:t>
        </x:is>
      </x:c>
      <x:c r="Z141" s="568" t="inlineStr">
        <x:is>
          <x:t xml:space="preserve">Supplemental import from attached image-only index; not full OCR-certified transcription.</x:t>
        </x:is>
      </x:c>
    </x:row>
    <x:row r="142">
      <x:c r="A142" s="567" t="n">
        <x:v>505</x:v>
      </x:c>
      <x:c r="B142" s="567" t="inlineStr">
        <x:is>
          <x:t xml:space="preserve">Clerk Index PDF / OKCR</x:t>
        </x:is>
      </x:c>
      <x:c r="C142" s="567" t="inlineStr">
        <x:is>
          <x:t xml:space="preserve">FS</x:t>
        </x:is>
      </x:c>
      <x:c r="D142" s="567" t="inlineStr">
        <x:is>
          <x:t xml:space="preserve">002450/0121</x:t>
        </x:is>
      </x:c>
      <x:c r="E142" s="567" t="n"/>
      <x:c r="F142" s="571" t="n">
        <x:v>44060</x:v>
      </x:c>
      <x:c r="G142" s="567" t="inlineStr">
        <x:is>
          <x:t xml:space="preserve">PRESIDIO WAB, LLC</x:t>
        </x:is>
      </x:c>
      <x:c r="H142" s="567" t="inlineStr">
        <x:is>
          <x:t xml:space="preserve">BMO HARRIS BANK</x:t>
        </x:is>
      </x:c>
      <x:c r="I142" s="567" t="inlineStr">
        <x:is>
          <x:t xml:space="preserve">S31 T12N R24W A</x:t>
        </x:is>
      </x:c>
      <x:c r="J142" s="567" t="inlineStr">
        <x:is>
          <x:t xml:space="preserve">Doc 2020-001287; attached Roger Mills County Clerk unplatted legal index image row; Index p.58; legal/quarter extracted visually from image-only PDF.</x:t>
        </x:is>
      </x:c>
      <x:c r="K142" s="567" t="inlineStr">
        <x:is>
          <x:t xml:space="preserve">63e8b9a8d056433a9994fe46ca85076b.pdf</x:t>
        </x:is>
      </x:c>
      <x:c r="L142" s="567" t="inlineStr">
        <x:is>
          <x:t xml:space="preserve">Index p.58</x:t>
        </x:is>
      </x:c>
      <x:c r="M142" s="567" t="inlineStr">
        <x:is>
          <x:t xml:space="preserve">https://okcountyrecords.com/detail/roger+mills/2020-001287</x:t>
        </x:is>
      </x:c>
      <x:c r="N142" s="567" t="inlineStr">
        <x:is>
          <x:t xml:space="preserve">Index row added - certified copy/image required</x:t>
        </x:is>
      </x:c>
      <x:c r="O142" s="567" t="inlineStr">
        <x:is>
          <x:t xml:space="preserve">https://okcountyrecords.com/detail/roger+mills/2020-001287</x:t>
        </x:is>
      </x:c>
      <x:c r="P142" s="567" t="inlineStr">
        <x:is>
          <x:t xml:space="preserve">Obtain certified instrument/image; verify parties, acreage, legal calls, status, and release/assignment chain.</x:t>
        </x:is>
      </x:c>
      <x:c r="Q142" s="567" t="inlineStr">
        <x:is>
          <x:t xml:space="preserve">High</x:t>
        </x:is>
      </x:c>
      <x:c r="R142" s="567" t="inlineStr">
        <x:is>
          <x:t xml:space="preserve">Lien / Release</x:t>
        </x:is>
      </x:c>
      <x:c r="S142" s="650" t="n">
        <x:v>44060</x:v>
      </x:c>
      <x:c r="T142" s="567" t="inlineStr">
        <x:is>
          <x:t xml:space="preserve">Clerk index Doc/Date from attached image-only report</x:t>
        </x:is>
      </x:c>
      <x:c r="U142" s="650" t="n">
        <x:v>44060</x:v>
      </x:c>
      <x:c r="V142" s="567" t="inlineStr">
        <x:is>
          <x:t xml:space="preserve">31-12N-24W</x:t>
        </x:is>
      </x:c>
      <x:c r="W142" s="567" t="inlineStr">
        <x:is>
          <x:t xml:space="preserve">A</x:t>
        </x:is>
      </x:c>
      <x:c r="X142" s="567" t="inlineStr">
        <x:is>
          <x:t xml:space="preserve">High - visually read from report</x:t>
        </x:is>
      </x:c>
      <x:c r="Y142" s="568" t="inlineStr">
        <x:is>
          <x:t xml:space="preserve">Yes - verify against certified document image</x:t>
        </x:is>
      </x:c>
      <x:c r="Z142" s="568" t="inlineStr">
        <x:is>
          <x:t xml:space="preserve">Supplemental import from attached image-only index; not full OCR-certified transcription.</x:t>
        </x:is>
      </x:c>
    </x:row>
    <x:row r="143">
      <x:c r="A143" s="567" t="n">
        <x:v>506</x:v>
      </x:c>
      <x:c r="B143" s="567" t="inlineStr">
        <x:is>
          <x:t xml:space="preserve">Clerk Index PDF / OKCR</x:t>
        </x:is>
      </x:c>
      <x:c r="C143" s="567" t="inlineStr">
        <x:is>
          <x:t xml:space="preserve">ASGT</x:t>
        </x:is>
      </x:c>
      <x:c r="D143" s="567" t="inlineStr">
        <x:is>
          <x:t xml:space="preserve">002452/0235</x:t>
        </x:is>
      </x:c>
      <x:c r="E143" s="567" t="n"/>
      <x:c r="F143" s="571" t="n">
        <x:v>44118</x:v>
      </x:c>
      <x:c r="G143" s="567" t="inlineStr">
        <x:is>
          <x:t xml:space="preserve">TECOLOTE HOLDINGS, LLC et al</x:t>
        </x:is>
      </x:c>
      <x:c r="H143" s="567" t="inlineStr">
        <x:is>
          <x:t xml:space="preserve">MUSTANG FUEL CORPORATION</x:t>
        </x:is>
      </x:c>
      <x:c r="I143" s="567" t="inlineStr">
        <x:is>
          <x:t xml:space="preserve">S31 T12N R24W A</x:t>
        </x:is>
      </x:c>
      <x:c r="J143" s="567" t="inlineStr">
        <x:is>
          <x:t xml:space="preserve">Doc 2020-001577; attached Roger Mills County Clerk unplatted legal index image row; Index p.58; legal/quarter extracted visually from image-only PDF.</x:t>
        </x:is>
      </x:c>
      <x:c r="K143" s="567" t="inlineStr">
        <x:is>
          <x:t xml:space="preserve">63e8b9a8d056433a9994fe46ca85076b.pdf</x:t>
        </x:is>
      </x:c>
      <x:c r="L143" s="567" t="inlineStr">
        <x:is>
          <x:t xml:space="preserve">Index p.58</x:t>
        </x:is>
      </x:c>
      <x:c r="M143" s="567" t="inlineStr">
        <x:is>
          <x:t xml:space="preserve">https://okcountyrecords.com/detail/roger+mills/2020-001577</x:t>
        </x:is>
      </x:c>
      <x:c r="N143" s="567" t="inlineStr">
        <x:is>
          <x:t xml:space="preserve">Index row added - certified copy/image required</x:t>
        </x:is>
      </x:c>
      <x:c r="O143" s="567" t="inlineStr">
        <x:is>
          <x:t xml:space="preserve">https://okcountyrecords.com/detail/roger+mills/2020-001577</x:t>
        </x:is>
      </x:c>
      <x:c r="P143" s="567" t="inlineStr">
        <x:is>
          <x:t xml:space="preserve">Obtain certified instrument/image; verify parties, acreage, legal calls, status, and release/assignment chain.</x:t>
        </x:is>
      </x:c>
      <x:c r="Q143" s="567" t="inlineStr">
        <x:is>
          <x:t xml:space="preserve">High</x:t>
        </x:is>
      </x:c>
      <x:c r="R143" s="567" t="inlineStr">
        <x:is>
          <x:t xml:space="preserve">Assignment</x:t>
        </x:is>
      </x:c>
      <x:c r="S143" s="650" t="n">
        <x:v>44118</x:v>
      </x:c>
      <x:c r="T143" s="567" t="inlineStr">
        <x:is>
          <x:t xml:space="preserve">Clerk index Doc/Date from attached image-only report</x:t>
        </x:is>
      </x:c>
      <x:c r="U143" s="650" t="n">
        <x:v>44118</x:v>
      </x:c>
      <x:c r="V143" s="567" t="inlineStr">
        <x:is>
          <x:t xml:space="preserve">31-12N-24W</x:t>
        </x:is>
      </x:c>
      <x:c r="W143" s="567" t="inlineStr">
        <x:is>
          <x:t xml:space="preserve">A</x:t>
        </x:is>
      </x:c>
      <x:c r="X143" s="567" t="inlineStr">
        <x:is>
          <x:t xml:space="preserve">High - visually read from report</x:t>
        </x:is>
      </x:c>
      <x:c r="Y143" s="568" t="inlineStr">
        <x:is>
          <x:t xml:space="preserve">Yes - verify against certified document image</x:t>
        </x:is>
      </x:c>
      <x:c r="Z143" s="568" t="inlineStr">
        <x:is>
          <x:t xml:space="preserve">Supplemental import from attached image-only index; not full OCR-certified transcription.</x:t>
        </x:is>
      </x:c>
    </x:row>
    <x:row r="144">
      <x:c r="A144" s="567" t="n">
        <x:v>507</x:v>
      </x:c>
      <x:c r="B144" s="567" t="inlineStr">
        <x:is>
          <x:t xml:space="preserve">Clerk Index PDF / OKCR</x:t>
        </x:is>
      </x:c>
      <x:c r="C144" s="567" t="inlineStr">
        <x:is>
          <x:t xml:space="preserve">RELLIEN</x:t>
        </x:is>
      </x:c>
      <x:c r="D144" s="567" t="inlineStr">
        <x:is>
          <x:t xml:space="preserve">002453/0001</x:t>
        </x:is>
      </x:c>
      <x:c r="E144" s="567" t="n"/>
      <x:c r="F144" s="571" t="n">
        <x:v>44126</x:v>
      </x:c>
      <x:c r="G144" s="567" t="inlineStr">
        <x:is>
          <x:t xml:space="preserve">JPMORGAN CHASE BANK</x:t>
        </x:is>
      </x:c>
      <x:c r="H144" s="567" t="inlineStr">
        <x:is>
          <x:t xml:space="preserve">TECOLOTE HOLDINGS, LLC</x:t>
        </x:is>
      </x:c>
      <x:c r="I144" s="567" t="inlineStr">
        <x:is>
          <x:t xml:space="preserve">S31 T12N R24W A</x:t>
        </x:is>
      </x:c>
      <x:c r="J144" s="567" t="inlineStr">
        <x:is>
          <x:t xml:space="preserve">Doc 2020-001616; attached Roger Mills County Clerk unplatted legal index image row; Index p.58; legal/quarter extracted visually from image-only PDF.</x:t>
        </x:is>
      </x:c>
      <x:c r="K144" s="567" t="inlineStr">
        <x:is>
          <x:t xml:space="preserve">63e8b9a8d056433a9994fe46ca85076b.pdf</x:t>
        </x:is>
      </x:c>
      <x:c r="L144" s="567" t="inlineStr">
        <x:is>
          <x:t xml:space="preserve">Index p.58</x:t>
        </x:is>
      </x:c>
      <x:c r="M144" s="567" t="inlineStr">
        <x:is>
          <x:t xml:space="preserve">https://okcountyrecords.com/detail/roger+mills/2020-001616</x:t>
        </x:is>
      </x:c>
      <x:c r="N144" s="567" t="inlineStr">
        <x:is>
          <x:t xml:space="preserve">Index row added - certified copy/image required</x:t>
        </x:is>
      </x:c>
      <x:c r="O144" s="567" t="inlineStr">
        <x:is>
          <x:t xml:space="preserve">https://okcountyrecords.com/detail/roger+mills/2020-001616</x:t>
        </x:is>
      </x:c>
      <x:c r="P144" s="567" t="inlineStr">
        <x:is>
          <x:t xml:space="preserve">Obtain certified instrument/image; verify parties, acreage, legal calls, status, and release/assignment chain.</x:t>
        </x:is>
      </x:c>
      <x:c r="Q144" s="567" t="inlineStr">
        <x:is>
          <x:t xml:space="preserve">High</x:t>
        </x:is>
      </x:c>
      <x:c r="R144" s="567" t="inlineStr">
        <x:is>
          <x:t xml:space="preserve">Lien / Release</x:t>
        </x:is>
      </x:c>
      <x:c r="S144" s="650" t="n">
        <x:v>44126</x:v>
      </x:c>
      <x:c r="T144" s="567" t="inlineStr">
        <x:is>
          <x:t xml:space="preserve">Clerk index Doc/Date from attached image-only report</x:t>
        </x:is>
      </x:c>
      <x:c r="U144" s="650" t="n">
        <x:v>44126</x:v>
      </x:c>
      <x:c r="V144" s="567" t="inlineStr">
        <x:is>
          <x:t xml:space="preserve">31-12N-24W</x:t>
        </x:is>
      </x:c>
      <x:c r="W144" s="567" t="inlineStr">
        <x:is>
          <x:t xml:space="preserve">A</x:t>
        </x:is>
      </x:c>
      <x:c r="X144" s="567" t="inlineStr">
        <x:is>
          <x:t xml:space="preserve">High - visually read from report</x:t>
        </x:is>
      </x:c>
      <x:c r="Y144" s="568" t="inlineStr">
        <x:is>
          <x:t xml:space="preserve">Yes - verify against certified document image</x:t>
        </x:is>
      </x:c>
      <x:c r="Z144" s="568" t="inlineStr">
        <x:is>
          <x:t xml:space="preserve">Supplemental import from attached image-only index; not full OCR-certified transcription.</x:t>
        </x:is>
      </x:c>
    </x:row>
    <x:row r="145">
      <x:c r="A145" s="567" t="n">
        <x:v>508</x:v>
      </x:c>
      <x:c r="B145" s="567" t="inlineStr">
        <x:is>
          <x:t xml:space="preserve">Clerk Index PDF / OKCR</x:t>
        </x:is>
      </x:c>
      <x:c r="C145" s="567" t="inlineStr">
        <x:is>
          <x:t xml:space="preserve">MD</x:t>
        </x:is>
      </x:c>
      <x:c r="D145" s="567" t="inlineStr">
        <x:is>
          <x:t xml:space="preserve">002453/0452</x:t>
        </x:is>
      </x:c>
      <x:c r="E145" s="567" t="n"/>
      <x:c r="F145" s="571" t="n">
        <x:v>44144</x:v>
      </x:c>
      <x:c r="G145" s="567" t="inlineStr">
        <x:is>
          <x:t xml:space="preserve">PAYDAY HOLDINGS, LLC</x:t>
        </x:is>
      </x:c>
      <x:c r="H145" s="567" t="inlineStr">
        <x:is>
          <x:t xml:space="preserve">PENNINGTON ANDREW</x:t>
        </x:is>
      </x:c>
      <x:c r="I145" s="567" t="inlineStr">
        <x:is>
          <x:t xml:space="preserve">S31 T12N R24W A</x:t>
        </x:is>
      </x:c>
      <x:c r="J145" s="567" t="inlineStr">
        <x:is>
          <x:t xml:space="preserve">Doc 2020-001708; attached Roger Mills County Clerk unplatted legal index image row; Index p.58; legal/quarter extracted visually from image-only PDF.</x:t>
        </x:is>
      </x:c>
      <x:c r="K145" s="567" t="inlineStr">
        <x:is>
          <x:t xml:space="preserve">63e8b9a8d056433a9994fe46ca85076b.pdf</x:t>
        </x:is>
      </x:c>
      <x:c r="L145" s="567" t="inlineStr">
        <x:is>
          <x:t xml:space="preserve">Index p.58</x:t>
        </x:is>
      </x:c>
      <x:c r="M145" s="567" t="inlineStr">
        <x:is>
          <x:t xml:space="preserve">https://okcountyrecords.com/detail/roger+mills/2020-001708</x:t>
        </x:is>
      </x:c>
      <x:c r="N145" s="567" t="inlineStr">
        <x:is>
          <x:t xml:space="preserve">Index row added - certified copy/image required</x:t>
        </x:is>
      </x:c>
      <x:c r="O145" s="567" t="inlineStr">
        <x:is>
          <x:t xml:space="preserve">https://okcountyrecords.com/detail/roger+mills/2020-001708</x:t>
        </x:is>
      </x:c>
      <x:c r="P145" s="567" t="inlineStr">
        <x:is>
          <x:t xml:space="preserve">Obtain certified instrument/image; verify parties, acreage, legal calls, status, and release/assignment chain.</x:t>
        </x:is>
      </x:c>
      <x:c r="Q145" s="567" t="inlineStr">
        <x:is>
          <x:t xml:space="preserve">High</x:t>
        </x:is>
      </x:c>
      <x:c r="R145" s="567" t="inlineStr">
        <x:is>
          <x:t xml:space="preserve">Deed / Chain</x:t>
        </x:is>
      </x:c>
      <x:c r="S145" s="650" t="n">
        <x:v>44144</x:v>
      </x:c>
      <x:c r="T145" s="567" t="inlineStr">
        <x:is>
          <x:t xml:space="preserve">Clerk index Doc/Date from attached image-only report</x:t>
        </x:is>
      </x:c>
      <x:c r="U145" s="650" t="n">
        <x:v>44144</x:v>
      </x:c>
      <x:c r="V145" s="567" t="inlineStr">
        <x:is>
          <x:t xml:space="preserve">31-12N-24W</x:t>
        </x:is>
      </x:c>
      <x:c r="W145" s="567" t="inlineStr">
        <x:is>
          <x:t xml:space="preserve">A</x:t>
        </x:is>
      </x:c>
      <x:c r="X145" s="567" t="inlineStr">
        <x:is>
          <x:t xml:space="preserve">High - visually read from report</x:t>
        </x:is>
      </x:c>
      <x:c r="Y145" s="568" t="inlineStr">
        <x:is>
          <x:t xml:space="preserve">Yes - verify against certified document image</x:t>
        </x:is>
      </x:c>
      <x:c r="Z145" s="568" t="inlineStr">
        <x:is>
          <x:t xml:space="preserve">Supplemental import from attached image-only index; not full OCR-certified transcription.</x:t>
        </x:is>
      </x:c>
    </x:row>
    <x:row r="146">
      <x:c r="A146" s="567" t="n">
        <x:v>509</x:v>
      </x:c>
      <x:c r="B146" s="567" t="inlineStr">
        <x:is>
          <x:t xml:space="preserve">Clerk Index PDF / OKCR</x:t>
        </x:is>
      </x:c>
      <x:c r="C146" s="567" t="inlineStr">
        <x:is>
          <x:t xml:space="preserve">REL MTG</x:t>
        </x:is>
      </x:c>
      <x:c r="D146" s="567" t="inlineStr">
        <x:is>
          <x:t xml:space="preserve">002460/0001</x:t>
        </x:is>
      </x:c>
      <x:c r="E146" s="567" t="n"/>
      <x:c r="F146" s="571" t="n">
        <x:v>44272</x:v>
      </x:c>
      <x:c r="G146" s="567" t="inlineStr">
        <x:is>
          <x:t xml:space="preserve">JPMORGAN CHASE BANK</x:t>
        </x:is>
      </x:c>
      <x:c r="H146" s="567" t="inlineStr">
        <x:is>
          <x:t xml:space="preserve">GEODYNE RESOURCES et al</x:t>
        </x:is>
      </x:c>
      <x:c r="I146" s="567" t="inlineStr">
        <x:is>
          <x:t xml:space="preserve">S31 T12N R24W A</x:t>
        </x:is>
      </x:c>
      <x:c r="J146" s="567" t="inlineStr">
        <x:is>
          <x:t xml:space="preserve">Doc 2021-000451; attached Roger Mills County Clerk unplatted legal index image row; Index p.58; legal/quarter extracted visually from image-only PDF.</x:t>
        </x:is>
      </x:c>
      <x:c r="K146" s="567" t="inlineStr">
        <x:is>
          <x:t xml:space="preserve">63e8b9a8d056433a9994fe46ca85076b.pdf</x:t>
        </x:is>
      </x:c>
      <x:c r="L146" s="567" t="inlineStr">
        <x:is>
          <x:t xml:space="preserve">Index p.58</x:t>
        </x:is>
      </x:c>
      <x:c r="M146" s="567" t="inlineStr">
        <x:is>
          <x:t xml:space="preserve">https://okcountyrecords.com/detail/roger+mills/2021-000451</x:t>
        </x:is>
      </x:c>
      <x:c r="N146" s="567" t="inlineStr">
        <x:is>
          <x:t xml:space="preserve">Index row added - certified copy/image required</x:t>
        </x:is>
      </x:c>
      <x:c r="O146" s="567" t="inlineStr">
        <x:is>
          <x:t xml:space="preserve">https://okcountyrecords.com/detail/roger+mills/2021-000451</x:t>
        </x:is>
      </x:c>
      <x:c r="P146" s="567" t="inlineStr">
        <x:is>
          <x:t xml:space="preserve">Obtain certified instrument/image; verify parties, acreage, legal calls, status, and release/assignment chain.</x:t>
        </x:is>
      </x:c>
      <x:c r="Q146" s="567" t="inlineStr">
        <x:is>
          <x:t xml:space="preserve">High</x:t>
        </x:is>
      </x:c>
      <x:c r="R146" s="567" t="inlineStr">
        <x:is>
          <x:t xml:space="preserve">Lien / Release</x:t>
        </x:is>
      </x:c>
      <x:c r="S146" s="650" t="n">
        <x:v>44272</x:v>
      </x:c>
      <x:c r="T146" s="567" t="inlineStr">
        <x:is>
          <x:t xml:space="preserve">Clerk index Doc/Date from attached image-only report</x:t>
        </x:is>
      </x:c>
      <x:c r="U146" s="650" t="n">
        <x:v>44272</x:v>
      </x:c>
      <x:c r="V146" s="567" t="inlineStr">
        <x:is>
          <x:t xml:space="preserve">31-12N-24W</x:t>
        </x:is>
      </x:c>
      <x:c r="W146" s="567" t="inlineStr">
        <x:is>
          <x:t xml:space="preserve">A</x:t>
        </x:is>
      </x:c>
      <x:c r="X146" s="567" t="inlineStr">
        <x:is>
          <x:t xml:space="preserve">High - visually read from report</x:t>
        </x:is>
      </x:c>
      <x:c r="Y146" s="568" t="inlineStr">
        <x:is>
          <x:t xml:space="preserve">Yes - verify against certified document image</x:t>
        </x:is>
      </x:c>
      <x:c r="Z146" s="568" t="inlineStr">
        <x:is>
          <x:t xml:space="preserve">Supplemental import from attached image-only index; not full OCR-certified transcription.</x:t>
        </x:is>
      </x:c>
    </x:row>
    <x:row r="147">
      <x:c r="A147" s="567" t="n">
        <x:v>510</x:v>
      </x:c>
      <x:c r="B147" s="567" t="inlineStr">
        <x:is>
          <x:t xml:space="preserve">Clerk Index PDF / OKCR</x:t>
        </x:is>
      </x:c>
      <x:c r="C147" s="567" t="inlineStr">
        <x:is>
          <x:t xml:space="preserve">RELLIEN</x:t>
        </x:is>
      </x:c>
      <x:c r="D147" s="567" t="inlineStr">
        <x:is>
          <x:t xml:space="preserve">002462/0068</x:t>
        </x:is>
      </x:c>
      <x:c r="E147" s="567" t="n"/>
      <x:c r="F147" s="571" t="n">
        <x:v>44312</x:v>
      </x:c>
      <x:c r="G147" s="567" t="inlineStr">
        <x:is>
          <x:t xml:space="preserve">JPMORGAN CHASE</x:t>
        </x:is>
      </x:c>
      <x:c r="H147" s="567" t="inlineStr">
        <x:is>
          <x:t xml:space="preserve">FOURPOINT ENERGY, LLC</x:t>
        </x:is>
      </x:c>
      <x:c r="I147" s="567" t="inlineStr">
        <x:is>
          <x:t xml:space="preserve">S31 T12N R24W ALL ALEXANDER</x:t>
        </x:is>
      </x:c>
      <x:c r="J147" s="567" t="inlineStr">
        <x:is>
          <x:t xml:space="preserve">Doc 2021-000675; attached Roger Mills County Clerk unplatted legal index image row; Index p.58; legal/quarter extracted visually from image-only PDF.</x:t>
        </x:is>
      </x:c>
      <x:c r="K147" s="567" t="inlineStr">
        <x:is>
          <x:t xml:space="preserve">63e8b9a8d056433a9994fe46ca85076b.pdf</x:t>
        </x:is>
      </x:c>
      <x:c r="L147" s="567" t="inlineStr">
        <x:is>
          <x:t xml:space="preserve">Index p.58</x:t>
        </x:is>
      </x:c>
      <x:c r="M147" s="567" t="inlineStr">
        <x:is>
          <x:t xml:space="preserve">https://okcountyrecords.com/detail/roger+mills/2021-000675</x:t>
        </x:is>
      </x:c>
      <x:c r="N147" s="567" t="inlineStr">
        <x:is>
          <x:t xml:space="preserve">Index row added - certified copy/image required</x:t>
        </x:is>
      </x:c>
      <x:c r="O147" s="567" t="inlineStr">
        <x:is>
          <x:t xml:space="preserve">https://okcountyrecords.com/detail/roger+mills/2021-000675</x:t>
        </x:is>
      </x:c>
      <x:c r="P147" s="567" t="inlineStr">
        <x:is>
          <x:t xml:space="preserve">Obtain certified instrument/image; verify parties, acreage, legal calls, status, and release/assignment chain.</x:t>
        </x:is>
      </x:c>
      <x:c r="Q147" s="567" t="inlineStr">
        <x:is>
          <x:t xml:space="preserve">High</x:t>
        </x:is>
      </x:c>
      <x:c r="R147" s="567" t="inlineStr">
        <x:is>
          <x:t xml:space="preserve">Lien / Release</x:t>
        </x:is>
      </x:c>
      <x:c r="S147" s="650" t="n">
        <x:v>44312</x:v>
      </x:c>
      <x:c r="T147" s="567" t="inlineStr">
        <x:is>
          <x:t xml:space="preserve">Clerk index Doc/Date from attached image-only report</x:t>
        </x:is>
      </x:c>
      <x:c r="U147" s="650" t="n">
        <x:v>44312</x:v>
      </x:c>
      <x:c r="V147" s="567" t="inlineStr">
        <x:is>
          <x:t xml:space="preserve">31-12N-24W</x:t>
        </x:is>
      </x:c>
      <x:c r="W147" s="567" t="inlineStr">
        <x:is>
          <x:t xml:space="preserve">All / Alexander</x:t>
        </x:is>
      </x:c>
      <x:c r="X147" s="567" t="inlineStr">
        <x:is>
          <x:t xml:space="preserve">High - visually read from report</x:t>
        </x:is>
      </x:c>
      <x:c r="Y147" s="568" t="inlineStr">
        <x:is>
          <x:t xml:space="preserve">Yes - verify against certified document image</x:t>
        </x:is>
      </x:c>
      <x:c r="Z147" s="568" t="inlineStr">
        <x:is>
          <x:t xml:space="preserve">Supplemental import from attached image-only index; not full OCR-certified transcription.</x:t>
        </x:is>
      </x:c>
    </x:row>
    <x:row r="148">
      <x:c r="A148" s="567" t="n">
        <x:v>511</x:v>
      </x:c>
      <x:c r="B148" s="567" t="inlineStr">
        <x:is>
          <x:t xml:space="preserve">Clerk Index PDF / OKCR</x:t>
        </x:is>
      </x:c>
      <x:c r="C148" s="567" t="inlineStr">
        <x:is>
          <x:t xml:space="preserve">CHNG/NAME</x:t>
        </x:is>
      </x:c>
      <x:c r="D148" s="567" t="inlineStr">
        <x:is>
          <x:t xml:space="preserve">002463/0147</x:t>
        </x:is>
      </x:c>
      <x:c r="E148" s="567" t="n"/>
      <x:c r="F148" s="571" t="n">
        <x:v>44314</x:v>
      </x:c>
      <x:c r="G148" s="567" t="inlineStr">
        <x:is>
          <x:t xml:space="preserve">FOURPOINT ENERGY, LLC</x:t>
        </x:is>
      </x:c>
      <x:c r="H148" s="567" t="inlineStr">
        <x:is>
          <x:t xml:space="preserve">UNBRIDLED RESOURCES, LLC</x:t>
        </x:is>
      </x:c>
      <x:c r="I148" s="567" t="inlineStr">
        <x:is>
          <x:t xml:space="preserve">S31 T12N R24W A</x:t>
        </x:is>
      </x:c>
      <x:c r="J148" s="567" t="inlineStr">
        <x:is>
          <x:t xml:space="preserve">Doc 2021-000697; attached Roger Mills County Clerk unplatted legal index image row; Index p.58; legal/quarter extracted visually from image-only PDF.</x:t>
        </x:is>
      </x:c>
      <x:c r="K148" s="567" t="inlineStr">
        <x:is>
          <x:t xml:space="preserve">63e8b9a8d056433a9994fe46ca85076b.pdf</x:t>
        </x:is>
      </x:c>
      <x:c r="L148" s="567" t="inlineStr">
        <x:is>
          <x:t xml:space="preserve">Index p.58</x:t>
        </x:is>
      </x:c>
      <x:c r="M148" s="567" t="inlineStr">
        <x:is>
          <x:t xml:space="preserve">https://okcountyrecords.com/detail/roger+mills/2021-000697</x:t>
        </x:is>
      </x:c>
      <x:c r="N148" s="567" t="inlineStr">
        <x:is>
          <x:t xml:space="preserve">Index row added - certified copy/image required</x:t>
        </x:is>
      </x:c>
      <x:c r="O148" s="567" t="inlineStr">
        <x:is>
          <x:t xml:space="preserve">https://okcountyrecords.com/detail/roger+mills/2021-000697</x:t>
        </x:is>
      </x:c>
      <x:c r="P148" s="567" t="inlineStr">
        <x:is>
          <x:t xml:space="preserve">Obtain certified instrument/image; verify parties, acreage, legal calls, status, and release/assignment chain.</x:t>
        </x:is>
      </x:c>
      <x:c r="Q148" s="567" t="inlineStr">
        <x:is>
          <x:t xml:space="preserve">High</x:t>
        </x:is>
      </x:c>
      <x:c r="R148" s="567" t="inlineStr">
        <x:is>
          <x:t xml:space="preserve">Other / Memorandum</x:t>
        </x:is>
      </x:c>
      <x:c r="S148" s="650" t="n">
        <x:v>44314</x:v>
      </x:c>
      <x:c r="T148" s="567" t="inlineStr">
        <x:is>
          <x:t xml:space="preserve">Clerk index Doc/Date from attached image-only report</x:t>
        </x:is>
      </x:c>
      <x:c r="U148" s="650" t="n">
        <x:v>44314</x:v>
      </x:c>
      <x:c r="V148" s="567" t="inlineStr">
        <x:is>
          <x:t xml:space="preserve">31-12N-24W</x:t>
        </x:is>
      </x:c>
      <x:c r="W148" s="567" t="inlineStr">
        <x:is>
          <x:t xml:space="preserve">A</x:t>
        </x:is>
      </x:c>
      <x:c r="X148" s="567" t="inlineStr">
        <x:is>
          <x:t xml:space="preserve">High - visually read from report</x:t>
        </x:is>
      </x:c>
      <x:c r="Y148" s="568" t="inlineStr">
        <x:is>
          <x:t xml:space="preserve">Yes - verify against certified document image</x:t>
        </x:is>
      </x:c>
      <x:c r="Z148" s="568" t="inlineStr">
        <x:is>
          <x:t xml:space="preserve">Supplemental import from attached image-only index; not full OCR-certified transcription.</x:t>
        </x:is>
      </x:c>
    </x:row>
    <x:row r="149">
      <x:c r="A149" s="567" t="n">
        <x:v>512</x:v>
      </x:c>
      <x:c r="B149" s="567" t="inlineStr">
        <x:is>
          <x:t xml:space="preserve">Clerk Index PDF / OKCR</x:t>
        </x:is>
      </x:c>
      <x:c r="C149" s="567" t="inlineStr">
        <x:is>
          <x:t xml:space="preserve">MTG</x:t>
        </x:is>
      </x:c>
      <x:c r="D149" s="567" t="inlineStr">
        <x:is>
          <x:t xml:space="preserve">002475/0001</x:t>
        </x:is>
      </x:c>
      <x:c r="E149" s="567" t="n"/>
      <x:c r="F149" s="571" t="n">
        <x:v>44462</x:v>
      </x:c>
      <x:c r="G149" s="567" t="inlineStr">
        <x:is>
          <x:t xml:space="preserve">PRESIDIO WAB, LLC</x:t>
        </x:is>
      </x:c>
      <x:c r="H149" s="567" t="inlineStr">
        <x:is>
          <x:t xml:space="preserve">PRESIDIO FINANCE, LLC</x:t>
        </x:is>
      </x:c>
      <x:c r="I149" s="567" t="inlineStr">
        <x:is>
          <x:t xml:space="preserve">S31 T12N R24W A</x:t>
        </x:is>
      </x:c>
      <x:c r="J149" s="567" t="inlineStr">
        <x:is>
          <x:t xml:space="preserve">Doc 2021-001556; attached Roger Mills County Clerk unplatted legal index image row; Index p.59; legal/quarter extracted visually from image-only PDF.</x:t>
        </x:is>
      </x:c>
      <x:c r="K149" s="567" t="inlineStr">
        <x:is>
          <x:t xml:space="preserve">63e8b9a8d056433a9994fe46ca85076b.pdf</x:t>
        </x:is>
      </x:c>
      <x:c r="L149" s="567" t="inlineStr">
        <x:is>
          <x:t xml:space="preserve">Index p.59</x:t>
        </x:is>
      </x:c>
      <x:c r="M149" s="567" t="inlineStr">
        <x:is>
          <x:t xml:space="preserve">https://okcountyrecords.com/detail/roger+mills/2021-001556</x:t>
        </x:is>
      </x:c>
      <x:c r="N149" s="567" t="inlineStr">
        <x:is>
          <x:t xml:space="preserve">Index row added - certified copy/image required</x:t>
        </x:is>
      </x:c>
      <x:c r="O149" s="567" t="inlineStr">
        <x:is>
          <x:t xml:space="preserve">https://okcountyrecords.com/detail/roger+mills/2021-001556</x:t>
        </x:is>
      </x:c>
      <x:c r="P149" s="567" t="inlineStr">
        <x:is>
          <x:t xml:space="preserve">Obtain certified instrument/image; verify parties, acreage, legal calls, status, and release/assignment chain.</x:t>
        </x:is>
      </x:c>
      <x:c r="Q149" s="567" t="inlineStr">
        <x:is>
          <x:t xml:space="preserve">High</x:t>
        </x:is>
      </x:c>
      <x:c r="R149" s="567" t="inlineStr">
        <x:is>
          <x:t xml:space="preserve">Lien / Release</x:t>
        </x:is>
      </x:c>
      <x:c r="S149" s="650" t="n">
        <x:v>44462</x:v>
      </x:c>
      <x:c r="T149" s="567" t="inlineStr">
        <x:is>
          <x:t xml:space="preserve">Clerk index Doc/Date from attached image-only report</x:t>
        </x:is>
      </x:c>
      <x:c r="U149" s="650" t="n">
        <x:v>44462</x:v>
      </x:c>
      <x:c r="V149" s="567" t="inlineStr">
        <x:is>
          <x:t xml:space="preserve">31-12N-24W</x:t>
        </x:is>
      </x:c>
      <x:c r="W149" s="567" t="inlineStr">
        <x:is>
          <x:t xml:space="preserve">A</x:t>
        </x:is>
      </x:c>
      <x:c r="X149" s="567" t="inlineStr">
        <x:is>
          <x:t xml:space="preserve">High - visually read from report</x:t>
        </x:is>
      </x:c>
      <x:c r="Y149" s="568" t="inlineStr">
        <x:is>
          <x:t xml:space="preserve">Yes - verify against certified document image</x:t>
        </x:is>
      </x:c>
      <x:c r="Z149" s="568" t="inlineStr">
        <x:is>
          <x:t xml:space="preserve">Supplemental import from attached image-only index; not full OCR-certified transcription.</x:t>
        </x:is>
      </x:c>
    </x:row>
    <x:row r="150">
      <x:c r="A150" s="567" t="n">
        <x:v>513</x:v>
      </x:c>
      <x:c r="B150" s="567" t="inlineStr">
        <x:is>
          <x:t xml:space="preserve">Clerk Index PDF / OKCR</x:t>
        </x:is>
      </x:c>
      <x:c r="C150" s="567" t="inlineStr">
        <x:is>
          <x:t xml:space="preserve">AFF</x:t>
        </x:is>
      </x:c>
      <x:c r="D150" s="567" t="inlineStr">
        <x:is>
          <x:t xml:space="preserve">002476/0001</x:t>
        </x:is>
      </x:c>
      <x:c r="E150" s="567" t="n"/>
      <x:c r="F150" s="571" t="n">
        <x:v>44462</x:v>
      </x:c>
      <x:c r="G150" s="567" t="inlineStr">
        <x:is>
          <x:t xml:space="preserve">PRESIDIO INVESTMENT HOLDINGS</x:t>
        </x:is>
      </x:c>
      <x:c r="H150" s="567" t="inlineStr">
        <x:is>
          <x:t xml:space="preserve">PUBLIC</x:t>
        </x:is>
      </x:c>
      <x:c r="I150" s="567" t="inlineStr">
        <x:is>
          <x:t xml:space="preserve">S31 T12N R24W A</x:t>
        </x:is>
      </x:c>
      <x:c r="J150" s="567" t="inlineStr">
        <x:is>
          <x:t xml:space="preserve">Doc 2021-001557; attached Roger Mills County Clerk unplatted legal index image row; Index p.59; legal/quarter extracted visually from image-only PDF.</x:t>
        </x:is>
      </x:c>
      <x:c r="K150" s="567" t="inlineStr">
        <x:is>
          <x:t xml:space="preserve">63e8b9a8d056433a9994fe46ca85076b.pdf</x:t>
        </x:is>
      </x:c>
      <x:c r="L150" s="567" t="inlineStr">
        <x:is>
          <x:t xml:space="preserve">Index p.59</x:t>
        </x:is>
      </x:c>
      <x:c r="M150" s="567" t="inlineStr">
        <x:is>
          <x:t xml:space="preserve">https://okcountyrecords.com/detail/roger+mills/2021-001557</x:t>
        </x:is>
      </x:c>
      <x:c r="N150" s="567" t="inlineStr">
        <x:is>
          <x:t xml:space="preserve">Index row added - certified copy/image required</x:t>
        </x:is>
      </x:c>
      <x:c r="O150" s="567" t="inlineStr">
        <x:is>
          <x:t xml:space="preserve">https://okcountyrecords.com/detail/roger+mills/2021-001557</x:t>
        </x:is>
      </x:c>
      <x:c r="P150" s="567" t="inlineStr">
        <x:is>
          <x:t xml:space="preserve">Obtain certified instrument/image; verify parties, acreage, legal calls, status, and release/assignment chain.</x:t>
        </x:is>
      </x:c>
      <x:c r="Q150" s="567" t="inlineStr">
        <x:is>
          <x:t xml:space="preserve">High</x:t>
        </x:is>
      </x:c>
      <x:c r="R150" s="567" t="inlineStr">
        <x:is>
          <x:t xml:space="preserve">Probate / Affidavit</x:t>
        </x:is>
      </x:c>
      <x:c r="S150" s="650" t="n">
        <x:v>44462</x:v>
      </x:c>
      <x:c r="T150" s="567" t="inlineStr">
        <x:is>
          <x:t xml:space="preserve">Clerk index Doc/Date from attached image-only report</x:t>
        </x:is>
      </x:c>
      <x:c r="U150" s="650" t="n">
        <x:v>44462</x:v>
      </x:c>
      <x:c r="V150" s="567" t="inlineStr">
        <x:is>
          <x:t xml:space="preserve">31-12N-24W</x:t>
        </x:is>
      </x:c>
      <x:c r="W150" s="567" t="inlineStr">
        <x:is>
          <x:t xml:space="preserve">A</x:t>
        </x:is>
      </x:c>
      <x:c r="X150" s="567" t="inlineStr">
        <x:is>
          <x:t xml:space="preserve">High - visually read from report</x:t>
        </x:is>
      </x:c>
      <x:c r="Y150" s="568" t="inlineStr">
        <x:is>
          <x:t xml:space="preserve">Yes - verify against certified document image</x:t>
        </x:is>
      </x:c>
      <x:c r="Z150" s="568" t="inlineStr">
        <x:is>
          <x:t xml:space="preserve">Supplemental import from attached image-only index; not full OCR-certified transcription.</x:t>
        </x:is>
      </x:c>
    </x:row>
    <x:row r="151">
      <x:c r="A151" s="567" t="n">
        <x:v>514</x:v>
      </x:c>
      <x:c r="B151" s="567" t="inlineStr">
        <x:is>
          <x:t xml:space="preserve">Clerk Index PDF / OKCR</x:t>
        </x:is>
      </x:c>
      <x:c r="C151" s="567" t="inlineStr">
        <x:is>
          <x:t xml:space="preserve">MTG</x:t>
        </x:is>
      </x:c>
      <x:c r="D151" s="567" t="inlineStr">
        <x:is>
          <x:t xml:space="preserve">002477/0001</x:t>
        </x:is>
      </x:c>
      <x:c r="E151" s="567" t="n"/>
      <x:c r="F151" s="571" t="n">
        <x:v>44462</x:v>
      </x:c>
      <x:c r="G151" s="567" t="inlineStr">
        <x:is>
          <x:t xml:space="preserve">PRESIDIO FINANCE, LLC</x:t>
        </x:is>
      </x:c>
      <x:c r="H151" s="567" t="inlineStr">
        <x:is>
          <x:t xml:space="preserve">UMB BANK</x:t>
        </x:is>
      </x:c>
      <x:c r="I151" s="567" t="inlineStr">
        <x:is>
          <x:t xml:space="preserve">S31 T12N R24W A</x:t>
        </x:is>
      </x:c>
      <x:c r="J151" s="567" t="inlineStr">
        <x:is>
          <x:t xml:space="preserve">Doc 2021-001558; attached Roger Mills County Clerk unplatted legal index image row; Index p.59; legal/quarter extracted visually from image-only PDF.</x:t>
        </x:is>
      </x:c>
      <x:c r="K151" s="567" t="inlineStr">
        <x:is>
          <x:t xml:space="preserve">63e8b9a8d056433a9994fe46ca85076b.pdf</x:t>
        </x:is>
      </x:c>
      <x:c r="L151" s="567" t="inlineStr">
        <x:is>
          <x:t xml:space="preserve">Index p.59</x:t>
        </x:is>
      </x:c>
      <x:c r="M151" s="567" t="inlineStr">
        <x:is>
          <x:t xml:space="preserve">https://okcountyrecords.com/detail/roger+mills/2021-001558</x:t>
        </x:is>
      </x:c>
      <x:c r="N151" s="567" t="inlineStr">
        <x:is>
          <x:t xml:space="preserve">Index row added - certified copy/image required</x:t>
        </x:is>
      </x:c>
      <x:c r="O151" s="567" t="inlineStr">
        <x:is>
          <x:t xml:space="preserve">https://okcountyrecords.com/detail/roger+mills/2021-001558</x:t>
        </x:is>
      </x:c>
      <x:c r="P151" s="567" t="inlineStr">
        <x:is>
          <x:t xml:space="preserve">Obtain certified instrument/image; verify parties, acreage, legal calls, status, and release/assignment chain.</x:t>
        </x:is>
      </x:c>
      <x:c r="Q151" s="567" t="inlineStr">
        <x:is>
          <x:t xml:space="preserve">High</x:t>
        </x:is>
      </x:c>
      <x:c r="R151" s="567" t="inlineStr">
        <x:is>
          <x:t xml:space="preserve">Lien / Release</x:t>
        </x:is>
      </x:c>
      <x:c r="S151" s="650" t="n">
        <x:v>44462</x:v>
      </x:c>
      <x:c r="T151" s="567" t="inlineStr">
        <x:is>
          <x:t xml:space="preserve">Clerk index Doc/Date from attached image-only report</x:t>
        </x:is>
      </x:c>
      <x:c r="U151" s="650" t="n">
        <x:v>44462</x:v>
      </x:c>
      <x:c r="V151" s="567" t="inlineStr">
        <x:is>
          <x:t xml:space="preserve">31-12N-24W</x:t>
        </x:is>
      </x:c>
      <x:c r="W151" s="567" t="inlineStr">
        <x:is>
          <x:t xml:space="preserve">A</x:t>
        </x:is>
      </x:c>
      <x:c r="X151" s="567" t="inlineStr">
        <x:is>
          <x:t xml:space="preserve">High - visually read from report</x:t>
        </x:is>
      </x:c>
      <x:c r="Y151" s="568" t="inlineStr">
        <x:is>
          <x:t xml:space="preserve">Yes - verify against certified document image</x:t>
        </x:is>
      </x:c>
      <x:c r="Z151" s="568" t="inlineStr">
        <x:is>
          <x:t xml:space="preserve">Supplemental import from attached image-only index; not full OCR-certified transcription.</x:t>
        </x:is>
      </x:c>
    </x:row>
    <x:row r="152">
      <x:c r="A152" s="567" t="n">
        <x:v>515</x:v>
      </x:c>
      <x:c r="B152" s="567" t="inlineStr">
        <x:is>
          <x:t xml:space="preserve">Clerk Index PDF / OKCR</x:t>
        </x:is>
      </x:c>
      <x:c r="C152" s="567" t="inlineStr">
        <x:is>
          <x:t xml:space="preserve">OPER AGR</x:t>
        </x:is>
      </x:c>
      <x:c r="D152" s="567" t="inlineStr">
        <x:is>
          <x:t xml:space="preserve">002478/0001</x:t>
        </x:is>
      </x:c>
      <x:c r="E152" s="567" t="n"/>
      <x:c r="F152" s="571" t="n">
        <x:v>44462</x:v>
      </x:c>
      <x:c r="G152" s="567" t="inlineStr">
        <x:is>
          <x:t xml:space="preserve">PRESIDIO PETROLEUM, LLC</x:t>
        </x:is>
      </x:c>
      <x:c r="H152" s="567" t="inlineStr">
        <x:is>
          <x:t xml:space="preserve">PRESIDIO FINANCE et al</x:t>
        </x:is>
      </x:c>
      <x:c r="I152" s="567" t="inlineStr">
        <x:is>
          <x:t xml:space="preserve">S31 T12N R24W A</x:t>
        </x:is>
      </x:c>
      <x:c r="J152" s="567" t="inlineStr">
        <x:is>
          <x:t xml:space="preserve">Doc 2021-001559; attached Roger Mills County Clerk unplatted legal index image row; Index p.59; legal/quarter extracted visually from image-only PDF.</x:t>
        </x:is>
      </x:c>
      <x:c r="K152" s="567" t="inlineStr">
        <x:is>
          <x:t xml:space="preserve">63e8b9a8d056433a9994fe46ca85076b.pdf</x:t>
        </x:is>
      </x:c>
      <x:c r="L152" s="567" t="inlineStr">
        <x:is>
          <x:t xml:space="preserve">Index p.59</x:t>
        </x:is>
      </x:c>
      <x:c r="M152" s="567" t="inlineStr">
        <x:is>
          <x:t xml:space="preserve">https://okcountyrecords.com/detail/roger+mills/2021-001559</x:t>
        </x:is>
      </x:c>
      <x:c r="N152" s="567" t="inlineStr">
        <x:is>
          <x:t xml:space="preserve">Index row added - certified copy/image required</x:t>
        </x:is>
      </x:c>
      <x:c r="O152" s="567" t="inlineStr">
        <x:is>
          <x:t xml:space="preserve">https://okcountyrecords.com/detail/roger+mills/2021-001559</x:t>
        </x:is>
      </x:c>
      <x:c r="P152" s="567" t="inlineStr">
        <x:is>
          <x:t xml:space="preserve">Obtain certified instrument/image; verify parties, acreage, legal calls, status, and release/assignment chain.</x:t>
        </x:is>
      </x:c>
      <x:c r="Q152" s="567" t="inlineStr">
        <x:is>
          <x:t xml:space="preserve">High</x:t>
        </x:is>
      </x:c>
      <x:c r="R152" s="567" t="inlineStr">
        <x:is>
          <x:t xml:space="preserve">Other / Memorandum</x:t>
        </x:is>
      </x:c>
      <x:c r="S152" s="650" t="n">
        <x:v>44462</x:v>
      </x:c>
      <x:c r="T152" s="567" t="inlineStr">
        <x:is>
          <x:t xml:space="preserve">Clerk index Doc/Date from attached image-only report</x:t>
        </x:is>
      </x:c>
      <x:c r="U152" s="650" t="n">
        <x:v>44462</x:v>
      </x:c>
      <x:c r="V152" s="567" t="inlineStr">
        <x:is>
          <x:t xml:space="preserve">31-12N-24W</x:t>
        </x:is>
      </x:c>
      <x:c r="W152" s="567" t="inlineStr">
        <x:is>
          <x:t xml:space="preserve">A</x:t>
        </x:is>
      </x:c>
      <x:c r="X152" s="567" t="inlineStr">
        <x:is>
          <x:t xml:space="preserve">High - visually read from report</x:t>
        </x:is>
      </x:c>
      <x:c r="Y152" s="568" t="inlineStr">
        <x:is>
          <x:t xml:space="preserve">Yes - verify against certified document image</x:t>
        </x:is>
      </x:c>
      <x:c r="Z152" s="568" t="inlineStr">
        <x:is>
          <x:t xml:space="preserve">Supplemental import from attached image-only index; not full OCR-certified transcription.</x:t>
        </x:is>
      </x:c>
    </x:row>
    <x:row r="153">
      <x:c r="A153" s="567" t="n">
        <x:v>516</x:v>
      </x:c>
      <x:c r="B153" s="567" t="inlineStr">
        <x:is>
          <x:t xml:space="preserve">Clerk Index PDF / OKCR</x:t>
        </x:is>
      </x:c>
      <x:c r="C153" s="567" t="inlineStr">
        <x:is>
          <x:t xml:space="preserve">ASGT</x:t>
        </x:is>
      </x:c>
      <x:c r="D153" s="567" t="inlineStr">
        <x:is>
          <x:t xml:space="preserve">002479/0001</x:t>
        </x:is>
      </x:c>
      <x:c r="E153" s="567" t="n"/>
      <x:c r="F153" s="571" t="n">
        <x:v>44463</x:v>
      </x:c>
      <x:c r="G153" s="567" t="inlineStr">
        <x:is>
          <x:t xml:space="preserve">FAIRWAY RESOURCES III, LLC et al</x:t>
        </x:is>
      </x:c>
      <x:c r="H153" s="567" t="inlineStr">
        <x:is>
          <x:t xml:space="preserve">MUSTANG FUEL CORPORATION</x:t>
        </x:is>
      </x:c>
      <x:c r="I153" s="567" t="inlineStr">
        <x:is>
          <x:t xml:space="preserve">S31 T12N R24W E2 NW</x:t>
        </x:is>
      </x:c>
      <x:c r="J153" s="567" t="inlineStr">
        <x:is>
          <x:t xml:space="preserve">Doc 2021-001561; attached Roger Mills County Clerk unplatted legal index image row; Index p.59; legal/quarter extracted visually from image-only PDF.</x:t>
        </x:is>
      </x:c>
      <x:c r="K153" s="567" t="inlineStr">
        <x:is>
          <x:t xml:space="preserve">63e8b9a8d056433a9994fe46ca85076b.pdf</x:t>
        </x:is>
      </x:c>
      <x:c r="L153" s="567" t="inlineStr">
        <x:is>
          <x:t xml:space="preserve">Index p.59</x:t>
        </x:is>
      </x:c>
      <x:c r="M153" s="567" t="inlineStr">
        <x:is>
          <x:t xml:space="preserve">https://okcountyrecords.com/detail/roger+mills/2021-001561</x:t>
        </x:is>
      </x:c>
      <x:c r="N153" s="567" t="inlineStr">
        <x:is>
          <x:t xml:space="preserve">Index row added - certified copy/image required</x:t>
        </x:is>
      </x:c>
      <x:c r="O153" s="567" t="inlineStr">
        <x:is>
          <x:t xml:space="preserve">https://okcountyrecords.com/detail/roger+mills/2021-001561</x:t>
        </x:is>
      </x:c>
      <x:c r="P153" s="567" t="inlineStr">
        <x:is>
          <x:t xml:space="preserve">Obtain certified instrument/image; verify parties, acreage, legal calls, status, and release/assignment chain.</x:t>
        </x:is>
      </x:c>
      <x:c r="Q153" s="567" t="inlineStr">
        <x:is>
          <x:t xml:space="preserve">High</x:t>
        </x:is>
      </x:c>
      <x:c r="R153" s="567" t="inlineStr">
        <x:is>
          <x:t xml:space="preserve">Assignment</x:t>
        </x:is>
      </x:c>
      <x:c r="S153" s="650" t="n">
        <x:v>44463</x:v>
      </x:c>
      <x:c r="T153" s="567" t="inlineStr">
        <x:is>
          <x:t xml:space="preserve">Clerk index Doc/Date from attached image-only report</x:t>
        </x:is>
      </x:c>
      <x:c r="U153" s="650" t="n">
        <x:v>44463</x:v>
      </x:c>
      <x:c r="V153" s="567" t="inlineStr">
        <x:is>
          <x:t xml:space="preserve">31-12N-24W</x:t>
        </x:is>
      </x:c>
      <x:c r="W153" s="567" t="inlineStr">
        <x:is>
          <x:t xml:space="preserve">E/2 NW/4</x:t>
        </x:is>
      </x:c>
      <x:c r="X153" s="567" t="inlineStr">
        <x:is>
          <x:t xml:space="preserve">High - visually read from report</x:t>
        </x:is>
      </x:c>
      <x:c r="Y153" s="568" t="inlineStr">
        <x:is>
          <x:t xml:space="preserve">Yes - verify against certified document image</x:t>
        </x:is>
      </x:c>
      <x:c r="Z153" s="568" t="inlineStr">
        <x:is>
          <x:t xml:space="preserve">Supplemental import from attached image-only index; not full OCR-certified transcription.</x:t>
        </x:is>
      </x:c>
    </x:row>
    <x:row r="154">
      <x:c r="A154" s="567" t="n">
        <x:v>517</x:v>
      </x:c>
      <x:c r="B154" s="567" t="inlineStr">
        <x:is>
          <x:t xml:space="preserve">Clerk Index PDF / OKCR</x:t>
        </x:is>
      </x:c>
      <x:c r="C154" s="567" t="inlineStr">
        <x:is>
          <x:t xml:space="preserve">ASGT</x:t>
        </x:is>
      </x:c>
      <x:c r="D154" s="567" t="inlineStr">
        <x:is>
          <x:t xml:space="preserve">002480/0297</x:t>
        </x:is>
      </x:c>
      <x:c r="E154" s="567" t="n"/>
      <x:c r="F154" s="571" t="n">
        <x:v>44476</x:v>
      </x:c>
      <x:c r="G154" s="567" t="inlineStr">
        <x:is>
          <x:t xml:space="preserve">TLW INVESTMENTS, LLC</x:t>
        </x:is>
      </x:c>
      <x:c r="H154" s="567" t="inlineStr">
        <x:is>
          <x:t xml:space="preserve">CANNON FIELD MINERALS FUND LP</x:t>
        </x:is>
      </x:c>
      <x:c r="I154" s="567" t="inlineStr">
        <x:is>
          <x:t xml:space="preserve">S31 T12N R24W A</x:t>
        </x:is>
      </x:c>
      <x:c r="J154" s="567" t="inlineStr">
        <x:is>
          <x:t xml:space="preserve">Doc 2021-001605; attached Roger Mills County Clerk unplatted legal index image row; Index p.59; legal/quarter extracted visually from image-only PDF.</x:t>
        </x:is>
      </x:c>
      <x:c r="K154" s="567" t="inlineStr">
        <x:is>
          <x:t xml:space="preserve">63e8b9a8d056433a9994fe46ca85076b.pdf</x:t>
        </x:is>
      </x:c>
      <x:c r="L154" s="567" t="inlineStr">
        <x:is>
          <x:t xml:space="preserve">Index p.59</x:t>
        </x:is>
      </x:c>
      <x:c r="M154" s="567" t="inlineStr">
        <x:is>
          <x:t xml:space="preserve">https://okcountyrecords.com/detail/roger+mills/2021-001605</x:t>
        </x:is>
      </x:c>
      <x:c r="N154" s="567" t="inlineStr">
        <x:is>
          <x:t xml:space="preserve">Index row added - certified copy/image required</x:t>
        </x:is>
      </x:c>
      <x:c r="O154" s="567" t="inlineStr">
        <x:is>
          <x:t xml:space="preserve">https://okcountyrecords.com/detail/roger+mills/2021-001605</x:t>
        </x:is>
      </x:c>
      <x:c r="P154" s="567" t="inlineStr">
        <x:is>
          <x:t xml:space="preserve">Obtain certified instrument/image; verify parties, acreage, legal calls, status, and release/assignment chain.</x:t>
        </x:is>
      </x:c>
      <x:c r="Q154" s="567" t="inlineStr">
        <x:is>
          <x:t xml:space="preserve">High</x:t>
        </x:is>
      </x:c>
      <x:c r="R154" s="567" t="inlineStr">
        <x:is>
          <x:t xml:space="preserve">Assignment</x:t>
        </x:is>
      </x:c>
      <x:c r="S154" s="650" t="n">
        <x:v>44476</x:v>
      </x:c>
      <x:c r="T154" s="567" t="inlineStr">
        <x:is>
          <x:t xml:space="preserve">Clerk index Doc/Date from attached image-only report</x:t>
        </x:is>
      </x:c>
      <x:c r="U154" s="650" t="n">
        <x:v>44476</x:v>
      </x:c>
      <x:c r="V154" s="567" t="inlineStr">
        <x:is>
          <x:t xml:space="preserve">31-12N-24W</x:t>
        </x:is>
      </x:c>
      <x:c r="W154" s="567" t="inlineStr">
        <x:is>
          <x:t xml:space="preserve">A</x:t>
        </x:is>
      </x:c>
      <x:c r="X154" s="567" t="inlineStr">
        <x:is>
          <x:t xml:space="preserve">High - visually read from report</x:t>
        </x:is>
      </x:c>
      <x:c r="Y154" s="568" t="inlineStr">
        <x:is>
          <x:t xml:space="preserve">Yes - verify against certified document image</x:t>
        </x:is>
      </x:c>
      <x:c r="Z154" s="568" t="inlineStr">
        <x:is>
          <x:t xml:space="preserve">Supplemental import from attached image-only index; not full OCR-certified transcription.</x:t>
        </x:is>
      </x:c>
    </x:row>
    <x:row r="155">
      <x:c r="A155" s="567" t="n">
        <x:v>518</x:v>
      </x:c>
      <x:c r="B155" s="567" t="inlineStr">
        <x:is>
          <x:t xml:space="preserve">Clerk Index PDF / OKCR</x:t>
        </x:is>
      </x:c>
      <x:c r="C155" s="567" t="inlineStr">
        <x:is>
          <x:t xml:space="preserve">MTG</x:t>
        </x:is>
      </x:c>
      <x:c r="D155" s="567" t="inlineStr">
        <x:is>
          <x:t xml:space="preserve">002493/0001</x:t>
        </x:is>
      </x:c>
      <x:c r="E155" s="567" t="n"/>
      <x:c r="F155" s="571" t="n">
        <x:v>44693</x:v>
      </x:c>
      <x:c r="G155" s="567" t="inlineStr">
        <x:is>
          <x:t xml:space="preserve">UNBRIDLED RESOURCES, LLC et al</x:t>
        </x:is>
      </x:c>
      <x:c r="H155" s="567" t="inlineStr">
        <x:is>
          <x:t xml:space="preserve">JPMORGAN CHASE</x:t>
        </x:is>
      </x:c>
      <x:c r="I155" s="567" t="inlineStr">
        <x:is>
          <x:t xml:space="preserve">S31 T12N R24W A</x:t>
        </x:is>
      </x:c>
      <x:c r="J155" s="567" t="inlineStr">
        <x:is>
          <x:t xml:space="preserve">Doc 2022-000960; attached Roger Mills County Clerk unplatted legal index image row; Index p.60; legal/quarter extracted visually from image-only PDF.</x:t>
        </x:is>
      </x:c>
      <x:c r="K155" s="567" t="inlineStr">
        <x:is>
          <x:t xml:space="preserve">63e8b9a8d056433a9994fe46ca85076b.pdf</x:t>
        </x:is>
      </x:c>
      <x:c r="L155" s="567" t="inlineStr">
        <x:is>
          <x:t xml:space="preserve">Index p.60</x:t>
        </x:is>
      </x:c>
      <x:c r="M155" s="567" t="inlineStr">
        <x:is>
          <x:t xml:space="preserve">https://okcountyrecords.com/detail/roger+mills/2022-000960</x:t>
        </x:is>
      </x:c>
      <x:c r="N155" s="567" t="inlineStr">
        <x:is>
          <x:t xml:space="preserve">Index row added - certified copy/image required</x:t>
        </x:is>
      </x:c>
      <x:c r="O155" s="567" t="inlineStr">
        <x:is>
          <x:t xml:space="preserve">https://okcountyrecords.com/detail/roger+mills/2022-000960</x:t>
        </x:is>
      </x:c>
      <x:c r="P155" s="567" t="inlineStr">
        <x:is>
          <x:t xml:space="preserve">Obtain certified instrument/image; verify parties, acreage, legal calls, status, and release/assignment chain.</x:t>
        </x:is>
      </x:c>
      <x:c r="Q155" s="567" t="inlineStr">
        <x:is>
          <x:t xml:space="preserve">High</x:t>
        </x:is>
      </x:c>
      <x:c r="R155" s="567" t="inlineStr">
        <x:is>
          <x:t xml:space="preserve">Lien / Release</x:t>
        </x:is>
      </x:c>
      <x:c r="S155" s="650" t="n">
        <x:v>44693</x:v>
      </x:c>
      <x:c r="T155" s="567" t="inlineStr">
        <x:is>
          <x:t xml:space="preserve">Clerk index Doc/Date from attached image-only report</x:t>
        </x:is>
      </x:c>
      <x:c r="U155" s="650" t="n">
        <x:v>44693</x:v>
      </x:c>
      <x:c r="V155" s="567" t="inlineStr">
        <x:is>
          <x:t xml:space="preserve">31-12N-24W</x:t>
        </x:is>
      </x:c>
      <x:c r="W155" s="567" t="inlineStr">
        <x:is>
          <x:t xml:space="preserve">A</x:t>
        </x:is>
      </x:c>
      <x:c r="X155" s="567" t="inlineStr">
        <x:is>
          <x:t xml:space="preserve">High - visually read from report</x:t>
        </x:is>
      </x:c>
      <x:c r="Y155" s="568" t="inlineStr">
        <x:is>
          <x:t xml:space="preserve">Yes - verify against certified document image</x:t>
        </x:is>
      </x:c>
      <x:c r="Z155" s="568" t="inlineStr">
        <x:is>
          <x:t xml:space="preserve">Supplemental import from attached image-only index; not full OCR-certified transcription.</x:t>
        </x:is>
      </x:c>
    </x:row>
    <x:row r="156">
      <x:c r="A156" s="567" t="n">
        <x:v>519</x:v>
      </x:c>
      <x:c r="B156" s="567" t="inlineStr">
        <x:is>
          <x:t xml:space="preserve">Clerk Index PDF / OKCR</x:t>
        </x:is>
      </x:c>
      <x:c r="C156" s="567" t="inlineStr">
        <x:is>
          <x:t xml:space="preserve">FS</x:t>
        </x:is>
      </x:c>
      <x:c r="D156" s="567" t="inlineStr">
        <x:is>
          <x:t xml:space="preserve">002494/0001</x:t>
        </x:is>
      </x:c>
      <x:c r="E156" s="567" t="n"/>
      <x:c r="F156" s="571" t="n">
        <x:v>44693</x:v>
      </x:c>
      <x:c r="G156" s="567" t="inlineStr">
        <x:is>
          <x:t xml:space="preserve">UNBRIDLED RESOURCES, LLC et al</x:t>
        </x:is>
      </x:c>
      <x:c r="H156" s="567" t="inlineStr">
        <x:is>
          <x:t xml:space="preserve">JP MORGAN CHASE</x:t>
        </x:is>
      </x:c>
      <x:c r="I156" s="567" t="inlineStr">
        <x:is>
          <x:t xml:space="preserve">S31 T12N R24W A</x:t>
        </x:is>
      </x:c>
      <x:c r="J156" s="567" t="inlineStr">
        <x:is>
          <x:t xml:space="preserve">Doc 2022-000961; attached Roger Mills County Clerk unplatted legal index image row; Index p.60; legal/quarter extracted visually from image-only PDF.</x:t>
        </x:is>
      </x:c>
      <x:c r="K156" s="567" t="inlineStr">
        <x:is>
          <x:t xml:space="preserve">63e8b9a8d056433a9994fe46ca85076b.pdf</x:t>
        </x:is>
      </x:c>
      <x:c r="L156" s="567" t="inlineStr">
        <x:is>
          <x:t xml:space="preserve">Index p.60</x:t>
        </x:is>
      </x:c>
      <x:c r="M156" s="567" t="inlineStr">
        <x:is>
          <x:t xml:space="preserve">https://okcountyrecords.com/detail/roger+mills/2022-000961</x:t>
        </x:is>
      </x:c>
      <x:c r="N156" s="567" t="inlineStr">
        <x:is>
          <x:t xml:space="preserve">Index row added - certified copy/image required</x:t>
        </x:is>
      </x:c>
      <x:c r="O156" s="567" t="inlineStr">
        <x:is>
          <x:t xml:space="preserve">https://okcountyrecords.com/detail/roger+mills/2022-000961</x:t>
        </x:is>
      </x:c>
      <x:c r="P156" s="567" t="inlineStr">
        <x:is>
          <x:t xml:space="preserve">Obtain certified instrument/image; verify parties, acreage, legal calls, status, and release/assignment chain.</x:t>
        </x:is>
      </x:c>
      <x:c r="Q156" s="567" t="inlineStr">
        <x:is>
          <x:t xml:space="preserve">High</x:t>
        </x:is>
      </x:c>
      <x:c r="R156" s="567" t="inlineStr">
        <x:is>
          <x:t xml:space="preserve">Lien / Release</x:t>
        </x:is>
      </x:c>
      <x:c r="S156" s="650" t="n">
        <x:v>44693</x:v>
      </x:c>
      <x:c r="T156" s="567" t="inlineStr">
        <x:is>
          <x:t xml:space="preserve">Clerk index Doc/Date from attached image-only report</x:t>
        </x:is>
      </x:c>
      <x:c r="U156" s="650" t="n">
        <x:v>44693</x:v>
      </x:c>
      <x:c r="V156" s="567" t="inlineStr">
        <x:is>
          <x:t xml:space="preserve">31-12N-24W</x:t>
        </x:is>
      </x:c>
      <x:c r="W156" s="567" t="inlineStr">
        <x:is>
          <x:t xml:space="preserve">A</x:t>
        </x:is>
      </x:c>
      <x:c r="X156" s="567" t="inlineStr">
        <x:is>
          <x:t xml:space="preserve">High - visually read from report</x:t>
        </x:is>
      </x:c>
      <x:c r="Y156" s="568" t="inlineStr">
        <x:is>
          <x:t xml:space="preserve">Yes - verify against certified document image</x:t>
        </x:is>
      </x:c>
      <x:c r="Z156" s="568" t="inlineStr">
        <x:is>
          <x:t xml:space="preserve">Supplemental import from attached image-only index; not full OCR-certified transcription.</x:t>
        </x:is>
      </x:c>
    </x:row>
    <x:row r="157">
      <x:c r="A157" s="567" t="n">
        <x:v>520</x:v>
      </x:c>
      <x:c r="B157" s="567" t="inlineStr">
        <x:is>
          <x:t xml:space="preserve">Clerk Index PDF / OKCR</x:t>
        </x:is>
      </x:c>
      <x:c r="C157" s="567" t="inlineStr">
        <x:is>
          <x:t xml:space="preserve">TERM-UCC</x:t>
        </x:is>
      </x:c>
      <x:c r="D157" s="567" t="inlineStr">
        <x:is>
          <x:t xml:space="preserve">002496/0460</x:t>
        </x:is>
      </x:c>
      <x:c r="E157" s="567" t="n"/>
      <x:c r="F157" s="571" t="n">
        <x:v>44741</x:v>
      </x:c>
      <x:c r="G157" s="567" t="inlineStr">
        <x:is>
          <x:t xml:space="preserve">JPMORGAN CHASE BANK</x:t>
        </x:is>
      </x:c>
      <x:c r="H157" s="567" t="inlineStr">
        <x:is>
          <x:t xml:space="preserve">TECOLOTE HOLDINGS, LLC et al</x:t>
        </x:is>
      </x:c>
      <x:c r="I157" s="567" t="inlineStr">
        <x:is>
          <x:t xml:space="preserve">S31 T12N R24W A</x:t>
        </x:is>
      </x:c>
      <x:c r="J157" s="567" t="inlineStr">
        <x:is>
          <x:t xml:space="preserve">Doc 2022-001242; attached Roger Mills County Clerk unplatted legal index image row; Index p.60; legal/quarter extracted visually from image-only PDF.</x:t>
        </x:is>
      </x:c>
      <x:c r="K157" s="567" t="inlineStr">
        <x:is>
          <x:t xml:space="preserve">63e8b9a8d056433a9994fe46ca85076b.pdf</x:t>
        </x:is>
      </x:c>
      <x:c r="L157" s="567" t="inlineStr">
        <x:is>
          <x:t xml:space="preserve">Index p.60</x:t>
        </x:is>
      </x:c>
      <x:c r="M157" s="567" t="inlineStr">
        <x:is>
          <x:t xml:space="preserve">https://okcountyrecords.com/detail/roger+mills/2022-001242</x:t>
        </x:is>
      </x:c>
      <x:c r="N157" s="567" t="inlineStr">
        <x:is>
          <x:t xml:space="preserve">Index row added - certified copy/image required</x:t>
        </x:is>
      </x:c>
      <x:c r="O157" s="567" t="inlineStr">
        <x:is>
          <x:t xml:space="preserve">https://okcountyrecords.com/detail/roger+mills/2022-001242</x:t>
        </x:is>
      </x:c>
      <x:c r="P157" s="567" t="inlineStr">
        <x:is>
          <x:t xml:space="preserve">Obtain certified instrument/image; verify parties, acreage, legal calls, status, and release/assignment chain.</x:t>
        </x:is>
      </x:c>
      <x:c r="Q157" s="567" t="inlineStr">
        <x:is>
          <x:t xml:space="preserve">High</x:t>
        </x:is>
      </x:c>
      <x:c r="R157" s="567" t="inlineStr">
        <x:is>
          <x:t xml:space="preserve">Lien / Release</x:t>
        </x:is>
      </x:c>
      <x:c r="S157" s="650" t="n">
        <x:v>44741</x:v>
      </x:c>
      <x:c r="T157" s="567" t="inlineStr">
        <x:is>
          <x:t xml:space="preserve">Clerk index Doc/Date from attached image-only report</x:t>
        </x:is>
      </x:c>
      <x:c r="U157" s="650" t="n">
        <x:v>44741</x:v>
      </x:c>
      <x:c r="V157" s="567" t="inlineStr">
        <x:is>
          <x:t xml:space="preserve">31-12N-24W</x:t>
        </x:is>
      </x:c>
      <x:c r="W157" s="567" t="inlineStr">
        <x:is>
          <x:t xml:space="preserve">A</x:t>
        </x:is>
      </x:c>
      <x:c r="X157" s="567" t="inlineStr">
        <x:is>
          <x:t xml:space="preserve">High - visually read from report</x:t>
        </x:is>
      </x:c>
      <x:c r="Y157" s="568" t="inlineStr">
        <x:is>
          <x:t xml:space="preserve">Yes - verify against certified document image</x:t>
        </x:is>
      </x:c>
      <x:c r="Z157" s="568" t="inlineStr">
        <x:is>
          <x:t xml:space="preserve">Supplemental import from attached image-only index; not full OCR-certified transcription.</x:t>
        </x:is>
      </x:c>
    </x:row>
    <x:row r="158">
      <x:c r="A158" s="567" t="n">
        <x:v>521</x:v>
      </x:c>
      <x:c r="B158" s="567" t="inlineStr">
        <x:is>
          <x:t xml:space="preserve">Clerk Index PDF / OKCR</x:t>
        </x:is>
      </x:c>
      <x:c r="C158" s="567" t="inlineStr">
        <x:is>
          <x:t xml:space="preserve">REL MTG</x:t>
        </x:is>
      </x:c>
      <x:c r="D158" s="567" t="inlineStr">
        <x:is>
          <x:t xml:space="preserve">002511/0016</x:t>
        </x:is>
      </x:c>
      <x:c r="E158" s="567" t="n"/>
      <x:c r="F158" s="571" t="n">
        <x:v>44914</x:v>
      </x:c>
      <x:c r="G158" s="567" t="inlineStr">
        <x:is>
          <x:t xml:space="preserve">SECURITY STATE BANK</x:t>
        </x:is>
      </x:c>
      <x:c r="H158" s="567" t="inlineStr">
        <x:is>
          <x:t xml:space="preserve">BRYANT WILLIAM et al</x:t>
        </x:is>
      </x:c>
      <x:c r="I158" s="567" t="inlineStr">
        <x:is>
          <x:t xml:space="preserve">S31 T12N R24W SW L1 TRACT</x:t>
        </x:is>
      </x:c>
      <x:c r="J158" s="567" t="inlineStr">
        <x:is>
          <x:t xml:space="preserve">Doc 2022-002667; attached Roger Mills County Clerk unplatted legal index image row; Index p.60; legal/quarter extracted visually from image-only PDF.</x:t>
        </x:is>
      </x:c>
      <x:c r="K158" s="567" t="inlineStr">
        <x:is>
          <x:t xml:space="preserve">63e8b9a8d056433a9994fe46ca85076b.pdf</x:t>
        </x:is>
      </x:c>
      <x:c r="L158" s="567" t="inlineStr">
        <x:is>
          <x:t xml:space="preserve">Index p.60</x:t>
        </x:is>
      </x:c>
      <x:c r="M158" s="567" t="inlineStr">
        <x:is>
          <x:t xml:space="preserve">https://okcountyrecords.com/detail/roger+mills/2022-002667</x:t>
        </x:is>
      </x:c>
      <x:c r="N158" s="567" t="inlineStr">
        <x:is>
          <x:t xml:space="preserve">Index row added - certified copy/image required</x:t>
        </x:is>
      </x:c>
      <x:c r="O158" s="567" t="inlineStr">
        <x:is>
          <x:t xml:space="preserve">https://okcountyrecords.com/detail/roger+mills/2022-002667</x:t>
        </x:is>
      </x:c>
      <x:c r="P158" s="567" t="inlineStr">
        <x:is>
          <x:t xml:space="preserve">Obtain certified instrument/image; verify parties, acreage, legal calls, status, and release/assignment chain.</x:t>
        </x:is>
      </x:c>
      <x:c r="Q158" s="567" t="inlineStr">
        <x:is>
          <x:t xml:space="preserve">Medium</x:t>
        </x:is>
      </x:c>
      <x:c r="R158" s="567" t="inlineStr">
        <x:is>
          <x:t xml:space="preserve">Lien / Release</x:t>
        </x:is>
      </x:c>
      <x:c r="S158" s="650" t="n">
        <x:v>44914</x:v>
      </x:c>
      <x:c r="T158" s="567" t="inlineStr">
        <x:is>
          <x:t xml:space="preserve">Clerk index Doc/Date from attached image-only report</x:t>
        </x:is>
      </x:c>
      <x:c r="U158" s="650" t="n">
        <x:v>44914</x:v>
      </x:c>
      <x:c r="V158" s="567" t="inlineStr">
        <x:is>
          <x:t xml:space="preserve">31-12N-24W</x:t>
        </x:is>
      </x:c>
      <x:c r="W158" s="567" t="inlineStr">
        <x:is>
          <x:t xml:space="preserve">SW Lot 1 tract</x:t>
        </x:is>
      </x:c>
      <x:c r="X158" s="567" t="inlineStr">
        <x:is>
          <x:t xml:space="preserve">Medium - visually read, confirm against image</x:t>
        </x:is>
      </x:c>
      <x:c r="Y158" s="568" t="inlineStr">
        <x:is>
          <x:t xml:space="preserve">Yes - verify against certified document image</x:t>
        </x:is>
      </x:c>
      <x:c r="Z158" s="568" t="inlineStr">
        <x:is>
          <x:t xml:space="preserve">Supplemental import from attached image-only index; not full OCR-certified transcription.</x:t>
        </x:is>
      </x:c>
    </x:row>
    <x:row r="159">
      <x:c r="A159" s="567" t="n">
        <x:v>522</x:v>
      </x:c>
      <x:c r="B159" s="567" t="inlineStr">
        <x:is>
          <x:t xml:space="preserve">Clerk Index PDF / OKCR</x:t>
        </x:is>
      </x:c>
      <x:c r="C159" s="567" t="inlineStr">
        <x:is>
          <x:t xml:space="preserve">TERM-UCC</x:t>
        </x:is>
      </x:c>
      <x:c r="D159" s="567" t="inlineStr">
        <x:is>
          <x:t xml:space="preserve">002514/0196</x:t>
        </x:is>
      </x:c>
      <x:c r="E159" s="567" t="n"/>
      <x:c r="F159" s="571" t="n">
        <x:v>44936</x:v>
      </x:c>
      <x:c r="G159" s="567" t="inlineStr">
        <x:is>
          <x:t xml:space="preserve">JP MORGAN CHASE</x:t>
        </x:is>
      </x:c>
      <x:c r="H159" s="567" t="inlineStr">
        <x:is>
          <x:t xml:space="preserve">TECOLOTE HOLDINGS, LLC</x:t>
        </x:is>
      </x:c>
      <x:c r="I159" s="567" t="inlineStr">
        <x:is>
          <x:t xml:space="preserve">S31 T12N R24W A</x:t>
        </x:is>
      </x:c>
      <x:c r="J159" s="567" t="inlineStr">
        <x:is>
          <x:t xml:space="preserve">Doc 2023-000029; attached Roger Mills County Clerk unplatted legal index image row; Index p.60; legal/quarter extracted visually from image-only PDF.</x:t>
        </x:is>
      </x:c>
      <x:c r="K159" s="567" t="inlineStr">
        <x:is>
          <x:t xml:space="preserve">63e8b9a8d056433a9994fe46ca85076b.pdf</x:t>
        </x:is>
      </x:c>
      <x:c r="L159" s="567" t="inlineStr">
        <x:is>
          <x:t xml:space="preserve">Index p.60</x:t>
        </x:is>
      </x:c>
      <x:c r="M159" s="567" t="inlineStr">
        <x:is>
          <x:t xml:space="preserve">https://okcountyrecords.com/detail/roger+mills/2023-000029</x:t>
        </x:is>
      </x:c>
      <x:c r="N159" s="567" t="inlineStr">
        <x:is>
          <x:t xml:space="preserve">Index row added - certified copy/image required</x:t>
        </x:is>
      </x:c>
      <x:c r="O159" s="567" t="inlineStr">
        <x:is>
          <x:t xml:space="preserve">https://okcountyrecords.com/detail/roger+mills/2023-000029</x:t>
        </x:is>
      </x:c>
      <x:c r="P159" s="567" t="inlineStr">
        <x:is>
          <x:t xml:space="preserve">Obtain certified instrument/image; verify parties, acreage, legal calls, status, and release/assignment chain.</x:t>
        </x:is>
      </x:c>
      <x:c r="Q159" s="567" t="inlineStr">
        <x:is>
          <x:t xml:space="preserve">High</x:t>
        </x:is>
      </x:c>
      <x:c r="R159" s="567" t="inlineStr">
        <x:is>
          <x:t xml:space="preserve">Lien / Release</x:t>
        </x:is>
      </x:c>
      <x:c r="S159" s="650" t="n">
        <x:v>44936</x:v>
      </x:c>
      <x:c r="T159" s="567" t="inlineStr">
        <x:is>
          <x:t xml:space="preserve">Clerk index Doc/Date from attached image-only report</x:t>
        </x:is>
      </x:c>
      <x:c r="U159" s="650" t="n">
        <x:v>44936</x:v>
      </x:c>
      <x:c r="V159" s="567" t="inlineStr">
        <x:is>
          <x:t xml:space="preserve">31-12N-24W</x:t>
        </x:is>
      </x:c>
      <x:c r="W159" s="567" t="inlineStr">
        <x:is>
          <x:t xml:space="preserve">A</x:t>
        </x:is>
      </x:c>
      <x:c r="X159" s="567" t="inlineStr">
        <x:is>
          <x:t xml:space="preserve">High - visually read from report</x:t>
        </x:is>
      </x:c>
      <x:c r="Y159" s="568" t="inlineStr">
        <x:is>
          <x:t xml:space="preserve">Yes - verify against certified document image</x:t>
        </x:is>
      </x:c>
      <x:c r="Z159" s="568" t="inlineStr">
        <x:is>
          <x:t xml:space="preserve">Supplemental import from attached image-only index; not full OCR-certified transcription.</x:t>
        </x:is>
      </x:c>
    </x:row>
    <x:row r="160">
      <x:c r="A160" s="567" t="n">
        <x:v>523</x:v>
      </x:c>
      <x:c r="B160" s="567" t="inlineStr">
        <x:is>
          <x:t xml:space="preserve">Clerk Index PDF / OKCR</x:t>
        </x:is>
      </x:c>
      <x:c r="C160" s="567" t="inlineStr">
        <x:is>
          <x:t xml:space="preserve">MTG</x:t>
        </x:is>
      </x:c>
      <x:c r="D160" s="567" t="inlineStr">
        <x:is>
          <x:t xml:space="preserve">002535/0001</x:t>
        </x:is>
      </x:c>
      <x:c r="E160" s="567" t="n"/>
      <x:c r="F160" s="571" t="n">
        <x:v>45170</x:v>
      </x:c>
      <x:c r="G160" s="567" t="inlineStr">
        <x:is>
          <x:t xml:space="preserve">PRESIDIO FINANCE, LLC</x:t>
        </x:is>
      </x:c>
      <x:c r="H160" s="567" t="inlineStr">
        <x:is>
          <x:t xml:space="preserve">UMB BANK</x:t>
        </x:is>
      </x:c>
      <x:c r="I160" s="567" t="inlineStr">
        <x:is>
          <x:t xml:space="preserve">S31 T12N R24W A</x:t>
        </x:is>
      </x:c>
      <x:c r="J160" s="567" t="inlineStr">
        <x:is>
          <x:t xml:space="preserve">Doc 2023-002871; attached Roger Mills County Clerk unplatted legal index image row; Index p.60; legal/quarter extracted visually from image-only PDF.</x:t>
        </x:is>
      </x:c>
      <x:c r="K160" s="567" t="inlineStr">
        <x:is>
          <x:t xml:space="preserve">63e8b9a8d056433a9994fe46ca85076b.pdf</x:t>
        </x:is>
      </x:c>
      <x:c r="L160" s="567" t="inlineStr">
        <x:is>
          <x:t xml:space="preserve">Index p.60</x:t>
        </x:is>
      </x:c>
      <x:c r="M160" s="567" t="inlineStr">
        <x:is>
          <x:t xml:space="preserve">https://okcountyrecords.com/detail/roger+mills/2023-002871</x:t>
        </x:is>
      </x:c>
      <x:c r="N160" s="567" t="inlineStr">
        <x:is>
          <x:t xml:space="preserve">Index row added - certified copy/image required</x:t>
        </x:is>
      </x:c>
      <x:c r="O160" s="567" t="inlineStr">
        <x:is>
          <x:t xml:space="preserve">https://okcountyrecords.com/detail/roger+mills/2023-002871</x:t>
        </x:is>
      </x:c>
      <x:c r="P160" s="567" t="inlineStr">
        <x:is>
          <x:t xml:space="preserve">Obtain certified instrument/image; verify parties, acreage, legal calls, status, and release/assignment chain.</x:t>
        </x:is>
      </x:c>
      <x:c r="Q160" s="567" t="inlineStr">
        <x:is>
          <x:t xml:space="preserve">High</x:t>
        </x:is>
      </x:c>
      <x:c r="R160" s="567" t="inlineStr">
        <x:is>
          <x:t xml:space="preserve">Lien / Release</x:t>
        </x:is>
      </x:c>
      <x:c r="S160" s="650" t="n">
        <x:v>45170</x:v>
      </x:c>
      <x:c r="T160" s="567" t="inlineStr">
        <x:is>
          <x:t xml:space="preserve">Clerk index Doc/Date from attached image-only report</x:t>
        </x:is>
      </x:c>
      <x:c r="U160" s="650" t="n">
        <x:v>45170</x:v>
      </x:c>
      <x:c r="V160" s="567" t="inlineStr">
        <x:is>
          <x:t xml:space="preserve">31-12N-24W</x:t>
        </x:is>
      </x:c>
      <x:c r="W160" s="567" t="inlineStr">
        <x:is>
          <x:t xml:space="preserve">A</x:t>
        </x:is>
      </x:c>
      <x:c r="X160" s="567" t="inlineStr">
        <x:is>
          <x:t xml:space="preserve">High - visually read from report</x:t>
        </x:is>
      </x:c>
      <x:c r="Y160" s="568" t="inlineStr">
        <x:is>
          <x:t xml:space="preserve">Yes - verify against certified document image</x:t>
        </x:is>
      </x:c>
      <x:c r="Z160" s="568" t="inlineStr">
        <x:is>
          <x:t xml:space="preserve">Supplemental import from attached image-only index; not full OCR-certified transcription.</x:t>
        </x:is>
      </x:c>
    </x:row>
    <x:row r="161">
      <x:c r="A161" s="567" t="n">
        <x:v>524</x:v>
      </x:c>
      <x:c r="B161" s="567" t="inlineStr">
        <x:is>
          <x:t xml:space="preserve">Clerk Index PDF / OKCR</x:t>
        </x:is>
      </x:c>
      <x:c r="C161" s="567" t="inlineStr">
        <x:is>
          <x:t xml:space="preserve">PTRELIE</x:t>
        </x:is>
      </x:c>
      <x:c r="D161" s="567" t="inlineStr">
        <x:is>
          <x:t xml:space="preserve">002542/0149</x:t>
        </x:is>
      </x:c>
      <x:c r="E161" s="567" t="n"/>
      <x:c r="F161" s="571" t="n">
        <x:v>45247</x:v>
      </x:c>
      <x:c r="G161" s="567" t="inlineStr">
        <x:is>
          <x:t xml:space="preserve">JPMORGAN CHASE BANK NA</x:t>
        </x:is>
      </x:c>
      <x:c r="H161" s="567" t="inlineStr">
        <x:is>
          <x:t xml:space="preserve">UNBRIDLED RESOURCES, LLC et al</x:t>
        </x:is>
      </x:c>
      <x:c r="I161" s="567" t="inlineStr">
        <x:is>
          <x:t xml:space="preserve">S31 T12N R24W ALL ALEXANDER</x:t>
        </x:is>
      </x:c>
      <x:c r="J161" s="567" t="inlineStr">
        <x:is>
          <x:t xml:space="preserve">Doc 2023-003358; attached Roger Mills County Clerk unplatted legal index image row; Index p.60; legal/quarter extracted visually from image-only PDF.</x:t>
        </x:is>
      </x:c>
      <x:c r="K161" s="567" t="inlineStr">
        <x:is>
          <x:t xml:space="preserve">63e8b9a8d056433a9994fe46ca85076b.pdf</x:t>
        </x:is>
      </x:c>
      <x:c r="L161" s="567" t="inlineStr">
        <x:is>
          <x:t xml:space="preserve">Index p.60</x:t>
        </x:is>
      </x:c>
      <x:c r="M161" s="567" t="inlineStr">
        <x:is>
          <x:t xml:space="preserve">https://okcountyrecords.com/detail/roger+mills/2023-003358</x:t>
        </x:is>
      </x:c>
      <x:c r="N161" s="567" t="inlineStr">
        <x:is>
          <x:t xml:space="preserve">Index row added - certified copy/image required</x:t>
        </x:is>
      </x:c>
      <x:c r="O161" s="567" t="inlineStr">
        <x:is>
          <x:t xml:space="preserve">https://okcountyrecords.com/detail/roger+mills/2023-003358</x:t>
        </x:is>
      </x:c>
      <x:c r="P161" s="567" t="inlineStr">
        <x:is>
          <x:t xml:space="preserve">Obtain certified instrument/image; verify parties, acreage, legal calls, status, and release/assignment chain.</x:t>
        </x:is>
      </x:c>
      <x:c r="Q161" s="567" t="inlineStr">
        <x:is>
          <x:t xml:space="preserve">High</x:t>
        </x:is>
      </x:c>
      <x:c r="R161" s="567" t="inlineStr">
        <x:is>
          <x:t xml:space="preserve">Lien / Release</x:t>
        </x:is>
      </x:c>
      <x:c r="S161" s="650" t="n">
        <x:v>45247</x:v>
      </x:c>
      <x:c r="T161" s="567" t="inlineStr">
        <x:is>
          <x:t xml:space="preserve">Clerk index Doc/Date from attached image-only report</x:t>
        </x:is>
      </x:c>
      <x:c r="U161" s="650" t="n">
        <x:v>45247</x:v>
      </x:c>
      <x:c r="V161" s="567" t="inlineStr">
        <x:is>
          <x:t xml:space="preserve">31-12N-24W</x:t>
        </x:is>
      </x:c>
      <x:c r="W161" s="567" t="inlineStr">
        <x:is>
          <x:t xml:space="preserve">All / Alexander</x:t>
        </x:is>
      </x:c>
      <x:c r="X161" s="567" t="inlineStr">
        <x:is>
          <x:t xml:space="preserve">High - visually read from report</x:t>
        </x:is>
      </x:c>
      <x:c r="Y161" s="568" t="inlineStr">
        <x:is>
          <x:t xml:space="preserve">Yes - verify against certified document image</x:t>
        </x:is>
      </x:c>
      <x:c r="Z161" s="568" t="inlineStr">
        <x:is>
          <x:t xml:space="preserve">Supplemental import from attached image-only index; not full OCR-certified transcription.</x:t>
        </x:is>
      </x:c>
    </x:row>
    <x:row r="162">
      <x:c r="A162" s="567" t="n">
        <x:v>525</x:v>
      </x:c>
      <x:c r="B162" s="567" t="inlineStr">
        <x:is>
          <x:t xml:space="preserve">Clerk Index PDF / OKCR</x:t>
        </x:is>
      </x:c>
      <x:c r="C162" s="567" t="inlineStr">
        <x:is>
          <x:t xml:space="preserve">WELBOR E-ASGT</x:t>
        </x:is>
      </x:c>
      <x:c r="D162" s="567" t="inlineStr">
        <x:is>
          <x:t xml:space="preserve">002542/0413</x:t>
        </x:is>
      </x:c>
      <x:c r="E162" s="567" t="n"/>
      <x:c r="F162" s="571" t="n">
        <x:v>45247</x:v>
      </x:c>
      <x:c r="G162" s="567" t="inlineStr">
        <x:is>
          <x:t xml:space="preserve">UNBRIDLED RESOURCES, LLC</x:t>
        </x:is>
      </x:c>
      <x:c r="H162" s="567" t="inlineStr">
        <x:is>
          <x:t xml:space="preserve">MNR ABS ISSUER I, LLC</x:t>
        </x:is>
      </x:c>
      <x:c r="I162" s="567" t="inlineStr">
        <x:is>
          <x:t xml:space="preserve">S31 T12N R24W ALL ALEXANDER 1-31</x:t>
        </x:is>
      </x:c>
      <x:c r="J162" s="567" t="inlineStr">
        <x:is>
          <x:t xml:space="preserve">Doc 2023-003590; attached Roger Mills County Clerk unplatted legal index image row; Index p.61; legal/quarter extracted visually from image-only PDF.</x:t>
        </x:is>
      </x:c>
      <x:c r="K162" s="567" t="inlineStr">
        <x:is>
          <x:t xml:space="preserve">63e8b9a8d056433a9994fe46ca85076b.pdf</x:t>
        </x:is>
      </x:c>
      <x:c r="L162" s="567" t="inlineStr">
        <x:is>
          <x:t xml:space="preserve">Index p.61</x:t>
        </x:is>
      </x:c>
      <x:c r="M162" s="567" t="inlineStr">
        <x:is>
          <x:t xml:space="preserve">https://okcountyrecords.com/detail/roger+mills/2023-003590</x:t>
        </x:is>
      </x:c>
      <x:c r="N162" s="567" t="inlineStr">
        <x:is>
          <x:t xml:space="preserve">Index row added - certified copy/image required</x:t>
        </x:is>
      </x:c>
      <x:c r="O162" s="567" t="inlineStr">
        <x:is>
          <x:t xml:space="preserve">https://okcountyrecords.com/detail/roger+mills/2023-003590</x:t>
        </x:is>
      </x:c>
      <x:c r="P162" s="567" t="inlineStr">
        <x:is>
          <x:t xml:space="preserve">Obtain certified instrument/image; verify parties, acreage, legal calls, status, and release/assignment chain.</x:t>
        </x:is>
      </x:c>
      <x:c r="Q162" s="567" t="inlineStr">
        <x:is>
          <x:t xml:space="preserve">High</x:t>
        </x:is>
      </x:c>
      <x:c r="R162" s="567" t="inlineStr">
        <x:is>
          <x:t xml:space="preserve">Assignment</x:t>
        </x:is>
      </x:c>
      <x:c r="S162" s="650" t="n">
        <x:v>45247</x:v>
      </x:c>
      <x:c r="T162" s="567" t="inlineStr">
        <x:is>
          <x:t xml:space="preserve">Clerk index Doc/Date from attached image-only report</x:t>
        </x:is>
      </x:c>
      <x:c r="U162" s="650" t="n">
        <x:v>45247</x:v>
      </x:c>
      <x:c r="V162" s="567" t="inlineStr">
        <x:is>
          <x:t xml:space="preserve">31-12N-24W</x:t>
        </x:is>
      </x:c>
      <x:c r="W162" s="567" t="inlineStr">
        <x:is>
          <x:t xml:space="preserve">All / Alexander 1-31</x:t>
        </x:is>
      </x:c>
      <x:c r="X162" s="567" t="inlineStr">
        <x:is>
          <x:t xml:space="preserve">High - visually read from report</x:t>
        </x:is>
      </x:c>
      <x:c r="Y162" s="568" t="inlineStr">
        <x:is>
          <x:t xml:space="preserve">Yes - verify against certified document image</x:t>
        </x:is>
      </x:c>
      <x:c r="Z162" s="568" t="inlineStr">
        <x:is>
          <x:t xml:space="preserve">Supplemental import from attached image-only index; not full OCR-certified transcription.</x:t>
        </x:is>
      </x:c>
    </x:row>
    <x:row r="163">
      <x:c r="A163" s="567" t="n">
        <x:v>526</x:v>
      </x:c>
      <x:c r="B163" s="567" t="inlineStr">
        <x:is>
          <x:t xml:space="preserve">Clerk Index PDF / OKCR</x:t>
        </x:is>
      </x:c>
      <x:c r="C163" s="567" t="inlineStr">
        <x:is>
          <x:t xml:space="preserve">MTG</x:t>
        </x:is>
      </x:c>
      <x:c r="D163" s="567" t="inlineStr">
        <x:is>
          <x:t xml:space="preserve">002543/0025</x:t>
        </x:is>
      </x:c>
      <x:c r="E163" s="567" t="n"/>
      <x:c r="F163" s="571" t="n">
        <x:v>45247</x:v>
      </x:c>
      <x:c r="G163" s="567" t="inlineStr">
        <x:is>
          <x:t xml:space="preserve">MNR ABS ISSUER I, LLC</x:t>
        </x:is>
      </x:c>
      <x:c r="H163" s="567" t="inlineStr">
        <x:is>
          <x:t xml:space="preserve">UMB BANK NA</x:t>
        </x:is>
      </x:c>
      <x:c r="I163" s="567" t="inlineStr">
        <x:is>
          <x:t xml:space="preserve">S31 T12N R24W ALL ALEXANDER 1-31</x:t>
        </x:is>
      </x:c>
      <x:c r="J163" s="567" t="inlineStr">
        <x:is>
          <x:t xml:space="preserve">Doc 2023-003592; attached Roger Mills County Clerk unplatted legal index image row; Index p.61; legal/quarter extracted visually from image-only PDF.</x:t>
        </x:is>
      </x:c>
      <x:c r="K163" s="567" t="inlineStr">
        <x:is>
          <x:t xml:space="preserve">63e8b9a8d056433a9994fe46ca85076b.pdf</x:t>
        </x:is>
      </x:c>
      <x:c r="L163" s="567" t="inlineStr">
        <x:is>
          <x:t xml:space="preserve">Index p.61</x:t>
        </x:is>
      </x:c>
      <x:c r="M163" s="567" t="inlineStr">
        <x:is>
          <x:t xml:space="preserve">https://okcountyrecords.com/detail/roger+mills/2023-003592</x:t>
        </x:is>
      </x:c>
      <x:c r="N163" s="567" t="inlineStr">
        <x:is>
          <x:t xml:space="preserve">Index row added - certified copy/image required</x:t>
        </x:is>
      </x:c>
      <x:c r="O163" s="567" t="inlineStr">
        <x:is>
          <x:t xml:space="preserve">https://okcountyrecords.com/detail/roger+mills/2023-003592</x:t>
        </x:is>
      </x:c>
      <x:c r="P163" s="567" t="inlineStr">
        <x:is>
          <x:t xml:space="preserve">Obtain certified instrument/image; verify parties, acreage, legal calls, status, and release/assignment chain.</x:t>
        </x:is>
      </x:c>
      <x:c r="Q163" s="567" t="inlineStr">
        <x:is>
          <x:t xml:space="preserve">High</x:t>
        </x:is>
      </x:c>
      <x:c r="R163" s="567" t="inlineStr">
        <x:is>
          <x:t xml:space="preserve">Lien / Release</x:t>
        </x:is>
      </x:c>
      <x:c r="S163" s="650" t="n">
        <x:v>45247</x:v>
      </x:c>
      <x:c r="T163" s="567" t="inlineStr">
        <x:is>
          <x:t xml:space="preserve">Clerk index Doc/Date from attached image-only report</x:t>
        </x:is>
      </x:c>
      <x:c r="U163" s="650" t="n">
        <x:v>45247</x:v>
      </x:c>
      <x:c r="V163" s="567" t="inlineStr">
        <x:is>
          <x:t xml:space="preserve">31-12N-24W</x:t>
        </x:is>
      </x:c>
      <x:c r="W163" s="567" t="inlineStr">
        <x:is>
          <x:t xml:space="preserve">All / Alexander 1-31</x:t>
        </x:is>
      </x:c>
      <x:c r="X163" s="567" t="inlineStr">
        <x:is>
          <x:t xml:space="preserve">High - visually read from report</x:t>
        </x:is>
      </x:c>
      <x:c r="Y163" s="568" t="inlineStr">
        <x:is>
          <x:t xml:space="preserve">Yes - verify against certified document image</x:t>
        </x:is>
      </x:c>
      <x:c r="Z163" s="568" t="inlineStr">
        <x:is>
          <x:t xml:space="preserve">Supplemental import from attached image-only index; not full OCR-certified transcription.</x:t>
        </x:is>
      </x:c>
    </x:row>
    <x:row r="164">
      <x:c r="A164" s="567" t="n">
        <x:v>527</x:v>
      </x:c>
      <x:c r="B164" s="567" t="inlineStr">
        <x:is>
          <x:t xml:space="preserve">Clerk Index PDF / OKCR</x:t>
        </x:is>
      </x:c>
      <x:c r="C164" s="567" t="inlineStr">
        <x:is>
          <x:t xml:space="preserve">MTG</x:t>
        </x:is>
      </x:c>
      <x:c r="D164" s="567" t="inlineStr">
        <x:is>
          <x:t xml:space="preserve">002544/0001</x:t>
        </x:is>
      </x:c>
      <x:c r="E164" s="567" t="n"/>
      <x:c r="F164" s="571" t="n">
        <x:v>45247</x:v>
      </x:c>
      <x:c r="G164" s="567" t="inlineStr">
        <x:is>
          <x:t xml:space="preserve">UNBRIDLED RESOURCES, LLC et al</x:t>
        </x:is>
      </x:c>
      <x:c r="H164" s="567" t="inlineStr">
        <x:is>
          <x:t xml:space="preserve">MNR ABS ISSUER I, LLC</x:t>
        </x:is>
      </x:c>
      <x:c r="I164" s="567" t="inlineStr">
        <x:is>
          <x:t xml:space="preserve">S31 T12N R24W ALL</x:t>
        </x:is>
      </x:c>
      <x:c r="J164" s="567" t="inlineStr">
        <x:is>
          <x:t xml:space="preserve">Doc 2023-003593; attached Roger Mills County Clerk unplatted legal index image row; Index p.61; legal/quarter extracted visually from image-only PDF.</x:t>
        </x:is>
      </x:c>
      <x:c r="K164" s="567" t="inlineStr">
        <x:is>
          <x:t xml:space="preserve">63e8b9a8d056433a9994fe46ca85076b.pdf</x:t>
        </x:is>
      </x:c>
      <x:c r="L164" s="567" t="inlineStr">
        <x:is>
          <x:t xml:space="preserve">Index p.61</x:t>
        </x:is>
      </x:c>
      <x:c r="M164" s="567" t="inlineStr">
        <x:is>
          <x:t xml:space="preserve">https://okcountyrecords.com/detail/roger+mills/2023-003593</x:t>
        </x:is>
      </x:c>
      <x:c r="N164" s="567" t="inlineStr">
        <x:is>
          <x:t xml:space="preserve">Index row added - certified copy/image required</x:t>
        </x:is>
      </x:c>
      <x:c r="O164" s="567" t="inlineStr">
        <x:is>
          <x:t xml:space="preserve">https://okcountyrecords.com/detail/roger+mills/2023-003593</x:t>
        </x:is>
      </x:c>
      <x:c r="P164" s="567" t="inlineStr">
        <x:is>
          <x:t xml:space="preserve">Obtain certified instrument/image; verify parties, acreage, legal calls, status, and release/assignment chain.</x:t>
        </x:is>
      </x:c>
      <x:c r="Q164" s="567" t="inlineStr">
        <x:is>
          <x:t xml:space="preserve">High</x:t>
        </x:is>
      </x:c>
      <x:c r="R164" s="567" t="inlineStr">
        <x:is>
          <x:t xml:space="preserve">Lien / Release</x:t>
        </x:is>
      </x:c>
      <x:c r="S164" s="650" t="n">
        <x:v>45247</x:v>
      </x:c>
      <x:c r="T164" s="567" t="inlineStr">
        <x:is>
          <x:t xml:space="preserve">Clerk index Doc/Date from attached image-only report</x:t>
        </x:is>
      </x:c>
      <x:c r="U164" s="650" t="n">
        <x:v>45247</x:v>
      </x:c>
      <x:c r="V164" s="567" t="inlineStr">
        <x:is>
          <x:t xml:space="preserve">31-12N-24W</x:t>
        </x:is>
      </x:c>
      <x:c r="W164" s="567" t="inlineStr">
        <x:is>
          <x:t xml:space="preserve">All</x:t>
        </x:is>
      </x:c>
      <x:c r="X164" s="567" t="inlineStr">
        <x:is>
          <x:t xml:space="preserve">High - visually read from report</x:t>
        </x:is>
      </x:c>
      <x:c r="Y164" s="568" t="inlineStr">
        <x:is>
          <x:t xml:space="preserve">Yes - verify against certified document image</x:t>
        </x:is>
      </x:c>
      <x:c r="Z164" s="568" t="inlineStr">
        <x:is>
          <x:t xml:space="preserve">Supplemental import from attached image-only index; not full OCR-certified transcription.</x:t>
        </x:is>
      </x:c>
    </x:row>
    <x:row r="165">
      <x:c r="A165" s="567" t="n">
        <x:v>528</x:v>
      </x:c>
      <x:c r="B165" s="567" t="inlineStr">
        <x:is>
          <x:t xml:space="preserve">Clerk Index PDF / OKCR</x:t>
        </x:is>
      </x:c>
      <x:c r="C165" s="567" t="inlineStr">
        <x:is>
          <x:t xml:space="preserve">AMEND</x:t>
        </x:is>
      </x:c>
      <x:c r="D165" s="567" t="inlineStr">
        <x:is>
          <x:t xml:space="preserve">002545/0001</x:t>
        </x:is>
      </x:c>
      <x:c r="E165" s="567" t="n"/>
      <x:c r="F165" s="571" t="n">
        <x:v>45247</x:v>
      </x:c>
      <x:c r="G165" s="567" t="inlineStr">
        <x:is>
          <x:t xml:space="preserve">UNBRIDLED RESOURCES, LLC et al</x:t>
        </x:is>
      </x:c>
      <x:c r="H165" s="567" t="inlineStr">
        <x:is>
          <x:t xml:space="preserve">MNS ABS ISSUER I, LLC et al</x:t>
        </x:is>
      </x:c>
      <x:c r="I165" s="567" t="inlineStr">
        <x:is>
          <x:t xml:space="preserve">S31 T12N R24W ALL</x:t>
        </x:is>
      </x:c>
      <x:c r="J165" s="567" t="inlineStr">
        <x:is>
          <x:t xml:space="preserve">Doc 2023-003594; attached Roger Mills County Clerk unplatted legal index image row; Index p.61; legal/quarter extracted visually from image-only PDF.</x:t>
        </x:is>
      </x:c>
      <x:c r="K165" s="567" t="inlineStr">
        <x:is>
          <x:t xml:space="preserve">63e8b9a8d056433a9994fe46ca85076b.pdf</x:t>
        </x:is>
      </x:c>
      <x:c r="L165" s="567" t="inlineStr">
        <x:is>
          <x:t xml:space="preserve">Index p.61</x:t>
        </x:is>
      </x:c>
      <x:c r="M165" s="567" t="inlineStr">
        <x:is>
          <x:t xml:space="preserve">https://okcountyrecords.com/detail/roger+mills/2023-003594</x:t>
        </x:is>
      </x:c>
      <x:c r="N165" s="567" t="inlineStr">
        <x:is>
          <x:t xml:space="preserve">Index row added - certified copy/image required</x:t>
        </x:is>
      </x:c>
      <x:c r="O165" s="567" t="inlineStr">
        <x:is>
          <x:t xml:space="preserve">https://okcountyrecords.com/detail/roger+mills/2023-003594</x:t>
        </x:is>
      </x:c>
      <x:c r="P165" s="567" t="inlineStr">
        <x:is>
          <x:t xml:space="preserve">Obtain certified instrument/image; verify parties, acreage, legal calls, status, and release/assignment chain.</x:t>
        </x:is>
      </x:c>
      <x:c r="Q165" s="567" t="inlineStr">
        <x:is>
          <x:t xml:space="preserve">High</x:t>
        </x:is>
      </x:c>
      <x:c r="R165" s="567" t="inlineStr">
        <x:is>
          <x:t xml:space="preserve">Other / Memorandum</x:t>
        </x:is>
      </x:c>
      <x:c r="S165" s="650" t="n">
        <x:v>45247</x:v>
      </x:c>
      <x:c r="T165" s="567" t="inlineStr">
        <x:is>
          <x:t xml:space="preserve">Clerk index Doc/Date from attached image-only report</x:t>
        </x:is>
      </x:c>
      <x:c r="U165" s="650" t="n">
        <x:v>45247</x:v>
      </x:c>
      <x:c r="V165" s="567" t="inlineStr">
        <x:is>
          <x:t xml:space="preserve">31-12N-24W</x:t>
        </x:is>
      </x:c>
      <x:c r="W165" s="567" t="inlineStr">
        <x:is>
          <x:t xml:space="preserve">All</x:t>
        </x:is>
      </x:c>
      <x:c r="X165" s="567" t="inlineStr">
        <x:is>
          <x:t xml:space="preserve">High - visually read from report</x:t>
        </x:is>
      </x:c>
      <x:c r="Y165" s="568" t="inlineStr">
        <x:is>
          <x:t xml:space="preserve">Yes - verify against certified document image</x:t>
        </x:is>
      </x:c>
      <x:c r="Z165" s="568" t="inlineStr">
        <x:is>
          <x:t xml:space="preserve">Supplemental import from attached image-only index; not full OCR-certified transcription.</x:t>
        </x:is>
      </x:c>
    </x:row>
    <x:row r="166">
      <x:c r="A166" s="567" t="n">
        <x:v>529</x:v>
      </x:c>
      <x:c r="B166" s="567" t="inlineStr">
        <x:is>
          <x:t xml:space="preserve">Clerk Index PDF / OKCR</x:t>
        </x:is>
      </x:c>
      <x:c r="C166" s="567" t="inlineStr">
        <x:is>
          <x:t xml:space="preserve">AMEND</x:t>
        </x:is>
      </x:c>
      <x:c r="D166" s="567" t="inlineStr">
        <x:is>
          <x:t xml:space="preserve">002546/0001</x:t>
        </x:is>
      </x:c>
      <x:c r="E166" s="567" t="n"/>
      <x:c r="F166" s="571" t="n">
        <x:v>45250</x:v>
      </x:c>
      <x:c r="G166" s="567" t="inlineStr">
        <x:is>
          <x:t xml:space="preserve">UNBRIDLED RESOURCES, LLC</x:t>
        </x:is>
      </x:c>
      <x:c r="H166" s="567" t="inlineStr">
        <x:is>
          <x:t xml:space="preserve">JP MORGAN CHASE BANK</x:t>
        </x:is>
      </x:c>
      <x:c r="I166" s="567" t="inlineStr">
        <x:is>
          <x:t xml:space="preserve">S31 T12N R24W ALL</x:t>
        </x:is>
      </x:c>
      <x:c r="J166" s="567" t="inlineStr">
        <x:is>
          <x:t xml:space="preserve">Doc 2023-003598; attached Roger Mills County Clerk unplatted legal index image row; Index p.61; legal/quarter extracted visually from image-only PDF.</x:t>
        </x:is>
      </x:c>
      <x:c r="K166" s="567" t="inlineStr">
        <x:is>
          <x:t xml:space="preserve">63e8b9a8d056433a9994fe46ca85076b.pdf</x:t>
        </x:is>
      </x:c>
      <x:c r="L166" s="567" t="inlineStr">
        <x:is>
          <x:t xml:space="preserve">Index p.61</x:t>
        </x:is>
      </x:c>
      <x:c r="M166" s="567" t="inlineStr">
        <x:is>
          <x:t xml:space="preserve">https://okcountyrecords.com/detail/roger+mills/2023-003598</x:t>
        </x:is>
      </x:c>
      <x:c r="N166" s="567" t="inlineStr">
        <x:is>
          <x:t xml:space="preserve">Index row added - certified copy/image required</x:t>
        </x:is>
      </x:c>
      <x:c r="O166" s="567" t="inlineStr">
        <x:is>
          <x:t xml:space="preserve">https://okcountyrecords.com/detail/roger+mills/2023-003598</x:t>
        </x:is>
      </x:c>
      <x:c r="P166" s="567" t="inlineStr">
        <x:is>
          <x:t xml:space="preserve">Obtain certified instrument/image; verify parties, acreage, legal calls, status, and release/assignment chain.</x:t>
        </x:is>
      </x:c>
      <x:c r="Q166" s="567" t="inlineStr">
        <x:is>
          <x:t xml:space="preserve">High</x:t>
        </x:is>
      </x:c>
      <x:c r="R166" s="567" t="inlineStr">
        <x:is>
          <x:t xml:space="preserve">Other / Memorandum</x:t>
        </x:is>
      </x:c>
      <x:c r="S166" s="650" t="n">
        <x:v>45250</x:v>
      </x:c>
      <x:c r="T166" s="567" t="inlineStr">
        <x:is>
          <x:t xml:space="preserve">Clerk index Doc/Date from attached image-only report</x:t>
        </x:is>
      </x:c>
      <x:c r="U166" s="650" t="n">
        <x:v>45250</x:v>
      </x:c>
      <x:c r="V166" s="567" t="inlineStr">
        <x:is>
          <x:t xml:space="preserve">31-12N-24W</x:t>
        </x:is>
      </x:c>
      <x:c r="W166" s="567" t="inlineStr">
        <x:is>
          <x:t xml:space="preserve">All</x:t>
        </x:is>
      </x:c>
      <x:c r="X166" s="567" t="inlineStr">
        <x:is>
          <x:t xml:space="preserve">High - visually read from report</x:t>
        </x:is>
      </x:c>
      <x:c r="Y166" s="568" t="inlineStr">
        <x:is>
          <x:t xml:space="preserve">Yes - verify against certified document image</x:t>
        </x:is>
      </x:c>
      <x:c r="Z166" s="568" t="inlineStr">
        <x:is>
          <x:t xml:space="preserve">Supplemental import from attached image-only index; not full OCR-certified transcription.</x:t>
        </x:is>
      </x:c>
    </x:row>
    <x:row r="167">
      <x:c r="A167" s="567" t="n">
        <x:v>530</x:v>
      </x:c>
      <x:c r="B167" s="567" t="inlineStr">
        <x:is>
          <x:t xml:space="preserve">Clerk Index PDF / OKCR</x:t>
        </x:is>
      </x:c>
      <x:c r="C167" s="567" t="inlineStr">
        <x:is>
          <x:t xml:space="preserve">AMND/MTG</x:t>
        </x:is>
      </x:c>
      <x:c r="D167" s="567" t="inlineStr">
        <x:is>
          <x:t xml:space="preserve">002548/0001</x:t>
        </x:is>
      </x:c>
      <x:c r="E167" s="567" t="n"/>
      <x:c r="F167" s="571" t="n">
        <x:v>45265</x:v>
      </x:c>
      <x:c r="G167" s="567" t="inlineStr">
        <x:is>
          <x:t xml:space="preserve">UNBRIDLED RESOURCES, LLC et al</x:t>
        </x:is>
      </x:c>
      <x:c r="H167" s="567" t="inlineStr">
        <x:is>
          <x:t xml:space="preserve">JP MORGAN CHASE BANK</x:t>
        </x:is>
      </x:c>
      <x:c r="I167" s="567" t="inlineStr">
        <x:is>
          <x:t xml:space="preserve">S31 T12N R24W ALL</x:t>
        </x:is>
      </x:c>
      <x:c r="J167" s="567" t="inlineStr">
        <x:is>
          <x:t xml:space="preserve">Doc 2023-003755; attached Roger Mills County Clerk unplatted legal index image row; Index p.61; legal/quarter extracted visually from image-only PDF.</x:t>
        </x:is>
      </x:c>
      <x:c r="K167" s="567" t="inlineStr">
        <x:is>
          <x:t xml:space="preserve">63e8b9a8d056433a9994fe46ca85076b.pdf</x:t>
        </x:is>
      </x:c>
      <x:c r="L167" s="567" t="inlineStr">
        <x:is>
          <x:t xml:space="preserve">Index p.61</x:t>
        </x:is>
      </x:c>
      <x:c r="M167" s="567" t="inlineStr">
        <x:is>
          <x:t xml:space="preserve">https://okcountyrecords.com/detail/roger+mills/2023-003755</x:t>
        </x:is>
      </x:c>
      <x:c r="N167" s="567" t="inlineStr">
        <x:is>
          <x:t xml:space="preserve">Index row added - certified copy/image required</x:t>
        </x:is>
      </x:c>
      <x:c r="O167" s="567" t="inlineStr">
        <x:is>
          <x:t xml:space="preserve">https://okcountyrecords.com/detail/roger+mills/2023-003755</x:t>
        </x:is>
      </x:c>
      <x:c r="P167" s="567" t="inlineStr">
        <x:is>
          <x:t xml:space="preserve">Obtain certified instrument/image; verify parties, acreage, legal calls, status, and release/assignment chain.</x:t>
        </x:is>
      </x:c>
      <x:c r="Q167" s="567" t="inlineStr">
        <x:is>
          <x:t xml:space="preserve">High</x:t>
        </x:is>
      </x:c>
      <x:c r="R167" s="567" t="inlineStr">
        <x:is>
          <x:t xml:space="preserve">Lien / Release</x:t>
        </x:is>
      </x:c>
      <x:c r="S167" s="650" t="n">
        <x:v>45265</x:v>
      </x:c>
      <x:c r="T167" s="567" t="inlineStr">
        <x:is>
          <x:t xml:space="preserve">Clerk index Doc/Date from attached image-only report</x:t>
        </x:is>
      </x:c>
      <x:c r="U167" s="650" t="n">
        <x:v>45265</x:v>
      </x:c>
      <x:c r="V167" s="567" t="inlineStr">
        <x:is>
          <x:t xml:space="preserve">31-12N-24W</x:t>
        </x:is>
      </x:c>
      <x:c r="W167" s="567" t="inlineStr">
        <x:is>
          <x:t xml:space="preserve">All</x:t>
        </x:is>
      </x:c>
      <x:c r="X167" s="567" t="inlineStr">
        <x:is>
          <x:t xml:space="preserve">High - visually read from report</x:t>
        </x:is>
      </x:c>
      <x:c r="Y167" s="568" t="inlineStr">
        <x:is>
          <x:t xml:space="preserve">Yes - verify against certified document image</x:t>
        </x:is>
      </x:c>
      <x:c r="Z167" s="568" t="inlineStr">
        <x:is>
          <x:t xml:space="preserve">Supplemental import from attached image-only index; not full OCR-certified transcription.</x:t>
        </x:is>
      </x:c>
    </x:row>
    <x:row r="168">
      <x:c r="A168" s="567" t="n">
        <x:v>531</x:v>
      </x:c>
      <x:c r="B168" s="567" t="inlineStr">
        <x:is>
          <x:t xml:space="preserve">Clerk Index PDF / OKCR</x:t>
        </x:is>
      </x:c>
      <x:c r="C168" s="567" t="inlineStr">
        <x:is>
          <x:t xml:space="preserve">FS</x:t>
        </x:is>
      </x:c>
      <x:c r="D168" s="567" t="inlineStr">
        <x:is>
          <x:t xml:space="preserve">002556/0010</x:t>
        </x:is>
      </x:c>
      <x:c r="E168" s="567" t="n"/>
      <x:c r="F168" s="571" t="n">
        <x:v>45336</x:v>
      </x:c>
      <x:c r="G168" s="567" t="inlineStr">
        <x:is>
          <x:t xml:space="preserve">UNBRIDLED AGENT CORP</x:t>
        </x:is>
      </x:c>
      <x:c r="H168" s="567" t="inlineStr">
        <x:is>
          <x:t xml:space="preserve">JPMORGAN CHASE BANK</x:t>
        </x:is>
      </x:c>
      <x:c r="I168" s="567" t="inlineStr">
        <x:is>
          <x:t xml:space="preserve">S31 T12N R24W ALL</x:t>
        </x:is>
      </x:c>
      <x:c r="J168" s="567" t="inlineStr">
        <x:is>
          <x:t xml:space="preserve">Doc 2024-000579; attached Roger Mills County Clerk unplatted legal index image row; Index p.61; legal/quarter extracted visually from image-only PDF.</x:t>
        </x:is>
      </x:c>
      <x:c r="K168" s="567" t="inlineStr">
        <x:is>
          <x:t xml:space="preserve">63e8b9a8d056433a9994fe46ca85076b.pdf</x:t>
        </x:is>
      </x:c>
      <x:c r="L168" s="567" t="inlineStr">
        <x:is>
          <x:t xml:space="preserve">Index p.61</x:t>
        </x:is>
      </x:c>
      <x:c r="M168" s="567" t="inlineStr">
        <x:is>
          <x:t xml:space="preserve">https://okcountyrecords.com/detail/roger+mills/2024-000579</x:t>
        </x:is>
      </x:c>
      <x:c r="N168" s="567" t="inlineStr">
        <x:is>
          <x:t xml:space="preserve">Index row added - certified copy/image required</x:t>
        </x:is>
      </x:c>
      <x:c r="O168" s="567" t="inlineStr">
        <x:is>
          <x:t xml:space="preserve">https://okcountyrecords.com/detail/roger+mills/2024-000579</x:t>
        </x:is>
      </x:c>
      <x:c r="P168" s="567" t="inlineStr">
        <x:is>
          <x:t xml:space="preserve">Obtain certified instrument/image; verify parties, acreage, legal calls, status, and release/assignment chain.</x:t>
        </x:is>
      </x:c>
      <x:c r="Q168" s="567" t="inlineStr">
        <x:is>
          <x:t xml:space="preserve">High</x:t>
        </x:is>
      </x:c>
      <x:c r="R168" s="567" t="inlineStr">
        <x:is>
          <x:t xml:space="preserve">Lien / Release</x:t>
        </x:is>
      </x:c>
      <x:c r="S168" s="650" t="n">
        <x:v>45336</x:v>
      </x:c>
      <x:c r="T168" s="567" t="inlineStr">
        <x:is>
          <x:t xml:space="preserve">Clerk index Doc/Date from attached image-only report</x:t>
        </x:is>
      </x:c>
      <x:c r="U168" s="650" t="n">
        <x:v>45336</x:v>
      </x:c>
      <x:c r="V168" s="567" t="inlineStr">
        <x:is>
          <x:t xml:space="preserve">31-12N-24W</x:t>
        </x:is>
      </x:c>
      <x:c r="W168" s="567" t="inlineStr">
        <x:is>
          <x:t xml:space="preserve">All</x:t>
        </x:is>
      </x:c>
      <x:c r="X168" s="567" t="inlineStr">
        <x:is>
          <x:t xml:space="preserve">High - visually read from report</x:t>
        </x:is>
      </x:c>
      <x:c r="Y168" s="568" t="inlineStr">
        <x:is>
          <x:t xml:space="preserve">Yes - verify against certified document image</x:t>
        </x:is>
      </x:c>
      <x:c r="Z168" s="568" t="inlineStr">
        <x:is>
          <x:t xml:space="preserve">Supplemental import from attached image-only index; not full OCR-certified transcription.</x:t>
        </x:is>
      </x:c>
    </x:row>
    <x:row r="169">
      <x:c r="A169" s="567" t="n">
        <x:v>532</x:v>
      </x:c>
      <x:c r="B169" s="567" t="inlineStr">
        <x:is>
          <x:t xml:space="preserve">Clerk Index PDF / OKCR</x:t>
        </x:is>
      </x:c>
      <x:c r="C169" s="567" t="inlineStr">
        <x:is>
          <x:t xml:space="preserve">FS</x:t>
        </x:is>
      </x:c>
      <x:c r="D169" s="567" t="inlineStr">
        <x:is>
          <x:t xml:space="preserve">002556/0269</x:t>
        </x:is>
      </x:c>
      <x:c r="E169" s="567" t="n"/>
      <x:c r="F169" s="571" t="n">
        <x:v>45336</x:v>
      </x:c>
      <x:c r="G169" s="567" t="inlineStr">
        <x:is>
          <x:t xml:space="preserve">UNBRIDLED RESOURCES, LLC</x:t>
        </x:is>
      </x:c>
      <x:c r="H169" s="567" t="inlineStr">
        <x:is>
          <x:t xml:space="preserve">JPMORGAN CHASE BANK NA</x:t>
        </x:is>
      </x:c>
      <x:c r="I169" s="567" t="inlineStr">
        <x:is>
          <x:t xml:space="preserve">S31 T12N R24W ALL</x:t>
        </x:is>
      </x:c>
      <x:c r="J169" s="567" t="inlineStr">
        <x:is>
          <x:t xml:space="preserve">Doc 2024-000580; attached Roger Mills County Clerk unplatted legal index image row; Index p.61; legal/quarter extracted visually from image-only PDF.</x:t>
        </x:is>
      </x:c>
      <x:c r="K169" s="567" t="inlineStr">
        <x:is>
          <x:t xml:space="preserve">63e8b9a8d056433a9994fe46ca85076b.pdf</x:t>
        </x:is>
      </x:c>
      <x:c r="L169" s="567" t="inlineStr">
        <x:is>
          <x:t xml:space="preserve">Index p.61</x:t>
        </x:is>
      </x:c>
      <x:c r="M169" s="567" t="inlineStr">
        <x:is>
          <x:t xml:space="preserve">https://okcountyrecords.com/detail/roger+mills/2024-000580</x:t>
        </x:is>
      </x:c>
      <x:c r="N169" s="567" t="inlineStr">
        <x:is>
          <x:t xml:space="preserve">Index row added - certified copy/image required</x:t>
        </x:is>
      </x:c>
      <x:c r="O169" s="567" t="inlineStr">
        <x:is>
          <x:t xml:space="preserve">https://okcountyrecords.com/detail/roger+mills/2024-000580</x:t>
        </x:is>
      </x:c>
      <x:c r="P169" s="567" t="inlineStr">
        <x:is>
          <x:t xml:space="preserve">Obtain certified instrument/image; verify parties, acreage, legal calls, status, and release/assignment chain.</x:t>
        </x:is>
      </x:c>
      <x:c r="Q169" s="567" t="inlineStr">
        <x:is>
          <x:t xml:space="preserve">High</x:t>
        </x:is>
      </x:c>
      <x:c r="R169" s="567" t="inlineStr">
        <x:is>
          <x:t xml:space="preserve">Lien / Release</x:t>
        </x:is>
      </x:c>
      <x:c r="S169" s="650" t="n">
        <x:v>45336</x:v>
      </x:c>
      <x:c r="T169" s="567" t="inlineStr">
        <x:is>
          <x:t xml:space="preserve">Clerk index Doc/Date from attached image-only report</x:t>
        </x:is>
      </x:c>
      <x:c r="U169" s="650" t="n">
        <x:v>45336</x:v>
      </x:c>
      <x:c r="V169" s="567" t="inlineStr">
        <x:is>
          <x:t xml:space="preserve">31-12N-24W</x:t>
        </x:is>
      </x:c>
      <x:c r="W169" s="567" t="inlineStr">
        <x:is>
          <x:t xml:space="preserve">All</x:t>
        </x:is>
      </x:c>
      <x:c r="X169" s="567" t="inlineStr">
        <x:is>
          <x:t xml:space="preserve">High - visually read from report</x:t>
        </x:is>
      </x:c>
      <x:c r="Y169" s="568" t="inlineStr">
        <x:is>
          <x:t xml:space="preserve">Yes - verify against certified document image</x:t>
        </x:is>
      </x:c>
      <x:c r="Z169" s="568" t="inlineStr">
        <x:is>
          <x:t xml:space="preserve">Supplemental import from attached image-only index; not full OCR-certified transcription.</x:t>
        </x:is>
      </x:c>
    </x:row>
    <x:row r="170">
      <x:c r="A170" s="567" t="n">
        <x:v>533</x:v>
      </x:c>
      <x:c r="B170" s="567" t="inlineStr">
        <x:is>
          <x:t xml:space="preserve">Clerk Index PDF / OKCR</x:t>
        </x:is>
      </x:c>
      <x:c r="C170" s="567" t="inlineStr">
        <x:is>
          <x:t xml:space="preserve">ASGT</x:t>
        </x:is>
      </x:c>
      <x:c r="D170" s="567" t="inlineStr">
        <x:is>
          <x:t xml:space="preserve">002567/0102</x:t>
        </x:is>
      </x:c>
      <x:c r="E170" s="567" t="n"/>
      <x:c r="F170" s="571" t="n">
        <x:v>45401</x:v>
      </x:c>
      <x:c r="G170" s="567" t="inlineStr">
        <x:is>
          <x:t xml:space="preserve">YALE OIL ASSOCIATION INC</x:t>
        </x:is>
      </x:c>
      <x:c r="H170" s="567" t="inlineStr">
        <x:is>
          <x:t xml:space="preserve">K C PRODUCTION, LLC</x:t>
        </x:is>
      </x:c>
      <x:c r="I170" s="567" t="inlineStr">
        <x:is>
          <x:t xml:space="preserve">S31 T12N R24W ALL</x:t>
        </x:is>
      </x:c>
      <x:c r="J170" s="567" t="inlineStr">
        <x:is>
          <x:t xml:space="preserve">Doc 2024-002310; attached Roger Mills County Clerk unplatted legal index image row; Index p.61; legal/quarter extracted visually from image-only PDF.</x:t>
        </x:is>
      </x:c>
      <x:c r="K170" s="567" t="inlineStr">
        <x:is>
          <x:t xml:space="preserve">63e8b9a8d056433a9994fe46ca85076b.pdf</x:t>
        </x:is>
      </x:c>
      <x:c r="L170" s="567" t="inlineStr">
        <x:is>
          <x:t xml:space="preserve">Index p.61</x:t>
        </x:is>
      </x:c>
      <x:c r="M170" s="567" t="inlineStr">
        <x:is>
          <x:t xml:space="preserve">https://okcountyrecords.com/detail/roger+mills/2024-002310</x:t>
        </x:is>
      </x:c>
      <x:c r="N170" s="567" t="inlineStr">
        <x:is>
          <x:t xml:space="preserve">Index row added - certified copy/image required</x:t>
        </x:is>
      </x:c>
      <x:c r="O170" s="567" t="inlineStr">
        <x:is>
          <x:t xml:space="preserve">https://okcountyrecords.com/detail/roger+mills/2024-002310</x:t>
        </x:is>
      </x:c>
      <x:c r="P170" s="567" t="inlineStr">
        <x:is>
          <x:t xml:space="preserve">Obtain certified instrument/image; verify parties, acreage, legal calls, status, and release/assignment chain.</x:t>
        </x:is>
      </x:c>
      <x:c r="Q170" s="567" t="inlineStr">
        <x:is>
          <x:t xml:space="preserve">High</x:t>
        </x:is>
      </x:c>
      <x:c r="R170" s="567" t="inlineStr">
        <x:is>
          <x:t xml:space="preserve">Assignment</x:t>
        </x:is>
      </x:c>
      <x:c r="S170" s="650" t="n">
        <x:v>45401</x:v>
      </x:c>
      <x:c r="T170" s="567" t="inlineStr">
        <x:is>
          <x:t xml:space="preserve">Clerk index Doc/Date from attached image-only report</x:t>
        </x:is>
      </x:c>
      <x:c r="U170" s="650" t="n">
        <x:v>45401</x:v>
      </x:c>
      <x:c r="V170" s="567" t="inlineStr">
        <x:is>
          <x:t xml:space="preserve">31-12N-24W</x:t>
        </x:is>
      </x:c>
      <x:c r="W170" s="567" t="inlineStr">
        <x:is>
          <x:t xml:space="preserve">All</x:t>
        </x:is>
      </x:c>
      <x:c r="X170" s="567" t="inlineStr">
        <x:is>
          <x:t xml:space="preserve">High - visually read from report</x:t>
        </x:is>
      </x:c>
      <x:c r="Y170" s="568" t="inlineStr">
        <x:is>
          <x:t xml:space="preserve">Yes - verify against certified document image</x:t>
        </x:is>
      </x:c>
      <x:c r="Z170" s="568" t="inlineStr">
        <x:is>
          <x:t xml:space="preserve">Supplemental import from attached image-only index; not full OCR-certified transcription.</x:t>
        </x:is>
      </x:c>
    </x:row>
    <x:row r="171">
      <x:c r="A171" s="567" t="n">
        <x:v>534</x:v>
      </x:c>
      <x:c r="B171" s="567" t="inlineStr">
        <x:is>
          <x:t xml:space="preserve">Clerk Index PDF / OKCR</x:t>
        </x:is>
      </x:c>
      <x:c r="C171" s="567" t="inlineStr">
        <x:is>
          <x:t xml:space="preserve">ASGT</x:t>
        </x:is>
      </x:c>
      <x:c r="D171" s="567" t="inlineStr">
        <x:is>
          <x:t xml:space="preserve">002571/0579</x:t>
        </x:is>
      </x:c>
      <x:c r="E171" s="567" t="n"/>
      <x:c r="F171" s="571" t="n">
        <x:v>45432</x:v>
      </x:c>
      <x:c r="G171" s="567" t="inlineStr">
        <x:is>
          <x:t xml:space="preserve">YALE OIL ASSOCIATION INC</x:t>
        </x:is>
      </x:c>
      <x:c r="H171" s="567" t="inlineStr">
        <x:is>
          <x:t xml:space="preserve">CDX GREG et al</x:t>
        </x:is>
      </x:c>
      <x:c r="I171" s="567" t="inlineStr">
        <x:is>
          <x:t xml:space="preserve">S31 T12N R24W ALL ALEXANDER 1-31</x:t>
        </x:is>
      </x:c>
      <x:c r="J171" s="567" t="inlineStr">
        <x:is>
          <x:t xml:space="preserve">Doc 2024-003107; attached Roger Mills County Clerk unplatted legal index image row; Index p.61; legal/quarter extracted visually from image-only PDF.</x:t>
        </x:is>
      </x:c>
      <x:c r="K171" s="567" t="inlineStr">
        <x:is>
          <x:t xml:space="preserve">63e8b9a8d056433a9994fe46ca85076b.pdf</x:t>
        </x:is>
      </x:c>
      <x:c r="L171" s="567" t="inlineStr">
        <x:is>
          <x:t xml:space="preserve">Index p.61</x:t>
        </x:is>
      </x:c>
      <x:c r="M171" s="567" t="inlineStr">
        <x:is>
          <x:t xml:space="preserve">https://okcountyrecords.com/detail/roger+mills/2024-003107</x:t>
        </x:is>
      </x:c>
      <x:c r="N171" s="567" t="inlineStr">
        <x:is>
          <x:t xml:space="preserve">Index row added - certified copy/image required</x:t>
        </x:is>
      </x:c>
      <x:c r="O171" s="567" t="inlineStr">
        <x:is>
          <x:t xml:space="preserve">https://okcountyrecords.com/detail/roger+mills/2024-003107</x:t>
        </x:is>
      </x:c>
      <x:c r="P171" s="567" t="inlineStr">
        <x:is>
          <x:t xml:space="preserve">Obtain certified instrument/image; verify parties, acreage, legal calls, status, and release/assignment chain.</x:t>
        </x:is>
      </x:c>
      <x:c r="Q171" s="567" t="inlineStr">
        <x:is>
          <x:t xml:space="preserve">High</x:t>
        </x:is>
      </x:c>
      <x:c r="R171" s="567" t="inlineStr">
        <x:is>
          <x:t xml:space="preserve">Assignment</x:t>
        </x:is>
      </x:c>
      <x:c r="S171" s="650" t="n">
        <x:v>45432</x:v>
      </x:c>
      <x:c r="T171" s="567" t="inlineStr">
        <x:is>
          <x:t xml:space="preserve">Clerk index Doc/Date from attached image-only report</x:t>
        </x:is>
      </x:c>
      <x:c r="U171" s="650" t="n">
        <x:v>45432</x:v>
      </x:c>
      <x:c r="V171" s="567" t="inlineStr">
        <x:is>
          <x:t xml:space="preserve">31-12N-24W</x:t>
        </x:is>
      </x:c>
      <x:c r="W171" s="567" t="inlineStr">
        <x:is>
          <x:t xml:space="preserve">All / Alexander 1-31</x:t>
        </x:is>
      </x:c>
      <x:c r="X171" s="567" t="inlineStr">
        <x:is>
          <x:t xml:space="preserve">High - visually read from report</x:t>
        </x:is>
      </x:c>
      <x:c r="Y171" s="568" t="inlineStr">
        <x:is>
          <x:t xml:space="preserve">Yes - verify against certified document image</x:t>
        </x:is>
      </x:c>
      <x:c r="Z171" s="568" t="inlineStr">
        <x:is>
          <x:t xml:space="preserve">Supplemental import from attached image-only index; not full OCR-certified transcription.</x:t>
        </x:is>
      </x:c>
    </x:row>
    <x:row r="172">
      <x:c r="A172" s="567" t="n">
        <x:v>535</x:v>
      </x:c>
      <x:c r="B172" s="567" t="inlineStr">
        <x:is>
          <x:t xml:space="preserve">Clerk Index PDF / OKCR</x:t>
        </x:is>
      </x:c>
      <x:c r="C172" s="567" t="inlineStr">
        <x:is>
          <x:t xml:space="preserve">UCC CONT</x:t>
        </x:is>
      </x:c>
      <x:c r="D172" s="567" t="inlineStr">
        <x:is>
          <x:t xml:space="preserve">002579/0357</x:t>
        </x:is>
      </x:c>
      <x:c r="E172" s="567" t="n"/>
      <x:c r="F172" s="571" t="n">
        <x:v>45478</x:v>
      </x:c>
      <x:c r="G172" s="567" t="inlineStr">
        <x:is>
          <x:t xml:space="preserve">JP MORGAN CHASE BANK</x:t>
        </x:is>
      </x:c>
      <x:c r="H172" s="567" t="inlineStr">
        <x:is>
          <x:t xml:space="preserve">JP MORGAN CHASE</x:t>
        </x:is>
      </x:c>
      <x:c r="I172" s="567" t="inlineStr">
        <x:is>
          <x:t xml:space="preserve">S31 T12N R24W A</x:t>
        </x:is>
      </x:c>
      <x:c r="J172" s="567" t="inlineStr">
        <x:is>
          <x:t xml:space="preserve">Doc 2024-004258; attached Roger Mills County Clerk unplatted legal index image row; Index p.61; legal/quarter extracted visually from image-only PDF.</x:t>
        </x:is>
      </x:c>
      <x:c r="K172" s="567" t="inlineStr">
        <x:is>
          <x:t xml:space="preserve">63e8b9a8d056433a9994fe46ca85076b.pdf</x:t>
        </x:is>
      </x:c>
      <x:c r="L172" s="567" t="inlineStr">
        <x:is>
          <x:t xml:space="preserve">Index p.61</x:t>
        </x:is>
      </x:c>
      <x:c r="M172" s="567" t="inlineStr">
        <x:is>
          <x:t xml:space="preserve">https://okcountyrecords.com/detail/roger+mills/2024-004258</x:t>
        </x:is>
      </x:c>
      <x:c r="N172" s="567" t="inlineStr">
        <x:is>
          <x:t xml:space="preserve">Index row added - certified copy/image required</x:t>
        </x:is>
      </x:c>
      <x:c r="O172" s="567" t="inlineStr">
        <x:is>
          <x:t xml:space="preserve">https://okcountyrecords.com/detail/roger+mills/2024-004258</x:t>
        </x:is>
      </x:c>
      <x:c r="P172" s="567" t="inlineStr">
        <x:is>
          <x:t xml:space="preserve">Obtain certified instrument/image; verify parties, acreage, legal calls, status, and release/assignment chain.</x:t>
        </x:is>
      </x:c>
      <x:c r="Q172" s="567" t="inlineStr">
        <x:is>
          <x:t xml:space="preserve">High</x:t>
        </x:is>
      </x:c>
      <x:c r="R172" s="567" t="inlineStr">
        <x:is>
          <x:t xml:space="preserve">Lien / Release</x:t>
        </x:is>
      </x:c>
      <x:c r="S172" s="650" t="n">
        <x:v>45478</x:v>
      </x:c>
      <x:c r="T172" s="567" t="inlineStr">
        <x:is>
          <x:t xml:space="preserve">Clerk index Doc/Date from attached image-only report</x:t>
        </x:is>
      </x:c>
      <x:c r="U172" s="650" t="n">
        <x:v>45478</x:v>
      </x:c>
      <x:c r="V172" s="567" t="inlineStr">
        <x:is>
          <x:t xml:space="preserve">31-12N-24W</x:t>
        </x:is>
      </x:c>
      <x:c r="W172" s="567" t="inlineStr">
        <x:is>
          <x:t xml:space="preserve">A</x:t>
        </x:is>
      </x:c>
      <x:c r="X172" s="567" t="inlineStr">
        <x:is>
          <x:t xml:space="preserve">High - visually read from report</x:t>
        </x:is>
      </x:c>
      <x:c r="Y172" s="568" t="inlineStr">
        <x:is>
          <x:t xml:space="preserve">Yes - verify against certified document image</x:t>
        </x:is>
      </x:c>
      <x:c r="Z172" s="568" t="inlineStr">
        <x:is>
          <x:t xml:space="preserve">Supplemental import from attached image-only index; not full OCR-certified transcription.</x:t>
        </x:is>
      </x:c>
    </x:row>
    <x:row r="173">
      <x:c r="A173" s="567" t="n">
        <x:v>536</x:v>
      </x:c>
      <x:c r="B173" s="567" t="inlineStr">
        <x:is>
          <x:t xml:space="preserve">Clerk Index PDF / OKCR</x:t>
        </x:is>
      </x:c>
      <x:c r="C173" s="567" t="inlineStr">
        <x:is>
          <x:t xml:space="preserve">PT-ASGT</x:t>
        </x:is>
      </x:c>
      <x:c r="D173" s="567" t="inlineStr">
        <x:is>
          <x:t xml:space="preserve">002584/0149</x:t>
        </x:is>
      </x:c>
      <x:c r="E173" s="567" t="n"/>
      <x:c r="F173" s="571" t="n">
        <x:v>45509</x:v>
      </x:c>
      <x:c r="G173" s="567" t="inlineStr">
        <x:is>
          <x:t xml:space="preserve">CHANAS PARTNERS, LLC</x:t>
        </x:is>
      </x:c>
      <x:c r="H173" s="567" t="inlineStr">
        <x:is>
          <x:t xml:space="preserve">NWR MINERAL PARTNERS, LLC</x:t>
        </x:is>
      </x:c>
      <x:c r="I173" s="567" t="inlineStr">
        <x:is>
          <x:t xml:space="preserve">S31 T12N R24W ALL</x:t>
        </x:is>
      </x:c>
      <x:c r="J173" s="567" t="inlineStr">
        <x:is>
          <x:t xml:space="preserve">Doc 2024-004916; attached Roger Mills County Clerk unplatted legal index image row; Index p.61; legal/quarter extracted visually from image-only PDF.</x:t>
        </x:is>
      </x:c>
      <x:c r="K173" s="567" t="inlineStr">
        <x:is>
          <x:t xml:space="preserve">63e8b9a8d056433a9994fe46ca85076b.pdf</x:t>
        </x:is>
      </x:c>
      <x:c r="L173" s="567" t="inlineStr">
        <x:is>
          <x:t xml:space="preserve">Index p.61</x:t>
        </x:is>
      </x:c>
      <x:c r="M173" s="567" t="inlineStr">
        <x:is>
          <x:t xml:space="preserve">https://okcountyrecords.com/detail/roger+mills/2024-004916</x:t>
        </x:is>
      </x:c>
      <x:c r="N173" s="567" t="inlineStr">
        <x:is>
          <x:t xml:space="preserve">Index row added - certified copy/image required</x:t>
        </x:is>
      </x:c>
      <x:c r="O173" s="567" t="inlineStr">
        <x:is>
          <x:t xml:space="preserve">https://okcountyrecords.com/detail/roger+mills/2024-004916</x:t>
        </x:is>
      </x:c>
      <x:c r="P173" s="567" t="inlineStr">
        <x:is>
          <x:t xml:space="preserve">Obtain certified instrument/image; verify parties, acreage, legal calls, status, and release/assignment chain.</x:t>
        </x:is>
      </x:c>
      <x:c r="Q173" s="567" t="inlineStr">
        <x:is>
          <x:t xml:space="preserve">High</x:t>
        </x:is>
      </x:c>
      <x:c r="R173" s="567" t="inlineStr">
        <x:is>
          <x:t xml:space="preserve">Assignment</x:t>
        </x:is>
      </x:c>
      <x:c r="S173" s="650" t="n">
        <x:v>45509</x:v>
      </x:c>
      <x:c r="T173" s="567" t="inlineStr">
        <x:is>
          <x:t xml:space="preserve">Clerk index Doc/Date from attached image-only report</x:t>
        </x:is>
      </x:c>
      <x:c r="U173" s="650" t="n">
        <x:v>45509</x:v>
      </x:c>
      <x:c r="V173" s="567" t="inlineStr">
        <x:is>
          <x:t xml:space="preserve">31-12N-24W</x:t>
        </x:is>
      </x:c>
      <x:c r="W173" s="567" t="inlineStr">
        <x:is>
          <x:t xml:space="preserve">All</x:t>
        </x:is>
      </x:c>
      <x:c r="X173" s="567" t="inlineStr">
        <x:is>
          <x:t xml:space="preserve">High - visually read from report</x:t>
        </x:is>
      </x:c>
      <x:c r="Y173" s="568" t="inlineStr">
        <x:is>
          <x:t xml:space="preserve">Yes - verify against certified document image</x:t>
        </x:is>
      </x:c>
      <x:c r="Z173" s="568" t="inlineStr">
        <x:is>
          <x:t xml:space="preserve">Supplemental import from attached image-only index; not full OCR-certified transcription.</x:t>
        </x:is>
      </x:c>
    </x:row>
    <x:row r="174">
      <x:c r="A174" s="567" t="n">
        <x:v>537</x:v>
      </x:c>
      <x:c r="B174" s="567" t="inlineStr">
        <x:is>
          <x:t xml:space="preserve">Clerk Index PDF / OKCR</x:t>
        </x:is>
      </x:c>
      <x:c r="C174" s="567" t="inlineStr">
        <x:is>
          <x:t xml:space="preserve">CONVY</x:t>
        </x:is>
      </x:c>
      <x:c r="D174" s="567" t="inlineStr">
        <x:is>
          <x:t xml:space="preserve">002599/0463</x:t>
        </x:is>
      </x:c>
      <x:c r="E174" s="567" t="n"/>
      <x:c r="F174" s="571" t="n">
        <x:v>45614</x:v>
      </x:c>
      <x:c r="G174" s="567" t="inlineStr">
        <x:is>
          <x:t xml:space="preserve">ONIGBE CONSULTING, LLC</x:t>
        </x:is>
      </x:c>
      <x:c r="H174" s="567" t="inlineStr">
        <x:is>
          <x:t xml:space="preserve">COMANCHE OIL &amp; GAS INC</x:t>
        </x:is>
      </x:c>
      <x:c r="I174" s="567" t="inlineStr">
        <x:is>
          <x:t xml:space="preserve">S31 T12N R24W ALL</x:t>
        </x:is>
      </x:c>
      <x:c r="J174" s="567" t="inlineStr">
        <x:is>
          <x:t xml:space="preserve">Doc 2024-007198; attached Roger Mills County Clerk unplatted legal index image row; Index p.61; legal/quarter extracted visually from image-only PDF.</x:t>
        </x:is>
      </x:c>
      <x:c r="K174" s="567" t="inlineStr">
        <x:is>
          <x:t xml:space="preserve">63e8b9a8d056433a9994fe46ca85076b.pdf</x:t>
        </x:is>
      </x:c>
      <x:c r="L174" s="567" t="inlineStr">
        <x:is>
          <x:t xml:space="preserve">Index p.61</x:t>
        </x:is>
      </x:c>
      <x:c r="M174" s="567" t="inlineStr">
        <x:is>
          <x:t xml:space="preserve">https://okcountyrecords.com/detail/roger+mills/2024-007198</x:t>
        </x:is>
      </x:c>
      <x:c r="N174" s="567" t="inlineStr">
        <x:is>
          <x:t xml:space="preserve">Index row added - certified copy/image required</x:t>
        </x:is>
      </x:c>
      <x:c r="O174" s="567" t="inlineStr">
        <x:is>
          <x:t xml:space="preserve">https://okcountyrecords.com/detail/roger+mills/2024-007198</x:t>
        </x:is>
      </x:c>
      <x:c r="P174" s="567" t="inlineStr">
        <x:is>
          <x:t xml:space="preserve">Obtain certified instrument/image; verify parties, acreage, legal calls, status, and release/assignment chain.</x:t>
        </x:is>
      </x:c>
      <x:c r="Q174" s="567" t="inlineStr">
        <x:is>
          <x:t xml:space="preserve">High</x:t>
        </x:is>
      </x:c>
      <x:c r="R174" s="567" t="inlineStr">
        <x:is>
          <x:t xml:space="preserve">Deed / Chain</x:t>
        </x:is>
      </x:c>
      <x:c r="S174" s="650" t="n">
        <x:v>45614</x:v>
      </x:c>
      <x:c r="T174" s="567" t="inlineStr">
        <x:is>
          <x:t xml:space="preserve">Clerk index Doc/Date from attached image-only report</x:t>
        </x:is>
      </x:c>
      <x:c r="U174" s="650" t="n">
        <x:v>45614</x:v>
      </x:c>
      <x:c r="V174" s="567" t="inlineStr">
        <x:is>
          <x:t xml:space="preserve">31-12N-24W</x:t>
        </x:is>
      </x:c>
      <x:c r="W174" s="567" t="inlineStr">
        <x:is>
          <x:t xml:space="preserve">All</x:t>
        </x:is>
      </x:c>
      <x:c r="X174" s="567" t="inlineStr">
        <x:is>
          <x:t xml:space="preserve">High - visually read from report</x:t>
        </x:is>
      </x:c>
      <x:c r="Y174" s="568" t="inlineStr">
        <x:is>
          <x:t xml:space="preserve">Yes - verify against certified document image</x:t>
        </x:is>
      </x:c>
      <x:c r="Z174" s="568" t="inlineStr">
        <x:is>
          <x:t xml:space="preserve">Supplemental import from attached image-only index; not full OCR-certified transcription.</x:t>
        </x:is>
      </x:c>
    </x:row>
    <x:row r="175">
      <x:c r="A175" s="567" t="n">
        <x:v>538</x:v>
      </x:c>
      <x:c r="B175" s="567" t="inlineStr">
        <x:is>
          <x:t xml:space="preserve">Clerk Index PDF / OKCR</x:t>
        </x:is>
      </x:c>
      <x:c r="C175" s="567" t="inlineStr">
        <x:is>
          <x:t xml:space="preserve">MERGER</x:t>
        </x:is>
      </x:c>
      <x:c r="D175" s="567" t="inlineStr">
        <x:is>
          <x:t xml:space="preserve">002599/0505</x:t>
        </x:is>
      </x:c>
      <x:c r="E175" s="567" t="n"/>
      <x:c r="F175" s="571" t="n">
        <x:v>45614</x:v>
      </x:c>
      <x:c r="G175" s="567" t="inlineStr">
        <x:is>
          <x:t xml:space="preserve">CITIZEN ENERGY OPERATING, LLC et al</x:t>
        </x:is>
      </x:c>
      <x:c r="H175" s="567" t="inlineStr">
        <x:is>
          <x:t xml:space="preserve">PUBLIC</x:t>
        </x:is>
      </x:c>
      <x:c r="I175" s="567" t="inlineStr">
        <x:is>
          <x:t xml:space="preserve">S31 T12N R24W ALL</x:t>
        </x:is>
      </x:c>
      <x:c r="J175" s="567" t="inlineStr">
        <x:is>
          <x:t xml:space="preserve">Doc 2024-007203; attached Roger Mills County Clerk unplatted legal index image row; Index p.61; legal/quarter extracted visually from image-only PDF.</x:t>
        </x:is>
      </x:c>
      <x:c r="K175" s="567" t="inlineStr">
        <x:is>
          <x:t xml:space="preserve">63e8b9a8d056433a9994fe46ca85076b.pdf</x:t>
        </x:is>
      </x:c>
      <x:c r="L175" s="567" t="inlineStr">
        <x:is>
          <x:t xml:space="preserve">Index p.61</x:t>
        </x:is>
      </x:c>
      <x:c r="M175" s="567" t="inlineStr">
        <x:is>
          <x:t xml:space="preserve">https://okcountyrecords.com/detail/roger+mills/2024-007203</x:t>
        </x:is>
      </x:c>
      <x:c r="N175" s="567" t="inlineStr">
        <x:is>
          <x:t xml:space="preserve">Index row added - certified copy/image required</x:t>
        </x:is>
      </x:c>
      <x:c r="O175" s="567" t="inlineStr">
        <x:is>
          <x:t xml:space="preserve">https://okcountyrecords.com/detail/roger+mills/2024-007203</x:t>
        </x:is>
      </x:c>
      <x:c r="P175" s="567" t="inlineStr">
        <x:is>
          <x:t xml:space="preserve">Obtain certified instrument/image; verify parties, acreage, legal calls, status, and release/assignment chain.</x:t>
        </x:is>
      </x:c>
      <x:c r="Q175" s="567" t="inlineStr">
        <x:is>
          <x:t xml:space="preserve">High</x:t>
        </x:is>
      </x:c>
      <x:c r="R175" s="567" t="inlineStr">
        <x:is>
          <x:t xml:space="preserve">Other / Memorandum</x:t>
        </x:is>
      </x:c>
      <x:c r="S175" s="650" t="n">
        <x:v>45614</x:v>
      </x:c>
      <x:c r="T175" s="567" t="inlineStr">
        <x:is>
          <x:t xml:space="preserve">Clerk index Doc/Date from attached image-only report</x:t>
        </x:is>
      </x:c>
      <x:c r="U175" s="650" t="n">
        <x:v>45614</x:v>
      </x:c>
      <x:c r="V175" s="567" t="inlineStr">
        <x:is>
          <x:t xml:space="preserve">31-12N-24W</x:t>
        </x:is>
      </x:c>
      <x:c r="W175" s="567" t="inlineStr">
        <x:is>
          <x:t xml:space="preserve">All</x:t>
        </x:is>
      </x:c>
      <x:c r="X175" s="567" t="inlineStr">
        <x:is>
          <x:t xml:space="preserve">High - visually read from report</x:t>
        </x:is>
      </x:c>
      <x:c r="Y175" s="568" t="inlineStr">
        <x:is>
          <x:t xml:space="preserve">Yes - verify against certified document image</x:t>
        </x:is>
      </x:c>
      <x:c r="Z175" s="568" t="inlineStr">
        <x:is>
          <x:t xml:space="preserve">Supplemental import from attached image-only index; not full OCR-certified transcription.</x:t>
        </x:is>
      </x:c>
    </x:row>
    <x:row r="176">
      <x:c r="A176" s="567" t="n">
        <x:v>539</x:v>
      </x:c>
      <x:c r="B176" s="567" t="inlineStr">
        <x:is>
          <x:t xml:space="preserve">Clerk Index PDF / OKCR</x:t>
        </x:is>
      </x:c>
      <x:c r="C176" s="567" t="inlineStr">
        <x:is>
          <x:t xml:space="preserve">MD</x:t>
        </x:is>
      </x:c>
      <x:c r="D176" s="567" t="inlineStr">
        <x:is>
          <x:t xml:space="preserve">002600/0472</x:t>
        </x:is>
      </x:c>
      <x:c r="E176" s="567" t="n"/>
      <x:c r="F176" s="571" t="n">
        <x:v>45621</x:v>
      </x:c>
      <x:c r="G176" s="567" t="inlineStr">
        <x:is>
          <x:t xml:space="preserve">MITCHELL CARRIE LEEANN</x:t>
        </x:is>
      </x:c>
      <x:c r="H176" s="567" t="inlineStr">
        <x:is>
          <x:t xml:space="preserve">BUONACCORSI JAMES GERARD et al</x:t>
        </x:is>
      </x:c>
      <x:c r="I176" s="567" t="inlineStr">
        <x:is>
          <x:t xml:space="preserve">S31 T12N R24W SW</x:t>
        </x:is>
      </x:c>
      <x:c r="J176" s="567" t="inlineStr">
        <x:is>
          <x:t xml:space="preserve">Doc 2024-007338; attached Roger Mills County Clerk unplatted legal index image row; Index p.61; legal/quarter extracted visually from image-only PDF.</x:t>
        </x:is>
      </x:c>
      <x:c r="K176" s="567" t="inlineStr">
        <x:is>
          <x:t xml:space="preserve">63e8b9a8d056433a9994fe46ca85076b.pdf</x:t>
        </x:is>
      </x:c>
      <x:c r="L176" s="567" t="inlineStr">
        <x:is>
          <x:t xml:space="preserve">Index p.61</x:t>
        </x:is>
      </x:c>
      <x:c r="M176" s="567" t="inlineStr">
        <x:is>
          <x:t xml:space="preserve">https://okcountyrecords.com/detail/roger+mills/2024-007338</x:t>
        </x:is>
      </x:c>
      <x:c r="N176" s="567" t="inlineStr">
        <x:is>
          <x:t xml:space="preserve">Index row added - certified copy/image required</x:t>
        </x:is>
      </x:c>
      <x:c r="O176" s="567" t="inlineStr">
        <x:is>
          <x:t xml:space="preserve">https://okcountyrecords.com/detail/roger+mills/2024-007338</x:t>
        </x:is>
      </x:c>
      <x:c r="P176" s="567" t="inlineStr">
        <x:is>
          <x:t xml:space="preserve">Obtain certified instrument/image; verify parties, acreage, legal calls, status, and release/assignment chain.</x:t>
        </x:is>
      </x:c>
      <x:c r="Q176" s="567" t="inlineStr">
        <x:is>
          <x:t xml:space="preserve">High</x:t>
        </x:is>
      </x:c>
      <x:c r="R176" s="567" t="inlineStr">
        <x:is>
          <x:t xml:space="preserve">Deed / Chain</x:t>
        </x:is>
      </x:c>
      <x:c r="S176" s="650" t="n">
        <x:v>45621</x:v>
      </x:c>
      <x:c r="T176" s="567" t="inlineStr">
        <x:is>
          <x:t xml:space="preserve">Clerk index Doc/Date from attached image-only report</x:t>
        </x:is>
      </x:c>
      <x:c r="U176" s="650" t="n">
        <x:v>45621</x:v>
      </x:c>
      <x:c r="V176" s="567" t="inlineStr">
        <x:is>
          <x:t xml:space="preserve">31-12N-24W</x:t>
        </x:is>
      </x:c>
      <x:c r="W176" s="567" t="inlineStr">
        <x:is>
          <x:t xml:space="preserve">SW/4</x:t>
        </x:is>
      </x:c>
      <x:c r="X176" s="567" t="inlineStr">
        <x:is>
          <x:t xml:space="preserve">High - visually read from report</x:t>
        </x:is>
      </x:c>
      <x:c r="Y176" s="568" t="inlineStr">
        <x:is>
          <x:t xml:space="preserve">Yes - verify against certified document image</x:t>
        </x:is>
      </x:c>
      <x:c r="Z176" s="568" t="inlineStr">
        <x:is>
          <x:t xml:space="preserve">Supplemental import from attached image-only index; not full OCR-certified transcription.</x:t>
        </x:is>
      </x:c>
    </x:row>
    <x:row r="177">
      <x:c r="A177" s="567" t="n">
        <x:v>540</x:v>
      </x:c>
      <x:c r="B177" s="567" t="inlineStr">
        <x:is>
          <x:t xml:space="preserve">Clerk Index PDF / OKCR</x:t>
        </x:is>
      </x:c>
      <x:c r="C177" s="567" t="inlineStr">
        <x:is>
          <x:t xml:space="preserve">ASGT</x:t>
        </x:is>
      </x:c>
      <x:c r="D177" s="567" t="inlineStr">
        <x:is>
          <x:t xml:space="preserve">002604/0111</x:t>
        </x:is>
      </x:c>
      <x:c r="E177" s="567" t="n"/>
      <x:c r="F177" s="571" t="n">
        <x:v>45642</x:v>
      </x:c>
      <x:c r="G177" s="567" t="inlineStr">
        <x:is>
          <x:t xml:space="preserve">GREENE CHRISTOPHER D TTEE et al</x:t>
        </x:is>
      </x:c>
      <x:c r="H177" s="567" t="inlineStr">
        <x:is>
          <x:t xml:space="preserve">TRISON HOLDINGS, LLC</x:t>
        </x:is>
      </x:c>
      <x:c r="I177" s="567" t="inlineStr">
        <x:is>
          <x:t xml:space="preserve">S31 T12N R24W ALL</x:t>
        </x:is>
      </x:c>
      <x:c r="J177" s="567" t="inlineStr">
        <x:is>
          <x:t xml:space="preserve">Doc 2024-007374; attached Roger Mills County Clerk unplatted legal index image row; Index p.61; legal/quarter extracted visually from image-only PDF.</x:t>
        </x:is>
      </x:c>
      <x:c r="K177" s="567" t="inlineStr">
        <x:is>
          <x:t xml:space="preserve">63e8b9a8d056433a9994fe46ca85076b.pdf</x:t>
        </x:is>
      </x:c>
      <x:c r="L177" s="567" t="inlineStr">
        <x:is>
          <x:t xml:space="preserve">Index p.61</x:t>
        </x:is>
      </x:c>
      <x:c r="M177" s="567" t="inlineStr">
        <x:is>
          <x:t xml:space="preserve">https://okcountyrecords.com/detail/roger+mills/2024-007374</x:t>
        </x:is>
      </x:c>
      <x:c r="N177" s="567" t="inlineStr">
        <x:is>
          <x:t xml:space="preserve">Index row added - certified copy/image required</x:t>
        </x:is>
      </x:c>
      <x:c r="O177" s="567" t="inlineStr">
        <x:is>
          <x:t xml:space="preserve">https://okcountyrecords.com/detail/roger+mills/2024-007374</x:t>
        </x:is>
      </x:c>
      <x:c r="P177" s="567" t="inlineStr">
        <x:is>
          <x:t xml:space="preserve">Obtain certified instrument/image; verify parties, acreage, legal calls, status, and release/assignment chain.</x:t>
        </x:is>
      </x:c>
      <x:c r="Q177" s="567" t="inlineStr">
        <x:is>
          <x:t xml:space="preserve">High</x:t>
        </x:is>
      </x:c>
      <x:c r="R177" s="567" t="inlineStr">
        <x:is>
          <x:t xml:space="preserve">Assignment</x:t>
        </x:is>
      </x:c>
      <x:c r="S177" s="650" t="n">
        <x:v>45642</x:v>
      </x:c>
      <x:c r="T177" s="567" t="inlineStr">
        <x:is>
          <x:t xml:space="preserve">Clerk index Doc/Date from attached image-only report</x:t>
        </x:is>
      </x:c>
      <x:c r="U177" s="650" t="n">
        <x:v>45642</x:v>
      </x:c>
      <x:c r="V177" s="567" t="inlineStr">
        <x:is>
          <x:t xml:space="preserve">31-12N-24W</x:t>
        </x:is>
      </x:c>
      <x:c r="W177" s="567" t="inlineStr">
        <x:is>
          <x:t xml:space="preserve">All</x:t>
        </x:is>
      </x:c>
      <x:c r="X177" s="567" t="inlineStr">
        <x:is>
          <x:t xml:space="preserve">High - visually read from report</x:t>
        </x:is>
      </x:c>
      <x:c r="Y177" s="568" t="inlineStr">
        <x:is>
          <x:t xml:space="preserve">Yes - verify against certified document image</x:t>
        </x:is>
      </x:c>
      <x:c r="Z177" s="568" t="inlineStr">
        <x:is>
          <x:t xml:space="preserve">Supplemental import from attached image-only index; not full OCR-certified transcription.</x:t>
        </x:is>
      </x:c>
    </x:row>
    <x:row r="178">
      <x:c r="A178" s="567" t="n">
        <x:v>541</x:v>
      </x:c>
      <x:c r="B178" s="567" t="inlineStr">
        <x:is>
          <x:t xml:space="preserve">Clerk Index PDF / OKCR</x:t>
        </x:is>
      </x:c>
      <x:c r="C178" s="567" t="inlineStr">
        <x:is>
          <x:t xml:space="preserve">COR</x:t>
        </x:is>
      </x:c>
      <x:c r="D178" s="567" t="inlineStr">
        <x:is>
          <x:t xml:space="preserve">002608/0397</x:t>
        </x:is>
      </x:c>
      <x:c r="E178" s="567" t="n"/>
      <x:c r="F178" s="571" t="n">
        <x:v>45672</x:v>
      </x:c>
      <x:c r="G178" s="567" t="inlineStr">
        <x:is>
          <x:t xml:space="preserve">FAIRWAY RESOURCES III, LLC et al</x:t>
        </x:is>
      </x:c>
      <x:c r="H178" s="567" t="inlineStr">
        <x:is>
          <x:t xml:space="preserve">MUSTANG FUEL CORPORATION</x:t>
        </x:is>
      </x:c>
      <x:c r="I178" s="567" t="inlineStr">
        <x:is>
          <x:t xml:space="preserve">S31 T12N R24W ALL</x:t>
        </x:is>
      </x:c>
      <x:c r="J178" s="567" t="inlineStr">
        <x:is>
          <x:t xml:space="preserve">Doc 2025-000522; attached Roger Mills County Clerk unplatted legal index image row; Index p.61; legal/quarter extracted visually from image-only PDF.</x:t>
        </x:is>
      </x:c>
      <x:c r="K178" s="567" t="inlineStr">
        <x:is>
          <x:t xml:space="preserve">63e8b9a8d056433a9994fe46ca85076b.pdf</x:t>
        </x:is>
      </x:c>
      <x:c r="L178" s="567" t="inlineStr">
        <x:is>
          <x:t xml:space="preserve">Index p.61</x:t>
        </x:is>
      </x:c>
      <x:c r="M178" s="567" t="inlineStr">
        <x:is>
          <x:t xml:space="preserve">https://okcountyrecords.com/detail/roger+mills/2025-000522</x:t>
        </x:is>
      </x:c>
      <x:c r="N178" s="567" t="inlineStr">
        <x:is>
          <x:t xml:space="preserve">Index row added - certified copy/image required</x:t>
        </x:is>
      </x:c>
      <x:c r="O178" s="567" t="inlineStr">
        <x:is>
          <x:t xml:space="preserve">https://okcountyrecords.com/detail/roger+mills/2025-000522</x:t>
        </x:is>
      </x:c>
      <x:c r="P178" s="567" t="inlineStr">
        <x:is>
          <x:t xml:space="preserve">Obtain certified instrument/image; verify parties, acreage, legal calls, status, and release/assignment chain.</x:t>
        </x:is>
      </x:c>
      <x:c r="Q178" s="567" t="inlineStr">
        <x:is>
          <x:t xml:space="preserve">High</x:t>
        </x:is>
      </x:c>
      <x:c r="R178" s="567" t="inlineStr">
        <x:is>
          <x:t xml:space="preserve">Other / Memorandum</x:t>
        </x:is>
      </x:c>
      <x:c r="S178" s="650" t="n">
        <x:v>45672</x:v>
      </x:c>
      <x:c r="T178" s="567" t="inlineStr">
        <x:is>
          <x:t xml:space="preserve">Clerk index Doc/Date from attached image-only report</x:t>
        </x:is>
      </x:c>
      <x:c r="U178" s="650" t="n">
        <x:v>45672</x:v>
      </x:c>
      <x:c r="V178" s="567" t="inlineStr">
        <x:is>
          <x:t xml:space="preserve">31-12N-24W</x:t>
        </x:is>
      </x:c>
      <x:c r="W178" s="567" t="inlineStr">
        <x:is>
          <x:t xml:space="preserve">All</x:t>
        </x:is>
      </x:c>
      <x:c r="X178" s="567" t="inlineStr">
        <x:is>
          <x:t xml:space="preserve">High - visually read from report</x:t>
        </x:is>
      </x:c>
      <x:c r="Y178" s="568" t="inlineStr">
        <x:is>
          <x:t xml:space="preserve">Yes - verify against certified document image</x:t>
        </x:is>
      </x:c>
      <x:c r="Z178" s="568" t="inlineStr">
        <x:is>
          <x:t xml:space="preserve">Supplemental import from attached image-only index; not full OCR-certified transcription.</x:t>
        </x:is>
      </x:c>
    </x:row>
    <x:row r="179">
      <x:c r="A179" s="567" t="n">
        <x:v>542</x:v>
      </x:c>
      <x:c r="B179" s="567" t="inlineStr">
        <x:is>
          <x:t xml:space="preserve">Clerk Index PDF / OKCR</x:t>
        </x:is>
      </x:c>
      <x:c r="C179" s="567" t="inlineStr">
        <x:is>
          <x:t xml:space="preserve">AFF</x:t>
        </x:is>
      </x:c>
      <x:c r="D179" s="567" t="inlineStr">
        <x:is>
          <x:t xml:space="preserve">002628/0429</x:t>
        </x:is>
      </x:c>
      <x:c r="E179" s="567" t="n"/>
      <x:c r="F179" s="571" t="n">
        <x:v>45792</x:v>
      </x:c>
      <x:c r="G179" s="567" t="inlineStr">
        <x:is>
          <x:t xml:space="preserve">DIVERSIFIED ENERGY COMPANY</x:t>
        </x:is>
      </x:c>
      <x:c r="H179" s="567" t="inlineStr">
        <x:is>
          <x:t xml:space="preserve">PUBLIC et al</x:t>
        </x:is>
      </x:c>
      <x:c r="I179" s="567" t="inlineStr">
        <x:is>
          <x:t xml:space="preserve">S31 T12N R24W ALL</x:t>
        </x:is>
      </x:c>
      <x:c r="J179" s="567" t="inlineStr">
        <x:is>
          <x:t xml:space="preserve">Doc 2025-002923; attached Roger Mills County Clerk unplatted legal index image row; Index p.62; legal/quarter extracted visually from image-only PDF.</x:t>
        </x:is>
      </x:c>
      <x:c r="K179" s="567" t="inlineStr">
        <x:is>
          <x:t xml:space="preserve">63e8b9a8d056433a9994fe46ca85076b.pdf</x:t>
        </x:is>
      </x:c>
      <x:c r="L179" s="567" t="inlineStr">
        <x:is>
          <x:t xml:space="preserve">Index p.62</x:t>
        </x:is>
      </x:c>
      <x:c r="M179" s="567" t="inlineStr">
        <x:is>
          <x:t xml:space="preserve">https://okcountyrecords.com/detail/roger+mills/2025-002923</x:t>
        </x:is>
      </x:c>
      <x:c r="N179" s="567" t="inlineStr">
        <x:is>
          <x:t xml:space="preserve">Index row added - certified copy/image required</x:t>
        </x:is>
      </x:c>
      <x:c r="O179" s="567" t="inlineStr">
        <x:is>
          <x:t xml:space="preserve">https://okcountyrecords.com/detail/roger+mills/2025-002923</x:t>
        </x:is>
      </x:c>
      <x:c r="P179" s="567" t="inlineStr">
        <x:is>
          <x:t xml:space="preserve">Obtain certified instrument/image; verify parties, acreage, legal calls, status, and release/assignment chain.</x:t>
        </x:is>
      </x:c>
      <x:c r="Q179" s="567" t="inlineStr">
        <x:is>
          <x:t xml:space="preserve">High</x:t>
        </x:is>
      </x:c>
      <x:c r="R179" s="567" t="inlineStr">
        <x:is>
          <x:t xml:space="preserve">Probate / Affidavit</x:t>
        </x:is>
      </x:c>
      <x:c r="S179" s="650" t="n">
        <x:v>45792</x:v>
      </x:c>
      <x:c r="T179" s="567" t="inlineStr">
        <x:is>
          <x:t xml:space="preserve">Clerk index Doc/Date from attached image-only report</x:t>
        </x:is>
      </x:c>
      <x:c r="U179" s="650" t="n">
        <x:v>45792</x:v>
      </x:c>
      <x:c r="V179" s="567" t="inlineStr">
        <x:is>
          <x:t xml:space="preserve">31-12N-24W</x:t>
        </x:is>
      </x:c>
      <x:c r="W179" s="567" t="inlineStr">
        <x:is>
          <x:t xml:space="preserve">All</x:t>
        </x:is>
      </x:c>
      <x:c r="X179" s="567" t="inlineStr">
        <x:is>
          <x:t xml:space="preserve">High - visually read from report</x:t>
        </x:is>
      </x:c>
      <x:c r="Y179" s="568" t="inlineStr">
        <x:is>
          <x:t xml:space="preserve">Yes - verify against certified document image</x:t>
        </x:is>
      </x:c>
      <x:c r="Z179" s="568" t="inlineStr">
        <x:is>
          <x:t xml:space="preserve">Supplemental import from attached image-only index; not full OCR-certified transcription.</x:t>
        </x:is>
      </x:c>
    </x:row>
    <x:row r="180">
      <x:c r="A180" s="567" t="n">
        <x:v>543</x:v>
      </x:c>
      <x:c r="B180" s="567" t="inlineStr">
        <x:is>
          <x:t xml:space="preserve">Clerk Index PDF / OKCR</x:t>
        </x:is>
      </x:c>
      <x:c r="C180" s="567" t="inlineStr">
        <x:is>
          <x:t xml:space="preserve">RELLIEN</x:t>
        </x:is>
      </x:c>
      <x:c r="D180" s="567" t="inlineStr">
        <x:is>
          <x:t xml:space="preserve">002634/0001</x:t>
        </x:is>
      </x:c>
      <x:c r="E180" s="567" t="n"/>
      <x:c r="F180" s="571" t="n">
        <x:v>45825</x:v>
      </x:c>
      <x:c r="G180" s="567" t="inlineStr">
        <x:is>
          <x:t xml:space="preserve">JPMORGAN CHASE BANK</x:t>
        </x:is>
      </x:c>
      <x:c r="H180" s="567" t="inlineStr">
        <x:is>
          <x:t xml:space="preserve">BREITBURN OPERATING LP et al</x:t>
        </x:is>
      </x:c>
      <x:c r="I180" s="567" t="inlineStr">
        <x:is>
          <x:t xml:space="preserve">S31 T12N R24W A</x:t>
        </x:is>
      </x:c>
      <x:c r="J180" s="567" t="inlineStr">
        <x:is>
          <x:t xml:space="preserve">Doc 2025-003650; attached Roger Mills County Clerk unplatted legal index image row; Index p.62; legal/quarter extracted visually from image-only PDF.</x:t>
        </x:is>
      </x:c>
      <x:c r="K180" s="567" t="inlineStr">
        <x:is>
          <x:t xml:space="preserve">63e8b9a8d056433a9994fe46ca85076b.pdf</x:t>
        </x:is>
      </x:c>
      <x:c r="L180" s="567" t="inlineStr">
        <x:is>
          <x:t xml:space="preserve">Index p.62</x:t>
        </x:is>
      </x:c>
      <x:c r="M180" s="567" t="inlineStr">
        <x:is>
          <x:t xml:space="preserve">https://okcountyrecords.com/detail/roger+mills/2025-003650</x:t>
        </x:is>
      </x:c>
      <x:c r="N180" s="567" t="inlineStr">
        <x:is>
          <x:t xml:space="preserve">Index row added - certified copy/image required</x:t>
        </x:is>
      </x:c>
      <x:c r="O180" s="567" t="inlineStr">
        <x:is>
          <x:t xml:space="preserve">https://okcountyrecords.com/detail/roger+mills/2025-003650</x:t>
        </x:is>
      </x:c>
      <x:c r="P180" s="567" t="inlineStr">
        <x:is>
          <x:t xml:space="preserve">Obtain certified instrument/image; verify parties, acreage, legal calls, status, and release/assignment chain.</x:t>
        </x:is>
      </x:c>
      <x:c r="Q180" s="567" t="inlineStr">
        <x:is>
          <x:t xml:space="preserve">High</x:t>
        </x:is>
      </x:c>
      <x:c r="R180" s="567" t="inlineStr">
        <x:is>
          <x:t xml:space="preserve">Lien / Release</x:t>
        </x:is>
      </x:c>
      <x:c r="S180" s="650" t="n">
        <x:v>45825</x:v>
      </x:c>
      <x:c r="T180" s="567" t="inlineStr">
        <x:is>
          <x:t xml:space="preserve">Clerk index Doc/Date from attached image-only report</x:t>
        </x:is>
      </x:c>
      <x:c r="U180" s="650" t="n">
        <x:v>45825</x:v>
      </x:c>
      <x:c r="V180" s="567" t="inlineStr">
        <x:is>
          <x:t xml:space="preserve">31-12N-24W</x:t>
        </x:is>
      </x:c>
      <x:c r="W180" s="567" t="inlineStr">
        <x:is>
          <x:t xml:space="preserve">A</x:t>
        </x:is>
      </x:c>
      <x:c r="X180" s="567" t="inlineStr">
        <x:is>
          <x:t xml:space="preserve">High - visually read from report</x:t>
        </x:is>
      </x:c>
      <x:c r="Y180" s="568" t="inlineStr">
        <x:is>
          <x:t xml:space="preserve">Yes - verify against certified document image</x:t>
        </x:is>
      </x:c>
      <x:c r="Z180" s="568" t="inlineStr">
        <x:is>
          <x:t xml:space="preserve">Supplemental import from attached image-only index; not full OCR-certified transcription.</x:t>
        </x:is>
      </x:c>
    </x:row>
    <x:row r="181">
      <x:c r="A181" s="567" t="n">
        <x:v>544</x:v>
      </x:c>
      <x:c r="B181" s="567" t="inlineStr">
        <x:is>
          <x:t xml:space="preserve">Clerk Index PDF / OKCR</x:t>
        </x:is>
      </x:c>
      <x:c r="C181" s="567" t="inlineStr">
        <x:is>
          <x:t xml:space="preserve">REL MTG</x:t>
        </x:is>
      </x:c>
      <x:c r="D181" s="567" t="inlineStr">
        <x:is>
          <x:t xml:space="preserve">002650/0484</x:t>
        </x:is>
      </x:c>
      <x:c r="E181" s="567" t="n"/>
      <x:c r="F181" s="571" t="n">
        <x:v>45915</x:v>
      </x:c>
      <x:c r="G181" s="567" t="inlineStr">
        <x:is>
          <x:t xml:space="preserve">SOUTHEAST BANK NA et al</x:t>
        </x:is>
      </x:c>
      <x:c r="H181" s="567" t="inlineStr">
        <x:is>
          <x:t xml:space="preserve">PHX MINERALS INC</x:t>
        </x:is>
      </x:c>
      <x:c r="I181" s="567" t="inlineStr">
        <x:is>
          <x:t xml:space="preserve">S31 T12N R24W ALL</x:t>
        </x:is>
      </x:c>
      <x:c r="J181" s="567" t="inlineStr">
        <x:is>
          <x:t xml:space="preserve">Doc 2025-005621; attached Roger Mills County Clerk unplatted legal index image row; Index p.62; legal/quarter extracted visually from image-only PDF.</x:t>
        </x:is>
      </x:c>
      <x:c r="K181" s="567" t="inlineStr">
        <x:is>
          <x:t xml:space="preserve">63e8b9a8d056433a9994fe46ca85076b.pdf</x:t>
        </x:is>
      </x:c>
      <x:c r="L181" s="567" t="inlineStr">
        <x:is>
          <x:t xml:space="preserve">Index p.62</x:t>
        </x:is>
      </x:c>
      <x:c r="M181" s="567" t="inlineStr">
        <x:is>
          <x:t xml:space="preserve">https://okcountyrecords.com/detail/roger+mills/2025-005621</x:t>
        </x:is>
      </x:c>
      <x:c r="N181" s="567" t="inlineStr">
        <x:is>
          <x:t xml:space="preserve">Index row added - certified copy/image required</x:t>
        </x:is>
      </x:c>
      <x:c r="O181" s="567" t="inlineStr">
        <x:is>
          <x:t xml:space="preserve">https://okcountyrecords.com/detail/roger+mills/2025-005621</x:t>
        </x:is>
      </x:c>
      <x:c r="P181" s="567" t="inlineStr">
        <x:is>
          <x:t xml:space="preserve">Obtain certified instrument/image; verify parties, acreage, legal calls, status, and release/assignment chain.</x:t>
        </x:is>
      </x:c>
      <x:c r="Q181" s="567" t="inlineStr">
        <x:is>
          <x:t xml:space="preserve">High</x:t>
        </x:is>
      </x:c>
      <x:c r="R181" s="567" t="inlineStr">
        <x:is>
          <x:t xml:space="preserve">Lien / Release</x:t>
        </x:is>
      </x:c>
      <x:c r="S181" s="650" t="n">
        <x:v>45915</x:v>
      </x:c>
      <x:c r="T181" s="567" t="inlineStr">
        <x:is>
          <x:t xml:space="preserve">Clerk index Doc/Date from attached image-only report</x:t>
        </x:is>
      </x:c>
      <x:c r="U181" s="650" t="n">
        <x:v>45915</x:v>
      </x:c>
      <x:c r="V181" s="567" t="inlineStr">
        <x:is>
          <x:t xml:space="preserve">31-12N-24W</x:t>
        </x:is>
      </x:c>
      <x:c r="W181" s="567" t="inlineStr">
        <x:is>
          <x:t xml:space="preserve">All</x:t>
        </x:is>
      </x:c>
      <x:c r="X181" s="567" t="inlineStr">
        <x:is>
          <x:t xml:space="preserve">High - visually read from report</x:t>
        </x:is>
      </x:c>
      <x:c r="Y181" s="568" t="inlineStr">
        <x:is>
          <x:t xml:space="preserve">Yes - verify against certified document image</x:t>
        </x:is>
      </x:c>
      <x:c r="Z181" s="568" t="inlineStr">
        <x:is>
          <x:t xml:space="preserve">Supplemental import from attached image-only index; not full OCR-certified transcription.</x:t>
        </x:is>
      </x:c>
    </x:row>
    <x:row r="182">
      <x:c r="A182" s="567" t="n">
        <x:v>545</x:v>
      </x:c>
      <x:c r="B182" s="567" t="inlineStr">
        <x:is>
          <x:t xml:space="preserve">Clerk Index PDF / OKCR</x:t>
        </x:is>
      </x:c>
      <x:c r="C182" s="567" t="inlineStr">
        <x:is>
          <x:t xml:space="preserve">MTG</x:t>
        </x:is>
      </x:c>
      <x:c r="D182" s="567" t="inlineStr">
        <x:is>
          <x:t xml:space="preserve">002653/0035</x:t>
        </x:is>
      </x:c>
      <x:c r="E182" s="567" t="n"/>
      <x:c r="F182" s="571" t="n">
        <x:v>45925</x:v>
      </x:c>
      <x:c r="G182" s="567" t="inlineStr">
        <x:is>
          <x:t xml:space="preserve">PHX MINERALS INC</x:t>
        </x:is>
      </x:c>
      <x:c r="H182" s="567" t="inlineStr">
        <x:is>
          <x:t xml:space="preserve">US BANK TRUST COMPANY NA</x:t>
        </x:is>
      </x:c>
      <x:c r="I182" s="567" t="inlineStr">
        <x:is>
          <x:t xml:space="preserve">S31 T12N R24W ALL</x:t>
        </x:is>
      </x:c>
      <x:c r="J182" s="567" t="inlineStr">
        <x:is>
          <x:t xml:space="preserve">Doc 2025-005899; attached Roger Mills County Clerk unplatted legal index image row; Index p.62; legal/quarter extracted visually from image-only PDF.</x:t>
        </x:is>
      </x:c>
      <x:c r="K182" s="567" t="inlineStr">
        <x:is>
          <x:t xml:space="preserve">63e8b9a8d056433a9994fe46ca85076b.pdf</x:t>
        </x:is>
      </x:c>
      <x:c r="L182" s="567" t="inlineStr">
        <x:is>
          <x:t xml:space="preserve">Index p.62</x:t>
        </x:is>
      </x:c>
      <x:c r="M182" s="567" t="inlineStr">
        <x:is>
          <x:t xml:space="preserve">https://okcountyrecords.com/detail/roger+mills/2025-005899</x:t>
        </x:is>
      </x:c>
      <x:c r="N182" s="567" t="inlineStr">
        <x:is>
          <x:t xml:space="preserve">Index row added - certified copy/image required</x:t>
        </x:is>
      </x:c>
      <x:c r="O182" s="567" t="inlineStr">
        <x:is>
          <x:t xml:space="preserve">https://okcountyrecords.com/detail/roger+mills/2025-005899</x:t>
        </x:is>
      </x:c>
      <x:c r="P182" s="567" t="inlineStr">
        <x:is>
          <x:t xml:space="preserve">Obtain certified instrument/image; verify parties, acreage, legal calls, status, and release/assignment chain.</x:t>
        </x:is>
      </x:c>
      <x:c r="Q182" s="567" t="inlineStr">
        <x:is>
          <x:t xml:space="preserve">High</x:t>
        </x:is>
      </x:c>
      <x:c r="R182" s="567" t="inlineStr">
        <x:is>
          <x:t xml:space="preserve">Lien / Release</x:t>
        </x:is>
      </x:c>
      <x:c r="S182" s="650" t="n">
        <x:v>45925</x:v>
      </x:c>
      <x:c r="T182" s="567" t="inlineStr">
        <x:is>
          <x:t xml:space="preserve">Clerk index Doc/Date from attached image-only report</x:t>
        </x:is>
      </x:c>
      <x:c r="U182" s="650" t="n">
        <x:v>45925</x:v>
      </x:c>
      <x:c r="V182" s="567" t="inlineStr">
        <x:is>
          <x:t xml:space="preserve">31-12N-24W</x:t>
        </x:is>
      </x:c>
      <x:c r="W182" s="567" t="inlineStr">
        <x:is>
          <x:t xml:space="preserve">All</x:t>
        </x:is>
      </x:c>
      <x:c r="X182" s="567" t="inlineStr">
        <x:is>
          <x:t xml:space="preserve">High - visually read from report</x:t>
        </x:is>
      </x:c>
      <x:c r="Y182" s="568" t="inlineStr">
        <x:is>
          <x:t xml:space="preserve">Yes - verify against certified document image</x:t>
        </x:is>
      </x:c>
      <x:c r="Z182" s="568" t="inlineStr">
        <x:is>
          <x:t xml:space="preserve">Supplemental import from attached image-only index; not full OCR-certified transcription.</x:t>
        </x:is>
      </x:c>
    </x:row>
    <x:row r="183">
      <x:c r="A183" s="567" t="n">
        <x:v>546</x:v>
      </x:c>
      <x:c r="B183" s="567" t="inlineStr">
        <x:is>
          <x:t xml:space="preserve">Clerk Index PDF / OKCR</x:t>
        </x:is>
      </x:c>
      <x:c r="C183" s="567" t="inlineStr">
        <x:is>
          <x:t xml:space="preserve">MTG</x:t>
        </x:is>
      </x:c>
      <x:c r="D183" s="567" t="inlineStr">
        <x:is>
          <x:t xml:space="preserve">002660/0233</x:t>
        </x:is>
      </x:c>
      <x:c r="E183" s="567" t="n"/>
      <x:c r="F183" s="571" t="n">
        <x:v>45954</x:v>
      </x:c>
      <x:c r="G183" s="567" t="inlineStr">
        <x:is>
          <x:t xml:space="preserve">MIDCON ENERGY PRODUCTION, LLC</x:t>
        </x:is>
      </x:c>
      <x:c r="H183" s="567" t="inlineStr">
        <x:is>
          <x:t xml:space="preserve">US BANK TRUST COMPANY</x:t>
        </x:is>
      </x:c>
      <x:c r="I183" s="567" t="inlineStr">
        <x:is>
          <x:t xml:space="preserve">S31 T12N R24W ALL</x:t>
        </x:is>
      </x:c>
      <x:c r="J183" s="567" t="inlineStr">
        <x:is>
          <x:t xml:space="preserve">Doc 2025-006540; attached Roger Mills County Clerk unplatted legal index image row; Index p.63; legal/quarter extracted visually from image-only PDF.</x:t>
        </x:is>
      </x:c>
      <x:c r="K183" s="567" t="inlineStr">
        <x:is>
          <x:t xml:space="preserve">63e8b9a8d056433a9994fe46ca85076b.pdf</x:t>
        </x:is>
      </x:c>
      <x:c r="L183" s="567" t="inlineStr">
        <x:is>
          <x:t xml:space="preserve">Index p.63</x:t>
        </x:is>
      </x:c>
      <x:c r="M183" s="567" t="inlineStr">
        <x:is>
          <x:t xml:space="preserve">https://okcountyrecords.com/detail/roger+mills/2025-006540</x:t>
        </x:is>
      </x:c>
      <x:c r="N183" s="567" t="inlineStr">
        <x:is>
          <x:t xml:space="preserve">Index row added - certified copy/image required</x:t>
        </x:is>
      </x:c>
      <x:c r="O183" s="567" t="inlineStr">
        <x:is>
          <x:t xml:space="preserve">https://okcountyrecords.com/detail/roger+mills/2025-006540</x:t>
        </x:is>
      </x:c>
      <x:c r="P183" s="567" t="inlineStr">
        <x:is>
          <x:t xml:space="preserve">Obtain certified instrument/image; verify parties, acreage, legal calls, status, and release/assignment chain.</x:t>
        </x:is>
      </x:c>
      <x:c r="Q183" s="567" t="inlineStr">
        <x:is>
          <x:t xml:space="preserve">High</x:t>
        </x:is>
      </x:c>
      <x:c r="R183" s="567" t="inlineStr">
        <x:is>
          <x:t xml:space="preserve">Lien / Release</x:t>
        </x:is>
      </x:c>
      <x:c r="S183" s="650" t="n">
        <x:v>45954</x:v>
      </x:c>
      <x:c r="T183" s="567" t="inlineStr">
        <x:is>
          <x:t xml:space="preserve">Clerk index Doc/Date from attached image-only report</x:t>
        </x:is>
      </x:c>
      <x:c r="U183" s="650" t="n">
        <x:v>45954</x:v>
      </x:c>
      <x:c r="V183" s="567" t="inlineStr">
        <x:is>
          <x:t xml:space="preserve">31-12N-24W</x:t>
        </x:is>
      </x:c>
      <x:c r="W183" s="567" t="inlineStr">
        <x:is>
          <x:t xml:space="preserve">All</x:t>
        </x:is>
      </x:c>
      <x:c r="X183" s="567" t="inlineStr">
        <x:is>
          <x:t xml:space="preserve">High - visually read from report</x:t>
        </x:is>
      </x:c>
      <x:c r="Y183" s="568" t="inlineStr">
        <x:is>
          <x:t xml:space="preserve">Yes - verify against certified document image</x:t>
        </x:is>
      </x:c>
      <x:c r="Z183" s="568" t="inlineStr">
        <x:is>
          <x:t xml:space="preserve">Supplemental import from attached image-only index; not full OCR-certified transcription.</x:t>
        </x:is>
      </x:c>
    </x:row>
    <x:row r="184">
      <x:c r="A184" s="567" t="n">
        <x:v>547</x:v>
      </x:c>
      <x:c r="B184" s="567" t="inlineStr">
        <x:is>
          <x:t xml:space="preserve">Clerk Index PDF / OKCR</x:t>
        </x:is>
      </x:c>
      <x:c r="C184" s="567" t="inlineStr">
        <x:is>
          <x:t xml:space="preserve">MEMO</x:t>
        </x:is>
      </x:c>
      <x:c r="D184" s="567" t="inlineStr">
        <x:is>
          <x:t xml:space="preserve">002660/0341</x:t>
        </x:is>
      </x:c>
      <x:c r="E184" s="567" t="n"/>
      <x:c r="F184" s="571" t="n">
        <x:v>45954</x:v>
      </x:c>
      <x:c r="G184" s="567" t="inlineStr">
        <x:is>
          <x:t xml:space="preserve">WINDSOR OK, LLC et al</x:t>
        </x:is>
      </x:c>
      <x:c r="H184" s="567" t="inlineStr">
        <x:is>
          <x:t xml:space="preserve">WINDSOR OK DEVELOPMENT SUB, LLC et al</x:t>
        </x:is>
      </x:c>
      <x:c r="I184" s="567" t="inlineStr">
        <x:is>
          <x:t xml:space="preserve">S31 T12N R24W ALL</x:t>
        </x:is>
      </x:c>
      <x:c r="J184" s="567" t="inlineStr">
        <x:is>
          <x:t xml:space="preserve">Doc 2025-006541; attached Roger Mills County Clerk unplatted legal index image row; Index p.63; legal/quarter extracted visually from image-only PDF.</x:t>
        </x:is>
      </x:c>
      <x:c r="K184" s="567" t="inlineStr">
        <x:is>
          <x:t xml:space="preserve">63e8b9a8d056433a9994fe46ca85076b.pdf</x:t>
        </x:is>
      </x:c>
      <x:c r="L184" s="567" t="inlineStr">
        <x:is>
          <x:t xml:space="preserve">Index p.63</x:t>
        </x:is>
      </x:c>
      <x:c r="M184" s="567" t="inlineStr">
        <x:is>
          <x:t xml:space="preserve">https://okcountyrecords.com/detail/roger+mills/2025-006541</x:t>
        </x:is>
      </x:c>
      <x:c r="N184" s="567" t="inlineStr">
        <x:is>
          <x:t xml:space="preserve">Index row added - certified copy/image required</x:t>
        </x:is>
      </x:c>
      <x:c r="O184" s="567" t="inlineStr">
        <x:is>
          <x:t xml:space="preserve">https://okcountyrecords.com/detail/roger+mills/2025-006541</x:t>
        </x:is>
      </x:c>
      <x:c r="P184" s="567" t="inlineStr">
        <x:is>
          <x:t xml:space="preserve">Obtain certified instrument/image; verify parties, acreage, legal calls, status, and release/assignment chain.</x:t>
        </x:is>
      </x:c>
      <x:c r="Q184" s="567" t="inlineStr">
        <x:is>
          <x:t xml:space="preserve">High</x:t>
        </x:is>
      </x:c>
      <x:c r="R184" s="567" t="inlineStr">
        <x:is>
          <x:t xml:space="preserve">Other / Memorandum</x:t>
        </x:is>
      </x:c>
      <x:c r="S184" s="650" t="n">
        <x:v>45954</x:v>
      </x:c>
      <x:c r="T184" s="567" t="inlineStr">
        <x:is>
          <x:t xml:space="preserve">Clerk index Doc/Date from attached image-only report</x:t>
        </x:is>
      </x:c>
      <x:c r="U184" s="650" t="n">
        <x:v>45954</x:v>
      </x:c>
      <x:c r="V184" s="567" t="inlineStr">
        <x:is>
          <x:t xml:space="preserve">31-12N-24W</x:t>
        </x:is>
      </x:c>
      <x:c r="W184" s="567" t="inlineStr">
        <x:is>
          <x:t xml:space="preserve">All</x:t>
        </x:is>
      </x:c>
      <x:c r="X184" s="567" t="inlineStr">
        <x:is>
          <x:t xml:space="preserve">High - visually read from report</x:t>
        </x:is>
      </x:c>
      <x:c r="Y184" s="568" t="inlineStr">
        <x:is>
          <x:t xml:space="preserve">Yes - verify against certified document image</x:t>
        </x:is>
      </x:c>
      <x:c r="Z184" s="568" t="inlineStr">
        <x:is>
          <x:t xml:space="preserve">Supplemental import from attached image-only index; not full OCR-certified transcription.</x:t>
        </x:is>
      </x:c>
    </x:row>
    <x:row r="185">
      <x:c r="A185" s="567" t="n">
        <x:v>548</x:v>
      </x:c>
      <x:c r="B185" s="567" t="inlineStr">
        <x:is>
          <x:t xml:space="preserve">Clerk Index PDF / OKCR</x:t>
        </x:is>
      </x:c>
      <x:c r="C185" s="567" t="inlineStr">
        <x:is>
          <x:t xml:space="preserve">PTRELIE</x:t>
        </x:is>
      </x:c>
      <x:c r="D185" s="567" t="inlineStr">
        <x:is>
          <x:t xml:space="preserve">002664/0001</x:t>
        </x:is>
      </x:c>
      <x:c r="E185" s="567" t="n"/>
      <x:c r="F185" s="571" t="n">
        <x:v>45975</x:v>
      </x:c>
      <x:c r="G185" s="567" t="inlineStr">
        <x:is>
          <x:t xml:space="preserve">UMB BANK N A</x:t>
        </x:is>
      </x:c>
      <x:c r="H185" s="567" t="inlineStr">
        <x:is>
          <x:t xml:space="preserve">PRESIDIO FINANCE, LLC</x:t>
        </x:is>
      </x:c>
      <x:c r="I185" s="567" t="inlineStr">
        <x:is>
          <x:t xml:space="preserve">S31 T12N R24W ALL</x:t>
        </x:is>
      </x:c>
      <x:c r="J185" s="567" t="inlineStr">
        <x:is>
          <x:t xml:space="preserve">Doc 2025-006986; attached Roger Mills County Clerk unplatted legal index image row; Index p.63; legal/quarter extracted visually from image-only PDF.</x:t>
        </x:is>
      </x:c>
      <x:c r="K185" s="567" t="inlineStr">
        <x:is>
          <x:t xml:space="preserve">63e8b9a8d056433a9994fe46ca85076b.pdf</x:t>
        </x:is>
      </x:c>
      <x:c r="L185" s="567" t="inlineStr">
        <x:is>
          <x:t xml:space="preserve">Index p.63</x:t>
        </x:is>
      </x:c>
      <x:c r="M185" s="567" t="inlineStr">
        <x:is>
          <x:t xml:space="preserve">https://okcountyrecords.com/detail/roger+mills/2025-006986</x:t>
        </x:is>
      </x:c>
      <x:c r="N185" s="567" t="inlineStr">
        <x:is>
          <x:t xml:space="preserve">Index row added - certified copy/image required</x:t>
        </x:is>
      </x:c>
      <x:c r="O185" s="567" t="inlineStr">
        <x:is>
          <x:t xml:space="preserve">https://okcountyrecords.com/detail/roger+mills/2025-006986</x:t>
        </x:is>
      </x:c>
      <x:c r="P185" s="567" t="inlineStr">
        <x:is>
          <x:t xml:space="preserve">Obtain certified instrument/image; verify parties, acreage, legal calls, status, and release/assignment chain.</x:t>
        </x:is>
      </x:c>
      <x:c r="Q185" s="567" t="inlineStr">
        <x:is>
          <x:t xml:space="preserve">High</x:t>
        </x:is>
      </x:c>
      <x:c r="R185" s="567" t="inlineStr">
        <x:is>
          <x:t xml:space="preserve">Lien / Release</x:t>
        </x:is>
      </x:c>
      <x:c r="S185" s="650" t="n">
        <x:v>45975</x:v>
      </x:c>
      <x:c r="T185" s="567" t="inlineStr">
        <x:is>
          <x:t xml:space="preserve">Clerk index Doc/Date from attached image-only report</x:t>
        </x:is>
      </x:c>
      <x:c r="U185" s="650" t="n">
        <x:v>45975</x:v>
      </x:c>
      <x:c r="V185" s="567" t="inlineStr">
        <x:is>
          <x:t xml:space="preserve">31-12N-24W</x:t>
        </x:is>
      </x:c>
      <x:c r="W185" s="567" t="inlineStr">
        <x:is>
          <x:t xml:space="preserve">All</x:t>
        </x:is>
      </x:c>
      <x:c r="X185" s="567" t="inlineStr">
        <x:is>
          <x:t xml:space="preserve">High - visually read from report</x:t>
        </x:is>
      </x:c>
      <x:c r="Y185" s="568" t="inlineStr">
        <x:is>
          <x:t xml:space="preserve">Yes - verify against certified document image</x:t>
        </x:is>
      </x:c>
      <x:c r="Z185" s="568" t="inlineStr">
        <x:is>
          <x:t xml:space="preserve">Supplemental import from attached image-only index; not full OCR-certified transcription.</x:t>
        </x:is>
      </x:c>
    </x:row>
    <x:row r="186">
      <x:c r="A186" s="567" t="n">
        <x:v>549</x:v>
      </x:c>
      <x:c r="B186" s="567" t="inlineStr">
        <x:is>
          <x:t xml:space="preserve">Clerk Index PDF / OKCR</x:t>
        </x:is>
      </x:c>
      <x:c r="C186" s="567" t="inlineStr">
        <x:is>
          <x:t xml:space="preserve">WELBOR E-ASGT</x:t>
        </x:is>
      </x:c>
      <x:c r="D186" s="567" t="inlineStr">
        <x:is>
          <x:t xml:space="preserve">002664/0169</x:t>
        </x:is>
      </x:c>
      <x:c r="E186" s="567" t="n"/>
      <x:c r="F186" s="571" t="n">
        <x:v>45975</x:v>
      </x:c>
      <x:c r="G186" s="567" t="inlineStr">
        <x:is>
          <x:t xml:space="preserve">PRESIDIO FINANCE, LLC</x:t>
        </x:is>
      </x:c>
      <x:c r="H186" s="567" t="inlineStr">
        <x:is>
          <x:t xml:space="preserve">MARTINS EMPIRE, LLC</x:t>
        </x:is>
      </x:c>
      <x:c r="I186" s="567" t="inlineStr">
        <x:is>
          <x:t xml:space="preserve">S31 T12N R24W ALL</x:t>
        </x:is>
      </x:c>
      <x:c r="J186" s="567" t="inlineStr">
        <x:is>
          <x:t xml:space="preserve">Doc 2025-006987; attached Roger Mills County Clerk unplatted legal index image row; Index p.63; legal/quarter extracted visually from image-only PDF.</x:t>
        </x:is>
      </x:c>
      <x:c r="K186" s="567" t="inlineStr">
        <x:is>
          <x:t xml:space="preserve">63e8b9a8d056433a9994fe46ca85076b.pdf</x:t>
        </x:is>
      </x:c>
      <x:c r="L186" s="567" t="inlineStr">
        <x:is>
          <x:t xml:space="preserve">Index p.63</x:t>
        </x:is>
      </x:c>
      <x:c r="M186" s="567" t="inlineStr">
        <x:is>
          <x:t xml:space="preserve">https://okcountyrecords.com/detail/roger+mills/2025-006987</x:t>
        </x:is>
      </x:c>
      <x:c r="N186" s="567" t="inlineStr">
        <x:is>
          <x:t xml:space="preserve">Index row added - certified copy/image required</x:t>
        </x:is>
      </x:c>
      <x:c r="O186" s="567" t="inlineStr">
        <x:is>
          <x:t xml:space="preserve">https://okcountyrecords.com/detail/roger+mills/2025-006987</x:t>
        </x:is>
      </x:c>
      <x:c r="P186" s="567" t="inlineStr">
        <x:is>
          <x:t xml:space="preserve">Obtain certified instrument/image; verify parties, acreage, legal calls, status, and release/assignment chain.</x:t>
        </x:is>
      </x:c>
      <x:c r="Q186" s="567" t="inlineStr">
        <x:is>
          <x:t xml:space="preserve">High</x:t>
        </x:is>
      </x:c>
      <x:c r="R186" s="567" t="inlineStr">
        <x:is>
          <x:t xml:space="preserve">Assignment</x:t>
        </x:is>
      </x:c>
      <x:c r="S186" s="650" t="n">
        <x:v>45975</x:v>
      </x:c>
      <x:c r="T186" s="567" t="inlineStr">
        <x:is>
          <x:t xml:space="preserve">Clerk index Doc/Date from attached image-only report</x:t>
        </x:is>
      </x:c>
      <x:c r="U186" s="650" t="n">
        <x:v>45975</x:v>
      </x:c>
      <x:c r="V186" s="567" t="inlineStr">
        <x:is>
          <x:t xml:space="preserve">31-12N-24W</x:t>
        </x:is>
      </x:c>
      <x:c r="W186" s="567" t="inlineStr">
        <x:is>
          <x:t xml:space="preserve">All</x:t>
        </x:is>
      </x:c>
      <x:c r="X186" s="567" t="inlineStr">
        <x:is>
          <x:t xml:space="preserve">High - visually read from report</x:t>
        </x:is>
      </x:c>
      <x:c r="Y186" s="568" t="inlineStr">
        <x:is>
          <x:t xml:space="preserve">Yes - verify against certified document image</x:t>
        </x:is>
      </x:c>
      <x:c r="Z186" s="568" t="inlineStr">
        <x:is>
          <x:t xml:space="preserve">Supplemental import from attached image-only index; not full OCR-certified transcription.</x:t>
        </x:is>
      </x:c>
    </x:row>
    <x:row r="187">
      <x:c r="A187" s="567" t="n">
        <x:v>550</x:v>
      </x:c>
      <x:c r="B187" s="567" t="inlineStr">
        <x:is>
          <x:t xml:space="preserve">Clerk Index PDF / OKCR</x:t>
        </x:is>
      </x:c>
      <x:c r="C187" s="567" t="inlineStr">
        <x:is>
          <x:t xml:space="preserve">COR</x:t>
        </x:is>
      </x:c>
      <x:c r="D187" s="567" t="inlineStr">
        <x:is>
          <x:t xml:space="preserve">002679/0001</x:t>
        </x:is>
      </x:c>
      <x:c r="E187" s="567" t="n"/>
      <x:c r="F187" s="571" t="n">
        <x:v>46052</x:v>
      </x:c>
      <x:c r="G187" s="567" t="inlineStr">
        <x:is>
          <x:t xml:space="preserve">WINDSOR OK, LLC et al</x:t>
        </x:is>
      </x:c>
      <x:c r="H187" s="567" t="inlineStr">
        <x:is>
          <x:t xml:space="preserve">PUBLIC</x:t>
        </x:is>
      </x:c>
      <x:c r="I187" s="567" t="inlineStr">
        <x:is>
          <x:t xml:space="preserve">S31 T12N R24W ALL</x:t>
        </x:is>
      </x:c>
      <x:c r="J187" s="567" t="inlineStr">
        <x:is>
          <x:t xml:space="preserve">Doc 2026-000506; attached Roger Mills County Clerk unplatted legal index image row; Index p.63; legal/quarter extracted visually from image-only PDF.</x:t>
        </x:is>
      </x:c>
      <x:c r="K187" s="567" t="inlineStr">
        <x:is>
          <x:t xml:space="preserve">63e8b9a8d056433a9994fe46ca85076b.pdf</x:t>
        </x:is>
      </x:c>
      <x:c r="L187" s="567" t="inlineStr">
        <x:is>
          <x:t xml:space="preserve">Index p.63</x:t>
        </x:is>
      </x:c>
      <x:c r="M187" s="567" t="inlineStr">
        <x:is>
          <x:t xml:space="preserve">https://okcountyrecords.com/detail/roger+mills/2026-000506</x:t>
        </x:is>
      </x:c>
      <x:c r="N187" s="567" t="inlineStr">
        <x:is>
          <x:t xml:space="preserve">Index row added - certified copy/image required</x:t>
        </x:is>
      </x:c>
      <x:c r="O187" s="567" t="inlineStr">
        <x:is>
          <x:t xml:space="preserve">https://okcountyrecords.com/detail/roger+mills/2026-000506</x:t>
        </x:is>
      </x:c>
      <x:c r="P187" s="567" t="inlineStr">
        <x:is>
          <x:t xml:space="preserve">Obtain certified instrument/image; verify parties, acreage, legal calls, status, and release/assignment chain.</x:t>
        </x:is>
      </x:c>
      <x:c r="Q187" s="567" t="inlineStr">
        <x:is>
          <x:t xml:space="preserve">Medium</x:t>
        </x:is>
      </x:c>
      <x:c r="R187" s="567" t="inlineStr">
        <x:is>
          <x:t xml:space="preserve">Other / Memorandum</x:t>
        </x:is>
      </x:c>
      <x:c r="S187" s="650" t="n">
        <x:v>46052</x:v>
      </x:c>
      <x:c r="T187" s="567" t="inlineStr">
        <x:is>
          <x:t xml:space="preserve">Clerk index Doc/Date from attached image-only report</x:t>
        </x:is>
      </x:c>
      <x:c r="U187" s="650" t="n">
        <x:v>46052</x:v>
      </x:c>
      <x:c r="V187" s="567" t="inlineStr">
        <x:is>
          <x:t xml:space="preserve">31-12N-24W</x:t>
        </x:is>
      </x:c>
      <x:c r="W187" s="567" t="inlineStr">
        <x:is>
          <x:t xml:space="preserve">All</x:t>
        </x:is>
      </x:c>
      <x:c r="X187" s="567" t="inlineStr">
        <x:is>
          <x:t xml:space="preserve">Medium - visually read, confirm against image</x:t>
        </x:is>
      </x:c>
      <x:c r="Y187" s="568" t="inlineStr">
        <x:is>
          <x:t xml:space="preserve">Yes - verify against certified document image</x:t>
        </x:is>
      </x:c>
      <x:c r="Z187" s="568" t="inlineStr">
        <x:is>
          <x:t xml:space="preserve">Supplemental import from attached image-only index; not full OCR-certified transcription.</x:t>
        </x:is>
      </x:c>
    </x:row>
    <x:row r="188">
      <x:c r="A188" s="567" t="n">
        <x:v>551</x:v>
      </x:c>
      <x:c r="B188" s="567" t="inlineStr">
        <x:is>
          <x:t xml:space="preserve">Clerk Index PDF / OKCR</x:t>
        </x:is>
      </x:c>
      <x:c r="C188" s="567" t="inlineStr">
        <x:is>
          <x:t xml:space="preserve">AFF</x:t>
        </x:is>
      </x:c>
      <x:c r="D188" s="567" t="inlineStr">
        <x:is>
          <x:t xml:space="preserve">002692/0412</x:t>
        </x:is>
      </x:c>
      <x:c r="E188" s="567" t="n"/>
      <x:c r="F188" s="571" t="n">
        <x:v>46119</x:v>
      </x:c>
      <x:c r="G188" s="567" t="inlineStr">
        <x:is>
          <x:t xml:space="preserve">MIDCON ENERGY PRODUCTION, LLC et al</x:t>
        </x:is>
      </x:c>
      <x:c r="H188" s="567" t="inlineStr">
        <x:is>
          <x:t xml:space="preserve">PUBLIC</x:t>
        </x:is>
      </x:c>
      <x:c r="I188" s="567" t="inlineStr">
        <x:is>
          <x:t xml:space="preserve">S31 T12N R24W ALL</x:t>
        </x:is>
      </x:c>
      <x:c r="J188" s="567" t="inlineStr">
        <x:is>
          <x:t xml:space="preserve">Doc 2026-001884; attached Roger Mills County Clerk unplatted legal index image row; Index p.63; legal/quarter extracted visually from image-only PDF.</x:t>
        </x:is>
      </x:c>
      <x:c r="K188" s="567" t="inlineStr">
        <x:is>
          <x:t xml:space="preserve">63e8b9a8d056433a9994fe46ca85076b.pdf</x:t>
        </x:is>
      </x:c>
      <x:c r="L188" s="567" t="inlineStr">
        <x:is>
          <x:t xml:space="preserve">Index p.63</x:t>
        </x:is>
      </x:c>
      <x:c r="M188" s="567" t="inlineStr">
        <x:is>
          <x:t xml:space="preserve">https://okcountyrecords.com/detail/roger+mills/2026-001884</x:t>
        </x:is>
      </x:c>
      <x:c r="N188" s="567" t="inlineStr">
        <x:is>
          <x:t xml:space="preserve">Index row added - certified copy/image required</x:t>
        </x:is>
      </x:c>
      <x:c r="O188" s="567" t="inlineStr">
        <x:is>
          <x:t xml:space="preserve">https://okcountyrecords.com/detail/roger+mills/2026-001884</x:t>
        </x:is>
      </x:c>
      <x:c r="P188" s="567" t="inlineStr">
        <x:is>
          <x:t xml:space="preserve">Obtain certified instrument/image; verify parties, acreage, legal calls, status, and release/assignment chain.</x:t>
        </x:is>
      </x:c>
      <x:c r="Q188" s="567" t="inlineStr">
        <x:is>
          <x:t xml:space="preserve">High</x:t>
        </x:is>
      </x:c>
      <x:c r="R188" s="567" t="inlineStr">
        <x:is>
          <x:t xml:space="preserve">Probate / Affidavit</x:t>
        </x:is>
      </x:c>
      <x:c r="S188" s="650" t="n">
        <x:v>46119</x:v>
      </x:c>
      <x:c r="T188" s="567" t="inlineStr">
        <x:is>
          <x:t xml:space="preserve">Clerk index Doc/Date from attached image-only report</x:t>
        </x:is>
      </x:c>
      <x:c r="U188" s="650" t="n">
        <x:v>46119</x:v>
      </x:c>
      <x:c r="V188" s="567" t="inlineStr">
        <x:is>
          <x:t xml:space="preserve">31-12N-24W</x:t>
        </x:is>
      </x:c>
      <x:c r="W188" s="567" t="inlineStr">
        <x:is>
          <x:t xml:space="preserve">All</x:t>
        </x:is>
      </x:c>
      <x:c r="X188" s="567" t="inlineStr">
        <x:is>
          <x:t xml:space="preserve">High - visually read from report</x:t>
        </x:is>
      </x:c>
      <x:c r="Y188" s="568" t="inlineStr">
        <x:is>
          <x:t xml:space="preserve">Yes - verify against certified document image</x:t>
        </x:is>
      </x:c>
      <x:c r="Z188" s="568" t="inlineStr">
        <x:is>
          <x:t xml:space="preserve">Supplemental import from attached image-only index; not full OCR-certified transcription.</x:t>
        </x:is>
      </x:c>
    </x:row>
    <x:row r="189">
      <x:c r="A189" s="567" t="n">
        <x:v>552</x:v>
      </x:c>
      <x:c r="B189" s="567" t="inlineStr">
        <x:is>
          <x:t xml:space="preserve">Clerk Index PDF / OKCR</x:t>
        </x:is>
      </x:c>
      <x:c r="C189" s="567" t="inlineStr">
        <x:is>
          <x:t xml:space="preserve">AFF</x:t>
        </x:is>
      </x:c>
      <x:c r="D189" s="567" t="inlineStr">
        <x:is>
          <x:t xml:space="preserve">002692/0431</x:t>
        </x:is>
      </x:c>
      <x:c r="E189" s="567" t="n"/>
      <x:c r="F189" s="571" t="n">
        <x:v>46119</x:v>
      </x:c>
      <x:c r="G189" s="567" t="inlineStr">
        <x:is>
          <x:t xml:space="preserve">MIDCON ENERGY PROD, LLC et al</x:t>
        </x:is>
      </x:c>
      <x:c r="H189" s="567" t="inlineStr">
        <x:is>
          <x:t xml:space="preserve">PUBLIC</x:t>
        </x:is>
      </x:c>
      <x:c r="I189" s="567" t="inlineStr">
        <x:is>
          <x:t xml:space="preserve">S31 T12N R24W ALL</x:t>
        </x:is>
      </x:c>
      <x:c r="J189" s="567" t="inlineStr">
        <x:is>
          <x:t xml:space="preserve">Doc 2026-001865; attached Roger Mills County Clerk unplatted legal index image row; Index p.63; legal/quarter extracted visually from image-only PDF.</x:t>
        </x:is>
      </x:c>
      <x:c r="K189" s="567" t="inlineStr">
        <x:is>
          <x:t xml:space="preserve">63e8b9a8d056433a9994fe46ca85076b.pdf</x:t>
        </x:is>
      </x:c>
      <x:c r="L189" s="567" t="inlineStr">
        <x:is>
          <x:t xml:space="preserve">Index p.63</x:t>
        </x:is>
      </x:c>
      <x:c r="M189" s="567" t="inlineStr">
        <x:is>
          <x:t xml:space="preserve">https://okcountyrecords.com/detail/roger+mills/2026-001865</x:t>
        </x:is>
      </x:c>
      <x:c r="N189" s="567" t="inlineStr">
        <x:is>
          <x:t xml:space="preserve">Index row added - certified copy/image required</x:t>
        </x:is>
      </x:c>
      <x:c r="O189" s="567" t="inlineStr">
        <x:is>
          <x:t xml:space="preserve">https://okcountyrecords.com/detail/roger+mills/2026-001865</x:t>
        </x:is>
      </x:c>
      <x:c r="P189" s="567" t="inlineStr">
        <x:is>
          <x:t xml:space="preserve">Obtain certified instrument/image; verify parties, acreage, legal calls, status, and release/assignment chain.</x:t>
        </x:is>
      </x:c>
      <x:c r="Q189" s="567" t="inlineStr">
        <x:is>
          <x:t xml:space="preserve">High</x:t>
        </x:is>
      </x:c>
      <x:c r="R189" s="567" t="inlineStr">
        <x:is>
          <x:t xml:space="preserve">Probate / Affidavit</x:t>
        </x:is>
      </x:c>
      <x:c r="S189" s="650" t="n">
        <x:v>46119</x:v>
      </x:c>
      <x:c r="T189" s="567" t="inlineStr">
        <x:is>
          <x:t xml:space="preserve">Clerk index Doc/Date from attached image-only report</x:t>
        </x:is>
      </x:c>
      <x:c r="U189" s="650" t="n">
        <x:v>46119</x:v>
      </x:c>
      <x:c r="V189" s="567" t="inlineStr">
        <x:is>
          <x:t xml:space="preserve">31-12N-24W</x:t>
        </x:is>
      </x:c>
      <x:c r="W189" s="567" t="inlineStr">
        <x:is>
          <x:t xml:space="preserve">All</x:t>
        </x:is>
      </x:c>
      <x:c r="X189" s="567" t="inlineStr">
        <x:is>
          <x:t xml:space="preserve">High - visually read from report</x:t>
        </x:is>
      </x:c>
      <x:c r="Y189" s="568" t="inlineStr">
        <x:is>
          <x:t xml:space="preserve">Yes - verify against certified document image</x:t>
        </x:is>
      </x:c>
      <x:c r="Z189" s="568" t="inlineStr">
        <x:is>
          <x:t xml:space="preserve">Supplemental import from attached image-only index; not full OCR-certified transcription.</x:t>
        </x:is>
      </x:c>
    </x:row>
    <x:row r="190">
      <x:c r="A190" s="567" t="n">
        <x:v>553</x:v>
      </x:c>
      <x:c r="B190" s="567" t="inlineStr">
        <x:is>
          <x:t xml:space="preserve">Clerk Index PDF / OKCR</x:t>
        </x:is>
      </x:c>
      <x:c r="C190" s="567" t="inlineStr">
        <x:is>
          <x:t xml:space="preserve">O/L</x:t>
        </x:is>
      </x:c>
      <x:c r="D190" s="567" t="inlineStr">
        <x:is>
          <x:t xml:space="preserve">002693/0337</x:t>
        </x:is>
      </x:c>
      <x:c r="E190" s="567" t="n"/>
      <x:c r="F190" s="571" t="n">
        <x:v>46122</x:v>
      </x:c>
      <x:c r="G190" s="567" t="inlineStr">
        <x:is>
          <x:t xml:space="preserve">MITCHELL BUONACCORSI LIVING TRUST U/A et al</x:t>
        </x:is>
      </x:c>
      <x:c r="H190" s="567" t="inlineStr">
        <x:is>
          <x:t xml:space="preserve">SILVEROAK NATURAL RESOURCES, LLC</x:t>
        </x:is>
      </x:c>
      <x:c r="I190" s="567" t="inlineStr">
        <x:is>
          <x:t xml:space="preserve">S31 T12N R24W E2 NW</x:t>
        </x:is>
      </x:c>
      <x:c r="J190" s="567" t="inlineStr">
        <x:is>
          <x:t xml:space="preserve">Doc 2026-001949; attached Roger Mills County Clerk unplatted legal index image row; Index p.63; legal/quarter extracted visually from image-only PDF.</x:t>
        </x:is>
      </x:c>
      <x:c r="K190" s="567" t="inlineStr">
        <x:is>
          <x:t xml:space="preserve">63e8b9a8d056433a9994fe46ca85076b.pdf</x:t>
        </x:is>
      </x:c>
      <x:c r="L190" s="567" t="inlineStr">
        <x:is>
          <x:t xml:space="preserve">Index p.63</x:t>
        </x:is>
      </x:c>
      <x:c r="M190" s="567" t="inlineStr">
        <x:is>
          <x:t xml:space="preserve">https://okcountyrecords.com/detail/roger+mills/2026-001949</x:t>
        </x:is>
      </x:c>
      <x:c r="N190" s="567" t="inlineStr">
        <x:is>
          <x:t xml:space="preserve">Index row added - certified copy/image required</x:t>
        </x:is>
      </x:c>
      <x:c r="O190" s="567" t="inlineStr">
        <x:is>
          <x:t xml:space="preserve">https://okcountyrecords.com/detail/roger+mills/2026-001949</x:t>
        </x:is>
      </x:c>
      <x:c r="P190" s="567" t="inlineStr">
        <x:is>
          <x:t xml:space="preserve">Obtain certified instrument/image; verify parties, acreage, legal calls, status, and release/assignment chain.</x:t>
        </x:is>
      </x:c>
      <x:c r="Q190" s="567" t="inlineStr">
        <x:is>
          <x:t xml:space="preserve">High</x:t>
        </x:is>
      </x:c>
      <x:c r="R190" s="567" t="inlineStr">
        <x:is>
          <x:t xml:space="preserve">Lease</x:t>
        </x:is>
      </x:c>
      <x:c r="S190" s="650" t="n">
        <x:v>46122</x:v>
      </x:c>
      <x:c r="T190" s="567" t="inlineStr">
        <x:is>
          <x:t xml:space="preserve">Clerk index Doc/Date from attached image-only report</x:t>
        </x:is>
      </x:c>
      <x:c r="U190" s="650" t="n">
        <x:v>46122</x:v>
      </x:c>
      <x:c r="V190" s="567" t="inlineStr">
        <x:is>
          <x:t xml:space="preserve">31-12N-24W</x:t>
        </x:is>
      </x:c>
      <x:c r="W190" s="567" t="inlineStr">
        <x:is>
          <x:t xml:space="preserve">E/2 NW/4</x:t>
        </x:is>
      </x:c>
      <x:c r="X190" s="567" t="inlineStr">
        <x:is>
          <x:t xml:space="preserve">High - visually read from report</x:t>
        </x:is>
      </x:c>
      <x:c r="Y190" s="568" t="inlineStr">
        <x:is>
          <x:t xml:space="preserve">Yes - verify against certified document image</x:t>
        </x:is>
      </x:c>
      <x:c r="Z190" s="568" t="inlineStr">
        <x:is>
          <x:t xml:space="preserve">Supplemental import from attached image-only index; not full OCR-certified transcription.</x:t>
        </x:is>
      </x:c>
    </x:row>
    <x:row r="191">
      <x:c r="A191" s="567" t="n">
        <x:v>559</x:v>
      </x:c>
      <x:c r="B191" s="567" t="inlineStr">
        <x:is>
          <x:t xml:space="preserve">Clerk Index PDF / OKCR</x:t>
        </x:is>
      </x:c>
      <x:c r="C191" s="567" t="inlineStr">
        <x:is>
          <x:t xml:space="preserve">O/L</x:t>
        </x:is>
      </x:c>
      <x:c r="D191" s="567" t="inlineStr">
        <x:is>
          <x:t xml:space="preserve">002693/0345</x:t>
        </x:is>
      </x:c>
      <x:c r="E191" s="567" t="n"/>
      <x:c r="F191" s="571" t="n">
        <x:v>46122</x:v>
      </x:c>
      <x:c r="G191" s="567" t="inlineStr">
        <x:is>
          <x:t xml:space="preserve">KEVIN WARNER JOHNSON TRUST et al</x:t>
        </x:is>
      </x:c>
      <x:c r="H191" s="567" t="inlineStr">
        <x:is>
          <x:t xml:space="preserve">SILVEROAK NATURAL RESOURCES, LLC</x:t>
        </x:is>
      </x:c>
      <x:c r="I191" s="567" t="inlineStr">
        <x:is>
          <x:t xml:space="preserve">S31 T12N R24W W2 NW</x:t>
        </x:is>
      </x:c>
      <x:c r="J191" s="567" t="inlineStr">
        <x:is>
          <x:t xml:space="preserve">Doc 2026-001951; attached Roger Mills County Clerk unplatted legal index image row; Index p.64; legal/quarter extracted visually from image-only PDF.</x:t>
        </x:is>
      </x:c>
      <x:c r="K191" s="567" t="inlineStr">
        <x:is>
          <x:t xml:space="preserve">63e8b9a8d056433a9994fe46ca85076b.pdf</x:t>
        </x:is>
      </x:c>
      <x:c r="L191" s="567" t="inlineStr">
        <x:is>
          <x:t xml:space="preserve">Index p.64</x:t>
        </x:is>
      </x:c>
      <x:c r="M191" s="567" t="inlineStr">
        <x:is>
          <x:t xml:space="preserve">https://okcountyrecords.com/detail/roger+mills/2026-001951</x:t>
        </x:is>
      </x:c>
      <x:c r="N191" s="567" t="inlineStr">
        <x:is>
          <x:t xml:space="preserve">Index row added - certified copy/image required</x:t>
        </x:is>
      </x:c>
      <x:c r="O191" s="567" t="inlineStr">
        <x:is>
          <x:t xml:space="preserve">https://okcountyrecords.com/detail/roger+mills/2026-001951</x:t>
        </x:is>
      </x:c>
      <x:c r="P191" s="567" t="inlineStr">
        <x:is>
          <x:t xml:space="preserve">Obtain certified instrument/image; verify parties, acreage, legal calls, status, and release/assignment chain.</x:t>
        </x:is>
      </x:c>
      <x:c r="Q191" s="567" t="inlineStr">
        <x:is>
          <x:t xml:space="preserve">High</x:t>
        </x:is>
      </x:c>
      <x:c r="R191" s="567" t="inlineStr">
        <x:is>
          <x:t xml:space="preserve">Lease</x:t>
        </x:is>
      </x:c>
      <x:c r="S191" s="650" t="n">
        <x:v>46122</x:v>
      </x:c>
      <x:c r="T191" s="567" t="inlineStr">
        <x:is>
          <x:t xml:space="preserve">Clerk index Doc/Date from attached image-only report</x:t>
        </x:is>
      </x:c>
      <x:c r="U191" s="650" t="n">
        <x:v>46122</x:v>
      </x:c>
      <x:c r="V191" s="567" t="inlineStr">
        <x:is>
          <x:t xml:space="preserve">31-12N-24W</x:t>
        </x:is>
      </x:c>
      <x:c r="W191" s="567" t="inlineStr">
        <x:is>
          <x:t xml:space="preserve">W/2 NW/4</x:t>
        </x:is>
      </x:c>
      <x:c r="X191" s="567" t="inlineStr">
        <x:is>
          <x:t xml:space="preserve">High - visually read from report</x:t>
        </x:is>
      </x:c>
      <x:c r="Y191" s="568" t="inlineStr">
        <x:is>
          <x:t xml:space="preserve">Yes - verify against certified document image</x:t>
        </x:is>
      </x:c>
      <x:c r="Z191" s="568" t="inlineStr">
        <x:is>
          <x:t xml:space="preserve">Supplemental import from attached image-only index; not full OCR-certified transcription.</x:t>
        </x:is>
      </x:c>
    </x:row>
    <x:row r="192">
      <x:c r="A192" s="567" t="n">
        <x:v>562</x:v>
      </x:c>
      <x:c r="B192" s="567" t="inlineStr">
        <x:is>
          <x:t xml:space="preserve">Clerk Index PDF / OKCR</x:t>
        </x:is>
      </x:c>
      <x:c r="C192" s="567" t="inlineStr">
        <x:is>
          <x:t xml:space="preserve">O/L</x:t>
        </x:is>
      </x:c>
      <x:c r="D192" s="567" t="inlineStr">
        <x:is>
          <x:t xml:space="preserve">002693/0349</x:t>
        </x:is>
      </x:c>
      <x:c r="E192" s="567" t="n"/>
      <x:c r="F192" s="571" t="n">
        <x:v>46122</x:v>
      </x:c>
      <x:c r="G192" s="567" t="inlineStr">
        <x:is>
          <x:t xml:space="preserve">MARK ASHLEY DAIGLE TRUST et al</x:t>
        </x:is>
      </x:c>
      <x:c r="H192" s="567" t="inlineStr">
        <x:is>
          <x:t xml:space="preserve">SILVEROAK NATURAL RESOURCES, LLC</x:t>
        </x:is>
      </x:c>
      <x:c r="I192" s="567" t="inlineStr">
        <x:is>
          <x:t xml:space="preserve">S31 T12N R24W E2 NW</x:t>
        </x:is>
      </x:c>
      <x:c r="J192" s="567" t="inlineStr">
        <x:is>
          <x:t xml:space="preserve">Doc 2026-001952; attached Roger Mills County Clerk unplatted legal index image row; Index p.64; legal/quarter extracted visually from image-only PDF.</x:t>
        </x:is>
      </x:c>
      <x:c r="K192" s="567" t="inlineStr">
        <x:is>
          <x:t xml:space="preserve">63e8b9a8d056433a9994fe46ca85076b.pdf</x:t>
        </x:is>
      </x:c>
      <x:c r="L192" s="567" t="inlineStr">
        <x:is>
          <x:t xml:space="preserve">Index p.64</x:t>
        </x:is>
      </x:c>
      <x:c r="M192" s="567" t="inlineStr">
        <x:is>
          <x:t xml:space="preserve">https://okcountyrecords.com/detail/roger+mills/2026-001952</x:t>
        </x:is>
      </x:c>
      <x:c r="N192" s="567" t="inlineStr">
        <x:is>
          <x:t xml:space="preserve">Index row added - certified copy/image required</x:t>
        </x:is>
      </x:c>
      <x:c r="O192" s="567" t="inlineStr">
        <x:is>
          <x:t xml:space="preserve">https://okcountyrecords.com/detail/roger+mills/2026-001952</x:t>
        </x:is>
      </x:c>
      <x:c r="P192" s="567" t="inlineStr">
        <x:is>
          <x:t xml:space="preserve">Obtain certified instrument/image; verify parties, acreage, legal calls, status, and release/assignment chain.</x:t>
        </x:is>
      </x:c>
      <x:c r="Q192" s="567" t="inlineStr">
        <x:is>
          <x:t xml:space="preserve">High</x:t>
        </x:is>
      </x:c>
      <x:c r="R192" s="567" t="inlineStr">
        <x:is>
          <x:t xml:space="preserve">Lease</x:t>
        </x:is>
      </x:c>
      <x:c r="S192" s="650" t="n">
        <x:v>46122</x:v>
      </x:c>
      <x:c r="T192" s="567" t="inlineStr">
        <x:is>
          <x:t xml:space="preserve">Clerk index Doc/Date from attached image-only report</x:t>
        </x:is>
      </x:c>
      <x:c r="U192" s="650" t="n">
        <x:v>46122</x:v>
      </x:c>
      <x:c r="V192" s="567" t="inlineStr">
        <x:is>
          <x:t xml:space="preserve">31-12N-24W</x:t>
        </x:is>
      </x:c>
      <x:c r="W192" s="567" t="inlineStr">
        <x:is>
          <x:t xml:space="preserve">E/2 NW/4</x:t>
        </x:is>
      </x:c>
      <x:c r="X192" s="567" t="inlineStr">
        <x:is>
          <x:t xml:space="preserve">High - visually read from report</x:t>
        </x:is>
      </x:c>
      <x:c r="Y192" s="568" t="inlineStr">
        <x:is>
          <x:t xml:space="preserve">Yes - verify against certified document image</x:t>
        </x:is>
      </x:c>
      <x:c r="Z192" s="568" t="inlineStr">
        <x:is>
          <x:t xml:space="preserve">Supplemental import from attached image-only index; not full OCR-certified transcription.</x:t>
        </x:is>
      </x:c>
    </x:row>
    <x:row r="193">
      <x:c r="A193" s="567" t="n">
        <x:v>565</x:v>
      </x:c>
      <x:c r="B193" s="567" t="inlineStr">
        <x:is>
          <x:t xml:space="preserve">Clerk Index PDF / OKCR</x:t>
        </x:is>
      </x:c>
      <x:c r="C193" s="567" t="inlineStr">
        <x:is>
          <x:t xml:space="preserve">AFF/HRSHIP</x:t>
        </x:is>
      </x:c>
      <x:c r="D193" s="567" t="inlineStr">
        <x:is>
          <x:t xml:space="preserve">002697/0517</x:t>
        </x:is>
      </x:c>
      <x:c r="E193" s="567" t="n"/>
      <x:c r="F193" s="571" t="n">
        <x:v>46143</x:v>
      </x:c>
      <x:c r="G193" s="567" t="inlineStr">
        <x:is>
          <x:t xml:space="preserve">MITCHELL CARRIE LEEANN et al</x:t>
        </x:is>
      </x:c>
      <x:c r="H193" s="567" t="inlineStr">
        <x:is>
          <x:t xml:space="preserve">PUBLIC</x:t>
        </x:is>
      </x:c>
      <x:c r="I193" s="567" t="inlineStr">
        <x:is>
          <x:t xml:space="preserve">S31 T12N R24W ALL</x:t>
        </x:is>
      </x:c>
      <x:c r="J193" s="567" t="inlineStr">
        <x:is>
          <x:t xml:space="preserve">Doc 2026-002509; attached Roger Mills County Clerk unplatted legal index image row; Index p.64; legal/quarter extracted visually from image-only PDF.</x:t>
        </x:is>
      </x:c>
      <x:c r="K193" s="567" t="inlineStr">
        <x:is>
          <x:t xml:space="preserve">63e8b9a8d056433a9994fe46ca85076b.pdf</x:t>
        </x:is>
      </x:c>
      <x:c r="L193" s="567" t="inlineStr">
        <x:is>
          <x:t xml:space="preserve">Index p.64</x:t>
        </x:is>
      </x:c>
      <x:c r="M193" s="567" t="inlineStr">
        <x:is>
          <x:t xml:space="preserve">https://okcountyrecords.com/detail/roger+mills/2026-002509</x:t>
        </x:is>
      </x:c>
      <x:c r="N193" s="567" t="inlineStr">
        <x:is>
          <x:t xml:space="preserve">Index row added - certified copy/image required</x:t>
        </x:is>
      </x:c>
      <x:c r="O193" s="567" t="inlineStr">
        <x:is>
          <x:t xml:space="preserve">https://okcountyrecords.com/detail/roger+mills/2026-002509</x:t>
        </x:is>
      </x:c>
      <x:c r="P193" s="567" t="inlineStr">
        <x:is>
          <x:t xml:space="preserve">Obtain certified instrument/image; verify parties, acreage, legal calls, status, and release/assignment chain.</x:t>
        </x:is>
      </x:c>
      <x:c r="Q193" s="567" t="inlineStr">
        <x:is>
          <x:t xml:space="preserve">High</x:t>
        </x:is>
      </x:c>
      <x:c r="R193" s="567" t="inlineStr">
        <x:is>
          <x:t xml:space="preserve">Probate / Affidavit</x:t>
        </x:is>
      </x:c>
      <x:c r="S193" s="650" t="n">
        <x:v>46143</x:v>
      </x:c>
      <x:c r="T193" s="567" t="inlineStr">
        <x:is>
          <x:t xml:space="preserve">Clerk index Doc/Date from attached image-only report</x:t>
        </x:is>
      </x:c>
      <x:c r="U193" s="650" t="n">
        <x:v>46143</x:v>
      </x:c>
      <x:c r="V193" s="567" t="inlineStr">
        <x:is>
          <x:t xml:space="preserve">31-12N-24W</x:t>
        </x:is>
      </x:c>
      <x:c r="W193" s="567" t="inlineStr">
        <x:is>
          <x:t xml:space="preserve">All</x:t>
        </x:is>
      </x:c>
      <x:c r="X193" s="567" t="inlineStr">
        <x:is>
          <x:t xml:space="preserve">High - visually read from report</x:t>
        </x:is>
      </x:c>
      <x:c r="Y193" s="568" t="inlineStr">
        <x:is>
          <x:t xml:space="preserve">Yes - verify against certified document image</x:t>
        </x:is>
      </x:c>
      <x:c r="Z193" s="568" t="inlineStr">
        <x:is>
          <x:t xml:space="preserve">Supplemental import from attached image-only index; not full OCR-certified transcription.</x:t>
        </x:is>
      </x:c>
    </x:row>
    <x:row r="194">
      <x:c r="A194" s="567" t="n">
        <x:v>566</x:v>
      </x:c>
      <x:c r="B194" s="567" t="inlineStr">
        <x:is>
          <x:t xml:space="preserve">Clerk Index PDF / OKCR</x:t>
        </x:is>
      </x:c>
      <x:c r="C194" s="567" t="inlineStr">
        <x:is>
          <x:t xml:space="preserve">AFF</x:t>
        </x:is>
      </x:c>
      <x:c r="D194" s="567" t="inlineStr">
        <x:is>
          <x:t xml:space="preserve">002697/0519</x:t>
        </x:is>
      </x:c>
      <x:c r="E194" s="567" t="n"/>
      <x:c r="F194" s="571" t="n">
        <x:v>46143</x:v>
      </x:c>
      <x:c r="G194" s="567" t="inlineStr">
        <x:is>
          <x:t xml:space="preserve">TUCKER KERI L et al</x:t>
        </x:is>
      </x:c>
      <x:c r="H194" s="567" t="inlineStr">
        <x:is>
          <x:t xml:space="preserve">PUBLIC</x:t>
        </x:is>
      </x:c>
      <x:c r="I194" s="567" t="inlineStr">
        <x:is>
          <x:t xml:space="preserve">S31 T12N R24W E2 NW</x:t>
        </x:is>
      </x:c>
      <x:c r="J194" s="567" t="inlineStr">
        <x:is>
          <x:t xml:space="preserve">Doc 2026-002510; attached Roger Mills County Clerk unplatted legal index image row; Index p.64; legal/quarter extracted visually from image-only PDF.</x:t>
        </x:is>
      </x:c>
      <x:c r="K194" s="567" t="inlineStr">
        <x:is>
          <x:t xml:space="preserve">63e8b9a8d056433a9994fe46ca85076b.pdf</x:t>
        </x:is>
      </x:c>
      <x:c r="L194" s="567" t="inlineStr">
        <x:is>
          <x:t xml:space="preserve">Index p.64</x:t>
        </x:is>
      </x:c>
      <x:c r="M194" s="567" t="inlineStr">
        <x:is>
          <x:t xml:space="preserve">https://okcountyrecords.com/detail/roger+mills/2026-002510</x:t>
        </x:is>
      </x:c>
      <x:c r="N194" s="567" t="inlineStr">
        <x:is>
          <x:t xml:space="preserve">Index row added - certified copy/image required</x:t>
        </x:is>
      </x:c>
      <x:c r="O194" s="567" t="inlineStr">
        <x:is>
          <x:t xml:space="preserve">https://okcountyrecords.com/detail/roger+mills/2026-002510</x:t>
        </x:is>
      </x:c>
      <x:c r="P194" s="567" t="inlineStr">
        <x:is>
          <x:t xml:space="preserve">Obtain certified instrument/image; verify parties, acreage, legal calls, status, and release/assignment chain.</x:t>
        </x:is>
      </x:c>
      <x:c r="Q194" s="567" t="inlineStr">
        <x:is>
          <x:t xml:space="preserve">High</x:t>
        </x:is>
      </x:c>
      <x:c r="R194" s="567" t="inlineStr">
        <x:is>
          <x:t xml:space="preserve">Probate / Affidavit</x:t>
        </x:is>
      </x:c>
      <x:c r="S194" s="650" t="n">
        <x:v>46143</x:v>
      </x:c>
      <x:c r="T194" s="567" t="inlineStr">
        <x:is>
          <x:t xml:space="preserve">Clerk index Doc/Date from attached image-only report</x:t>
        </x:is>
      </x:c>
      <x:c r="U194" s="650" t="n">
        <x:v>46143</x:v>
      </x:c>
      <x:c r="V194" s="567" t="inlineStr">
        <x:is>
          <x:t xml:space="preserve">31-12N-24W</x:t>
        </x:is>
      </x:c>
      <x:c r="W194" s="567" t="inlineStr">
        <x:is>
          <x:t xml:space="preserve">E/2 NW/4</x:t>
        </x:is>
      </x:c>
      <x:c r="X194" s="567" t="inlineStr">
        <x:is>
          <x:t xml:space="preserve">High - visually read from report</x:t>
        </x:is>
      </x:c>
      <x:c r="Y194" s="568" t="inlineStr">
        <x:is>
          <x:t xml:space="preserve">Yes - verify against certified document image</x:t>
        </x:is>
      </x:c>
      <x:c r="Z194" s="568" t="inlineStr">
        <x:is>
          <x:t xml:space="preserve">Supplemental import from attached image-only index; not full OCR-certified transcription.</x:t>
        </x:is>
      </x:c>
    </x:row>
    <x:row r="195">
      <x:c r="A195" s="567" t="n">
        <x:v>567</x:v>
      </x:c>
      <x:c r="B195" s="567" t="inlineStr">
        <x:is>
          <x:t xml:space="preserve">Clerk Index PDF / OKCR</x:t>
        </x:is>
      </x:c>
      <x:c r="C195" s="567" t="inlineStr">
        <x:is>
          <x:t xml:space="preserve">O/L</x:t>
        </x:is>
      </x:c>
      <x:c r="D195" s="567" t="inlineStr">
        <x:is>
          <x:t xml:space="preserve">002697/0520</x:t>
        </x:is>
      </x:c>
      <x:c r="E195" s="567" t="n"/>
      <x:c r="F195" s="571" t="n">
        <x:v>46143</x:v>
      </x:c>
      <x:c r="G195" s="567" t="inlineStr">
        <x:is>
          <x:t xml:space="preserve">TUCKER KERI LEE DAIGLE TRUST et al</x:t>
        </x:is>
      </x:c>
      <x:c r="H195" s="567" t="inlineStr">
        <x:is>
          <x:t xml:space="preserve">SILVEROAK NATURAL RESOURCES, LLC</x:t>
        </x:is>
      </x:c>
      <x:c r="I195" s="567" t="inlineStr">
        <x:is>
          <x:t xml:space="preserve">S31 T12N R24W E2 NW</x:t>
        </x:is>
      </x:c>
      <x:c r="J195" s="567" t="inlineStr">
        <x:is>
          <x:t xml:space="preserve">Doc 2026-002511; attached Roger Mills County Clerk unplatted legal index image row; Index p.64; legal/quarter extracted visually from image-only PDF.</x:t>
        </x:is>
      </x:c>
      <x:c r="K195" s="567" t="inlineStr">
        <x:is>
          <x:t xml:space="preserve">63e8b9a8d056433a9994fe46ca85076b.pdf</x:t>
        </x:is>
      </x:c>
      <x:c r="L195" s="567" t="inlineStr">
        <x:is>
          <x:t xml:space="preserve">Index p.64</x:t>
        </x:is>
      </x:c>
      <x:c r="M195" s="567" t="inlineStr">
        <x:is>
          <x:t xml:space="preserve">https://okcountyrecords.com/detail/roger+mills/2026-002511</x:t>
        </x:is>
      </x:c>
      <x:c r="N195" s="567" t="inlineStr">
        <x:is>
          <x:t xml:space="preserve">Index row added - certified copy/image required</x:t>
        </x:is>
      </x:c>
      <x:c r="O195" s="567" t="inlineStr">
        <x:is>
          <x:t xml:space="preserve">https://okcountyrecords.com/detail/roger+mills/2026-002511</x:t>
        </x:is>
      </x:c>
      <x:c r="P195" s="567" t="inlineStr">
        <x:is>
          <x:t xml:space="preserve">Obtain certified instrument/image; verify parties, acreage, legal calls, status, and release/assignment chain.</x:t>
        </x:is>
      </x:c>
      <x:c r="Q195" s="567" t="inlineStr">
        <x:is>
          <x:t xml:space="preserve">High</x:t>
        </x:is>
      </x:c>
      <x:c r="R195" s="567" t="inlineStr">
        <x:is>
          <x:t xml:space="preserve">Lease</x:t>
        </x:is>
      </x:c>
      <x:c r="S195" s="650" t="n">
        <x:v>46143</x:v>
      </x:c>
      <x:c r="T195" s="567" t="inlineStr">
        <x:is>
          <x:t xml:space="preserve">Clerk index Doc/Date from attached image-only report</x:t>
        </x:is>
      </x:c>
      <x:c r="U195" s="650" t="n">
        <x:v>46143</x:v>
      </x:c>
      <x:c r="V195" s="567" t="inlineStr">
        <x:is>
          <x:t xml:space="preserve">31-12N-24W</x:t>
        </x:is>
      </x:c>
      <x:c r="W195" s="567" t="inlineStr">
        <x:is>
          <x:t xml:space="preserve">E/2 NW/4</x:t>
        </x:is>
      </x:c>
      <x:c r="X195" s="567" t="inlineStr">
        <x:is>
          <x:t xml:space="preserve">High - visually read from report</x:t>
        </x:is>
      </x:c>
      <x:c r="Y195" s="568" t="inlineStr">
        <x:is>
          <x:t xml:space="preserve">Yes - verify against certified document image</x:t>
        </x:is>
      </x:c>
      <x:c r="Z195" s="568" t="inlineStr">
        <x:is>
          <x:t xml:space="preserve">Supplemental import from attached image-only index; not full OCR-certified transcription.</x:t>
        </x:is>
      </x:c>
    </x:row>
    <x:row r="196">
      <x:c r="A196" s="567" t="n">
        <x:v>571</x:v>
      </x:c>
      <x:c r="B196" s="567" t="inlineStr">
        <x:is>
          <x:t xml:space="preserve">Clerk Index PDF / OKCR</x:t>
        </x:is>
      </x:c>
      <x:c r="C196" s="567" t="inlineStr">
        <x:is>
          <x:t xml:space="preserve">O/L</x:t>
        </x:is>
      </x:c>
      <x:c r="D196" s="567" t="inlineStr">
        <x:is>
          <x:t xml:space="preserve">002697/0524</x:t>
        </x:is>
      </x:c>
      <x:c r="E196" s="567" t="n"/>
      <x:c r="F196" s="571" t="n">
        <x:v>46143</x:v>
      </x:c>
      <x:c r="G196" s="567" t="inlineStr">
        <x:is>
          <x:t xml:space="preserve">DOLD RONALD PAUL</x:t>
        </x:is>
      </x:c>
      <x:c r="H196" s="567" t="inlineStr">
        <x:is>
          <x:t xml:space="preserve">SILVEROAK NATURAL RESOURCES, LLC</x:t>
        </x:is>
      </x:c>
      <x:c r="I196" s="567" t="inlineStr">
        <x:is>
          <x:t xml:space="preserve">S31 T12N R24W N2</x:t>
        </x:is>
      </x:c>
      <x:c r="J196" s="567" t="inlineStr">
        <x:is>
          <x:t xml:space="preserve">Doc 2026-002512; attached Roger Mills County Clerk unplatted legal index image row; Index p.65; legal/quarter extracted visually from image-only PDF.</x:t>
        </x:is>
      </x:c>
      <x:c r="K196" s="567" t="inlineStr">
        <x:is>
          <x:t xml:space="preserve">63e8b9a8d056433a9994fe46ca85076b.pdf</x:t>
        </x:is>
      </x:c>
      <x:c r="L196" s="567" t="inlineStr">
        <x:is>
          <x:t xml:space="preserve">Index p.65</x:t>
        </x:is>
      </x:c>
      <x:c r="M196" s="567" t="inlineStr">
        <x:is>
          <x:t xml:space="preserve">https://okcountyrecords.com/detail/roger+mills/2026-002512</x:t>
        </x:is>
      </x:c>
      <x:c r="N196" s="567" t="inlineStr">
        <x:is>
          <x:t xml:space="preserve">Index row added - certified copy/image required</x:t>
        </x:is>
      </x:c>
      <x:c r="O196" s="567" t="inlineStr">
        <x:is>
          <x:t xml:space="preserve">https://okcountyrecords.com/detail/roger+mills/2026-002512</x:t>
        </x:is>
      </x:c>
      <x:c r="P196" s="567" t="inlineStr">
        <x:is>
          <x:t xml:space="preserve">Obtain certified instrument/image; verify parties, acreage, legal calls, status, and release/assignment chain.</x:t>
        </x:is>
      </x:c>
      <x:c r="Q196" s="567" t="inlineStr">
        <x:is>
          <x:t xml:space="preserve">High</x:t>
        </x:is>
      </x:c>
      <x:c r="R196" s="567" t="inlineStr">
        <x:is>
          <x:t xml:space="preserve">Lease</x:t>
        </x:is>
      </x:c>
      <x:c r="S196" s="650" t="n">
        <x:v>46143</x:v>
      </x:c>
      <x:c r="T196" s="567" t="inlineStr">
        <x:is>
          <x:t xml:space="preserve">Clerk index Doc/Date from attached image-only report</x:t>
        </x:is>
      </x:c>
      <x:c r="U196" s="650" t="n">
        <x:v>46143</x:v>
      </x:c>
      <x:c r="V196" s="567" t="inlineStr">
        <x:is>
          <x:t xml:space="preserve">31-12N-24W</x:t>
        </x:is>
      </x:c>
      <x:c r="W196" s="567" t="inlineStr">
        <x:is>
          <x:t xml:space="preserve">N/2</x:t>
        </x:is>
      </x:c>
      <x:c r="X196" s="567" t="inlineStr">
        <x:is>
          <x:t xml:space="preserve">High - visually read from report</x:t>
        </x:is>
      </x:c>
      <x:c r="Y196" s="568" t="inlineStr">
        <x:is>
          <x:t xml:space="preserve">Yes - verify against certified document image</x:t>
        </x:is>
      </x:c>
      <x:c r="Z196" s="568" t="inlineStr">
        <x:is>
          <x:t xml:space="preserve">Supplemental import from attached image-only index; not full OCR-certified transcription.</x:t>
        </x:is>
      </x:c>
    </x:row>
    <x:row r="197">
      <x:c r="A197" s="567" t="n">
        <x:v>577</x:v>
      </x:c>
      <x:c r="B197" s="567" t="inlineStr">
        <x:is>
          <x:t xml:space="preserve">Clerk Index PDF / OKCR</x:t>
        </x:is>
      </x:c>
      <x:c r="C197" s="567" t="inlineStr">
        <x:is>
          <x:t xml:space="preserve">WELBOR E-ASGT</x:t>
        </x:is>
      </x:c>
      <x:c r="D197" s="567" t="inlineStr">
        <x:is>
          <x:t xml:space="preserve">002698/0069</x:t>
        </x:is>
      </x:c>
      <x:c r="E197" s="567" t="n"/>
      <x:c r="F197" s="571" t="n">
        <x:v>46146</x:v>
      </x:c>
      <x:c r="G197" s="567" t="inlineStr">
        <x:is>
          <x:t xml:space="preserve">MARTINS EMPIRE, LLC</x:t>
        </x:is>
      </x:c>
      <x:c r="H197" s="567" t="inlineStr">
        <x:is>
          <x:t xml:space="preserve">STRIDE BANK TTEE et al</x:t>
        </x:is>
      </x:c>
      <x:c r="I197" s="567" t="inlineStr">
        <x:is>
          <x:t xml:space="preserve">S31 T12N R24W NW NW</x:t>
        </x:is>
      </x:c>
      <x:c r="J197" s="567" t="inlineStr">
        <x:is>
          <x:t xml:space="preserve">Doc 2026-002574; attached Roger Mills County Clerk unplatted legal index image row; Index p.65; legal/quarter extracted visually from image-only PDF.</x:t>
        </x:is>
      </x:c>
      <x:c r="K197" s="567" t="inlineStr">
        <x:is>
          <x:t xml:space="preserve">63e8b9a8d056433a9994fe46ca85076b.pdf</x:t>
        </x:is>
      </x:c>
      <x:c r="L197" s="567" t="inlineStr">
        <x:is>
          <x:t xml:space="preserve">Index p.65</x:t>
        </x:is>
      </x:c>
      <x:c r="M197" s="567" t="inlineStr">
        <x:is>
          <x:t xml:space="preserve">https://okcountyrecords.com/detail/roger+mills/2026-002574</x:t>
        </x:is>
      </x:c>
      <x:c r="N197" s="567" t="inlineStr">
        <x:is>
          <x:t xml:space="preserve">Index row added - certified copy/image required</x:t>
        </x:is>
      </x:c>
      <x:c r="O197" s="567" t="inlineStr">
        <x:is>
          <x:t xml:space="preserve">https://okcountyrecords.com/detail/roger+mills/2026-002574</x:t>
        </x:is>
      </x:c>
      <x:c r="P197" s="567" t="inlineStr">
        <x:is>
          <x:t xml:space="preserve">Obtain certified instrument/image; verify parties, acreage, legal calls, status, and release/assignment chain.</x:t>
        </x:is>
      </x:c>
      <x:c r="Q197" s="567" t="inlineStr">
        <x:is>
          <x:t xml:space="preserve">High</x:t>
        </x:is>
      </x:c>
      <x:c r="R197" s="567" t="inlineStr">
        <x:is>
          <x:t xml:space="preserve">Assignment</x:t>
        </x:is>
      </x:c>
      <x:c r="S197" s="650" t="n">
        <x:v>46146</x:v>
      </x:c>
      <x:c r="T197" s="567" t="inlineStr">
        <x:is>
          <x:t xml:space="preserve">Clerk index Doc/Date from attached image-only report</x:t>
        </x:is>
      </x:c>
      <x:c r="U197" s="650" t="n">
        <x:v>46146</x:v>
      </x:c>
      <x:c r="V197" s="567" t="inlineStr">
        <x:is>
          <x:t xml:space="preserve">31-12N-24W</x:t>
        </x:is>
      </x:c>
      <x:c r="W197" s="567" t="inlineStr">
        <x:is>
          <x:t xml:space="preserve">NW/4 NW/4</x:t>
        </x:is>
      </x:c>
      <x:c r="X197" s="567" t="inlineStr">
        <x:is>
          <x:t xml:space="preserve">High - visually read from report</x:t>
        </x:is>
      </x:c>
      <x:c r="Y197" s="568" t="inlineStr">
        <x:is>
          <x:t xml:space="preserve">Yes - verify against certified document image</x:t>
        </x:is>
      </x:c>
      <x:c r="Z197" s="568" t="inlineStr">
        <x:is>
          <x:t xml:space="preserve">Supplemental import from attached image-only index; not full OCR-certified transcription.</x:t>
        </x:is>
      </x:c>
    </x:row>
    <x:row r="198">
      <x:c r="A198" s="527" t="n"/>
      <x:c r="B198" s="527" t="n">
        <x:v>1</x:v>
      </x:c>
      <x:c r="C198" s="527" t="inlineStr">
        <x:is>
          <x:t xml:space="preserve">Oil and Gas Lease</x:t>
        </x:is>
      </x:c>
      <x:c r="D198" s="527" t="inlineStr">
        <x:is>
          <x:t xml:space="preserve">1604/108</x:t>
        </x:is>
      </x:c>
      <x:c r="E198" s="529" t="n">
        <x:v>36564</x:v>
      </x:c>
      <x:c r="F198" s="529" t="n">
        <x:v>36564</x:v>
      </x:c>
      <x:c r="G198" s="527" t="inlineStr">
        <x:is>
          <x:t xml:space="preserve">Jan A. Schroff, Trustee</x:t>
        </x:is>
      </x:c>
      <x:c r="H198" s="527" t="inlineStr">
        <x:is>
          <x:t xml:space="preserve">Richard C. Cope</x:t>
        </x:is>
      </x:c>
      <x:c r="I198" s="527" t="inlineStr">
        <x:is>
          <x:t xml:space="preserve">SE/4 SE/4 of 31-12N-24W</x:t>
        </x:is>
      </x:c>
      <x:c r="J198" s="527" t="inlineStr">
        <x:is>
          <x:t xml:space="preserve">Primary term expired; HBP status uncertain*
Recorded 2000-02-08. Leasing era 2000-2006; presumed expired absent production/HBP.
Merged duplicate rows: 710</x:t>
        </x:is>
      </x:c>
      <x:c r="K198" s="572" t="inlineStr">
        <x:is>
          <x:t xml:space="preserve">county record
63e8b9a8d056433a9994fe46ca85076b.pdf</x:t>
        </x:is>
      </x:c>
      <x:c r="L198" s="565" t="n"/>
      <x:c r="M198" s="565" t="n"/>
      <x:c r="N198" s="565" t="n"/>
      <x:c r="O198" s="565" t="n"/>
      <x:c r="P198" s="565" t="n"/>
      <x:c r="Q198" s="565" t="n"/>
      <x:c r="R198" s="565" t="n"/>
      <x:c r="S198" s="613" t="n"/>
      <x:c r="T198" s="565" t="n"/>
      <x:c r="U198" s="613" t="n"/>
      <x:c r="V198" s="565" t="n"/>
      <x:c r="W198" s="565" t="n"/>
      <x:c r="X198" s="565" t="n"/>
      <x:c r="Y198" s="565" t="n"/>
      <x:c r="Z198" s="565" t="n"/>
    </x:row>
    <x:row r="199">
      <x:c r="A199" s="527" t="n"/>
      <x:c r="B199" s="527" t="n">
        <x:v>2</x:v>
      </x:c>
      <x:c r="C199" s="527" t="inlineStr">
        <x:is>
          <x:t xml:space="preserve">Oil and Gas Lease</x:t>
        </x:is>
      </x:c>
      <x:c r="D199" s="527" t="inlineStr">
        <x:is>
          <x:t xml:space="preserve">1604/115</x:t>
        </x:is>
      </x:c>
      <x:c r="E199" s="529" t="n">
        <x:v>36564</x:v>
      </x:c>
      <x:c r="F199" s="529" t="n">
        <x:v>36564</x:v>
      </x:c>
      <x:c r="G199" s="527" t="inlineStr">
        <x:is>
          <x:t xml:space="preserve">Jon T. Williams, Trustee</x:t>
        </x:is>
      </x:c>
      <x:c r="H199" s="527" t="inlineStr">
        <x:is>
          <x:t xml:space="preserve">Richard C. Cope</x:t>
        </x:is>
      </x:c>
      <x:c r="I199" s="527" t="inlineStr">
        <x:is>
          <x:t xml:space="preserve">SW/4 NE/4 of 31-12N-24W</x:t>
        </x:is>
      </x:c>
      <x:c r="J199" s="527" t="inlineStr">
        <x:is>
          <x:t xml:space="preserve">Primary term expired; HBP status uncertain*
Recorded 2000-02-08. Leasing era 2000-2006; presumed expired absent production/HBP.
Merged duplicate rows: 711</x:t>
        </x:is>
      </x:c>
      <x:c r="K199" s="572" t="inlineStr">
        <x:is>
          <x:t xml:space="preserve">county record
63e8b9a8d056433a9994fe46ca85076b.pdf</x:t>
        </x:is>
      </x:c>
      <x:c r="L199" s="565" t="n"/>
      <x:c r="M199" s="565" t="n"/>
      <x:c r="N199" s="565" t="n"/>
      <x:c r="O199" s="565" t="n"/>
      <x:c r="P199" s="565" t="n"/>
      <x:c r="Q199" s="565" t="n"/>
      <x:c r="R199" s="565" t="n"/>
      <x:c r="S199" s="613" t="n"/>
      <x:c r="T199" s="565" t="n"/>
      <x:c r="U199" s="613" t="n"/>
      <x:c r="V199" s="565" t="n"/>
      <x:c r="W199" s="565" t="n"/>
      <x:c r="X199" s="565" t="n"/>
      <x:c r="Y199" s="565" t="n"/>
      <x:c r="Z199" s="565" t="n"/>
    </x:row>
    <x:row r="200">
      <x:c r="A200" s="527" t="n"/>
      <x:c r="B200" s="527" t="n">
        <x:v>3</x:v>
      </x:c>
      <x:c r="C200" s="527" t="inlineStr">
        <x:is>
          <x:t xml:space="preserve">Oil and Gas Lease</x:t>
        </x:is>
      </x:c>
      <x:c r="D200" s="527" t="inlineStr">
        <x:is>
          <x:t xml:space="preserve">1604/117</x:t>
        </x:is>
      </x:c>
      <x:c r="E200" s="529" t="n">
        <x:v>36564</x:v>
      </x:c>
      <x:c r="F200" s="529" t="n">
        <x:v>36564</x:v>
      </x:c>
      <x:c r="G200" s="527" t="inlineStr">
        <x:is>
          <x:t xml:space="preserve">Dwight J. Williams</x:t>
        </x:is>
      </x:c>
      <x:c r="H200" s="527" t="inlineStr">
        <x:is>
          <x:t xml:space="preserve">Richard C. Cope</x:t>
        </x:is>
      </x:c>
      <x:c r="I200" s="527" t="inlineStr">
        <x:is>
          <x:t xml:space="preserve">SE/4 SE/4 of 31-12N-24W</x:t>
        </x:is>
      </x:c>
      <x:c r="J200" s="527" t="inlineStr">
        <x:is>
          <x:t xml:space="preserve">Primary term expired; HBP status uncertain*
Recorded 2000-02-08. Leasing era 2000-2006; presumed expired absent production/HBP.
Merged duplicate rows: 712</x:t>
        </x:is>
      </x:c>
      <x:c r="K200" s="572" t="inlineStr">
        <x:is>
          <x:t xml:space="preserve">county record
63e8b9a8d056433a9994fe46ca85076b.pdf</x:t>
        </x:is>
      </x:c>
      <x:c r="L200" s="565" t="n"/>
      <x:c r="M200" s="565" t="n"/>
      <x:c r="N200" s="565" t="n"/>
      <x:c r="O200" s="565" t="n"/>
      <x:c r="P200" s="565" t="n"/>
      <x:c r="Q200" s="565" t="n"/>
      <x:c r="R200" s="565" t="n"/>
      <x:c r="S200" s="613" t="n"/>
      <x:c r="T200" s="565" t="n"/>
      <x:c r="U200" s="613" t="n"/>
      <x:c r="V200" s="565" t="n"/>
      <x:c r="W200" s="565" t="n"/>
      <x:c r="X200" s="565" t="n"/>
      <x:c r="Y200" s="565" t="n"/>
      <x:c r="Z200" s="565" t="n"/>
    </x:row>
    <x:row r="201">
      <x:c r="A201" s="527" t="n"/>
      <x:c r="B201" s="527" t="n">
        <x:v>4</x:v>
      </x:c>
      <x:c r="C201" s="527" t="inlineStr">
        <x:is>
          <x:t xml:space="preserve">Oil and Gas Lease</x:t>
        </x:is>
      </x:c>
      <x:c r="D201" s="527" t="inlineStr">
        <x:is>
          <x:t xml:space="preserve">1604/239</x:t>
        </x:is>
      </x:c>
      <x:c r="E201" s="529" t="n">
        <x:v>36565</x:v>
      </x:c>
      <x:c r="F201" s="529" t="n">
        <x:v>36565</x:v>
      </x:c>
      <x:c r="G201" s="527" t="inlineStr">
        <x:is>
          <x:t xml:space="preserve">Eleanore Wheeler</x:t>
        </x:is>
      </x:c>
      <x:c r="H201" s="527" t="inlineStr">
        <x:is>
          <x:t xml:space="preserve">R. Michael Lortz</x:t>
        </x:is>
      </x:c>
      <x:c r="I201" s="527" t="inlineStr">
        <x:is>
          <x:t xml:space="preserve">NE/4 SW/4 Lots 3-4 containing south half of 31-12N-24W; NE/4 SW/4, Lots 3-4 of 31-12N-24W</x:t>
        </x:is>
      </x:c>
      <x:c r="J201" s="527" t="inlineStr">
        <x:is>
          <x:t xml:space="preserve">Primary term expired; HBP status uncertain*
Recorded 2000-02-09. Leasing era 2000-2006; presumed expired absent production/HBP.
Merged duplicate rows: 713</x:t>
        </x:is>
      </x:c>
      <x:c r="K201" s="572" t="inlineStr">
        <x:is>
          <x:t xml:space="preserve">county record
63e8b9a8d056433a9994fe46ca85076b.pdf</x:t>
        </x:is>
      </x:c>
      <x:c r="L201" s="565" t="n"/>
      <x:c r="M201" s="565" t="n"/>
      <x:c r="N201" s="565" t="n"/>
      <x:c r="O201" s="565" t="n"/>
      <x:c r="P201" s="565" t="n"/>
      <x:c r="Q201" s="565" t="n"/>
      <x:c r="R201" s="565" t="n"/>
      <x:c r="S201" s="613" t="n"/>
      <x:c r="T201" s="565" t="n"/>
      <x:c r="U201" s="613" t="n"/>
      <x:c r="V201" s="565" t="n"/>
      <x:c r="W201" s="565" t="n"/>
      <x:c r="X201" s="565" t="n"/>
      <x:c r="Y201" s="565" t="n"/>
      <x:c r="Z201" s="565" t="n"/>
    </x:row>
    <x:row r="202">
      <x:c r="A202" s="527" t="n"/>
      <x:c r="B202" s="527" t="n">
        <x:v>5</x:v>
      </x:c>
      <x:c r="C202" s="527" t="inlineStr">
        <x:is>
          <x:t xml:space="preserve">Oil and Gas Lease</x:t>
        </x:is>
      </x:c>
      <x:c r="D202" s="527" t="inlineStr">
        <x:is>
          <x:t xml:space="preserve">1604/243</x:t>
        </x:is>
      </x:c>
      <x:c r="E202" s="529" t="n">
        <x:v>36565</x:v>
      </x:c>
      <x:c r="F202" s="529" t="n">
        <x:v>36565</x:v>
      </x:c>
      <x:c r="G202" s="527" t="inlineStr">
        <x:is>
          <x:t xml:space="preserve">Margaret Kirk</x:t>
        </x:is>
      </x:c>
      <x:c r="H202" s="527" t="inlineStr">
        <x:is>
          <x:t xml:space="preserve">R. Michael Lortz</x:t>
        </x:is>
      </x:c>
      <x:c r="I202" s="527" t="inlineStr">
        <x:is>
          <x:t xml:space="preserve">NE/4 SW/4 Lots 3-4 containing south half of 31-12N-24W; NE/4 SW/4, Lots 3-4 of 31-12N-24W</x:t>
        </x:is>
      </x:c>
      <x:c r="J202" s="527" t="inlineStr">
        <x:is>
          <x:t xml:space="preserve">Primary term expired; HBP status uncertain*
Recorded 2000-02-09. Leasing era 2000-2006; presumed expired absent production/HBP.
Merged duplicate rows: 714</x:t>
        </x:is>
      </x:c>
      <x:c r="K202" s="572" t="inlineStr">
        <x:is>
          <x:t xml:space="preserve">county record
63e8b9a8d056433a9994fe46ca85076b.pdf</x:t>
        </x:is>
      </x:c>
      <x:c r="L202" s="565" t="n"/>
      <x:c r="M202" s="565" t="n"/>
      <x:c r="N202" s="565" t="n"/>
      <x:c r="O202" s="565" t="n"/>
      <x:c r="P202" s="565" t="n"/>
      <x:c r="Q202" s="565" t="n"/>
      <x:c r="R202" s="565" t="n"/>
      <x:c r="S202" s="613" t="n"/>
      <x:c r="T202" s="565" t="n"/>
      <x:c r="U202" s="613" t="n"/>
      <x:c r="V202" s="565" t="n"/>
      <x:c r="W202" s="565" t="n"/>
      <x:c r="X202" s="565" t="n"/>
      <x:c r="Y202" s="565" t="n"/>
      <x:c r="Z202" s="565" t="n"/>
    </x:row>
    <x:row r="203">
      <x:c r="A203" s="527" t="n"/>
      <x:c r="B203" s="527" t="n">
        <x:v>6</x:v>
      </x:c>
      <x:c r="C203" s="527" t="inlineStr">
        <x:is>
          <x:t xml:space="preserve">Oil and Gas Lease</x:t>
        </x:is>
      </x:c>
      <x:c r="D203" s="527" t="inlineStr">
        <x:is>
          <x:t xml:space="preserve">1604/251</x:t>
        </x:is>
      </x:c>
      <x:c r="E203" s="529" t="n">
        <x:v>36565</x:v>
      </x:c>
      <x:c r="F203" s="529" t="n">
        <x:v>36565</x:v>
      </x:c>
      <x:c r="G203" s="527" t="inlineStr">
        <x:is>
          <x:t xml:space="preserve">Jon N. Wilkerson</x:t>
        </x:is>
      </x:c>
      <x:c r="H203" s="527" t="inlineStr">
        <x:is>
          <x:t xml:space="preserve">R. Michael Lortz</x:t>
        </x:is>
      </x:c>
      <x:c r="I203" s="527" t="inlineStr">
        <x:is>
          <x:t xml:space="preserve">S/2 NE/4 Lots 3-4 containing south half of 31-12N-24W; S/2 NE/4, Lots 3-4 of 31-12N-24W, aol</x:t>
        </x:is>
      </x:c>
      <x:c r="J203" s="527" t="inlineStr">
        <x:is>
          <x:t xml:space="preserve">Primary term expired; HBP status uncertain*
Recorded 2000-02-09. Leasing era 2000-2006; presumed expired absent production/HBP.
Merged duplicate rows: 715</x:t>
        </x:is>
      </x:c>
      <x:c r="K203" s="572" t="inlineStr">
        <x:is>
          <x:t xml:space="preserve">county record
63e8b9a8d056433a9994fe46ca85076b.pdf</x:t>
        </x:is>
      </x:c>
      <x:c r="L203" s="565" t="n"/>
      <x:c r="M203" s="565" t="n"/>
      <x:c r="N203" s="565" t="n"/>
      <x:c r="O203" s="565" t="n"/>
      <x:c r="P203" s="565" t="n"/>
      <x:c r="Q203" s="565" t="n"/>
      <x:c r="R203" s="565" t="n"/>
      <x:c r="S203" s="613" t="n"/>
      <x:c r="T203" s="565" t="n"/>
      <x:c r="U203" s="613" t="n"/>
      <x:c r="V203" s="565" t="n"/>
      <x:c r="W203" s="565" t="n"/>
      <x:c r="X203" s="565" t="n"/>
      <x:c r="Y203" s="565" t="n"/>
      <x:c r="Z203" s="565" t="n"/>
    </x:row>
    <x:row r="204">
      <x:c r="A204" s="527" t="n"/>
      <x:c r="B204" s="527" t="n">
        <x:v>7</x:v>
      </x:c>
      <x:c r="C204" s="527" t="inlineStr">
        <x:is>
          <x:t xml:space="preserve">Oil and Gas Lease</x:t>
        </x:is>
      </x:c>
      <x:c r="D204" s="527" t="inlineStr">
        <x:is>
          <x:t xml:space="preserve">1604/259</x:t>
        </x:is>
      </x:c>
      <x:c r="E204" s="529" t="n">
        <x:v>36565</x:v>
      </x:c>
      <x:c r="F204" s="529" t="n">
        <x:v>36565</x:v>
      </x:c>
      <x:c r="G204" s="527" t="inlineStr">
        <x:is>
          <x:t xml:space="preserve">Roger Klopfenstein</x:t>
        </x:is>
      </x:c>
      <x:c r="H204" s="527" t="inlineStr">
        <x:is>
          <x:t xml:space="preserve">R. Michael Lortz</x:t>
        </x:is>
      </x:c>
      <x:c r="I204" s="527" t="inlineStr">
        <x:is>
          <x:t xml:space="preserve">NE/4 SW/4 Lots 3-4 containing south half of 31-12N-24W; NE/4 SW/4, Lots 3-4 of 31-12N-24W</x:t>
        </x:is>
      </x:c>
      <x:c r="J204" s="527" t="inlineStr">
        <x:is>
          <x:t xml:space="preserve">Primary term expired; HBP status uncertain*
Recorded 2000-02-09. Leasing era 2000-2006; presumed expired absent production/HBP.
Merged duplicate rows: 716</x:t>
        </x:is>
      </x:c>
      <x:c r="K204" s="572" t="inlineStr">
        <x:is>
          <x:t xml:space="preserve">county record
63e8b9a8d056433a9994fe46ca85076b.pdf</x:t>
        </x:is>
      </x:c>
      <x:c r="L204" s="565" t="n"/>
      <x:c r="M204" s="565" t="n"/>
      <x:c r="N204" s="565" t="n"/>
      <x:c r="O204" s="565" t="n"/>
      <x:c r="P204" s="565" t="n"/>
      <x:c r="Q204" s="565" t="n"/>
      <x:c r="R204" s="565" t="n"/>
      <x:c r="S204" s="613" t="n"/>
      <x:c r="T204" s="565" t="n"/>
      <x:c r="U204" s="613" t="n"/>
      <x:c r="V204" s="565" t="n"/>
      <x:c r="W204" s="565" t="n"/>
      <x:c r="X204" s="565" t="n"/>
      <x:c r="Y204" s="565" t="n"/>
      <x:c r="Z204" s="565" t="n"/>
    </x:row>
    <x:row r="205">
      <x:c r="A205" s="527" t="n"/>
      <x:c r="B205" s="527" t="n">
        <x:v>8</x:v>
      </x:c>
      <x:c r="C205" s="527" t="inlineStr">
        <x:is>
          <x:t xml:space="preserve">Oil and Gas Lease</x:t>
        </x:is>
      </x:c>
      <x:c r="D205" s="527" t="inlineStr">
        <x:is>
          <x:t xml:space="preserve">1604/307</x:t>
        </x:is>
      </x:c>
      <x:c r="E205" s="529" t="n">
        <x:v>36565</x:v>
      </x:c>
      <x:c r="F205" s="529" t="n">
        <x:v>36565</x:v>
      </x:c>
      <x:c r="G205" s="527" t="inlineStr">
        <x:is>
          <x:t xml:space="preserve">Melinda McCall Mulvihill, Trustee</x:t>
        </x:is>
      </x:c>
      <x:c r="H205" s="527" t="inlineStr">
        <x:is>
          <x:t xml:space="preserve">Richard C. Cope</x:t>
        </x:is>
      </x:c>
      <x:c r="I205" s="527" t="inlineStr">
        <x:is>
          <x:t xml:space="preserve">SW/4 NE/4 of 31-12N-24W</x:t>
        </x:is>
      </x:c>
      <x:c r="J205" s="527" t="inlineStr">
        <x:is>
          <x:t xml:space="preserve">Primary term expired; HBP status uncertain*
Recorded 2000-02-09. Leasing era 2000-2006; presumed expired absent production/HBP.
Merged duplicate rows: 717</x:t>
        </x:is>
      </x:c>
      <x:c r="K205" s="572" t="inlineStr">
        <x:is>
          <x:t xml:space="preserve">county record
63e8b9a8d056433a9994fe46ca85076b.pdf</x:t>
        </x:is>
      </x:c>
      <x:c r="L205" s="565" t="n"/>
      <x:c r="M205" s="565" t="n"/>
      <x:c r="N205" s="565" t="n"/>
      <x:c r="O205" s="565" t="n"/>
      <x:c r="P205" s="565" t="n"/>
      <x:c r="Q205" s="565" t="n"/>
      <x:c r="R205" s="565" t="n"/>
      <x:c r="S205" s="613" t="n"/>
      <x:c r="T205" s="565" t="n"/>
      <x:c r="U205" s="613" t="n"/>
      <x:c r="V205" s="565" t="n"/>
      <x:c r="W205" s="565" t="n"/>
      <x:c r="X205" s="565" t="n"/>
      <x:c r="Y205" s="565" t="n"/>
      <x:c r="Z205" s="565" t="n"/>
    </x:row>
    <x:row r="206">
      <x:c r="A206" s="527" t="n"/>
      <x:c r="B206" s="527" t="n">
        <x:v>9</x:v>
      </x:c>
      <x:c r="C206" s="527" t="inlineStr">
        <x:is>
          <x:t xml:space="preserve">Oil and Gas Lease</x:t>
        </x:is>
      </x:c>
      <x:c r="D206" s="527" t="inlineStr">
        <x:is>
          <x:t xml:space="preserve">1604/309</x:t>
        </x:is>
      </x:c>
      <x:c r="E206" s="529" t="n">
        <x:v>36565</x:v>
      </x:c>
      <x:c r="F206" s="529" t="n">
        <x:v>36565</x:v>
      </x:c>
      <x:c r="G206" s="527" t="inlineStr">
        <x:is>
          <x:t xml:space="preserve">Mark J. Fuchs</x:t>
        </x:is>
      </x:c>
      <x:c r="H206" s="527" t="inlineStr">
        <x:is>
          <x:t xml:space="preserve">Richard C. Cope</x:t>
        </x:is>
      </x:c>
      <x:c r="I206" s="527" t="inlineStr">
        <x:is>
          <x:t xml:space="preserve">SW/4 NE/4 of 31-12N-24W</x:t>
        </x:is>
      </x:c>
      <x:c r="J206" s="527" t="inlineStr">
        <x:is>
          <x:t xml:space="preserve">Primary term expired; HBP status uncertain*
Recorded 2000-02-09. Leasing era 2000-2006; presumed expired absent production/HBP.
Merged duplicate rows: 718</x:t>
        </x:is>
      </x:c>
      <x:c r="K206" s="572" t="inlineStr">
        <x:is>
          <x:t xml:space="preserve">county record
63e8b9a8d056433a9994fe46ca85076b.pdf</x:t>
        </x:is>
      </x:c>
      <x:c r="L206" s="565" t="n"/>
      <x:c r="M206" s="565" t="n"/>
      <x:c r="N206" s="565" t="n"/>
      <x:c r="O206" s="565" t="n"/>
      <x:c r="P206" s="565" t="n"/>
      <x:c r="Q206" s="565" t="n"/>
      <x:c r="R206" s="565" t="n"/>
      <x:c r="S206" s="613" t="n"/>
      <x:c r="T206" s="565" t="n"/>
      <x:c r="U206" s="613" t="n"/>
      <x:c r="V206" s="565" t="n"/>
      <x:c r="W206" s="565" t="n"/>
      <x:c r="X206" s="565" t="n"/>
      <x:c r="Y206" s="565" t="n"/>
      <x:c r="Z206" s="565" t="n"/>
    </x:row>
    <x:row r="207">
      <x:c r="A207" s="527" t="n"/>
      <x:c r="B207" s="527" t="n">
        <x:v>10</x:v>
      </x:c>
      <x:c r="C207" s="527" t="inlineStr">
        <x:is>
          <x:t xml:space="preserve">Oil and Gas Lease</x:t>
        </x:is>
      </x:c>
      <x:c r="D207" s="527" t="inlineStr">
        <x:is>
          <x:t xml:space="preserve">1604/311</x:t>
        </x:is>
      </x:c>
      <x:c r="E207" s="529" t="n">
        <x:v>36565</x:v>
      </x:c>
      <x:c r="F207" s="529" t="n">
        <x:v>36565</x:v>
      </x:c>
      <x:c r="G207" s="527" t="inlineStr">
        <x:is>
          <x:t xml:space="preserve">Stephen M. Criser, Trustee</x:t>
        </x:is>
      </x:c>
      <x:c r="H207" s="527" t="inlineStr">
        <x:is>
          <x:t xml:space="preserve">Richard C. Cope</x:t>
        </x:is>
      </x:c>
      <x:c r="I207" s="527" t="inlineStr">
        <x:is>
          <x:t xml:space="preserve">SW/4 NE/4 of 31-12N-24W</x:t>
        </x:is>
      </x:c>
      <x:c r="J207" s="527" t="inlineStr">
        <x:is>
          <x:t xml:space="preserve">Primary term expired; HBP status uncertain*
Recorded 2000-02-09. Leasing era 2000-2006; presumed expired absent production/HBP.
Merged duplicate rows: 719</x:t>
        </x:is>
      </x:c>
      <x:c r="K207" s="572" t="inlineStr">
        <x:is>
          <x:t xml:space="preserve">county record
63e8b9a8d056433a9994fe46ca85076b.pdf</x:t>
        </x:is>
      </x:c>
      <x:c r="L207" s="565" t="n"/>
      <x:c r="M207" s="565" t="n"/>
      <x:c r="N207" s="565" t="n"/>
      <x:c r="O207" s="565" t="n"/>
      <x:c r="P207" s="565" t="n"/>
      <x:c r="Q207" s="565" t="n"/>
      <x:c r="R207" s="565" t="n"/>
      <x:c r="S207" s="613" t="n"/>
      <x:c r="T207" s="565" t="n"/>
      <x:c r="U207" s="613" t="n"/>
      <x:c r="V207" s="565" t="n"/>
      <x:c r="W207" s="565" t="n"/>
      <x:c r="X207" s="565" t="n"/>
      <x:c r="Y207" s="565" t="n"/>
      <x:c r="Z207" s="565" t="n"/>
    </x:row>
    <x:row r="208">
      <x:c r="A208" s="527" t="n"/>
      <x:c r="B208" s="527" t="n"/>
      <x:c r="C208" s="527" t="inlineStr">
        <x:is>
          <x:t xml:space="preserve">Oil and Gas Lease</x:t>
        </x:is>
      </x:c>
      <x:c r="D208" s="527" t="inlineStr">
        <x:is>
          <x:t xml:space="preserve">1604/322</x:t>
        </x:is>
      </x:c>
      <x:c r="E208" s="529" t="n">
        <x:v>36566</x:v>
      </x:c>
      <x:c r="F208" s="529" t="n">
        <x:v>36566</x:v>
      </x:c>
      <x:c r="G208" s="527" t="inlineStr">
        <x:is>
          <x:t xml:space="preserve">Sandra Lorrain York</x:t>
        </x:is>
      </x:c>
      <x:c r="H208" s="527" t="inlineStr">
        <x:is>
          <x:t xml:space="preserve">EOG Resources, Inc.</x:t>
        </x:is>
      </x:c>
      <x:c r="I208" s="527" t="inlineStr">
        <x:is>
          <x:t xml:space="preserve">All of 31-12N-24W</x:t>
        </x:is>
      </x:c>
      <x:c r="J208" s="527" t="n"/>
      <x:c r="K208" s="572" t="inlineStr">
        <x:is>
          <x:t xml:space="preserve">county record</x:t>
        </x:is>
      </x:c>
      <x:c r="L208" s="565" t="n"/>
      <x:c r="M208" s="565" t="n"/>
      <x:c r="N208" s="565" t="n"/>
      <x:c r="O208" s="565" t="n"/>
      <x:c r="P208" s="565" t="n"/>
      <x:c r="Q208" s="565" t="n"/>
      <x:c r="R208" s="565" t="n"/>
      <x:c r="S208" s="613" t="n"/>
      <x:c r="T208" s="565" t="n"/>
      <x:c r="U208" s="613" t="n"/>
      <x:c r="V208" s="565" t="n"/>
      <x:c r="W208" s="565" t="n"/>
      <x:c r="X208" s="565" t="n"/>
      <x:c r="Y208" s="565" t="n"/>
      <x:c r="Z208" s="565" t="n"/>
    </x:row>
    <x:row r="209">
      <x:c r="A209" s="527" t="n"/>
      <x:c r="B209" s="527" t="n">
        <x:v>12</x:v>
      </x:c>
      <x:c r="C209" s="527" t="inlineStr">
        <x:is>
          <x:t xml:space="preserve">Oil and Gas Lease</x:t>
        </x:is>
      </x:c>
      <x:c r="D209" s="527" t="inlineStr">
        <x:is>
          <x:t xml:space="preserve">1604/453</x:t>
        </x:is>
      </x:c>
      <x:c r="E209" s="529" t="n">
        <x:v>36572</x:v>
      </x:c>
      <x:c r="F209" s="529" t="n">
        <x:v>36572</x:v>
      </x:c>
      <x:c r="G209" s="527" t="inlineStr">
        <x:is>
          <x:t xml:space="preserve">Nanalee Faye Barnett</x:t>
        </x:is>
      </x:c>
      <x:c r="H209" s="527" t="inlineStr">
        <x:is>
          <x:t xml:space="preserve">Richard C. Cope</x:t>
        </x:is>
      </x:c>
      <x:c r="I209" s="527" t="inlineStr">
        <x:is>
          <x:t xml:space="preserve">NE/4 SW/4 of 31-12N-24W; E/2 NW/4 of 31-12N-24W</x:t>
        </x:is>
      </x:c>
      <x:c r="J209" s="527" t="inlineStr">
        <x:is>
          <x:t xml:space="preserve">Primary term expired; HBP status uncertain*
Recorded 2000-02-16. Leasing era 2000-2006; presumed expired absent production/HBP.
Merged duplicate rows: 721</x:t>
        </x:is>
      </x:c>
      <x:c r="K209" s="572" t="inlineStr">
        <x:is>
          <x:t xml:space="preserve">county record
63e8b9a8d056433a9994fe46ca85076b.pdf</x:t>
        </x:is>
      </x:c>
      <x:c r="L209" s="565" t="n"/>
      <x:c r="M209" s="565" t="n"/>
      <x:c r="N209" s="565" t="n"/>
      <x:c r="O209" s="565" t="n"/>
      <x:c r="P209" s="565" t="n"/>
      <x:c r="Q209" s="565" t="n"/>
      <x:c r="R209" s="565" t="n"/>
      <x:c r="S209" s="613" t="n"/>
      <x:c r="T209" s="565" t="n"/>
      <x:c r="U209" s="613" t="n"/>
      <x:c r="V209" s="565" t="n"/>
      <x:c r="W209" s="565" t="n"/>
      <x:c r="X209" s="565" t="n"/>
      <x:c r="Y209" s="565" t="n"/>
      <x:c r="Z209" s="565" t="n"/>
    </x:row>
    <x:row r="210">
      <x:c r="A210" s="527" t="n"/>
      <x:c r="B210" s="527" t="n"/>
      <x:c r="C210" s="527" t="inlineStr">
        <x:is>
          <x:t xml:space="preserve">Assignment</x:t>
        </x:is>
      </x:c>
      <x:c r="D210" s="527" t="inlineStr">
        <x:is>
          <x:t xml:space="preserve">1608/38</x:t>
        </x:is>
      </x:c>
      <x:c r="E210" s="529" t="n">
        <x:v>36600</x:v>
      </x:c>
      <x:c r="F210" s="529" t="n">
        <x:v>36600</x:v>
      </x:c>
      <x:c r="G210" s="527" t="inlineStr">
        <x:is>
          <x:t xml:space="preserve">R. Michael Lortz</x:t>
        </x:is>
      </x:c>
      <x:c r="H210" s="527" t="inlineStr">
        <x:is>
          <x:t xml:space="preserve">Lariat Petroleum, Inc.</x:t>
        </x:is>
      </x:c>
      <x:c r="I210" s="527" t="inlineStr">
        <x:is>
          <x:t xml:space="preserve">All of 31-12N-24W</x:t>
        </x:is>
      </x:c>
      <x:c r="J210" s="527" t="inlineStr">
        <x:is>
          <x:t xml:space="preserve">Leasehold assignment; confirm leases, depths &amp; retained burdens from recorded image.</x:t>
        </x:is>
      </x:c>
      <x:c r="K210" s="572" t="inlineStr">
        <x:is>
          <x:t xml:space="preserve">county record</x:t>
        </x:is>
      </x:c>
      <x:c r="L210" s="565" t="n"/>
      <x:c r="M210" s="565" t="n"/>
      <x:c r="N210" s="565" t="n"/>
      <x:c r="O210" s="565" t="n"/>
      <x:c r="P210" s="565" t="n"/>
      <x:c r="Q210" s="565" t="n"/>
      <x:c r="R210" s="565" t="n"/>
      <x:c r="S210" s="613" t="n"/>
      <x:c r="T210" s="565" t="n"/>
      <x:c r="U210" s="613" t="n"/>
      <x:c r="V210" s="565" t="n"/>
      <x:c r="W210" s="565" t="n"/>
      <x:c r="X210" s="565" t="n"/>
      <x:c r="Y210" s="565" t="n"/>
      <x:c r="Z210" s="565" t="n"/>
    </x:row>
    <x:row r="211">
      <x:c r="A211" s="527" t="n"/>
      <x:c r="B211" s="527" t="n">
        <x:v>70</x:v>
      </x:c>
      <x:c r="C211" s="527" t="inlineStr">
        <x:is>
          <x:t xml:space="preserve">Oil and Gas Lease</x:t>
        </x:is>
      </x:c>
      <x:c r="D211" s="527" t="inlineStr">
        <x:is>
          <x:t xml:space="preserve">1608/452</x:t>
        </x:is>
      </x:c>
      <x:c r="E211" s="529" t="n">
        <x:v>36612</x:v>
      </x:c>
      <x:c r="F211" s="529" t="n">
        <x:v>36612</x:v>
      </x:c>
      <x:c r="G211" s="527" t="inlineStr">
        <x:is>
          <x:t xml:space="preserve">Melinda Barbie</x:t>
        </x:is>
      </x:c>
      <x:c r="H211" s="527" t="inlineStr">
        <x:is>
          <x:t xml:space="preserve">R. Michael Lortz</x:t>
        </x:is>
      </x:c>
      <x:c r="I211" s="527" t="inlineStr">
        <x:is>
          <x:t xml:space="preserve">Lot 4, S/2 Lot 3, S/2 NE/4 SW/4, SE/4 SW/4 of 31-12N-24W; Lot 4 S/2, Lot 3 S/2 NE/4 SW/4 SE/4 SW/4 of 31-12N-24W, aol</x:t>
        </x:is>
      </x:c>
      <x:c r="J211" s="527" t="inlineStr">
        <x:is>
          <x:t xml:space="preserve">Primary term expired; HBP status uncertain*
Recorded 2000-03-27. Leasing era 2000-2006; presumed expired absent production/HBP.
Merged duplicate rows: 779</x:t>
        </x:is>
      </x:c>
      <x:c r="K211" s="572" t="inlineStr">
        <x:is>
          <x:t xml:space="preserve">county record
31-12N-24W_Roger_Mills_Cursory_Title_Report_(6-10-2026)_BEST_UPDATED</x:t>
        </x:is>
      </x:c>
      <x:c r="L211" s="565" t="n"/>
      <x:c r="M211" s="565" t="n"/>
      <x:c r="N211" s="565" t="n"/>
      <x:c r="O211" s="565" t="n"/>
      <x:c r="P211" s="565" t="n"/>
      <x:c r="Q211" s="565" t="n"/>
      <x:c r="R211" s="565" t="n"/>
      <x:c r="S211" s="613" t="n"/>
      <x:c r="T211" s="565" t="n"/>
      <x:c r="U211" s="613" t="n"/>
      <x:c r="V211" s="565" t="n"/>
      <x:c r="W211" s="565" t="n"/>
      <x:c r="X211" s="565" t="n"/>
      <x:c r="Y211" s="565" t="n"/>
      <x:c r="Z211" s="565" t="n"/>
    </x:row>
    <x:row r="212">
      <x:c r="A212" s="527" t="n"/>
      <x:c r="B212" s="527" t="n"/>
      <x:c r="C212" s="527" t="inlineStr">
        <x:is>
          <x:t xml:space="preserve">Oil and Gas Lease</x:t>
        </x:is>
      </x:c>
      <x:c r="D212" s="527" t="inlineStr">
        <x:is>
          <x:t xml:space="preserve">1608/541</x:t>
        </x:is>
      </x:c>
      <x:c r="E212" s="529" t="n">
        <x:v>36613</x:v>
      </x:c>
      <x:c r="F212" s="529" t="n">
        <x:v>36613</x:v>
      </x:c>
      <x:c r="G212" s="527" t="inlineStr">
        <x:is>
          <x:t xml:space="preserve">Carrie Leeanne Mitchell</x:t>
        </x:is>
      </x:c>
      <x:c r="H212" s="527" t="inlineStr">
        <x:is>
          <x:t xml:space="preserve">EOG Resources, Inc.</x:t>
        </x:is>
      </x:c>
      <x:c r="I212" s="527" t="inlineStr">
        <x:is>
          <x:t xml:space="preserve">E/2 NW/4, E/2 SW/4 Lots 3-4, N/2 NE/4, NE/4 SE/4, SE/4 NE/4 of 31-12N-24W</x:t>
        </x:is>
      </x:c>
      <x:c r="J212" s="527" t="n"/>
      <x:c r="K212" s="572" t="inlineStr">
        <x:is>
          <x:t xml:space="preserve">county record</x:t>
        </x:is>
      </x:c>
      <x:c r="L212" s="565" t="n"/>
      <x:c r="M212" s="565" t="n"/>
      <x:c r="N212" s="565" t="n"/>
      <x:c r="O212" s="565" t="n"/>
      <x:c r="P212" s="565" t="n"/>
      <x:c r="Q212" s="565" t="n"/>
      <x:c r="R212" s="565" t="n"/>
      <x:c r="S212" s="613" t="n"/>
      <x:c r="T212" s="565" t="n"/>
      <x:c r="U212" s="613" t="n"/>
      <x:c r="V212" s="565" t="n"/>
      <x:c r="W212" s="565" t="n"/>
      <x:c r="X212" s="565" t="n"/>
      <x:c r="Y212" s="565" t="n"/>
      <x:c r="Z212" s="565" t="n"/>
    </x:row>
    <x:row r="213">
      <x:c r="A213" s="527" t="n"/>
      <x:c r="B213" s="527" t="n"/>
      <x:c r="C213" s="527" t="inlineStr">
        <x:is>
          <x:t xml:space="preserve">Oil and Gas Lease</x:t>
        </x:is>
      </x:c>
      <x:c r="D213" s="527" t="inlineStr">
        <x:is>
          <x:t xml:space="preserve">1608/543</x:t>
        </x:is>
      </x:c>
      <x:c r="E213" s="529" t="n">
        <x:v>36613</x:v>
      </x:c>
      <x:c r="F213" s="529" t="n">
        <x:v>36613</x:v>
      </x:c>
      <x:c r="G213" s="527" t="inlineStr">
        <x:is>
          <x:t xml:space="preserve">Nancy Susan Mitchell</x:t>
        </x:is>
      </x:c>
      <x:c r="H213" s="527" t="inlineStr">
        <x:is>
          <x:t xml:space="preserve">EOG Resources, Inc.</x:t>
        </x:is>
      </x:c>
      <x:c r="I213" s="527" t="inlineStr">
        <x:is>
          <x:t xml:space="preserve">E/2 NW/4, E/2 SW/4 Lots 3-4, N/2 NE/4, NE/4 SE/4, SE/4 NE/4 of 31-12N-24W</x:t>
        </x:is>
      </x:c>
      <x:c r="J213" s="527" t="n"/>
      <x:c r="K213" s="572" t="inlineStr">
        <x:is>
          <x:t xml:space="preserve">county record</x:t>
        </x:is>
      </x:c>
      <x:c r="L213" s="565" t="n"/>
      <x:c r="M213" s="565" t="n"/>
      <x:c r="N213" s="565" t="n"/>
      <x:c r="O213" s="565" t="n"/>
      <x:c r="P213" s="565" t="n"/>
      <x:c r="Q213" s="565" t="n"/>
      <x:c r="R213" s="565" t="n"/>
      <x:c r="S213" s="613" t="n"/>
      <x:c r="T213" s="565" t="n"/>
      <x:c r="U213" s="613" t="n"/>
      <x:c r="V213" s="565" t="n"/>
      <x:c r="W213" s="565" t="n"/>
      <x:c r="X213" s="565" t="n"/>
      <x:c r="Y213" s="565" t="n"/>
      <x:c r="Z213" s="565" t="n"/>
    </x:row>
    <x:row r="214">
      <x:c r="A214" s="527" t="n"/>
      <x:c r="B214" s="527" t="n"/>
      <x:c r="C214" s="527" t="inlineStr">
        <x:is>
          <x:t xml:space="preserve">Assignment</x:t>
        </x:is>
      </x:c>
      <x:c r="D214" s="527" t="inlineStr">
        <x:is>
          <x:t xml:space="preserve">1567/6</x:t>
        </x:is>
      </x:c>
      <x:c r="E214" s="529" t="n">
        <x:v>39336</x:v>
      </x:c>
      <x:c r="F214" s="529" t="n">
        <x:v>39336</x:v>
      </x:c>
      <x:c r="G214" s="527" t="inlineStr">
        <x:is>
          <x:t xml:space="preserve">Ocean Energy, Inc.</x:t>
        </x:is>
      </x:c>
      <x:c r="H214" s="527" t="inlineStr">
        <x:is>
          <x:t xml:space="preserve">Ocean Energy Resources, Inc.</x:t>
        </x:is>
      </x:c>
      <x:c r="I214" s="527" t="inlineStr">
        <x:is>
          <x:t xml:space="preserve">NE/4 SE/4 of 31-12N-24W</x:t>
        </x:is>
      </x:c>
      <x:c r="J214" s="527" t="inlineStr">
        <x:is>
          <x:t xml:space="preserve">Leasehold assignment; confirm leases, depths &amp; retained burdens from recorded image.</x:t>
        </x:is>
      </x:c>
      <x:c r="K214" s="572" t="inlineStr">
        <x:is>
          <x:t xml:space="preserve">county record</x:t>
        </x:is>
      </x:c>
      <x:c r="L214" s="565" t="n"/>
      <x:c r="M214" s="565" t="n"/>
      <x:c r="N214" s="565" t="n"/>
      <x:c r="O214" s="565" t="n"/>
      <x:c r="P214" s="565" t="n"/>
      <x:c r="Q214" s="565" t="n"/>
      <x:c r="R214" s="565" t="n"/>
      <x:c r="S214" s="613" t="n"/>
      <x:c r="T214" s="565" t="n"/>
      <x:c r="U214" s="613" t="n"/>
      <x:c r="V214" s="565" t="n"/>
      <x:c r="W214" s="565" t="n"/>
      <x:c r="X214" s="565" t="n"/>
      <x:c r="Y214" s="565" t="n"/>
      <x:c r="Z214" s="565" t="n"/>
    </x:row>
    <x:row r="215">
      <x:c r="A215" s="527" t="n"/>
      <x:c r="B215" s="527" t="n"/>
      <x:c r="C215" s="527" t="inlineStr">
        <x:is>
          <x:t xml:space="preserve">Memorandum of Lease</x:t>
        </x:is>
      </x:c>
      <x:c r="D215" s="527" t="inlineStr">
        <x:is>
          <x:t xml:space="preserve">2159/63</x:t>
        </x:is>
      </x:c>
      <x:c r="E215" s="529" t="n">
        <x:v>41190</x:v>
      </x:c>
      <x:c r="F215" s="529" t="n">
        <x:v>41190</x:v>
      </x:c>
      <x:c r="G215" s="527" t="inlineStr">
        <x:is>
          <x:t xml:space="preserve">Bank of America</x:t>
        </x:is>
      </x:c>
      <x:c r="H215" s="527" t="inlineStr">
        <x:is>
          <x:t xml:space="preserve">Chesapeake Energy Corp.
Chesapeake Midstream Development
Latigo</x:t>
        </x:is>
      </x:c>
      <x:c r="I215" s="527" t="inlineStr">
        <x:is>
          <x:t xml:space="preserve">31-12N-24W</x:t>
        </x:is>
      </x:c>
      <x:c r="J215" s="527" t="n"/>
      <x:c r="K215" s="572" t="inlineStr">
        <x:is>
          <x:t xml:space="preserve">county record</x:t>
        </x:is>
      </x:c>
      <x:c r="L215" s="565" t="n"/>
      <x:c r="M215" s="565" t="n"/>
      <x:c r="N215" s="565" t="n"/>
      <x:c r="O215" s="565" t="n"/>
      <x:c r="P215" s="565" t="n"/>
      <x:c r="Q215" s="565" t="n"/>
      <x:c r="R215" s="565" t="n"/>
      <x:c r="S215" s="613" t="n"/>
      <x:c r="T215" s="565" t="n"/>
      <x:c r="U215" s="613" t="n"/>
      <x:c r="V215" s="565" t="n"/>
      <x:c r="W215" s="565" t="n"/>
      <x:c r="X215" s="565" t="n"/>
      <x:c r="Y215" s="565" t="n"/>
      <x:c r="Z215" s="565" t="n"/>
    </x:row>
    <x:row r="216">
      <x:c r="A216" s="527" t="n"/>
      <x:c r="B216" s="527" t="n"/>
      <x:c r="C216" s="527" t="inlineStr">
        <x:is>
          <x:t xml:space="preserve">Memorandum of Lease</x:t>
        </x:is>
      </x:c>
      <x:c r="D216" s="527" t="inlineStr">
        <x:is>
          <x:t xml:space="preserve">2179/1</x:t>
        </x:is>
      </x:c>
      <x:c r="E216" s="529" t="n">
        <x:v>41387</x:v>
      </x:c>
      <x:c r="F216" s="529" t="n">
        <x:v>41387</x:v>
      </x:c>
      <x:c r="G216" s="527" t="inlineStr">
        <x:is>
          <x:t xml:space="preserve">Chesapeake Midstream Development</x:t>
        </x:is>
      </x:c>
      <x:c r="H216" s="527" t="inlineStr">
        <x:is>
          <x:t xml:space="preserve">Compass Bank</x:t>
        </x:is>
      </x:c>
      <x:c r="I216" s="527" t="inlineStr">
        <x:is>
          <x:t xml:space="preserve">31-12N-24W aol</x:t>
        </x:is>
      </x:c>
      <x:c r="J216" s="527" t="n"/>
      <x:c r="K216" s="572" t="inlineStr">
        <x:is>
          <x:t xml:space="preserve">county record</x:t>
        </x:is>
      </x:c>
      <x:c r="L216" s="565" t="n"/>
      <x:c r="M216" s="565" t="n"/>
      <x:c r="N216" s="565" t="n"/>
      <x:c r="O216" s="565" t="n"/>
      <x:c r="P216" s="565" t="n"/>
      <x:c r="Q216" s="565" t="n"/>
      <x:c r="R216" s="565" t="n"/>
      <x:c r="S216" s="613" t="n"/>
      <x:c r="T216" s="565" t="n"/>
      <x:c r="U216" s="613" t="n"/>
      <x:c r="V216" s="565" t="n"/>
      <x:c r="W216" s="565" t="n"/>
      <x:c r="X216" s="565" t="n"/>
      <x:c r="Y216" s="565" t="n"/>
      <x:c r="Z216" s="565" t="n"/>
    </x:row>
    <x:row r="217">
      <x:c r="A217" s="527" t="n"/>
      <x:c r="B217" s="527" t="n">
        <x:v>43</x:v>
      </x:c>
      <x:c r="C217" s="527" t="inlineStr">
        <x:is>
          <x:t xml:space="preserve">Assignment</x:t>
        </x:is>
      </x:c>
      <x:c r="D217" s="527" t="inlineStr">
        <x:is>
          <x:t xml:space="preserve">2343/1</x:t>
        </x:is>
      </x:c>
      <x:c r="E217" s="529" t="n">
        <x:v>42593</x:v>
      </x:c>
      <x:c r="F217" s="529" t="n">
        <x:v>42593</x:v>
      </x:c>
      <x:c r="G217" s="527" t="inlineStr">
        <x:is>
          <x:t xml:space="preserve">Devon Energy Production Co.</x:t>
        </x:is>
      </x:c>
      <x:c r="H217" s="527" t="inlineStr">
        <x:is>
          <x:t xml:space="preserve">Tecolote Holdings, LLC</x:t>
        </x:is>
      </x:c>
      <x:c r="I217" s="527" t="inlineStr">
        <x:is>
          <x:t xml:space="preserve">All of 31-12N-24W; S30 T15N R22W A S12 T13N R22W A 312 more target likely within omitted legals from same indexed search hit of 31-12N-24W, aol</x:t>
        </x:is>
      </x:c>
      <x:c r="J217" s="527" t="inlineStr">
        <x:is>
          <x:t xml:space="preserve">Leasehold assignment; confirm leases, depths &amp; retained burdens from recorded image.
Leasehold assigned (chain)
Search-engine indexed OKCR result snippet surfaced instrument 2016-001883 as Assignment, Book 002343, pages 0001-0602, 603 images. Full legal list is truncated.
Merged duplicate rows: 752</x:t>
        </x:is>
      </x:c>
      <x:c r="K217" s="572" t="inlineStr">
        <x:is>
          <x:t xml:space="preserve">county record
OKCountyRecords public search result via web index</x:t>
        </x:is>
      </x:c>
      <x:c r="L217" s="565" t="n"/>
      <x:c r="M217" s="565" t="n"/>
      <x:c r="N217" s="565" t="n"/>
      <x:c r="O217" s="565" t="n"/>
      <x:c r="P217" s="565" t="n"/>
      <x:c r="Q217" s="565" t="n"/>
      <x:c r="R217" s="565" t="n"/>
      <x:c r="S217" s="613" t="n"/>
      <x:c r="T217" s="565" t="n"/>
      <x:c r="U217" s="613" t="n"/>
      <x:c r="V217" s="565" t="n"/>
      <x:c r="W217" s="565" t="n"/>
      <x:c r="X217" s="565" t="n"/>
      <x:c r="Y217" s="565" t="n"/>
      <x:c r="Z217" s="565" t="n"/>
    </x:row>
    <x:row r="218">
      <x:c r="A218" s="527" t="n"/>
      <x:c r="B218" s="527" t="n"/>
      <x:c r="C218" s="527" t="inlineStr">
        <x:is>
          <x:t xml:space="preserve">Quit Claim Mineral Deed</x:t>
        </x:is>
      </x:c>
      <x:c r="D218" s="527" t="inlineStr">
        <x:is>
          <x:t xml:space="preserve">2342/219</x:t>
        </x:is>
      </x:c>
      <x:c r="E218" s="529" t="n">
        <x:v>42593</x:v>
      </x:c>
      <x:c r="F218" s="529" t="n">
        <x:v>42593</x:v>
      </x:c>
      <x:c r="G218" s="527" t="inlineStr">
        <x:is>
          <x:t xml:space="preserve">Devon Energy Production Co.</x:t>
        </x:is>
      </x:c>
      <x:c r="H218" s="527" t="inlineStr">
        <x:is>
          <x:t xml:space="preserve">Tecolote Holdings</x:t>
        </x:is>
      </x:c>
      <x:c r="I218" s="527" t="inlineStr">
        <x:is>
          <x:t xml:space="preserve">N/2 NE/4 of 31-12N-24W; N/2 NE/4, W/2 NW/4 of 31-12N-24W aol</x:t>
        </x:is>
      </x:c>
      <x:c r="J218" s="527" t="inlineStr">
        <x:is>
          <x:t xml:space="preserve">Mineral conveyance; confirm net acres/fraction &amp; reservations from recorded image.
Merged row 569 Effective Date: 42370
Merged duplicate rows: 569</x:t>
        </x:is>
      </x:c>
      <x:c r="K218" s="572" t="inlineStr">
        <x:is>
          <x:t xml:space="preserve">county record</x:t>
        </x:is>
      </x:c>
      <x:c r="L218" s="565" t="n"/>
      <x:c r="M218" s="565" t="n"/>
      <x:c r="N218" s="565" t="n"/>
      <x:c r="O218" s="565" t="n"/>
      <x:c r="P218" s="565" t="n"/>
      <x:c r="Q218" s="565" t="n"/>
      <x:c r="R218" s="565" t="n"/>
      <x:c r="S218" s="613" t="n"/>
      <x:c r="T218" s="565" t="n"/>
      <x:c r="U218" s="613" t="n"/>
      <x:c r="V218" s="565" t="n"/>
      <x:c r="W218" s="565" t="n"/>
      <x:c r="X218" s="565" t="n"/>
      <x:c r="Y218" s="565" t="n"/>
      <x:c r="Z218" s="565" t="n"/>
    </x:row>
    <x:row r="219">
      <x:c r="A219" s="527" t="n"/>
      <x:c r="B219" s="527" t="n"/>
      <x:c r="C219" s="527" t="inlineStr">
        <x:is>
          <x:t xml:space="preserve">Assignment</x:t>
        </x:is>
      </x:c>
      <x:c r="D219" s="527" t="inlineStr">
        <x:is>
          <x:t xml:space="preserve">2354/229</x:t>
        </x:is>
      </x:c>
      <x:c r="E219" s="529" t="n">
        <x:v>42719</x:v>
      </x:c>
      <x:c r="F219" s="529" t="n">
        <x:v>42719</x:v>
      </x:c>
      <x:c r="G219" s="527" t="inlineStr">
        <x:is>
          <x:t xml:space="preserve">Hefner Company, Inc.</x:t>
        </x:is>
      </x:c>
      <x:c r="H219" s="527" t="inlineStr">
        <x:is>
          <x:t xml:space="preserve">Cheyenne Resources, LLC</x:t>
        </x:is>
      </x:c>
      <x:c r="I219" s="527" t="inlineStr">
        <x:is>
          <x:t xml:space="preserve">All of 31-12N-24W</x:t>
        </x:is>
      </x:c>
      <x:c r="J219" s="527" t="inlineStr">
        <x:is>
          <x:t xml:space="preserve">Leasehold assignment; confirm leases, depths &amp; retained burdens from recorded image.</x:t>
        </x:is>
      </x:c>
      <x:c r="K219" s="572" t="inlineStr">
        <x:is>
          <x:t xml:space="preserve">county record</x:t>
        </x:is>
      </x:c>
      <x:c r="L219" s="565" t="n"/>
      <x:c r="M219" s="565" t="n"/>
      <x:c r="N219" s="565" t="n"/>
      <x:c r="O219" s="565" t="n"/>
      <x:c r="P219" s="565" t="n"/>
      <x:c r="Q219" s="565" t="n"/>
      <x:c r="R219" s="565" t="n"/>
      <x:c r="S219" s="613" t="n"/>
      <x:c r="T219" s="565" t="n"/>
      <x:c r="U219" s="613" t="n"/>
      <x:c r="V219" s="565" t="n"/>
      <x:c r="W219" s="565" t="n"/>
      <x:c r="X219" s="565" t="n"/>
      <x:c r="Y219" s="565" t="n"/>
      <x:c r="Z219" s="565" t="n"/>
    </x:row>
    <x:row r="220">
      <x:c r="A220" s="527" t="n"/>
      <x:c r="B220" s="527" t="n"/>
      <x:c r="C220" s="527" t="inlineStr">
        <x:is>
          <x:t xml:space="preserve">Assignment</x:t>
        </x:is>
      </x:c>
      <x:c r="D220" s="527" t="inlineStr">
        <x:is>
          <x:t xml:space="preserve">2351/1</x:t>
        </x:is>
      </x:c>
      <x:c r="E220" s="529" t="n">
        <x:v>42723</x:v>
      </x:c>
      <x:c r="F220" s="529" t="n">
        <x:v>42723</x:v>
      </x:c>
      <x:c r="G220" s="527" t="inlineStr">
        <x:is>
          <x:t xml:space="preserve">Rio Oil
Gas II, LLC</x:t>
        </x:is>
      </x:c>
      <x:c r="H220" s="527" t="inlineStr">
        <x:is>
          <x:t xml:space="preserve">Samson Resources Co.</x:t>
        </x:is>
      </x:c>
      <x:c r="I220" s="527" t="inlineStr">
        <x:is>
          <x:t xml:space="preserve">31-12N-24W aol</x:t>
        </x:is>
      </x:c>
      <x:c r="J220" s="527" t="inlineStr">
        <x:is>
          <x:t xml:space="preserve">Leasehold assignment; confirm leases, depths &amp; retained burdens from recorded image.</x:t>
        </x:is>
      </x:c>
      <x:c r="K220" s="572" t="inlineStr">
        <x:is>
          <x:t xml:space="preserve">county record</x:t>
        </x:is>
      </x:c>
      <x:c r="L220" s="565" t="n"/>
      <x:c r="M220" s="565" t="n"/>
      <x:c r="N220" s="565" t="n"/>
      <x:c r="O220" s="565" t="n"/>
      <x:c r="P220" s="565" t="n"/>
      <x:c r="Q220" s="565" t="n"/>
      <x:c r="R220" s="565" t="n"/>
      <x:c r="S220" s="613" t="n"/>
      <x:c r="T220" s="565" t="n"/>
      <x:c r="U220" s="613" t="n"/>
      <x:c r="V220" s="565" t="n"/>
      <x:c r="W220" s="565" t="n"/>
      <x:c r="X220" s="565" t="n"/>
      <x:c r="Y220" s="565" t="n"/>
      <x:c r="Z220" s="565" t="n"/>
    </x:row>
    <x:row r="221">
      <x:c r="A221" s="527" t="n"/>
      <x:c r="B221" s="527" t="n"/>
      <x:c r="C221" s="527" t="inlineStr">
        <x:is>
          <x:t xml:space="preserve">Assignment</x:t>
        </x:is>
      </x:c>
      <x:c r="D221" s="527" t="inlineStr">
        <x:is>
          <x:t xml:space="preserve">2356/399</x:t>
        </x:is>
      </x:c>
      <x:c r="E221" s="529" t="n">
        <x:v>42752</x:v>
      </x:c>
      <x:c r="F221" s="529" t="n">
        <x:v>42752</x:v>
      </x:c>
      <x:c r="G221" s="527" t="inlineStr">
        <x:is>
          <x:t xml:space="preserve">Geodyne Resources, Inc.
Samson Lone Star, LLC
Samson Resources Company</x:t>
        </x:is>
      </x:c>
      <x:c r="H221" s="527" t="inlineStr">
        <x:is>
          <x:t xml:space="preserve">Fairway Resources III, LLC</x:t>
        </x:is>
      </x:c>
      <x:c r="I221" s="527" t="inlineStr">
        <x:is>
          <x:t xml:space="preserve">31-12N-24W</x:t>
        </x:is>
      </x:c>
      <x:c r="J221" s="527" t="inlineStr">
        <x:is>
          <x:t xml:space="preserve">Leasehold assignment; confirm leases, depths &amp; retained burdens from recorded image.</x:t>
        </x:is>
      </x:c>
      <x:c r="K221" s="572" t="inlineStr">
        <x:is>
          <x:t xml:space="preserve">county record</x:t>
        </x:is>
      </x:c>
      <x:c r="L221" s="565" t="n"/>
      <x:c r="M221" s="565" t="n"/>
      <x:c r="N221" s="565" t="n"/>
      <x:c r="O221" s="565" t="n"/>
      <x:c r="P221" s="565" t="n"/>
      <x:c r="Q221" s="565" t="n"/>
      <x:c r="R221" s="565" t="n"/>
      <x:c r="S221" s="613" t="n"/>
      <x:c r="T221" s="565" t="n"/>
      <x:c r="U221" s="613" t="n"/>
      <x:c r="V221" s="565" t="n"/>
      <x:c r="W221" s="565" t="n"/>
      <x:c r="X221" s="565" t="n"/>
      <x:c r="Y221" s="565" t="n"/>
      <x:c r="Z221" s="565" t="n"/>
    </x:row>
    <x:row r="222">
      <x:c r="A222" s="527" t="n"/>
      <x:c r="B222" s="527" t="n"/>
      <x:c r="C222" s="527" t="inlineStr">
        <x:is>
          <x:t xml:space="preserve">Mineral Deed</x:t>
        </x:is>
      </x:c>
      <x:c r="D222" s="527" t="inlineStr">
        <x:is>
          <x:t xml:space="preserve">2365/338</x:t>
        </x:is>
      </x:c>
      <x:c r="E222" s="529" t="n">
        <x:v>42858</x:v>
      </x:c>
      <x:c r="F222" s="529" t="n">
        <x:v>42858</x:v>
      </x:c>
      <x:c r="G222" s="527" t="inlineStr">
        <x:is>
          <x:t xml:space="preserve">Ella Pearl Kirk</x:t>
        </x:is>
      </x:c>
      <x:c r="H222" s="527" t="inlineStr">
        <x:is>
          <x:t xml:space="preserve">Calvin Wayne Kirk</x:t>
        </x:is>
      </x:c>
      <x:c r="I222" s="527" t="inlineStr">
        <x:is>
          <x:t xml:space="preserve">NW/4 of 31-12N-24W aol; NW/4 Partial of 31-12N-24W aol</x:t>
        </x:is>
      </x:c>
      <x:c r="J222" s="527" t="inlineStr">
        <x:is>
          <x:t xml:space="preserve">Mineral conveyance; confirm net acres/fraction &amp; reservations from recorded image.
Index row only reviewed. Mineral deed interest/net acres not stated in available index; full deed image required for exact fractional interest and reservation language.
Merged row 571 Effective Date: 42855
Merged duplicate rows: 104, 571</x:t>
        </x:is>
      </x:c>
      <x:c r="K222" s="572" t="inlineStr">
        <x:is>
          <x:t xml:space="preserve">county record
link unavailable</x:t>
        </x:is>
      </x:c>
      <x:c r="L222" s="565" t="n"/>
      <x:c r="M222" s="565" t="n"/>
      <x:c r="N222" s="565" t="n"/>
      <x:c r="O222" s="565" t="n"/>
      <x:c r="P222" s="565" t="n"/>
      <x:c r="Q222" s="565" t="n"/>
      <x:c r="R222" s="565" t="n"/>
      <x:c r="S222" s="613" t="n"/>
      <x:c r="T222" s="565" t="n"/>
      <x:c r="U222" s="613" t="n"/>
      <x:c r="V222" s="565" t="n"/>
      <x:c r="W222" s="565" t="n"/>
      <x:c r="X222" s="565" t="n"/>
      <x:c r="Y222" s="565" t="n"/>
      <x:c r="Z222" s="565" t="n"/>
    </x:row>
    <x:row r="223">
      <x:c r="A223" s="527" t="n"/>
      <x:c r="B223" s="527" t="n"/>
      <x:c r="C223" s="527" t="inlineStr">
        <x:is>
          <x:t xml:space="preserve">Conveyance</x:t>
        </x:is>
      </x:c>
      <x:c r="D223" s="527" t="inlineStr">
        <x:is>
          <x:t xml:space="preserve">2383/169</x:t>
        </x:is>
      </x:c>
      <x:c r="E223" s="529" t="n">
        <x:v>43088</x:v>
      </x:c>
      <x:c r="F223" s="529" t="n">
        <x:v>43088</x:v>
      </x:c>
      <x:c r="G223" s="527" t="inlineStr">
        <x:is>
          <x:t xml:space="preserve">Tecolote Holdings, LLC</x:t>
        </x:is>
      </x:c>
      <x:c r="H223" s="527" t="inlineStr">
        <x:is>
          <x:t xml:space="preserve">Tecolote Royalty LP</x:t>
        </x:is>
      </x:c>
      <x:c r="I223" s="527" t="inlineStr">
        <x:is>
          <x:t xml:space="preserve">All of 31-12N-24W</x:t>
        </x:is>
      </x:c>
      <x:c r="J223" s="527" t="n"/>
      <x:c r="K223" s="572" t="inlineStr">
        <x:is>
          <x:t xml:space="preserve">county record</x:t>
        </x:is>
      </x:c>
      <x:c r="L223" s="565" t="n"/>
      <x:c r="M223" s="565" t="n"/>
      <x:c r="N223" s="565" t="n"/>
      <x:c r="O223" s="565" t="n"/>
      <x:c r="P223" s="565" t="n"/>
      <x:c r="Q223" s="565" t="n"/>
      <x:c r="R223" s="565" t="n"/>
      <x:c r="S223" s="613" t="n"/>
      <x:c r="T223" s="565" t="n"/>
      <x:c r="U223" s="613" t="n"/>
      <x:c r="V223" s="565" t="n"/>
      <x:c r="W223" s="565" t="n"/>
      <x:c r="X223" s="565" t="n"/>
      <x:c r="Y223" s="565" t="n"/>
      <x:c r="Z223" s="565" t="n"/>
    </x:row>
    <x:row r="224">
      <x:c r="A224" s="527" t="n"/>
      <x:c r="B224" s="527" t="n">
        <x:v>47</x:v>
      </x:c>
      <x:c r="C224" s="527" t="inlineStr">
        <x:is>
          <x:t xml:space="preserve">Assignment</x:t>
        </x:is>
      </x:c>
      <x:c r="D224" s="527" t="inlineStr">
        <x:is>
          <x:t xml:space="preserve">2385/72</x:t>
        </x:is>
      </x:c>
      <x:c r="E224" s="529" t="n">
        <x:v>43119</x:v>
      </x:c>
      <x:c r="F224" s="529" t="n">
        <x:v>43119</x:v>
      </x:c>
      <x:c r="G224" s="527" t="inlineStr">
        <x:is>
          <x:t xml:space="preserve">Cheyenne Resources</x:t>
        </x:is>
      </x:c>
      <x:c r="H224" s="527" t="inlineStr">
        <x:is>
          <x:t xml:space="preserve">Templar Energy, LLC</x:t>
        </x:is>
      </x:c>
      <x:c r="I224" s="527" t="inlineStr">
        <x:is>
          <x:t xml:space="preserve">31-12N-24W; Lalexander 1-31 of 31-12N-24W</x:t>
        </x:is>
      </x:c>
      <x:c r="J224" s="527" t="inlineStr">
        <x:is>
          <x:t xml:space="preserve">Leasehold assignment; confirm leases, depths &amp; retained burdens from recorded image.
Index row only reviewed. Assignment terms/interest not fully stated in index; full assignment image required to confirm leases, depths, burdens, and retained interests.
Leasehold assigned (chain)
Index row only reviewed. Assignment terms/interest not fully stated in index; full assignment image required to confirm leases, depths, burdens, and retained interests.
Merged duplicate rows: 109, 756</x:t>
        </x:is>
      </x:c>
      <x:c r="K224" s="572" t="inlineStr">
        <x:is>
          <x:t xml:space="preserve">county record
link unavailable
31-12N-24W_Roger_Mills_Cursory_Title_Report_FINAL</x:t>
        </x:is>
      </x:c>
      <x:c r="L224" s="565" t="n"/>
      <x:c r="M224" s="565" t="n"/>
      <x:c r="N224" s="565" t="n"/>
      <x:c r="O224" s="565" t="n"/>
      <x:c r="P224" s="565" t="n"/>
      <x:c r="Q224" s="565" t="n"/>
      <x:c r="R224" s="565" t="n"/>
      <x:c r="S224" s="613" t="n"/>
      <x:c r="T224" s="565" t="n"/>
      <x:c r="U224" s="613" t="n"/>
      <x:c r="V224" s="565" t="n"/>
      <x:c r="W224" s="565" t="n"/>
      <x:c r="X224" s="565" t="n"/>
      <x:c r="Y224" s="565" t="n"/>
      <x:c r="Z224" s="565" t="n"/>
    </x:row>
    <x:row r="225">
      <x:c r="A225" s="527" t="n"/>
      <x:c r="B225" s="527" t="n"/>
      <x:c r="C225" s="527" t="inlineStr">
        <x:is>
          <x:t xml:space="preserve">Memorandum of Lease</x:t>
        </x:is>
      </x:c>
      <x:c r="D225" s="527" t="inlineStr">
        <x:is>
          <x:t xml:space="preserve">2399/188</x:t>
        </x:is>
      </x:c>
      <x:c r="E225" s="529" t="n">
        <x:v>43327</x:v>
      </x:c>
      <x:c r="F225" s="529" t="n">
        <x:v>43327</x:v>
      </x:c>
      <x:c r="G225" s="527" t="inlineStr">
        <x:is>
          <x:t xml:space="preserve">Enervest Operating, et al.</x:t>
        </x:is>
      </x:c>
      <x:c r="H225" s="527" t="inlineStr">
        <x:is>
          <x:t xml:space="preserve">The Public</x:t>
        </x:is>
      </x:c>
      <x:c r="I225" s="527" t="inlineStr">
        <x:is>
          <x:t xml:space="preserve">31-12N-24W</x:t>
        </x:is>
      </x:c>
      <x:c r="J225" s="527" t="n"/>
      <x:c r="K225" s="572" t="inlineStr">
        <x:is>
          <x:t xml:space="preserve">county record</x:t>
        </x:is>
      </x:c>
      <x:c r="L225" s="565" t="n"/>
      <x:c r="M225" s="565" t="n"/>
      <x:c r="N225" s="565" t="n"/>
      <x:c r="O225" s="565" t="n"/>
      <x:c r="P225" s="565" t="n"/>
      <x:c r="Q225" s="565" t="n"/>
      <x:c r="R225" s="565" t="n"/>
      <x:c r="S225" s="613" t="n"/>
      <x:c r="T225" s="565" t="n"/>
      <x:c r="U225" s="613" t="n"/>
      <x:c r="V225" s="565" t="n"/>
      <x:c r="W225" s="565" t="n"/>
      <x:c r="X225" s="565" t="n"/>
      <x:c r="Y225" s="565" t="n"/>
      <x:c r="Z225" s="565" t="n"/>
    </x:row>
    <x:row r="226">
      <x:c r="A226" s="527" t="n"/>
      <x:c r="B226" s="527" t="n"/>
      <x:c r="C226" s="527" t="inlineStr">
        <x:is>
          <x:t xml:space="preserve">Quit Claim Mineral Deed</x:t>
        </x:is>
      </x:c>
      <x:c r="D226" s="527" t="inlineStr">
        <x:is>
          <x:t xml:space="preserve">2406/228</x:t>
        </x:is>
      </x:c>
      <x:c r="E226" s="529" t="n">
        <x:v>43382</x:v>
      </x:c>
      <x:c r="F226" s="529" t="n">
        <x:v>43382</x:v>
      </x:c>
      <x:c r="G226" s="527" t="inlineStr">
        <x:is>
          <x:t xml:space="preserve">Cindy Lou Vignal, Trustee of the Luther and Veronica Liv Thurman Trust</x:t>
        </x:is>
      </x:c>
      <x:c r="H226" s="527" t="inlineStr">
        <x:is>
          <x:t xml:space="preserve">Gary Wayne Vignal, Trustee of the Gary and Cindy Liv Vignal Trust
Cindy Lou Vignal, Trustee of the Gary and Cindy Liv Vignal Trust</x:t>
        </x:is>
      </x:c>
      <x:c r="I226" s="527" t="inlineStr">
        <x:is>
          <x:t xml:space="preserve">E/2 NW/4 of 31-12N-24W aol</x:t>
        </x:is>
      </x:c>
      <x:c r="J226" s="527" t="inlineStr">
        <x:is>
          <x:t xml:space="preserve">Mineral conveyance; confirm net acres/fraction &amp; reservations from recorded image.</x:t>
        </x:is>
      </x:c>
      <x:c r="K226" s="572" t="inlineStr">
        <x:is>
          <x:t xml:space="preserve">county record</x:t>
        </x:is>
      </x:c>
      <x:c r="L226" s="565" t="n"/>
      <x:c r="M226" s="565" t="n"/>
      <x:c r="N226" s="565" t="n"/>
      <x:c r="O226" s="565" t="n"/>
      <x:c r="P226" s="565" t="n"/>
      <x:c r="Q226" s="565" t="n"/>
      <x:c r="R226" s="565" t="n"/>
      <x:c r="S226" s="613" t="n"/>
      <x:c r="T226" s="565" t="n"/>
      <x:c r="U226" s="613" t="n"/>
      <x:c r="V226" s="565" t="n"/>
      <x:c r="W226" s="565" t="n"/>
      <x:c r="X226" s="565" t="n"/>
      <x:c r="Y226" s="565" t="n"/>
      <x:c r="Z226" s="565" t="n"/>
    </x:row>
    <x:row r="227">
      <x:c r="A227" s="527" t="n"/>
      <x:c r="B227" s="527" t="n">
        <x:v>49</x:v>
      </x:c>
      <x:c r="C227" s="527" t="inlineStr">
        <x:is>
          <x:t xml:space="preserve">Assignment</x:t>
        </x:is>
      </x:c>
      <x:c r="D227" s="527" t="inlineStr">
        <x:is>
          <x:t xml:space="preserve">2425/380</x:t>
        </x:is>
      </x:c>
      <x:c r="E227" s="529" t="n">
        <x:v>43698</x:v>
      </x:c>
      <x:c r="F227" s="529" t="n">
        <x:v>43698</x:v>
      </x:c>
      <x:c r="G227" s="527" t="inlineStr">
        <x:is>
          <x:t xml:space="preserve">BHP Billiton Petroleum</x:t>
        </x:is>
      </x:c>
      <x:c r="H227" s="527" t="inlineStr">
        <x:is>
          <x:t xml:space="preserve">Cohete Rojo, LLC</x:t>
        </x:is>
      </x:c>
      <x:c r="I227" s="527" t="inlineStr">
        <x:is>
          <x:t xml:space="preserve">All of 31-12N-24W; All of 10-11N-26W aol</x:t>
        </x:is>
      </x:c>
      <x:c r="J227" s="527" t="inlineStr">
        <x:is>
          <x:t xml:space="preserve">Leasehold assignment; confirm leases, depths &amp; retained burdens from recorded image.
Leasehold assigned (chain)
Doc 2019-001779; attached Roger Mills County Clerk unplatted legal index image row; Index p.57; legal/quarter extracted visually from image-only PDF.
Merged duplicate rows: 119, 758</x:t>
        </x:is>
      </x:c>
      <x:c r="K227" s="572" t="inlineStr">
        <x:is>
          <x:t xml:space="preserve">county record
link unavailable
63e8b9a8d056433a9994fe46ca85076b.pdf</x:t>
        </x:is>
      </x:c>
      <x:c r="L227" s="565" t="n"/>
      <x:c r="M227" s="565" t="n"/>
      <x:c r="N227" s="565" t="n"/>
      <x:c r="O227" s="565" t="n"/>
      <x:c r="P227" s="565" t="n"/>
      <x:c r="Q227" s="565" t="n"/>
      <x:c r="R227" s="565" t="n"/>
      <x:c r="S227" s="613" t="n"/>
      <x:c r="T227" s="565" t="n"/>
      <x:c r="U227" s="613" t="n"/>
      <x:c r="V227" s="565" t="n"/>
      <x:c r="W227" s="565" t="n"/>
      <x:c r="X227" s="565" t="n"/>
      <x:c r="Y227" s="565" t="n"/>
      <x:c r="Z227" s="565" t="n"/>
    </x:row>
    <x:row r="228">
      <x:c r="A228" s="527" t="n"/>
      <x:c r="B228" s="527" t="n"/>
      <x:c r="C228" s="527" t="inlineStr">
        <x:is>
          <x:t xml:space="preserve">Mineral Deed</x:t>
        </x:is>
      </x:c>
      <x:c r="D228" s="527" t="inlineStr">
        <x:is>
          <x:t xml:space="preserve">2426/154</x:t>
        </x:is>
      </x:c>
      <x:c r="E228" s="529" t="n">
        <x:v>43711</x:v>
      </x:c>
      <x:c r="F228" s="529" t="n">
        <x:v>43711</x:v>
      </x:c>
      <x:c r="G228" s="527" t="inlineStr">
        <x:is>
          <x:t xml:space="preserve">Colt Development
Roca Development</x:t>
        </x:is>
      </x:c>
      <x:c r="H228" s="527" t="inlineStr">
        <x:is>
          <x:t xml:space="preserve">Dustin Deal, LLC</x:t>
        </x:is>
      </x:c>
      <x:c r="I228" s="527" t="inlineStr">
        <x:is>
          <x:t xml:space="preserve">E/2 NW/4 of 31-12N-24W</x:t>
        </x:is>
      </x:c>
      <x:c r="J228" s="527" t="inlineStr">
        <x:is>
          <x:t xml:space="preserve">Mineral conveyance; confirm net acres/fraction &amp; reservations from recorded image.
Index row only reviewed. Mineral deed interest/net acres not stated in available index; full deed image required for exact fractional interest and reservation language.
Merged duplicate rows: 120</x:t>
        </x:is>
      </x:c>
      <x:c r="K228" s="572" t="inlineStr">
        <x:is>
          <x:t xml:space="preserve">county record
link unavailable</x:t>
        </x:is>
      </x:c>
      <x:c r="L228" s="565" t="n"/>
      <x:c r="M228" s="565" t="n"/>
      <x:c r="N228" s="565" t="n"/>
      <x:c r="O228" s="565" t="n"/>
      <x:c r="P228" s="565" t="n"/>
      <x:c r="Q228" s="565" t="n"/>
      <x:c r="R228" s="565" t="n"/>
      <x:c r="S228" s="613" t="n"/>
      <x:c r="T228" s="565" t="n"/>
      <x:c r="U228" s="613" t="n"/>
      <x:c r="V228" s="565" t="n"/>
      <x:c r="W228" s="565" t="n"/>
      <x:c r="X228" s="565" t="n"/>
      <x:c r="Y228" s="565" t="n"/>
      <x:c r="Z228" s="565" t="n"/>
    </x:row>
    <x:row r="229">
      <x:c r="A229" s="527" t="n"/>
      <x:c r="B229" s="527" t="n"/>
      <x:c r="C229" s="527" t="inlineStr">
        <x:is>
          <x:t xml:space="preserve">Assignment</x:t>
        </x:is>
      </x:c>
      <x:c r="D229" s="527" t="inlineStr">
        <x:is>
          <x:t xml:space="preserve">2449/333</x:t>
        </x:is>
      </x:c>
      <x:c r="E229" s="529" t="n">
        <x:v>44060</x:v>
      </x:c>
      <x:c r="F229" s="529" t="n">
        <x:v>44060</x:v>
      </x:c>
      <x:c r="G229" s="527" t="inlineStr">
        <x:is>
          <x:t xml:space="preserve">TE Holdco RP, LLC, et al.</x:t>
        </x:is>
      </x:c>
      <x:c r="H229" s="527" t="inlineStr">
        <x:is>
          <x:t xml:space="preserve">Presidio Wab, LLC</x:t>
        </x:is>
      </x:c>
      <x:c r="I229" s="527" t="inlineStr">
        <x:is>
          <x:t xml:space="preserve">All of 31-12N-24W</x:t>
        </x:is>
      </x:c>
      <x:c r="J229" s="527" t="inlineStr">
        <x:is>
          <x:t xml:space="preserve">Leasehold assignment; confirm leases, depths &amp; retained burdens from recorded image.</x:t>
        </x:is>
      </x:c>
      <x:c r="K229" s="572" t="inlineStr">
        <x:is>
          <x:t xml:space="preserve">county record</x:t>
        </x:is>
      </x:c>
      <x:c r="L229" s="565" t="n"/>
      <x:c r="M229" s="565" t="n"/>
      <x:c r="N229" s="565" t="n"/>
      <x:c r="O229" s="565" t="n"/>
      <x:c r="P229" s="565" t="n"/>
      <x:c r="Q229" s="565" t="n"/>
      <x:c r="R229" s="565" t="n"/>
      <x:c r="S229" s="613" t="n"/>
      <x:c r="T229" s="565" t="n"/>
      <x:c r="U229" s="613" t="n"/>
      <x:c r="V229" s="565" t="n"/>
      <x:c r="W229" s="565" t="n"/>
      <x:c r="X229" s="565" t="n"/>
      <x:c r="Y229" s="565" t="n"/>
      <x:c r="Z229" s="565" t="n"/>
    </x:row>
    <x:row r="230">
      <x:c r="A230" s="527" t="n"/>
      <x:c r="B230" s="527" t="n"/>
      <x:c r="C230" s="527" t="inlineStr">
        <x:is>
          <x:t xml:space="preserve">Assignment</x:t>
        </x:is>
      </x:c>
      <x:c r="D230" s="527" t="inlineStr">
        <x:is>
          <x:t xml:space="preserve">2452/235</x:t>
        </x:is>
      </x:c>
      <x:c r="E230" s="529" t="n">
        <x:v>44118</x:v>
      </x:c>
      <x:c r="F230" s="529" t="n">
        <x:v>44118</x:v>
      </x:c>
      <x:c r="G230" s="527" t="inlineStr">
        <x:is>
          <x:t xml:space="preserve">Tecolote Holdings, LLC, et al.</x:t>
        </x:is>
      </x:c>
      <x:c r="H230" s="527" t="inlineStr">
        <x:is>
          <x:t xml:space="preserve">Mustang Fuel Corporation</x:t>
        </x:is>
      </x:c>
      <x:c r="I230" s="527" t="inlineStr">
        <x:is>
          <x:t xml:space="preserve">All of 31-12N-24W</x:t>
        </x:is>
      </x:c>
      <x:c r="J230" s="527" t="inlineStr">
        <x:is>
          <x:t xml:space="preserve">Leasehold assignment; confirm leases, depths &amp; retained burdens from recorded image.</x:t>
        </x:is>
      </x:c>
      <x:c r="K230" s="572" t="inlineStr">
        <x:is>
          <x:t xml:space="preserve">county record</x:t>
        </x:is>
      </x:c>
      <x:c r="L230" s="565" t="n"/>
      <x:c r="M230" s="565" t="n"/>
      <x:c r="N230" s="565" t="n"/>
      <x:c r="O230" s="565" t="n"/>
      <x:c r="P230" s="565" t="n"/>
      <x:c r="Q230" s="565" t="n"/>
      <x:c r="R230" s="565" t="n"/>
      <x:c r="S230" s="613" t="n"/>
      <x:c r="T230" s="565" t="n"/>
      <x:c r="U230" s="613" t="n"/>
      <x:c r="V230" s="565" t="n"/>
      <x:c r="W230" s="565" t="n"/>
      <x:c r="X230" s="565" t="n"/>
      <x:c r="Y230" s="565" t="n"/>
      <x:c r="Z230" s="565" t="n"/>
    </x:row>
    <x:row r="231">
      <x:c r="A231" s="527" t="n"/>
      <x:c r="B231" s="527" t="n"/>
      <x:c r="C231" s="527" t="inlineStr">
        <x:is>
          <x:t xml:space="preserve">Mineral Deed</x:t>
        </x:is>
      </x:c>
      <x:c r="D231" s="527" t="inlineStr">
        <x:is>
          <x:t xml:space="preserve">2453/452</x:t>
        </x:is>
      </x:c>
      <x:c r="E231" s="529" t="n">
        <x:v>44144</x:v>
      </x:c>
      <x:c r="F231" s="529" t="n">
        <x:v>44144</x:v>
      </x:c>
      <x:c r="G231" s="527" t="inlineStr">
        <x:is>
          <x:t xml:space="preserve">Payday Holdings, LLC</x:t>
        </x:is>
      </x:c>
      <x:c r="H231" s="527" t="inlineStr">
        <x:is>
          <x:t xml:space="preserve">Andrew Pennington</x:t>
        </x:is>
      </x:c>
      <x:c r="I231" s="527" t="inlineStr">
        <x:is>
          <x:t xml:space="preserve">All of 31-12N-24W; A. of 4-13N-26W aol; All of 31-12N-24W aol</x:t>
        </x:is>
      </x:c>
      <x:c r="J231" s="527" t="inlineStr">
        <x:is>
          <x:t xml:space="preserve">Mineral conveyance; confirm net acres/fraction &amp; reservations from recorded image.
Merged row 584 Effective Date: 44136
Merged duplicate rows: 137, 584</x:t>
        </x:is>
      </x:c>
      <x:c r="K231" s="572" t="inlineStr">
        <x:is>
          <x:t xml:space="preserve">county record
link unavailable</x:t>
        </x:is>
      </x:c>
      <x:c r="L231" s="565" t="n"/>
      <x:c r="M231" s="565" t="n"/>
      <x:c r="N231" s="565" t="n"/>
      <x:c r="O231" s="565" t="n"/>
      <x:c r="P231" s="565" t="n"/>
      <x:c r="Q231" s="565" t="n"/>
      <x:c r="R231" s="565" t="n"/>
      <x:c r="S231" s="613" t="n"/>
      <x:c r="T231" s="565" t="n"/>
      <x:c r="U231" s="613" t="n"/>
      <x:c r="V231" s="565" t="n"/>
      <x:c r="W231" s="565" t="n"/>
      <x:c r="X231" s="565" t="n"/>
      <x:c r="Y231" s="565" t="n"/>
      <x:c r="Z231" s="565" t="n"/>
    </x:row>
    <x:row r="232">
      <x:c r="A232" s="527" t="n"/>
      <x:c r="B232" s="527" t="n"/>
      <x:c r="C232" s="527" t="inlineStr">
        <x:is>
          <x:t xml:space="preserve">Assignment</x:t>
        </x:is>
      </x:c>
      <x:c r="D232" s="527" t="inlineStr">
        <x:is>
          <x:t xml:space="preserve">2455/446</x:t>
        </x:is>
      </x:c>
      <x:c r="E232" s="529" t="n">
        <x:v>44175</x:v>
      </x:c>
      <x:c r="F232" s="529" t="n">
        <x:v>44175</x:v>
      </x:c>
      <x:c r="G232" s="527" t="inlineStr">
        <x:is>
          <x:t xml:space="preserve">Hani Tabally</x:t>
        </x:is>
      </x:c>
      <x:c r="H232" s="527" t="inlineStr">
        <x:is>
          <x:t xml:space="preserve">Santos J. Dominguez</x:t>
        </x:is>
      </x:c>
      <x:c r="I232" s="527" t="inlineStr">
        <x:is>
          <x:t xml:space="preserve">31-12N-24W aol; Lalexander of 31-12N-24W</x:t>
        </x:is>
      </x:c>
      <x:c r="J232" s="527" t="inlineStr">
        <x:is>
          <x:t xml:space="preserve">Leasehold assignment; confirm leases, depths &amp; retained burdens from recorded image.
Index row only reviewed. Assignment terms/interest not fully stated in index; full assignment image required to confirm leases, depths, burdens, and retained interests.
Merged duplicate rows: 138</x:t>
        </x:is>
      </x:c>
      <x:c r="K232" s="572" t="inlineStr">
        <x:is>
          <x:t xml:space="preserve">county record
link unavailable</x:t>
        </x:is>
      </x:c>
      <x:c r="L232" s="565" t="n"/>
      <x:c r="M232" s="565" t="n"/>
      <x:c r="N232" s="565" t="n"/>
      <x:c r="O232" s="565" t="n"/>
      <x:c r="P232" s="565" t="n"/>
      <x:c r="Q232" s="565" t="n"/>
      <x:c r="R232" s="565" t="n"/>
      <x:c r="S232" s="613" t="n"/>
      <x:c r="T232" s="565" t="n"/>
      <x:c r="U232" s="613" t="n"/>
      <x:c r="V232" s="565" t="n"/>
      <x:c r="W232" s="565" t="n"/>
      <x:c r="X232" s="565" t="n"/>
      <x:c r="Y232" s="565" t="n"/>
      <x:c r="Z232" s="565" t="n"/>
    </x:row>
    <x:row r="233">
      <x:c r="A233" s="527" t="n"/>
      <x:c r="B233" s="527" t="n"/>
      <x:c r="C233" s="527" t="inlineStr">
        <x:is>
          <x:t xml:space="preserve">Affidavit</x:t>
        </x:is>
      </x:c>
      <x:c r="D233" s="527" t="inlineStr">
        <x:is>
          <x:t xml:space="preserve">2476/1</x:t>
        </x:is>
      </x:c>
      <x:c r="E233" s="529" t="n">
        <x:v>44462</x:v>
      </x:c>
      <x:c r="F233" s="529" t="n">
        <x:v>44462</x:v>
      </x:c>
      <x:c r="G233" s="527" t="inlineStr">
        <x:is>
          <x:t xml:space="preserve">Presidio Investment Holdings</x:t>
        </x:is>
      </x:c>
      <x:c r="H233" s="527" t="inlineStr">
        <x:is>
          <x:t xml:space="preserve">The Public</x:t>
        </x:is>
      </x:c>
      <x:c r="I233" s="527" t="inlineStr">
        <x:is>
          <x:t xml:space="preserve">All of 31-12N-24W; A. of 3-11N-23W aol; All of 31-12N-24W aol</x:t>
        </x:is>
      </x:c>
      <x:c r="J233" s="527" t="inlineStr">
        <x:is>
          <x:t xml:space="preserve">Probate/heirship instrument; confirm heirs &amp; distribution from recorded image.
Merged row 586 Effective Date: 44407
Merged duplicate rows: 149, 586</x:t>
        </x:is>
      </x:c>
      <x:c r="K233" s="572" t="inlineStr">
        <x:is>
          <x:t xml:space="preserve">county record
link unavailable</x:t>
        </x:is>
      </x:c>
      <x:c r="L233" s="565" t="n"/>
      <x:c r="M233" s="565" t="n"/>
      <x:c r="N233" s="565" t="n"/>
      <x:c r="O233" s="565" t="n"/>
      <x:c r="P233" s="565" t="n"/>
      <x:c r="Q233" s="565" t="n"/>
      <x:c r="R233" s="565" t="n"/>
      <x:c r="S233" s="613" t="n"/>
      <x:c r="T233" s="565" t="n"/>
      <x:c r="U233" s="613" t="n"/>
      <x:c r="V233" s="565" t="n"/>
      <x:c r="W233" s="565" t="n"/>
      <x:c r="X233" s="565" t="n"/>
      <x:c r="Y233" s="565" t="n"/>
      <x:c r="Z233" s="565" t="n"/>
    </x:row>
    <x:row r="234">
      <x:c r="A234" s="527" t="n"/>
      <x:c r="B234" s="527" t="n"/>
      <x:c r="C234" s="527" t="inlineStr">
        <x:is>
          <x:t xml:space="preserve">Operating Agreement</x:t>
        </x:is>
      </x:c>
      <x:c r="D234" s="527" t="inlineStr">
        <x:is>
          <x:t xml:space="preserve">2478/1</x:t>
        </x:is>
      </x:c>
      <x:c r="E234" s="529" t="n">
        <x:v>44462</x:v>
      </x:c>
      <x:c r="F234" s="529" t="n">
        <x:v>44462</x:v>
      </x:c>
      <x:c r="G234" s="527" t="inlineStr">
        <x:is>
          <x:t xml:space="preserve">Presidio Petroleum, LLC</x:t>
        </x:is>
      </x:c>
      <x:c r="H234" s="527" t="inlineStr">
        <x:is>
          <x:t xml:space="preserve">Presidio Finance, et al.</x:t>
        </x:is>
      </x:c>
      <x:c r="I234" s="527" t="inlineStr">
        <x:is>
          <x:t xml:space="preserve">All of 31-12N-24W</x:t>
        </x:is>
      </x:c>
      <x:c r="J234" s="527" t="n"/>
      <x:c r="K234" s="572" t="inlineStr">
        <x:is>
          <x:t xml:space="preserve">county record</x:t>
        </x:is>
      </x:c>
      <x:c r="L234" s="565" t="n"/>
      <x:c r="M234" s="565" t="n"/>
      <x:c r="N234" s="565" t="n"/>
      <x:c r="O234" s="565" t="n"/>
      <x:c r="P234" s="565" t="n"/>
      <x:c r="Q234" s="565" t="n"/>
      <x:c r="R234" s="565" t="n"/>
      <x:c r="S234" s="613" t="n"/>
      <x:c r="T234" s="565" t="n"/>
      <x:c r="U234" s="613" t="n"/>
      <x:c r="V234" s="565" t="n"/>
      <x:c r="W234" s="565" t="n"/>
      <x:c r="X234" s="565" t="n"/>
      <x:c r="Y234" s="565" t="n"/>
      <x:c r="Z234" s="565" t="n"/>
    </x:row>
    <x:row r="235">
      <x:c r="A235" s="527" t="n"/>
      <x:c r="B235" s="527" t="n"/>
      <x:c r="C235" s="527" t="inlineStr">
        <x:is>
          <x:t xml:space="preserve">Assignment</x:t>
        </x:is>
      </x:c>
      <x:c r="D235" s="527" t="inlineStr">
        <x:is>
          <x:t xml:space="preserve">2479/1</x:t>
        </x:is>
      </x:c>
      <x:c r="E235" s="529" t="n">
        <x:v>44463</x:v>
      </x:c>
      <x:c r="F235" s="529" t="n">
        <x:v>44463</x:v>
      </x:c>
      <x:c r="G235" s="527" t="inlineStr">
        <x:is>
          <x:t xml:space="preserve">Fairway Resources III, LLC, et al.</x:t>
        </x:is>
      </x:c>
      <x:c r="H235" s="527" t="inlineStr">
        <x:is>
          <x:t xml:space="preserve">Mustang Fuel Corporation</x:t>
        </x:is>
      </x:c>
      <x:c r="I235" s="527" t="inlineStr">
        <x:is>
          <x:t xml:space="preserve">E/2 NW/4 of 31-12N-24W</x:t>
        </x:is>
      </x:c>
      <x:c r="J235" s="527" t="inlineStr">
        <x:is>
          <x:t xml:space="preserve">Leasehold assignment; confirm leases, depths &amp; retained burdens from recorded image.</x:t>
        </x:is>
      </x:c>
      <x:c r="K235" s="572" t="inlineStr">
        <x:is>
          <x:t xml:space="preserve">county record</x:t>
        </x:is>
      </x:c>
      <x:c r="L235" s="565" t="n"/>
      <x:c r="M235" s="565" t="n"/>
      <x:c r="N235" s="565" t="n"/>
      <x:c r="O235" s="565" t="n"/>
      <x:c r="P235" s="565" t="n"/>
      <x:c r="Q235" s="565" t="n"/>
      <x:c r="R235" s="565" t="n"/>
      <x:c r="S235" s="613" t="n"/>
      <x:c r="T235" s="565" t="n"/>
      <x:c r="U235" s="613" t="n"/>
      <x:c r="V235" s="565" t="n"/>
      <x:c r="W235" s="565" t="n"/>
      <x:c r="X235" s="565" t="n"/>
      <x:c r="Y235" s="565" t="n"/>
      <x:c r="Z235" s="565" t="n"/>
    </x:row>
    <x:row r="236">
      <x:c r="A236" s="527" t="n"/>
      <x:c r="B236" s="527" t="n"/>
      <x:c r="C236" s="527" t="inlineStr">
        <x:is>
          <x:t xml:space="preserve">Assignment</x:t>
        </x:is>
      </x:c>
      <x:c r="D236" s="527" t="inlineStr">
        <x:is>
          <x:t xml:space="preserve">2480/297</x:t>
        </x:is>
      </x:c>
      <x:c r="E236" s="529" t="n">
        <x:v>44476</x:v>
      </x:c>
      <x:c r="F236" s="529" t="n">
        <x:v>44476</x:v>
      </x:c>
      <x:c r="G236" s="527" t="inlineStr">
        <x:is>
          <x:t xml:space="preserve">TLW Investments, LLC</x:t>
        </x:is>
      </x:c>
      <x:c r="H236" s="527" t="inlineStr">
        <x:is>
          <x:t xml:space="preserve">Cannon Field Minerals Fund LP</x:t>
        </x:is>
      </x:c>
      <x:c r="I236" s="527" t="inlineStr">
        <x:is>
          <x:t xml:space="preserve">All of 31-12N-24W</x:t>
        </x:is>
      </x:c>
      <x:c r="J236" s="527" t="inlineStr">
        <x:is>
          <x:t xml:space="preserve">Leasehold assignment; confirm leases, depths &amp; retained burdens from recorded image.</x:t>
        </x:is>
      </x:c>
      <x:c r="K236" s="572" t="inlineStr">
        <x:is>
          <x:t xml:space="preserve">county record</x:t>
        </x:is>
      </x:c>
      <x:c r="L236" s="565" t="n"/>
      <x:c r="M236" s="565" t="n"/>
      <x:c r="N236" s="565" t="n"/>
      <x:c r="O236" s="565" t="n"/>
      <x:c r="P236" s="565" t="n"/>
      <x:c r="Q236" s="565" t="n"/>
      <x:c r="R236" s="565" t="n"/>
      <x:c r="S236" s="613" t="n"/>
      <x:c r="T236" s="565" t="n"/>
      <x:c r="U236" s="613" t="n"/>
      <x:c r="V236" s="565" t="n"/>
      <x:c r="W236" s="565" t="n"/>
      <x:c r="X236" s="565" t="n"/>
      <x:c r="Y236" s="565" t="n"/>
      <x:c r="Z236" s="565" t="n"/>
    </x:row>
    <x:row r="237">
      <x:c r="A237" s="527" t="n"/>
      <x:c r="B237" s="527" t="n"/>
      <x:c r="C237" s="527" t="inlineStr">
        <x:is>
          <x:t xml:space="preserve">Mineral Deed</x:t>
        </x:is>
      </x:c>
      <x:c r="D237" s="527" t="inlineStr">
        <x:is>
          <x:t xml:space="preserve">2481/287</x:t>
        </x:is>
      </x:c>
      <x:c r="E237" s="529" t="n">
        <x:v>44491</x:v>
      </x:c>
      <x:c r="F237" s="529" t="n">
        <x:v>44491</x:v>
      </x:c>
      <x:c r="G237" s="527" t="inlineStr">
        <x:is>
          <x:t xml:space="preserve">Greystone Energy
Minerals</x:t>
        </x:is>
      </x:c>
      <x:c r="H237" s="527" t="inlineStr">
        <x:is>
          <x:t xml:space="preserve">Cardinal Land Company, LLC
EDR, LLC</x:t>
        </x:is>
      </x:c>
      <x:c r="I237" s="527" t="inlineStr">
        <x:is>
          <x:t xml:space="preserve">SW/4 NE/4 of 31-12N-24W aol</x:t>
        </x:is>
      </x:c>
      <x:c r="J237" s="527" t="inlineStr">
        <x:is>
          <x:t xml:space="preserve">Mineral conveyance; confirm net acres/fraction &amp; reservations from recorded image.</x:t>
        </x:is>
      </x:c>
      <x:c r="K237" s="572" t="inlineStr">
        <x:is>
          <x:t xml:space="preserve">county record</x:t>
        </x:is>
      </x:c>
      <x:c r="L237" s="565" t="n"/>
      <x:c r="M237" s="565" t="n"/>
      <x:c r="N237" s="565" t="n"/>
      <x:c r="O237" s="565" t="n"/>
      <x:c r="P237" s="565" t="n"/>
      <x:c r="Q237" s="565" t="n"/>
      <x:c r="R237" s="565" t="n"/>
      <x:c r="S237" s="613" t="n"/>
      <x:c r="T237" s="565" t="n"/>
      <x:c r="U237" s="613" t="n"/>
      <x:c r="V237" s="565" t="n"/>
      <x:c r="W237" s="565" t="n"/>
      <x:c r="X237" s="565" t="n"/>
      <x:c r="Y237" s="565" t="n"/>
      <x:c r="Z237" s="565" t="n"/>
    </x:row>
    <x:row r="238">
      <x:c r="A238" s="527" t="n"/>
      <x:c r="B238" s="527" t="n">
        <x:v>56</x:v>
      </x:c>
      <x:c r="C238" s="527" t="inlineStr">
        <x:is>
          <x:t xml:space="preserve">Wellbore Assignment</x:t>
        </x:is>
      </x:c>
      <x:c r="D238" s="527" t="inlineStr">
        <x:is>
          <x:t xml:space="preserve">2542/413</x:t>
        </x:is>
      </x:c>
      <x:c r="E238" s="529" t="n">
        <x:v>45247</x:v>
      </x:c>
      <x:c r="F238" s="529" t="n">
        <x:v>45247</x:v>
      </x:c>
      <x:c r="G238" s="527" t="inlineStr">
        <x:is>
          <x:t xml:space="preserve">Unbridled Resources, LLC</x:t>
        </x:is>
      </x:c>
      <x:c r="H238" s="527" t="inlineStr">
        <x:is>
          <x:t xml:space="preserve">MNR ABS Issuer I., LLC</x:t>
        </x:is>
      </x:c>
      <x:c r="I238" s="527" t="inlineStr">
        <x:is>
          <x:t xml:space="preserve">31-12N-24W; ALL ALEXANDER 1-31 of 31-12N-24W</x:t>
        </x:is>
      </x:c>
      <x:c r="J238" s="527" t="inlineStr">
        <x:is>
          <x:t xml:space="preserve">Leasehold assignment; confirm leases, depths &amp; retained burdens from recorded image.
Wellbore-only — limited rights
Doc 2023-003590; attached Roger Mills County Clerk unplatted legal index image row; Index p.61; legal/quarter extracted visually from image-only PDF.
Merged duplicate rows: 765</x:t>
        </x:is>
      </x:c>
      <x:c r="K238" s="572" t="inlineStr">
        <x:is>
          <x:t xml:space="preserve">county record
63e8b9a8d056433a9994fe46ca85076b.pdf</x:t>
        </x:is>
      </x:c>
      <x:c r="L238" s="565" t="n"/>
      <x:c r="M238" s="565" t="n"/>
      <x:c r="N238" s="565" t="n"/>
      <x:c r="O238" s="565" t="n"/>
      <x:c r="P238" s="565" t="n"/>
      <x:c r="Q238" s="565" t="n"/>
      <x:c r="R238" s="565" t="n"/>
      <x:c r="S238" s="613" t="n"/>
      <x:c r="T238" s="565" t="n"/>
      <x:c r="U238" s="613" t="n"/>
      <x:c r="V238" s="565" t="n"/>
      <x:c r="W238" s="565" t="n"/>
      <x:c r="X238" s="565" t="n"/>
      <x:c r="Y238" s="565" t="n"/>
      <x:c r="Z238" s="565" t="n"/>
    </x:row>
    <x:row r="239">
      <x:c r="A239" s="527" t="n"/>
      <x:c r="B239" s="527" t="n"/>
      <x:c r="C239" s="527" t="inlineStr">
        <x:is>
          <x:t xml:space="preserve">Amendment</x:t>
        </x:is>
      </x:c>
      <x:c r="D239" s="527" t="inlineStr">
        <x:is>
          <x:t xml:space="preserve">2545/1</x:t>
        </x:is>
      </x:c>
      <x:c r="E239" s="529" t="n">
        <x:v>45247</x:v>
      </x:c>
      <x:c r="F239" s="529" t="n">
        <x:v>45247</x:v>
      </x:c>
      <x:c r="G239" s="527" t="inlineStr">
        <x:is>
          <x:t xml:space="preserve">Unbridled Resources, LLC, et al.</x:t>
        </x:is>
      </x:c>
      <x:c r="H239" s="527" t="inlineStr">
        <x:is>
          <x:t xml:space="preserve">MNS ABS Issuer I., LLC, et al.</x:t>
        </x:is>
      </x:c>
      <x:c r="I239" s="527" t="inlineStr">
        <x:is>
          <x:t xml:space="preserve">All of 31-12N-24W</x:t>
        </x:is>
      </x:c>
      <x:c r="J239" s="527" t="n"/>
      <x:c r="K239" s="572" t="inlineStr">
        <x:is>
          <x:t xml:space="preserve">county record</x:t>
        </x:is>
      </x:c>
      <x:c r="L239" s="565" t="n"/>
      <x:c r="M239" s="565" t="n"/>
      <x:c r="N239" s="565" t="n"/>
      <x:c r="O239" s="565" t="n"/>
      <x:c r="P239" s="565" t="n"/>
      <x:c r="Q239" s="565" t="n"/>
      <x:c r="R239" s="565" t="n"/>
      <x:c r="S239" s="613" t="n"/>
      <x:c r="T239" s="565" t="n"/>
      <x:c r="U239" s="613" t="n"/>
      <x:c r="V239" s="565" t="n"/>
      <x:c r="W239" s="565" t="n"/>
      <x:c r="X239" s="565" t="n"/>
      <x:c r="Y239" s="565" t="n"/>
      <x:c r="Z239" s="565" t="n"/>
    </x:row>
    <x:row r="240">
      <x:c r="A240" s="527" t="n"/>
      <x:c r="B240" s="527" t="n"/>
      <x:c r="C240" s="527" t="inlineStr">
        <x:is>
          <x:t xml:space="preserve">Amendment</x:t>
        </x:is>
      </x:c>
      <x:c r="D240" s="527" t="inlineStr">
        <x:is>
          <x:t xml:space="preserve">2546/1</x:t>
        </x:is>
      </x:c>
      <x:c r="E240" s="529" t="n">
        <x:v>45250</x:v>
      </x:c>
      <x:c r="F240" s="529" t="n">
        <x:v>45250</x:v>
      </x:c>
      <x:c r="G240" s="527" t="inlineStr">
        <x:is>
          <x:t xml:space="preserve">Unbridled Resources, LLC</x:t>
        </x:is>
      </x:c>
      <x:c r="H240" s="527" t="inlineStr">
        <x:is>
          <x:t xml:space="preserve">JP Morgan Chase Bank</x:t>
        </x:is>
      </x:c>
      <x:c r="I240" s="527" t="inlineStr">
        <x:is>
          <x:t xml:space="preserve">All of 31-12N-24W; All of 6-11N-26W aol</x:t>
        </x:is>
      </x:c>
      <x:c r="J240" s="527" t="inlineStr">
        <x:is>
          <x:t xml:space="preserve">Merged duplicate rows: 174</x:t>
        </x:is>
      </x:c>
      <x:c r="K240" s="572" t="inlineStr">
        <x:is>
          <x:t xml:space="preserve">county record
link unavailable</x:t>
        </x:is>
      </x:c>
      <x:c r="L240" s="565" t="n"/>
      <x:c r="M240" s="565" t="n"/>
      <x:c r="N240" s="565" t="n"/>
      <x:c r="O240" s="565" t="n"/>
      <x:c r="P240" s="565" t="n"/>
      <x:c r="Q240" s="565" t="n"/>
      <x:c r="R240" s="565" t="n"/>
      <x:c r="S240" s="613" t="n"/>
      <x:c r="T240" s="565" t="n"/>
      <x:c r="U240" s="613" t="n"/>
      <x:c r="V240" s="565" t="n"/>
      <x:c r="W240" s="565" t="n"/>
      <x:c r="X240" s="565" t="n"/>
      <x:c r="Y240" s="565" t="n"/>
      <x:c r="Z240" s="565" t="n"/>
    </x:row>
    <x:row r="241">
      <x:c r="A241" s="527" t="n"/>
      <x:c r="B241" s="527" t="n"/>
      <x:c r="C241" s="527" t="inlineStr">
        <x:is>
          <x:t xml:space="preserve">Assignment</x:t>
        </x:is>
      </x:c>
      <x:c r="D241" s="527" t="inlineStr">
        <x:is>
          <x:t xml:space="preserve">2567/102</x:t>
        </x:is>
      </x:c>
      <x:c r="E241" s="529" t="n">
        <x:v>45401</x:v>
      </x:c>
      <x:c r="F241" s="529" t="n">
        <x:v>45401</x:v>
      </x:c>
      <x:c r="G241" s="527" t="inlineStr">
        <x:is>
          <x:t xml:space="preserve">Yale Oil Association, Inc.</x:t>
        </x:is>
      </x:c>
      <x:c r="H241" s="527" t="inlineStr">
        <x:is>
          <x:t xml:space="preserve">K. C. Production, LLC</x:t>
        </x:is>
      </x:c>
      <x:c r="I241" s="527" t="inlineStr">
        <x:is>
          <x:t xml:space="preserve">All of 31-12N-24W</x:t>
        </x:is>
      </x:c>
      <x:c r="J241" s="527" t="inlineStr">
        <x:is>
          <x:t xml:space="preserve">Leasehold assignment; confirm leases, depths &amp; retained burdens from recorded image.</x:t>
        </x:is>
      </x:c>
      <x:c r="K241" s="572" t="inlineStr">
        <x:is>
          <x:t xml:space="preserve">county record</x:t>
        </x:is>
      </x:c>
      <x:c r="L241" s="565" t="n"/>
      <x:c r="M241" s="565" t="n"/>
      <x:c r="N241" s="565" t="n"/>
      <x:c r="O241" s="565" t="n"/>
      <x:c r="P241" s="565" t="n"/>
      <x:c r="Q241" s="565" t="n"/>
      <x:c r="R241" s="565" t="n"/>
      <x:c r="S241" s="613" t="n"/>
      <x:c r="T241" s="565" t="n"/>
      <x:c r="U241" s="613" t="n"/>
      <x:c r="V241" s="565" t="n"/>
      <x:c r="W241" s="565" t="n"/>
      <x:c r="X241" s="565" t="n"/>
      <x:c r="Y241" s="565" t="n"/>
      <x:c r="Z241" s="565" t="n"/>
    </x:row>
    <x:row r="242">
      <x:c r="A242" s="527" t="n"/>
      <x:c r="B242" s="527" t="n"/>
      <x:c r="C242" s="527" t="inlineStr">
        <x:is>
          <x:t xml:space="preserve">Assignment</x:t>
        </x:is>
      </x:c>
      <x:c r="D242" s="527" t="inlineStr">
        <x:is>
          <x:t xml:space="preserve">2571/579</x:t>
        </x:is>
      </x:c>
      <x:c r="E242" s="529" t="n">
        <x:v>45432</x:v>
      </x:c>
      <x:c r="F242" s="529" t="n">
        <x:v>45432</x:v>
      </x:c>
      <x:c r="G242" s="527" t="inlineStr">
        <x:is>
          <x:t xml:space="preserve">Yale Oil Association, Inc.</x:t>
        </x:is>
      </x:c>
      <x:c r="H242" s="527" t="inlineStr">
        <x:is>
          <x:t xml:space="preserve">CDX Greg, et al.</x:t>
        </x:is>
      </x:c>
      <x:c r="I242" s="527" t="inlineStr">
        <x:is>
          <x:t xml:space="preserve">31-12N-24W</x:t>
        </x:is>
      </x:c>
      <x:c r="J242" s="527" t="inlineStr">
        <x:is>
          <x:t xml:space="preserve">Leasehold assignment; confirm leases, depths &amp; retained burdens from recorded image.</x:t>
        </x:is>
      </x:c>
      <x:c r="K242" s="572" t="inlineStr">
        <x:is>
          <x:t xml:space="preserve">county record</x:t>
        </x:is>
      </x:c>
      <x:c r="L242" s="565" t="n"/>
      <x:c r="M242" s="565" t="n"/>
      <x:c r="N242" s="565" t="n"/>
      <x:c r="O242" s="565" t="n"/>
      <x:c r="P242" s="565" t="n"/>
      <x:c r="Q242" s="565" t="n"/>
      <x:c r="R242" s="565" t="n"/>
      <x:c r="S242" s="613" t="n"/>
      <x:c r="T242" s="565" t="n"/>
      <x:c r="U242" s="613" t="n"/>
      <x:c r="V242" s="565" t="n"/>
      <x:c r="W242" s="565" t="n"/>
      <x:c r="X242" s="565" t="n"/>
      <x:c r="Y242" s="565" t="n"/>
      <x:c r="Z242" s="565" t="n"/>
    </x:row>
    <x:row r="243">
      <x:c r="A243" s="527" t="n"/>
      <x:c r="B243" s="527" t="n">
        <x:v>59</x:v>
      </x:c>
      <x:c r="C243" s="527" t="inlineStr">
        <x:is>
          <x:t xml:space="preserve">Assignment</x:t>
        </x:is>
      </x:c>
      <x:c r="D243" s="527" t="inlineStr">
        <x:is>
          <x:t xml:space="preserve">2584/149</x:t>
        </x:is>
      </x:c>
      <x:c r="E243" s="529" t="n">
        <x:v>45509</x:v>
      </x:c>
      <x:c r="F243" s="529" t="n">
        <x:v>45509</x:v>
      </x:c>
      <x:c r="G243" s="527" t="inlineStr">
        <x:is>
          <x:t xml:space="preserve">Chanas Partners, LLC</x:t>
        </x:is>
      </x:c>
      <x:c r="H243" s="527" t="inlineStr">
        <x:is>
          <x:t xml:space="preserve">NWR Mineral Partners, LLC</x:t>
        </x:is>
      </x:c>
      <x:c r="I243" s="527" t="inlineStr">
        <x:is>
          <x:t xml:space="preserve">All of 31-12N-24W</x:t>
        </x:is>
      </x:c>
      <x:c r="J243" s="527" t="inlineStr">
        <x:is>
          <x:t xml:space="preserve">Leasehold assignment; confirm leases, depths &amp; retained burdens from recorded image.
Leasehold assigned (chain)
Doc 2024-004916; attached Roger Mills County Clerk unplatted legal index image row; Index p.61; legal/quarter extracted visually from image-only PDF.
Merged duplicate rows: 768</x:t>
        </x:is>
      </x:c>
      <x:c r="K243" s="572" t="inlineStr">
        <x:is>
          <x:t xml:space="preserve">county record
63e8b9a8d056433a9994fe46ca85076b.pdf</x:t>
        </x:is>
      </x:c>
      <x:c r="L243" s="565" t="n"/>
      <x:c r="M243" s="565" t="n"/>
      <x:c r="N243" s="565" t="n"/>
      <x:c r="O243" s="565" t="n"/>
      <x:c r="P243" s="565" t="n"/>
      <x:c r="Q243" s="565" t="n"/>
      <x:c r="R243" s="565" t="n"/>
      <x:c r="S243" s="613" t="n"/>
      <x:c r="T243" s="565" t="n"/>
      <x:c r="U243" s="613" t="n"/>
      <x:c r="V243" s="565" t="n"/>
      <x:c r="W243" s="565" t="n"/>
      <x:c r="X243" s="565" t="n"/>
      <x:c r="Y243" s="565" t="n"/>
      <x:c r="Z243" s="565" t="n"/>
    </x:row>
    <x:row r="244">
      <x:c r="A244" s="527" t="n"/>
      <x:c r="B244" s="527" t="n"/>
      <x:c r="C244" s="527" t="inlineStr">
        <x:is>
          <x:t xml:space="preserve">Conveyance</x:t>
        </x:is>
      </x:c>
      <x:c r="D244" s="527" t="inlineStr">
        <x:is>
          <x:t xml:space="preserve">2599/463</x:t>
        </x:is>
      </x:c>
      <x:c r="E244" s="529" t="n">
        <x:v>45614</x:v>
      </x:c>
      <x:c r="F244" s="529" t="n">
        <x:v>45614</x:v>
      </x:c>
      <x:c r="G244" s="527" t="inlineStr">
        <x:is>
          <x:t xml:space="preserve">Onigbe Consulting, LLC</x:t>
        </x:is>
      </x:c>
      <x:c r="H244" s="527" t="inlineStr">
        <x:is>
          <x:t xml:space="preserve">Comanche Oil
Gas, Inc.</x:t>
        </x:is>
      </x:c>
      <x:c r="I244" s="527" t="inlineStr">
        <x:is>
          <x:t xml:space="preserve">All of 31-12N-24W</x:t>
        </x:is>
      </x:c>
      <x:c r="J244" s="527" t="n"/>
      <x:c r="K244" s="572" t="inlineStr">
        <x:is>
          <x:t xml:space="preserve">county record</x:t>
        </x:is>
      </x:c>
      <x:c r="L244" s="565" t="n"/>
      <x:c r="M244" s="565" t="n"/>
      <x:c r="N244" s="565" t="n"/>
      <x:c r="O244" s="565" t="n"/>
      <x:c r="P244" s="565" t="n"/>
      <x:c r="Q244" s="565" t="n"/>
      <x:c r="R244" s="565" t="n"/>
      <x:c r="S244" s="613" t="n"/>
      <x:c r="T244" s="565" t="n"/>
      <x:c r="U244" s="613" t="n"/>
      <x:c r="V244" s="565" t="n"/>
      <x:c r="W244" s="565" t="n"/>
      <x:c r="X244" s="565" t="n"/>
      <x:c r="Y244" s="565" t="n"/>
      <x:c r="Z244" s="565" t="n"/>
    </x:row>
    <x:row r="245">
      <x:c r="A245" s="527" t="n"/>
      <x:c r="B245" s="527" t="n"/>
      <x:c r="C245" s="527" t="inlineStr">
        <x:is>
          <x:t xml:space="preserve">Merger</x:t>
        </x:is>
      </x:c>
      <x:c r="D245" s="527" t="inlineStr">
        <x:is>
          <x:t xml:space="preserve">2599/505</x:t>
        </x:is>
      </x:c>
      <x:c r="E245" s="529" t="n">
        <x:v>45614</x:v>
      </x:c>
      <x:c r="F245" s="529" t="n">
        <x:v>45614</x:v>
      </x:c>
      <x:c r="G245" s="527" t="inlineStr">
        <x:is>
          <x:t xml:space="preserve">Citizen Energy Operating, LLC, et al.</x:t>
        </x:is>
      </x:c>
      <x:c r="H245" s="527" t="inlineStr">
        <x:is>
          <x:t xml:space="preserve">The Public</x:t>
        </x:is>
      </x:c>
      <x:c r="I245" s="527" t="inlineStr">
        <x:is>
          <x:t xml:space="preserve">All of 31-12N-24W</x:t>
        </x:is>
      </x:c>
      <x:c r="J245" s="527" t="n"/>
      <x:c r="K245" s="572" t="inlineStr">
        <x:is>
          <x:t xml:space="preserve">county record</x:t>
        </x:is>
      </x:c>
      <x:c r="L245" s="565" t="n"/>
      <x:c r="M245" s="565" t="n"/>
      <x:c r="N245" s="565" t="n"/>
      <x:c r="O245" s="565" t="n"/>
      <x:c r="P245" s="565" t="n"/>
      <x:c r="Q245" s="565" t="n"/>
      <x:c r="R245" s="565" t="n"/>
      <x:c r="S245" s="613" t="n"/>
      <x:c r="T245" s="565" t="n"/>
      <x:c r="U245" s="613" t="n"/>
      <x:c r="V245" s="565" t="n"/>
      <x:c r="W245" s="565" t="n"/>
      <x:c r="X245" s="565" t="n"/>
      <x:c r="Y245" s="565" t="n"/>
      <x:c r="Z245" s="565" t="n"/>
    </x:row>
    <x:row r="246">
      <x:c r="A246" s="527" t="n"/>
      <x:c r="B246" s="527" t="n"/>
      <x:c r="C246" s="527" t="inlineStr">
        <x:is>
          <x:t xml:space="preserve">Mineral Deed</x:t>
        </x:is>
      </x:c>
      <x:c r="D246" s="527" t="inlineStr">
        <x:is>
          <x:t xml:space="preserve">2600/472</x:t>
        </x:is>
      </x:c>
      <x:c r="E246" s="529" t="n">
        <x:v>45621</x:v>
      </x:c>
      <x:c r="F246" s="529" t="n">
        <x:v>45621</x:v>
      </x:c>
      <x:c r="G246" s="527" t="inlineStr">
        <x:is>
          <x:t xml:space="preserve">Carrie Leeann Mitchell</x:t>
        </x:is>
      </x:c>
      <x:c r="H246" s="527" t="inlineStr">
        <x:is>
          <x:t xml:space="preserve">James Gerard Buonaccorsi, Trustee of the Mitchell-Buonaccorsi Living Trust
Carrie Leeann Mitchell, Trustee of the Mitchell-Buonaccorsi Living Trust</x:t>
        </x:is>
      </x:c>
      <x:c r="I246" s="527" t="inlineStr">
        <x:is>
          <x:t xml:space="preserve">SW/4 of 31-12N-24W</x:t>
        </x:is>
      </x:c>
      <x:c r="J246" s="527" t="inlineStr">
        <x:is>
          <x:t xml:space="preserve">Mineral conveyance; confirm net acres/fraction &amp; reservations from recorded image.</x:t>
        </x:is>
      </x:c>
      <x:c r="K246" s="572" t="inlineStr">
        <x:is>
          <x:t xml:space="preserve">county record</x:t>
        </x:is>
      </x:c>
      <x:c r="L246" s="565" t="n"/>
      <x:c r="M246" s="565" t="n"/>
      <x:c r="N246" s="565" t="n"/>
      <x:c r="O246" s="565" t="n"/>
      <x:c r="P246" s="565" t="n"/>
      <x:c r="Q246" s="565" t="n"/>
      <x:c r="R246" s="565" t="n"/>
      <x:c r="S246" s="613" t="n"/>
      <x:c r="T246" s="565" t="n"/>
      <x:c r="U246" s="613" t="n"/>
      <x:c r="V246" s="565" t="n"/>
      <x:c r="W246" s="565" t="n"/>
      <x:c r="X246" s="565" t="n"/>
      <x:c r="Y246" s="565" t="n"/>
      <x:c r="Z246" s="565" t="n"/>
    </x:row>
    <x:row r="247">
      <x:c r="A247" s="527" t="n"/>
      <x:c r="B247" s="527" t="n"/>
      <x:c r="C247" s="527" t="inlineStr">
        <x:is>
          <x:t xml:space="preserve">Assignment</x:t>
        </x:is>
      </x:c>
      <x:c r="D247" s="527" t="inlineStr">
        <x:is>
          <x:t xml:space="preserve">2604/111</x:t>
        </x:is>
      </x:c>
      <x:c r="E247" s="529" t="n">
        <x:v>45642</x:v>
      </x:c>
      <x:c r="F247" s="529" t="n">
        <x:v>45642</x:v>
      </x:c>
      <x:c r="G247" s="527" t="inlineStr">
        <x:is>
          <x:t xml:space="preserve">Christopher D. Greene, Trustee of the Gregg M. Satherlie and Chelin H. Satherlie 1989 Rev Trust</x:t>
        </x:is>
      </x:c>
      <x:c r="H247" s="527" t="inlineStr">
        <x:is>
          <x:t xml:space="preserve">Trison Holdings, LLC</x:t>
        </x:is>
      </x:c>
      <x:c r="I247" s="527" t="inlineStr">
        <x:is>
          <x:t xml:space="preserve">All of 31-12N-24W aol</x:t>
        </x:is>
      </x:c>
      <x:c r="J247" s="527" t="inlineStr">
        <x:is>
          <x:t xml:space="preserve">Leasehold assignment; confirm leases, depths &amp; retained burdens from recorded image.</x:t>
        </x:is>
      </x:c>
      <x:c r="K247" s="572" t="inlineStr">
        <x:is>
          <x:t xml:space="preserve">county record</x:t>
        </x:is>
      </x:c>
      <x:c r="L247" s="565" t="n"/>
      <x:c r="M247" s="565" t="n"/>
      <x:c r="N247" s="565" t="n"/>
      <x:c r="O247" s="565" t="n"/>
      <x:c r="P247" s="565" t="n"/>
      <x:c r="Q247" s="565" t="n"/>
      <x:c r="R247" s="565" t="n"/>
      <x:c r="S247" s="613" t="n"/>
      <x:c r="T247" s="565" t="n"/>
      <x:c r="U247" s="613" t="n"/>
      <x:c r="V247" s="565" t="n"/>
      <x:c r="W247" s="565" t="n"/>
      <x:c r="X247" s="565" t="n"/>
      <x:c r="Y247" s="565" t="n"/>
      <x:c r="Z247" s="565" t="n"/>
    </x:row>
    <x:row r="248">
      <x:c r="A248" s="527" t="n"/>
      <x:c r="B248" s="527" t="n"/>
      <x:c r="C248" s="527" t="inlineStr">
        <x:is>
          <x:t xml:space="preserve">Correction</x:t>
        </x:is>
      </x:c>
      <x:c r="D248" s="527" t="inlineStr">
        <x:is>
          <x:t xml:space="preserve">2608/397</x:t>
        </x:is>
      </x:c>
      <x:c r="E248" s="529" t="n">
        <x:v>45672</x:v>
      </x:c>
      <x:c r="F248" s="529" t="n">
        <x:v>45672</x:v>
      </x:c>
      <x:c r="G248" s="527" t="inlineStr">
        <x:is>
          <x:t xml:space="preserve">Fairway Resources III, LLC, et al.</x:t>
        </x:is>
      </x:c>
      <x:c r="H248" s="527" t="inlineStr">
        <x:is>
          <x:t xml:space="preserve">Mustang Fuel Corporation</x:t>
        </x:is>
      </x:c>
      <x:c r="I248" s="527" t="inlineStr">
        <x:is>
          <x:t xml:space="preserve">All of 31-12N-24W</x:t>
        </x:is>
      </x:c>
      <x:c r="J248" s="527" t="n"/>
      <x:c r="K248" s="572" t="inlineStr">
        <x:is>
          <x:t xml:space="preserve">county record</x:t>
        </x:is>
      </x:c>
      <x:c r="L248" s="565" t="n"/>
      <x:c r="M248" s="565" t="n"/>
      <x:c r="N248" s="565" t="n"/>
      <x:c r="O248" s="565" t="n"/>
      <x:c r="P248" s="565" t="n"/>
      <x:c r="Q248" s="565" t="n"/>
      <x:c r="R248" s="565" t="n"/>
      <x:c r="S248" s="613" t="n"/>
      <x:c r="T248" s="565" t="n"/>
      <x:c r="U248" s="613" t="n"/>
      <x:c r="V248" s="565" t="n"/>
      <x:c r="W248" s="565" t="n"/>
      <x:c r="X248" s="565" t="n"/>
      <x:c r="Y248" s="565" t="n"/>
      <x:c r="Z248" s="565" t="n"/>
    </x:row>
    <x:row r="249">
      <x:c r="A249" s="527" t="n"/>
      <x:c r="B249" s="527" t="n"/>
      <x:c r="C249" s="527" t="inlineStr">
        <x:is>
          <x:t xml:space="preserve">Mineral Deed</x:t>
        </x:is>
      </x:c>
      <x:c r="D249" s="527" t="inlineStr">
        <x:is>
          <x:t xml:space="preserve">2625/233</x:t>
        </x:is>
      </x:c>
      <x:c r="E249" s="529" t="n">
        <x:v>45771</x:v>
      </x:c>
      <x:c r="F249" s="529" t="n">
        <x:v>45771</x:v>
      </x:c>
      <x:c r="G249" s="527" t="inlineStr">
        <x:is>
          <x:t xml:space="preserve">EDR, LLC</x:t>
        </x:is>
      </x:c>
      <x:c r="H249" s="527" t="inlineStr">
        <x:is>
          <x:t xml:space="preserve">Del Monte Royalty Partners, LLC</x:t>
        </x:is>
      </x:c>
      <x:c r="I249" s="527" t="inlineStr">
        <x:is>
          <x:t xml:space="preserve">SW/4 NE/4 of 31-12N-24W aol; NW/4 SE/4, S/2 SE/4, SW/4 NE/4 of 31-12N-24W aol</x:t>
        </x:is>
      </x:c>
      <x:c r="J249" s="527" t="inlineStr">
        <x:is>
          <x:t xml:space="preserve">Mineral conveyance; confirm net acres/fraction &amp; reservations from recorded image.
Index row only reviewed. Mineral deed interest/net acres not stated in available index; full deed image required for exact fractional interest and reservation language.
Merged row 596 Effective Date: 45747
Merged duplicate rows: 189, 596</x:t>
        </x:is>
      </x:c>
      <x:c r="K249" s="572" t="inlineStr">
        <x:is>
          <x:t xml:space="preserve">county record
link unavailable</x:t>
        </x:is>
      </x:c>
      <x:c r="L249" s="565" t="n"/>
      <x:c r="M249" s="565" t="n"/>
      <x:c r="N249" s="565" t="n"/>
      <x:c r="O249" s="565" t="n"/>
      <x:c r="P249" s="565" t="n"/>
      <x:c r="Q249" s="565" t="n"/>
      <x:c r="R249" s="565" t="n"/>
      <x:c r="S249" s="613" t="n"/>
      <x:c r="T249" s="565" t="n"/>
      <x:c r="U249" s="613" t="n"/>
      <x:c r="V249" s="565" t="n"/>
      <x:c r="W249" s="565" t="n"/>
      <x:c r="X249" s="565" t="n"/>
      <x:c r="Y249" s="565" t="n"/>
      <x:c r="Z249" s="565" t="n"/>
    </x:row>
    <x:row r="250">
      <x:c r="A250" s="527" t="n"/>
      <x:c r="B250" s="527" t="n"/>
      <x:c r="C250" s="527" t="inlineStr">
        <x:is>
          <x:t xml:space="preserve">Mineral Deed</x:t>
        </x:is>
      </x:c>
      <x:c r="D250" s="527" t="inlineStr">
        <x:is>
          <x:t xml:space="preserve">2625/231</x:t>
        </x:is>
      </x:c>
      <x:c r="E250" s="529" t="n">
        <x:v>45771</x:v>
      </x:c>
      <x:c r="F250" s="529" t="n">
        <x:v>45771</x:v>
      </x:c>
      <x:c r="G250" s="527" t="inlineStr">
        <x:is>
          <x:t xml:space="preserve">EDR, LLC</x:t>
        </x:is>
      </x:c>
      <x:c r="H250" s="527" t="inlineStr">
        <x:is>
          <x:t xml:space="preserve">OKKI Industries, LLC</x:t>
        </x:is>
      </x:c>
      <x:c r="I250" s="527" t="inlineStr">
        <x:is>
          <x:t xml:space="preserve">SW/4 NE/4 of 31-12N-24W aol; NW/4 SE/4, S/2 SE/4, SW/4 NE/4 of 31-12N-24W aol</x:t>
        </x:is>
      </x:c>
      <x:c r="J250" s="527" t="inlineStr">
        <x:is>
          <x:t xml:space="preserve">Mineral conveyance; confirm net acres/fraction &amp; reservations from recorded image.
Index row only reviewed. Mineral deed interest/net acres not stated in available index; full deed image required for exact fractional interest and reservation language.
Merged row 597 Effective Date: 45747
Merged duplicate rows: 190, 597</x:t>
        </x:is>
      </x:c>
      <x:c r="K250" s="572" t="inlineStr">
        <x:is>
          <x:t xml:space="preserve">county record
link unavailable</x:t>
        </x:is>
      </x:c>
      <x:c r="L250" s="565" t="n"/>
      <x:c r="M250" s="565" t="n"/>
      <x:c r="N250" s="565" t="n"/>
      <x:c r="O250" s="565" t="n"/>
      <x:c r="P250" s="565" t="n"/>
      <x:c r="Q250" s="565" t="n"/>
      <x:c r="R250" s="565" t="n"/>
      <x:c r="S250" s="613" t="n"/>
      <x:c r="T250" s="565" t="n"/>
      <x:c r="U250" s="613" t="n"/>
      <x:c r="V250" s="565" t="n"/>
      <x:c r="W250" s="565" t="n"/>
      <x:c r="X250" s="565" t="n"/>
      <x:c r="Y250" s="565" t="n"/>
      <x:c r="Z250" s="565" t="n"/>
    </x:row>
    <x:row r="251">
      <x:c r="A251" s="527" t="n"/>
      <x:c r="B251" s="527" t="n"/>
      <x:c r="C251" s="527" t="inlineStr">
        <x:is>
          <x:t xml:space="preserve">Affidavit</x:t>
        </x:is>
      </x:c>
      <x:c r="D251" s="527" t="inlineStr">
        <x:is>
          <x:t xml:space="preserve">2628/429</x:t>
        </x:is>
      </x:c>
      <x:c r="E251" s="529" t="n">
        <x:v>45792</x:v>
      </x:c>
      <x:c r="F251" s="529" t="n">
        <x:v>45792</x:v>
      </x:c>
      <x:c r="G251" s="527" t="inlineStr">
        <x:is>
          <x:t xml:space="preserve">Diversified Energy Company</x:t>
        </x:is>
      </x:c>
      <x:c r="H251" s="527" t="inlineStr">
        <x:is>
          <x:t xml:space="preserve">The Public, et al.</x:t>
        </x:is>
      </x:c>
      <x:c r="I251" s="527" t="inlineStr">
        <x:is>
          <x:t xml:space="preserve">All of 31-12N-24W</x:t>
        </x:is>
      </x:c>
      <x:c r="J251" s="527" t="inlineStr">
        <x:is>
          <x:t xml:space="preserve">Probate/heirship instrument; confirm heirs &amp; distribution from recorded image.</x:t>
        </x:is>
      </x:c>
      <x:c r="K251" s="572" t="inlineStr">
        <x:is>
          <x:t xml:space="preserve">county record</x:t>
        </x:is>
      </x:c>
      <x:c r="L251" s="565" t="n"/>
      <x:c r="M251" s="565" t="n"/>
      <x:c r="N251" s="565" t="n"/>
      <x:c r="O251" s="565" t="n"/>
      <x:c r="P251" s="565" t="n"/>
      <x:c r="Q251" s="565" t="n"/>
      <x:c r="R251" s="565" t="n"/>
      <x:c r="S251" s="613" t="n"/>
      <x:c r="T251" s="565" t="n"/>
      <x:c r="U251" s="613" t="n"/>
      <x:c r="V251" s="565" t="n"/>
      <x:c r="W251" s="565" t="n"/>
      <x:c r="X251" s="565" t="n"/>
      <x:c r="Y251" s="565" t="n"/>
      <x:c r="Z251" s="565" t="n"/>
    </x:row>
    <x:row r="252">
      <x:c r="A252" s="527" t="n"/>
      <x:c r="B252" s="527" t="n"/>
      <x:c r="C252" s="527" t="inlineStr">
        <x:is>
          <x:t xml:space="preserve">Memorandum of Lease</x:t>
        </x:is>
      </x:c>
      <x:c r="D252" s="527" t="inlineStr">
        <x:is>
          <x:t xml:space="preserve">2660/341</x:t>
        </x:is>
      </x:c>
      <x:c r="E252" s="529" t="n">
        <x:v>45954</x:v>
      </x:c>
      <x:c r="F252" s="529" t="n">
        <x:v>45954</x:v>
      </x:c>
      <x:c r="G252" s="527" t="inlineStr">
        <x:is>
          <x:t xml:space="preserve">Windsor OK, LLC, et al.</x:t>
        </x:is>
      </x:c>
      <x:c r="H252" s="527" t="inlineStr">
        <x:is>
          <x:t xml:space="preserve">Windsor OK Development Sub, LLC, et al.</x:t>
        </x:is>
      </x:c>
      <x:c r="I252" s="527" t="inlineStr">
        <x:is>
          <x:t xml:space="preserve">All of 31-12N-24W</x:t>
        </x:is>
      </x:c>
      <x:c r="J252" s="527" t="n"/>
      <x:c r="K252" s="572" t="inlineStr">
        <x:is>
          <x:t xml:space="preserve">county record</x:t>
        </x:is>
      </x:c>
      <x:c r="L252" s="565" t="n"/>
      <x:c r="M252" s="565" t="n"/>
      <x:c r="N252" s="565" t="n"/>
      <x:c r="O252" s="565" t="n"/>
      <x:c r="P252" s="565" t="n"/>
      <x:c r="Q252" s="565" t="n"/>
      <x:c r="R252" s="565" t="n"/>
      <x:c r="S252" s="613" t="n"/>
      <x:c r="T252" s="565" t="n"/>
      <x:c r="U252" s="613" t="n"/>
      <x:c r="V252" s="565" t="n"/>
      <x:c r="W252" s="565" t="n"/>
      <x:c r="X252" s="565" t="n"/>
      <x:c r="Y252" s="565" t="n"/>
      <x:c r="Z252" s="565" t="n"/>
    </x:row>
    <x:row r="253">
      <x:c r="A253" s="527" t="n"/>
      <x:c r="B253" s="527" t="n">
        <x:v>63</x:v>
      </x:c>
      <x:c r="C253" s="527" t="inlineStr">
        <x:is>
          <x:t xml:space="preserve">Wellbore Assignment</x:t>
        </x:is>
      </x:c>
      <x:c r="D253" s="527" t="inlineStr">
        <x:is>
          <x:t xml:space="preserve">2664/169</x:t>
        </x:is>
      </x:c>
      <x:c r="E253" s="529" t="n">
        <x:v>45975</x:v>
      </x:c>
      <x:c r="F253" s="529" t="n">
        <x:v>45975</x:v>
      </x:c>
      <x:c r="G253" s="527" t="inlineStr">
        <x:is>
          <x:t xml:space="preserve">Presidio Finance, LLC</x:t>
        </x:is>
      </x:c>
      <x:c r="H253" s="527" t="inlineStr">
        <x:is>
          <x:t xml:space="preserve">Martins Empire, LLC</x:t>
        </x:is>
      </x:c>
      <x:c r="I253" s="527" t="inlineStr">
        <x:is>
          <x:t xml:space="preserve">All of 31-12N-24W</x:t>
        </x:is>
      </x:c>
      <x:c r="J253" s="527" t="inlineStr">
        <x:is>
          <x:t xml:space="preserve">Leasehold assignment; confirm leases, depths &amp; retained burdens from recorded image.
Wellbore-only — limited rights
Doc 2025-006987; attached Roger Mills County Clerk unplatted legal index image row; Index p.63; legal/quarter extracted visually from image-only PDF.
Merged duplicate rows: 772</x:t>
        </x:is>
      </x:c>
      <x:c r="K253" s="572" t="inlineStr">
        <x:is>
          <x:t xml:space="preserve">county record
63e8b9a8d056433a9994fe46ca85076b.pdf</x:t>
        </x:is>
      </x:c>
      <x:c r="L253" s="565" t="n"/>
      <x:c r="M253" s="565" t="n"/>
      <x:c r="N253" s="565" t="n"/>
      <x:c r="O253" s="565" t="n"/>
      <x:c r="P253" s="565" t="n"/>
      <x:c r="Q253" s="565" t="n"/>
      <x:c r="R253" s="565" t="n"/>
      <x:c r="S253" s="613" t="n"/>
      <x:c r="T253" s="565" t="n"/>
      <x:c r="U253" s="613" t="n"/>
      <x:c r="V253" s="565" t="n"/>
      <x:c r="W253" s="565" t="n"/>
      <x:c r="X253" s="565" t="n"/>
      <x:c r="Y253" s="565" t="n"/>
      <x:c r="Z253" s="565" t="n"/>
    </x:row>
    <x:row r="254">
      <x:c r="A254" s="527" t="n"/>
      <x:c r="B254" s="527" t="n"/>
      <x:c r="C254" s="527" t="inlineStr">
        <x:is>
          <x:t xml:space="preserve">Correction</x:t>
        </x:is>
      </x:c>
      <x:c r="D254" s="527" t="inlineStr">
        <x:is>
          <x:t xml:space="preserve">2679/1</x:t>
        </x:is>
      </x:c>
      <x:c r="E254" s="529" t="n">
        <x:v>46052</x:v>
      </x:c>
      <x:c r="F254" s="529" t="n">
        <x:v>46052</x:v>
      </x:c>
      <x:c r="G254" s="527" t="inlineStr">
        <x:is>
          <x:t xml:space="preserve">Windsor OK, LLC, et al.</x:t>
        </x:is>
      </x:c>
      <x:c r="H254" s="527" t="inlineStr">
        <x:is>
          <x:t xml:space="preserve">The Public</x:t>
        </x:is>
      </x:c>
      <x:c r="I254" s="527" t="inlineStr">
        <x:is>
          <x:t xml:space="preserve">All of 31-12N-24W</x:t>
        </x:is>
      </x:c>
      <x:c r="J254" s="527" t="n"/>
      <x:c r="K254" s="572" t="inlineStr">
        <x:is>
          <x:t xml:space="preserve">county record</x:t>
        </x:is>
      </x:c>
      <x:c r="L254" s="565" t="n"/>
      <x:c r="M254" s="565" t="n"/>
      <x:c r="N254" s="565" t="n"/>
      <x:c r="O254" s="565" t="n"/>
      <x:c r="P254" s="565" t="n"/>
      <x:c r="Q254" s="565" t="n"/>
      <x:c r="R254" s="565" t="n"/>
      <x:c r="S254" s="613" t="n"/>
      <x:c r="T254" s="565" t="n"/>
      <x:c r="U254" s="613" t="n"/>
      <x:c r="V254" s="565" t="n"/>
      <x:c r="W254" s="565" t="n"/>
      <x:c r="X254" s="565" t="n"/>
      <x:c r="Y254" s="565" t="n"/>
      <x:c r="Z254" s="565" t="n"/>
    </x:row>
    <x:row r="255">
      <x:c r="A255" s="527" t="n"/>
      <x:c r="B255" s="527" t="n"/>
      <x:c r="C255" s="527" t="inlineStr">
        <x:is>
          <x:t xml:space="preserve">Affidavit</x:t>
        </x:is>
      </x:c>
      <x:c r="D255" s="527" t="inlineStr">
        <x:is>
          <x:t xml:space="preserve">2692/412</x:t>
        </x:is>
      </x:c>
      <x:c r="E255" s="529" t="n">
        <x:v>46119</x:v>
      </x:c>
      <x:c r="F255" s="529" t="n">
        <x:v>46119</x:v>
      </x:c>
      <x:c r="G255" s="527" t="inlineStr">
        <x:is>
          <x:t xml:space="preserve">Midcon Energy Production, LLC, et al.</x:t>
        </x:is>
      </x:c>
      <x:c r="H255" s="527" t="inlineStr">
        <x:is>
          <x:t xml:space="preserve">The Public</x:t>
        </x:is>
      </x:c>
      <x:c r="I255" s="527" t="inlineStr">
        <x:is>
          <x:t xml:space="preserve">All of 31-12N-24W</x:t>
        </x:is>
      </x:c>
      <x:c r="J255" s="527" t="inlineStr">
        <x:is>
          <x:t xml:space="preserve">Probate/heirship instrument; confirm heirs &amp; distribution from recorded image.</x:t>
        </x:is>
      </x:c>
      <x:c r="K255" s="572" t="inlineStr">
        <x:is>
          <x:t xml:space="preserve">county record</x:t>
        </x:is>
      </x:c>
      <x:c r="L255" s="565" t="n"/>
      <x:c r="M255" s="565" t="n"/>
      <x:c r="N255" s="565" t="n"/>
      <x:c r="O255" s="565" t="n"/>
      <x:c r="P255" s="565" t="n"/>
      <x:c r="Q255" s="565" t="n"/>
      <x:c r="R255" s="565" t="n"/>
      <x:c r="S255" s="613" t="n"/>
      <x:c r="T255" s="565" t="n"/>
      <x:c r="U255" s="613" t="n"/>
      <x:c r="V255" s="565" t="n"/>
      <x:c r="W255" s="565" t="n"/>
      <x:c r="X255" s="565" t="n"/>
      <x:c r="Y255" s="565" t="n"/>
      <x:c r="Z255" s="565" t="n"/>
    </x:row>
    <x:row r="256">
      <x:c r="A256" s="527" t="n"/>
      <x:c r="B256" s="527" t="n"/>
      <x:c r="C256" s="527" t="inlineStr">
        <x:is>
          <x:t xml:space="preserve">Affidavit</x:t>
        </x:is>
      </x:c>
      <x:c r="D256" s="527" t="inlineStr">
        <x:is>
          <x:t xml:space="preserve">2692/431</x:t>
        </x:is>
      </x:c>
      <x:c r="E256" s="529" t="n">
        <x:v>46119</x:v>
      </x:c>
      <x:c r="F256" s="529" t="n">
        <x:v>46119</x:v>
      </x:c>
      <x:c r="G256" s="527" t="inlineStr">
        <x:is>
          <x:t xml:space="preserve">Midcon Energy Prod, LLC, et al.</x:t>
        </x:is>
      </x:c>
      <x:c r="H256" s="527" t="inlineStr">
        <x:is>
          <x:t xml:space="preserve">The Public</x:t>
        </x:is>
      </x:c>
      <x:c r="I256" s="527" t="inlineStr">
        <x:is>
          <x:t xml:space="preserve">All of 31-12N-24W</x:t>
        </x:is>
      </x:c>
      <x:c r="J256" s="527" t="inlineStr">
        <x:is>
          <x:t xml:space="preserve">Probate/heirship instrument; confirm heirs &amp; distribution from recorded image.</x:t>
        </x:is>
      </x:c>
      <x:c r="K256" s="572" t="inlineStr">
        <x:is>
          <x:t xml:space="preserve">county record</x:t>
        </x:is>
      </x:c>
      <x:c r="L256" s="565" t="n"/>
      <x:c r="M256" s="565" t="n"/>
      <x:c r="N256" s="565" t="n"/>
      <x:c r="O256" s="565" t="n"/>
      <x:c r="P256" s="565" t="n"/>
      <x:c r="Q256" s="565" t="n"/>
      <x:c r="R256" s="565" t="n"/>
      <x:c r="S256" s="613" t="n"/>
      <x:c r="T256" s="565" t="n"/>
      <x:c r="U256" s="613" t="n"/>
      <x:c r="V256" s="565" t="n"/>
      <x:c r="W256" s="565" t="n"/>
      <x:c r="X256" s="565" t="n"/>
      <x:c r="Y256" s="565" t="n"/>
      <x:c r="Z256" s="565" t="n"/>
    </x:row>
    <x:row r="257">
      <x:c r="A257" s="527" t="n"/>
      <x:c r="B257" s="527" t="n"/>
      <x:c r="C257" s="527" t="inlineStr">
        <x:is>
          <x:t xml:space="preserve">Oil and Gas Lease</x:t>
        </x:is>
      </x:c>
      <x:c r="D257" s="527" t="inlineStr">
        <x:is>
          <x:t xml:space="preserve">2693/349</x:t>
        </x:is>
      </x:c>
      <x:c r="E257" s="529" t="n">
        <x:v>46122</x:v>
      </x:c>
      <x:c r="F257" s="529" t="n">
        <x:v>46122</x:v>
      </x:c>
      <x:c r="G257" s="527" t="inlineStr">
        <x:is>
          <x:t xml:space="preserve">Mark Ashley Daigle, Trustee of the Mark Ashley Daigle Trust</x:t>
        </x:is>
      </x:c>
      <x:c r="H257" s="527" t="inlineStr">
        <x:is>
          <x:t xml:space="preserve">Silver Oak Natural Resources, LLC</x:t>
        </x:is>
      </x:c>
      <x:c r="I257" s="527" t="inlineStr">
        <x:is>
          <x:t xml:space="preserve">SE/4 NE/4, NE/4 SE/4 of 31-12N-24W aol</x:t>
        </x:is>
      </x:c>
      <x:c r="J257" s="527" t="n"/>
      <x:c r="K257" s="572" t="inlineStr">
        <x:is>
          <x:t xml:space="preserve">county record</x:t>
        </x:is>
      </x:c>
      <x:c r="L257" s="565" t="n"/>
      <x:c r="M257" s="565" t="n"/>
      <x:c r="N257" s="565" t="n"/>
      <x:c r="O257" s="565" t="n"/>
      <x:c r="P257" s="565" t="n"/>
      <x:c r="Q257" s="565" t="n"/>
      <x:c r="R257" s="565" t="n"/>
      <x:c r="S257" s="613" t="n"/>
      <x:c r="T257" s="565" t="n"/>
      <x:c r="U257" s="613" t="n"/>
      <x:c r="V257" s="565" t="n"/>
      <x:c r="W257" s="565" t="n"/>
      <x:c r="X257" s="565" t="n"/>
      <x:c r="Y257" s="565" t="n"/>
      <x:c r="Z257" s="565" t="n"/>
    </x:row>
    <x:row r="258">
      <x:c r="A258" s="527" t="n"/>
      <x:c r="B258" s="527" t="n"/>
      <x:c r="C258" s="527" t="inlineStr">
        <x:is>
          <x:t xml:space="preserve">Oil and Gas Lease</x:t>
        </x:is>
      </x:c>
      <x:c r="D258" s="527" t="inlineStr">
        <x:is>
          <x:t xml:space="preserve">2693/337</x:t>
        </x:is>
      </x:c>
      <x:c r="E258" s="529" t="n">
        <x:v>46122</x:v>
      </x:c>
      <x:c r="F258" s="529" t="n">
        <x:v>46122</x:v>
      </x:c>
      <x:c r="G258" s="527" t="inlineStr">
        <x:is>
          <x:t xml:space="preserve">James Gerard Buonaccorsi, Trustee of the Mitchell Buonaccorsi Living Trust
Carrie Leeann Mitchell, Trustee of the Mitchell Buonaccorsi Living Trust</x:t>
        </x:is>
      </x:c>
      <x:c r="H258" s="527" t="inlineStr">
        <x:is>
          <x:t xml:space="preserve">Silver Oak Natural Resources, LLC</x:t>
        </x:is>
      </x:c>
      <x:c r="I258" s="527" t="inlineStr">
        <x:is>
          <x:t xml:space="preserve">N/2 NE/4, SE/4 NE/4 of 31-12N-24W aol</x:t>
        </x:is>
      </x:c>
      <x:c r="J258" s="527" t="n"/>
      <x:c r="K258" s="572" t="inlineStr">
        <x:is>
          <x:t xml:space="preserve">county record</x:t>
        </x:is>
      </x:c>
      <x:c r="L258" s="565" t="n"/>
      <x:c r="M258" s="565" t="n"/>
      <x:c r="N258" s="565" t="n"/>
      <x:c r="O258" s="565" t="n"/>
      <x:c r="P258" s="565" t="n"/>
      <x:c r="Q258" s="565" t="n"/>
      <x:c r="R258" s="565" t="n"/>
      <x:c r="S258" s="613" t="n"/>
      <x:c r="T258" s="565" t="n"/>
      <x:c r="U258" s="613" t="n"/>
      <x:c r="V258" s="565" t="n"/>
      <x:c r="W258" s="565" t="n"/>
      <x:c r="X258" s="565" t="n"/>
      <x:c r="Y258" s="565" t="n"/>
      <x:c r="Z258" s="565" t="n"/>
    </x:row>
    <x:row r="259">
      <x:c r="A259" s="527" t="n"/>
      <x:c r="B259" s="527" t="n"/>
      <x:c r="C259" s="527" t="inlineStr">
        <x:is>
          <x:t xml:space="preserve">Oil and Gas Lease</x:t>
        </x:is>
      </x:c>
      <x:c r="D259" s="527" t="inlineStr">
        <x:is>
          <x:t xml:space="preserve">2693/345</x:t>
        </x:is>
      </x:c>
      <x:c r="E259" s="529" t="n">
        <x:v>46122</x:v>
      </x:c>
      <x:c r="F259" s="529" t="n">
        <x:v>46122</x:v>
      </x:c>
      <x:c r="G259" s="527" t="inlineStr">
        <x:is>
          <x:t xml:space="preserve">Kevin Warner Johnson, Trustee of the Kevin Warner Johnson Trust</x:t>
        </x:is>
      </x:c>
      <x:c r="H259" s="527" t="inlineStr">
        <x:is>
          <x:t xml:space="preserve">Silver Oak Natural Resources, LLC</x:t>
        </x:is>
      </x:c>
      <x:c r="I259" s="527" t="inlineStr">
        <x:is>
          <x:t xml:space="preserve">SE/4 NE/4, NE/4 SE/4 of 31-12N-24W aol</x:t>
        </x:is>
      </x:c>
      <x:c r="J259" s="527" t="n"/>
      <x:c r="K259" s="572" t="inlineStr">
        <x:is>
          <x:t xml:space="preserve">county record</x:t>
        </x:is>
      </x:c>
      <x:c r="L259" s="565" t="n"/>
      <x:c r="M259" s="565" t="n"/>
      <x:c r="N259" s="565" t="n"/>
      <x:c r="O259" s="565" t="n"/>
      <x:c r="P259" s="565" t="n"/>
      <x:c r="Q259" s="565" t="n"/>
      <x:c r="R259" s="565" t="n"/>
      <x:c r="S259" s="613" t="n"/>
      <x:c r="T259" s="565" t="n"/>
      <x:c r="U259" s="613" t="n"/>
      <x:c r="V259" s="565" t="n"/>
      <x:c r="W259" s="565" t="n"/>
      <x:c r="X259" s="565" t="n"/>
      <x:c r="Y259" s="565" t="n"/>
      <x:c r="Z259" s="565" t="n"/>
    </x:row>
    <x:row r="260">
      <x:c r="A260" s="527" t="n"/>
      <x:c r="B260" s="527" t="n"/>
      <x:c r="C260" s="527" t="inlineStr">
        <x:is>
          <x:t xml:space="preserve">Affidavit of Heirship</x:t>
        </x:is>
      </x:c>
      <x:c r="D260" s="527" t="inlineStr">
        <x:is>
          <x:t xml:space="preserve">2697/517</x:t>
        </x:is>
      </x:c>
      <x:c r="E260" s="529" t="n">
        <x:v>46143</x:v>
      </x:c>
      <x:c r="F260" s="529" t="n">
        <x:v>46143</x:v>
      </x:c>
      <x:c r="G260" s="527" t="inlineStr">
        <x:is>
          <x:t xml:space="preserve">Carrie Leeann Mitchell, et al.</x:t>
        </x:is>
      </x:c>
      <x:c r="H260" s="527" t="inlineStr">
        <x:is>
          <x:t xml:space="preserve">The Public
RE: Nancy Susan Mitchell, Deceased</x:t>
        </x:is>
      </x:c>
      <x:c r="I260" s="527" t="inlineStr">
        <x:is>
          <x:t xml:space="preserve">All of 31-12N-24W aol</x:t>
        </x:is>
      </x:c>
      <x:c r="J260" s="527" t="inlineStr">
        <x:is>
          <x:t xml:space="preserve">Probate/heirship instrument; confirm heirs &amp; distribution from recorded image.</x:t>
        </x:is>
      </x:c>
      <x:c r="K260" s="572" t="inlineStr">
        <x:is>
          <x:t xml:space="preserve">county record</x:t>
        </x:is>
      </x:c>
      <x:c r="L260" s="565" t="n"/>
      <x:c r="M260" s="565" t="n"/>
      <x:c r="N260" s="565" t="n"/>
      <x:c r="O260" s="565" t="n"/>
      <x:c r="P260" s="565" t="n"/>
      <x:c r="Q260" s="565" t="n"/>
      <x:c r="R260" s="565" t="n"/>
      <x:c r="S260" s="613" t="n"/>
      <x:c r="T260" s="565" t="n"/>
      <x:c r="U260" s="613" t="n"/>
      <x:c r="V260" s="565" t="n"/>
      <x:c r="W260" s="565" t="n"/>
      <x:c r="X260" s="565" t="n"/>
      <x:c r="Y260" s="565" t="n"/>
      <x:c r="Z260" s="565" t="n"/>
    </x:row>
    <x:row r="261">
      <x:c r="A261" s="527" t="n"/>
      <x:c r="B261" s="527" t="n"/>
      <x:c r="C261" s="527" t="inlineStr">
        <x:is>
          <x:t xml:space="preserve">Oil and Gas Lease</x:t>
        </x:is>
      </x:c>
      <x:c r="D261" s="527" t="inlineStr">
        <x:is>
          <x:t xml:space="preserve">2697/520</x:t>
        </x:is>
      </x:c>
      <x:c r="E261" s="529" t="n">
        <x:v>46143</x:v>
      </x:c>
      <x:c r="F261" s="529" t="n">
        <x:v>46143</x:v>
      </x:c>
      <x:c r="G261" s="527" t="inlineStr">
        <x:is>
          <x:t xml:space="preserve">Keri Lee Daigle Tucker, Trustee of the Keri Lee Daigle Tucker Trust</x:t>
        </x:is>
      </x:c>
      <x:c r="H261" s="527" t="inlineStr">
        <x:is>
          <x:t xml:space="preserve">Silver Oak Natural Resources, LLC</x:t>
        </x:is>
      </x:c>
      <x:c r="I261" s="527" t="inlineStr">
        <x:is>
          <x:t xml:space="preserve">N/2 NE/4 SW/4, NE/4 SE/4, SE/4 NE/4 of 31-12N-24W</x:t>
        </x:is>
      </x:c>
      <x:c r="J261" s="527" t="n"/>
      <x:c r="K261" s="572" t="inlineStr">
        <x:is>
          <x:t xml:space="preserve">county record</x:t>
        </x:is>
      </x:c>
      <x:c r="L261" s="565" t="n"/>
      <x:c r="M261" s="565" t="n"/>
      <x:c r="N261" s="565" t="n"/>
      <x:c r="O261" s="565" t="n"/>
      <x:c r="P261" s="565" t="n"/>
      <x:c r="Q261" s="565" t="n"/>
      <x:c r="R261" s="565" t="n"/>
      <x:c r="S261" s="613" t="n"/>
      <x:c r="T261" s="565" t="n"/>
      <x:c r="U261" s="613" t="n"/>
      <x:c r="V261" s="565" t="n"/>
      <x:c r="W261" s="565" t="n"/>
      <x:c r="X261" s="565" t="n"/>
      <x:c r="Y261" s="565" t="n"/>
      <x:c r="Z261" s="565" t="n"/>
    </x:row>
    <x:row r="262">
      <x:c r="A262" s="527" t="n"/>
      <x:c r="B262" s="527" t="n"/>
      <x:c r="C262" s="527" t="inlineStr">
        <x:is>
          <x:t xml:space="preserve">Oil and Gas Lease</x:t>
        </x:is>
      </x:c>
      <x:c r="D262" s="527" t="inlineStr">
        <x:is>
          <x:t xml:space="preserve">2697/524</x:t>
        </x:is>
      </x:c>
      <x:c r="E262" s="529" t="n">
        <x:v>46143</x:v>
      </x:c>
      <x:c r="F262" s="529" t="n">
        <x:v>46143</x:v>
      </x:c>
      <x:c r="G262" s="527" t="inlineStr">
        <x:is>
          <x:t xml:space="preserve">Ronald Paul Dold</x:t>
        </x:is>
      </x:c>
      <x:c r="H262" s="527" t="inlineStr">
        <x:is>
          <x:t xml:space="preserve">Silver Oak Natural Resources, LLC</x:t>
        </x:is>
      </x:c>
      <x:c r="I262" s="527" t="inlineStr">
        <x:is>
          <x:t xml:space="preserve">E/2 NW/4, N/2, N/2 NE/4 SW/4, NE/4 SE/4, S/2 Lots 3-4, S/2 NE/4 SW/4, SE/4 NE/4, SE/4 SW/4 of 31-12N-24W; N/2, SE/4 NE/4 of 31-12N-24W aol</x:t>
        </x:is>
      </x:c>
      <x:c r="J262" s="527" t="inlineStr">
        <x:is>
          <x:t xml:space="preserve">Index row only reviewed. Full 2026 Silver Oak OGL image not accessible; exact lease royalty/term/effective date/special clauses must be confirmed.
Merged duplicate rows: 212</x:t>
        </x:is>
      </x:c>
      <x:c r="K262" s="572" t="inlineStr">
        <x:is>
          <x:t xml:space="preserve">county record
link unavailable</x:t>
        </x:is>
      </x:c>
      <x:c r="L262" s="565" t="n"/>
      <x:c r="M262" s="565" t="n"/>
      <x:c r="N262" s="565" t="n"/>
      <x:c r="O262" s="565" t="n"/>
      <x:c r="P262" s="565" t="n"/>
      <x:c r="Q262" s="565" t="n"/>
      <x:c r="R262" s="565" t="n"/>
      <x:c r="S262" s="613" t="n"/>
      <x:c r="T262" s="565" t="n"/>
      <x:c r="U262" s="613" t="n"/>
      <x:c r="V262" s="565" t="n"/>
      <x:c r="W262" s="565" t="n"/>
      <x:c r="X262" s="565" t="n"/>
      <x:c r="Y262" s="565" t="n"/>
      <x:c r="Z262" s="565" t="n"/>
    </x:row>
    <x:row r="263">
      <x:c r="A263" s="527" t="n"/>
      <x:c r="B263" s="527" t="n"/>
      <x:c r="C263" s="527" t="inlineStr">
        <x:is>
          <x:t xml:space="preserve">Affidavit</x:t>
        </x:is>
      </x:c>
      <x:c r="D263" s="527" t="inlineStr">
        <x:is>
          <x:t xml:space="preserve">2697/519</x:t>
        </x:is>
      </x:c>
      <x:c r="E263" s="529" t="n">
        <x:v>46143</x:v>
      </x:c>
      <x:c r="F263" s="529" t="n">
        <x:v>46143</x:v>
      </x:c>
      <x:c r="G263" s="527" t="inlineStr">
        <x:is>
          <x:t xml:space="preserve">Keri Lee Daigle Tucker, Trustee of the Keri Lee Daigle Tucker Trust</x:t>
        </x:is>
      </x:c>
      <x:c r="H263" s="527" t="inlineStr">
        <x:is>
          <x:t xml:space="preserve">The Public</x:t>
        </x:is>
      </x:c>
      <x:c r="I263" s="527" t="inlineStr">
        <x:is>
          <x:t xml:space="preserve">SE/4 NE/4, NE/4 SE/4 of 31-12N-24W aol</x:t>
        </x:is>
      </x:c>
      <x:c r="J263" s="527" t="inlineStr">
        <x:is>
          <x:t xml:space="preserve">Probate/heirship instrument; confirm heirs &amp; distribution from recorded image.</x:t>
        </x:is>
      </x:c>
      <x:c r="K263" s="572" t="inlineStr">
        <x:is>
          <x:t xml:space="preserve">county record</x:t>
        </x:is>
      </x:c>
      <x:c r="L263" s="565" t="n"/>
      <x:c r="M263" s="565" t="n"/>
      <x:c r="N263" s="565" t="n"/>
      <x:c r="O263" s="565" t="n"/>
      <x:c r="P263" s="565" t="n"/>
      <x:c r="Q263" s="565" t="n"/>
      <x:c r="R263" s="565" t="n"/>
      <x:c r="S263" s="613" t="n"/>
      <x:c r="T263" s="565" t="n"/>
      <x:c r="U263" s="613" t="n"/>
      <x:c r="V263" s="565" t="n"/>
      <x:c r="W263" s="565" t="n"/>
      <x:c r="X263" s="565" t="n"/>
      <x:c r="Y263" s="565" t="n"/>
      <x:c r="Z263" s="565" t="n"/>
    </x:row>
    <x:row r="264">
      <x:c r="A264" s="527" t="n"/>
      <x:c r="B264" s="527" t="n"/>
      <x:c r="C264" s="527" t="inlineStr">
        <x:is>
          <x:t xml:space="preserve">Wellbore Assignment</x:t>
        </x:is>
      </x:c>
      <x:c r="D264" s="527" t="inlineStr">
        <x:is>
          <x:t xml:space="preserve">2698/69</x:t>
        </x:is>
      </x:c>
      <x:c r="E264" s="529" t="n">
        <x:v>46146</x:v>
      </x:c>
      <x:c r="F264" s="529" t="n">
        <x:v>46146</x:v>
      </x:c>
      <x:c r="G264" s="527" t="inlineStr">
        <x:is>
          <x:t xml:space="preserve">Martin's Empire, LLC</x:t>
        </x:is>
      </x:c>
      <x:c r="H264" s="527" t="inlineStr">
        <x:is>
          <x:t xml:space="preserve">Stride Bank, Trustee of the Unbrella Trust</x:t>
        </x:is>
      </x:c>
      <x:c r="I264" s="527" t="inlineStr">
        <x:is>
          <x:t xml:space="preserve">NW/4 NW/4 of 31-12N-24W</x:t>
        </x:is>
      </x:c>
      <x:c r="J264" s="527" t="inlineStr">
        <x:is>
          <x:t xml:space="preserve">Leasehold assignment; confirm leases, depths &amp; retained burdens from recorded image.</x:t>
        </x:is>
      </x:c>
      <x:c r="K264" s="572" t="inlineStr">
        <x:is>
          <x:t xml:space="preserve">county record</x:t>
        </x:is>
      </x:c>
      <x:c r="L264" s="565" t="n"/>
      <x:c r="M264" s="565" t="n"/>
      <x:c r="N264" s="565" t="n"/>
      <x:c r="O264" s="565" t="n"/>
      <x:c r="P264" s="565" t="n"/>
      <x:c r="Q264" s="565" t="n"/>
      <x:c r="R264" s="565" t="n"/>
      <x:c r="S264" s="613" t="n"/>
      <x:c r="T264" s="565" t="n"/>
      <x:c r="U264" s="613" t="n"/>
      <x:c r="V264" s="565" t="n"/>
      <x:c r="W264" s="565" t="n"/>
      <x:c r="X264" s="565" t="n"/>
      <x:c r="Y264" s="565" t="n"/>
      <x:c r="Z264" s="565" t="n"/>
    </x:row>
    <x:row r="265">
      <x:c r="A265" s="527" t="n"/>
      <x:c r="B265" s="527" t="n"/>
      <x:c r="C265" s="527" t="inlineStr">
        <x:is>
          <x:t xml:space="preserve">Final Decree</x:t>
        </x:is>
      </x:c>
      <x:c r="D265" s="527" t="inlineStr">
        <x:is>
          <x:t xml:space="preserve">2700/395</x:t>
        </x:is>
      </x:c>
      <x:c r="E265" s="529" t="n">
        <x:v>46160</x:v>
      </x:c>
      <x:c r="F265" s="529" t="n">
        <x:v>46160</x:v>
      </x:c>
      <x:c r="G265" s="527" t="inlineStr">
        <x:is>
          <x:t xml:space="preserve">Estate of Audy C. Campbell</x:t>
        </x:is>
      </x:c>
      <x:c r="H265" s="527" t="inlineStr">
        <x:is>
          <x:t xml:space="preserve">The Public</x:t>
        </x:is>
      </x:c>
      <x:c r="I265" s="527" t="inlineStr">
        <x:is>
          <x:t xml:space="preserve">S/2 Lot 4, S/2 NE/4 SW/4 of 31-12N-24W aol; S/2, Lot 4, S/2 NE/4 SW/4, SE/4 SW/4 of 31-12N-24W aol</x:t>
        </x:is>
      </x:c>
      <x:c r="J265" s="527" t="inlineStr">
        <x:is>
          <x:t xml:space="preserve">Probate/heirship instrument; confirm heirs &amp; distribution from recorded image.
Index row only reviewed. Full final decree image not accessible; distribution language and whether it closes the Nancy Susan Mitchell chain require verification.
Merged row 578 Effective Date: 43500
Merged duplicate rows: 215, 578</x:t>
        </x:is>
      </x:c>
      <x:c r="K265" s="572" t="inlineStr">
        <x:is>
          <x:t xml:space="preserve">county record
link unavailable</x:t>
        </x:is>
      </x:c>
      <x:c r="L265" s="565" t="n"/>
      <x:c r="M265" s="565" t="n"/>
      <x:c r="N265" s="565" t="n"/>
      <x:c r="O265" s="565" t="n"/>
      <x:c r="P265" s="565" t="n"/>
      <x:c r="Q265" s="565" t="n"/>
      <x:c r="R265" s="565" t="n"/>
      <x:c r="S265" s="613" t="n"/>
      <x:c r="T265" s="565" t="n"/>
      <x:c r="U265" s="613" t="n"/>
      <x:c r="V265" s="565" t="n"/>
      <x:c r="W265" s="565" t="n"/>
      <x:c r="X265" s="565" t="n"/>
      <x:c r="Y265" s="565" t="n"/>
      <x:c r="Z265" s="565" t="n"/>
    </x:row>
    <x:row r="266">
      <x:c r="A266" s="527" t="n"/>
      <x:c r="B266" s="527" t="n"/>
      <x:c r="C266" s="527" t="inlineStr">
        <x:is>
          <x:t xml:space="preserve">Affidavit of Heirship</x:t>
        </x:is>
      </x:c>
      <x:c r="D266" s="527" t="inlineStr">
        <x:is>
          <x:t xml:space="preserve">2702/503</x:t>
        </x:is>
      </x:c>
      <x:c r="E266" s="529" t="n">
        <x:v>46170</x:v>
      </x:c>
      <x:c r="F266" s="529" t="n">
        <x:v>46170</x:v>
      </x:c>
      <x:c r="G266" s="527" t="inlineStr">
        <x:is>
          <x:t xml:space="preserve">Carrie Leeann Mitchell</x:t>
        </x:is>
      </x:c>
      <x:c r="H266" s="527" t="inlineStr">
        <x:is>
          <x:t xml:space="preserve">The Public
RE: Marvin Mitchell Williams, Deceased</x:t>
        </x:is>
      </x:c>
      <x:c r="I266" s="527" t="inlineStr">
        <x:is>
          <x:t xml:space="preserve">All of 31-12N-24W aol</x:t>
        </x:is>
      </x:c>
      <x:c r="J266" s="527" t="inlineStr">
        <x:is>
          <x:t xml:space="preserve">Probate/heirship instrument; confirm heirs &amp; distribution from recorded image.
Affidavit format corrected: The Public shown as grantee/public side with RE: Marvin Mitchell Williams, Deceased. Full affidavit image not accessible; heirship facts and date-of-death/effective facts require verification.
Merged duplicate rows: 217</x:t>
        </x:is>
      </x:c>
      <x:c r="K266" s="572" t="inlineStr">
        <x:is>
          <x:t xml:space="preserve">county record
link unavailable</x:t>
        </x:is>
      </x:c>
      <x:c r="L266" s="565" t="n"/>
      <x:c r="M266" s="565" t="n"/>
      <x:c r="N266" s="565" t="n"/>
      <x:c r="O266" s="565" t="n"/>
      <x:c r="P266" s="565" t="n"/>
      <x:c r="Q266" s="565" t="n"/>
      <x:c r="R266" s="565" t="n"/>
      <x:c r="S266" s="613" t="n"/>
      <x:c r="T266" s="565" t="n"/>
      <x:c r="U266" s="613" t="n"/>
      <x:c r="V266" s="565" t="n"/>
      <x:c r="W266" s="565" t="n"/>
      <x:c r="X266" s="565" t="n"/>
      <x:c r="Y266" s="565" t="n"/>
      <x:c r="Z266" s="565" t="n"/>
    </x:row>
    <x:row r="267">
      <x:c r="A267" s="527" t="n"/>
      <x:c r="B267" s="527" t="n"/>
      <x:c r="C267" s="527" t="inlineStr">
        <x:is>
          <x:t xml:space="preserve">Affidavit of Heirship</x:t>
        </x:is>
      </x:c>
      <x:c r="D267" s="527" t="inlineStr">
        <x:is>
          <x:t xml:space="preserve">2702/500</x:t>
        </x:is>
      </x:c>
      <x:c r="E267" s="529" t="n">
        <x:v>46170</x:v>
      </x:c>
      <x:c r="F267" s="529" t="n">
        <x:v>46170</x:v>
      </x:c>
      <x:c r="G267" s="527" t="inlineStr">
        <x:is>
          <x:t xml:space="preserve">Carrie Leeann Mitchell</x:t>
        </x:is>
      </x:c>
      <x:c r="H267" s="527" t="inlineStr">
        <x:is>
          <x:t xml:space="preserve">The Public
RE: Gene Gilbert Williams, Deceased</x:t>
        </x:is>
      </x:c>
      <x:c r="I267" s="527" t="inlineStr">
        <x:is>
          <x:t xml:space="preserve">All of 31-12N-24W aol</x:t>
        </x:is>
      </x:c>
      <x:c r="J267" s="527" t="inlineStr">
        <x:is>
          <x:t xml:space="preserve">Probate/heirship instrument; confirm heirs &amp; distribution from recorded image.
Affidavit format preserved: The Public shown as grantee/public side with RE: Gene Gilbert Williams, Deceased. Full affidavit image not accessible; heirship facts and date-of-death/effective facts require verification.
Merged duplicate rows: 218</x:t>
        </x:is>
      </x:c>
      <x:c r="K267" s="572" t="inlineStr">
        <x:is>
          <x:t xml:space="preserve">county record
link unavailable</x:t>
        </x:is>
      </x:c>
      <x:c r="L267" s="565" t="n"/>
      <x:c r="M267" s="565" t="n"/>
      <x:c r="N267" s="565" t="n"/>
      <x:c r="O267" s="565" t="n"/>
      <x:c r="P267" s="565" t="n"/>
      <x:c r="Q267" s="565" t="n"/>
      <x:c r="R267" s="565" t="n"/>
      <x:c r="S267" s="613" t="n"/>
      <x:c r="T267" s="565" t="n"/>
      <x:c r="U267" s="613" t="n"/>
      <x:c r="V267" s="565" t="n"/>
      <x:c r="W267" s="565" t="n"/>
      <x:c r="X267" s="565" t="n"/>
      <x:c r="Y267" s="565" t="n"/>
      <x:c r="Z267" s="565" t="n"/>
    </x:row>
    <x:row r="268">
      <x:c r="A268" s="527" t="n"/>
      <x:c r="B268" s="527" t="n"/>
      <x:c r="C268" s="527" t="inlineStr">
        <x:is>
          <x:t xml:space="preserve">Oil and Gas Lease</x:t>
        </x:is>
      </x:c>
      <x:c r="D268" s="527" t="inlineStr">
        <x:is>
          <x:t xml:space="preserve">2702/505</x:t>
        </x:is>
      </x:c>
      <x:c r="E268" s="529" t="n">
        <x:v>46170</x:v>
      </x:c>
      <x:c r="F268" s="529" t="n">
        <x:v>46170</x:v>
      </x:c>
      <x:c r="G268" s="527" t="inlineStr">
        <x:is>
          <x:t xml:space="preserve">Gena Mitchell Williams
Gena Williams
Gena W. Moore</x:t>
        </x:is>
      </x:c>
      <x:c r="H268" s="527" t="inlineStr">
        <x:is>
          <x:t xml:space="preserve">Silver Oak Natural Resources, LLC</x:t>
        </x:is>
      </x:c>
      <x:c r="I268" s="527" t="inlineStr">
        <x:is>
          <x:t xml:space="preserve">N/2 NE/4, SE/4 NE/4 of 31-12N-24W aol</x:t>
        </x:is>
      </x:c>
      <x:c r="J268" s="527" t="n"/>
      <x:c r="K268" s="572" t="inlineStr">
        <x:is>
          <x:t xml:space="preserve">county record</x:t>
        </x:is>
      </x:c>
      <x:c r="L268" s="565" t="n"/>
      <x:c r="M268" s="565" t="n"/>
      <x:c r="N268" s="565" t="n"/>
      <x:c r="O268" s="565" t="n"/>
      <x:c r="P268" s="565" t="n"/>
      <x:c r="Q268" s="565" t="n"/>
      <x:c r="R268" s="565" t="n"/>
      <x:c r="S268" s="613" t="n"/>
      <x:c r="T268" s="565" t="n"/>
      <x:c r="U268" s="613" t="n"/>
      <x:c r="V268" s="565" t="n"/>
      <x:c r="W268" s="565" t="n"/>
      <x:c r="X268" s="565" t="n"/>
      <x:c r="Y268" s="565" t="n"/>
      <x:c r="Z268" s="565" t="n"/>
    </x:row>
    <x:row r="269">
      <x:c r="A269" s="527" t="n"/>
      <x:c r="B269" s="527" t="n"/>
      <x:c r="C269" s="527" t="inlineStr">
        <x:is>
          <x:t xml:space="preserve">Affidavit</x:t>
        </x:is>
      </x:c>
      <x:c r="D269" s="527" t="inlineStr">
        <x:is>
          <x:t xml:space="preserve">2702/504</x:t>
        </x:is>
      </x:c>
      <x:c r="E269" s="529" t="n">
        <x:v>46170</x:v>
      </x:c>
      <x:c r="F269" s="529" t="n">
        <x:v>46170</x:v>
      </x:c>
      <x:c r="G269" s="527" t="inlineStr">
        <x:is>
          <x:t xml:space="preserve">Gena Williams
Gena Williams Moore
Gena W. Moore
Gena Mitchell Williams</x:t>
        </x:is>
      </x:c>
      <x:c r="H269" s="527" t="inlineStr">
        <x:is>
          <x:t xml:space="preserve">The Public</x:t>
        </x:is>
      </x:c>
      <x:c r="I269" s="527" t="inlineStr">
        <x:is>
          <x:t xml:space="preserve">N/2 NE/4, SE/4 NE/4 of 31-12N-24W aol</x:t>
        </x:is>
      </x:c>
      <x:c r="J269" s="527" t="inlineStr">
        <x:is>
          <x:t xml:space="preserve">Probate/heirship instrument; confirm heirs &amp; distribution from recorded image.
Index row only reviewed. Full affidavit/identity image not accessible; identity facts and effect on Nancy Susan Mitchell chain require verification.
Merged duplicate rows: 220</x:t>
        </x:is>
      </x:c>
      <x:c r="K269" s="572" t="inlineStr">
        <x:is>
          <x:t xml:space="preserve">county record
link unavailable</x:t>
        </x:is>
      </x:c>
      <x:c r="L269" s="565" t="n"/>
      <x:c r="M269" s="565" t="n"/>
      <x:c r="N269" s="565" t="n"/>
      <x:c r="O269" s="565" t="n"/>
      <x:c r="P269" s="565" t="n"/>
      <x:c r="Q269" s="565" t="n"/>
      <x:c r="R269" s="565" t="n"/>
      <x:c r="S269" s="613" t="n"/>
      <x:c r="T269" s="565" t="n"/>
      <x:c r="U269" s="613" t="n"/>
      <x:c r="V269" s="565" t="n"/>
      <x:c r="W269" s="565" t="n"/>
      <x:c r="X269" s="565" t="n"/>
      <x:c r="Y269" s="565" t="n"/>
      <x:c r="Z269" s="565" t="n"/>
    </x:row>
    <x:row r="270">
      <x:c r="A270" s="527" t="n"/>
      <x:c r="B270" s="527" t="n"/>
      <x:c r="C270" s="527" t="inlineStr">
        <x:is>
          <x:t xml:space="preserve">Final Decree</x:t>
        </x:is>
      </x:c>
      <x:c r="D270" s="527" t="inlineStr">
        <x:is>
          <x:t xml:space="preserve">2704/142</x:t>
        </x:is>
      </x:c>
      <x:c r="E270" s="529" t="n">
        <x:v>46178</x:v>
      </x:c>
      <x:c r="F270" s="529" t="n">
        <x:v>46178</x:v>
      </x:c>
      <x:c r="G270" s="527" t="inlineStr">
        <x:is>
          <x:t xml:space="preserve">Estate of Darrell Edward Hamilton</x:t>
        </x:is>
      </x:c>
      <x:c r="H270" s="527" t="inlineStr">
        <x:is>
          <x:t xml:space="preserve">The Public</x:t>
        </x:is>
      </x:c>
      <x:c r="I270" s="527" t="inlineStr">
        <x:is>
          <x:t xml:space="preserve">SW/4 NE/4, NW/4 SE/4 of 31-12N-24W aol; NW/4 SE/4, S/2 SE/4, SW/4 NE/4 of 31-12N-24W aol</x:t>
        </x:is>
      </x:c>
      <x:c r="J270" s="527" t="inlineStr">
        <x:is>
          <x:t xml:space="preserve">Probate/heirship instrument; confirm heirs &amp; distribution from recorded image.
Index row only reviewed. Full final decree image not accessible; devisees/heirs, distribution language, and exact title effect must be verified from recorded decree.
Merged row 611 Effective Date: 46175
Merged duplicate rows: 221, 611</x:t>
        </x:is>
      </x:c>
      <x:c r="K270" s="572" t="inlineStr">
        <x:is>
          <x:t xml:space="preserve">county record
link unavailable</x:t>
        </x:is>
      </x:c>
      <x:c r="L270" s="565" t="n"/>
      <x:c r="M270" s="565" t="n"/>
      <x:c r="N270" s="565" t="n"/>
      <x:c r="O270" s="565" t="n"/>
      <x:c r="P270" s="565" t="n"/>
      <x:c r="Q270" s="565" t="n"/>
      <x:c r="R270" s="565" t="n"/>
      <x:c r="S270" s="613" t="n"/>
      <x:c r="T270" s="565" t="n"/>
      <x:c r="U270" s="613" t="n"/>
      <x:c r="V270" s="565" t="n"/>
      <x:c r="W270" s="565" t="n"/>
      <x:c r="X270" s="565" t="n"/>
      <x:c r="Y270" s="565" t="n"/>
      <x:c r="Z270" s="565" t="n"/>
    </x:row>
    <x:row r="271">
      <x:c r="A271" s="527" t="n"/>
      <x:c r="B271" s="527" t="n"/>
      <x:c r="C271" s="527" t="inlineStr">
        <x:is>
          <x:t xml:space="preserve">Change of Address</x:t>
        </x:is>
      </x:c>
      <x:c r="D271" s="527" t="inlineStr">
        <x:is>
          <x:t xml:space="preserve">2370/0359</x:t>
        </x:is>
      </x:c>
      <x:c r="E271" s="529" t="n"/>
      <x:c r="F271" s="529" t="n">
        <x:v>42930</x:v>
      </x:c>
      <x:c r="G271" s="527" t="inlineStr">
        <x:is>
          <x:t xml:space="preserve">King Exploration</x:t>
        </x:is>
      </x:c>
      <x:c r="H271" s="527" t="inlineStr">
        <x:is>
          <x:t xml:space="preserve">The Public</x:t>
        </x:is>
      </x:c>
      <x:c r="I271" s="527" t="inlineStr">
        <x:is>
          <x:t xml:space="preserve">A. of 29-12N-24W aol</x:t>
        </x:is>
      </x:c>
      <x:c r="J271" s="527" t="n"/>
      <x:c r="K271" s="572" t="inlineStr">
        <x:is>
          <x:t xml:space="preserve">OKCountyRecords index only / link unavailable</x:t>
        </x:is>
      </x:c>
      <x:c r="L271" s="565" t="n"/>
      <x:c r="M271" s="565" t="n"/>
      <x:c r="N271" s="565" t="n"/>
      <x:c r="O271" s="565" t="n"/>
      <x:c r="P271" s="565" t="n"/>
      <x:c r="Q271" s="565" t="n"/>
      <x:c r="R271" s="565" t="n"/>
      <x:c r="S271" s="613" t="n"/>
      <x:c r="T271" s="565" t="n"/>
      <x:c r="U271" s="613" t="n"/>
      <x:c r="V271" s="565" t="n"/>
      <x:c r="W271" s="565" t="n"/>
      <x:c r="X271" s="565" t="n"/>
      <x:c r="Y271" s="565" t="n"/>
      <x:c r="Z271" s="565" t="n"/>
    </x:row>
    <x:row r="272">
      <x:c r="A272" s="527" t="n"/>
      <x:c r="B272" s="527" t="n"/>
      <x:c r="C272" s="527" t="inlineStr">
        <x:is>
          <x:t xml:space="preserve">Amendment of Mortgage</x:t>
        </x:is>
      </x:c>
      <x:c r="D272" s="527" t="inlineStr">
        <x:is>
          <x:t xml:space="preserve">2402/0001</x:t>
        </x:is>
      </x:c>
      <x:c r="E272" s="529" t="n"/>
      <x:c r="F272" s="529" t="n">
        <x:v>43353</x:v>
      </x:c>
      <x:c r="G272" s="527" t="inlineStr">
        <x:is>
          <x:t xml:space="preserve">Tecolote Royalty</x:t>
        </x:is>
      </x:c>
      <x:c r="H272" s="527" t="inlineStr">
        <x:is>
          <x:t xml:space="preserve">Wells Fargo Bank</x:t>
        </x:is>
      </x:c>
      <x:c r="I272" s="527" t="inlineStr">
        <x:is>
          <x:t xml:space="preserve">A. of 30-15N-22W aol</x:t>
        </x:is>
      </x:c>
      <x:c r="J272" s="527" t="n"/>
      <x:c r="K272" s="572" t="inlineStr">
        <x:is>
          <x:t xml:space="preserve">OKCountyRecords index only / link unavailable</x:t>
        </x:is>
      </x:c>
      <x:c r="L272" s="565" t="n"/>
      <x:c r="M272" s="565" t="n"/>
      <x:c r="N272" s="565" t="n"/>
      <x:c r="O272" s="565" t="n"/>
      <x:c r="P272" s="565" t="n"/>
      <x:c r="Q272" s="565" t="n"/>
      <x:c r="R272" s="565" t="n"/>
      <x:c r="S272" s="613" t="n"/>
      <x:c r="T272" s="565" t="n"/>
      <x:c r="U272" s="613" t="n"/>
      <x:c r="V272" s="565" t="n"/>
      <x:c r="W272" s="565" t="n"/>
      <x:c r="X272" s="565" t="n"/>
      <x:c r="Y272" s="565" t="n"/>
      <x:c r="Z272" s="565" t="n"/>
    </x:row>
    <x:row r="273">
      <x:c r="A273" s="527" t="n"/>
      <x:c r="B273" s="527" t="n"/>
      <x:c r="C273" s="527" t="inlineStr">
        <x:is>
          <x:t xml:space="preserve">Amendment of Mortgage</x:t>
        </x:is>
      </x:c>
      <x:c r="D273" s="527" t="inlineStr">
        <x:is>
          <x:t xml:space="preserve">2424/0447</x:t>
        </x:is>
      </x:c>
      <x:c r="E273" s="529" t="n"/>
      <x:c r="F273" s="529" t="n">
        <x:v>43679</x:v>
      </x:c>
      <x:c r="G273" s="527" t="inlineStr">
        <x:is>
          <x:t xml:space="preserve">Grizzly Operating, LLC</x:t>
        </x:is>
      </x:c>
      <x:c r="H273" s="527" t="inlineStr">
        <x:is>
          <x:t xml:space="preserve">Citibank</x:t>
        </x:is>
      </x:c>
      <x:c r="I273" s="527" t="inlineStr">
        <x:is>
          <x:t xml:space="preserve">A. of 14-12N-21W aol</x:t>
        </x:is>
      </x:c>
      <x:c r="J273" s="527" t="n"/>
      <x:c r="K273" s="572" t="inlineStr">
        <x:is>
          <x:t xml:space="preserve">OKCountyRecords index only / link unavailable</x:t>
        </x:is>
      </x:c>
      <x:c r="L273" s="565" t="n"/>
      <x:c r="M273" s="565" t="n"/>
      <x:c r="N273" s="565" t="n"/>
      <x:c r="O273" s="565" t="n"/>
      <x:c r="P273" s="565" t="n"/>
      <x:c r="Q273" s="565" t="n"/>
      <x:c r="R273" s="565" t="n"/>
      <x:c r="S273" s="613" t="n"/>
      <x:c r="T273" s="565" t="n"/>
      <x:c r="U273" s="613" t="n"/>
      <x:c r="V273" s="565" t="n"/>
      <x:c r="W273" s="565" t="n"/>
      <x:c r="X273" s="565" t="n"/>
      <x:c r="Y273" s="565" t="n"/>
      <x:c r="Z273" s="565" t="n"/>
    </x:row>
    <x:row r="274">
      <x:c r="A274" s="527" t="n"/>
      <x:c r="B274" s="527" t="n"/>
      <x:c r="C274" s="527" t="inlineStr">
        <x:is>
          <x:t xml:space="preserve">Partial Release of Lien</x:t>
        </x:is>
      </x:c>
      <x:c r="D274" s="527" t="inlineStr">
        <x:is>
          <x:t xml:space="preserve">2428/0328</x:t>
        </x:is>
      </x:c>
      <x:c r="E274" s="529" t="n"/>
      <x:c r="F274" s="529" t="n">
        <x:v>43754</x:v>
      </x:c>
      <x:c r="G274" s="527" t="inlineStr">
        <x:is>
          <x:t xml:space="preserve">Enervest Energy Fund Xiii Wib
Enervest Energy Fund Xiii Wic
Enervest Energy Fund Xiii A.</x:t>
        </x:is>
      </x:c>
      <x:c r="H274" s="527" t="inlineStr">
        <x:is>
          <x:t xml:space="preserve">Bce Mach Ii, LLC</x:t>
        </x:is>
      </x:c>
      <x:c r="I274" s="527" t="inlineStr">
        <x:is>
          <x:t xml:space="preserve">A. of 1-11N-23W aol</x:t>
        </x:is>
      </x:c>
      <x:c r="J274" s="527" t="n"/>
      <x:c r="K274" s="572" t="inlineStr">
        <x:is>
          <x:t xml:space="preserve">OKCountyRecords index only / link unavailable</x:t>
        </x:is>
      </x:c>
      <x:c r="L274" s="565" t="n"/>
      <x:c r="M274" s="565" t="n"/>
      <x:c r="N274" s="565" t="n"/>
      <x:c r="O274" s="565" t="n"/>
      <x:c r="P274" s="565" t="n"/>
      <x:c r="Q274" s="565" t="n"/>
      <x:c r="R274" s="565" t="n"/>
      <x:c r="S274" s="613" t="n"/>
      <x:c r="T274" s="565" t="n"/>
      <x:c r="U274" s="613" t="n"/>
      <x:c r="V274" s="565" t="n"/>
      <x:c r="W274" s="565" t="n"/>
      <x:c r="X274" s="565" t="n"/>
      <x:c r="Y274" s="565" t="n"/>
      <x:c r="Z274" s="565" t="n"/>
    </x:row>
    <x:row r="275">
      <x:c r="A275" s="527" t="n"/>
      <x:c r="B275" s="527" t="n"/>
      <x:c r="C275" s="527" t="inlineStr">
        <x:is>
          <x:t xml:space="preserve">Financing Statement</x:t>
        </x:is>
      </x:c>
      <x:c r="D275" s="527" t="inlineStr">
        <x:is>
          <x:t xml:space="preserve">2431/0001</x:t>
        </x:is>
      </x:c>
      <x:c r="E275" s="529" t="n"/>
      <x:c r="F275" s="529" t="n">
        <x:v>43759</x:v>
      </x:c>
      <x:c r="G275" s="527" t="inlineStr">
        <x:is>
          <x:t xml:space="preserve">Templar Energy, LLC
Templar Operating</x:t>
        </x:is>
      </x:c>
      <x:c r="H275" s="527" t="inlineStr">
        <x:is>
          <x:t xml:space="preserve">Bank of America</x:t>
        </x:is>
      </x:c>
      <x:c r="I275" s="527" t="inlineStr">
        <x:is>
          <x:t xml:space="preserve">A. of 1-17N-25W aol</x:t>
        </x:is>
      </x:c>
      <x:c r="J275" s="527" t="n"/>
      <x:c r="K275" s="572" t="inlineStr">
        <x:is>
          <x:t xml:space="preserve">OKCountyRecords index only / link unavailable</x:t>
        </x:is>
      </x:c>
      <x:c r="L275" s="565" t="n"/>
      <x:c r="M275" s="565" t="n"/>
      <x:c r="N275" s="565" t="n"/>
      <x:c r="O275" s="565" t="n"/>
      <x:c r="P275" s="565" t="n"/>
      <x:c r="Q275" s="565" t="n"/>
      <x:c r="R275" s="565" t="n"/>
      <x:c r="S275" s="613" t="n"/>
      <x:c r="T275" s="565" t="n"/>
      <x:c r="U275" s="613" t="n"/>
      <x:c r="V275" s="565" t="n"/>
      <x:c r="W275" s="565" t="n"/>
      <x:c r="X275" s="565" t="n"/>
      <x:c r="Y275" s="565" t="n"/>
      <x:c r="Z275" s="565" t="n"/>
    </x:row>
    <x:row r="276">
      <x:c r="A276" s="527" t="n"/>
      <x:c r="B276" s="527" t="n"/>
      <x:c r="C276" s="527" t="inlineStr">
        <x:is>
          <x:t xml:space="preserve">Amendment of Mortgage</x:t>
        </x:is>
      </x:c>
      <x:c r="D276" s="527" t="inlineStr">
        <x:is>
          <x:t xml:space="preserve">2430/0396</x:t>
        </x:is>
      </x:c>
      <x:c r="E276" s="529" t="n"/>
      <x:c r="F276" s="529" t="n">
        <x:v>43759</x:v>
      </x:c>
      <x:c r="G276" s="527" t="inlineStr">
        <x:is>
          <x:t xml:space="preserve">Templar Energy, LLC
Templar Operating, LLC</x:t>
        </x:is>
      </x:c>
      <x:c r="H276" s="527" t="inlineStr">
        <x:is>
          <x:t xml:space="preserve">Bank of America</x:t>
        </x:is>
      </x:c>
      <x:c r="I276" s="527" t="inlineStr">
        <x:is>
          <x:t xml:space="preserve">A. of 32-12N-23W aol</x:t>
        </x:is>
      </x:c>
      <x:c r="J276" s="527" t="n"/>
      <x:c r="K276" s="572" t="inlineStr">
        <x:is>
          <x:t xml:space="preserve">OKCountyRecords index only / link unavailable</x:t>
        </x:is>
      </x:c>
      <x:c r="L276" s="565" t="n"/>
      <x:c r="M276" s="565" t="n"/>
      <x:c r="N276" s="565" t="n"/>
      <x:c r="O276" s="565" t="n"/>
      <x:c r="P276" s="565" t="n"/>
      <x:c r="Q276" s="565" t="n"/>
      <x:c r="R276" s="565" t="n"/>
      <x:c r="S276" s="613" t="n"/>
      <x:c r="T276" s="565" t="n"/>
      <x:c r="U276" s="613" t="n"/>
      <x:c r="V276" s="565" t="n"/>
      <x:c r="W276" s="565" t="n"/>
      <x:c r="X276" s="565" t="n"/>
      <x:c r="Y276" s="565" t="n"/>
      <x:c r="Z276" s="565" t="n"/>
    </x:row>
    <x:row r="277">
      <x:c r="A277" s="527" t="n"/>
      <x:c r="B277" s="527" t="n"/>
      <x:c r="C277" s="527" t="inlineStr">
        <x:is>
          <x:t xml:space="preserve">Mortgage</x:t>
        </x:is>
      </x:c>
      <x:c r="D277" s="527" t="inlineStr">
        <x:is>
          <x:t xml:space="preserve">2435/0001</x:t>
        </x:is>
      </x:c>
      <x:c r="E277" s="529" t="n"/>
      <x:c r="F277" s="529" t="n">
        <x:v>43802</x:v>
      </x:c>
      <x:c r="G277" s="527" t="inlineStr">
        <x:is>
          <x:t xml:space="preserve">Tecolote Holdings
Tecolote, Royalty</x:t>
        </x:is>
      </x:c>
      <x:c r="H277" s="527" t="inlineStr">
        <x:is>
          <x:t xml:space="preserve">Jpmorgan Chase Bank</x:t>
        </x:is>
      </x:c>
      <x:c r="I277" s="527" t="inlineStr">
        <x:is>
          <x:t xml:space="preserve">A. of 1-11N-24W aol</x:t>
        </x:is>
      </x:c>
      <x:c r="J277" s="527" t="n"/>
      <x:c r="K277" s="572" t="inlineStr">
        <x:is>
          <x:t xml:space="preserve">OKCountyRecords index only / link unavailable</x:t>
        </x:is>
      </x:c>
      <x:c r="L277" s="565" t="n"/>
      <x:c r="M277" s="565" t="n"/>
      <x:c r="N277" s="565" t="n"/>
      <x:c r="O277" s="565" t="n"/>
      <x:c r="P277" s="565" t="n"/>
      <x:c r="Q277" s="565" t="n"/>
      <x:c r="R277" s="565" t="n"/>
      <x:c r="S277" s="613" t="n"/>
      <x:c r="T277" s="565" t="n"/>
      <x:c r="U277" s="613" t="n"/>
      <x:c r="V277" s="565" t="n"/>
      <x:c r="W277" s="565" t="n"/>
      <x:c r="X277" s="565" t="n"/>
      <x:c r="Y277" s="565" t="n"/>
      <x:c r="Z277" s="565" t="n"/>
    </x:row>
    <x:row r="278">
      <x:c r="A278" s="527" t="n"/>
      <x:c r="B278" s="527" t="n"/>
      <x:c r="C278" s="527" t="inlineStr">
        <x:is>
          <x:t xml:space="preserve">Financing Statement</x:t>
        </x:is>
      </x:c>
      <x:c r="D278" s="527" t="inlineStr">
        <x:is>
          <x:t xml:space="preserve">2435/0116</x:t>
        </x:is>
      </x:c>
      <x:c r="E278" s="529" t="n"/>
      <x:c r="F278" s="529" t="n">
        <x:v>43802</x:v>
      </x:c>
      <x:c r="G278" s="527" t="inlineStr">
        <x:is>
          <x:t xml:space="preserve">Tecolote Holdings
Tecolote Royalty</x:t>
        </x:is>
      </x:c>
      <x:c r="H278" s="527" t="inlineStr">
        <x:is>
          <x:t xml:space="preserve">Jpmorgan Chase</x:t>
        </x:is>
      </x:c>
      <x:c r="I278" s="527" t="inlineStr">
        <x:is>
          <x:t xml:space="preserve">A. of 1-11N-24W aol</x:t>
        </x:is>
      </x:c>
      <x:c r="J278" s="527" t="n"/>
      <x:c r="K278" s="572" t="inlineStr">
        <x:is>
          <x:t xml:space="preserve">OKCountyRecords index only / link unavailable</x:t>
        </x:is>
      </x:c>
      <x:c r="L278" s="565" t="n"/>
      <x:c r="M278" s="565" t="n"/>
      <x:c r="N278" s="565" t="n"/>
      <x:c r="O278" s="565" t="n"/>
      <x:c r="P278" s="565" t="n"/>
      <x:c r="Q278" s="565" t="n"/>
      <x:c r="R278" s="565" t="n"/>
      <x:c r="S278" s="613" t="n"/>
      <x:c r="T278" s="565" t="n"/>
      <x:c r="U278" s="613" t="n"/>
      <x:c r="V278" s="565" t="n"/>
      <x:c r="W278" s="565" t="n"/>
      <x:c r="X278" s="565" t="n"/>
      <x:c r="Y278" s="565" t="n"/>
      <x:c r="Z278" s="565" t="n"/>
    </x:row>
    <x:row r="279">
      <x:c r="A279" s="527" t="n"/>
      <x:c r="B279" s="527" t="n"/>
      <x:c r="C279" s="527" t="inlineStr">
        <x:is>
          <x:t xml:space="preserve">Release of Mortgage</x:t>
        </x:is>
      </x:c>
      <x:c r="D279" s="527" t="inlineStr">
        <x:is>
          <x:t xml:space="preserve">2434/0001</x:t>
        </x:is>
      </x:c>
      <x:c r="E279" s="529" t="n"/>
      <x:c r="F279" s="529" t="n">
        <x:v>43802</x:v>
      </x:c>
      <x:c r="G279" s="527" t="inlineStr">
        <x:is>
          <x:t xml:space="preserve">Wells Fargo</x:t>
        </x:is>
      </x:c>
      <x:c r="H279" s="527" t="inlineStr">
        <x:is>
          <x:t xml:space="preserve">Tecolote Holdings
Tecolote Royalty</x:t>
        </x:is>
      </x:c>
      <x:c r="I279" s="527" t="inlineStr">
        <x:is>
          <x:t xml:space="preserve">A. of 30-15N-22W aol</x:t>
        </x:is>
      </x:c>
      <x:c r="J279" s="527" t="n"/>
      <x:c r="K279" s="572" t="inlineStr">
        <x:is>
          <x:t xml:space="preserve">OKCountyRecords index only / link unavailable</x:t>
        </x:is>
      </x:c>
      <x:c r="L279" s="565" t="n"/>
      <x:c r="M279" s="565" t="n"/>
      <x:c r="N279" s="565" t="n"/>
      <x:c r="O279" s="565" t="n"/>
      <x:c r="P279" s="565" t="n"/>
      <x:c r="Q279" s="565" t="n"/>
      <x:c r="R279" s="565" t="n"/>
      <x:c r="S279" s="613" t="n"/>
      <x:c r="T279" s="565" t="n"/>
      <x:c r="U279" s="613" t="n"/>
      <x:c r="V279" s="565" t="n"/>
      <x:c r="W279" s="565" t="n"/>
      <x:c r="X279" s="565" t="n"/>
      <x:c r="Y279" s="565" t="n"/>
      <x:c r="Z279" s="565" t="n"/>
    </x:row>
    <x:row r="280">
      <x:c r="A280" s="527" t="n"/>
      <x:c r="B280" s="527" t="n"/>
      <x:c r="C280" s="527" t="inlineStr">
        <x:is>
          <x:t xml:space="preserve">Release of Mortgage</x:t>
        </x:is>
      </x:c>
      <x:c r="D280" s="527" t="inlineStr">
        <x:is>
          <x:t xml:space="preserve">2448/0001</x:t>
        </x:is>
      </x:c>
      <x:c r="E280" s="529" t="n"/>
      <x:c r="F280" s="529" t="n">
        <x:v>44060</x:v>
      </x:c>
      <x:c r="G280" s="527" t="inlineStr">
        <x:is>
          <x:t xml:space="preserve">Bank of America</x:t>
        </x:is>
      </x:c>
      <x:c r="H280" s="527" t="inlineStr">
        <x:is>
          <x:t xml:space="preserve">Templar Energy
Templar Operating</x:t>
        </x:is>
      </x:c>
      <x:c r="I280" s="527" t="inlineStr">
        <x:is>
          <x:t xml:space="preserve">Lagnes 1-12 of 12-17N-25W aol</x:t>
        </x:is>
      </x:c>
      <x:c r="J280" s="527" t="n"/>
      <x:c r="K280" s="572" t="inlineStr">
        <x:is>
          <x:t xml:space="preserve">OKCountyRecords index only / link unavailable</x:t>
        </x:is>
      </x:c>
      <x:c r="L280" s="565" t="n"/>
      <x:c r="M280" s="565" t="n"/>
      <x:c r="N280" s="565" t="n"/>
      <x:c r="O280" s="565" t="n"/>
      <x:c r="P280" s="565" t="n"/>
      <x:c r="Q280" s="565" t="n"/>
      <x:c r="R280" s="565" t="n"/>
      <x:c r="S280" s="613" t="n"/>
      <x:c r="T280" s="565" t="n"/>
      <x:c r="U280" s="613" t="n"/>
      <x:c r="V280" s="565" t="n"/>
      <x:c r="W280" s="565" t="n"/>
      <x:c r="X280" s="565" t="n"/>
      <x:c r="Y280" s="565" t="n"/>
      <x:c r="Z280" s="565" t="n"/>
    </x:row>
    <x:row r="281">
      <x:c r="A281" s="527" t="n"/>
      <x:c r="B281" s="527" t="n"/>
      <x:c r="C281" s="527" t="inlineStr">
        <x:is>
          <x:t xml:space="preserve">Mortgage</x:t>
        </x:is>
      </x:c>
      <x:c r="D281" s="527" t="inlineStr">
        <x:is>
          <x:t xml:space="preserve">2450/0001</x:t>
        </x:is>
      </x:c>
      <x:c r="E281" s="529" t="n"/>
      <x:c r="F281" s="529" t="n">
        <x:v>44060</x:v>
      </x:c>
      <x:c r="G281" s="527" t="inlineStr">
        <x:is>
          <x:t xml:space="preserve">Presidio Wab, LLC</x:t>
        </x:is>
      </x:c>
      <x:c r="H281" s="527" t="inlineStr">
        <x:is>
          <x:t xml:space="preserve">BMO Harris Bank</x:t>
        </x:is>
      </x:c>
      <x:c r="I281" s="527" t="inlineStr">
        <x:is>
          <x:t xml:space="preserve">A. of 26-12N-26W aol</x:t>
        </x:is>
      </x:c>
      <x:c r="J281" s="527" t="n"/>
      <x:c r="K281" s="572" t="inlineStr">
        <x:is>
          <x:t xml:space="preserve">OKCountyRecords index only / link unavailable</x:t>
        </x:is>
      </x:c>
      <x:c r="L281" s="565" t="n"/>
      <x:c r="M281" s="565" t="n"/>
      <x:c r="N281" s="565" t="n"/>
      <x:c r="O281" s="565" t="n"/>
      <x:c r="P281" s="565" t="n"/>
      <x:c r="Q281" s="565" t="n"/>
      <x:c r="R281" s="565" t="n"/>
      <x:c r="S281" s="613" t="n"/>
      <x:c r="T281" s="565" t="n"/>
      <x:c r="U281" s="613" t="n"/>
      <x:c r="V281" s="565" t="n"/>
      <x:c r="W281" s="565" t="n"/>
      <x:c r="X281" s="565" t="n"/>
      <x:c r="Y281" s="565" t="n"/>
      <x:c r="Z281" s="565" t="n"/>
    </x:row>
    <x:row r="282">
      <x:c r="A282" s="527" t="n"/>
      <x:c r="B282" s="527" t="n"/>
      <x:c r="C282" s="527" t="inlineStr">
        <x:is>
          <x:t xml:space="preserve">Financing Statement</x:t>
        </x:is>
      </x:c>
      <x:c r="D282" s="527" t="inlineStr">
        <x:is>
          <x:t xml:space="preserve">2450/0121</x:t>
        </x:is>
      </x:c>
      <x:c r="E282" s="529" t="n"/>
      <x:c r="F282" s="529" t="n">
        <x:v>44060</x:v>
      </x:c>
      <x:c r="G282" s="527" t="inlineStr">
        <x:is>
          <x:t xml:space="preserve">Presidio Wab, LLC</x:t>
        </x:is>
      </x:c>
      <x:c r="H282" s="527" t="inlineStr">
        <x:is>
          <x:t xml:space="preserve">BMO Harris Bank</x:t>
        </x:is>
      </x:c>
      <x:c r="I282" s="527" t="inlineStr">
        <x:is>
          <x:t xml:space="preserve">A. of 26-12N-26W aol</x:t>
        </x:is>
      </x:c>
      <x:c r="J282" s="527" t="n"/>
      <x:c r="K282" s="572" t="inlineStr">
        <x:is>
          <x:t xml:space="preserve">OKCountyRecords index only / link unavailable</x:t>
        </x:is>
      </x:c>
      <x:c r="L282" s="565" t="n"/>
      <x:c r="M282" s="565" t="n"/>
      <x:c r="N282" s="565" t="n"/>
      <x:c r="O282" s="565" t="n"/>
      <x:c r="P282" s="565" t="n"/>
      <x:c r="Q282" s="565" t="n"/>
      <x:c r="R282" s="565" t="n"/>
      <x:c r="S282" s="613" t="n"/>
      <x:c r="T282" s="565" t="n"/>
      <x:c r="U282" s="613" t="n"/>
      <x:c r="V282" s="565" t="n"/>
      <x:c r="W282" s="565" t="n"/>
      <x:c r="X282" s="565" t="n"/>
      <x:c r="Y282" s="565" t="n"/>
      <x:c r="Z282" s="565" t="n"/>
    </x:row>
    <x:row r="283">
      <x:c r="A283" s="527" t="n"/>
      <x:c r="B283" s="527" t="n"/>
      <x:c r="C283" s="527" t="inlineStr">
        <x:is>
          <x:t xml:space="preserve">Release of Lien</x:t>
        </x:is>
      </x:c>
      <x:c r="D283" s="527" t="inlineStr">
        <x:is>
          <x:t xml:space="preserve">2453/0001</x:t>
        </x:is>
      </x:c>
      <x:c r="E283" s="529" t="n"/>
      <x:c r="F283" s="529" t="n">
        <x:v>44126</x:v>
      </x:c>
      <x:c r="G283" s="527" t="inlineStr">
        <x:is>
          <x:t xml:space="preserve">JP Morgan Chase Bank</x:t>
        </x:is>
      </x:c>
      <x:c r="H283" s="527" t="inlineStr">
        <x:is>
          <x:t xml:space="preserve">Tecolote Holdings, LLC</x:t>
        </x:is>
      </x:c>
      <x:c r="I283" s="527" t="inlineStr">
        <x:is>
          <x:t xml:space="preserve">A. of 1-11N-24W aol</x:t>
        </x:is>
      </x:c>
      <x:c r="J283" s="527" t="n"/>
      <x:c r="K283" s="572" t="inlineStr">
        <x:is>
          <x:t xml:space="preserve">OKCountyRecords index only / link unavailable</x:t>
        </x:is>
      </x:c>
      <x:c r="L283" s="565" t="n"/>
      <x:c r="M283" s="565" t="n"/>
      <x:c r="N283" s="565" t="n"/>
      <x:c r="O283" s="565" t="n"/>
      <x:c r="P283" s="565" t="n"/>
      <x:c r="Q283" s="565" t="n"/>
      <x:c r="R283" s="565" t="n"/>
      <x:c r="S283" s="613" t="n"/>
      <x:c r="T283" s="565" t="n"/>
      <x:c r="U283" s="613" t="n"/>
      <x:c r="V283" s="565" t="n"/>
      <x:c r="W283" s="565" t="n"/>
      <x:c r="X283" s="565" t="n"/>
      <x:c r="Y283" s="565" t="n"/>
      <x:c r="Z283" s="565" t="n"/>
    </x:row>
    <x:row r="284">
      <x:c r="A284" s="527" t="n"/>
      <x:c r="B284" s="527" t="n"/>
      <x:c r="C284" s="527" t="inlineStr">
        <x:is>
          <x:t xml:space="preserve">Release of Mortgage</x:t>
        </x:is>
      </x:c>
      <x:c r="D284" s="527" t="inlineStr">
        <x:is>
          <x:t xml:space="preserve">2460/0001</x:t>
        </x:is>
      </x:c>
      <x:c r="E284" s="529" t="n"/>
      <x:c r="F284" s="529" t="n">
        <x:v>44272</x:v>
      </x:c>
      <x:c r="G284" s="527" t="inlineStr">
        <x:is>
          <x:t xml:space="preserve">JP Morgan Chase Bank</x:t>
        </x:is>
      </x:c>
      <x:c r="H284" s="527" t="inlineStr">
        <x:is>
          <x:t xml:space="preserve">Geodyne Resources
Samson Resources Company, LLC</x:t>
        </x:is>
      </x:c>
      <x:c r="I284" s="527" t="inlineStr">
        <x:is>
          <x:t xml:space="preserve">A. of 8-11N-23W aol</x:t>
        </x:is>
      </x:c>
      <x:c r="J284" s="527" t="n"/>
      <x:c r="K284" s="572" t="inlineStr">
        <x:is>
          <x:t xml:space="preserve">OKCountyRecords index only / link unavailable</x:t>
        </x:is>
      </x:c>
      <x:c r="L284" s="565" t="n"/>
      <x:c r="M284" s="565" t="n"/>
      <x:c r="N284" s="565" t="n"/>
      <x:c r="O284" s="565" t="n"/>
      <x:c r="P284" s="565" t="n"/>
      <x:c r="Q284" s="565" t="n"/>
      <x:c r="R284" s="565" t="n"/>
      <x:c r="S284" s="613" t="n"/>
      <x:c r="T284" s="565" t="n"/>
      <x:c r="U284" s="613" t="n"/>
      <x:c r="V284" s="565" t="n"/>
      <x:c r="W284" s="565" t="n"/>
      <x:c r="X284" s="565" t="n"/>
      <x:c r="Y284" s="565" t="n"/>
      <x:c r="Z284" s="565" t="n"/>
    </x:row>
    <x:row r="285">
      <x:c r="A285" s="527" t="n"/>
      <x:c r="B285" s="527" t="n"/>
      <x:c r="C285" s="527" t="inlineStr">
        <x:is>
          <x:t xml:space="preserve">Release of Lien</x:t>
        </x:is>
      </x:c>
      <x:c r="D285" s="527" t="inlineStr">
        <x:is>
          <x:t xml:space="preserve">2462/0068</x:t>
        </x:is>
      </x:c>
      <x:c r="E285" s="529" t="n"/>
      <x:c r="F285" s="529" t="n">
        <x:v>44312</x:v>
      </x:c>
      <x:c r="G285" s="527" t="inlineStr">
        <x:is>
          <x:t xml:space="preserve">Jpmorgan Chase</x:t>
        </x:is>
      </x:c>
      <x:c r="H285" s="527" t="inlineStr">
        <x:is>
          <x:t xml:space="preserve">Fourpoint Energy, LLC</x:t>
        </x:is>
      </x:c>
      <x:c r="I285" s="527" t="inlineStr">
        <x:is>
          <x:t xml:space="preserve">All of 2-11N-23W aol</x:t>
        </x:is>
      </x:c>
      <x:c r="J285" s="527" t="n"/>
      <x:c r="K285" s="572" t="inlineStr">
        <x:is>
          <x:t xml:space="preserve">OKCountyRecords index only / link unavailable</x:t>
        </x:is>
      </x:c>
      <x:c r="L285" s="565" t="n"/>
      <x:c r="M285" s="565" t="n"/>
      <x:c r="N285" s="565" t="n"/>
      <x:c r="O285" s="565" t="n"/>
      <x:c r="P285" s="565" t="n"/>
      <x:c r="Q285" s="565" t="n"/>
      <x:c r="R285" s="565" t="n"/>
      <x:c r="S285" s="613" t="n"/>
      <x:c r="T285" s="565" t="n"/>
      <x:c r="U285" s="613" t="n"/>
      <x:c r="V285" s="565" t="n"/>
      <x:c r="W285" s="565" t="n"/>
      <x:c r="X285" s="565" t="n"/>
      <x:c r="Y285" s="565" t="n"/>
      <x:c r="Z285" s="565" t="n"/>
    </x:row>
    <x:row r="286">
      <x:c r="A286" s="527" t="n"/>
      <x:c r="B286" s="527" t="n"/>
      <x:c r="C286" s="527" t="inlineStr">
        <x:is>
          <x:t xml:space="preserve">Mortgage</x:t>
        </x:is>
      </x:c>
      <x:c r="D286" s="527" t="inlineStr">
        <x:is>
          <x:t xml:space="preserve">2477/0001</x:t>
        </x:is>
      </x:c>
      <x:c r="E286" s="529" t="n"/>
      <x:c r="F286" s="529" t="n">
        <x:v>44462</x:v>
      </x:c>
      <x:c r="G286" s="527" t="inlineStr">
        <x:is>
          <x:t xml:space="preserve">Presidio Finance, LLC</x:t>
        </x:is>
      </x:c>
      <x:c r="H286" s="527" t="inlineStr">
        <x:is>
          <x:t xml:space="preserve">UMB Bank</x:t>
        </x:is>
      </x:c>
      <x:c r="I286" s="527" t="inlineStr">
        <x:is>
          <x:t xml:space="preserve">A. of 3-11N-23W aol</x:t>
        </x:is>
      </x:c>
      <x:c r="J286" s="527" t="n"/>
      <x:c r="K286" s="572" t="inlineStr">
        <x:is>
          <x:t xml:space="preserve">OKCountyRecords index only / link unavailable</x:t>
        </x:is>
      </x:c>
      <x:c r="L286" s="565" t="n"/>
      <x:c r="M286" s="565" t="n"/>
      <x:c r="N286" s="565" t="n"/>
      <x:c r="O286" s="565" t="n"/>
      <x:c r="P286" s="565" t="n"/>
      <x:c r="Q286" s="565" t="n"/>
      <x:c r="R286" s="565" t="n"/>
      <x:c r="S286" s="613" t="n"/>
      <x:c r="T286" s="565" t="n"/>
      <x:c r="U286" s="613" t="n"/>
      <x:c r="V286" s="565" t="n"/>
      <x:c r="W286" s="565" t="n"/>
      <x:c r="X286" s="565" t="n"/>
      <x:c r="Y286" s="565" t="n"/>
      <x:c r="Z286" s="565" t="n"/>
    </x:row>
    <x:row r="287">
      <x:c r="A287" s="527" t="n"/>
      <x:c r="B287" s="527" t="n"/>
      <x:c r="C287" s="527" t="inlineStr">
        <x:is>
          <x:t xml:space="preserve">Mortgage</x:t>
        </x:is>
      </x:c>
      <x:c r="D287" s="527" t="inlineStr">
        <x:is>
          <x:t xml:space="preserve">2475/0001</x:t>
        </x:is>
      </x:c>
      <x:c r="E287" s="529" t="n"/>
      <x:c r="F287" s="529" t="n">
        <x:v>44462</x:v>
      </x:c>
      <x:c r="G287" s="527" t="inlineStr">
        <x:is>
          <x:t xml:space="preserve">Presidio Wab, LLC</x:t>
        </x:is>
      </x:c>
      <x:c r="H287" s="527" t="inlineStr">
        <x:is>
          <x:t xml:space="preserve">Presidio Finance, LLC</x:t>
        </x:is>
      </x:c>
      <x:c r="I287" s="527" t="inlineStr">
        <x:is>
          <x:t xml:space="preserve">A. of 3-11N-23W aol</x:t>
        </x:is>
      </x:c>
      <x:c r="J287" s="527" t="n"/>
      <x:c r="K287" s="572" t="inlineStr">
        <x:is>
          <x:t xml:space="preserve">OKCountyRecords index only / link unavailable</x:t>
        </x:is>
      </x:c>
      <x:c r="L287" s="565" t="n"/>
      <x:c r="M287" s="565" t="n"/>
      <x:c r="N287" s="565" t="n"/>
      <x:c r="O287" s="565" t="n"/>
      <x:c r="P287" s="565" t="n"/>
      <x:c r="Q287" s="565" t="n"/>
      <x:c r="R287" s="565" t="n"/>
      <x:c r="S287" s="613" t="n"/>
      <x:c r="T287" s="565" t="n"/>
      <x:c r="U287" s="613" t="n"/>
      <x:c r="V287" s="565" t="n"/>
      <x:c r="W287" s="565" t="n"/>
      <x:c r="X287" s="565" t="n"/>
      <x:c r="Y287" s="565" t="n"/>
      <x:c r="Z287" s="565" t="n"/>
    </x:row>
    <x:row r="288">
      <x:c r="A288" s="527" t="n"/>
      <x:c r="B288" s="527" t="n"/>
      <x:c r="C288" s="527" t="inlineStr">
        <x:is>
          <x:t xml:space="preserve">Mortgage</x:t>
        </x:is>
      </x:c>
      <x:c r="D288" s="527" t="inlineStr">
        <x:is>
          <x:t xml:space="preserve">2480/0426</x:t>
        </x:is>
      </x:c>
      <x:c r="E288" s="529" t="n"/>
      <x:c r="F288" s="529" t="n">
        <x:v>44477</x:v>
      </x:c>
      <x:c r="G288" s="527" t="inlineStr">
        <x:is>
          <x:t xml:space="preserve">PHX Minerals</x:t>
        </x:is>
      </x:c>
      <x:c r="H288" s="527" t="inlineStr">
        <x:is>
          <x:t xml:space="preserve">Independent Bank</x:t>
        </x:is>
      </x:c>
      <x:c r="I288" s="527" t="inlineStr">
        <x:is>
          <x:t xml:space="preserve">A. of 3-11N-23W aol</x:t>
        </x:is>
      </x:c>
      <x:c r="J288" s="527" t="n"/>
      <x:c r="K288" s="572" t="inlineStr">
        <x:is>
          <x:t xml:space="preserve">OKCountyRecords index only / link unavailable</x:t>
        </x:is>
      </x:c>
      <x:c r="L288" s="565" t="n"/>
      <x:c r="M288" s="565" t="n"/>
      <x:c r="N288" s="565" t="n"/>
      <x:c r="O288" s="565" t="n"/>
      <x:c r="P288" s="565" t="n"/>
      <x:c r="Q288" s="565" t="n"/>
      <x:c r="R288" s="565" t="n"/>
      <x:c r="S288" s="613" t="n"/>
      <x:c r="T288" s="565" t="n"/>
      <x:c r="U288" s="613" t="n"/>
      <x:c r="V288" s="565" t="n"/>
      <x:c r="W288" s="565" t="n"/>
      <x:c r="X288" s="565" t="n"/>
      <x:c r="Y288" s="565" t="n"/>
      <x:c r="Z288" s="565" t="n"/>
    </x:row>
    <x:row r="289">
      <x:c r="A289" s="527" t="n"/>
      <x:c r="B289" s="527" t="n"/>
      <x:c r="C289" s="527" t="inlineStr">
        <x:is>
          <x:t xml:space="preserve">Financing Statement</x:t>
        </x:is>
      </x:c>
      <x:c r="D289" s="527" t="inlineStr">
        <x:is>
          <x:t xml:space="preserve">2494/0001</x:t>
        </x:is>
      </x:c>
      <x:c r="E289" s="529" t="n"/>
      <x:c r="F289" s="529" t="n">
        <x:v>44693</x:v>
      </x:c>
      <x:c r="G289" s="527" t="inlineStr">
        <x:is>
          <x:t xml:space="preserve">Unbridled Resources, LLC
Unbridled Agent, Corp.</x:t>
        </x:is>
      </x:c>
      <x:c r="H289" s="527" t="inlineStr">
        <x:is>
          <x:t xml:space="preserve">JP Morgan Chase</x:t>
        </x:is>
      </x:c>
      <x:c r="I289" s="527" t="inlineStr">
        <x:is>
          <x:t xml:space="preserve">A. of 1-11N-23W aol</x:t>
        </x:is>
      </x:c>
      <x:c r="J289" s="527" t="n"/>
      <x:c r="K289" s="572" t="inlineStr">
        <x:is>
          <x:t xml:space="preserve">OKCountyRecords index only / link unavailable</x:t>
        </x:is>
      </x:c>
      <x:c r="L289" s="565" t="n"/>
      <x:c r="M289" s="565" t="n"/>
      <x:c r="N289" s="565" t="n"/>
      <x:c r="O289" s="565" t="n"/>
      <x:c r="P289" s="565" t="n"/>
      <x:c r="Q289" s="565" t="n"/>
      <x:c r="R289" s="565" t="n"/>
      <x:c r="S289" s="613" t="n"/>
      <x:c r="T289" s="565" t="n"/>
      <x:c r="U289" s="613" t="n"/>
      <x:c r="V289" s="565" t="n"/>
      <x:c r="W289" s="565" t="n"/>
      <x:c r="X289" s="565" t="n"/>
      <x:c r="Y289" s="565" t="n"/>
      <x:c r="Z289" s="565" t="n"/>
    </x:row>
    <x:row r="290">
      <x:c r="A290" s="527" t="n"/>
      <x:c r="B290" s="527" t="n"/>
      <x:c r="C290" s="527" t="inlineStr">
        <x:is>
          <x:t xml:space="preserve">Mortgage</x:t>
        </x:is>
      </x:c>
      <x:c r="D290" s="527" t="inlineStr">
        <x:is>
          <x:t xml:space="preserve">2493/0001</x:t>
        </x:is>
      </x:c>
      <x:c r="E290" s="529" t="n"/>
      <x:c r="F290" s="529" t="n">
        <x:v>44693</x:v>
      </x:c>
      <x:c r="G290" s="527" t="inlineStr">
        <x:is>
          <x:t xml:space="preserve">Unbridled Resources, LLC
Unbridled Agent, Corp.</x:t>
        </x:is>
      </x:c>
      <x:c r="H290" s="527" t="inlineStr">
        <x:is>
          <x:t xml:space="preserve">JP Morgan Chase</x:t>
        </x:is>
      </x:c>
      <x:c r="I290" s="527" t="inlineStr">
        <x:is>
          <x:t xml:space="preserve">A. of 1-11N-23W aol</x:t>
        </x:is>
      </x:c>
      <x:c r="J290" s="527" t="n"/>
      <x:c r="K290" s="572" t="inlineStr">
        <x:is>
          <x:t xml:space="preserve">OKCountyRecords index only / link unavailable</x:t>
        </x:is>
      </x:c>
      <x:c r="L290" s="565" t="n"/>
      <x:c r="M290" s="565" t="n"/>
      <x:c r="N290" s="565" t="n"/>
      <x:c r="O290" s="565" t="n"/>
      <x:c r="P290" s="565" t="n"/>
      <x:c r="Q290" s="565" t="n"/>
      <x:c r="R290" s="565" t="n"/>
      <x:c r="S290" s="613" t="n"/>
      <x:c r="T290" s="565" t="n"/>
      <x:c r="U290" s="613" t="n"/>
      <x:c r="V290" s="565" t="n"/>
      <x:c r="W290" s="565" t="n"/>
      <x:c r="X290" s="565" t="n"/>
      <x:c r="Y290" s="565" t="n"/>
      <x:c r="Z290" s="565" t="n"/>
    </x:row>
    <x:row r="291">
      <x:c r="A291" s="527" t="n"/>
      <x:c r="B291" s="527" t="n"/>
      <x:c r="C291" s="527" t="inlineStr">
        <x:is>
          <x:t xml:space="preserve">Termination of Ucc</x:t>
        </x:is>
      </x:c>
      <x:c r="D291" s="527" t="inlineStr">
        <x:is>
          <x:t xml:space="preserve">2496/0460</x:t>
        </x:is>
      </x:c>
      <x:c r="E291" s="529" t="n"/>
      <x:c r="F291" s="529" t="n">
        <x:v>44741</x:v>
      </x:c>
      <x:c r="G291" s="527" t="inlineStr">
        <x:is>
          <x:t xml:space="preserve">Jpmorgan Chase Bank</x:t>
        </x:is>
      </x:c>
      <x:c r="H291" s="527" t="inlineStr">
        <x:is>
          <x:t xml:space="preserve">Tecolote Holdings, LLC
Tecolote Royalty, LP</x:t>
        </x:is>
      </x:c>
      <x:c r="I291" s="527" t="inlineStr">
        <x:is>
          <x:t xml:space="preserve">A. of 1-11N-24W aol</x:t>
        </x:is>
      </x:c>
      <x:c r="J291" s="527" t="n"/>
      <x:c r="K291" s="572" t="inlineStr">
        <x:is>
          <x:t xml:space="preserve">OKCountyRecords index only / link unavailable</x:t>
        </x:is>
      </x:c>
      <x:c r="L291" s="565" t="n"/>
      <x:c r="M291" s="565" t="n"/>
      <x:c r="N291" s="565" t="n"/>
      <x:c r="O291" s="565" t="n"/>
      <x:c r="P291" s="565" t="n"/>
      <x:c r="Q291" s="565" t="n"/>
      <x:c r="R291" s="565" t="n"/>
      <x:c r="S291" s="613" t="n"/>
      <x:c r="T291" s="565" t="n"/>
      <x:c r="U291" s="613" t="n"/>
      <x:c r="V291" s="565" t="n"/>
      <x:c r="W291" s="565" t="n"/>
      <x:c r="X291" s="565" t="n"/>
      <x:c r="Y291" s="565" t="n"/>
      <x:c r="Z291" s="565" t="n"/>
    </x:row>
    <x:row r="292">
      <x:c r="A292" s="527" t="n"/>
      <x:c r="B292" s="527" t="n"/>
      <x:c r="C292" s="527" t="inlineStr">
        <x:is>
          <x:t xml:space="preserve">Termination of Ucc</x:t>
        </x:is>
      </x:c>
      <x:c r="D292" s="527" t="inlineStr">
        <x:is>
          <x:t xml:space="preserve">2514/0196</x:t>
        </x:is>
      </x:c>
      <x:c r="E292" s="529" t="n"/>
      <x:c r="F292" s="529" t="n">
        <x:v>44936</x:v>
      </x:c>
      <x:c r="G292" s="527" t="inlineStr">
        <x:is>
          <x:t xml:space="preserve">JP Morgan Chase</x:t>
        </x:is>
      </x:c>
      <x:c r="H292" s="527" t="inlineStr">
        <x:is>
          <x:t xml:space="preserve">Tecolote Holdings, LLC</x:t>
        </x:is>
      </x:c>
      <x:c r="I292" s="527" t="inlineStr">
        <x:is>
          <x:t xml:space="preserve">A. of 1-11N-24W aol</x:t>
        </x:is>
      </x:c>
      <x:c r="J292" s="527" t="n"/>
      <x:c r="K292" s="572" t="inlineStr">
        <x:is>
          <x:t xml:space="preserve">OKCountyRecords index only / link unavailable</x:t>
        </x:is>
      </x:c>
      <x:c r="L292" s="565" t="n"/>
      <x:c r="M292" s="565" t="n"/>
      <x:c r="N292" s="565" t="n"/>
      <x:c r="O292" s="565" t="n"/>
      <x:c r="P292" s="565" t="n"/>
      <x:c r="Q292" s="565" t="n"/>
      <x:c r="R292" s="565" t="n"/>
      <x:c r="S292" s="613" t="n"/>
      <x:c r="T292" s="565" t="n"/>
      <x:c r="U292" s="613" t="n"/>
      <x:c r="V292" s="565" t="n"/>
      <x:c r="W292" s="565" t="n"/>
      <x:c r="X292" s="565" t="n"/>
      <x:c r="Y292" s="565" t="n"/>
      <x:c r="Z292" s="565" t="n"/>
    </x:row>
    <x:row r="293">
      <x:c r="A293" s="527" t="n"/>
      <x:c r="B293" s="527" t="n"/>
      <x:c r="C293" s="527" t="inlineStr">
        <x:is>
          <x:t xml:space="preserve">Mortgage</x:t>
        </x:is>
      </x:c>
      <x:c r="D293" s="527" t="inlineStr">
        <x:is>
          <x:t xml:space="preserve">2535/0001</x:t>
        </x:is>
      </x:c>
      <x:c r="E293" s="529" t="n"/>
      <x:c r="F293" s="529" t="n">
        <x:v>45170</x:v>
      </x:c>
      <x:c r="G293" s="527" t="inlineStr">
        <x:is>
          <x:t xml:space="preserve">Presidio Finance, LLC</x:t>
        </x:is>
      </x:c>
      <x:c r="H293" s="527" t="inlineStr">
        <x:is>
          <x:t xml:space="preserve">UMB Bank</x:t>
        </x:is>
      </x:c>
      <x:c r="I293" s="527" t="inlineStr">
        <x:is>
          <x:t xml:space="preserve">All of 3-11N-23W aol</x:t>
        </x:is>
      </x:c>
      <x:c r="J293" s="527" t="n"/>
      <x:c r="K293" s="572" t="inlineStr">
        <x:is>
          <x:t xml:space="preserve">OKCountyRecords index only / link unavailable</x:t>
        </x:is>
      </x:c>
      <x:c r="L293" s="565" t="n"/>
      <x:c r="M293" s="565" t="n"/>
      <x:c r="N293" s="565" t="n"/>
      <x:c r="O293" s="565" t="n"/>
      <x:c r="P293" s="565" t="n"/>
      <x:c r="Q293" s="565" t="n"/>
      <x:c r="R293" s="565" t="n"/>
      <x:c r="S293" s="613" t="n"/>
      <x:c r="T293" s="565" t="n"/>
      <x:c r="U293" s="613" t="n"/>
      <x:c r="V293" s="565" t="n"/>
      <x:c r="W293" s="565" t="n"/>
      <x:c r="X293" s="565" t="n"/>
      <x:c r="Y293" s="565" t="n"/>
      <x:c r="Z293" s="565" t="n"/>
    </x:row>
    <x:row r="294">
      <x:c r="A294" s="527" t="n"/>
      <x:c r="B294" s="527" t="n"/>
      <x:c r="C294" s="527" t="inlineStr">
        <x:is>
          <x:t xml:space="preserve">Mortgage</x:t>
        </x:is>
      </x:c>
      <x:c r="D294" s="527" t="inlineStr">
        <x:is>
          <x:t xml:space="preserve">2543/0025</x:t>
        </x:is>
      </x:c>
      <x:c r="E294" s="529" t="n"/>
      <x:c r="F294" s="529" t="n">
        <x:v>45247</x:v>
      </x:c>
      <x:c r="G294" s="527" t="inlineStr">
        <x:is>
          <x:t xml:space="preserve">MNR Abs Issuer I., LLC</x:t>
        </x:is>
      </x:c>
      <x:c r="H294" s="527" t="inlineStr">
        <x:is>
          <x:t xml:space="preserve">UMB Bank N.a</x:t>
        </x:is>
      </x:c>
      <x:c r="I294" s="527" t="inlineStr">
        <x:is>
          <x:t xml:space="preserve">All of 6-11N-26W aol</x:t>
        </x:is>
      </x:c>
      <x:c r="J294" s="527" t="n"/>
      <x:c r="K294" s="572" t="inlineStr">
        <x:is>
          <x:t xml:space="preserve">OKCountyRecords index only / link unavailable</x:t>
        </x:is>
      </x:c>
      <x:c r="L294" s="565" t="n"/>
      <x:c r="M294" s="565" t="n"/>
      <x:c r="N294" s="565" t="n"/>
      <x:c r="O294" s="565" t="n"/>
      <x:c r="P294" s="565" t="n"/>
      <x:c r="Q294" s="565" t="n"/>
      <x:c r="R294" s="565" t="n"/>
      <x:c r="S294" s="613" t="n"/>
      <x:c r="T294" s="565" t="n"/>
      <x:c r="U294" s="613" t="n"/>
      <x:c r="V294" s="565" t="n"/>
      <x:c r="W294" s="565" t="n"/>
      <x:c r="X294" s="565" t="n"/>
      <x:c r="Y294" s="565" t="n"/>
      <x:c r="Z294" s="565" t="n"/>
    </x:row>
    <x:row r="295">
      <x:c r="A295" s="527" t="n"/>
      <x:c r="B295" s="527" t="n"/>
      <x:c r="C295" s="527" t="inlineStr">
        <x:is>
          <x:t xml:space="preserve">Partial Release of Lien</x:t>
        </x:is>
      </x:c>
      <x:c r="D295" s="527" t="inlineStr">
        <x:is>
          <x:t xml:space="preserve">2542/0149</x:t>
        </x:is>
      </x:c>
      <x:c r="E295" s="529" t="n"/>
      <x:c r="F295" s="529" t="n">
        <x:v>45247</x:v>
      </x:c>
      <x:c r="G295" s="527" t="inlineStr">
        <x:is>
          <x:t xml:space="preserve">JP Morgan Chase Bank NA</x:t>
        </x:is>
      </x:c>
      <x:c r="H295" s="527" t="inlineStr">
        <x:is>
          <x:t xml:space="preserve">Unbridled Resources, LLC
MNR Abs Issuer I., LLC</x:t>
        </x:is>
      </x:c>
      <x:c r="I295" s="527" t="inlineStr">
        <x:is>
          <x:t xml:space="preserve">All of 1-11N-23W aol</x:t>
        </x:is>
      </x:c>
      <x:c r="J295" s="527" t="n"/>
      <x:c r="K295" s="572" t="inlineStr">
        <x:is>
          <x:t xml:space="preserve">OKCountyRecords index only / link unavailable</x:t>
        </x:is>
      </x:c>
      <x:c r="L295" s="565" t="n"/>
      <x:c r="M295" s="565" t="n"/>
      <x:c r="N295" s="565" t="n"/>
      <x:c r="O295" s="565" t="n"/>
      <x:c r="P295" s="565" t="n"/>
      <x:c r="Q295" s="565" t="n"/>
      <x:c r="R295" s="565" t="n"/>
      <x:c r="S295" s="613" t="n"/>
      <x:c r="T295" s="565" t="n"/>
      <x:c r="U295" s="613" t="n"/>
      <x:c r="V295" s="565" t="n"/>
      <x:c r="W295" s="565" t="n"/>
      <x:c r="X295" s="565" t="n"/>
      <x:c r="Y295" s="565" t="n"/>
      <x:c r="Z295" s="565" t="n"/>
    </x:row>
    <x:row r="296">
      <x:c r="A296" s="527" t="n"/>
      <x:c r="B296" s="527" t="n"/>
      <x:c r="C296" s="527" t="inlineStr">
        <x:is>
          <x:t xml:space="preserve">Mortgage</x:t>
        </x:is>
      </x:c>
      <x:c r="D296" s="527" t="inlineStr">
        <x:is>
          <x:t xml:space="preserve">2544/0001</x:t>
        </x:is>
      </x:c>
      <x:c r="E296" s="529" t="n"/>
      <x:c r="F296" s="529" t="n">
        <x:v>45247</x:v>
      </x:c>
      <x:c r="G296" s="527" t="inlineStr">
        <x:is>
          <x:t xml:space="preserve">Unbridled Resources, LLC
Unbridled Agent, Corp.</x:t>
        </x:is>
      </x:c>
      <x:c r="H296" s="527" t="inlineStr">
        <x:is>
          <x:t xml:space="preserve">MNR Abs Issuer I, LLC</x:t>
        </x:is>
      </x:c>
      <x:c r="I296" s="527" t="inlineStr">
        <x:is>
          <x:t xml:space="preserve">All of 6-11N-26W aol</x:t>
        </x:is>
      </x:c>
      <x:c r="J296" s="527" t="n"/>
      <x:c r="K296" s="572" t="inlineStr">
        <x:is>
          <x:t xml:space="preserve">OKCountyRecords index only / link unavailable</x:t>
        </x:is>
      </x:c>
      <x:c r="L296" s="565" t="n"/>
      <x:c r="M296" s="565" t="n"/>
      <x:c r="N296" s="565" t="n"/>
      <x:c r="O296" s="565" t="n"/>
      <x:c r="P296" s="565" t="n"/>
      <x:c r="Q296" s="565" t="n"/>
      <x:c r="R296" s="565" t="n"/>
      <x:c r="S296" s="613" t="n"/>
      <x:c r="T296" s="565" t="n"/>
      <x:c r="U296" s="613" t="n"/>
      <x:c r="V296" s="565" t="n"/>
      <x:c r="W296" s="565" t="n"/>
      <x:c r="X296" s="565" t="n"/>
      <x:c r="Y296" s="565" t="n"/>
      <x:c r="Z296" s="565" t="n"/>
    </x:row>
    <x:row r="297">
      <x:c r="A297" s="527" t="n"/>
      <x:c r="B297" s="527" t="n"/>
      <x:c r="C297" s="527" t="inlineStr">
        <x:is>
          <x:t xml:space="preserve">Amendment of Mortgage</x:t>
        </x:is>
      </x:c>
      <x:c r="D297" s="527" t="inlineStr">
        <x:is>
          <x:t xml:space="preserve">2548/0001</x:t>
        </x:is>
      </x:c>
      <x:c r="E297" s="529" t="n"/>
      <x:c r="F297" s="529" t="n">
        <x:v>45265</x:v>
      </x:c>
      <x:c r="G297" s="527" t="inlineStr">
        <x:is>
          <x:t xml:space="preserve">Unbridled Resources, LLC
Unbridled Agent, Corp.</x:t>
        </x:is>
      </x:c>
      <x:c r="H297" s="527" t="inlineStr">
        <x:is>
          <x:t xml:space="preserve">JP Morgan Chase Bank</x:t>
        </x:is>
      </x:c>
      <x:c r="I297" s="527" t="inlineStr">
        <x:is>
          <x:t xml:space="preserve">All of 25-18N-25W aol</x:t>
        </x:is>
      </x:c>
      <x:c r="J297" s="527" t="n"/>
      <x:c r="K297" s="572" t="inlineStr">
        <x:is>
          <x:t xml:space="preserve">OKCountyRecords index only / link unavailable</x:t>
        </x:is>
      </x:c>
      <x:c r="L297" s="565" t="n"/>
      <x:c r="M297" s="565" t="n"/>
      <x:c r="N297" s="565" t="n"/>
      <x:c r="O297" s="565" t="n"/>
      <x:c r="P297" s="565" t="n"/>
      <x:c r="Q297" s="565" t="n"/>
      <x:c r="R297" s="565" t="n"/>
      <x:c r="S297" s="613" t="n"/>
      <x:c r="T297" s="565" t="n"/>
      <x:c r="U297" s="613" t="n"/>
      <x:c r="V297" s="565" t="n"/>
      <x:c r="W297" s="565" t="n"/>
      <x:c r="X297" s="565" t="n"/>
      <x:c r="Y297" s="565" t="n"/>
      <x:c r="Z297" s="565" t="n"/>
    </x:row>
    <x:row r="298">
      <x:c r="A298" s="527" t="n"/>
      <x:c r="B298" s="527" t="n"/>
      <x:c r="C298" s="527" t="inlineStr">
        <x:is>
          <x:t xml:space="preserve">Financing Statement</x:t>
        </x:is>
      </x:c>
      <x:c r="D298" s="527" t="inlineStr">
        <x:is>
          <x:t xml:space="preserve">2556/0269</x:t>
        </x:is>
      </x:c>
      <x:c r="E298" s="529" t="n"/>
      <x:c r="F298" s="529" t="n">
        <x:v>45336</x:v>
      </x:c>
      <x:c r="G298" s="527" t="inlineStr">
        <x:is>
          <x:t xml:space="preserve">Unbridled Resources, LLC</x:t>
        </x:is>
      </x:c>
      <x:c r="H298" s="527" t="inlineStr">
        <x:is>
          <x:t xml:space="preserve">JP Morgan Chase Bank N.a</x:t>
        </x:is>
      </x:c>
      <x:c r="I298" s="527" t="inlineStr">
        <x:is>
          <x:t xml:space="preserve">All of 1-11N-23W aol</x:t>
        </x:is>
      </x:c>
      <x:c r="J298" s="527" t="n"/>
      <x:c r="K298" s="572" t="inlineStr">
        <x:is>
          <x:t xml:space="preserve">OKCountyRecords index only / link unavailable</x:t>
        </x:is>
      </x:c>
      <x:c r="L298" s="565" t="n"/>
      <x:c r="M298" s="565" t="n"/>
      <x:c r="N298" s="565" t="n"/>
      <x:c r="O298" s="565" t="n"/>
      <x:c r="P298" s="565" t="n"/>
      <x:c r="Q298" s="565" t="n"/>
      <x:c r="R298" s="565" t="n"/>
      <x:c r="S298" s="613" t="n"/>
      <x:c r="T298" s="565" t="n"/>
      <x:c r="U298" s="613" t="n"/>
      <x:c r="V298" s="565" t="n"/>
      <x:c r="W298" s="565" t="n"/>
      <x:c r="X298" s="565" t="n"/>
      <x:c r="Y298" s="565" t="n"/>
      <x:c r="Z298" s="565" t="n"/>
    </x:row>
    <x:row r="299">
      <x:c r="A299" s="527" t="n"/>
      <x:c r="B299" s="527" t="n"/>
      <x:c r="C299" s="527" t="inlineStr">
        <x:is>
          <x:t xml:space="preserve">Financing Statement</x:t>
        </x:is>
      </x:c>
      <x:c r="D299" s="527" t="inlineStr">
        <x:is>
          <x:t xml:space="preserve">2556/0010</x:t>
        </x:is>
      </x:c>
      <x:c r="E299" s="529" t="n"/>
      <x:c r="F299" s="529" t="n">
        <x:v>45336</x:v>
      </x:c>
      <x:c r="G299" s="527" t="inlineStr">
        <x:is>
          <x:t xml:space="preserve">Unbridled Agent, Corp.</x:t>
        </x:is>
      </x:c>
      <x:c r="H299" s="527" t="inlineStr">
        <x:is>
          <x:t xml:space="preserve">JP Morgan Chase Bank</x:t>
        </x:is>
      </x:c>
      <x:c r="I299" s="527" t="inlineStr">
        <x:is>
          <x:t xml:space="preserve">All of 1-11N-23W aol</x:t>
        </x:is>
      </x:c>
      <x:c r="J299" s="527" t="n"/>
      <x:c r="K299" s="572" t="inlineStr">
        <x:is>
          <x:t xml:space="preserve">OKCountyRecords index only / link unavailable</x:t>
        </x:is>
      </x:c>
      <x:c r="L299" s="565" t="n"/>
      <x:c r="M299" s="565" t="n"/>
      <x:c r="N299" s="565" t="n"/>
      <x:c r="O299" s="565" t="n"/>
      <x:c r="P299" s="565" t="n"/>
      <x:c r="Q299" s="565" t="n"/>
      <x:c r="R299" s="565" t="n"/>
      <x:c r="S299" s="613" t="n"/>
      <x:c r="T299" s="565" t="n"/>
      <x:c r="U299" s="613" t="n"/>
      <x:c r="V299" s="565" t="n"/>
      <x:c r="W299" s="565" t="n"/>
      <x:c r="X299" s="565" t="n"/>
      <x:c r="Y299" s="565" t="n"/>
      <x:c r="Z299" s="565" t="n"/>
    </x:row>
    <x:row r="300">
      <x:c r="A300" s="527" t="n"/>
      <x:c r="B300" s="527" t="n"/>
      <x:c r="C300" s="527" t="inlineStr">
        <x:is>
          <x:t xml:space="preserve">Ucc Continuation</x:t>
        </x:is>
      </x:c>
      <x:c r="D300" s="527" t="inlineStr">
        <x:is>
          <x:t xml:space="preserve">2579/0357</x:t>
        </x:is>
      </x:c>
      <x:c r="E300" s="529" t="n"/>
      <x:c r="F300" s="529" t="n">
        <x:v>45478</x:v>
      </x:c>
      <x:c r="G300" s="527" t="inlineStr">
        <x:is>
          <x:t xml:space="preserve">Tecolote Holdings, LLC</x:t>
        </x:is>
      </x:c>
      <x:c r="H300" s="527" t="inlineStr">
        <x:is>
          <x:t xml:space="preserve">JP Morgan Chase Bank</x:t>
        </x:is>
      </x:c>
      <x:c r="I300" s="527" t="inlineStr">
        <x:is>
          <x:t xml:space="preserve">A. of 20-16N-21W aol</x:t>
        </x:is>
      </x:c>
      <x:c r="J300" s="527" t="n"/>
      <x:c r="K300" s="572" t="inlineStr">
        <x:is>
          <x:t xml:space="preserve">OKCountyRecords index only / link unavailable</x:t>
        </x:is>
      </x:c>
      <x:c r="L300" s="565" t="n"/>
      <x:c r="M300" s="565" t="n"/>
      <x:c r="N300" s="565" t="n"/>
      <x:c r="O300" s="565" t="n"/>
      <x:c r="P300" s="565" t="n"/>
      <x:c r="Q300" s="565" t="n"/>
      <x:c r="R300" s="565" t="n"/>
      <x:c r="S300" s="613" t="n"/>
      <x:c r="T300" s="565" t="n"/>
      <x:c r="U300" s="613" t="n"/>
      <x:c r="V300" s="565" t="n"/>
      <x:c r="W300" s="565" t="n"/>
      <x:c r="X300" s="565" t="n"/>
      <x:c r="Y300" s="565" t="n"/>
      <x:c r="Z300" s="565" t="n"/>
    </x:row>
    <x:row r="301">
      <x:c r="A301" s="527" t="n"/>
      <x:c r="B301" s="527" t="n"/>
      <x:c r="C301" s="527" t="inlineStr">
        <x:is>
          <x:t xml:space="preserve">Release of Lien</x:t>
        </x:is>
      </x:c>
      <x:c r="D301" s="527" t="inlineStr">
        <x:is>
          <x:t xml:space="preserve">2634/0001</x:t>
        </x:is>
      </x:c>
      <x:c r="E301" s="529" t="n"/>
      <x:c r="F301" s="529" t="n">
        <x:v>45825</x:v>
      </x:c>
      <x:c r="G301" s="527" t="inlineStr">
        <x:is>
          <x:t xml:space="preserve">JP Morgan Chase Bank</x:t>
        </x:is>
      </x:c>
      <x:c r="H301" s="527" t="inlineStr">
        <x:is>
          <x:t xml:space="preserve">Breitburn Operating, LP
Breitburn Oklahoma, LLC
Unbridled Resources, LLC
Unbridled Agent, Corp.</x:t>
        </x:is>
      </x:c>
      <x:c r="I301" s="527" t="inlineStr">
        <x:is>
          <x:t xml:space="preserve">A. of 36-16N-23W aol</x:t>
        </x:is>
      </x:c>
      <x:c r="J301" s="527" t="n"/>
      <x:c r="K301" s="572" t="inlineStr">
        <x:is>
          <x:t xml:space="preserve">OKCountyRecords index only / link unavailable</x:t>
        </x:is>
      </x:c>
      <x:c r="L301" s="565" t="n"/>
      <x:c r="M301" s="565" t="n"/>
      <x:c r="N301" s="565" t="n"/>
      <x:c r="O301" s="565" t="n"/>
      <x:c r="P301" s="565" t="n"/>
      <x:c r="Q301" s="565" t="n"/>
      <x:c r="R301" s="565" t="n"/>
      <x:c r="S301" s="613" t="n"/>
      <x:c r="T301" s="565" t="n"/>
      <x:c r="U301" s="613" t="n"/>
      <x:c r="V301" s="565" t="n"/>
      <x:c r="W301" s="565" t="n"/>
      <x:c r="X301" s="565" t="n"/>
      <x:c r="Y301" s="565" t="n"/>
      <x:c r="Z301" s="565" t="n"/>
    </x:row>
    <x:row r="302">
      <x:c r="A302" s="527" t="n"/>
      <x:c r="B302" s="527" t="n"/>
      <x:c r="C302" s="527" t="inlineStr">
        <x:is>
          <x:t xml:space="preserve">Release of Mortgage</x:t>
        </x:is>
      </x:c>
      <x:c r="D302" s="527" t="inlineStr">
        <x:is>
          <x:t xml:space="preserve">2650/0484</x:t>
        </x:is>
      </x:c>
      <x:c r="E302" s="529" t="n"/>
      <x:c r="F302" s="529" t="n">
        <x:v>45915</x:v>
      </x:c>
      <x:c r="G302" s="527" t="inlineStr">
        <x:is>
          <x:t xml:space="preserve">Southstate Bank NA
Independent Bank, Administrative Agent</x:t>
        </x:is>
      </x:c>
      <x:c r="H302" s="527" t="inlineStr">
        <x:is>
          <x:t xml:space="preserve">PHX Minerals, Inc.</x:t>
        </x:is>
      </x:c>
      <x:c r="I302" s="527" t="inlineStr">
        <x:is>
          <x:t xml:space="preserve">All of 3-11N-23W aol</x:t>
        </x:is>
      </x:c>
      <x:c r="J302" s="527" t="n"/>
      <x:c r="K302" s="572" t="inlineStr">
        <x:is>
          <x:t xml:space="preserve">OKCountyRecords index only / link unavailable</x:t>
        </x:is>
      </x:c>
      <x:c r="L302" s="565" t="n"/>
      <x:c r="M302" s="565" t="n"/>
      <x:c r="N302" s="565" t="n"/>
      <x:c r="O302" s="565" t="n"/>
      <x:c r="P302" s="565" t="n"/>
      <x:c r="Q302" s="565" t="n"/>
      <x:c r="R302" s="565" t="n"/>
      <x:c r="S302" s="613" t="n"/>
      <x:c r="T302" s="565" t="n"/>
      <x:c r="U302" s="613" t="n"/>
      <x:c r="V302" s="565" t="n"/>
      <x:c r="W302" s="565" t="n"/>
      <x:c r="X302" s="565" t="n"/>
      <x:c r="Y302" s="565" t="n"/>
      <x:c r="Z302" s="565" t="n"/>
    </x:row>
    <x:row r="303">
      <x:c r="A303" s="527" t="n"/>
      <x:c r="B303" s="527" t="n"/>
      <x:c r="C303" s="527" t="inlineStr">
        <x:is>
          <x:t xml:space="preserve">Mortgage</x:t>
        </x:is>
      </x:c>
      <x:c r="D303" s="527" t="inlineStr">
        <x:is>
          <x:t xml:space="preserve">2653/0035</x:t>
        </x:is>
      </x:c>
      <x:c r="E303" s="529" t="n"/>
      <x:c r="F303" s="529" t="n">
        <x:v>45925</x:v>
      </x:c>
      <x:c r="G303" s="527" t="inlineStr">
        <x:is>
          <x:t xml:space="preserve">PHX Minerals, Inc.</x:t>
        </x:is>
      </x:c>
      <x:c r="H303" s="527" t="inlineStr">
        <x:is>
          <x:t xml:space="preserve">US Bank Trust Company, NA</x:t>
        </x:is>
      </x:c>
      <x:c r="I303" s="527" t="inlineStr">
        <x:is>
          <x:t xml:space="preserve">All of 5-11N-23W aol</x:t>
        </x:is>
      </x:c>
      <x:c r="J303" s="527" t="n"/>
      <x:c r="K303" s="572" t="inlineStr">
        <x:is>
          <x:t xml:space="preserve">OKCountyRecords index only / link unavailable</x:t>
        </x:is>
      </x:c>
      <x:c r="L303" s="565" t="n"/>
      <x:c r="M303" s="565" t="n"/>
      <x:c r="N303" s="565" t="n"/>
      <x:c r="O303" s="565" t="n"/>
      <x:c r="P303" s="565" t="n"/>
      <x:c r="Q303" s="565" t="n"/>
      <x:c r="R303" s="565" t="n"/>
      <x:c r="S303" s="613" t="n"/>
      <x:c r="T303" s="565" t="n"/>
      <x:c r="U303" s="613" t="n"/>
      <x:c r="V303" s="565" t="n"/>
      <x:c r="W303" s="565" t="n"/>
      <x:c r="X303" s="565" t="n"/>
      <x:c r="Y303" s="565" t="n"/>
      <x:c r="Z303" s="565" t="n"/>
    </x:row>
    <x:row r="304">
      <x:c r="A304" s="527" t="n"/>
      <x:c r="B304" s="527" t="n"/>
      <x:c r="C304" s="527" t="inlineStr">
        <x:is>
          <x:t xml:space="preserve">Mortgage</x:t>
        </x:is>
      </x:c>
      <x:c r="D304" s="527" t="inlineStr">
        <x:is>
          <x:t xml:space="preserve">2660/0233</x:t>
        </x:is>
      </x:c>
      <x:c r="E304" s="529" t="n"/>
      <x:c r="F304" s="529" t="n">
        <x:v>45954</x:v>
      </x:c>
      <x:c r="G304" s="527" t="inlineStr">
        <x:is>
          <x:t xml:space="preserve">Midcon Energy Production, LLC</x:t>
        </x:is>
      </x:c>
      <x:c r="H304" s="527" t="inlineStr">
        <x:is>
          <x:t xml:space="preserve">US Bank Trust Company</x:t>
        </x:is>
      </x:c>
      <x:c r="I304" s="527" t="inlineStr">
        <x:is>
          <x:t xml:space="preserve">All of 4-12N-26W aol</x:t>
        </x:is>
      </x:c>
      <x:c r="J304" s="527" t="n"/>
      <x:c r="K304" s="572" t="inlineStr">
        <x:is>
          <x:t xml:space="preserve">OKCountyRecords index only / link unavailable</x:t>
        </x:is>
      </x:c>
      <x:c r="L304" s="565" t="n"/>
      <x:c r="M304" s="565" t="n"/>
      <x:c r="N304" s="565" t="n"/>
      <x:c r="O304" s="565" t="n"/>
      <x:c r="P304" s="565" t="n"/>
      <x:c r="Q304" s="565" t="n"/>
      <x:c r="R304" s="565" t="n"/>
      <x:c r="S304" s="613" t="n"/>
      <x:c r="T304" s="565" t="n"/>
      <x:c r="U304" s="613" t="n"/>
      <x:c r="V304" s="565" t="n"/>
      <x:c r="W304" s="565" t="n"/>
      <x:c r="X304" s="565" t="n"/>
      <x:c r="Y304" s="565" t="n"/>
      <x:c r="Z304" s="565" t="n"/>
    </x:row>
    <x:row r="305">
      <x:c r="A305" s="527" t="n"/>
      <x:c r="B305" s="527" t="n"/>
      <x:c r="C305" s="527" t="inlineStr">
        <x:is>
          <x:t xml:space="preserve">Partial Release of Lien</x:t>
        </x:is>
      </x:c>
      <x:c r="D305" s="527" t="inlineStr">
        <x:is>
          <x:t xml:space="preserve">2664/0001</x:t>
        </x:is>
      </x:c>
      <x:c r="E305" s="529" t="n"/>
      <x:c r="F305" s="529" t="n">
        <x:v>45975</x:v>
      </x:c>
      <x:c r="G305" s="527" t="inlineStr">
        <x:is>
          <x:t xml:space="preserve">UMB Bank, N.a</x:t>
        </x:is>
      </x:c>
      <x:c r="H305" s="527" t="inlineStr">
        <x:is>
          <x:t xml:space="preserve">Presidio Finance, LLC</x:t>
        </x:is>
      </x:c>
      <x:c r="I305" s="527" t="inlineStr">
        <x:is>
          <x:t xml:space="preserve">All of 5-12N-21W aol</x:t>
        </x:is>
      </x:c>
      <x:c r="J305" s="527" t="n"/>
      <x:c r="K305" s="572" t="inlineStr">
        <x:is>
          <x:t xml:space="preserve">OKCountyRecords index only / link unavailable</x:t>
        </x:is>
      </x:c>
      <x:c r="L305" s="565" t="n"/>
      <x:c r="M305" s="565" t="n"/>
      <x:c r="N305" s="565" t="n"/>
      <x:c r="O305" s="565" t="n"/>
      <x:c r="P305" s="565" t="n"/>
      <x:c r="Q305" s="565" t="n"/>
      <x:c r="R305" s="565" t="n"/>
      <x:c r="S305" s="613" t="n"/>
      <x:c r="T305" s="565" t="n"/>
      <x:c r="U305" s="613" t="n"/>
      <x:c r="V305" s="565" t="n"/>
      <x:c r="W305" s="565" t="n"/>
      <x:c r="X305" s="565" t="n"/>
      <x:c r="Y305" s="565" t="n"/>
      <x:c r="Z305" s="565" t="n"/>
    </x:row>
    <x:row r="306">
      <x:c r="A306" s="527" t="n"/>
      <x:c r="B306" s="527" t="n"/>
      <x:c r="C306" s="527" t="inlineStr">
        <x:is>
          <x:t xml:space="preserve">Change of Address</x:t>
        </x:is>
      </x:c>
      <x:c r="D306" s="527" t="inlineStr">
        <x:is>
          <x:t xml:space="preserve">2700/0268</x:t>
        </x:is>
      </x:c>
      <x:c r="E306" s="529" t="n"/>
      <x:c r="F306" s="529" t="n">
        <x:v>46160</x:v>
      </x:c>
      <x:c r="G306" s="527" t="inlineStr">
        <x:is>
          <x:t xml:space="preserve">Royfin Natural Gas, LLC
Tamworth Resources, LLC
Scott Martin
Longreach Energy Investments, Inc.</x:t>
        </x:is>
      </x:c>
      <x:c r="H306" s="527" t="inlineStr">
        <x:is>
          <x:t xml:space="preserve">The Public</x:t>
        </x:is>
      </x:c>
      <x:c r="I306" s="527" t="inlineStr">
        <x:is>
          <x:t xml:space="preserve">All of 11-12N-21W aol</x:t>
        </x:is>
      </x:c>
      <x:c r="J306" s="527" t="n"/>
      <x:c r="K306" s="572" t="inlineStr">
        <x:is>
          <x:t xml:space="preserve">OKCountyRecords index only / link unavailable</x:t>
        </x:is>
      </x:c>
      <x:c r="L306" s="565" t="n"/>
      <x:c r="M306" s="565" t="n"/>
      <x:c r="N306" s="565" t="n"/>
      <x:c r="O306" s="565" t="n"/>
      <x:c r="P306" s="565" t="n"/>
      <x:c r="Q306" s="565" t="n"/>
      <x:c r="R306" s="565" t="n"/>
      <x:c r="S306" s="613" t="n"/>
      <x:c r="T306" s="565" t="n"/>
      <x:c r="U306" s="613" t="n"/>
      <x:c r="V306" s="565" t="n"/>
      <x:c r="W306" s="565" t="n"/>
      <x:c r="X306" s="565" t="n"/>
      <x:c r="Y306" s="565" t="n"/>
      <x:c r="Z306" s="565" t="n"/>
    </x:row>
    <x:row r="307">
      <x:c r="A307" s="527" t="n"/>
      <x:c r="B307" s="527" t="n"/>
      <x:c r="C307" s="527" t="inlineStr">
        <x:is>
          <x:t xml:space="preserve">Homestead</x:t>
        </x:is>
      </x:c>
      <x:c r="D307" s="527" t="inlineStr">
        <x:is>
          <x:t xml:space="preserve">FR0001/0470</x:t>
        </x:is>
      </x:c>
      <x:c r="E307" s="529" t="n"/>
      <x:c r="F307" s="529" t="n">
        <x:v>2063</x:v>
      </x:c>
      <x:c r="G307" s="527" t="inlineStr">
        <x:is>
          <x:t xml:space="preserve">General Land Office</x:t>
        </x:is>
      </x:c>
      <x:c r="H307" s="527" t="inlineStr">
        <x:is>
          <x:t xml:space="preserve">Leo Kinnett</x:t>
        </x:is>
      </x:c>
      <x:c r="I307" s="527" t="inlineStr">
        <x:is>
          <x:t xml:space="preserve">All of 31-12N-24W</x:t>
        </x:is>
      </x:c>
      <x:c r="J307" s="527" t="n"/>
      <x:c r="K307" s="527" t="n"/>
      <x:c r="L307" s="565" t="n"/>
      <x:c r="M307" s="565" t="n"/>
      <x:c r="N307" s="565" t="n"/>
      <x:c r="O307" s="565" t="n"/>
      <x:c r="P307" s="565" t="n"/>
      <x:c r="Q307" s="565" t="n"/>
      <x:c r="R307" s="565" t="n"/>
      <x:c r="S307" s="613" t="n"/>
      <x:c r="T307" s="565" t="n"/>
      <x:c r="U307" s="613" t="n"/>
      <x:c r="V307" s="565" t="n"/>
      <x:c r="W307" s="565" t="n"/>
      <x:c r="X307" s="565" t="n"/>
      <x:c r="Y307" s="565" t="n"/>
      <x:c r="Z307" s="565" t="n"/>
    </x:row>
    <x:row r="308">
      <x:c r="A308" s="527" t="n"/>
      <x:c r="B308" s="527" t="n"/>
      <x:c r="C308" s="527" t="inlineStr">
        <x:is>
          <x:t xml:space="preserve">Homestead</x:t>
        </x:is>
      </x:c>
      <x:c r="D308" s="527" t="inlineStr">
        <x:is>
          <x:t xml:space="preserve">FR0002/0199</x:t>
        </x:is>
      </x:c>
      <x:c r="E308" s="529" t="n"/>
      <x:c r="F308" s="529" t="n">
        <x:v>2601</x:v>
      </x:c>
      <x:c r="G308" s="527" t="inlineStr">
        <x:is>
          <x:t xml:space="preserve">General Land Office</x:t>
        </x:is>
      </x:c>
      <x:c r="H308" s="527" t="inlineStr">
        <x:is>
          <x:t xml:space="preserve">Charles F. Kennett</x:t>
        </x:is>
      </x:c>
      <x:c r="I308" s="527" t="inlineStr">
        <x:is>
          <x:t xml:space="preserve">All of 31-12N-24W</x:t>
        </x:is>
      </x:c>
      <x:c r="J308" s="527" t="n"/>
      <x:c r="K308" s="527" t="n"/>
      <x:c r="L308" s="565" t="n"/>
      <x:c r="M308" s="565" t="n"/>
      <x:c r="N308" s="565" t="n"/>
      <x:c r="O308" s="565" t="n"/>
      <x:c r="P308" s="565" t="n"/>
      <x:c r="Q308" s="565" t="n"/>
      <x:c r="R308" s="565" t="n"/>
      <x:c r="S308" s="613" t="n"/>
      <x:c r="T308" s="565" t="n"/>
      <x:c r="U308" s="613" t="n"/>
      <x:c r="V308" s="565" t="n"/>
      <x:c r="W308" s="565" t="n"/>
      <x:c r="X308" s="565" t="n"/>
      <x:c r="Y308" s="565" t="n"/>
      <x:c r="Z308" s="565" t="n"/>
    </x:row>
    <x:row r="309">
      <x:c r="A309" s="527" t="n"/>
      <x:c r="B309" s="527" t="n"/>
      <x:c r="C309" s="527" t="inlineStr">
        <x:is>
          <x:t xml:space="preserve">Patent</x:t>
        </x:is>
      </x:c>
      <x:c r="D309" s="527" t="inlineStr">
        <x:is>
          <x:t xml:space="preserve">PAT003/0495</x:t>
        </x:is>
      </x:c>
      <x:c r="E309" s="529" t="n"/>
      <x:c r="F309" s="529" t="n">
        <x:v>2752</x:v>
      </x:c>
      <x:c r="G309" s="527" t="inlineStr">
        <x:is>
          <x:t xml:space="preserve">United States of America</x:t>
        </x:is>
      </x:c>
      <x:c r="H309" s="527" t="inlineStr">
        <x:is>
          <x:t xml:space="preserve">Leo Kennett</x:t>
        </x:is>
      </x:c>
      <x:c r="I309" s="527" t="inlineStr">
        <x:is>
          <x:t xml:space="preserve">All of 31-12N-24W</x:t>
        </x:is>
      </x:c>
      <x:c r="J309" s="527" t="n"/>
      <x:c r="K309" s="527" t="n"/>
      <x:c r="L309" s="565" t="n"/>
      <x:c r="M309" s="565" t="n"/>
      <x:c r="N309" s="565" t="n"/>
      <x:c r="O309" s="565" t="n"/>
      <x:c r="P309" s="565" t="n"/>
      <x:c r="Q309" s="565" t="n"/>
      <x:c r="R309" s="565" t="n"/>
      <x:c r="S309" s="613" t="n"/>
      <x:c r="T309" s="565" t="n"/>
      <x:c r="U309" s="613" t="n"/>
      <x:c r="V309" s="565" t="n"/>
      <x:c r="W309" s="565" t="n"/>
      <x:c r="X309" s="565" t="n"/>
      <x:c r="Y309" s="565" t="n"/>
      <x:c r="Z309" s="565" t="n"/>
    </x:row>
    <x:row r="310">
      <x:c r="A310" s="527" t="n"/>
      <x:c r="B310" s="527" t="n"/>
      <x:c r="C310" s="527" t="inlineStr">
        <x:is>
          <x:t xml:space="preserve">Homestead</x:t>
        </x:is>
      </x:c>
      <x:c r="D310" s="527" t="inlineStr">
        <x:is>
          <x:t xml:space="preserve">FR0002/0292</x:t>
        </x:is>
      </x:c>
      <x:c r="E310" s="529" t="n"/>
      <x:c r="F310" s="529" t="n">
        <x:v>2754</x:v>
      </x:c>
      <x:c r="G310" s="527" t="inlineStr">
        <x:is>
          <x:t xml:space="preserve">General Land Office</x:t>
        </x:is>
      </x:c>
      <x:c r="H310" s="527" t="inlineStr">
        <x:is>
          <x:t xml:space="preserve">Hobert E. McGuire</x:t>
        </x:is>
      </x:c>
      <x:c r="I310" s="527" t="inlineStr">
        <x:is>
          <x:t xml:space="preserve">All of 31-12N-24W</x:t>
        </x:is>
      </x:c>
      <x:c r="J310" s="527" t="n"/>
      <x:c r="K310" s="527" t="n"/>
      <x:c r="L310" s="565" t="n"/>
      <x:c r="M310" s="565" t="n"/>
      <x:c r="N310" s="565" t="n"/>
      <x:c r="O310" s="565" t="n"/>
      <x:c r="P310" s="565" t="n"/>
      <x:c r="Q310" s="565" t="n"/>
      <x:c r="R310" s="565" t="n"/>
      <x:c r="S310" s="613" t="n"/>
      <x:c r="T310" s="565" t="n"/>
      <x:c r="U310" s="613" t="n"/>
      <x:c r="V310" s="565" t="n"/>
      <x:c r="W310" s="565" t="n"/>
      <x:c r="X310" s="565" t="n"/>
      <x:c r="Y310" s="565" t="n"/>
      <x:c r="Z310" s="565" t="n"/>
    </x:row>
    <x:row r="311">
      <x:c r="A311" s="527" t="n"/>
      <x:c r="B311" s="527" t="n"/>
      <x:c r="C311" s="527" t="inlineStr">
        <x:is>
          <x:t xml:space="preserve">Homestead</x:t>
        </x:is>
      </x:c>
      <x:c r="D311" s="527" t="inlineStr">
        <x:is>
          <x:t xml:space="preserve">FR0002/0293</x:t>
        </x:is>
      </x:c>
      <x:c r="E311" s="529" t="n"/>
      <x:c r="F311" s="529" t="n">
        <x:v>2754</x:v>
      </x:c>
      <x:c r="G311" s="527" t="inlineStr">
        <x:is>
          <x:t xml:space="preserve">General Land Office</x:t>
        </x:is>
      </x:c>
      <x:c r="H311" s="527" t="inlineStr">
        <x:is>
          <x:t xml:space="preserve">Ernest Brooks</x:t>
        </x:is>
      </x:c>
      <x:c r="I311" s="527" t="inlineStr">
        <x:is>
          <x:t xml:space="preserve">All of 31-12N-24W</x:t>
        </x:is>
      </x:c>
      <x:c r="J311" s="527" t="n"/>
      <x:c r="K311" s="527" t="n"/>
      <x:c r="L311" s="565" t="n"/>
      <x:c r="M311" s="565" t="n"/>
      <x:c r="N311" s="565" t="n"/>
      <x:c r="O311" s="565" t="n"/>
      <x:c r="P311" s="565" t="n"/>
      <x:c r="Q311" s="565" t="n"/>
      <x:c r="R311" s="565" t="n"/>
      <x:c r="S311" s="613" t="n"/>
      <x:c r="T311" s="565" t="n"/>
      <x:c r="U311" s="613" t="n"/>
      <x:c r="V311" s="565" t="n"/>
      <x:c r="W311" s="565" t="n"/>
      <x:c r="X311" s="565" t="n"/>
      <x:c r="Y311" s="565" t="n"/>
      <x:c r="Z311" s="565" t="n"/>
    </x:row>
    <x:row r="312">
      <x:c r="A312" s="527" t="n"/>
      <x:c r="B312" s="527" t="n"/>
      <x:c r="C312" s="527" t="inlineStr">
        <x:is>
          <x:t xml:space="preserve">Homestead</x:t>
        </x:is>
      </x:c>
      <x:c r="D312" s="527" t="inlineStr">
        <x:is>
          <x:t xml:space="preserve">FR0002/0448</x:t>
        </x:is>
      </x:c>
      <x:c r="E312" s="529" t="n"/>
      <x:c r="F312" s="529" t="n">
        <x:v>3121</x:v>
      </x:c>
      <x:c r="G312" s="527" t="inlineStr">
        <x:is>
          <x:t xml:space="preserve">General Land Office</x:t>
        </x:is>
      </x:c>
      <x:c r="H312" s="527" t="inlineStr">
        <x:is>
          <x:t xml:space="preserve">Roy a. Garrison</x:t>
        </x:is>
      </x:c>
      <x:c r="I312" s="527" t="inlineStr">
        <x:is>
          <x:t xml:space="preserve">All of 31-12N-24W aol</x:t>
        </x:is>
      </x:c>
      <x:c r="J312" s="527" t="n"/>
      <x:c r="K312" s="527" t="n"/>
      <x:c r="L312" s="565" t="n"/>
      <x:c r="M312" s="565" t="n"/>
      <x:c r="N312" s="565" t="n"/>
      <x:c r="O312" s="565" t="n"/>
      <x:c r="P312" s="565" t="n"/>
      <x:c r="Q312" s="565" t="n"/>
      <x:c r="R312" s="565" t="n"/>
      <x:c r="S312" s="613" t="n"/>
      <x:c r="T312" s="565" t="n"/>
      <x:c r="U312" s="613" t="n"/>
      <x:c r="V312" s="565" t="n"/>
      <x:c r="W312" s="565" t="n"/>
      <x:c r="X312" s="565" t="n"/>
      <x:c r="Y312" s="565" t="n"/>
      <x:c r="Z312" s="565" t="n"/>
    </x:row>
    <x:row r="313">
      <x:c r="A313" s="527" t="n"/>
      <x:c r="B313" s="527" t="n"/>
      <x:c r="C313" s="527" t="inlineStr">
        <x:is>
          <x:t xml:space="preserve">Patent</x:t>
        </x:is>
      </x:c>
      <x:c r="D313" s="527" t="inlineStr">
        <x:is>
          <x:t xml:space="preserve">PAT006/0007</x:t>
        </x:is>
      </x:c>
      <x:c r="E313" s="529" t="n"/>
      <x:c r="F313" s="529" t="n">
        <x:v>3652</x:v>
      </x:c>
      <x:c r="G313" s="527" t="inlineStr">
        <x:is>
          <x:t xml:space="preserve">United States of America</x:t>
        </x:is>
      </x:c>
      <x:c r="H313" s="527" t="inlineStr">
        <x:is>
          <x:t xml:space="preserve">Ernest Brooks</x:t>
        </x:is>
      </x:c>
      <x:c r="I313" s="527" t="inlineStr">
        <x:is>
          <x:t xml:space="preserve">All of 31-12N-24W</x:t>
        </x:is>
      </x:c>
      <x:c r="J313" s="527" t="n"/>
      <x:c r="K313" s="527" t="n"/>
      <x:c r="L313" s="565" t="n"/>
      <x:c r="M313" s="565" t="n"/>
      <x:c r="N313" s="565" t="n"/>
      <x:c r="O313" s="565" t="n"/>
      <x:c r="P313" s="565" t="n"/>
      <x:c r="Q313" s="565" t="n"/>
      <x:c r="R313" s="565" t="n"/>
      <x:c r="S313" s="613" t="n"/>
      <x:c r="T313" s="565" t="n"/>
      <x:c r="U313" s="613" t="n"/>
      <x:c r="V313" s="565" t="n"/>
      <x:c r="W313" s="565" t="n"/>
      <x:c r="X313" s="565" t="n"/>
      <x:c r="Y313" s="565" t="n"/>
      <x:c r="Z313" s="565" t="n"/>
    </x:row>
    <x:row r="314">
      <x:c r="A314" s="527" t="n"/>
      <x:c r="B314" s="527" t="n"/>
      <x:c r="C314" s="527" t="inlineStr">
        <x:is>
          <x:t xml:space="preserve">Patent</x:t>
        </x:is>
      </x:c>
      <x:c r="D314" s="527" t="inlineStr">
        <x:is>
          <x:t xml:space="preserve">PAT010/0234</x:t>
        </x:is>
      </x:c>
      <x:c r="E314" s="529" t="n"/>
      <x:c r="F314" s="529" t="n">
        <x:v>11021</x:v>
      </x:c>
      <x:c r="G314" s="527" t="inlineStr">
        <x:is>
          <x:t xml:space="preserve">United States of America</x:t>
        </x:is>
      </x:c>
      <x:c r="H314" s="527" t="inlineStr">
        <x:is>
          <x:t xml:space="preserve">Roy a. Garrison</x:t>
        </x:is>
      </x:c>
      <x:c r="I314" s="527" t="inlineStr">
        <x:is>
          <x:t xml:space="preserve">All of 31-12N-24W aol</x:t>
        </x:is>
      </x:c>
      <x:c r="J314" s="527" t="n"/>
      <x:c r="K314" s="527" t="n"/>
      <x:c r="L314" s="565" t="n"/>
      <x:c r="M314" s="565" t="n"/>
      <x:c r="N314" s="565" t="n"/>
      <x:c r="O314" s="565" t="n"/>
      <x:c r="P314" s="565" t="n"/>
      <x:c r="Q314" s="565" t="n"/>
      <x:c r="R314" s="565" t="n"/>
      <x:c r="S314" s="613" t="n"/>
      <x:c r="T314" s="565" t="n"/>
      <x:c r="U314" s="613" t="n"/>
      <x:c r="V314" s="565" t="n"/>
      <x:c r="W314" s="565" t="n"/>
      <x:c r="X314" s="565" t="n"/>
      <x:c r="Y314" s="565" t="n"/>
      <x:c r="Z314" s="565" t="n"/>
    </x:row>
    <x:row r="315">
      <x:c r="A315" s="527" t="n"/>
      <x:c r="B315" s="527" t="n"/>
      <x:c r="C315" s="527" t="inlineStr">
        <x:is>
          <x:t xml:space="preserve">Patent</x:t>
        </x:is>
      </x:c>
      <x:c r="D315" s="527" t="inlineStr">
        <x:is>
          <x:t xml:space="preserve">PAT007/0374</x:t>
        </x:is>
      </x:c>
      <x:c r="E315" s="529" t="n"/>
      <x:c r="F315" s="529" t="n">
        <x:v>11450</x:v>
      </x:c>
      <x:c r="G315" s="527" t="inlineStr">
        <x:is>
          <x:t xml:space="preserve">United States of America</x:t>
        </x:is>
      </x:c>
      <x:c r="H315" s="527" t="inlineStr">
        <x:is>
          <x:t xml:space="preserve">Herbert E. McGuire</x:t>
        </x:is>
      </x:c>
      <x:c r="I315" s="527" t="inlineStr">
        <x:is>
          <x:t xml:space="preserve">All of 31-12N-24W</x:t>
        </x:is>
      </x:c>
      <x:c r="J315" s="527" t="n"/>
      <x:c r="K315" s="527" t="n"/>
      <x:c r="L315" s="565" t="n"/>
      <x:c r="M315" s="565" t="n"/>
      <x:c r="N315" s="565" t="n"/>
      <x:c r="O315" s="565" t="n"/>
      <x:c r="P315" s="565" t="n"/>
      <x:c r="Q315" s="565" t="n"/>
      <x:c r="R315" s="565" t="n"/>
      <x:c r="S315" s="613" t="n"/>
      <x:c r="T315" s="565" t="n"/>
      <x:c r="U315" s="613" t="n"/>
      <x:c r="V315" s="565" t="n"/>
      <x:c r="W315" s="565" t="n"/>
      <x:c r="X315" s="565" t="n"/>
      <x:c r="Y315" s="565" t="n"/>
      <x:c r="Z315" s="565" t="n"/>
    </x:row>
    <x:row r="316">
      <x:c r="A316" s="527" t="n"/>
      <x:c r="B316" s="527" t="n"/>
      <x:c r="C316" s="527" t="inlineStr">
        <x:is>
          <x:t xml:space="preserve">Deed</x:t>
        </x:is>
      </x:c>
      <x:c r="D316" s="527" t="inlineStr">
        <x:is>
          <x:t xml:space="preserve">162/0162</x:t>
        </x:is>
      </x:c>
      <x:c r="E316" s="529" t="n"/>
      <x:c r="F316" s="529" t="n">
        <x:v>27121</x:v>
      </x:c>
      <x:c r="G316" s="527" t="inlineStr">
        <x:is>
          <x:t xml:space="preserve">J. B. Campbell,
Lillie a. Campbell</x:t>
        </x:is>
      </x:c>
      <x:c r="H316" s="527" t="inlineStr">
        <x:is>
          <x:t xml:space="preserve">Elmo W. Kirk,
Freeda Kirk</x:t>
        </x:is>
      </x:c>
      <x:c r="I316" s="527" t="inlineStr">
        <x:is>
          <x:t xml:space="preserve">All of 31-12N-24W</x:t>
        </x:is>
      </x:c>
      <x:c r="J316" s="527" t="n"/>
      <x:c r="K316" s="527" t="n"/>
      <x:c r="L316" s="565" t="n"/>
      <x:c r="M316" s="565" t="n"/>
      <x:c r="N316" s="565" t="n"/>
      <x:c r="O316" s="565" t="n"/>
      <x:c r="P316" s="565" t="n"/>
      <x:c r="Q316" s="565" t="n"/>
      <x:c r="R316" s="565" t="n"/>
      <x:c r="S316" s="613" t="n"/>
      <x:c r="T316" s="565" t="n"/>
      <x:c r="U316" s="613" t="n"/>
      <x:c r="V316" s="565" t="n"/>
      <x:c r="W316" s="565" t="n"/>
      <x:c r="X316" s="565" t="n"/>
      <x:c r="Y316" s="565" t="n"/>
      <x:c r="Z316" s="565" t="n"/>
    </x:row>
    <x:row r="317">
      <x:c r="A317" s="527" t="n"/>
      <x:c r="B317" s="527" t="n"/>
      <x:c r="C317" s="527" t="inlineStr">
        <x:is>
          <x:t xml:space="preserve">Deed</x:t>
        </x:is>
      </x:c>
      <x:c r="D317" s="527" t="inlineStr">
        <x:is>
          <x:t xml:space="preserve">163/0565</x:t>
        </x:is>
      </x:c>
      <x:c r="E317" s="529" t="n"/>
      <x:c r="F317" s="529" t="n">
        <x:v>27163</x:v>
      </x:c>
      <x:c r="G317" s="527" t="inlineStr">
        <x:is>
          <x:t xml:space="preserve">L. E. Thurman,
Veronica Thurman</x:t>
        </x:is>
      </x:c>
      <x:c r="H317" s="527" t="inlineStr">
        <x:is>
          <x:t xml:space="preserve">Marie Lister</x:t>
        </x:is>
      </x:c>
      <x:c r="I317" s="527" t="inlineStr">
        <x:is>
          <x:t xml:space="preserve">All of 31-12N-24W aol</x:t>
        </x:is>
      </x:c>
      <x:c r="J317" s="527" t="n"/>
      <x:c r="K317" s="527" t="n"/>
      <x:c r="L317" s="565" t="n"/>
      <x:c r="M317" s="565" t="n"/>
      <x:c r="N317" s="565" t="n"/>
      <x:c r="O317" s="565" t="n"/>
      <x:c r="P317" s="565" t="n"/>
      <x:c r="Q317" s="565" t="n"/>
      <x:c r="R317" s="565" t="n"/>
      <x:c r="S317" s="613" t="n"/>
      <x:c r="T317" s="565" t="n"/>
      <x:c r="U317" s="613" t="n"/>
      <x:c r="V317" s="565" t="n"/>
      <x:c r="W317" s="565" t="n"/>
      <x:c r="X317" s="565" t="n"/>
      <x:c r="Y317" s="565" t="n"/>
      <x:c r="Z317" s="565" t="n"/>
    </x:row>
    <x:row r="318">
      <x:c r="A318" s="527" t="n"/>
      <x:c r="B318" s="527" t="n"/>
      <x:c r="C318" s="527" t="inlineStr">
        <x:is>
          <x:t xml:space="preserve">Deed</x:t>
        </x:is>
      </x:c>
      <x:c r="D318" s="527" t="inlineStr">
        <x:is>
          <x:t xml:space="preserve">164/0066</x:t>
        </x:is>
      </x:c>
      <x:c r="E318" s="529" t="n"/>
      <x:c r="F318" s="529" t="n">
        <x:v>27171</x:v>
      </x:c>
      <x:c r="G318" s="527" t="inlineStr">
        <x:is>
          <x:t xml:space="preserve">Marie Lister</x:t>
        </x:is>
      </x:c>
      <x:c r="H318" s="527" t="inlineStr">
        <x:is>
          <x:t xml:space="preserve">W. H. Sorenson</x:t>
        </x:is>
      </x:c>
      <x:c r="I318" s="527" t="inlineStr">
        <x:is>
          <x:t xml:space="preserve">All of 31-12N-24W aol</x:t>
        </x:is>
      </x:c>
      <x:c r="J318" s="527" t="n"/>
      <x:c r="K318" s="527" t="n"/>
      <x:c r="L318" s="565" t="n"/>
      <x:c r="M318" s="565" t="n"/>
      <x:c r="N318" s="565" t="n"/>
      <x:c r="O318" s="565" t="n"/>
      <x:c r="P318" s="565" t="n"/>
      <x:c r="Q318" s="565" t="n"/>
      <x:c r="R318" s="565" t="n"/>
      <x:c r="S318" s="613" t="n"/>
      <x:c r="T318" s="565" t="n"/>
      <x:c r="U318" s="613" t="n"/>
      <x:c r="V318" s="565" t="n"/>
      <x:c r="W318" s="565" t="n"/>
      <x:c r="X318" s="565" t="n"/>
      <x:c r="Y318" s="565" t="n"/>
      <x:c r="Z318" s="565" t="n"/>
    </x:row>
    <x:row r="319">
      <x:c r="A319" s="527" t="n"/>
      <x:c r="B319" s="527" t="n"/>
      <x:c r="C319" s="527" t="inlineStr">
        <x:is>
          <x:t xml:space="preserve">Deed</x:t>
        </x:is>
      </x:c>
      <x:c r="D319" s="527" t="inlineStr">
        <x:is>
          <x:t xml:space="preserve">165/0087</x:t>
        </x:is>
      </x:c>
      <x:c r="E319" s="529" t="n"/>
      <x:c r="F319" s="529" t="n">
        <x:v>27207</x:v>
      </x:c>
      <x:c r="G319" s="527" t="inlineStr">
        <x:is>
          <x:t xml:space="preserve">Marie Lister</x:t>
        </x:is>
      </x:c>
      <x:c r="H319" s="527" t="inlineStr">
        <x:is>
          <x:t xml:space="preserve">The Mann Childrens Trust</x:t>
        </x:is>
      </x:c>
      <x:c r="I319" s="527" t="inlineStr">
        <x:is>
          <x:t xml:space="preserve">All of 31-12N-24W aol</x:t>
        </x:is>
      </x:c>
      <x:c r="J319" s="527" t="n"/>
      <x:c r="K319" s="527" t="n"/>
      <x:c r="L319" s="565" t="n"/>
      <x:c r="M319" s="565" t="n"/>
      <x:c r="N319" s="565" t="n"/>
      <x:c r="O319" s="565" t="n"/>
      <x:c r="P319" s="565" t="n"/>
      <x:c r="Q319" s="565" t="n"/>
      <x:c r="R319" s="565" t="n"/>
      <x:c r="S319" s="613" t="n"/>
      <x:c r="T319" s="565" t="n"/>
      <x:c r="U319" s="613" t="n"/>
      <x:c r="V319" s="565" t="n"/>
      <x:c r="W319" s="565" t="n"/>
      <x:c r="X319" s="565" t="n"/>
      <x:c r="Y319" s="565" t="n"/>
      <x:c r="Z319" s="565" t="n"/>
    </x:row>
    <x:row r="320">
      <x:c r="A320" s="527" t="n"/>
      <x:c r="B320" s="527" t="n"/>
      <x:c r="C320" s="527" t="inlineStr">
        <x:is>
          <x:t xml:space="preserve">Deed</x:t>
        </x:is>
      </x:c>
      <x:c r="D320" s="527" t="inlineStr">
        <x:is>
          <x:t xml:space="preserve">176/0144</x:t>
        </x:is>
      </x:c>
      <x:c r="E320" s="529" t="n"/>
      <x:c r="F320" s="529" t="n">
        <x:v>27481</x:v>
      </x:c>
      <x:c r="G320" s="527" t="inlineStr">
        <x:is>
          <x:t xml:space="preserve">Marie Lister</x:t>
        </x:is>
      </x:c>
      <x:c r="H320" s="527" t="inlineStr">
        <x:is>
          <x:t xml:space="preserve">J. E. Barnett</x:t>
        </x:is>
      </x:c>
      <x:c r="I320" s="527" t="inlineStr">
        <x:is>
          <x:t xml:space="preserve">All of 31-12N-24W aol</x:t>
        </x:is>
      </x:c>
      <x:c r="J320" s="527" t="n"/>
      <x:c r="K320" s="527" t="n"/>
      <x:c r="L320" s="565" t="n"/>
      <x:c r="M320" s="565" t="n"/>
      <x:c r="N320" s="565" t="n"/>
      <x:c r="O320" s="565" t="n"/>
      <x:c r="P320" s="565" t="n"/>
      <x:c r="Q320" s="565" t="n"/>
      <x:c r="R320" s="565" t="n"/>
      <x:c r="S320" s="613" t="n"/>
      <x:c r="T320" s="565" t="n"/>
      <x:c r="U320" s="613" t="n"/>
      <x:c r="V320" s="565" t="n"/>
      <x:c r="W320" s="565" t="n"/>
      <x:c r="X320" s="565" t="n"/>
      <x:c r="Y320" s="565" t="n"/>
      <x:c r="Z320" s="565" t="n"/>
    </x:row>
    <x:row r="321">
      <x:c r="A321" s="527" t="n"/>
      <x:c r="B321" s="527" t="n"/>
      <x:c r="C321" s="527" t="inlineStr">
        <x:is>
          <x:t xml:space="preserve">Deed</x:t>
        </x:is>
      </x:c>
      <x:c r="D321" s="527" t="inlineStr">
        <x:is>
          <x:t xml:space="preserve">197/0116</x:t>
        </x:is>
      </x:c>
      <x:c r="E321" s="529" t="n"/>
      <x:c r="F321" s="529" t="n">
        <x:v>28005</x:v>
      </x:c>
      <x:c r="G321" s="527" t="inlineStr">
        <x:is>
          <x:t xml:space="preserve">Elmo W. Kirk,
Freeda Kirk</x:t>
        </x:is>
      </x:c>
      <x:c r="H321" s="527" t="inlineStr">
        <x:is>
          <x:t xml:space="preserve">Margie Kirk</x:t>
        </x:is>
      </x:c>
      <x:c r="I321" s="527" t="inlineStr">
        <x:is>
          <x:t xml:space="preserve">All of 31-12N-24W</x:t>
        </x:is>
      </x:c>
      <x:c r="J321" s="527" t="n"/>
      <x:c r="K321" s="527" t="n"/>
      <x:c r="L321" s="565" t="n"/>
      <x:c r="M321" s="565" t="n"/>
      <x:c r="N321" s="565" t="n"/>
      <x:c r="O321" s="565" t="n"/>
      <x:c r="P321" s="565" t="n"/>
      <x:c r="Q321" s="565" t="n"/>
      <x:c r="R321" s="565" t="n"/>
      <x:c r="S321" s="613" t="n"/>
      <x:c r="T321" s="565" t="n"/>
      <x:c r="U321" s="613" t="n"/>
      <x:c r="V321" s="565" t="n"/>
      <x:c r="W321" s="565" t="n"/>
      <x:c r="X321" s="565" t="n"/>
      <x:c r="Y321" s="565" t="n"/>
      <x:c r="Z321" s="565" t="n"/>
    </x:row>
    <x:row r="322">
      <x:c r="A322" s="527" t="n"/>
      <x:c r="B322" s="527" t="n"/>
      <x:c r="C322" s="527" t="inlineStr">
        <x:is>
          <x:t xml:space="preserve">Deed</x:t>
        </x:is>
      </x:c>
      <x:c r="D322" s="527" t="inlineStr">
        <x:is>
          <x:t xml:space="preserve">227/0089</x:t>
        </x:is>
      </x:c>
      <x:c r="E322" s="529" t="n"/>
      <x:c r="F322" s="529" t="n">
        <x:v>28445</x:v>
      </x:c>
      <x:c r="G322" s="527" t="inlineStr">
        <x:is>
          <x:t xml:space="preserve">Margie Kirk</x:t>
        </x:is>
      </x:c>
      <x:c r="H322" s="527" t="inlineStr">
        <x:is>
          <x:t xml:space="preserve">Ella Pearl Kirk,
Gordon E. Kirk</x:t>
        </x:is>
      </x:c>
      <x:c r="I322" s="527" t="inlineStr">
        <x:is>
          <x:t xml:space="preserve">All of 31-12N-24W</x:t>
        </x:is>
      </x:c>
      <x:c r="J322" s="527" t="n"/>
      <x:c r="K322" s="527" t="n"/>
      <x:c r="L322" s="565" t="n"/>
      <x:c r="M322" s="565" t="n"/>
      <x:c r="N322" s="565" t="n"/>
      <x:c r="O322" s="565" t="n"/>
      <x:c r="P322" s="565" t="n"/>
      <x:c r="Q322" s="565" t="n"/>
      <x:c r="R322" s="565" t="n"/>
      <x:c r="S322" s="613" t="n"/>
      <x:c r="T322" s="565" t="n"/>
      <x:c r="U322" s="613" t="n"/>
      <x:c r="V322" s="565" t="n"/>
      <x:c r="W322" s="565" t="n"/>
      <x:c r="X322" s="565" t="n"/>
      <x:c r="Y322" s="565" t="n"/>
      <x:c r="Z322" s="565" t="n"/>
    </x:row>
    <x:row r="323">
      <x:c r="A323" s="527" t="n"/>
      <x:c r="B323" s="527" t="n"/>
      <x:c r="C323" s="527" t="inlineStr">
        <x:is>
          <x:t xml:space="preserve">Deed</x:t>
        </x:is>
      </x:c>
      <x:c r="D323" s="527" t="inlineStr">
        <x:is>
          <x:t xml:space="preserve">237/0371</x:t>
        </x:is>
      </x:c>
      <x:c r="E323" s="529" t="n"/>
      <x:c r="F323" s="529" t="n">
        <x:v>28583</x:v>
      </x:c>
      <x:c r="G323" s="527" t="inlineStr">
        <x:is>
          <x:t xml:space="preserve">Eula Bain,
W. C. Bain,
William C. Bain,
W. M. Bain</x:t>
        </x:is>
      </x:c>
      <x:c r="H323" s="527" t="inlineStr">
        <x:is>
          <x:t xml:space="preserve">Carl L. Bain</x:t>
        </x:is>
      </x:c>
      <x:c r="I323" s="527" t="inlineStr">
        <x:is>
          <x:t xml:space="preserve">All of 31-12N-24W aol</x:t>
        </x:is>
      </x:c>
      <x:c r="J323" s="527" t="n"/>
      <x:c r="K323" s="527" t="n"/>
      <x:c r="L323" s="565" t="n"/>
      <x:c r="M323" s="565" t="n"/>
      <x:c r="N323" s="565" t="n"/>
      <x:c r="O323" s="565" t="n"/>
      <x:c r="P323" s="565" t="n"/>
      <x:c r="Q323" s="565" t="n"/>
      <x:c r="R323" s="565" t="n"/>
      <x:c r="S323" s="613" t="n"/>
      <x:c r="T323" s="565" t="n"/>
      <x:c r="U323" s="613" t="n"/>
      <x:c r="V323" s="565" t="n"/>
      <x:c r="W323" s="565" t="n"/>
      <x:c r="X323" s="565" t="n"/>
      <x:c r="Y323" s="565" t="n"/>
      <x:c r="Z323" s="565" t="n"/>
    </x:row>
    <x:row r="324">
      <x:c r="A324" s="527" t="n"/>
      <x:c r="B324" s="527" t="n"/>
      <x:c r="C324" s="527" t="inlineStr">
        <x:is>
          <x:t xml:space="preserve">Deed</x:t>
        </x:is>
      </x:c>
      <x:c r="D324" s="527" t="inlineStr">
        <x:is>
          <x:t xml:space="preserve">237/0372</x:t>
        </x:is>
      </x:c>
      <x:c r="E324" s="529" t="n"/>
      <x:c r="F324" s="529" t="n">
        <x:v>28583</x:v>
      </x:c>
      <x:c r="G324" s="527" t="inlineStr">
        <x:is>
          <x:t xml:space="preserve">Eula Bain,
W. C. Bain,
William C. Bain,
W. M. Bain</x:t>
        </x:is>
      </x:c>
      <x:c r="H324" s="527" t="inlineStr">
        <x:is>
          <x:t xml:space="preserve">Dow C. Bain</x:t>
        </x:is>
      </x:c>
      <x:c r="I324" s="527" t="inlineStr">
        <x:is>
          <x:t xml:space="preserve">All of 31-12N-24W aol</x:t>
        </x:is>
      </x:c>
      <x:c r="J324" s="527" t="n"/>
      <x:c r="K324" s="527" t="n"/>
      <x:c r="L324" s="565" t="n"/>
      <x:c r="M324" s="565" t="n"/>
      <x:c r="N324" s="565" t="n"/>
      <x:c r="O324" s="565" t="n"/>
      <x:c r="P324" s="565" t="n"/>
      <x:c r="Q324" s="565" t="n"/>
      <x:c r="R324" s="565" t="n"/>
      <x:c r="S324" s="613" t="n"/>
      <x:c r="T324" s="565" t="n"/>
      <x:c r="U324" s="613" t="n"/>
      <x:c r="V324" s="565" t="n"/>
      <x:c r="W324" s="565" t="n"/>
      <x:c r="X324" s="565" t="n"/>
      <x:c r="Y324" s="565" t="n"/>
      <x:c r="Z324" s="565" t="n"/>
    </x:row>
    <x:row r="325">
      <x:c r="A325" s="527" t="n"/>
      <x:c r="B325" s="527" t="n"/>
      <x:c r="C325" s="527" t="inlineStr">
        <x:is>
          <x:t xml:space="preserve">Deed</x:t>
        </x:is>
      </x:c>
      <x:c r="D325" s="527" t="inlineStr">
        <x:is>
          <x:t xml:space="preserve">237/0367</x:t>
        </x:is>
      </x:c>
      <x:c r="E325" s="529" t="n"/>
      <x:c r="F325" s="529" t="n">
        <x:v>28583</x:v>
      </x:c>
      <x:c r="G325" s="527" t="inlineStr">
        <x:is>
          <x:t xml:space="preserve">Eula Bain,
W. C. Bain,
William C. Bain,
W. M. Bain</x:t>
        </x:is>
      </x:c>
      <x:c r="H325" s="527" t="inlineStr">
        <x:is>
          <x:t xml:space="preserve">Hazel a. Hamilton</x:t>
        </x:is>
      </x:c>
      <x:c r="I325" s="527" t="inlineStr">
        <x:is>
          <x:t xml:space="preserve">All of 31-12N-24W aol</x:t>
        </x:is>
      </x:c>
      <x:c r="J325" s="527" t="n"/>
      <x:c r="K325" s="527" t="n"/>
      <x:c r="L325" s="565" t="n"/>
      <x:c r="M325" s="565" t="n"/>
      <x:c r="N325" s="565" t="n"/>
      <x:c r="O325" s="565" t="n"/>
      <x:c r="P325" s="565" t="n"/>
      <x:c r="Q325" s="565" t="n"/>
      <x:c r="R325" s="565" t="n"/>
      <x:c r="S325" s="613" t="n"/>
      <x:c r="T325" s="565" t="n"/>
      <x:c r="U325" s="613" t="n"/>
      <x:c r="V325" s="565" t="n"/>
      <x:c r="W325" s="565" t="n"/>
      <x:c r="X325" s="565" t="n"/>
      <x:c r="Y325" s="565" t="n"/>
      <x:c r="Z325" s="565" t="n"/>
    </x:row>
    <x:row r="326">
      <x:c r="A326" s="527" t="n"/>
      <x:c r="B326" s="527" t="n"/>
      <x:c r="C326" s="527" t="inlineStr">
        <x:is>
          <x:t xml:space="preserve">Deed</x:t>
        </x:is>
      </x:c>
      <x:c r="D326" s="527" t="inlineStr">
        <x:is>
          <x:t xml:space="preserve">237/0370</x:t>
        </x:is>
      </x:c>
      <x:c r="E326" s="529" t="n"/>
      <x:c r="F326" s="529" t="n">
        <x:v>28583</x:v>
      </x:c>
      <x:c r="G326" s="527" t="inlineStr">
        <x:is>
          <x:t xml:space="preserve">Eula Bain,
W. C. Bain,
William C. Bain,
W. M. Bain</x:t>
        </x:is>
      </x:c>
      <x:c r="H326" s="527" t="inlineStr">
        <x:is>
          <x:t xml:space="preserve">Opal L. Fuchs</x:t>
        </x:is>
      </x:c>
      <x:c r="I326" s="527" t="inlineStr">
        <x:is>
          <x:t xml:space="preserve">All of 31-12N-24W aol</x:t>
        </x:is>
      </x:c>
      <x:c r="J326" s="527" t="n"/>
      <x:c r="K326" s="527" t="n"/>
      <x:c r="L326" s="565" t="n"/>
      <x:c r="M326" s="565" t="n"/>
      <x:c r="N326" s="565" t="n"/>
      <x:c r="O326" s="565" t="n"/>
      <x:c r="P326" s="565" t="n"/>
      <x:c r="Q326" s="565" t="n"/>
      <x:c r="R326" s="565" t="n"/>
      <x:c r="S326" s="613" t="n"/>
      <x:c r="T326" s="565" t="n"/>
      <x:c r="U326" s="613" t="n"/>
      <x:c r="V326" s="565" t="n"/>
      <x:c r="W326" s="565" t="n"/>
      <x:c r="X326" s="565" t="n"/>
      <x:c r="Y326" s="565" t="n"/>
      <x:c r="Z326" s="565" t="n"/>
    </x:row>
    <x:row r="327">
      <x:c r="A327" s="527" t="n"/>
      <x:c r="B327" s="527" t="n"/>
      <x:c r="C327" s="527" t="inlineStr">
        <x:is>
          <x:t xml:space="preserve">Deed</x:t>
        </x:is>
      </x:c>
      <x:c r="D327" s="527" t="inlineStr">
        <x:is>
          <x:t xml:space="preserve">237/0373</x:t>
        </x:is>
      </x:c>
      <x:c r="E327" s="529" t="n"/>
      <x:c r="F327" s="529" t="n">
        <x:v>28583</x:v>
      </x:c>
      <x:c r="G327" s="527" t="inlineStr">
        <x:is>
          <x:t xml:space="preserve">Eula Bain,
W. C. Bain,
William C. Bain,
W. M. Bain</x:t>
        </x:is>
      </x:c>
      <x:c r="H327" s="527" t="inlineStr">
        <x:is>
          <x:t xml:space="preserve">Wilda E. Jensen</x:t>
        </x:is>
      </x:c>
      <x:c r="I327" s="527" t="inlineStr">
        <x:is>
          <x:t xml:space="preserve">All of 31-12N-24W aol</x:t>
        </x:is>
      </x:c>
      <x:c r="J327" s="527" t="n"/>
      <x:c r="K327" s="527" t="n"/>
      <x:c r="L327" s="565" t="n"/>
      <x:c r="M327" s="565" t="n"/>
      <x:c r="N327" s="565" t="n"/>
      <x:c r="O327" s="565" t="n"/>
      <x:c r="P327" s="565" t="n"/>
      <x:c r="Q327" s="565" t="n"/>
      <x:c r="R327" s="565" t="n"/>
      <x:c r="S327" s="613" t="n"/>
      <x:c r="T327" s="565" t="n"/>
      <x:c r="U327" s="613" t="n"/>
      <x:c r="V327" s="565" t="n"/>
      <x:c r="W327" s="565" t="n"/>
      <x:c r="X327" s="565" t="n"/>
      <x:c r="Y327" s="565" t="n"/>
      <x:c r="Z327" s="565" t="n"/>
    </x:row>
    <x:row r="328">
      <x:c r="A328" s="527" t="n"/>
      <x:c r="B328" s="527" t="n"/>
      <x:c r="C328" s="527" t="inlineStr">
        <x:is>
          <x:t xml:space="preserve">Deed</x:t>
        </x:is>
      </x:c>
      <x:c r="D328" s="527" t="inlineStr">
        <x:is>
          <x:t xml:space="preserve">237/0374</x:t>
        </x:is>
      </x:c>
      <x:c r="E328" s="529" t="n"/>
      <x:c r="F328" s="529" t="n">
        <x:v>28583</x:v>
      </x:c>
      <x:c r="G328" s="527" t="inlineStr">
        <x:is>
          <x:t xml:space="preserve">Eula Bain,
W. C. Bain,
William C. Bain,
W. M. Bain</x:t>
        </x:is>
      </x:c>
      <x:c r="H328" s="527" t="inlineStr">
        <x:is>
          <x:t xml:space="preserve">William C. Bain, Jr.</x:t>
        </x:is>
      </x:c>
      <x:c r="I328" s="527" t="inlineStr">
        <x:is>
          <x:t xml:space="preserve">All of 31-12N-24W aol</x:t>
        </x:is>
      </x:c>
      <x:c r="J328" s="527" t="n"/>
      <x:c r="K328" s="527" t="n"/>
      <x:c r="L328" s="565" t="n"/>
      <x:c r="M328" s="565" t="n"/>
      <x:c r="N328" s="565" t="n"/>
      <x:c r="O328" s="565" t="n"/>
      <x:c r="P328" s="565" t="n"/>
      <x:c r="Q328" s="565" t="n"/>
      <x:c r="R328" s="565" t="n"/>
      <x:c r="S328" s="613" t="n"/>
      <x:c r="T328" s="565" t="n"/>
      <x:c r="U328" s="613" t="n"/>
      <x:c r="V328" s="565" t="n"/>
      <x:c r="W328" s="565" t="n"/>
      <x:c r="X328" s="565" t="n"/>
      <x:c r="Y328" s="565" t="n"/>
      <x:c r="Z328" s="565" t="n"/>
    </x:row>
    <x:row r="329">
      <x:c r="A329" s="527" t="n"/>
      <x:c r="B329" s="527" t="n"/>
      <x:c r="C329" s="527" t="inlineStr">
        <x:is>
          <x:t xml:space="preserve">Deed</x:t>
        </x:is>
      </x:c>
      <x:c r="D329" s="527" t="inlineStr">
        <x:is>
          <x:t xml:space="preserve">237/0376</x:t>
        </x:is>
      </x:c>
      <x:c r="E329" s="529" t="n"/>
      <x:c r="F329" s="529" t="n">
        <x:v>28583</x:v>
      </x:c>
      <x:c r="G329" s="527" t="inlineStr">
        <x:is>
          <x:t xml:space="preserve">Eula Bain,
W. C. Bain,
William C. Bain,
W. M. Bain</x:t>
        </x:is>
      </x:c>
      <x:c r="H329" s="527" t="inlineStr">
        <x:is>
          <x:t xml:space="preserve">Billy W. Bain</x:t>
        </x:is>
      </x:c>
      <x:c r="I329" s="527" t="inlineStr">
        <x:is>
          <x:t xml:space="preserve">All of 31-12N-24W aol</x:t>
        </x:is>
      </x:c>
      <x:c r="J329" s="527" t="n"/>
      <x:c r="K329" s="527" t="n"/>
      <x:c r="L329" s="565" t="n"/>
      <x:c r="M329" s="565" t="n"/>
      <x:c r="N329" s="565" t="n"/>
      <x:c r="O329" s="565" t="n"/>
      <x:c r="P329" s="565" t="n"/>
      <x:c r="Q329" s="565" t="n"/>
      <x:c r="R329" s="565" t="n"/>
      <x:c r="S329" s="613" t="n"/>
      <x:c r="T329" s="565" t="n"/>
      <x:c r="U329" s="613" t="n"/>
      <x:c r="V329" s="565" t="n"/>
      <x:c r="W329" s="565" t="n"/>
      <x:c r="X329" s="565" t="n"/>
      <x:c r="Y329" s="565" t="n"/>
      <x:c r="Z329" s="565" t="n"/>
    </x:row>
    <x:row r="330">
      <x:c r="A330" s="527" t="n"/>
      <x:c r="B330" s="527" t="n"/>
      <x:c r="C330" s="527" t="inlineStr">
        <x:is>
          <x:t xml:space="preserve">Deed</x:t>
        </x:is>
      </x:c>
      <x:c r="D330" s="527" t="inlineStr">
        <x:is>
          <x:t xml:space="preserve">237/0381</x:t>
        </x:is>
      </x:c>
      <x:c r="E330" s="529" t="n"/>
      <x:c r="F330" s="529" t="n">
        <x:v>28583</x:v>
      </x:c>
      <x:c r="G330" s="527" t="inlineStr">
        <x:is>
          <x:t xml:space="preserve">Bliss Reeves,
Valiria Reeves</x:t>
        </x:is>
      </x:c>
      <x:c r="H330" s="527" t="inlineStr">
        <x:is>
          <x:t xml:space="preserve">Troy B. Reeves,
Vera June Reeves</x:t>
        </x:is>
      </x:c>
      <x:c r="I330" s="527" t="inlineStr">
        <x:is>
          <x:t xml:space="preserve">All of 31-12N-24W aol</x:t>
        </x:is>
      </x:c>
      <x:c r="J330" s="527" t="n"/>
      <x:c r="K330" s="527" t="n"/>
      <x:c r="L330" s="565" t="n"/>
      <x:c r="M330" s="565" t="n"/>
      <x:c r="N330" s="565" t="n"/>
      <x:c r="O330" s="565" t="n"/>
      <x:c r="P330" s="565" t="n"/>
      <x:c r="Q330" s="565" t="n"/>
      <x:c r="R330" s="565" t="n"/>
      <x:c r="S330" s="613" t="n"/>
      <x:c r="T330" s="565" t="n"/>
      <x:c r="U330" s="613" t="n"/>
      <x:c r="V330" s="565" t="n"/>
      <x:c r="W330" s="565" t="n"/>
      <x:c r="X330" s="565" t="n"/>
      <x:c r="Y330" s="565" t="n"/>
      <x:c r="Z330" s="565" t="n"/>
    </x:row>
    <x:row r="331">
      <x:c r="A331" s="527" t="n"/>
      <x:c r="B331" s="527" t="n"/>
      <x:c r="C331" s="527" t="inlineStr">
        <x:is>
          <x:t xml:space="preserve">Mineral Deed</x:t>
        </x:is>
      </x:c>
      <x:c r="D331" s="527" t="inlineStr">
        <x:is>
          <x:t xml:space="preserve">237/0375</x:t>
        </x:is>
      </x:c>
      <x:c r="E331" s="529" t="n"/>
      <x:c r="F331" s="529" t="n">
        <x:v>28584</x:v>
      </x:c>
      <x:c r="G331" s="527" t="inlineStr">
        <x:is>
          <x:t xml:space="preserve">Eula Bain,
W. C. Bain,
William C. Bain,
W. M. Bain</x:t>
        </x:is>
      </x:c>
      <x:c r="H331" s="527" t="inlineStr">
        <x:is>
          <x:t xml:space="preserve">Juanita M. Wolff</x:t>
        </x:is>
      </x:c>
      <x:c r="I331" s="527" t="inlineStr">
        <x:is>
          <x:t xml:space="preserve">All of 31-12N-24W aol</x:t>
        </x:is>
      </x:c>
      <x:c r="J331" s="527" t="n"/>
      <x:c r="K331" s="527" t="n"/>
      <x:c r="L331" s="565" t="n"/>
      <x:c r="M331" s="565" t="n"/>
      <x:c r="N331" s="565" t="n"/>
      <x:c r="O331" s="565" t="n"/>
      <x:c r="P331" s="565" t="n"/>
      <x:c r="Q331" s="565" t="n"/>
      <x:c r="R331" s="565" t="n"/>
      <x:c r="S331" s="613" t="n"/>
      <x:c r="T331" s="565" t="n"/>
      <x:c r="U331" s="613" t="n"/>
      <x:c r="V331" s="565" t="n"/>
      <x:c r="W331" s="565" t="n"/>
      <x:c r="X331" s="565" t="n"/>
      <x:c r="Y331" s="565" t="n"/>
      <x:c r="Z331" s="565" t="n"/>
    </x:row>
    <x:row r="332">
      <x:c r="A332" s="527" t="n"/>
      <x:c r="B332" s="527" t="n"/>
      <x:c r="C332" s="527" t="inlineStr">
        <x:is>
          <x:t xml:space="preserve">Deed</x:t>
        </x:is>
      </x:c>
      <x:c r="D332" s="527" t="inlineStr">
        <x:is>
          <x:t xml:space="preserve">262/0460</x:t>
        </x:is>
      </x:c>
      <x:c r="E332" s="529" t="n"/>
      <x:c r="F332" s="529" t="n">
        <x:v>28923</x:v>
      </x:c>
      <x:c r="G332" s="527" t="inlineStr">
        <x:is>
          <x:t xml:space="preserve">Freeda Kirk</x:t>
        </x:is>
      </x:c>
      <x:c r="H332" s="527" t="inlineStr">
        <x:is>
          <x:t xml:space="preserve">Rod Kirk</x:t>
        </x:is>
      </x:c>
      <x:c r="I332" s="527" t="inlineStr">
        <x:is>
          <x:t xml:space="preserve">All of 31-12N-24W</x:t>
        </x:is>
      </x:c>
      <x:c r="J332" s="527" t="n"/>
      <x:c r="K332" s="527" t="n"/>
      <x:c r="L332" s="565" t="n"/>
      <x:c r="M332" s="565" t="n"/>
      <x:c r="N332" s="565" t="n"/>
      <x:c r="O332" s="565" t="n"/>
      <x:c r="P332" s="565" t="n"/>
      <x:c r="Q332" s="565" t="n"/>
      <x:c r="R332" s="565" t="n"/>
      <x:c r="S332" s="613" t="n"/>
      <x:c r="T332" s="565" t="n"/>
      <x:c r="U332" s="613" t="n"/>
      <x:c r="V332" s="565" t="n"/>
      <x:c r="W332" s="565" t="n"/>
      <x:c r="X332" s="565" t="n"/>
      <x:c r="Y332" s="565" t="n"/>
      <x:c r="Z332" s="565" t="n"/>
    </x:row>
    <x:row r="333">
      <x:c r="A333" s="527" t="n"/>
      <x:c r="B333" s="527" t="n"/>
      <x:c r="C333" s="527" t="inlineStr">
        <x:is>
          <x:t xml:space="preserve">Final Decree</x:t>
        </x:is>
      </x:c>
      <x:c r="D333" s="527" t="inlineStr">
        <x:is>
          <x:t xml:space="preserve">264/0428</x:t>
        </x:is>
      </x:c>
      <x:c r="E333" s="529" t="n"/>
      <x:c r="F333" s="529" t="n">
        <x:v>28961</x:v>
      </x:c>
      <x:c r="G333" s="527" t="inlineStr">
        <x:is>
          <x:t xml:space="preserve">Lillie Campbell</x:t>
        </x:is>
      </x:c>
      <x:c r="H333" s="527" t="inlineStr">
        <x:is>
          <x:t xml:space="preserve">Letty Atha,
Virgil Hambrook,
The Public</x:t>
        </x:is>
      </x:c>
      <x:c r="I333" s="527" t="inlineStr">
        <x:is>
          <x:t xml:space="preserve">All of 31-12N-24W aol</x:t>
        </x:is>
      </x:c>
      <x:c r="J333" s="527" t="n"/>
      <x:c r="K333" s="527" t="n"/>
      <x:c r="L333" s="565" t="n"/>
      <x:c r="M333" s="565" t="n"/>
      <x:c r="N333" s="565" t="n"/>
      <x:c r="O333" s="565" t="n"/>
      <x:c r="P333" s="565" t="n"/>
      <x:c r="Q333" s="565" t="n"/>
      <x:c r="R333" s="565" t="n"/>
      <x:c r="S333" s="613" t="n"/>
      <x:c r="T333" s="565" t="n"/>
      <x:c r="U333" s="613" t="n"/>
      <x:c r="V333" s="565" t="n"/>
      <x:c r="W333" s="565" t="n"/>
      <x:c r="X333" s="565" t="n"/>
      <x:c r="Y333" s="565" t="n"/>
      <x:c r="Z333" s="565" t="n"/>
    </x:row>
    <x:row r="334">
      <x:c r="A334" s="527" t="n"/>
      <x:c r="B334" s="527" t="n"/>
      <x:c r="C334" s="527" t="inlineStr">
        <x:is>
          <x:t xml:space="preserve">Final Decree</x:t>
        </x:is>
      </x:c>
      <x:c r="D334" s="527" t="inlineStr">
        <x:is>
          <x:t xml:space="preserve">272/0042</x:t>
        </x:is>
      </x:c>
      <x:c r="E334" s="529" t="n"/>
      <x:c r="F334" s="529" t="n">
        <x:v>29049</x:v>
      </x:c>
      <x:c r="G334" s="527" t="inlineStr">
        <x:is>
          <x:t xml:space="preserve">Elmo W. Kirk</x:t>
        </x:is>
      </x:c>
      <x:c r="H334" s="527" t="inlineStr">
        <x:is>
          <x:t xml:space="preserve">Freeda Kirk,
The Public</x:t>
        </x:is>
      </x:c>
      <x:c r="I334" s="527" t="inlineStr">
        <x:is>
          <x:t xml:space="preserve">All of 31-12N-24W</x:t>
        </x:is>
      </x:c>
      <x:c r="J334" s="527" t="n"/>
      <x:c r="K334" s="527" t="n"/>
      <x:c r="L334" s="565" t="n"/>
      <x:c r="M334" s="565" t="n"/>
      <x:c r="N334" s="565" t="n"/>
      <x:c r="O334" s="565" t="n"/>
      <x:c r="P334" s="565" t="n"/>
      <x:c r="Q334" s="565" t="n"/>
      <x:c r="R334" s="565" t="n"/>
      <x:c r="S334" s="613" t="n"/>
      <x:c r="T334" s="565" t="n"/>
      <x:c r="U334" s="613" t="n"/>
      <x:c r="V334" s="565" t="n"/>
      <x:c r="W334" s="565" t="n"/>
      <x:c r="X334" s="565" t="n"/>
      <x:c r="Y334" s="565" t="n"/>
      <x:c r="Z334" s="565" t="n"/>
    </x:row>
    <x:row r="335">
      <x:c r="A335" s="527" t="n"/>
      <x:c r="B335" s="527" t="n"/>
      <x:c r="C335" s="527" t="inlineStr">
        <x:is>
          <x:t xml:space="preserve">Deed</x:t>
        </x:is>
      </x:c>
      <x:c r="D335" s="527" t="inlineStr">
        <x:is>
          <x:t xml:space="preserve">272/0051</x:t>
        </x:is>
      </x:c>
      <x:c r="E335" s="529" t="n"/>
      <x:c r="F335" s="529" t="n">
        <x:v>29049</x:v>
      </x:c>
      <x:c r="G335" s="527" t="inlineStr">
        <x:is>
          <x:t xml:space="preserve">Rod Kirk</x:t>
        </x:is>
      </x:c>
      <x:c r="H335" s="527" t="inlineStr">
        <x:is>
          <x:t xml:space="preserve">Herman M. Sidees,
Laury C. Sidees</x:t>
        </x:is>
      </x:c>
      <x:c r="I335" s="527" t="inlineStr">
        <x:is>
          <x:t xml:space="preserve">All of 31-12N-24W</x:t>
        </x:is>
      </x:c>
      <x:c r="J335" s="527" t="n"/>
      <x:c r="K335" s="527" t="n"/>
      <x:c r="L335" s="565" t="n"/>
      <x:c r="M335" s="565" t="n"/>
      <x:c r="N335" s="565" t="n"/>
      <x:c r="O335" s="565" t="n"/>
      <x:c r="P335" s="565" t="n"/>
      <x:c r="Q335" s="565" t="n"/>
      <x:c r="R335" s="565" t="n"/>
      <x:c r="S335" s="613" t="n"/>
      <x:c r="T335" s="565" t="n"/>
      <x:c r="U335" s="613" t="n"/>
      <x:c r="V335" s="565" t="n"/>
      <x:c r="W335" s="565" t="n"/>
      <x:c r="X335" s="565" t="n"/>
      <x:c r="Y335" s="565" t="n"/>
      <x:c r="Z335" s="565" t="n"/>
    </x:row>
    <x:row r="336">
      <x:c r="A336" s="527" t="n"/>
      <x:c r="B336" s="527" t="n"/>
      <x:c r="C336" s="527" t="inlineStr">
        <x:is>
          <x:t xml:space="preserve">Deed</x:t>
        </x:is>
      </x:c>
      <x:c r="D336" s="527" t="inlineStr">
        <x:is>
          <x:t xml:space="preserve">273/0010</x:t>
        </x:is>
      </x:c>
      <x:c r="E336" s="529" t="n"/>
      <x:c r="F336" s="529" t="n">
        <x:v>29063</x:v>
      </x:c>
      <x:c r="G336" s="527" t="inlineStr">
        <x:is>
          <x:t xml:space="preserve">Rod Kirk</x:t>
        </x:is>
      </x:c>
      <x:c r="H336" s="527" t="inlineStr">
        <x:is>
          <x:t xml:space="preserve">Herman M. Sides,
Laury C. Sides</x:t>
        </x:is>
      </x:c>
      <x:c r="I336" s="527" t="inlineStr">
        <x:is>
          <x:t xml:space="preserve">All of 31-12N-24W</x:t>
        </x:is>
      </x:c>
      <x:c r="J336" s="527" t="n"/>
      <x:c r="K336" s="527" t="n"/>
      <x:c r="L336" s="565" t="n"/>
      <x:c r="M336" s="565" t="n"/>
      <x:c r="N336" s="565" t="n"/>
      <x:c r="O336" s="565" t="n"/>
      <x:c r="P336" s="565" t="n"/>
      <x:c r="Q336" s="565" t="n"/>
      <x:c r="R336" s="565" t="n"/>
      <x:c r="S336" s="613" t="n"/>
      <x:c r="T336" s="565" t="n"/>
      <x:c r="U336" s="613" t="n"/>
      <x:c r="V336" s="565" t="n"/>
      <x:c r="W336" s="565" t="n"/>
      <x:c r="X336" s="565" t="n"/>
      <x:c r="Y336" s="565" t="n"/>
      <x:c r="Z336" s="565" t="n"/>
    </x:row>
    <x:row r="337">
      <x:c r="A337" s="527" t="n"/>
      <x:c r="B337" s="527" t="n"/>
      <x:c r="C337" s="527" t="inlineStr">
        <x:is>
          <x:t xml:space="preserve">Mineral Deed</x:t>
        </x:is>
      </x:c>
      <x:c r="D337" s="527" t="inlineStr">
        <x:is>
          <x:t xml:space="preserve">274/0566</x:t>
        </x:is>
      </x:c>
      <x:c r="E337" s="529" t="n"/>
      <x:c r="F337" s="529" t="n">
        <x:v>29094</x:v>
      </x:c>
      <x:c r="G337" s="527" t="inlineStr">
        <x:is>
          <x:t xml:space="preserve">Juanita M. Wolff</x:t>
        </x:is>
      </x:c>
      <x:c r="H337" s="527" t="inlineStr">
        <x:is>
          <x:t xml:space="preserve">Alpine Oil &amp; Royalty Company Incorporated</x:t>
        </x:is>
      </x:c>
      <x:c r="I337" s="527" t="inlineStr">
        <x:is>
          <x:t xml:space="preserve">All of 31-12N-24W aol</x:t>
        </x:is>
      </x:c>
      <x:c r="J337" s="527" t="n"/>
      <x:c r="K337" s="527" t="n"/>
      <x:c r="L337" s="565" t="n"/>
      <x:c r="M337" s="565" t="n"/>
      <x:c r="N337" s="565" t="n"/>
      <x:c r="O337" s="565" t="n"/>
      <x:c r="P337" s="565" t="n"/>
      <x:c r="Q337" s="565" t="n"/>
      <x:c r="R337" s="565" t="n"/>
      <x:c r="S337" s="613" t="n"/>
      <x:c r="T337" s="565" t="n"/>
      <x:c r="U337" s="613" t="n"/>
      <x:c r="V337" s="565" t="n"/>
      <x:c r="W337" s="565" t="n"/>
      <x:c r="X337" s="565" t="n"/>
      <x:c r="Y337" s="565" t="n"/>
      <x:c r="Z337" s="565" t="n"/>
    </x:row>
    <x:row r="338">
      <x:c r="A338" s="527" t="n"/>
      <x:c r="B338" s="527" t="n"/>
      <x:c r="C338" s="527" t="inlineStr">
        <x:is>
          <x:t xml:space="preserve">Mineral Deed</x:t>
        </x:is>
      </x:c>
      <x:c r="D338" s="527" t="inlineStr">
        <x:is>
          <x:t xml:space="preserve">277/0064</x:t>
        </x:is>
      </x:c>
      <x:c r="E338" s="529" t="n">
        <x:v>29126</x:v>
      </x:c>
      <x:c r="F338" s="529" t="n">
        <x:v>29132</x:v>
      </x:c>
      <x:c r="G338" s="527" t="inlineStr">
        <x:is>
          <x:t xml:space="preserve">Panhandle Cooperative Royalty Co.</x:t>
        </x:is>
      </x:c>
      <x:c r="H338" s="527" t="inlineStr">
        <x:is>
          <x:t xml:space="preserve">Panhandle Royalty Co.</x:t>
        </x:is>
      </x:c>
      <x:c r="I338" s="527" t="inlineStr">
        <x:is>
          <x:t xml:space="preserve">All of 31-12N-24W aol</x:t>
        </x:is>
      </x:c>
      <x:c r="J338" s="527" t="n"/>
      <x:c r="K338" s="527" t="n"/>
      <x:c r="L338" s="565" t="n"/>
      <x:c r="M338" s="565" t="n"/>
      <x:c r="N338" s="565" t="n"/>
      <x:c r="O338" s="565" t="n"/>
      <x:c r="P338" s="565" t="n"/>
      <x:c r="Q338" s="565" t="n"/>
      <x:c r="R338" s="565" t="n"/>
      <x:c r="S338" s="613" t="n"/>
      <x:c r="T338" s="565" t="n"/>
      <x:c r="U338" s="613" t="n"/>
      <x:c r="V338" s="565" t="n"/>
      <x:c r="W338" s="565" t="n"/>
      <x:c r="X338" s="565" t="n"/>
      <x:c r="Y338" s="565" t="n"/>
      <x:c r="Z338" s="565" t="n"/>
    </x:row>
    <x:row r="339">
      <x:c r="A339" s="527" t="n"/>
      <x:c r="B339" s="527" t="n"/>
      <x:c r="C339" s="527" t="inlineStr">
        <x:is>
          <x:t xml:space="preserve">Deed</x:t>
        </x:is>
      </x:c>
      <x:c r="D339" s="527" t="inlineStr">
        <x:is>
          <x:t xml:space="preserve">303/0363</x:t>
        </x:is>
      </x:c>
      <x:c r="E339" s="529" t="n"/>
      <x:c r="F339" s="529" t="n">
        <x:v>29438</x:v>
      </x:c>
      <x:c r="G339" s="527" t="inlineStr">
        <x:is>
          <x:t xml:space="preserve">Rodney L. Kirk</x:t>
        </x:is>
      </x:c>
      <x:c r="H339" s="527" t="inlineStr">
        <x:is>
          <x:t xml:space="preserve">Freeda Kirk</x:t>
        </x:is>
      </x:c>
      <x:c r="I339" s="527" t="inlineStr">
        <x:is>
          <x:t xml:space="preserve">All of 31-12N-24W</x:t>
        </x:is>
      </x:c>
      <x:c r="J339" s="527" t="n"/>
      <x:c r="K339" s="527" t="n"/>
      <x:c r="L339" s="565" t="n"/>
      <x:c r="M339" s="565" t="n"/>
      <x:c r="N339" s="565" t="n"/>
      <x:c r="O339" s="565" t="n"/>
      <x:c r="P339" s="565" t="n"/>
      <x:c r="Q339" s="565" t="n"/>
      <x:c r="R339" s="565" t="n"/>
      <x:c r="S339" s="613" t="n"/>
      <x:c r="T339" s="565" t="n"/>
      <x:c r="U339" s="613" t="n"/>
      <x:c r="V339" s="565" t="n"/>
      <x:c r="W339" s="565" t="n"/>
      <x:c r="X339" s="565" t="n"/>
      <x:c r="Y339" s="565" t="n"/>
      <x:c r="Z339" s="565" t="n"/>
    </x:row>
    <x:row r="340">
      <x:c r="A340" s="527" t="n"/>
      <x:c r="B340" s="527" t="n"/>
      <x:c r="C340" s="527" t="inlineStr">
        <x:is>
          <x:t xml:space="preserve">Deed</x:t>
        </x:is>
      </x:c>
      <x:c r="D340" s="527" t="inlineStr">
        <x:is>
          <x:t xml:space="preserve">303/0364</x:t>
        </x:is>
      </x:c>
      <x:c r="E340" s="529" t="n"/>
      <x:c r="F340" s="529" t="n">
        <x:v>29438</x:v>
      </x:c>
      <x:c r="G340" s="527" t="inlineStr">
        <x:is>
          <x:t xml:space="preserve">Freeda Kirk</x:t>
        </x:is>
      </x:c>
      <x:c r="H340" s="527" t="inlineStr">
        <x:is>
          <x:t xml:space="preserve">Margie Kirk</x:t>
        </x:is>
      </x:c>
      <x:c r="I340" s="527" t="inlineStr">
        <x:is>
          <x:t xml:space="preserve">All of 31-12N-24W</x:t>
        </x:is>
      </x:c>
      <x:c r="J340" s="527" t="n"/>
      <x:c r="K340" s="527" t="n"/>
      <x:c r="L340" s="565" t="n"/>
      <x:c r="M340" s="565" t="n"/>
      <x:c r="N340" s="565" t="n"/>
      <x:c r="O340" s="565" t="n"/>
      <x:c r="P340" s="565" t="n"/>
      <x:c r="Q340" s="565" t="n"/>
      <x:c r="R340" s="565" t="n"/>
      <x:c r="S340" s="613" t="n"/>
      <x:c r="T340" s="565" t="n"/>
      <x:c r="U340" s="613" t="n"/>
      <x:c r="V340" s="565" t="n"/>
      <x:c r="W340" s="565" t="n"/>
      <x:c r="X340" s="565" t="n"/>
      <x:c r="Y340" s="565" t="n"/>
      <x:c r="Z340" s="565" t="n"/>
    </x:row>
    <x:row r="341">
      <x:c r="A341" s="527" t="n"/>
      <x:c r="B341" s="527" t="n"/>
      <x:c r="C341" s="527" t="inlineStr">
        <x:is>
          <x:t xml:space="preserve">Deed</x:t>
        </x:is>
      </x:c>
      <x:c r="D341" s="527" t="inlineStr">
        <x:is>
          <x:t xml:space="preserve">332/0238</x:t>
        </x:is>
      </x:c>
      <x:c r="E341" s="529" t="n"/>
      <x:c r="F341" s="529" t="n">
        <x:v>29675</x:v>
      </x:c>
      <x:c r="G341" s="527" t="inlineStr">
        <x:is>
          <x:t xml:space="preserve">L. E. Thurman</x:t>
        </x:is>
      </x:c>
      <x:c r="H341" s="527" t="inlineStr">
        <x:is>
          <x:t xml:space="preserve">Moore-Stansberry, Inc.</x:t>
        </x:is>
      </x:c>
      <x:c r="I341" s="527" t="inlineStr">
        <x:is>
          <x:t xml:space="preserve">All of 31-12N-24W</x:t>
        </x:is>
      </x:c>
      <x:c r="J341" s="527" t="n"/>
      <x:c r="K341" s="527" t="n"/>
      <x:c r="L341" s="565" t="n"/>
      <x:c r="M341" s="565" t="n"/>
      <x:c r="N341" s="565" t="n"/>
      <x:c r="O341" s="565" t="n"/>
      <x:c r="P341" s="565" t="n"/>
      <x:c r="Q341" s="565" t="n"/>
      <x:c r="R341" s="565" t="n"/>
      <x:c r="S341" s="613" t="n"/>
      <x:c r="T341" s="565" t="n"/>
      <x:c r="U341" s="613" t="n"/>
      <x:c r="V341" s="565" t="n"/>
      <x:c r="W341" s="565" t="n"/>
      <x:c r="X341" s="565" t="n"/>
      <x:c r="Y341" s="565" t="n"/>
      <x:c r="Z341" s="565" t="n"/>
    </x:row>
    <x:row r="342">
      <x:c r="A342" s="527" t="n"/>
      <x:c r="B342" s="527" t="n"/>
      <x:c r="C342" s="527" t="inlineStr">
        <x:is>
          <x:t xml:space="preserve">Deed</x:t>
        </x:is>
      </x:c>
      <x:c r="D342" s="527" t="inlineStr">
        <x:is>
          <x:t xml:space="preserve">341/0154</x:t>
        </x:is>
      </x:c>
      <x:c r="E342" s="529" t="n"/>
      <x:c r="F342" s="529" t="n">
        <x:v>29714</x:v>
      </x:c>
      <x:c r="G342" s="527" t="inlineStr">
        <x:is>
          <x:t xml:space="preserve">Glenn D. Mitchel,
Hazel P. Mitchel</x:t>
        </x:is>
      </x:c>
      <x:c r="H342" s="527" t="inlineStr">
        <x:is>
          <x:t xml:space="preserve">Nolan E Britton, Inc.</x:t>
        </x:is>
      </x:c>
      <x:c r="I342" s="527" t="inlineStr">
        <x:is>
          <x:t xml:space="preserve">All of 31-12N-24W aol</x:t>
        </x:is>
      </x:c>
      <x:c r="J342" s="527" t="n"/>
      <x:c r="K342" s="527" t="n"/>
      <x:c r="L342" s="565" t="n"/>
      <x:c r="M342" s="565" t="n"/>
      <x:c r="N342" s="565" t="n"/>
      <x:c r="O342" s="565" t="n"/>
      <x:c r="P342" s="565" t="n"/>
      <x:c r="Q342" s="565" t="n"/>
      <x:c r="R342" s="565" t="n"/>
      <x:c r="S342" s="613" t="n"/>
      <x:c r="T342" s="565" t="n"/>
      <x:c r="U342" s="613" t="n"/>
      <x:c r="V342" s="565" t="n"/>
      <x:c r="W342" s="565" t="n"/>
      <x:c r="X342" s="565" t="n"/>
      <x:c r="Y342" s="565" t="n"/>
      <x:c r="Z342" s="565" t="n"/>
    </x:row>
    <x:row r="343">
      <x:c r="A343" s="527" t="n"/>
      <x:c r="B343" s="527" t="n"/>
      <x:c r="C343" s="527" t="inlineStr">
        <x:is>
          <x:t xml:space="preserve">Deed</x:t>
        </x:is>
      </x:c>
      <x:c r="D343" s="527" t="inlineStr">
        <x:is>
          <x:t xml:space="preserve">341/0155</x:t>
        </x:is>
      </x:c>
      <x:c r="E343" s="529" t="n"/>
      <x:c r="F343" s="529" t="n">
        <x:v>29714</x:v>
      </x:c>
      <x:c r="G343" s="527" t="inlineStr">
        <x:is>
          <x:t xml:space="preserve">Nolan E Britton, Inc.</x:t>
        </x:is>
      </x:c>
      <x:c r="H343" s="527" t="inlineStr">
        <x:is>
          <x:t xml:space="preserve">Chinook Resources, Inc.</x:t>
        </x:is>
      </x:c>
      <x:c r="I343" s="527" t="inlineStr">
        <x:is>
          <x:t xml:space="preserve">All of 31-12N-24W aol</x:t>
        </x:is>
      </x:c>
      <x:c r="J343" s="527" t="n"/>
      <x:c r="K343" s="527" t="n"/>
      <x:c r="L343" s="565" t="n"/>
      <x:c r="M343" s="565" t="n"/>
      <x:c r="N343" s="565" t="n"/>
      <x:c r="O343" s="565" t="n"/>
      <x:c r="P343" s="565" t="n"/>
      <x:c r="Q343" s="565" t="n"/>
      <x:c r="R343" s="565" t="n"/>
      <x:c r="S343" s="613" t="n"/>
      <x:c r="T343" s="565" t="n"/>
      <x:c r="U343" s="613" t="n"/>
      <x:c r="V343" s="565" t="n"/>
      <x:c r="W343" s="565" t="n"/>
      <x:c r="X343" s="565" t="n"/>
      <x:c r="Y343" s="565" t="n"/>
      <x:c r="Z343" s="565" t="n"/>
    </x:row>
    <x:row r="344">
      <x:c r="A344" s="527" t="n"/>
      <x:c r="B344" s="527" t="n"/>
      <x:c r="C344" s="527" t="inlineStr">
        <x:is>
          <x:t xml:space="preserve">Deed</x:t>
        </x:is>
      </x:c>
      <x:c r="D344" s="527" t="inlineStr">
        <x:is>
          <x:t xml:space="preserve">355/0341</x:t>
        </x:is>
      </x:c>
      <x:c r="E344" s="529" t="n"/>
      <x:c r="F344" s="529" t="n">
        <x:v>29767</x:v>
      </x:c>
      <x:c r="G344" s="527" t="inlineStr">
        <x:is>
          <x:t xml:space="preserve">Moore-Stansberry, Inc.</x:t>
        </x:is>
      </x:c>
      <x:c r="H344" s="527" t="inlineStr">
        <x:is>
          <x:t xml:space="preserve">Leede Exploration</x:t>
        </x:is>
      </x:c>
      <x:c r="I344" s="527" t="inlineStr">
        <x:is>
          <x:t xml:space="preserve">All of 31-12N-24W</x:t>
        </x:is>
      </x:c>
      <x:c r="J344" s="527" t="n"/>
      <x:c r="K344" s="527" t="n"/>
      <x:c r="L344" s="565" t="n"/>
      <x:c r="M344" s="565" t="n"/>
      <x:c r="N344" s="565" t="n"/>
      <x:c r="O344" s="565" t="n"/>
      <x:c r="P344" s="565" t="n"/>
      <x:c r="Q344" s="565" t="n"/>
      <x:c r="R344" s="565" t="n"/>
      <x:c r="S344" s="613" t="n"/>
      <x:c r="T344" s="565" t="n"/>
      <x:c r="U344" s="613" t="n"/>
      <x:c r="V344" s="565" t="n"/>
      <x:c r="W344" s="565" t="n"/>
      <x:c r="X344" s="565" t="n"/>
      <x:c r="Y344" s="565" t="n"/>
      <x:c r="Z344" s="565" t="n"/>
    </x:row>
    <x:row r="345">
      <x:c r="A345" s="527" t="n"/>
      <x:c r="B345" s="527" t="n"/>
      <x:c r="C345" s="527" t="inlineStr">
        <x:is>
          <x:t xml:space="preserve">Deed</x:t>
        </x:is>
      </x:c>
      <x:c r="D345" s="527" t="inlineStr">
        <x:is>
          <x:t xml:space="preserve">368/0272</x:t>
        </x:is>
      </x:c>
      <x:c r="E345" s="529" t="n"/>
      <x:c r="F345" s="529" t="n">
        <x:v>29812</x:v>
      </x:c>
      <x:c r="G345" s="527" t="inlineStr">
        <x:is>
          <x:t xml:space="preserve">Moore-Stansberry, Inc.</x:t>
        </x:is>
      </x:c>
      <x:c r="H345" s="527" t="inlineStr">
        <x:is>
          <x:t xml:space="preserve">Brent L. Schooley</x:t>
        </x:is>
      </x:c>
      <x:c r="I345" s="527" t="inlineStr">
        <x:is>
          <x:t xml:space="preserve">All of 31-12N-24W</x:t>
        </x:is>
      </x:c>
      <x:c r="J345" s="527" t="n"/>
      <x:c r="K345" s="527" t="n"/>
      <x:c r="L345" s="565" t="n"/>
      <x:c r="M345" s="565" t="n"/>
      <x:c r="N345" s="565" t="n"/>
      <x:c r="O345" s="565" t="n"/>
      <x:c r="P345" s="565" t="n"/>
      <x:c r="Q345" s="565" t="n"/>
      <x:c r="R345" s="565" t="n"/>
      <x:c r="S345" s="613" t="n"/>
      <x:c r="T345" s="565" t="n"/>
      <x:c r="U345" s="613" t="n"/>
      <x:c r="V345" s="565" t="n"/>
      <x:c r="W345" s="565" t="n"/>
      <x:c r="X345" s="565" t="n"/>
      <x:c r="Y345" s="565" t="n"/>
      <x:c r="Z345" s="565" t="n"/>
    </x:row>
    <x:row r="346">
      <x:c r="A346" s="527" t="n"/>
      <x:c r="B346" s="527" t="n"/>
      <x:c r="C346" s="527" t="inlineStr">
        <x:is>
          <x:t xml:space="preserve">Deed</x:t>
        </x:is>
      </x:c>
      <x:c r="D346" s="527" t="inlineStr">
        <x:is>
          <x:t xml:space="preserve">423/0078</x:t>
        </x:is>
      </x:c>
      <x:c r="E346" s="529" t="n"/>
      <x:c r="F346" s="529" t="n">
        <x:v>30015</x:v>
      </x:c>
      <x:c r="G346" s="527" t="inlineStr">
        <x:is>
          <x:t xml:space="preserve">Margie Kirk</x:t>
        </x:is>
      </x:c>
      <x:c r="H346" s="527" t="inlineStr">
        <x:is>
          <x:t xml:space="preserve">Ella Pearl Kirk,
Gordon E. Kirk</x:t>
        </x:is>
      </x:c>
      <x:c r="I346" s="527" t="inlineStr">
        <x:is>
          <x:t xml:space="preserve">All of 31-12N-24W</x:t>
        </x:is>
      </x:c>
      <x:c r="J346" s="527" t="n"/>
      <x:c r="K346" s="527" t="n"/>
      <x:c r="L346" s="565" t="n"/>
      <x:c r="M346" s="565" t="n"/>
      <x:c r="N346" s="565" t="n"/>
      <x:c r="O346" s="565" t="n"/>
      <x:c r="P346" s="565" t="n"/>
      <x:c r="Q346" s="565" t="n"/>
      <x:c r="R346" s="565" t="n"/>
      <x:c r="S346" s="613" t="n"/>
      <x:c r="T346" s="565" t="n"/>
      <x:c r="U346" s="613" t="n"/>
      <x:c r="V346" s="565" t="n"/>
      <x:c r="W346" s="565" t="n"/>
      <x:c r="X346" s="565" t="n"/>
      <x:c r="Y346" s="565" t="n"/>
      <x:c r="Z346" s="565" t="n"/>
    </x:row>
    <x:row r="347">
      <x:c r="A347" s="527" t="n"/>
      <x:c r="B347" s="527" t="n"/>
      <x:c r="C347" s="527" t="inlineStr">
        <x:is>
          <x:t xml:space="preserve">Deed</x:t>
        </x:is>
      </x:c>
      <x:c r="D347" s="527" t="inlineStr">
        <x:is>
          <x:t xml:space="preserve">432/0110</x:t>
        </x:is>
      </x:c>
      <x:c r="E347" s="529" t="n"/>
      <x:c r="F347" s="529" t="n">
        <x:v>30054</x:v>
      </x:c>
      <x:c r="G347" s="527" t="inlineStr">
        <x:is>
          <x:t xml:space="preserve">W. H. Sorenson</x:t>
        </x:is>
      </x:c>
      <x:c r="H347" s="527" t="inlineStr">
        <x:is>
          <x:t xml:space="preserve">Michelle Sorenson Johnson, Marchelle Sorenson Uaigle, Trustee of The Sorenson Oil &amp; Gas Trust</x:t>
        </x:is>
      </x:c>
      <x:c r="I347" s="527" t="inlineStr">
        <x:is>
          <x:t xml:space="preserve">All of 31-12N-24W</x:t>
        </x:is>
      </x:c>
      <x:c r="J347" s="527" t="n"/>
      <x:c r="K347" s="527" t="n"/>
      <x:c r="L347" s="565" t="n"/>
      <x:c r="M347" s="565" t="n"/>
      <x:c r="N347" s="565" t="n"/>
      <x:c r="O347" s="565" t="n"/>
      <x:c r="P347" s="565" t="n"/>
      <x:c r="Q347" s="565" t="n"/>
      <x:c r="R347" s="565" t="n"/>
      <x:c r="S347" s="613" t="n"/>
      <x:c r="T347" s="565" t="n"/>
      <x:c r="U347" s="613" t="n"/>
      <x:c r="V347" s="565" t="n"/>
      <x:c r="W347" s="565" t="n"/>
      <x:c r="X347" s="565" t="n"/>
      <x:c r="Y347" s="565" t="n"/>
      <x:c r="Z347" s="565" t="n"/>
    </x:row>
    <x:row r="348">
      <x:c r="A348" s="527" t="n"/>
      <x:c r="B348" s="527" t="n"/>
      <x:c r="C348" s="527" t="inlineStr">
        <x:is>
          <x:t xml:space="preserve">Deed</x:t>
        </x:is>
      </x:c>
      <x:c r="D348" s="527" t="inlineStr">
        <x:is>
          <x:t xml:space="preserve">438/0128</x:t>
        </x:is>
      </x:c>
      <x:c r="E348" s="529" t="n"/>
      <x:c r="F348" s="529" t="n">
        <x:v>30081</x:v>
      </x:c>
      <x:c r="G348" s="527" t="inlineStr">
        <x:is>
          <x:t xml:space="preserve">Moore Stansberry, Inc.</x:t>
        </x:is>
      </x:c>
      <x:c r="H348" s="527" t="inlineStr">
        <x:is>
          <x:t xml:space="preserve">Leede Exploration</x:t>
        </x:is>
      </x:c>
      <x:c r="I348" s="527" t="inlineStr">
        <x:is>
          <x:t xml:space="preserve">All of 31-12N-24W</x:t>
        </x:is>
      </x:c>
      <x:c r="J348" s="527" t="n"/>
      <x:c r="K348" s="527" t="n"/>
      <x:c r="L348" s="565" t="n"/>
      <x:c r="M348" s="565" t="n"/>
      <x:c r="N348" s="565" t="n"/>
      <x:c r="O348" s="565" t="n"/>
      <x:c r="P348" s="565" t="n"/>
      <x:c r="Q348" s="565" t="n"/>
      <x:c r="R348" s="565" t="n"/>
      <x:c r="S348" s="613" t="n"/>
      <x:c r="T348" s="565" t="n"/>
      <x:c r="U348" s="613" t="n"/>
      <x:c r="V348" s="565" t="n"/>
      <x:c r="W348" s="565" t="n"/>
      <x:c r="X348" s="565" t="n"/>
      <x:c r="Y348" s="565" t="n"/>
      <x:c r="Z348" s="565" t="n"/>
    </x:row>
    <x:row r="349">
      <x:c r="A349" s="527" t="n"/>
      <x:c r="B349" s="527" t="n"/>
      <x:c r="C349" s="527" t="inlineStr">
        <x:is>
          <x:t xml:space="preserve">Deed</x:t>
        </x:is>
      </x:c>
      <x:c r="D349" s="527" t="inlineStr">
        <x:is>
          <x:t xml:space="preserve">440/0099</x:t>
        </x:is>
      </x:c>
      <x:c r="E349" s="529" t="n"/>
      <x:c r="F349" s="529" t="n">
        <x:v>30088</x:v>
      </x:c>
      <x:c r="G349" s="527" t="inlineStr">
        <x:is>
          <x:t xml:space="preserve">Ella Pearl Kirk,
Gordon E. Kirk</x:t>
        </x:is>
      </x:c>
      <x:c r="H349" s="527" t="inlineStr">
        <x:is>
          <x:t xml:space="preserve">Eula Cross</x:t>
        </x:is>
      </x:c>
      <x:c r="I349" s="527" t="inlineStr">
        <x:is>
          <x:t xml:space="preserve">All of 31-12N-24W</x:t>
        </x:is>
      </x:c>
      <x:c r="J349" s="527" t="n"/>
      <x:c r="K349" s="527" t="n"/>
      <x:c r="L349" s="565" t="n"/>
      <x:c r="M349" s="565" t="n"/>
      <x:c r="N349" s="565" t="n"/>
      <x:c r="O349" s="565" t="n"/>
      <x:c r="P349" s="565" t="n"/>
      <x:c r="Q349" s="565" t="n"/>
      <x:c r="R349" s="565" t="n"/>
      <x:c r="S349" s="613" t="n"/>
      <x:c r="T349" s="565" t="n"/>
      <x:c r="U349" s="613" t="n"/>
      <x:c r="V349" s="565" t="n"/>
      <x:c r="W349" s="565" t="n"/>
      <x:c r="X349" s="565" t="n"/>
      <x:c r="Y349" s="565" t="n"/>
      <x:c r="Z349" s="565" t="n"/>
    </x:row>
    <x:row r="350">
      <x:c r="A350" s="527" t="n"/>
      <x:c r="B350" s="527" t="n"/>
      <x:c r="C350" s="527" t="inlineStr">
        <x:is>
          <x:t xml:space="preserve">Deed</x:t>
        </x:is>
      </x:c>
      <x:c r="D350" s="527" t="inlineStr">
        <x:is>
          <x:t xml:space="preserve">451/0176</x:t>
        </x:is>
      </x:c>
      <x:c r="E350" s="529" t="n"/>
      <x:c r="F350" s="529" t="n">
        <x:v>30124</x:v>
      </x:c>
      <x:c r="G350" s="527" t="inlineStr">
        <x:is>
          <x:t xml:space="preserve">Margie Ann Kirk</x:t>
        </x:is>
      </x:c>
      <x:c r="H350" s="527" t="inlineStr">
        <x:is>
          <x:t xml:space="preserve">Eddie Tom Lakey</x:t>
        </x:is>
      </x:c>
      <x:c r="I350" s="527" t="inlineStr">
        <x:is>
          <x:t xml:space="preserve">All of 31-12N-24W</x:t>
        </x:is>
      </x:c>
      <x:c r="J350" s="527" t="n"/>
      <x:c r="K350" s="527" t="n"/>
      <x:c r="L350" s="565" t="n"/>
      <x:c r="M350" s="565" t="n"/>
      <x:c r="N350" s="565" t="n"/>
      <x:c r="O350" s="565" t="n"/>
      <x:c r="P350" s="565" t="n"/>
      <x:c r="Q350" s="565" t="n"/>
      <x:c r="R350" s="565" t="n"/>
      <x:c r="S350" s="613" t="n"/>
      <x:c r="T350" s="565" t="n"/>
      <x:c r="U350" s="613" t="n"/>
      <x:c r="V350" s="565" t="n"/>
      <x:c r="W350" s="565" t="n"/>
      <x:c r="X350" s="565" t="n"/>
      <x:c r="Y350" s="565" t="n"/>
      <x:c r="Z350" s="565" t="n"/>
    </x:row>
    <x:row r="351">
      <x:c r="A351" s="527" t="n"/>
      <x:c r="B351" s="527" t="n"/>
      <x:c r="C351" s="527" t="inlineStr">
        <x:is>
          <x:t xml:space="preserve">Deed</x:t>
        </x:is>
      </x:c>
      <x:c r="D351" s="527" t="inlineStr">
        <x:is>
          <x:t xml:space="preserve">480/0070</x:t>
        </x:is>
      </x:c>
      <x:c r="E351" s="529" t="n"/>
      <x:c r="F351" s="529" t="n">
        <x:v>30250</x:v>
      </x:c>
      <x:c r="G351" s="527" t="inlineStr">
        <x:is>
          <x:t xml:space="preserve">Barbara J. Bain,
Billy W. Bain</x:t>
        </x:is>
      </x:c>
      <x:c r="H351" s="527" t="inlineStr">
        <x:is>
          <x:t xml:space="preserve">Myron V. Slobin</x:t>
        </x:is>
      </x:c>
      <x:c r="I351" s="527" t="inlineStr">
        <x:is>
          <x:t xml:space="preserve">All of 31-12N-24W aol</x:t>
        </x:is>
      </x:c>
      <x:c r="J351" s="527" t="n"/>
      <x:c r="K351" s="527" t="n"/>
      <x:c r="L351" s="565" t="n"/>
      <x:c r="M351" s="565" t="n"/>
      <x:c r="N351" s="565" t="n"/>
      <x:c r="O351" s="565" t="n"/>
      <x:c r="P351" s="565" t="n"/>
      <x:c r="Q351" s="565" t="n"/>
      <x:c r="R351" s="565" t="n"/>
      <x:c r="S351" s="613" t="n"/>
      <x:c r="T351" s="565" t="n"/>
      <x:c r="U351" s="613" t="n"/>
      <x:c r="V351" s="565" t="n"/>
      <x:c r="W351" s="565" t="n"/>
      <x:c r="X351" s="565" t="n"/>
      <x:c r="Y351" s="565" t="n"/>
      <x:c r="Z351" s="565" t="n"/>
    </x:row>
    <x:row r="352">
      <x:c r="A352" s="527" t="n"/>
      <x:c r="B352" s="527" t="n"/>
      <x:c r="C352" s="527" t="inlineStr">
        <x:is>
          <x:t xml:space="preserve">Deed</x:t>
        </x:is>
      </x:c>
      <x:c r="D352" s="527" t="inlineStr">
        <x:is>
          <x:t xml:space="preserve">480/0071</x:t>
        </x:is>
      </x:c>
      <x:c r="E352" s="529" t="n"/>
      <x:c r="F352" s="529" t="n">
        <x:v>30250</x:v>
      </x:c>
      <x:c r="G352" s="527" t="inlineStr">
        <x:is>
          <x:t xml:space="preserve">Barbara J. Bain,
Billy W. Bain</x:t>
        </x:is>
      </x:c>
      <x:c r="H352" s="527" t="inlineStr">
        <x:is>
          <x:t xml:space="preserve">Gregory J. Winneke</x:t>
        </x:is>
      </x:c>
      <x:c r="I352" s="527" t="inlineStr">
        <x:is>
          <x:t xml:space="preserve">All of 31-12N-24W aol</x:t>
        </x:is>
      </x:c>
      <x:c r="J352" s="527" t="n"/>
      <x:c r="K352" s="527" t="n"/>
      <x:c r="L352" s="565" t="n"/>
      <x:c r="M352" s="565" t="n"/>
      <x:c r="N352" s="565" t="n"/>
      <x:c r="O352" s="565" t="n"/>
      <x:c r="P352" s="565" t="n"/>
      <x:c r="Q352" s="565" t="n"/>
      <x:c r="R352" s="565" t="n"/>
      <x:c r="S352" s="613" t="n"/>
      <x:c r="T352" s="565" t="n"/>
      <x:c r="U352" s="613" t="n"/>
      <x:c r="V352" s="565" t="n"/>
      <x:c r="W352" s="565" t="n"/>
      <x:c r="X352" s="565" t="n"/>
      <x:c r="Y352" s="565" t="n"/>
      <x:c r="Z352" s="565" t="n"/>
    </x:row>
    <x:row r="353">
      <x:c r="A353" s="527" t="n"/>
      <x:c r="B353" s="527" t="n"/>
      <x:c r="C353" s="527" t="inlineStr">
        <x:is>
          <x:t xml:space="preserve">Deed</x:t>
        </x:is>
      </x:c>
      <x:c r="D353" s="527" t="inlineStr">
        <x:is>
          <x:t xml:space="preserve">480/0072</x:t>
        </x:is>
      </x:c>
      <x:c r="E353" s="529" t="n"/>
      <x:c r="F353" s="529" t="n">
        <x:v>30250</x:v>
      </x:c>
      <x:c r="G353" s="527" t="inlineStr">
        <x:is>
          <x:t xml:space="preserve">Barbara J. Bain,
Billy W. Bain</x:t>
        </x:is>
      </x:c>
      <x:c r="H353" s="527" t="inlineStr">
        <x:is>
          <x:t xml:space="preserve">Lyle T. Ibeling</x:t>
        </x:is>
      </x:c>
      <x:c r="I353" s="527" t="inlineStr">
        <x:is>
          <x:t xml:space="preserve">All of 31-12N-24W aol</x:t>
        </x:is>
      </x:c>
      <x:c r="J353" s="527" t="n"/>
      <x:c r="K353" s="527" t="n"/>
      <x:c r="L353" s="565" t="n"/>
      <x:c r="M353" s="565" t="n"/>
      <x:c r="N353" s="565" t="n"/>
      <x:c r="O353" s="565" t="n"/>
      <x:c r="P353" s="565" t="n"/>
      <x:c r="Q353" s="565" t="n"/>
      <x:c r="R353" s="565" t="n"/>
      <x:c r="S353" s="613" t="n"/>
      <x:c r="T353" s="565" t="n"/>
      <x:c r="U353" s="613" t="n"/>
      <x:c r="V353" s="565" t="n"/>
      <x:c r="W353" s="565" t="n"/>
      <x:c r="X353" s="565" t="n"/>
      <x:c r="Y353" s="565" t="n"/>
      <x:c r="Z353" s="565" t="n"/>
    </x:row>
    <x:row r="354">
      <x:c r="A354" s="527" t="n"/>
      <x:c r="B354" s="527" t="n"/>
      <x:c r="C354" s="527" t="inlineStr">
        <x:is>
          <x:t xml:space="preserve">Final Decree</x:t>
        </x:is>
      </x:c>
      <x:c r="D354" s="527" t="inlineStr">
        <x:is>
          <x:t xml:space="preserve">512/0067</x:t>
        </x:is>
      </x:c>
      <x:c r="E354" s="529" t="n"/>
      <x:c r="F354" s="529" t="n">
        <x:v>30369</x:v>
      </x:c>
      <x:c r="G354" s="527" t="inlineStr">
        <x:is>
          <x:t xml:space="preserve">Jesse G. French</x:t>
        </x:is>
      </x:c>
      <x:c r="H354" s="527" t="inlineStr">
        <x:is>
          <x:t xml:space="preserve">Lois B. French,
The Public</x:t>
        </x:is>
      </x:c>
      <x:c r="I354" s="527" t="inlineStr">
        <x:is>
          <x:t xml:space="preserve">All of 31-12N-24W aol</x:t>
        </x:is>
      </x:c>
      <x:c r="J354" s="527" t="n"/>
      <x:c r="K354" s="527" t="n"/>
      <x:c r="L354" s="565" t="n"/>
      <x:c r="M354" s="565" t="n"/>
      <x:c r="N354" s="565" t="n"/>
      <x:c r="O354" s="565" t="n"/>
      <x:c r="P354" s="565" t="n"/>
      <x:c r="Q354" s="565" t="n"/>
      <x:c r="R354" s="565" t="n"/>
      <x:c r="S354" s="613" t="n"/>
      <x:c r="T354" s="565" t="n"/>
      <x:c r="U354" s="613" t="n"/>
      <x:c r="V354" s="565" t="n"/>
      <x:c r="W354" s="565" t="n"/>
      <x:c r="X354" s="565" t="n"/>
      <x:c r="Y354" s="565" t="n"/>
      <x:c r="Z354" s="565" t="n"/>
    </x:row>
    <x:row r="355">
      <x:c r="A355" s="527" t="n"/>
      <x:c r="B355" s="527" t="n"/>
      <x:c r="C355" s="527" t="inlineStr">
        <x:is>
          <x:t xml:space="preserve">Deed</x:t>
        </x:is>
      </x:c>
      <x:c r="D355" s="527" t="inlineStr">
        <x:is>
          <x:t xml:space="preserve">512/0065</x:t>
        </x:is>
      </x:c>
      <x:c r="E355" s="529" t="n"/>
      <x:c r="F355" s="529" t="n">
        <x:v>30369</x:v>
      </x:c>
      <x:c r="G355" s="527" t="inlineStr">
        <x:is>
          <x:t xml:space="preserve">Billy Wayne Bain, Trustee of The Hazel a. Hamilton Trust</x:t>
        </x:is>
      </x:c>
      <x:c r="H355" s="527" t="inlineStr">
        <x:is>
          <x:t xml:space="preserve">O K Oil Venture</x:t>
        </x:is>
      </x:c>
      <x:c r="I355" s="527" t="inlineStr">
        <x:is>
          <x:t xml:space="preserve">All of 31-12N-24W aol</x:t>
        </x:is>
      </x:c>
      <x:c r="J355" s="527" t="n"/>
      <x:c r="K355" s="527" t="n"/>
      <x:c r="L355" s="565" t="n"/>
      <x:c r="M355" s="565" t="n"/>
      <x:c r="N355" s="565" t="n"/>
      <x:c r="O355" s="565" t="n"/>
      <x:c r="P355" s="565" t="n"/>
      <x:c r="Q355" s="565" t="n"/>
      <x:c r="R355" s="565" t="n"/>
      <x:c r="S355" s="613" t="n"/>
      <x:c r="T355" s="565" t="n"/>
      <x:c r="U355" s="613" t="n"/>
      <x:c r="V355" s="565" t="n"/>
      <x:c r="W355" s="565" t="n"/>
      <x:c r="X355" s="565" t="n"/>
      <x:c r="Y355" s="565" t="n"/>
      <x:c r="Z355" s="565" t="n"/>
    </x:row>
    <x:row r="356">
      <x:c r="A356" s="527" t="n"/>
      <x:c r="B356" s="527" t="n"/>
      <x:c r="C356" s="527" t="inlineStr">
        <x:is>
          <x:t xml:space="preserve">Deed</x:t>
        </x:is>
      </x:c>
      <x:c r="D356" s="527" t="inlineStr">
        <x:is>
          <x:t xml:space="preserve">517/0134</x:t>
        </x:is>
      </x:c>
      <x:c r="E356" s="529" t="n"/>
      <x:c r="F356" s="529" t="n">
        <x:v>30388</x:v>
      </x:c>
      <x:c r="G356" s="527" t="inlineStr">
        <x:is>
          <x:t xml:space="preserve">O K Oil Venture</x:t>
        </x:is>
      </x:c>
      <x:c r="H356" s="527" t="inlineStr">
        <x:is>
          <x:t xml:space="preserve">Jonathan E. Jensen</x:t>
        </x:is>
      </x:c>
      <x:c r="I356" s="527" t="inlineStr">
        <x:is>
          <x:t xml:space="preserve">All of 31-12N-24W aol</x:t>
        </x:is>
      </x:c>
      <x:c r="J356" s="527" t="n"/>
      <x:c r="K356" s="527" t="n"/>
      <x:c r="L356" s="565" t="n"/>
      <x:c r="M356" s="565" t="n"/>
      <x:c r="N356" s="565" t="n"/>
      <x:c r="O356" s="565" t="n"/>
      <x:c r="P356" s="565" t="n"/>
      <x:c r="Q356" s="565" t="n"/>
      <x:c r="R356" s="565" t="n"/>
      <x:c r="S356" s="613" t="n"/>
      <x:c r="T356" s="565" t="n"/>
      <x:c r="U356" s="613" t="n"/>
      <x:c r="V356" s="565" t="n"/>
      <x:c r="W356" s="565" t="n"/>
      <x:c r="X356" s="565" t="n"/>
      <x:c r="Y356" s="565" t="n"/>
      <x:c r="Z356" s="565" t="n"/>
    </x:row>
    <x:row r="357">
      <x:c r="A357" s="527" t="n"/>
      <x:c r="B357" s="527" t="n"/>
      <x:c r="C357" s="527" t="inlineStr">
        <x:is>
          <x:t xml:space="preserve">Deed</x:t>
        </x:is>
      </x:c>
      <x:c r="D357" s="527" t="inlineStr">
        <x:is>
          <x:t xml:space="preserve">517/0135</x:t>
        </x:is>
      </x:c>
      <x:c r="E357" s="529" t="n"/>
      <x:c r="F357" s="529" t="n">
        <x:v>30388</x:v>
      </x:c>
      <x:c r="G357" s="527" t="inlineStr">
        <x:is>
          <x:t xml:space="preserve">O K Oil Venture</x:t>
        </x:is>
      </x:c>
      <x:c r="H357" s="527" t="inlineStr">
        <x:is>
          <x:t xml:space="preserve">John R. Bringle</x:t>
        </x:is>
      </x:c>
      <x:c r="I357" s="527" t="inlineStr">
        <x:is>
          <x:t xml:space="preserve">All of 31-12N-24W aol</x:t>
        </x:is>
      </x:c>
      <x:c r="J357" s="527" t="n"/>
      <x:c r="K357" s="527" t="n"/>
      <x:c r="L357" s="565" t="n"/>
      <x:c r="M357" s="565" t="n"/>
      <x:c r="N357" s="565" t="n"/>
      <x:c r="O357" s="565" t="n"/>
      <x:c r="P357" s="565" t="n"/>
      <x:c r="Q357" s="565" t="n"/>
      <x:c r="R357" s="565" t="n"/>
      <x:c r="S357" s="613" t="n"/>
      <x:c r="T357" s="565" t="n"/>
      <x:c r="U357" s="613" t="n"/>
      <x:c r="V357" s="565" t="n"/>
      <x:c r="W357" s="565" t="n"/>
      <x:c r="X357" s="565" t="n"/>
      <x:c r="Y357" s="565" t="n"/>
      <x:c r="Z357" s="565" t="n"/>
    </x:row>
    <x:row r="358">
      <x:c r="A358" s="527" t="n"/>
      <x:c r="B358" s="527" t="n"/>
      <x:c r="C358" s="527" t="inlineStr">
        <x:is>
          <x:t xml:space="preserve">Deed</x:t>
        </x:is>
      </x:c>
      <x:c r="D358" s="527" t="inlineStr">
        <x:is>
          <x:t xml:space="preserve">517/0136</x:t>
        </x:is>
      </x:c>
      <x:c r="E358" s="529" t="n"/>
      <x:c r="F358" s="529" t="n">
        <x:v>30388</x:v>
      </x:c>
      <x:c r="G358" s="527" t="inlineStr">
        <x:is>
          <x:t xml:space="preserve">O K Oil Venture</x:t>
        </x:is>
      </x:c>
      <x:c r="H358" s="527" t="inlineStr">
        <x:is>
          <x:t xml:space="preserve">James F. Menehan</x:t>
        </x:is>
      </x:c>
      <x:c r="I358" s="527" t="inlineStr">
        <x:is>
          <x:t xml:space="preserve">All of 31-12N-24W aol</x:t>
        </x:is>
      </x:c>
      <x:c r="J358" s="527" t="n"/>
      <x:c r="K358" s="527" t="n"/>
      <x:c r="L358" s="565" t="n"/>
      <x:c r="M358" s="565" t="n"/>
      <x:c r="N358" s="565" t="n"/>
      <x:c r="O358" s="565" t="n"/>
      <x:c r="P358" s="565" t="n"/>
      <x:c r="Q358" s="565" t="n"/>
      <x:c r="R358" s="565" t="n"/>
      <x:c r="S358" s="613" t="n"/>
      <x:c r="T358" s="565" t="n"/>
      <x:c r="U358" s="613" t="n"/>
      <x:c r="V358" s="565" t="n"/>
      <x:c r="W358" s="565" t="n"/>
      <x:c r="X358" s="565" t="n"/>
      <x:c r="Y358" s="565" t="n"/>
      <x:c r="Z358" s="565" t="n"/>
    </x:row>
    <x:row r="359">
      <x:c r="A359" s="527" t="n"/>
      <x:c r="B359" s="527" t="n"/>
      <x:c r="C359" s="527" t="inlineStr">
        <x:is>
          <x:t xml:space="preserve">Deed</x:t>
        </x:is>
      </x:c>
      <x:c r="D359" s="527" t="inlineStr">
        <x:is>
          <x:t xml:space="preserve">517/0137</x:t>
        </x:is>
      </x:c>
      <x:c r="E359" s="529" t="n"/>
      <x:c r="F359" s="529" t="n">
        <x:v>30388</x:v>
      </x:c>
      <x:c r="G359" s="527" t="inlineStr">
        <x:is>
          <x:t xml:space="preserve">O K Oil Venture</x:t>
        </x:is>
      </x:c>
      <x:c r="H359" s="527" t="inlineStr">
        <x:is>
          <x:t xml:space="preserve">L. a. Persicke</x:t>
        </x:is>
      </x:c>
      <x:c r="I359" s="527" t="inlineStr">
        <x:is>
          <x:t xml:space="preserve">All of 31-12N-24W aol</x:t>
        </x:is>
      </x:c>
      <x:c r="J359" s="527" t="n"/>
      <x:c r="K359" s="527" t="n"/>
      <x:c r="L359" s="565" t="n"/>
      <x:c r="M359" s="565" t="n"/>
      <x:c r="N359" s="565" t="n"/>
      <x:c r="O359" s="565" t="n"/>
      <x:c r="P359" s="565" t="n"/>
      <x:c r="Q359" s="565" t="n"/>
      <x:c r="R359" s="565" t="n"/>
      <x:c r="S359" s="613" t="n"/>
      <x:c r="T359" s="565" t="n"/>
      <x:c r="U359" s="613" t="n"/>
      <x:c r="V359" s="565" t="n"/>
      <x:c r="W359" s="565" t="n"/>
      <x:c r="X359" s="565" t="n"/>
      <x:c r="Y359" s="565" t="n"/>
      <x:c r="Z359" s="565" t="n"/>
    </x:row>
    <x:row r="360">
      <x:c r="A360" s="527" t="n"/>
      <x:c r="B360" s="527" t="n"/>
      <x:c r="C360" s="527" t="inlineStr">
        <x:is>
          <x:t xml:space="preserve">Deed</x:t>
        </x:is>
      </x:c>
      <x:c r="D360" s="527" t="inlineStr">
        <x:is>
          <x:t xml:space="preserve">517/0138</x:t>
        </x:is>
      </x:c>
      <x:c r="E360" s="529" t="n"/>
      <x:c r="F360" s="529" t="n">
        <x:v>30388</x:v>
      </x:c>
      <x:c r="G360" s="527" t="inlineStr">
        <x:is>
          <x:t xml:space="preserve">O K Oil Venture</x:t>
        </x:is>
      </x:c>
      <x:c r="H360" s="527" t="inlineStr">
        <x:is>
          <x:t xml:space="preserve">Richard M. Heins</x:t>
        </x:is>
      </x:c>
      <x:c r="I360" s="527" t="inlineStr">
        <x:is>
          <x:t xml:space="preserve">All of 31-12N-24W aol</x:t>
        </x:is>
      </x:c>
      <x:c r="J360" s="527" t="n"/>
      <x:c r="K360" s="527" t="n"/>
      <x:c r="L360" s="565" t="n"/>
      <x:c r="M360" s="565" t="n"/>
      <x:c r="N360" s="565" t="n"/>
      <x:c r="O360" s="565" t="n"/>
      <x:c r="P360" s="565" t="n"/>
      <x:c r="Q360" s="565" t="n"/>
      <x:c r="R360" s="565" t="n"/>
      <x:c r="S360" s="613" t="n"/>
      <x:c r="T360" s="565" t="n"/>
      <x:c r="U360" s="613" t="n"/>
      <x:c r="V360" s="565" t="n"/>
      <x:c r="W360" s="565" t="n"/>
      <x:c r="X360" s="565" t="n"/>
      <x:c r="Y360" s="565" t="n"/>
      <x:c r="Z360" s="565" t="n"/>
    </x:row>
    <x:row r="361">
      <x:c r="A361" s="527" t="n"/>
      <x:c r="B361" s="527" t="n"/>
      <x:c r="C361" s="527" t="inlineStr">
        <x:is>
          <x:t xml:space="preserve">Mineral Deed</x:t>
        </x:is>
      </x:c>
      <x:c r="D361" s="527" t="inlineStr">
        <x:is>
          <x:t xml:space="preserve">604/0350</x:t>
        </x:is>
      </x:c>
      <x:c r="E361" s="529" t="n">
        <x:v>30741</x:v>
      </x:c>
      <x:c r="F361" s="529" t="n">
        <x:v>30770</x:v>
      </x:c>
      <x:c r="G361" s="527" t="inlineStr">
        <x:is>
          <x:t xml:space="preserve">Leede Exploration</x:t>
        </x:is>
      </x:c>
      <x:c r="H361" s="527" t="inlineStr">
        <x:is>
          <x:t xml:space="preserve">O I L Energy, Inc.</x:t>
        </x:is>
      </x:c>
      <x:c r="I361" s="527" t="inlineStr">
        <x:is>
          <x:t xml:space="preserve">E/2 NW/4 of 31-12N-24W aol</x:t>
        </x:is>
      </x:c>
      <x:c r="J361" s="527" t="n"/>
      <x:c r="K361" s="527" t="n"/>
      <x:c r="L361" s="565" t="n"/>
      <x:c r="M361" s="565" t="n"/>
      <x:c r="N361" s="565" t="n"/>
      <x:c r="O361" s="565" t="n"/>
      <x:c r="P361" s="565" t="n"/>
      <x:c r="Q361" s="565" t="n"/>
      <x:c r="R361" s="565" t="n"/>
      <x:c r="S361" s="613" t="n"/>
      <x:c r="T361" s="565" t="n"/>
      <x:c r="U361" s="613" t="n"/>
      <x:c r="V361" s="565" t="n"/>
      <x:c r="W361" s="565" t="n"/>
      <x:c r="X361" s="565" t="n"/>
      <x:c r="Y361" s="565" t="n"/>
      <x:c r="Z361" s="565" t="n"/>
    </x:row>
    <x:row r="362">
      <x:c r="A362" s="527" t="n"/>
      <x:c r="B362" s="527" t="n"/>
      <x:c r="C362" s="527" t="inlineStr">
        <x:is>
          <x:t xml:space="preserve">Mineral Deed</x:t>
        </x:is>
      </x:c>
      <x:c r="D362" s="527" t="inlineStr">
        <x:is>
          <x:t xml:space="preserve">605/0027</x:t>
        </x:is>
      </x:c>
      <x:c r="E362" s="529" t="n"/>
      <x:c r="F362" s="529" t="n">
        <x:v>30770</x:v>
      </x:c>
      <x:c r="G362" s="527" t="inlineStr">
        <x:is>
          <x:t xml:space="preserve">Leede Exploration</x:t>
        </x:is>
      </x:c>
      <x:c r="H362" s="527" t="inlineStr">
        <x:is>
          <x:t xml:space="preserve">Robert H. Frazier,
Clyde a. Pine,
Charles D. Ray</x:t>
        </x:is>
      </x:c>
      <x:c r="I362" s="527" t="inlineStr">
        <x:is>
          <x:t xml:space="preserve">E/2 NW/4 of 31-12N-24W aol</x:t>
        </x:is>
      </x:c>
      <x:c r="J362" s="527" t="n"/>
      <x:c r="K362" s="527" t="n"/>
      <x:c r="L362" s="565" t="n"/>
      <x:c r="M362" s="565" t="n"/>
      <x:c r="N362" s="565" t="n"/>
      <x:c r="O362" s="565" t="n"/>
      <x:c r="P362" s="565" t="n"/>
      <x:c r="Q362" s="565" t="n"/>
      <x:c r="R362" s="565" t="n"/>
      <x:c r="S362" s="613" t="n"/>
      <x:c r="T362" s="565" t="n"/>
      <x:c r="U362" s="613" t="n"/>
      <x:c r="V362" s="565" t="n"/>
      <x:c r="W362" s="565" t="n"/>
      <x:c r="X362" s="565" t="n"/>
      <x:c r="Y362" s="565" t="n"/>
      <x:c r="Z362" s="565" t="n"/>
    </x:row>
    <x:row r="363">
      <x:c r="A363" s="527" t="n"/>
      <x:c r="B363" s="527" t="n"/>
      <x:c r="C363" s="527" t="inlineStr">
        <x:is>
          <x:t xml:space="preserve">Mineral Deed</x:t>
        </x:is>
      </x:c>
      <x:c r="D363" s="527" t="inlineStr">
        <x:is>
          <x:t xml:space="preserve">611/0058</x:t>
        </x:is>
      </x:c>
      <x:c r="E363" s="529" t="n"/>
      <x:c r="F363" s="529" t="n">
        <x:v>30791</x:v>
      </x:c>
      <x:c r="G363" s="527" t="inlineStr">
        <x:is>
          <x:t xml:space="preserve">Juanita M. Wolff</x:t>
        </x:is>
      </x:c>
      <x:c r="H363" s="527" t="inlineStr">
        <x:is>
          <x:t xml:space="preserve">David S. Silverberry</x:t>
        </x:is>
      </x:c>
      <x:c r="I363" s="527" t="inlineStr">
        <x:is>
          <x:t xml:space="preserve">All of 31-12N-24W aol</x:t>
        </x:is>
      </x:c>
      <x:c r="J363" s="527" t="n"/>
      <x:c r="K363" s="527" t="n"/>
      <x:c r="L363" s="565" t="n"/>
      <x:c r="M363" s="565" t="n"/>
      <x:c r="N363" s="565" t="n"/>
      <x:c r="O363" s="565" t="n"/>
      <x:c r="P363" s="565" t="n"/>
      <x:c r="Q363" s="565" t="n"/>
      <x:c r="R363" s="565" t="n"/>
      <x:c r="S363" s="613" t="n"/>
      <x:c r="T363" s="565" t="n"/>
      <x:c r="U363" s="613" t="n"/>
      <x:c r="V363" s="565" t="n"/>
      <x:c r="W363" s="565" t="n"/>
      <x:c r="X363" s="565" t="n"/>
      <x:c r="Y363" s="565" t="n"/>
      <x:c r="Z363" s="565" t="n"/>
    </x:row>
    <x:row r="364">
      <x:c r="A364" s="527" t="n"/>
      <x:c r="B364" s="527" t="n"/>
      <x:c r="C364" s="527" t="inlineStr">
        <x:is>
          <x:t xml:space="preserve">Deed</x:t>
        </x:is>
      </x:c>
      <x:c r="D364" s="527" t="inlineStr">
        <x:is>
          <x:t xml:space="preserve">696/0139</x:t>
        </x:is>
      </x:c>
      <x:c r="E364" s="529" t="n"/>
      <x:c r="F364" s="529" t="n">
        <x:v>31100</x:v>
      </x:c>
      <x:c r="G364" s="527" t="inlineStr">
        <x:is>
          <x:t xml:space="preserve">Energy Reserves Group, Inc.</x:t>
        </x:is>
      </x:c>
      <x:c r="H364" s="527" t="inlineStr">
        <x:is>
          <x:t xml:space="preserve">Commonwealth Royalties, Inc.</x:t>
        </x:is>
      </x:c>
      <x:c r="I364" s="527" t="inlineStr">
        <x:is>
          <x:t xml:space="preserve">All of 31-12N-24W</x:t>
        </x:is>
      </x:c>
      <x:c r="J364" s="527" t="n"/>
      <x:c r="K364" s="527" t="n"/>
      <x:c r="L364" s="565" t="n"/>
      <x:c r="M364" s="565" t="n"/>
      <x:c r="N364" s="565" t="n"/>
      <x:c r="O364" s="565" t="n"/>
      <x:c r="P364" s="565" t="n"/>
      <x:c r="Q364" s="565" t="n"/>
      <x:c r="R364" s="565" t="n"/>
      <x:c r="S364" s="613" t="n"/>
      <x:c r="T364" s="565" t="n"/>
      <x:c r="U364" s="613" t="n"/>
      <x:c r="V364" s="565" t="n"/>
      <x:c r="W364" s="565" t="n"/>
      <x:c r="X364" s="565" t="n"/>
      <x:c r="Y364" s="565" t="n"/>
      <x:c r="Z364" s="565" t="n"/>
    </x:row>
    <x:row r="365">
      <x:c r="A365" s="527" t="n"/>
      <x:c r="B365" s="527" t="n"/>
      <x:c r="C365" s="527" t="inlineStr">
        <x:is>
          <x:t xml:space="preserve">Deed</x:t>
        </x:is>
      </x:c>
      <x:c r="D365" s="527" t="inlineStr">
        <x:is>
          <x:t xml:space="preserve">710/0034</x:t>
        </x:is>
      </x:c>
      <x:c r="E365" s="529" t="n"/>
      <x:c r="F365" s="529" t="n">
        <x:v>31158</x:v>
      </x:c>
      <x:c r="G365" s="527" t="inlineStr">
        <x:is>
          <x:t xml:space="preserve">Chinook Resources, Inc.</x:t>
        </x:is>
      </x:c>
      <x:c r="H365" s="527" t="inlineStr">
        <x:is>
          <x:t xml:space="preserve">Continental Illinois Energy Development Corp.</x:t>
        </x:is>
      </x:c>
      <x:c r="I365" s="527" t="inlineStr">
        <x:is>
          <x:t xml:space="preserve">All of 31-12N-24W aol</x:t>
        </x:is>
      </x:c>
      <x:c r="J365" s="527" t="n"/>
      <x:c r="K365" s="527" t="n"/>
      <x:c r="L365" s="565" t="n"/>
      <x:c r="M365" s="565" t="n"/>
      <x:c r="N365" s="565" t="n"/>
      <x:c r="O365" s="565" t="n"/>
      <x:c r="P365" s="565" t="n"/>
      <x:c r="Q365" s="565" t="n"/>
      <x:c r="R365" s="565" t="n"/>
      <x:c r="S365" s="613" t="n"/>
      <x:c r="T365" s="565" t="n"/>
      <x:c r="U365" s="613" t="n"/>
      <x:c r="V365" s="565" t="n"/>
      <x:c r="W365" s="565" t="n"/>
      <x:c r="X365" s="565" t="n"/>
      <x:c r="Y365" s="565" t="n"/>
      <x:c r="Z365" s="565" t="n"/>
    </x:row>
    <x:row r="366">
      <x:c r="A366" s="527" t="n"/>
      <x:c r="B366" s="527" t="n"/>
      <x:c r="C366" s="527" t="inlineStr">
        <x:is>
          <x:t xml:space="preserve">Deed</x:t>
        </x:is>
      </x:c>
      <x:c r="D366" s="527" t="inlineStr">
        <x:is>
          <x:t xml:space="preserve">745/0075</x:t>
        </x:is>
      </x:c>
      <x:c r="E366" s="529" t="n"/>
      <x:c r="F366" s="529" t="n">
        <x:v>31279</x:v>
      </x:c>
      <x:c r="G366" s="527" t="inlineStr">
        <x:is>
          <x:t xml:space="preserve">Roger Mills County Sheriff</x:t>
        </x:is>
      </x:c>
      <x:c r="H366" s="527" t="inlineStr">
        <x:is>
          <x:t xml:space="preserve">City National Bank of Sayre</x:t>
        </x:is>
      </x:c>
      <x:c r="I366" s="527" t="inlineStr">
        <x:is>
          <x:t xml:space="preserve">All of 31-12N-24W</x:t>
        </x:is>
      </x:c>
      <x:c r="J366" s="527" t="n"/>
      <x:c r="K366" s="527" t="n"/>
      <x:c r="L366" s="565" t="n"/>
      <x:c r="M366" s="565" t="n"/>
      <x:c r="N366" s="565" t="n"/>
      <x:c r="O366" s="565" t="n"/>
      <x:c r="P366" s="565" t="n"/>
      <x:c r="Q366" s="565" t="n"/>
      <x:c r="R366" s="565" t="n"/>
      <x:c r="S366" s="613" t="n"/>
      <x:c r="T366" s="565" t="n"/>
      <x:c r="U366" s="613" t="n"/>
      <x:c r="V366" s="565" t="n"/>
      <x:c r="W366" s="565" t="n"/>
      <x:c r="X366" s="565" t="n"/>
      <x:c r="Y366" s="565" t="n"/>
      <x:c r="Z366" s="565" t="n"/>
    </x:row>
    <x:row r="367">
      <x:c r="A367" s="527" t="n"/>
      <x:c r="B367" s="527" t="n"/>
      <x:c r="C367" s="527" t="inlineStr">
        <x:is>
          <x:t xml:space="preserve">Deed</x:t>
        </x:is>
      </x:c>
      <x:c r="D367" s="527" t="inlineStr">
        <x:is>
          <x:t xml:space="preserve">751/0068</x:t>
        </x:is>
      </x:c>
      <x:c r="E367" s="529" t="n"/>
      <x:c r="F367" s="529" t="n">
        <x:v>31308</x:v>
      </x:c>
      <x:c r="G367" s="527" t="inlineStr">
        <x:is>
          <x:t xml:space="preserve">Billy W. Bain</x:t>
        </x:is>
      </x:c>
      <x:c r="H367" s="527" t="inlineStr">
        <x:is>
          <x:t xml:space="preserve">David S. Silverberg</x:t>
        </x:is>
      </x:c>
      <x:c r="I367" s="527" t="inlineStr">
        <x:is>
          <x:t xml:space="preserve">All of 31-12N-24W aol</x:t>
        </x:is>
      </x:c>
      <x:c r="J367" s="527" t="n"/>
      <x:c r="K367" s="527" t="n"/>
      <x:c r="L367" s="565" t="n"/>
      <x:c r="M367" s="565" t="n"/>
      <x:c r="N367" s="565" t="n"/>
      <x:c r="O367" s="565" t="n"/>
      <x:c r="P367" s="565" t="n"/>
      <x:c r="Q367" s="565" t="n"/>
      <x:c r="R367" s="565" t="n"/>
      <x:c r="S367" s="613" t="n"/>
      <x:c r="T367" s="565" t="n"/>
      <x:c r="U367" s="613" t="n"/>
      <x:c r="V367" s="565" t="n"/>
      <x:c r="W367" s="565" t="n"/>
      <x:c r="X367" s="565" t="n"/>
      <x:c r="Y367" s="565" t="n"/>
      <x:c r="Z367" s="565" t="n"/>
    </x:row>
    <x:row r="368">
      <x:c r="A368" s="527" t="n"/>
      <x:c r="B368" s="527" t="n"/>
      <x:c r="C368" s="527" t="inlineStr">
        <x:is>
          <x:t xml:space="preserve">Deed</x:t>
        </x:is>
      </x:c>
      <x:c r="D368" s="527" t="inlineStr">
        <x:is>
          <x:t xml:space="preserve">756/0016</x:t>
        </x:is>
      </x:c>
      <x:c r="E368" s="529" t="n"/>
      <x:c r="F368" s="529" t="n">
        <x:v>31329</x:v>
      </x:c>
      <x:c r="G368" s="527" t="inlineStr">
        <x:is>
          <x:t xml:space="preserve">C. W. Hall, Deceased,
Liberty National Bank &amp; Trust Company</x:t>
        </x:is>
      </x:c>
      <x:c r="H368" s="527" t="inlineStr">
        <x:is>
          <x:t xml:space="preserve">Darlene Hall Cox,
Sunya Lee Westkaemper</x:t>
        </x:is>
      </x:c>
      <x:c r="I368" s="527" t="inlineStr">
        <x:is>
          <x:t xml:space="preserve">All of 31-12N-24W aol</x:t>
        </x:is>
      </x:c>
      <x:c r="J368" s="527" t="n"/>
      <x:c r="K368" s="527" t="n"/>
      <x:c r="L368" s="565" t="n"/>
      <x:c r="M368" s="565" t="n"/>
      <x:c r="N368" s="565" t="n"/>
      <x:c r="O368" s="565" t="n"/>
      <x:c r="P368" s="565" t="n"/>
      <x:c r="Q368" s="565" t="n"/>
      <x:c r="R368" s="565" t="n"/>
      <x:c r="S368" s="613" t="n"/>
      <x:c r="T368" s="565" t="n"/>
      <x:c r="U368" s="613" t="n"/>
      <x:c r="V368" s="565" t="n"/>
      <x:c r="W368" s="565" t="n"/>
      <x:c r="X368" s="565" t="n"/>
      <x:c r="Y368" s="565" t="n"/>
      <x:c r="Z368" s="565" t="n"/>
    </x:row>
    <x:row r="369">
      <x:c r="A369" s="527" t="n"/>
      <x:c r="B369" s="527" t="n"/>
      <x:c r="C369" s="527" t="inlineStr">
        <x:is>
          <x:t xml:space="preserve">Deed</x:t>
        </x:is>
      </x:c>
      <x:c r="D369" s="527" t="inlineStr">
        <x:is>
          <x:t xml:space="preserve">756/0079</x:t>
        </x:is>
      </x:c>
      <x:c r="E369" s="529" t="n"/>
      <x:c r="F369" s="529" t="n">
        <x:v>31330</x:v>
      </x:c>
      <x:c r="G369" s="527" t="inlineStr">
        <x:is>
          <x:t xml:space="preserve">Margie Kirk</x:t>
        </x:is>
      </x:c>
      <x:c r="H369" s="527" t="inlineStr">
        <x:is>
          <x:t xml:space="preserve">Herman M. Sides,
Laury C. Sides</x:t>
        </x:is>
      </x:c>
      <x:c r="I369" s="527" t="inlineStr">
        <x:is>
          <x:t xml:space="preserve">All of 31-12N-24W aol</x:t>
        </x:is>
      </x:c>
      <x:c r="J369" s="527" t="n"/>
      <x:c r="K369" s="527" t="n"/>
      <x:c r="L369" s="565" t="n"/>
      <x:c r="M369" s="565" t="n"/>
      <x:c r="N369" s="565" t="n"/>
      <x:c r="O369" s="565" t="n"/>
      <x:c r="P369" s="565" t="n"/>
      <x:c r="Q369" s="565" t="n"/>
      <x:c r="R369" s="565" t="n"/>
      <x:c r="S369" s="613" t="n"/>
      <x:c r="T369" s="565" t="n"/>
      <x:c r="U369" s="613" t="n"/>
      <x:c r="V369" s="565" t="n"/>
      <x:c r="W369" s="565" t="n"/>
      <x:c r="X369" s="565" t="n"/>
      <x:c r="Y369" s="565" t="n"/>
      <x:c r="Z369" s="565" t="n"/>
    </x:row>
    <x:row r="370">
      <x:c r="A370" s="527" t="n"/>
      <x:c r="B370" s="527" t="n"/>
      <x:c r="C370" s="527" t="inlineStr">
        <x:is>
          <x:t xml:space="preserve">Mineral Deed</x:t>
        </x:is>
      </x:c>
      <x:c r="D370" s="527" t="inlineStr">
        <x:is>
          <x:t xml:space="preserve">583/0234</x:t>
        </x:is>
      </x:c>
      <x:c r="E370" s="529" t="n"/>
      <x:c r="F370" s="529" t="n">
        <x:v>31408</x:v>
      </x:c>
      <x:c r="G370" s="527" t="inlineStr">
        <x:is>
          <x:t xml:space="preserve">Juanita M. Wolff</x:t>
        </x:is>
      </x:c>
      <x:c r="H370" s="527" t="inlineStr">
        <x:is>
          <x:t xml:space="preserve">Laura L. Snyder</x:t>
        </x:is>
      </x:c>
      <x:c r="I370" s="527" t="inlineStr">
        <x:is>
          <x:t xml:space="preserve">All of 31-12N-24W aol</x:t>
        </x:is>
      </x:c>
      <x:c r="J370" s="527" t="n"/>
      <x:c r="K370" s="527" t="n"/>
      <x:c r="L370" s="565" t="n"/>
      <x:c r="M370" s="565" t="n"/>
      <x:c r="N370" s="565" t="n"/>
      <x:c r="O370" s="565" t="n"/>
      <x:c r="P370" s="565" t="n"/>
      <x:c r="Q370" s="565" t="n"/>
      <x:c r="R370" s="565" t="n"/>
      <x:c r="S370" s="613" t="n"/>
      <x:c r="T370" s="565" t="n"/>
      <x:c r="U370" s="613" t="n"/>
      <x:c r="V370" s="565" t="n"/>
      <x:c r="W370" s="565" t="n"/>
      <x:c r="X370" s="565" t="n"/>
      <x:c r="Y370" s="565" t="n"/>
      <x:c r="Z370" s="565" t="n"/>
    </x:row>
    <x:row r="371">
      <x:c r="A371" s="527" t="n"/>
      <x:c r="B371" s="527" t="n"/>
      <x:c r="C371" s="527" t="inlineStr">
        <x:is>
          <x:t xml:space="preserve">Mineral Deed</x:t>
        </x:is>
      </x:c>
      <x:c r="D371" s="527" t="inlineStr">
        <x:is>
          <x:t xml:space="preserve">583/0236</x:t>
        </x:is>
      </x:c>
      <x:c r="E371" s="529" t="n"/>
      <x:c r="F371" s="529" t="n">
        <x:v>31408</x:v>
      </x:c>
      <x:c r="G371" s="527" t="inlineStr">
        <x:is>
          <x:t xml:space="preserve">Juanita M. Wolff</x:t>
        </x:is>
      </x:c>
      <x:c r="H371" s="527" t="inlineStr">
        <x:is>
          <x:t xml:space="preserve">Deborah a. Deutsch,
Paul R. Deutsch</x:t>
        </x:is>
      </x:c>
      <x:c r="I371" s="527" t="inlineStr">
        <x:is>
          <x:t xml:space="preserve">All of 31-12N-24W aol</x:t>
        </x:is>
      </x:c>
      <x:c r="J371" s="527" t="n"/>
      <x:c r="K371" s="527" t="n"/>
      <x:c r="L371" s="565" t="n"/>
      <x:c r="M371" s="565" t="n"/>
      <x:c r="N371" s="565" t="n"/>
      <x:c r="O371" s="565" t="n"/>
      <x:c r="P371" s="565" t="n"/>
      <x:c r="Q371" s="565" t="n"/>
      <x:c r="R371" s="565" t="n"/>
      <x:c r="S371" s="613" t="n"/>
      <x:c r="T371" s="565" t="n"/>
      <x:c r="U371" s="613" t="n"/>
      <x:c r="V371" s="565" t="n"/>
      <x:c r="W371" s="565" t="n"/>
      <x:c r="X371" s="565" t="n"/>
      <x:c r="Y371" s="565" t="n"/>
      <x:c r="Z371" s="565" t="n"/>
    </x:row>
    <x:row r="372">
      <x:c r="A372" s="527" t="n"/>
      <x:c r="B372" s="527" t="n"/>
      <x:c r="C372" s="527" t="inlineStr">
        <x:is>
          <x:t xml:space="preserve">Deed</x:t>
        </x:is>
      </x:c>
      <x:c r="D372" s="527" t="inlineStr">
        <x:is>
          <x:t xml:space="preserve">781/0183</x:t>
        </x:is>
      </x:c>
      <x:c r="E372" s="529" t="n"/>
      <x:c r="F372" s="529" t="n">
        <x:v>31418</x:v>
      </x:c>
      <x:c r="G372" s="527" t="inlineStr">
        <x:is>
          <x:t xml:space="preserve">Walter J. Rusek, Trustee of The Mann Childrens Trust</x:t>
        </x:is>
      </x:c>
      <x:c r="H372" s="527" t="inlineStr">
        <x:is>
          <x:t xml:space="preserve">Mann Group Investment Company</x:t>
        </x:is>
      </x:c>
      <x:c r="I372" s="527" t="inlineStr">
        <x:is>
          <x:t xml:space="preserve">All of 31-12N-24W aol</x:t>
        </x:is>
      </x:c>
      <x:c r="J372" s="527" t="n"/>
      <x:c r="K372" s="527" t="n"/>
      <x:c r="L372" s="565" t="n"/>
      <x:c r="M372" s="565" t="n"/>
      <x:c r="N372" s="565" t="n"/>
      <x:c r="O372" s="565" t="n"/>
      <x:c r="P372" s="565" t="n"/>
      <x:c r="Q372" s="565" t="n"/>
      <x:c r="R372" s="565" t="n"/>
      <x:c r="S372" s="613" t="n"/>
      <x:c r="T372" s="565" t="n"/>
      <x:c r="U372" s="613" t="n"/>
      <x:c r="V372" s="565" t="n"/>
      <x:c r="W372" s="565" t="n"/>
      <x:c r="X372" s="565" t="n"/>
      <x:c r="Y372" s="565" t="n"/>
      <x:c r="Z372" s="565" t="n"/>
    </x:row>
    <x:row r="373">
      <x:c r="A373" s="527" t="n"/>
      <x:c r="B373" s="527" t="n"/>
      <x:c r="C373" s="527" t="inlineStr">
        <x:is>
          <x:t xml:space="preserve">Deed</x:t>
        </x:is>
      </x:c>
      <x:c r="D373" s="527" t="inlineStr">
        <x:is>
          <x:t xml:space="preserve">786/0270</x:t>
        </x:is>
      </x:c>
      <x:c r="E373" s="529" t="n"/>
      <x:c r="F373" s="529" t="n">
        <x:v>31434</x:v>
      </x:c>
      <x:c r="G373" s="527" t="inlineStr">
        <x:is>
          <x:t xml:space="preserve">O I L Energy, Inc.</x:t>
        </x:is>
      </x:c>
      <x:c r="H373" s="527" t="inlineStr">
        <x:is>
          <x:t xml:space="preserve">Black Hawk Oil Company</x:t>
        </x:is>
      </x:c>
      <x:c r="I373" s="527" t="inlineStr">
        <x:is>
          <x:t xml:space="preserve">All of 31-12N-24W</x:t>
        </x:is>
      </x:c>
      <x:c r="J373" s="527" t="n"/>
      <x:c r="K373" s="527" t="n"/>
      <x:c r="L373" s="565" t="n"/>
      <x:c r="M373" s="565" t="n"/>
      <x:c r="N373" s="565" t="n"/>
      <x:c r="O373" s="565" t="n"/>
      <x:c r="P373" s="565" t="n"/>
      <x:c r="Q373" s="565" t="n"/>
      <x:c r="R373" s="565" t="n"/>
      <x:c r="S373" s="613" t="n"/>
      <x:c r="T373" s="565" t="n"/>
      <x:c r="U373" s="613" t="n"/>
      <x:c r="V373" s="565" t="n"/>
      <x:c r="W373" s="565" t="n"/>
      <x:c r="X373" s="565" t="n"/>
      <x:c r="Y373" s="565" t="n"/>
      <x:c r="Z373" s="565" t="n"/>
    </x:row>
    <x:row r="374">
      <x:c r="A374" s="527" t="n"/>
      <x:c r="B374" s="527" t="n"/>
      <x:c r="C374" s="527" t="inlineStr">
        <x:is>
          <x:t xml:space="preserve">Deed</x:t>
        </x:is>
      </x:c>
      <x:c r="D374" s="527" t="inlineStr">
        <x:is>
          <x:t xml:space="preserve">815/0191</x:t>
        </x:is>
      </x:c>
      <x:c r="E374" s="529" t="n"/>
      <x:c r="F374" s="529" t="n">
        <x:v>31582</x:v>
      </x:c>
      <x:c r="G374" s="527" t="inlineStr">
        <x:is>
          <x:t xml:space="preserve">Billy W. Bain</x:t>
        </x:is>
      </x:c>
      <x:c r="H374" s="527" t="inlineStr">
        <x:is>
          <x:t xml:space="preserve">Deborah a. Deutsch,
Paul R. Deutsch</x:t>
        </x:is>
      </x:c>
      <x:c r="I374" s="527" t="inlineStr">
        <x:is>
          <x:t xml:space="preserve">All of 31-12N-24W aol</x:t>
        </x:is>
      </x:c>
      <x:c r="J374" s="527" t="n"/>
      <x:c r="K374" s="527" t="n"/>
      <x:c r="L374" s="565" t="n"/>
      <x:c r="M374" s="565" t="n"/>
      <x:c r="N374" s="565" t="n"/>
      <x:c r="O374" s="565" t="n"/>
      <x:c r="P374" s="565" t="n"/>
      <x:c r="Q374" s="565" t="n"/>
      <x:c r="R374" s="565" t="n"/>
      <x:c r="S374" s="613" t="n"/>
      <x:c r="T374" s="565" t="n"/>
      <x:c r="U374" s="613" t="n"/>
      <x:c r="V374" s="565" t="n"/>
      <x:c r="W374" s="565" t="n"/>
      <x:c r="X374" s="565" t="n"/>
      <x:c r="Y374" s="565" t="n"/>
      <x:c r="Z374" s="565" t="n"/>
    </x:row>
    <x:row r="375">
      <x:c r="A375" s="527" t="n"/>
      <x:c r="B375" s="527" t="n"/>
      <x:c r="C375" s="527" t="inlineStr">
        <x:is>
          <x:t xml:space="preserve">Deed</x:t>
        </x:is>
      </x:c>
      <x:c r="D375" s="527" t="inlineStr">
        <x:is>
          <x:t xml:space="preserve">829/0007</x:t>
        </x:is>
      </x:c>
      <x:c r="E375" s="529" t="n"/>
      <x:c r="F375" s="529" t="n">
        <x:v>31657</x:v>
      </x:c>
      <x:c r="G375" s="527" t="inlineStr">
        <x:is>
          <x:t xml:space="preserve">Billy W. Bain</x:t>
        </x:is>
      </x:c>
      <x:c r="H375" s="527" t="inlineStr">
        <x:is>
          <x:t xml:space="preserve">Clarence C. Bain</x:t>
        </x:is>
      </x:c>
      <x:c r="I375" s="527" t="inlineStr">
        <x:is>
          <x:t xml:space="preserve">All of 31-12N-24W aol</x:t>
        </x:is>
      </x:c>
      <x:c r="J375" s="527" t="n"/>
      <x:c r="K375" s="527" t="n"/>
      <x:c r="L375" s="565" t="n"/>
      <x:c r="M375" s="565" t="n"/>
      <x:c r="N375" s="565" t="n"/>
      <x:c r="O375" s="565" t="n"/>
      <x:c r="P375" s="565" t="n"/>
      <x:c r="Q375" s="565" t="n"/>
      <x:c r="R375" s="565" t="n"/>
      <x:c r="S375" s="613" t="n"/>
      <x:c r="T375" s="565" t="n"/>
      <x:c r="U375" s="613" t="n"/>
      <x:c r="V375" s="565" t="n"/>
      <x:c r="W375" s="565" t="n"/>
      <x:c r="X375" s="565" t="n"/>
      <x:c r="Y375" s="565" t="n"/>
      <x:c r="Z375" s="565" t="n"/>
    </x:row>
    <x:row r="376">
      <x:c r="A376" s="527" t="n"/>
      <x:c r="B376" s="527" t="n"/>
      <x:c r="C376" s="527" t="inlineStr">
        <x:is>
          <x:t xml:space="preserve">Deed</x:t>
        </x:is>
      </x:c>
      <x:c r="D376" s="527" t="inlineStr">
        <x:is>
          <x:t xml:space="preserve">837/0199</x:t>
        </x:is>
      </x:c>
      <x:c r="E376" s="529" t="n"/>
      <x:c r="F376" s="529" t="n">
        <x:v>31684</x:v>
      </x:c>
      <x:c r="G376" s="527" t="inlineStr">
        <x:is>
          <x:t xml:space="preserve">Billy Wayne Bain</x:t>
        </x:is>
      </x:c>
      <x:c r="H376" s="527" t="inlineStr">
        <x:is>
          <x:t xml:space="preserve">Ted L. Herbold</x:t>
        </x:is>
      </x:c>
      <x:c r="I376" s="527" t="inlineStr">
        <x:is>
          <x:t xml:space="preserve">All of 31-12N-24W aol</x:t>
        </x:is>
      </x:c>
      <x:c r="J376" s="527" t="n"/>
      <x:c r="K376" s="527" t="n"/>
      <x:c r="L376" s="565" t="n"/>
      <x:c r="M376" s="565" t="n"/>
      <x:c r="N376" s="565" t="n"/>
      <x:c r="O376" s="565" t="n"/>
      <x:c r="P376" s="565" t="n"/>
      <x:c r="Q376" s="565" t="n"/>
      <x:c r="R376" s="565" t="n"/>
      <x:c r="S376" s="613" t="n"/>
      <x:c r="T376" s="565" t="n"/>
      <x:c r="U376" s="613" t="n"/>
      <x:c r="V376" s="565" t="n"/>
      <x:c r="W376" s="565" t="n"/>
      <x:c r="X376" s="565" t="n"/>
      <x:c r="Y376" s="565" t="n"/>
      <x:c r="Z376" s="565" t="n"/>
    </x:row>
    <x:row r="377">
      <x:c r="A377" s="527" t="n"/>
      <x:c r="B377" s="527" t="n"/>
      <x:c r="C377" s="527" t="inlineStr">
        <x:is>
          <x:t xml:space="preserve">Deed</x:t>
        </x:is>
      </x:c>
      <x:c r="D377" s="527" t="inlineStr">
        <x:is>
          <x:t xml:space="preserve">839/0100</x:t>
        </x:is>
      </x:c>
      <x:c r="E377" s="529" t="n"/>
      <x:c r="F377" s="529" t="n">
        <x:v>31723</x:v>
      </x:c>
      <x:c r="G377" s="527" t="inlineStr">
        <x:is>
          <x:t xml:space="preserve">Black Hawk Oil Company</x:t>
        </x:is>
      </x:c>
      <x:c r="H377" s="527" t="inlineStr">
        <x:is>
          <x:t xml:space="preserve">Proven Properties, Inc.</x:t>
        </x:is>
      </x:c>
      <x:c r="I377" s="527" t="inlineStr">
        <x:is>
          <x:t xml:space="preserve">All of 31-12N-24W</x:t>
        </x:is>
      </x:c>
      <x:c r="J377" s="527" t="n"/>
      <x:c r="K377" s="527" t="n"/>
      <x:c r="L377" s="565" t="n"/>
      <x:c r="M377" s="565" t="n"/>
      <x:c r="N377" s="565" t="n"/>
      <x:c r="O377" s="565" t="n"/>
      <x:c r="P377" s="565" t="n"/>
      <x:c r="Q377" s="565" t="n"/>
      <x:c r="R377" s="565" t="n"/>
      <x:c r="S377" s="613" t="n"/>
      <x:c r="T377" s="565" t="n"/>
      <x:c r="U377" s="613" t="n"/>
      <x:c r="V377" s="565" t="n"/>
      <x:c r="W377" s="565" t="n"/>
      <x:c r="X377" s="565" t="n"/>
      <x:c r="Y377" s="565" t="n"/>
      <x:c r="Z377" s="565" t="n"/>
    </x:row>
    <x:row r="378">
      <x:c r="A378" s="527" t="n"/>
      <x:c r="B378" s="527" t="n"/>
      <x:c r="C378" s="527" t="inlineStr">
        <x:is>
          <x:t xml:space="preserve">Deed</x:t>
        </x:is>
      </x:c>
      <x:c r="D378" s="527" t="inlineStr">
        <x:is>
          <x:t xml:space="preserve">883/0168</x:t>
        </x:is>
      </x:c>
      <x:c r="E378" s="529" t="n"/>
      <x:c r="F378" s="529" t="n">
        <x:v>31917</x:v>
      </x:c>
      <x:c r="G378" s="527" t="inlineStr">
        <x:is>
          <x:t xml:space="preserve">Billy W. Bain</x:t>
        </x:is>
      </x:c>
      <x:c r="H378" s="527" t="inlineStr">
        <x:is>
          <x:t xml:space="preserve">Theodore L. Herbold</x:t>
        </x:is>
      </x:c>
      <x:c r="I378" s="527" t="inlineStr">
        <x:is>
          <x:t xml:space="preserve">All of 31-12N-24W aol</x:t>
        </x:is>
      </x:c>
      <x:c r="J378" s="527" t="n"/>
      <x:c r="K378" s="527" t="n"/>
      <x:c r="L378" s="565" t="n"/>
      <x:c r="M378" s="565" t="n"/>
      <x:c r="N378" s="565" t="n"/>
      <x:c r="O378" s="565" t="n"/>
      <x:c r="P378" s="565" t="n"/>
      <x:c r="Q378" s="565" t="n"/>
      <x:c r="R378" s="565" t="n"/>
      <x:c r="S378" s="613" t="n"/>
      <x:c r="T378" s="565" t="n"/>
      <x:c r="U378" s="613" t="n"/>
      <x:c r="V378" s="565" t="n"/>
      <x:c r="W378" s="565" t="n"/>
      <x:c r="X378" s="565" t="n"/>
      <x:c r="Y378" s="565" t="n"/>
      <x:c r="Z378" s="565" t="n"/>
    </x:row>
    <x:row r="379">
      <x:c r="A379" s="527" t="n"/>
      <x:c r="B379" s="527" t="n"/>
      <x:c r="C379" s="527" t="inlineStr">
        <x:is>
          <x:t xml:space="preserve">Deed</x:t>
        </x:is>
      </x:c>
      <x:c r="D379" s="527" t="inlineStr">
        <x:is>
          <x:t xml:space="preserve">913/0261</x:t>
        </x:is>
      </x:c>
      <x:c r="E379" s="529" t="n"/>
      <x:c r="F379" s="529" t="n">
        <x:v>32031</x:v>
      </x:c>
      <x:c r="G379" s="527" t="inlineStr">
        <x:is>
          <x:t xml:space="preserve">Billy N. Bein</x:t>
        </x:is>
      </x:c>
      <x:c r="H379" s="527" t="inlineStr">
        <x:is>
          <x:t xml:space="preserve">Bary Ellen Sitzman</x:t>
        </x:is>
      </x:c>
      <x:c r="I379" s="527" t="inlineStr">
        <x:is>
          <x:t xml:space="preserve">All of 31-12N-24W aol</x:t>
        </x:is>
      </x:c>
      <x:c r="J379" s="527" t="n"/>
      <x:c r="K379" s="527" t="n"/>
      <x:c r="L379" s="565" t="n"/>
      <x:c r="M379" s="565" t="n"/>
      <x:c r="N379" s="565" t="n"/>
      <x:c r="O379" s="565" t="n"/>
      <x:c r="P379" s="565" t="n"/>
      <x:c r="Q379" s="565" t="n"/>
      <x:c r="R379" s="565" t="n"/>
      <x:c r="S379" s="613" t="n"/>
      <x:c r="T379" s="565" t="n"/>
      <x:c r="U379" s="613" t="n"/>
      <x:c r="V379" s="565" t="n"/>
      <x:c r="W379" s="565" t="n"/>
      <x:c r="X379" s="565" t="n"/>
      <x:c r="Y379" s="565" t="n"/>
      <x:c r="Z379" s="565" t="n"/>
    </x:row>
    <x:row r="380">
      <x:c r="A380" s="527" t="n"/>
      <x:c r="B380" s="527" t="n"/>
      <x:c r="C380" s="527" t="inlineStr">
        <x:is>
          <x:t xml:space="preserve">Affidavit</x:t>
        </x:is>
      </x:c>
      <x:c r="D380" s="527" t="inlineStr">
        <x:is>
          <x:t xml:space="preserve">924/0136</x:t>
        </x:is>
      </x:c>
      <x:c r="E380" s="529" t="n"/>
      <x:c r="F380" s="529" t="n">
        <x:v>32072</x:v>
      </x:c>
      <x:c r="G380" s="527" t="inlineStr">
        <x:is>
          <x:t xml:space="preserve">Paul S. Taylor</x:t>
        </x:is>
      </x:c>
      <x:c r="H380" s="527" t="inlineStr">
        <x:is>
          <x:t xml:space="preserve">The Public</x:t>
        </x:is>
      </x:c>
      <x:c r="I380" s="527" t="inlineStr">
        <x:is>
          <x:t xml:space="preserve">All of 31-12N-24W aol</x:t>
        </x:is>
      </x:c>
      <x:c r="J380" s="527" t="n"/>
      <x:c r="K380" s="527" t="n"/>
      <x:c r="L380" s="565" t="n"/>
      <x:c r="M380" s="565" t="n"/>
      <x:c r="N380" s="565" t="n"/>
      <x:c r="O380" s="565" t="n"/>
      <x:c r="P380" s="565" t="n"/>
      <x:c r="Q380" s="565" t="n"/>
      <x:c r="R380" s="565" t="n"/>
      <x:c r="S380" s="613" t="n"/>
      <x:c r="T380" s="565" t="n"/>
      <x:c r="U380" s="613" t="n"/>
      <x:c r="V380" s="565" t="n"/>
      <x:c r="W380" s="565" t="n"/>
      <x:c r="X380" s="565" t="n"/>
      <x:c r="Y380" s="565" t="n"/>
      <x:c r="Z380" s="565" t="n"/>
    </x:row>
    <x:row r="381">
      <x:c r="A381" s="527" t="n"/>
      <x:c r="B381" s="527" t="n"/>
      <x:c r="C381" s="527" t="inlineStr">
        <x:is>
          <x:t xml:space="preserve">Deed</x:t>
        </x:is>
      </x:c>
      <x:c r="D381" s="527" t="inlineStr">
        <x:is>
          <x:t xml:space="preserve">924/0138</x:t>
        </x:is>
      </x:c>
      <x:c r="E381" s="529" t="n"/>
      <x:c r="F381" s="529" t="n">
        <x:v>32072</x:v>
      </x:c>
      <x:c r="G381" s="527" t="inlineStr">
        <x:is>
          <x:t xml:space="preserve">Myron V. Slobin</x:t>
        </x:is>
      </x:c>
      <x:c r="H381" s="527" t="inlineStr">
        <x:is>
          <x:t xml:space="preserve">David Slobin</x:t>
        </x:is>
      </x:c>
      <x:c r="I381" s="527" t="inlineStr">
        <x:is>
          <x:t xml:space="preserve">All of 31-12N-24W aol</x:t>
        </x:is>
      </x:c>
      <x:c r="J381" s="527" t="n"/>
      <x:c r="K381" s="527" t="n"/>
      <x:c r="L381" s="565" t="n"/>
      <x:c r="M381" s="565" t="n"/>
      <x:c r="N381" s="565" t="n"/>
      <x:c r="O381" s="565" t="n"/>
      <x:c r="P381" s="565" t="n"/>
      <x:c r="Q381" s="565" t="n"/>
      <x:c r="R381" s="565" t="n"/>
      <x:c r="S381" s="613" t="n"/>
      <x:c r="T381" s="565" t="n"/>
      <x:c r="U381" s="613" t="n"/>
      <x:c r="V381" s="565" t="n"/>
      <x:c r="W381" s="565" t="n"/>
      <x:c r="X381" s="565" t="n"/>
      <x:c r="Y381" s="565" t="n"/>
      <x:c r="Z381" s="565" t="n"/>
    </x:row>
    <x:row r="382">
      <x:c r="A382" s="527" t="n"/>
      <x:c r="B382" s="527" t="n"/>
      <x:c r="C382" s="527" t="inlineStr">
        <x:is>
          <x:t xml:space="preserve">Deed</x:t>
        </x:is>
      </x:c>
      <x:c r="D382" s="527" t="inlineStr">
        <x:is>
          <x:t xml:space="preserve">924/0139</x:t>
        </x:is>
      </x:c>
      <x:c r="E382" s="529" t="n"/>
      <x:c r="F382" s="529" t="n">
        <x:v>32072</x:v>
      </x:c>
      <x:c r="G382" s="527" t="inlineStr">
        <x:is>
          <x:t xml:space="preserve">Myron V. Slobin</x:t>
        </x:is>
      </x:c>
      <x:c r="H382" s="527" t="inlineStr">
        <x:is>
          <x:t xml:space="preserve">David Slobin</x:t>
        </x:is>
      </x:c>
      <x:c r="I382" s="527" t="inlineStr">
        <x:is>
          <x:t xml:space="preserve">All of 31-12N-24W aol</x:t>
        </x:is>
      </x:c>
      <x:c r="J382" s="527" t="n"/>
      <x:c r="K382" s="527" t="n"/>
      <x:c r="L382" s="565" t="n"/>
      <x:c r="M382" s="565" t="n"/>
      <x:c r="N382" s="565" t="n"/>
      <x:c r="O382" s="565" t="n"/>
      <x:c r="P382" s="565" t="n"/>
      <x:c r="Q382" s="565" t="n"/>
      <x:c r="R382" s="565" t="n"/>
      <x:c r="S382" s="613" t="n"/>
      <x:c r="T382" s="565" t="n"/>
      <x:c r="U382" s="613" t="n"/>
      <x:c r="V382" s="565" t="n"/>
      <x:c r="W382" s="565" t="n"/>
      <x:c r="X382" s="565" t="n"/>
      <x:c r="Y382" s="565" t="n"/>
      <x:c r="Z382" s="565" t="n"/>
    </x:row>
    <x:row r="383">
      <x:c r="A383" s="527" t="n"/>
      <x:c r="B383" s="527" t="n"/>
      <x:c r="C383" s="527" t="inlineStr">
        <x:is>
          <x:t xml:space="preserve">Deed</x:t>
        </x:is>
      </x:c>
      <x:c r="D383" s="527" t="inlineStr">
        <x:is>
          <x:t xml:space="preserve">933/0226</x:t>
        </x:is>
      </x:c>
      <x:c r="E383" s="529" t="n"/>
      <x:c r="F383" s="529" t="n">
        <x:v>32118</x:v>
      </x:c>
      <x:c r="G383" s="527" t="inlineStr">
        <x:is>
          <x:t xml:space="preserve">Clarence C. Bain</x:t>
        </x:is>
      </x:c>
      <x:c r="H383" s="527" t="inlineStr">
        <x:is>
          <x:t xml:space="preserve">Billy Wayne Bain</x:t>
        </x:is>
      </x:c>
      <x:c r="I383" s="527" t="inlineStr">
        <x:is>
          <x:t xml:space="preserve">All of 31-12N-24W aol</x:t>
        </x:is>
      </x:c>
      <x:c r="J383" s="527" t="n"/>
      <x:c r="K383" s="527" t="n"/>
      <x:c r="L383" s="565" t="n"/>
      <x:c r="M383" s="565" t="n"/>
      <x:c r="N383" s="565" t="n"/>
      <x:c r="O383" s="565" t="n"/>
      <x:c r="P383" s="565" t="n"/>
      <x:c r="Q383" s="565" t="n"/>
      <x:c r="R383" s="565" t="n"/>
      <x:c r="S383" s="613" t="n"/>
      <x:c r="T383" s="565" t="n"/>
      <x:c r="U383" s="613" t="n"/>
      <x:c r="V383" s="565" t="n"/>
      <x:c r="W383" s="565" t="n"/>
      <x:c r="X383" s="565" t="n"/>
      <x:c r="Y383" s="565" t="n"/>
      <x:c r="Z383" s="565" t="n"/>
    </x:row>
    <x:row r="384">
      <x:c r="A384" s="527" t="n"/>
      <x:c r="B384" s="527" t="n"/>
      <x:c r="C384" s="527" t="inlineStr">
        <x:is>
          <x:t xml:space="preserve">Deed</x:t>
        </x:is>
      </x:c>
      <x:c r="D384" s="527" t="inlineStr">
        <x:is>
          <x:t xml:space="preserve">946/0223</x:t>
        </x:is>
      </x:c>
      <x:c r="E384" s="529" t="n"/>
      <x:c r="F384" s="529" t="n">
        <x:v>32177</x:v>
      </x:c>
      <x:c r="G384" s="527" t="inlineStr">
        <x:is>
          <x:t xml:space="preserve">Brent L. Schooley</x:t>
        </x:is>
      </x:c>
      <x:c r="H384" s="527" t="inlineStr">
        <x:is>
          <x:t xml:space="preserve">Kaiser Francis Oil Co.</x:t>
        </x:is>
      </x:c>
      <x:c r="I384" s="527" t="inlineStr">
        <x:is>
          <x:t xml:space="preserve">All of 31-12N-24W aol</x:t>
        </x:is>
      </x:c>
      <x:c r="J384" s="527" t="n"/>
      <x:c r="K384" s="527" t="n"/>
      <x:c r="L384" s="565" t="n"/>
      <x:c r="M384" s="565" t="n"/>
      <x:c r="N384" s="565" t="n"/>
      <x:c r="O384" s="565" t="n"/>
      <x:c r="P384" s="565" t="n"/>
      <x:c r="Q384" s="565" t="n"/>
      <x:c r="R384" s="565" t="n"/>
      <x:c r="S384" s="613" t="n"/>
      <x:c r="T384" s="565" t="n"/>
      <x:c r="U384" s="613" t="n"/>
      <x:c r="V384" s="565" t="n"/>
      <x:c r="W384" s="565" t="n"/>
      <x:c r="X384" s="565" t="n"/>
      <x:c r="Y384" s="565" t="n"/>
      <x:c r="Z384" s="565" t="n"/>
    </x:row>
    <x:row r="385">
      <x:c r="A385" s="527" t="n"/>
      <x:c r="B385" s="527" t="n"/>
      <x:c r="C385" s="527" t="inlineStr">
        <x:is>
          <x:t xml:space="preserve">Deed</x:t>
        </x:is>
      </x:c>
      <x:c r="D385" s="527" t="inlineStr">
        <x:is>
          <x:t xml:space="preserve">981/0002</x:t>
        </x:is>
      </x:c>
      <x:c r="E385" s="529" t="n">
        <x:v>32216</x:v>
      </x:c>
      <x:c r="F385" s="529" t="n">
        <x:v>32329</x:v>
      </x:c>
      <x:c r="G385" s="527" t="inlineStr">
        <x:is>
          <x:t xml:space="preserve">Flag-Redfern Oil Company</x:t>
        </x:is>
      </x:c>
      <x:c r="H385" s="527" t="inlineStr">
        <x:is>
          <x:t xml:space="preserve">First City National Bank of Midland, Trustee of The Eta-Flag Royalty Trust</x:t>
        </x:is>
      </x:c>
      <x:c r="I385" s="527" t="inlineStr">
        <x:is>
          <x:t xml:space="preserve">N/2 NE/4, W/2 NW/4 of 31-12N-24W aol</x:t>
        </x:is>
      </x:c>
      <x:c r="J385" s="527" t="n"/>
      <x:c r="K385" s="527" t="n"/>
      <x:c r="L385" s="565" t="n"/>
      <x:c r="M385" s="565" t="n"/>
      <x:c r="N385" s="565" t="n"/>
      <x:c r="O385" s="565" t="n"/>
      <x:c r="P385" s="565" t="n"/>
      <x:c r="Q385" s="565" t="n"/>
      <x:c r="R385" s="565" t="n"/>
      <x:c r="S385" s="613" t="n"/>
      <x:c r="T385" s="565" t="n"/>
      <x:c r="U385" s="613" t="n"/>
      <x:c r="V385" s="565" t="n"/>
      <x:c r="W385" s="565" t="n"/>
      <x:c r="X385" s="565" t="n"/>
      <x:c r="Y385" s="565" t="n"/>
      <x:c r="Z385" s="565" t="n"/>
    </x:row>
    <x:row r="386">
      <x:c r="A386" s="527" t="n"/>
      <x:c r="B386" s="527" t="n"/>
      <x:c r="C386" s="527" t="inlineStr">
        <x:is>
          <x:t xml:space="preserve">Deed</x:t>
        </x:is>
      </x:c>
      <x:c r="D386" s="527" t="inlineStr">
        <x:is>
          <x:t xml:space="preserve">966/0090</x:t>
        </x:is>
      </x:c>
      <x:c r="E386" s="529" t="n"/>
      <x:c r="F386" s="529" t="n">
        <x:v>32255</x:v>
      </x:c>
      <x:c r="G386" s="527" t="inlineStr">
        <x:is>
          <x:t xml:space="preserve">Clara Mae Bryan,
George M. Bryan</x:t>
        </x:is>
      </x:c>
      <x:c r="H386" s="527" t="inlineStr">
        <x:is>
          <x:t xml:space="preserve">Eula Cross</x:t>
        </x:is>
      </x:c>
      <x:c r="I386" s="527" t="inlineStr">
        <x:is>
          <x:t xml:space="preserve">All of 31-12N-24W aol</x:t>
        </x:is>
      </x:c>
      <x:c r="J386" s="527" t="n"/>
      <x:c r="K386" s="527" t="n"/>
      <x:c r="L386" s="565" t="n"/>
      <x:c r="M386" s="565" t="n"/>
      <x:c r="N386" s="565" t="n"/>
      <x:c r="O386" s="565" t="n"/>
      <x:c r="P386" s="565" t="n"/>
      <x:c r="Q386" s="565" t="n"/>
      <x:c r="R386" s="565" t="n"/>
      <x:c r="S386" s="613" t="n"/>
      <x:c r="T386" s="565" t="n"/>
      <x:c r="U386" s="613" t="n"/>
      <x:c r="V386" s="565" t="n"/>
      <x:c r="W386" s="565" t="n"/>
      <x:c r="X386" s="565" t="n"/>
      <x:c r="Y386" s="565" t="n"/>
      <x:c r="Z386" s="565" t="n"/>
    </x:row>
    <x:row r="387">
      <x:c r="A387" s="527" t="n"/>
      <x:c r="B387" s="527" t="n"/>
      <x:c r="C387" s="527" t="inlineStr">
        <x:is>
          <x:t xml:space="preserve">Deed</x:t>
        </x:is>
      </x:c>
      <x:c r="D387" s="527" t="inlineStr">
        <x:is>
          <x:t xml:space="preserve">984/0185</x:t>
        </x:is>
      </x:c>
      <x:c r="E387" s="529" t="n"/>
      <x:c r="F387" s="529" t="n">
        <x:v>32344</x:v>
      </x:c>
      <x:c r="G387" s="527" t="inlineStr">
        <x:is>
          <x:t xml:space="preserve">Clarence C. Bain</x:t>
        </x:is>
      </x:c>
      <x:c r="H387" s="527" t="inlineStr">
        <x:is>
          <x:t xml:space="preserve">Paul Milton Bain</x:t>
        </x:is>
      </x:c>
      <x:c r="I387" s="527" t="inlineStr">
        <x:is>
          <x:t xml:space="preserve">All of 31-12N-24W aol</x:t>
        </x:is>
      </x:c>
      <x:c r="J387" s="527" t="n"/>
      <x:c r="K387" s="527" t="n"/>
      <x:c r="L387" s="565" t="n"/>
      <x:c r="M387" s="565" t="n"/>
      <x:c r="N387" s="565" t="n"/>
      <x:c r="O387" s="565" t="n"/>
      <x:c r="P387" s="565" t="n"/>
      <x:c r="Q387" s="565" t="n"/>
      <x:c r="R387" s="565" t="n"/>
      <x:c r="S387" s="613" t="n"/>
      <x:c r="T387" s="565" t="n"/>
      <x:c r="U387" s="613" t="n"/>
      <x:c r="V387" s="565" t="n"/>
      <x:c r="W387" s="565" t="n"/>
      <x:c r="X387" s="565" t="n"/>
      <x:c r="Y387" s="565" t="n"/>
      <x:c r="Z387" s="565" t="n"/>
    </x:row>
    <x:row r="388">
      <x:c r="A388" s="527" t="n"/>
      <x:c r="B388" s="527" t="n"/>
      <x:c r="C388" s="527" t="inlineStr">
        <x:is>
          <x:t xml:space="preserve">Deed</x:t>
        </x:is>
      </x:c>
      <x:c r="D388" s="527" t="inlineStr">
        <x:is>
          <x:t xml:space="preserve">984/0187</x:t>
        </x:is>
      </x:c>
      <x:c r="E388" s="529" t="n"/>
      <x:c r="F388" s="529" t="n">
        <x:v>32344</x:v>
      </x:c>
      <x:c r="G388" s="527" t="inlineStr">
        <x:is>
          <x:t xml:space="preserve">Clarence C. Bain</x:t>
        </x:is>
      </x:c>
      <x:c r="H388" s="527" t="inlineStr">
        <x:is>
          <x:t xml:space="preserve">Ronald Dean Bain</x:t>
        </x:is>
      </x:c>
      <x:c r="I388" s="527" t="inlineStr">
        <x:is>
          <x:t xml:space="preserve">All of 31-12N-24W aol</x:t>
        </x:is>
      </x:c>
      <x:c r="J388" s="527" t="n"/>
      <x:c r="K388" s="527" t="n"/>
      <x:c r="L388" s="565" t="n"/>
      <x:c r="M388" s="565" t="n"/>
      <x:c r="N388" s="565" t="n"/>
      <x:c r="O388" s="565" t="n"/>
      <x:c r="P388" s="565" t="n"/>
      <x:c r="Q388" s="565" t="n"/>
      <x:c r="R388" s="565" t="n"/>
      <x:c r="S388" s="613" t="n"/>
      <x:c r="T388" s="565" t="n"/>
      <x:c r="U388" s="613" t="n"/>
      <x:c r="V388" s="565" t="n"/>
      <x:c r="W388" s="565" t="n"/>
      <x:c r="X388" s="565" t="n"/>
      <x:c r="Y388" s="565" t="n"/>
      <x:c r="Z388" s="565" t="n"/>
    </x:row>
    <x:row r="389">
      <x:c r="A389" s="527" t="n"/>
      <x:c r="B389" s="527" t="n"/>
      <x:c r="C389" s="527" t="inlineStr">
        <x:is>
          <x:t xml:space="preserve">Deed</x:t>
        </x:is>
      </x:c>
      <x:c r="D389" s="527" t="inlineStr">
        <x:is>
          <x:t xml:space="preserve">984/0181</x:t>
        </x:is>
      </x:c>
      <x:c r="E389" s="529" t="n"/>
      <x:c r="F389" s="529" t="n">
        <x:v>32344</x:v>
      </x:c>
      <x:c r="G389" s="527" t="inlineStr">
        <x:is>
          <x:t xml:space="preserve">Clarence C. Bain</x:t>
        </x:is>
      </x:c>
      <x:c r="H389" s="527" t="inlineStr">
        <x:is>
          <x:t xml:space="preserve">William Clifton Bain</x:t>
        </x:is>
      </x:c>
      <x:c r="I389" s="527" t="inlineStr">
        <x:is>
          <x:t xml:space="preserve">All of 31-12N-24W aol</x:t>
        </x:is>
      </x:c>
      <x:c r="J389" s="527" t="n"/>
      <x:c r="K389" s="527" t="n"/>
      <x:c r="L389" s="565" t="n"/>
      <x:c r="M389" s="565" t="n"/>
      <x:c r="N389" s="565" t="n"/>
      <x:c r="O389" s="565" t="n"/>
      <x:c r="P389" s="565" t="n"/>
      <x:c r="Q389" s="565" t="n"/>
      <x:c r="R389" s="565" t="n"/>
      <x:c r="S389" s="613" t="n"/>
      <x:c r="T389" s="565" t="n"/>
      <x:c r="U389" s="613" t="n"/>
      <x:c r="V389" s="565" t="n"/>
      <x:c r="W389" s="565" t="n"/>
      <x:c r="X389" s="565" t="n"/>
      <x:c r="Y389" s="565" t="n"/>
      <x:c r="Z389" s="565" t="n"/>
    </x:row>
    <x:row r="390">
      <x:c r="A390" s="527" t="n"/>
      <x:c r="B390" s="527" t="n"/>
      <x:c r="C390" s="527" t="inlineStr">
        <x:is>
          <x:t xml:space="preserve">Deed</x:t>
        </x:is>
      </x:c>
      <x:c r="D390" s="527" t="inlineStr">
        <x:is>
          <x:t xml:space="preserve">984/0183</x:t>
        </x:is>
      </x:c>
      <x:c r="E390" s="529" t="n"/>
      <x:c r="F390" s="529" t="n">
        <x:v>32344</x:v>
      </x:c>
      <x:c r="G390" s="527" t="inlineStr">
        <x:is>
          <x:t xml:space="preserve">Clarence C. Bain</x:t>
        </x:is>
      </x:c>
      <x:c r="H390" s="527" t="inlineStr">
        <x:is>
          <x:t xml:space="preserve">Michael Lee Bain</x:t>
        </x:is>
      </x:c>
      <x:c r="I390" s="527" t="inlineStr">
        <x:is>
          <x:t xml:space="preserve">All of 31-12N-24W aol</x:t>
        </x:is>
      </x:c>
      <x:c r="J390" s="527" t="n"/>
      <x:c r="K390" s="527" t="n"/>
      <x:c r="L390" s="565" t="n"/>
      <x:c r="M390" s="565" t="n"/>
      <x:c r="N390" s="565" t="n"/>
      <x:c r="O390" s="565" t="n"/>
      <x:c r="P390" s="565" t="n"/>
      <x:c r="Q390" s="565" t="n"/>
      <x:c r="R390" s="565" t="n"/>
      <x:c r="S390" s="613" t="n"/>
      <x:c r="T390" s="565" t="n"/>
      <x:c r="U390" s="613" t="n"/>
      <x:c r="V390" s="565" t="n"/>
      <x:c r="W390" s="565" t="n"/>
      <x:c r="X390" s="565" t="n"/>
      <x:c r="Y390" s="565" t="n"/>
      <x:c r="Z390" s="565" t="n"/>
    </x:row>
    <x:row r="391">
      <x:c r="A391" s="527" t="n"/>
      <x:c r="B391" s="527" t="n"/>
      <x:c r="C391" s="527" t="inlineStr">
        <x:is>
          <x:t xml:space="preserve">Final Decree</x:t>
        </x:is>
      </x:c>
      <x:c r="D391" s="527" t="inlineStr">
        <x:is>
          <x:t xml:space="preserve">986/0185</x:t>
        </x:is>
      </x:c>
      <x:c r="E391" s="529" t="n"/>
      <x:c r="F391" s="529" t="n">
        <x:v>32350</x:v>
      </x:c>
      <x:c r="G391" s="527" t="inlineStr">
        <x:is>
          <x:t xml:space="preserve">Margaret Gray</x:t>
        </x:is>
      </x:c>
      <x:c r="H391" s="527" t="inlineStr">
        <x:is>
          <x:t xml:space="preserve">The Public,
Fred a. Standiford, Jr.</x:t>
        </x:is>
      </x:c>
      <x:c r="I391" s="527" t="inlineStr">
        <x:is>
          <x:t xml:space="preserve">All of 31-12N-24W aol</x:t>
        </x:is>
      </x:c>
      <x:c r="J391" s="527" t="n"/>
      <x:c r="K391" s="527" t="n"/>
      <x:c r="L391" s="565" t="n"/>
      <x:c r="M391" s="565" t="n"/>
      <x:c r="N391" s="565" t="n"/>
      <x:c r="O391" s="565" t="n"/>
      <x:c r="P391" s="565" t="n"/>
      <x:c r="Q391" s="565" t="n"/>
      <x:c r="R391" s="565" t="n"/>
      <x:c r="S391" s="613" t="n"/>
      <x:c r="T391" s="565" t="n"/>
      <x:c r="U391" s="613" t="n"/>
      <x:c r="V391" s="565" t="n"/>
      <x:c r="W391" s="565" t="n"/>
      <x:c r="X391" s="565" t="n"/>
      <x:c r="Y391" s="565" t="n"/>
      <x:c r="Z391" s="565" t="n"/>
    </x:row>
    <x:row r="392">
      <x:c r="A392" s="527" t="n"/>
      <x:c r="B392" s="527" t="n"/>
      <x:c r="C392" s="527" t="inlineStr">
        <x:is>
          <x:t xml:space="preserve">Deed</x:t>
        </x:is>
      </x:c>
      <x:c r="D392" s="527" t="inlineStr">
        <x:is>
          <x:t xml:space="preserve">998/0204</x:t>
        </x:is>
      </x:c>
      <x:c r="E392" s="529" t="n"/>
      <x:c r="F392" s="529" t="n">
        <x:v>32405</x:v>
      </x:c>
      <x:c r="G392" s="527" t="inlineStr">
        <x:is>
          <x:t xml:space="preserve">Cimarron Mineral Corporation</x:t>
        </x:is>
      </x:c>
      <x:c r="H392" s="527" t="inlineStr">
        <x:is>
          <x:t xml:space="preserve">Inter-American Corporation</x:t>
        </x:is>
      </x:c>
      <x:c r="I392" s="527" t="inlineStr">
        <x:is>
          <x:t xml:space="preserve">All of 31-12N-24W aol</x:t>
        </x:is>
      </x:c>
      <x:c r="J392" s="527" t="n"/>
      <x:c r="K392" s="527" t="n"/>
      <x:c r="L392" s="565" t="n"/>
      <x:c r="M392" s="565" t="n"/>
      <x:c r="N392" s="565" t="n"/>
      <x:c r="O392" s="565" t="n"/>
      <x:c r="P392" s="565" t="n"/>
      <x:c r="Q392" s="565" t="n"/>
      <x:c r="R392" s="565" t="n"/>
      <x:c r="S392" s="613" t="n"/>
      <x:c r="T392" s="565" t="n"/>
      <x:c r="U392" s="613" t="n"/>
      <x:c r="V392" s="565" t="n"/>
      <x:c r="W392" s="565" t="n"/>
      <x:c r="X392" s="565" t="n"/>
      <x:c r="Y392" s="565" t="n"/>
      <x:c r="Z392" s="565" t="n"/>
    </x:row>
    <x:row r="393">
      <x:c r="A393" s="542" t="n"/>
      <x:c r="B393" s="527" t="n">
        <x:v>1</x:v>
      </x:c>
      <x:c r="C393" s="527" t="inlineStr">
        <x:is>
          <x:t xml:space="preserve">Oil and Gas Lease</x:t>
        </x:is>
      </x:c>
      <x:c r="D393" s="527" t="n">
        <x:v>36564</x:v>
      </x:c>
      <x:c r="E393" s="529" t="n">
        <x:v>36564</x:v>
      </x:c>
      <x:c r="F393" s="529" t="inlineStr">
        <x:is>
          <x:t xml:space="preserve">1604/0108</x:t>
        </x:is>
      </x:c>
      <x:c r="G393" s="527" t="inlineStr">
        <x:is>
          <x:t xml:space="preserve">Jan A. Schroff, Trustee</x:t>
        </x:is>
      </x:c>
      <x:c r="H393" s="527" t="inlineStr">
        <x:is>
          <x:t xml:space="preserve">Richard C. Cope</x:t>
        </x:is>
      </x:c>
      <x:c r="I393" s="527" t="inlineStr">
        <x:is>
          <x:t xml:space="preserve">SE/4 SE/4 of 31-12N-24W</x:t>
        </x:is>
      </x:c>
      <x:c r="J393" s="527" t="inlineStr">
        <x:is>
          <x:t xml:space="preserve">Creates oil &amp; gas leasehold burden</x:t>
        </x:is>
      </x:c>
      <x:c r="K393" s="527" t="inlineStr">
        <x:is>
          <x:t xml:space="preserve">63e8b9a8d056433a9994fe46ca85076b.pdf | https://okcountyrecords.com/detail/roger+mills/2000-006657</x:t>
        </x:is>
      </x:c>
      <x:c r="L393" s="565" t="n"/>
      <x:c r="M393" s="565" t="n"/>
      <x:c r="N393" s="565" t="n"/>
      <x:c r="O393" s="565" t="n"/>
      <x:c r="P393" s="565" t="n"/>
      <x:c r="Q393" s="565" t="n"/>
      <x:c r="R393" s="565" t="n"/>
      <x:c r="S393" s="613" t="n"/>
      <x:c r="T393" s="565" t="n"/>
      <x:c r="U393" s="613" t="n"/>
      <x:c r="V393" s="565" t="n"/>
      <x:c r="W393" s="565" t="n"/>
      <x:c r="X393" s="565" t="n"/>
      <x:c r="Y393" s="565" t="n"/>
      <x:c r="Z393" s="565" t="n"/>
    </x:row>
    <x:row r="394">
      <x:c r="A394" s="542" t="n"/>
      <x:c r="B394" s="527" t="n">
        <x:v>4</x:v>
      </x:c>
      <x:c r="C394" s="527" t="inlineStr">
        <x:is>
          <x:t xml:space="preserve">Oil and Gas Lease</x:t>
        </x:is>
      </x:c>
      <x:c r="D394" s="527" t="n">
        <x:v>36565</x:v>
      </x:c>
      <x:c r="E394" s="529" t="n">
        <x:v>36565</x:v>
      </x:c>
      <x:c r="F394" s="529" t="inlineStr">
        <x:is>
          <x:t xml:space="preserve">1604/0239</x:t>
        </x:is>
      </x:c>
      <x:c r="G394" s="527" t="inlineStr">
        <x:is>
          <x:t xml:space="preserve">Eleanore Wheeler</x:t>
        </x:is>
      </x:c>
      <x:c r="H394" s="527" t="inlineStr">
        <x:is>
          <x:t xml:space="preserve">R. Michael Lortz</x:t>
        </x:is>
      </x:c>
      <x:c r="I394" s="527" t="inlineStr">
        <x:is>
          <x:t xml:space="preserve">NE/4 SW/4, Lots 3-4 of 31-12N-24W</x:t>
        </x:is>
      </x:c>
      <x:c r="J394" s="527" t="inlineStr">
        <x:is>
          <x:t xml:space="preserve">Creates oil &amp; gas leasehold burden</x:t>
        </x:is>
      </x:c>
      <x:c r="K394" s="527" t="inlineStr">
        <x:is>
          <x:t xml:space="preserve">63e8b9a8d056433a9994fe46ca85076b.pdf | https://okcountyrecords.com/detail/roger+mills/2000-006668</x:t>
        </x:is>
      </x:c>
      <x:c r="L394" s="565" t="n"/>
      <x:c r="M394" s="565" t="n"/>
      <x:c r="N394" s="565" t="n"/>
      <x:c r="O394" s="565" t="n"/>
      <x:c r="P394" s="565" t="n"/>
      <x:c r="Q394" s="565" t="n"/>
      <x:c r="R394" s="565" t="n"/>
      <x:c r="S394" s="613" t="n"/>
      <x:c r="T394" s="565" t="n"/>
      <x:c r="U394" s="613" t="n"/>
      <x:c r="V394" s="565" t="n"/>
      <x:c r="W394" s="565" t="n"/>
      <x:c r="X394" s="565" t="n"/>
      <x:c r="Y394" s="565" t="n"/>
      <x:c r="Z394" s="565" t="n"/>
    </x:row>
    <x:row r="395">
      <x:c r="A395" s="542" t="n"/>
      <x:c r="B395" s="527" t="n">
        <x:v>11</x:v>
      </x:c>
      <x:c r="C395" s="527" t="inlineStr">
        <x:is>
          <x:t xml:space="preserve">Oil and Gas Lease</x:t>
        </x:is>
      </x:c>
      <x:c r="D395" s="527" t="n">
        <x:v>36566</x:v>
      </x:c>
      <x:c r="E395" s="529" t="n">
        <x:v>36566</x:v>
      </x:c>
      <x:c r="F395" s="529" t="inlineStr">
        <x:is>
          <x:t xml:space="preserve">1604/0322</x:t>
        </x:is>
      </x:c>
      <x:c r="G395" s="527" t="inlineStr">
        <x:is>
          <x:t xml:space="preserve">Sandra Lorrain York</x:t>
        </x:is>
      </x:c>
      <x:c r="H395" s="527" t="inlineStr">
        <x:is>
          <x:t xml:space="preserve">Eog Resources, Inc.</x:t>
        </x:is>
      </x:c>
      <x:c r="I395" s="527" t="inlineStr">
        <x:is>
          <x:t xml:space="preserve">A of 31-12N-24W</x:t>
        </x:is>
      </x:c>
      <x:c r="J395" s="527" t="inlineStr">
        <x:is>
          <x:t xml:space="preserve">Creates oil &amp; gas leasehold burden</x:t>
        </x:is>
      </x:c>
      <x:c r="K395" s="527" t="inlineStr">
        <x:is>
          <x:t xml:space="preserve">63e8b9a8d056433a9994fe46ca85076b.pdf | https://okcountyrecords.com/detail/roger+mills/2000-006716</x:t>
        </x:is>
      </x:c>
      <x:c r="L395" s="565" t="n"/>
      <x:c r="M395" s="565" t="n"/>
      <x:c r="N395" s="565" t="n"/>
      <x:c r="O395" s="565" t="n"/>
      <x:c r="P395" s="565" t="n"/>
      <x:c r="Q395" s="565" t="n"/>
      <x:c r="R395" s="565" t="n"/>
      <x:c r="S395" s="613" t="n"/>
      <x:c r="T395" s="565" t="n"/>
      <x:c r="U395" s="613" t="n"/>
      <x:c r="V395" s="565" t="n"/>
      <x:c r="W395" s="565" t="n"/>
      <x:c r="X395" s="565" t="n"/>
      <x:c r="Y395" s="565" t="n"/>
      <x:c r="Z395" s="565" t="n"/>
    </x:row>
    <x:row r="396">
      <x:c r="A396" s="542" t="n"/>
      <x:c r="B396" s="527" t="n">
        <x:v>12</x:v>
      </x:c>
      <x:c r="C396" s="527" t="inlineStr">
        <x:is>
          <x:t xml:space="preserve">Oil and Gas Lease</x:t>
        </x:is>
      </x:c>
      <x:c r="D396" s="527" t="n">
        <x:v>36572</x:v>
      </x:c>
      <x:c r="E396" s="529" t="n">
        <x:v>36572</x:v>
      </x:c>
      <x:c r="F396" s="529" t="inlineStr">
        <x:is>
          <x:t xml:space="preserve">1604/0453</x:t>
        </x:is>
      </x:c>
      <x:c r="G396" s="527" t="inlineStr">
        <x:is>
          <x:t xml:space="preserve">Nanalee Faye Barnett</x:t>
        </x:is>
      </x:c>
      <x:c r="H396" s="527" t="inlineStr">
        <x:is>
          <x:t xml:space="preserve">Richard C. Cope</x:t>
        </x:is>
      </x:c>
      <x:c r="I396" s="527" t="inlineStr">
        <x:is>
          <x:t xml:space="preserve">E/2 NW/4 of 31-12N-24W</x:t>
        </x:is>
      </x:c>
      <x:c r="J396" s="527" t="inlineStr">
        <x:is>
          <x:t xml:space="preserve">Creates oil &amp; gas leasehold burden</x:t>
        </x:is>
      </x:c>
      <x:c r="K396" s="527" t="inlineStr">
        <x:is>
          <x:t xml:space="preserve">63e8b9a8d056433a9994fe46ca85076b.pdf | https://okcountyrecords.com/detail/roger+mills/2000-006763</x:t>
        </x:is>
      </x:c>
      <x:c r="L396" s="565" t="n"/>
      <x:c r="M396" s="565" t="n"/>
      <x:c r="N396" s="565" t="n"/>
      <x:c r="O396" s="565" t="n"/>
      <x:c r="P396" s="565" t="n"/>
      <x:c r="Q396" s="565" t="n"/>
      <x:c r="R396" s="565" t="n"/>
      <x:c r="S396" s="613" t="n"/>
      <x:c r="T396" s="565" t="n"/>
      <x:c r="U396" s="613" t="n"/>
      <x:c r="V396" s="565" t="n"/>
      <x:c r="W396" s="565" t="n"/>
      <x:c r="X396" s="565" t="n"/>
      <x:c r="Y396" s="565" t="n"/>
      <x:c r="Z396" s="565" t="n"/>
    </x:row>
    <x:row r="397">
      <x:c r="A397" s="542" t="n"/>
      <x:c r="B397" s="527" t="n">
        <x:v>13</x:v>
      </x:c>
      <x:c r="C397" s="527" t="inlineStr">
        <x:is>
          <x:t xml:space="preserve">Oil and Gas Lease</x:t>
        </x:is>
      </x:c>
      <x:c r="D397" s="527" t="n">
        <x:v>37372</x:v>
      </x:c>
      <x:c r="E397" s="529" t="n">
        <x:v>37348</x:v>
      </x:c>
      <x:c r="F397" s="529" t="inlineStr">
        <x:is>
          <x:t xml:space="preserve">1676/0377</x:t>
        </x:is>
      </x:c>
      <x:c r="G397" s="527" t="inlineStr">
        <x:is>
          <x:t xml:space="preserve">V. Slobin Myron</x:t>
        </x:is>
      </x:c>
      <x:c r="H397" s="527" t="inlineStr">
        <x:is>
          <x:t xml:space="preserve">Chesapeake Exploration, Ltd. Ptn</x:t>
        </x:is>
      </x:c>
      <x:c r="I397" s="527" t="inlineStr">
        <x:is>
          <x:t xml:space="preserve">All of 31-12N-24W</x:t>
        </x:is>
      </x:c>
      <x:c r="J397" s="527" t="inlineStr">
        <x:is>
          <x:t xml:space="preserve">Creates oil &amp; gas leasehold burden</x:t>
        </x:is>
      </x:c>
      <x:c r="K397" s="527" t="inlineStr">
        <x:is>
          <x:t xml:space="preserve">31-12N-24W_Roger_Mills_Best_Full_Cursory_Title_Report_2026-06-10</x:t>
        </x:is>
      </x:c>
      <x:c r="L397" s="565" t="n"/>
      <x:c r="M397" s="565" t="n"/>
      <x:c r="N397" s="565" t="n"/>
      <x:c r="O397" s="565" t="n"/>
      <x:c r="P397" s="565" t="n"/>
      <x:c r="Q397" s="565" t="n"/>
      <x:c r="R397" s="565" t="n"/>
      <x:c r="S397" s="613" t="n"/>
      <x:c r="T397" s="565" t="n"/>
      <x:c r="U397" s="613" t="n"/>
      <x:c r="V397" s="565" t="n"/>
      <x:c r="W397" s="565" t="n"/>
      <x:c r="X397" s="565" t="n"/>
      <x:c r="Y397" s="565" t="n"/>
      <x:c r="Z397" s="565" t="n"/>
    </x:row>
    <x:row r="398">
      <x:c r="A398" s="542" t="n"/>
      <x:c r="B398" s="527" t="n">
        <x:v>15</x:v>
      </x:c>
      <x:c r="C398" s="527" t="inlineStr">
        <x:is>
          <x:t xml:space="preserve">Oil and Gas Lease</x:t>
        </x:is>
      </x:c>
      <x:c r="D398" s="527" t="n">
        <x:v>37503</x:v>
      </x:c>
      <x:c r="E398" s="529" t="n">
        <x:v>37354</x:v>
      </x:c>
      <x:c r="F398" s="529" t="inlineStr">
        <x:is>
          <x:t xml:space="preserve">1688/0108</x:t>
        </x:is>
      </x:c>
      <x:c r="G398" s="527" t="inlineStr">
        <x:is>
          <x:t xml:space="preserve">L. A. Persicke</x:t>
        </x:is>
      </x:c>
      <x:c r="H398" s="527" t="inlineStr">
        <x:is>
          <x:t xml:space="preserve">Chesapeake Exploration, Ltd. Ptn</x:t>
        </x:is>
      </x:c>
      <x:c r="I398" s="527" t="inlineStr">
        <x:is>
          <x:t xml:space="preserve">All of 31-12N-24W</x:t>
        </x:is>
      </x:c>
      <x:c r="J398" s="527" t="inlineStr">
        <x:is>
          <x:t xml:space="preserve">Creates oil &amp; gas leasehold burden</x:t>
        </x:is>
      </x:c>
      <x:c r="K398" s="527" t="inlineStr">
        <x:is>
          <x:t xml:space="preserve">31-12N-24W_Roger_Mills_Best_Full_Cursory_Title_Report_2026-06-10</x:t>
        </x:is>
      </x:c>
      <x:c r="L398" s="565" t="n"/>
      <x:c r="M398" s="565" t="n"/>
      <x:c r="N398" s="565" t="n"/>
      <x:c r="O398" s="565" t="n"/>
      <x:c r="P398" s="565" t="n"/>
      <x:c r="Q398" s="565" t="n"/>
      <x:c r="R398" s="565" t="n"/>
      <x:c r="S398" s="613" t="n"/>
      <x:c r="T398" s="565" t="n"/>
      <x:c r="U398" s="613" t="n"/>
      <x:c r="V398" s="565" t="n"/>
      <x:c r="W398" s="565" t="n"/>
      <x:c r="X398" s="565" t="n"/>
      <x:c r="Y398" s="565" t="n"/>
      <x:c r="Z398" s="565" t="n"/>
    </x:row>
    <x:row r="399">
      <x:c r="A399" s="542" t="n"/>
      <x:c r="B399" s="527" t="n">
        <x:v>16</x:v>
      </x:c>
      <x:c r="C399" s="527" t="inlineStr">
        <x:is>
          <x:t xml:space="preserve">Oil and Gas Lease</x:t>
        </x:is>
      </x:c>
      <x:c r="D399" s="527" t="n">
        <x:v>37389</x:v>
      </x:c>
      <x:c r="E399" s="529" t="n">
        <x:v>37361</x:v>
      </x:c>
      <x:c r="F399" s="529" t="inlineStr">
        <x:is>
          <x:t xml:space="preserve">1677/0533</x:t>
        </x:is>
      </x:c>
      <x:c r="G399" s="527" t="inlineStr">
        <x:is>
          <x:t xml:space="preserve">S. Silverberg David</x:t>
        </x:is>
      </x:c>
      <x:c r="H399" s="527" t="inlineStr">
        <x:is>
          <x:t xml:space="preserve">Eog Resources, Inc.</x:t>
        </x:is>
      </x:c>
      <x:c r="I399" s="527" t="inlineStr">
        <x:is>
          <x:t xml:space="preserve">All of 31-12N-24W</x:t>
        </x:is>
      </x:c>
      <x:c r="J399" s="527" t="inlineStr">
        <x:is>
          <x:t xml:space="preserve">Creates oil &amp; gas leasehold burden</x:t>
        </x:is>
      </x:c>
      <x:c r="K399" s="527" t="inlineStr">
        <x:is>
          <x:t xml:space="preserve">31-12N-24W_Roger_Mills_Best_Full_Cursory_Title_Report_2026-06-10</x:t>
        </x:is>
      </x:c>
      <x:c r="L399" s="565" t="n"/>
      <x:c r="M399" s="565" t="n"/>
      <x:c r="N399" s="565" t="n"/>
      <x:c r="O399" s="565" t="n"/>
      <x:c r="P399" s="565" t="n"/>
      <x:c r="Q399" s="565" t="n"/>
      <x:c r="R399" s="565" t="n"/>
      <x:c r="S399" s="613" t="n"/>
      <x:c r="T399" s="565" t="n"/>
      <x:c r="U399" s="613" t="n"/>
      <x:c r="V399" s="565" t="n"/>
      <x:c r="W399" s="565" t="n"/>
      <x:c r="X399" s="565" t="n"/>
      <x:c r="Y399" s="565" t="n"/>
      <x:c r="Z399" s="565" t="n"/>
    </x:row>
    <x:row r="400">
      <x:c r="A400" s="542" t="n"/>
      <x:c r="B400" s="527" t="n">
        <x:v>18</x:v>
      </x:c>
      <x:c r="C400" s="527" t="inlineStr">
        <x:is>
          <x:t xml:space="preserve">Oil and Gas Lease</x:t>
        </x:is>
      </x:c>
      <x:c r="D400" s="527" t="n">
        <x:v>37433</x:v>
      </x:c>
      <x:c r="E400" s="529" t="n">
        <x:v>37381</x:v>
      </x:c>
      <x:c r="F400" s="529" t="inlineStr">
        <x:is>
          <x:t xml:space="preserve">1683/0001</x:t>
        </x:is>
      </x:c>
      <x:c r="G400" s="527" t="inlineStr">
        <x:is>
          <x:t xml:space="preserve">Paul R. Deutseh,
A. Deborah</x:t>
        </x:is>
      </x:c>
      <x:c r="H400" s="527" t="inlineStr">
        <x:is>
          <x:t xml:space="preserve">Eog Resources</x:t>
        </x:is>
      </x:c>
      <x:c r="I400" s="527" t="inlineStr">
        <x:is>
          <x:t xml:space="preserve">All of 31-12N-24W</x:t>
        </x:is>
      </x:c>
      <x:c r="J400" s="527" t="inlineStr">
        <x:is>
          <x:t xml:space="preserve">Creates oil &amp; gas leasehold burden</x:t>
        </x:is>
      </x:c>
      <x:c r="K400" s="527" t="inlineStr">
        <x:is>
          <x:t xml:space="preserve">31-12N-24W_Roger_Mills_Best_Full_Cursory_Title_Report_2026-06-10</x:t>
        </x:is>
      </x:c>
      <x:c r="L400" s="565" t="n"/>
      <x:c r="M400" s="565" t="n"/>
      <x:c r="N400" s="565" t="n"/>
      <x:c r="O400" s="565" t="n"/>
      <x:c r="P400" s="565" t="n"/>
      <x:c r="Q400" s="565" t="n"/>
      <x:c r="R400" s="565" t="n"/>
      <x:c r="S400" s="613" t="n"/>
      <x:c r="T400" s="565" t="n"/>
      <x:c r="U400" s="613" t="n"/>
      <x:c r="V400" s="565" t="n"/>
      <x:c r="W400" s="565" t="n"/>
      <x:c r="X400" s="565" t="n"/>
      <x:c r="Y400" s="565" t="n"/>
      <x:c r="Z400" s="565" t="n"/>
    </x:row>
    <x:row r="401">
      <x:c r="A401" s="542" t="n"/>
      <x:c r="B401" s="527" t="n">
        <x:v>20</x:v>
      </x:c>
      <x:c r="C401" s="527" t="inlineStr">
        <x:is>
          <x:t xml:space="preserve">Oil and Gas Lease</x:t>
        </x:is>
      </x:c>
      <x:c r="D401" s="527" t="n">
        <x:v>37484</x:v>
      </x:c>
      <x:c r="E401" s="529" t="n">
        <x:v>37425</x:v>
      </x:c>
      <x:c r="F401" s="529" t="inlineStr">
        <x:is>
          <x:t xml:space="preserve">1686/0580</x:t>
        </x:is>
      </x:c>
      <x:c r="G401" s="527" t="inlineStr">
        <x:is>
          <x:t xml:space="preserve">Peggy Brawner Bain William C. Jr., Attorney for</x:t>
        </x:is>
      </x:c>
      <x:c r="H401" s="527" t="inlineStr">
        <x:is>
          <x:t xml:space="preserve">Eog Resources</x:t>
        </x:is>
      </x:c>
      <x:c r="I401" s="527" t="inlineStr">
        <x:is>
          <x:t xml:space="preserve">All of 31-12N-24W</x:t>
        </x:is>
      </x:c>
      <x:c r="J401" s="527" t="inlineStr">
        <x:is>
          <x:t xml:space="preserve">Creates oil &amp; gas leasehold burden</x:t>
        </x:is>
      </x:c>
      <x:c r="K401" s="527" t="inlineStr">
        <x:is>
          <x:t xml:space="preserve">31-12N-24W_Roger_Mills_Best_Full_Cursory_Title_Report_2026-06-10</x:t>
        </x:is>
      </x:c>
      <x:c r="L401" s="565" t="n"/>
      <x:c r="M401" s="565" t="n"/>
      <x:c r="N401" s="565" t="n"/>
      <x:c r="O401" s="565" t="n"/>
      <x:c r="P401" s="565" t="n"/>
      <x:c r="Q401" s="565" t="n"/>
      <x:c r="R401" s="565" t="n"/>
      <x:c r="S401" s="613" t="n"/>
      <x:c r="T401" s="565" t="n"/>
      <x:c r="U401" s="613" t="n"/>
      <x:c r="V401" s="565" t="n"/>
      <x:c r="W401" s="565" t="n"/>
      <x:c r="X401" s="565" t="n"/>
      <x:c r="Y401" s="565" t="n"/>
      <x:c r="Z401" s="565" t="n"/>
    </x:row>
    <x:row r="402">
      <x:c r="A402" s="542" t="n"/>
      <x:c r="B402" s="527" t="n">
        <x:v>21</x:v>
      </x:c>
      <x:c r="C402" s="527" t="inlineStr">
        <x:is>
          <x:t xml:space="preserve">Oil and Gas Lease</x:t>
        </x:is>
      </x:c>
      <x:c r="D402" s="527" t="n">
        <x:v>37525</x:v>
      </x:c>
      <x:c r="E402" s="529" t="n">
        <x:v>37496</x:v>
      </x:c>
      <x:c r="F402" s="529" t="inlineStr">
        <x:is>
          <x:t xml:space="preserve">1689/0464</x:t>
        </x:is>
      </x:c>
      <x:c r="G402" s="527" t="inlineStr">
        <x:is>
          <x:t xml:space="preserve">J. Winneke Gregory</x:t>
        </x:is>
      </x:c>
      <x:c r="H402" s="527" t="inlineStr">
        <x:is>
          <x:t xml:space="preserve">Eog Resources</x:t>
        </x:is>
      </x:c>
      <x:c r="I402" s="527" t="inlineStr">
        <x:is>
          <x:t xml:space="preserve">All of 31-12N-24W</x:t>
        </x:is>
      </x:c>
      <x:c r="J402" s="527" t="inlineStr">
        <x:is>
          <x:t xml:space="preserve">Creates oil &amp; gas leasehold burden</x:t>
        </x:is>
      </x:c>
      <x:c r="K402" s="527" t="inlineStr">
        <x:is>
          <x:t xml:space="preserve">31-12N-24W_Roger_Mills_Best_Full_Cursory_Title_Report_2026-06-10</x:t>
        </x:is>
      </x:c>
      <x:c r="L402" s="565" t="n"/>
      <x:c r="M402" s="565" t="n"/>
      <x:c r="N402" s="565" t="n"/>
      <x:c r="O402" s="565" t="n"/>
      <x:c r="P402" s="565" t="n"/>
      <x:c r="Q402" s="565" t="n"/>
      <x:c r="R402" s="565" t="n"/>
      <x:c r="S402" s="613" t="n"/>
      <x:c r="T402" s="565" t="n"/>
      <x:c r="U402" s="613" t="n"/>
      <x:c r="V402" s="565" t="n"/>
      <x:c r="W402" s="565" t="n"/>
      <x:c r="X402" s="565" t="n"/>
      <x:c r="Y402" s="565" t="n"/>
      <x:c r="Z402" s="565" t="n"/>
    </x:row>
    <x:row r="403">
      <x:c r="A403" s="542" t="n"/>
      <x:c r="B403" s="527" t="n">
        <x:v>22</x:v>
      </x:c>
      <x:c r="C403" s="527" t="inlineStr">
        <x:is>
          <x:t xml:space="preserve">Oil and Gas Lease</x:t>
        </x:is>
      </x:c>
      <x:c r="D403" s="527" t="n">
        <x:v>38029</x:v>
      </x:c>
      <x:c r="E403" s="529" t="n">
        <x:v>38000</x:v>
      </x:c>
      <x:c r="F403" s="529" t="inlineStr">
        <x:is>
          <x:t xml:space="preserve">1736/0592</x:t>
        </x:is>
      </x:c>
      <x:c r="G403" s="527" t="inlineStr">
        <x:is>
          <x:t xml:space="preserve">Mitchell Williams Nancy</x:t>
        </x:is>
      </x:c>
      <x:c r="H403" s="527" t="inlineStr">
        <x:is>
          <x:t xml:space="preserve">R. Michael Lortz</x:t>
        </x:is>
      </x:c>
      <x:c r="I403" s="527" t="inlineStr">
        <x:is>
          <x:t xml:space="preserve">All of 31-12N-24W</x:t>
        </x:is>
      </x:c>
      <x:c r="J403" s="527" t="inlineStr">
        <x:is>
          <x:t xml:space="preserve">Creates oil &amp; gas leasehold burden</x:t>
        </x:is>
      </x:c>
      <x:c r="K403" s="527" t="inlineStr">
        <x:is>
          <x:t xml:space="preserve">31-12N-24W_Roger_Mills_Best_Full_Cursory_Title_Report_2026-06-10</x:t>
        </x:is>
      </x:c>
      <x:c r="L403" s="565" t="n"/>
      <x:c r="M403" s="565" t="n"/>
      <x:c r="N403" s="565" t="n"/>
      <x:c r="O403" s="565" t="n"/>
      <x:c r="P403" s="565" t="n"/>
      <x:c r="Q403" s="565" t="n"/>
      <x:c r="R403" s="565" t="n"/>
      <x:c r="S403" s="613" t="n"/>
      <x:c r="T403" s="565" t="n"/>
      <x:c r="U403" s="613" t="n"/>
      <x:c r="V403" s="565" t="n"/>
      <x:c r="W403" s="565" t="n"/>
      <x:c r="X403" s="565" t="n"/>
      <x:c r="Y403" s="565" t="n"/>
      <x:c r="Z403" s="565" t="n"/>
    </x:row>
    <x:row r="404">
      <x:c r="A404" s="542" t="n"/>
      <x:c r="B404" s="527" t="n">
        <x:v>24</x:v>
      </x:c>
      <x:c r="C404" s="527" t="inlineStr">
        <x:is>
          <x:t xml:space="preserve">Oil and Gas Lease</x:t>
        </x:is>
      </x:c>
      <x:c r="D404" s="527" t="n">
        <x:v>38049</x:v>
      </x:c>
      <x:c r="E404" s="529" t="n">
        <x:v>38023</x:v>
      </x:c>
      <x:c r="F404" s="529" t="inlineStr">
        <x:is>
          <x:t xml:space="preserve">1738/0479</x:t>
        </x:is>
      </x:c>
      <x:c r="G404" s="527" t="inlineStr">
        <x:is>
          <x:t xml:space="preserve">F. Richards Lola</x:t>
        </x:is>
      </x:c>
      <x:c r="H404" s="527" t="inlineStr">
        <x:is>
          <x:t xml:space="preserve">R. Michael Lortz</x:t>
        </x:is>
      </x:c>
      <x:c r="I404" s="527" t="inlineStr">
        <x:is>
          <x:t xml:space="preserve">All of 31-12N-24W</x:t>
        </x:is>
      </x:c>
      <x:c r="J404" s="527" t="inlineStr">
        <x:is>
          <x:t xml:space="preserve">Creates oil &amp; gas leasehold burden</x:t>
        </x:is>
      </x:c>
      <x:c r="K404" s="527" t="inlineStr">
        <x:is>
          <x:t xml:space="preserve">31-12N-24W_Roger_Mills_Best_Full_Cursory_Title_Report_2026-06-10</x:t>
        </x:is>
      </x:c>
      <x:c r="L404" s="565" t="n"/>
      <x:c r="M404" s="565" t="n"/>
      <x:c r="N404" s="565" t="n"/>
      <x:c r="O404" s="565" t="n"/>
      <x:c r="P404" s="565" t="n"/>
      <x:c r="Q404" s="565" t="n"/>
      <x:c r="R404" s="565" t="n"/>
      <x:c r="S404" s="613" t="n"/>
      <x:c r="T404" s="565" t="n"/>
      <x:c r="U404" s="613" t="n"/>
      <x:c r="V404" s="565" t="n"/>
      <x:c r="W404" s="565" t="n"/>
      <x:c r="X404" s="565" t="n"/>
      <x:c r="Y404" s="565" t="n"/>
      <x:c r="Z404" s="565" t="n"/>
    </x:row>
    <x:row r="405">
      <x:c r="A405" s="542" t="n"/>
      <x:c r="B405" s="527" t="n">
        <x:v>25</x:v>
      </x:c>
      <x:c r="C405" s="527" t="inlineStr">
        <x:is>
          <x:t xml:space="preserve">Oil and Gas Lease</x:t>
        </x:is>
      </x:c>
      <x:c r="D405" s="527" t="n">
        <x:v>38027</x:v>
      </x:c>
      <x:c r="E405" s="529" t="n">
        <x:v>38026</x:v>
      </x:c>
      <x:c r="F405" s="529" t="inlineStr">
        <x:is>
          <x:t xml:space="preserve">1736/0473</x:t>
        </x:is>
      </x:c>
      <x:c r="G405" s="527" t="inlineStr">
        <x:is>
          <x:t xml:space="preserve">Allen Atha Charles</x:t>
        </x:is>
      </x:c>
      <x:c r="H405" s="527" t="inlineStr">
        <x:is>
          <x:t xml:space="preserve">R. Michael Lortz</x:t>
        </x:is>
      </x:c>
      <x:c r="I405" s="527" t="inlineStr">
        <x:is>
          <x:t xml:space="preserve">All of 31-12N-24W</x:t>
        </x:is>
      </x:c>
      <x:c r="J405" s="527" t="inlineStr">
        <x:is>
          <x:t xml:space="preserve">Creates oil &amp; gas leasehold burden</x:t>
        </x:is>
      </x:c>
      <x:c r="K405" s="527" t="inlineStr">
        <x:is>
          <x:t xml:space="preserve">31-12N-24W_Roger_Mills_Best_Full_Cursory_Title_Report_2026-06-10</x:t>
        </x:is>
      </x:c>
      <x:c r="L405" s="565" t="n"/>
      <x:c r="M405" s="565" t="n"/>
      <x:c r="N405" s="565" t="n"/>
      <x:c r="O405" s="565" t="n"/>
      <x:c r="P405" s="565" t="n"/>
      <x:c r="Q405" s="565" t="n"/>
      <x:c r="R405" s="565" t="n"/>
      <x:c r="S405" s="613" t="n"/>
      <x:c r="T405" s="565" t="n"/>
      <x:c r="U405" s="613" t="n"/>
      <x:c r="V405" s="565" t="n"/>
      <x:c r="W405" s="565" t="n"/>
      <x:c r="X405" s="565" t="n"/>
      <x:c r="Y405" s="565" t="n"/>
      <x:c r="Z405" s="565" t="n"/>
    </x:row>
    <x:row r="406">
      <x:c r="A406" s="542" t="n"/>
      <x:c r="B406" s="527" t="n">
        <x:v>26</x:v>
      </x:c>
      <x:c r="C406" s="527" t="inlineStr">
        <x:is>
          <x:t xml:space="preserve">Oil and Gas Lease</x:t>
        </x:is>
      </x:c>
      <x:c r="D406" s="527" t="n">
        <x:v>38504</x:v>
      </x:c>
      <x:c r="E406" s="529" t="n">
        <x:v>38441</x:v>
      </x:c>
      <x:c r="F406" s="529" t="inlineStr">
        <x:is>
          <x:t xml:space="preserve">1792/0517</x:t>
        </x:is>
      </x:c>
      <x:c r="G406" s="527" t="inlineStr">
        <x:is>
          <x:t xml:space="preserve">Ann Devenas Martha</x:t>
        </x:is>
      </x:c>
      <x:c r="H406" s="527" t="inlineStr">
        <x:is>
          <x:t xml:space="preserve">Eog Resources, Inc.</x:t>
        </x:is>
      </x:c>
      <x:c r="I406" s="527" t="inlineStr">
        <x:is>
          <x:t xml:space="preserve">All of 31-12N-24W</x:t>
        </x:is>
      </x:c>
      <x:c r="J406" s="527" t="inlineStr">
        <x:is>
          <x:t xml:space="preserve">Creates oil &amp; gas leasehold burden</x:t>
        </x:is>
      </x:c>
      <x:c r="K406" s="527" t="inlineStr">
        <x:is>
          <x:t xml:space="preserve">31-12N-24W_Roger_Mills_Best_Full_Cursory_Title_Report_2026-06-10</x:t>
        </x:is>
      </x:c>
      <x:c r="L406" s="565" t="n"/>
      <x:c r="M406" s="565" t="n"/>
      <x:c r="N406" s="565" t="n"/>
      <x:c r="O406" s="565" t="n"/>
      <x:c r="P406" s="565" t="n"/>
      <x:c r="Q406" s="565" t="n"/>
      <x:c r="R406" s="565" t="n"/>
      <x:c r="S406" s="613" t="n"/>
      <x:c r="T406" s="565" t="n"/>
      <x:c r="U406" s="613" t="n"/>
      <x:c r="V406" s="565" t="n"/>
      <x:c r="W406" s="565" t="n"/>
      <x:c r="X406" s="565" t="n"/>
      <x:c r="Y406" s="565" t="n"/>
      <x:c r="Z406" s="565" t="n"/>
    </x:row>
    <x:row r="407">
      <x:c r="A407" s="542" t="n"/>
      <x:c r="B407" s="527" t="n">
        <x:v>27</x:v>
      </x:c>
      <x:c r="C407" s="527" t="inlineStr">
        <x:is>
          <x:t xml:space="preserve">Oil and Gas Lease</x:t>
        </x:is>
      </x:c>
      <x:c r="D407" s="527" t="n">
        <x:v>38551</x:v>
      </x:c>
      <x:c r="E407" s="529" t="n">
        <x:v>38468</x:v>
      </x:c>
      <x:c r="F407" s="529" t="inlineStr">
        <x:is>
          <x:t xml:space="preserve">1798/0146</x:t>
        </x:is>
      </x:c>
      <x:c r="G407" s="527" t="inlineStr">
        <x:is>
          <x:t xml:space="preserve">E. Williams Rogene, Trustee</x:t>
        </x:is>
      </x:c>
      <x:c r="H407" s="527" t="inlineStr">
        <x:is>
          <x:t xml:space="preserve">Chesapeake Exploration, Ltd. Ptn</x:t>
        </x:is>
      </x:c>
      <x:c r="I407" s="527" t="inlineStr">
        <x:is>
          <x:t xml:space="preserve">All of 31-12N-24W</x:t>
        </x:is>
      </x:c>
      <x:c r="J407" s="527" t="inlineStr">
        <x:is>
          <x:t xml:space="preserve">Creates oil &amp; gas leasehold burden</x:t>
        </x:is>
      </x:c>
      <x:c r="K407" s="527" t="inlineStr">
        <x:is>
          <x:t xml:space="preserve">31-12N-24W_Roger_Mills_Best_Full_Cursory_Title_Report_2026-06-10</x:t>
        </x:is>
      </x:c>
      <x:c r="L407" s="565" t="n"/>
      <x:c r="M407" s="565" t="n"/>
      <x:c r="N407" s="565" t="n"/>
      <x:c r="O407" s="565" t="n"/>
      <x:c r="P407" s="565" t="n"/>
      <x:c r="Q407" s="565" t="n"/>
      <x:c r="R407" s="565" t="n"/>
      <x:c r="S407" s="613" t="n"/>
      <x:c r="T407" s="565" t="n"/>
      <x:c r="U407" s="613" t="n"/>
      <x:c r="V407" s="565" t="n"/>
      <x:c r="W407" s="565" t="n"/>
      <x:c r="X407" s="565" t="n"/>
      <x:c r="Y407" s="565" t="n"/>
      <x:c r="Z407" s="565" t="n"/>
    </x:row>
    <x:row r="408">
      <x:c r="A408" s="542" t="n"/>
      <x:c r="B408" s="527" t="n">
        <x:v>28</x:v>
      </x:c>
      <x:c r="C408" s="527" t="inlineStr">
        <x:is>
          <x:t xml:space="preserve">Oil and Gas Lease</x:t>
        </x:is>
      </x:c>
      <x:c r="D408" s="527" t="n">
        <x:v>38541</x:v>
      </x:c>
      <x:c r="E408" s="529" t="n">
        <x:v>38482</x:v>
      </x:c>
      <x:c r="F408" s="529" t="inlineStr">
        <x:is>
          <x:t xml:space="preserve">1797/0167</x:t>
        </x:is>
      </x:c>
      <x:c r="G408" s="527" t="inlineStr">
        <x:is>
          <x:t xml:space="preserve">J. Brawner Peggy</x:t>
        </x:is>
      </x:c>
      <x:c r="H408" s="527" t="inlineStr">
        <x:is>
          <x:t xml:space="preserve">Eog Resources, Inc.</x:t>
        </x:is>
      </x:c>
      <x:c r="I408" s="527" t="inlineStr">
        <x:is>
          <x:t xml:space="preserve">All of 31-12N-24W</x:t>
        </x:is>
      </x:c>
      <x:c r="J408" s="527" t="inlineStr">
        <x:is>
          <x:t xml:space="preserve">Creates oil &amp; gas leasehold burden</x:t>
        </x:is>
      </x:c>
      <x:c r="K408" s="527" t="inlineStr">
        <x:is>
          <x:t xml:space="preserve">31-12N-24W_Roger_Mills_Best_Full_Cursory_Title_Report_2026-06-10</x:t>
        </x:is>
      </x:c>
      <x:c r="L408" s="565" t="n"/>
      <x:c r="M408" s="565" t="n"/>
      <x:c r="N408" s="565" t="n"/>
      <x:c r="O408" s="565" t="n"/>
      <x:c r="P408" s="565" t="n"/>
      <x:c r="Q408" s="565" t="n"/>
      <x:c r="R408" s="565" t="n"/>
      <x:c r="S408" s="613" t="n"/>
      <x:c r="T408" s="565" t="n"/>
      <x:c r="U408" s="613" t="n"/>
      <x:c r="V408" s="565" t="n"/>
      <x:c r="W408" s="565" t="n"/>
      <x:c r="X408" s="565" t="n"/>
      <x:c r="Y408" s="565" t="n"/>
      <x:c r="Z408" s="565" t="n"/>
    </x:row>
    <x:row r="409">
      <x:c r="A409" s="542" t="n"/>
      <x:c r="B409" s="527" t="n">
        <x:v>29</x:v>
      </x:c>
      <x:c r="C409" s="527" t="inlineStr">
        <x:is>
          <x:t xml:space="preserve">Oil and Gas Lease</x:t>
        </x:is>
      </x:c>
      <x:c r="D409" s="527" t="n">
        <x:v>38709</x:v>
      </x:c>
      <x:c r="E409" s="529" t="n">
        <x:v>38621</x:v>
      </x:c>
      <x:c r="F409" s="529" t="inlineStr">
        <x:is>
          <x:t xml:space="preserve">1817/0386</x:t>
        </x:is>
      </x:c>
      <x:c r="G409" s="527" t="inlineStr">
        <x:is>
          <x:t xml:space="preserve">H. Britton Joe</x:t>
        </x:is>
      </x:c>
      <x:c r="H409" s="527" t="inlineStr">
        <x:is>
          <x:t xml:space="preserve">Todco Properties, Inc.</x:t>
        </x:is>
      </x:c>
      <x:c r="I409" s="527" t="inlineStr">
        <x:is>
          <x:t xml:space="preserve">All of 31-12N-24W</x:t>
        </x:is>
      </x:c>
      <x:c r="J409" s="527" t="inlineStr">
        <x:is>
          <x:t xml:space="preserve">Creates oil &amp; gas leasehold burden</x:t>
        </x:is>
      </x:c>
      <x:c r="K409" s="527" t="inlineStr">
        <x:is>
          <x:t xml:space="preserve">31-12N-24W_Roger_Mills_Best_Full_Cursory_Title_Report_2026-06-10</x:t>
        </x:is>
      </x:c>
      <x:c r="L409" s="565" t="n"/>
      <x:c r="M409" s="565" t="n"/>
      <x:c r="N409" s="565" t="n"/>
      <x:c r="O409" s="565" t="n"/>
      <x:c r="P409" s="565" t="n"/>
      <x:c r="Q409" s="565" t="n"/>
      <x:c r="R409" s="565" t="n"/>
      <x:c r="S409" s="613" t="n"/>
      <x:c r="T409" s="565" t="n"/>
      <x:c r="U409" s="613" t="n"/>
      <x:c r="V409" s="565" t="n"/>
      <x:c r="W409" s="565" t="n"/>
      <x:c r="X409" s="565" t="n"/>
      <x:c r="Y409" s="565" t="n"/>
      <x:c r="Z409" s="565" t="n"/>
    </x:row>
    <x:row r="410">
      <x:c r="A410" s="542" t="n"/>
      <x:c r="B410" s="527" t="n">
        <x:v>30</x:v>
      </x:c>
      <x:c r="C410" s="527" t="inlineStr">
        <x:is>
          <x:t xml:space="preserve">Oil and Gas Lease</x:t>
        </x:is>
      </x:c>
      <x:c r="D410" s="527" t="n">
        <x:v>38701</x:v>
      </x:c>
      <x:c r="E410" s="529" t="n">
        <x:v>38636</x:v>
      </x:c>
      <x:c r="F410" s="529" t="inlineStr">
        <x:is>
          <x:t xml:space="preserve">1816/0352</x:t>
        </x:is>
      </x:c>
      <x:c r="G410" s="527" t="inlineStr">
        <x:is>
          <x:t xml:space="preserve">S. Walters Shawn</x:t>
        </x:is>
      </x:c>
      <x:c r="H410" s="527" t="inlineStr">
        <x:is>
          <x:t xml:space="preserve">Harris III Jess</x:t>
        </x:is>
      </x:c>
      <x:c r="I410" s="527" t="inlineStr">
        <x:is>
          <x:t xml:space="preserve">All of 31-12N-24W</x:t>
        </x:is>
      </x:c>
      <x:c r="J410" s="527" t="inlineStr">
        <x:is>
          <x:t xml:space="preserve">Creates oil &amp; gas leasehold burden</x:t>
        </x:is>
      </x:c>
      <x:c r="K410" s="527" t="inlineStr">
        <x:is>
          <x:t xml:space="preserve">31-12N-24W_Roger_Mills_Best_Full_Cursory_Title_Report_2026-06-10</x:t>
        </x:is>
      </x:c>
      <x:c r="L410" s="565" t="n"/>
      <x:c r="M410" s="565" t="n"/>
      <x:c r="N410" s="565" t="n"/>
      <x:c r="O410" s="565" t="n"/>
      <x:c r="P410" s="565" t="n"/>
      <x:c r="Q410" s="565" t="n"/>
      <x:c r="R410" s="565" t="n"/>
      <x:c r="S410" s="613" t="n"/>
      <x:c r="T410" s="565" t="n"/>
      <x:c r="U410" s="613" t="n"/>
      <x:c r="V410" s="565" t="n"/>
      <x:c r="W410" s="565" t="n"/>
      <x:c r="X410" s="565" t="n"/>
      <x:c r="Y410" s="565" t="n"/>
      <x:c r="Z410" s="565" t="n"/>
    </x:row>
    <x:row r="411">
      <x:c r="A411" s="542" t="n"/>
      <x:c r="B411" s="527" t="n">
        <x:v>33</x:v>
      </x:c>
      <x:c r="C411" s="527" t="inlineStr">
        <x:is>
          <x:t xml:space="preserve">Oil and Gas Lease</x:t>
        </x:is>
      </x:c>
      <x:c r="D411" s="527" t="n">
        <x:v>38754</x:v>
      </x:c>
      <x:c r="E411" s="529" t="n">
        <x:v>38658</x:v>
      </x:c>
      <x:c r="F411" s="529" t="inlineStr">
        <x:is>
          <x:t xml:space="preserve">1822/0572</x:t>
        </x:is>
      </x:c>
      <x:c r="G411" s="527" t="inlineStr">
        <x:is>
          <x:t xml:space="preserve">S. Silverberg David</x:t>
        </x:is>
      </x:c>
      <x:c r="H411" s="527" t="inlineStr">
        <x:is>
          <x:t xml:space="preserve">Harris Jess Iii, Inc.</x:t>
        </x:is>
      </x:c>
      <x:c r="I411" s="527" t="inlineStr">
        <x:is>
          <x:t xml:space="preserve">All of 31-12N-24W</x:t>
        </x:is>
      </x:c>
      <x:c r="J411" s="527" t="inlineStr">
        <x:is>
          <x:t xml:space="preserve">Creates oil &amp; gas leasehold burden</x:t>
        </x:is>
      </x:c>
      <x:c r="K411" s="527" t="inlineStr">
        <x:is>
          <x:t xml:space="preserve">31-12N-24W_Roger_Mills_Best_Full_Cursory_Title_Report_2026-06-10</x:t>
        </x:is>
      </x:c>
      <x:c r="L411" s="565" t="n"/>
      <x:c r="M411" s="565" t="n"/>
      <x:c r="N411" s="565" t="n"/>
      <x:c r="O411" s="565" t="n"/>
      <x:c r="P411" s="565" t="n"/>
      <x:c r="Q411" s="565" t="n"/>
      <x:c r="R411" s="565" t="n"/>
      <x:c r="S411" s="613" t="n"/>
      <x:c r="T411" s="565" t="n"/>
      <x:c r="U411" s="613" t="n"/>
      <x:c r="V411" s="565" t="n"/>
      <x:c r="W411" s="565" t="n"/>
      <x:c r="X411" s="565" t="n"/>
      <x:c r="Y411" s="565" t="n"/>
      <x:c r="Z411" s="565" t="n"/>
    </x:row>
    <x:row r="412">
      <x:c r="A412" s="542" t="n"/>
      <x:c r="B412" s="527" t="n">
        <x:v>36</x:v>
      </x:c>
      <x:c r="C412" s="527" t="inlineStr">
        <x:is>
          <x:t xml:space="preserve">Oil and Gas Lease</x:t>
        </x:is>
      </x:c>
      <x:c r="D412" s="527" t="n">
        <x:v>38733</x:v>
      </x:c>
      <x:c r="E412" s="529" t="n">
        <x:v>38709</x:v>
      </x:c>
      <x:c r="F412" s="529" t="inlineStr">
        <x:is>
          <x:t xml:space="preserve">1820/0015</x:t>
        </x:is>
      </x:c>
      <x:c r="G412" s="527" t="inlineStr">
        <x:is>
          <x:t xml:space="preserve">V. Slobin Myron</x:t>
        </x:is>
      </x:c>
      <x:c r="H412" s="527" t="inlineStr">
        <x:is>
          <x:t xml:space="preserve">Devon Energy Production Co., LP</x:t>
        </x:is>
      </x:c>
      <x:c r="I412" s="527" t="inlineStr">
        <x:is>
          <x:t xml:space="preserve">All of 31-12N-24W</x:t>
        </x:is>
      </x:c>
      <x:c r="J412" s="527" t="inlineStr">
        <x:is>
          <x:t xml:space="preserve">Creates oil &amp; gas leasehold burden</x:t>
        </x:is>
      </x:c>
      <x:c r="K412" s="527" t="inlineStr">
        <x:is>
          <x:t xml:space="preserve">31-12N-24W_Roger_Mills_Best_Full_Cursory_Title_Report_2026-06-10</x:t>
        </x:is>
      </x:c>
      <x:c r="L412" s="565" t="n"/>
      <x:c r="M412" s="565" t="n"/>
      <x:c r="N412" s="565" t="n"/>
      <x:c r="O412" s="565" t="n"/>
      <x:c r="P412" s="565" t="n"/>
      <x:c r="Q412" s="565" t="n"/>
      <x:c r="R412" s="565" t="n"/>
      <x:c r="S412" s="613" t="n"/>
      <x:c r="T412" s="565" t="n"/>
      <x:c r="U412" s="613" t="n"/>
      <x:c r="V412" s="565" t="n"/>
      <x:c r="W412" s="565" t="n"/>
      <x:c r="X412" s="565" t="n"/>
      <x:c r="Y412" s="565" t="n"/>
      <x:c r="Z412" s="565" t="n"/>
    </x:row>
    <x:row r="413">
      <x:c r="A413" s="542" t="n"/>
      <x:c r="B413" s="527" t="n">
        <x:v>37</x:v>
      </x:c>
      <x:c r="C413" s="527" t="inlineStr">
        <x:is>
          <x:t xml:space="preserve">Oil and Gas Lease</x:t>
        </x:is>
      </x:c>
      <x:c r="D413" s="527" t="n">
        <x:v>38742</x:v>
      </x:c>
      <x:c r="E413" s="529" t="n">
        <x:v>38726</x:v>
      </x:c>
      <x:c r="F413" s="529" t="inlineStr">
        <x:is>
          <x:t xml:space="preserve">1821/0092</x:t>
        </x:is>
      </x:c>
      <x:c r="G413" s="527" t="inlineStr">
        <x:is>
          <x:t xml:space="preserve">Tamise Gibson Anna</x:t>
        </x:is>
      </x:c>
      <x:c r="H413" s="527" t="inlineStr">
        <x:is>
          <x:t xml:space="preserve">Devon Energy Production Co.</x:t>
        </x:is>
      </x:c>
      <x:c r="I413" s="527" t="inlineStr">
        <x:is>
          <x:t xml:space="preserve">All of 31-12N-24W</x:t>
        </x:is>
      </x:c>
      <x:c r="J413" s="527" t="inlineStr">
        <x:is>
          <x:t xml:space="preserve">Creates oil &amp; gas leasehold burden</x:t>
        </x:is>
      </x:c>
      <x:c r="K413" s="527" t="inlineStr">
        <x:is>
          <x:t xml:space="preserve">31-12N-24W_Roger_Mills_Best_Full_Cursory_Title_Report_2026-06-10</x:t>
        </x:is>
      </x:c>
      <x:c r="L413" s="565" t="n"/>
      <x:c r="M413" s="565" t="n"/>
      <x:c r="N413" s="565" t="n"/>
      <x:c r="O413" s="565" t="n"/>
      <x:c r="P413" s="565" t="n"/>
      <x:c r="Q413" s="565" t="n"/>
      <x:c r="R413" s="565" t="n"/>
      <x:c r="S413" s="613" t="n"/>
      <x:c r="T413" s="565" t="n"/>
      <x:c r="U413" s="613" t="n"/>
      <x:c r="V413" s="565" t="n"/>
      <x:c r="W413" s="565" t="n"/>
      <x:c r="X413" s="565" t="n"/>
      <x:c r="Y413" s="565" t="n"/>
      <x:c r="Z413" s="565" t="n"/>
    </x:row>
    <x:row r="414">
      <x:c r="A414" s="542" t="n"/>
      <x:c r="B414" s="527" t="n">
        <x:v>38</x:v>
      </x:c>
      <x:c r="C414" s="527" t="inlineStr">
        <x:is>
          <x:t xml:space="preserve">Oil and Gas Lease</x:t>
        </x:is>
      </x:c>
      <x:c r="D414" s="527" t="n">
        <x:v>38747</x:v>
      </x:c>
      <x:c r="E414" s="529" t="n">
        <x:v>38733</x:v>
      </x:c>
      <x:c r="F414" s="529" t="inlineStr">
        <x:is>
          <x:t xml:space="preserve">1821/0465</x:t>
        </x:is>
      </x:c>
      <x:c r="G414" s="527" t="inlineStr">
        <x:is>
          <x:t xml:space="preserve">M. Robertson James</x:t>
        </x:is>
      </x:c>
      <x:c r="H414" s="527" t="inlineStr">
        <x:is>
          <x:t xml:space="preserve">Devon Energy Prod Co.</x:t>
        </x:is>
      </x:c>
      <x:c r="I414" s="527" t="inlineStr">
        <x:is>
          <x:t xml:space="preserve">All of 31-12N-24W</x:t>
        </x:is>
      </x:c>
      <x:c r="J414" s="527" t="inlineStr">
        <x:is>
          <x:t xml:space="preserve">Creates oil &amp; gas leasehold burden</x:t>
        </x:is>
      </x:c>
      <x:c r="K414" s="527" t="inlineStr">
        <x:is>
          <x:t xml:space="preserve">31-12N-24W_Roger_Mills_Best_Full_Cursory_Title_Report_2026-06-10</x:t>
        </x:is>
      </x:c>
      <x:c r="L414" s="565" t="n"/>
      <x:c r="M414" s="565" t="n"/>
      <x:c r="N414" s="565" t="n"/>
      <x:c r="O414" s="565" t="n"/>
      <x:c r="P414" s="565" t="n"/>
      <x:c r="Q414" s="565" t="n"/>
      <x:c r="R414" s="565" t="n"/>
      <x:c r="S414" s="613" t="n"/>
      <x:c r="T414" s="565" t="n"/>
      <x:c r="U414" s="613" t="n"/>
      <x:c r="V414" s="565" t="n"/>
      <x:c r="W414" s="565" t="n"/>
      <x:c r="X414" s="565" t="n"/>
      <x:c r="Y414" s="565" t="n"/>
      <x:c r="Z414" s="565" t="n"/>
    </x:row>
    <x:row r="415">
      <x:c r="A415" s="542" t="n"/>
      <x:c r="B415" s="527" t="n">
        <x:v>39</x:v>
      </x:c>
      <x:c r="C415" s="527" t="inlineStr">
        <x:is>
          <x:t xml:space="preserve">Oil and Gas Lease</x:t>
        </x:is>
      </x:c>
      <x:c r="D415" s="527" t="n">
        <x:v>38792</x:v>
      </x:c>
      <x:c r="E415" s="529" t="n">
        <x:v>38761</x:v>
      </x:c>
      <x:c r="F415" s="529" t="inlineStr">
        <x:is>
          <x:t xml:space="preserve">1829/0026</x:t>
        </x:is>
      </x:c>
      <x:c r="G415" s="527" t="inlineStr">
        <x:is>
          <x:t xml:space="preserve">Termo Company</x:t>
        </x:is>
      </x:c>
      <x:c r="H415" s="527" t="inlineStr">
        <x:is>
          <x:t xml:space="preserve">Devon Energy Production Co.</x:t>
        </x:is>
      </x:c>
      <x:c r="I415" s="527" t="inlineStr">
        <x:is>
          <x:t xml:space="preserve">All of 31-12N-24W</x:t>
        </x:is>
      </x:c>
      <x:c r="J415" s="527" t="inlineStr">
        <x:is>
          <x:t xml:space="preserve">Creates oil &amp; gas leasehold burden</x:t>
        </x:is>
      </x:c>
      <x:c r="K415" s="527" t="inlineStr">
        <x:is>
          <x:t xml:space="preserve">31-12N-24W_Roger_Mills_Best_Full_Cursory_Title_Report_2026-06-10</x:t>
        </x:is>
      </x:c>
      <x:c r="L415" s="565" t="n"/>
      <x:c r="M415" s="565" t="n"/>
      <x:c r="N415" s="565" t="n"/>
      <x:c r="O415" s="565" t="n"/>
      <x:c r="P415" s="565" t="n"/>
      <x:c r="Q415" s="565" t="n"/>
      <x:c r="R415" s="565" t="n"/>
      <x:c r="S415" s="613" t="n"/>
      <x:c r="T415" s="565" t="n"/>
      <x:c r="U415" s="613" t="n"/>
      <x:c r="V415" s="565" t="n"/>
      <x:c r="W415" s="565" t="n"/>
      <x:c r="X415" s="565" t="n"/>
      <x:c r="Y415" s="565" t="n"/>
      <x:c r="Z415" s="565" t="n"/>
    </x:row>
    <x:row r="416">
      <x:c r="A416" s="542" t="n"/>
      <x:c r="B416" s="527" t="n">
        <x:v>40</x:v>
      </x:c>
      <x:c r="C416" s="527" t="inlineStr">
        <x:is>
          <x:t xml:space="preserve">Assignment</x:t>
        </x:is>
      </x:c>
      <x:c r="D416" s="527" t="n">
        <x:v>39336</x:v>
      </x:c>
      <x:c r="E416" s="529" t="n">
        <x:v>39336</x:v>
      </x:c>
      <x:c r="F416" s="529" t="inlineStr">
        <x:is>
          <x:t xml:space="preserve">1567/0006</x:t>
        </x:is>
      </x:c>
      <x:c r="G416" s="527" t="inlineStr">
        <x:is>
          <x:t xml:space="preserve">Ocean Energy, Inc.</x:t>
        </x:is>
      </x:c>
      <x:c r="H416" s="527" t="inlineStr">
        <x:is>
          <x:t xml:space="preserve">Ocean Energy Resources, Inc.</x:t>
        </x:is>
      </x:c>
      <x:c r="I416" s="527" t="inlineStr">
        <x:is>
          <x:t xml:space="preserve">E/2 NW/4 of 31-12N-24W</x:t>
        </x:is>
      </x:c>
      <x:c r="J416" s="527" t="inlineStr">
        <x:is>
          <x:t xml:space="preserve">Transfers leasehold/WI in chain</x:t>
        </x:is>
      </x:c>
      <x:c r="K416" s="527" t="inlineStr">
        <x:is>
          <x:t xml:space="preserve">63e8b9a8d056433a9994fe46ca85076b.pdf | https://okcountyrecords.com/detail/roger+mills/2007-008043</x:t>
        </x:is>
      </x:c>
      <x:c r="L416" s="565" t="n"/>
      <x:c r="M416" s="565" t="n"/>
      <x:c r="N416" s="565" t="n"/>
      <x:c r="O416" s="565" t="n"/>
      <x:c r="P416" s="565" t="n"/>
      <x:c r="Q416" s="565" t="n"/>
      <x:c r="R416" s="565" t="n"/>
      <x:c r="S416" s="613" t="n"/>
      <x:c r="T416" s="565" t="n"/>
      <x:c r="U416" s="613" t="n"/>
      <x:c r="V416" s="565" t="n"/>
      <x:c r="W416" s="565" t="n"/>
      <x:c r="X416" s="565" t="n"/>
      <x:c r="Y416" s="565" t="n"/>
      <x:c r="Z416" s="565" t="n"/>
    </x:row>
    <x:row r="417">
      <x:c r="A417" s="542" t="n"/>
      <x:c r="B417" s="527" t="n">
        <x:v>41</x:v>
      </x:c>
      <x:c r="C417" s="527" t="inlineStr">
        <x:is>
          <x:t xml:space="preserve">Memorandum</x:t>
        </x:is>
      </x:c>
      <x:c r="D417" s="527" t="n">
        <x:v>41190</x:v>
      </x:c>
      <x:c r="E417" s="529" t="n">
        <x:v>41190</x:v>
      </x:c>
      <x:c r="F417" s="529" t="inlineStr">
        <x:is>
          <x:t xml:space="preserve">2159/0063</x:t>
        </x:is>
      </x:c>
      <x:c r="G417" s="527" t="inlineStr">
        <x:is>
          <x:t xml:space="preserve">Bank of America</x:t>
        </x:is>
      </x:c>
      <x:c r="H417" s="527" t="inlineStr">
        <x:is>
          <x:t xml:space="preserve">Chesapeake Energy Corp.,
Chesapeake Midstream Development,
Latigo</x:t>
        </x:is>
      </x:c>
      <x:c r="I417" s="527" t="inlineStr">
        <x:is>
          <x:t xml:space="preserve">Legal not found in public snippet candidate from related web-index page of 31-12N-24W</x:t>
        </x:is>
      </x:c>
      <x:c r="J417" s="527" t="inlineStr">
        <x:is>
          <x:t xml:space="preserve">Provides record notice of lease</x:t>
        </x:is>
      </x:c>
      <x:c r="K417" s="527" t="inlineStr">
        <x:is>
          <x:t xml:space="preserve">OKCountyRecords public search result via web index | https://okcountyrecords.com/detail/roger+mills/2012-006698</x:t>
        </x:is>
      </x:c>
      <x:c r="L417" s="565" t="n"/>
      <x:c r="M417" s="565" t="n"/>
      <x:c r="N417" s="565" t="n"/>
      <x:c r="O417" s="565" t="n"/>
      <x:c r="P417" s="565" t="n"/>
      <x:c r="Q417" s="565" t="n"/>
      <x:c r="R417" s="565" t="n"/>
      <x:c r="S417" s="613" t="n"/>
      <x:c r="T417" s="565" t="n"/>
      <x:c r="U417" s="613" t="n"/>
      <x:c r="V417" s="565" t="n"/>
      <x:c r="W417" s="565" t="n"/>
      <x:c r="X417" s="565" t="n"/>
      <x:c r="Y417" s="565" t="n"/>
      <x:c r="Z417" s="565" t="n"/>
    </x:row>
    <x:row r="418">
      <x:c r="A418" s="542" t="n"/>
      <x:c r="B418" s="527" t="n">
        <x:v>42</x:v>
      </x:c>
      <x:c r="C418" s="527" t="inlineStr">
        <x:is>
          <x:t xml:space="preserve">Memorandum</x:t>
        </x:is>
      </x:c>
      <x:c r="D418" s="527" t="n">
        <x:v>41387</x:v>
      </x:c>
      <x:c r="E418" s="529" t="n">
        <x:v>41387</x:v>
      </x:c>
      <x:c r="F418" s="529" t="inlineStr">
        <x:is>
          <x:t xml:space="preserve">2179/0001</x:t>
        </x:is>
      </x:c>
      <x:c r="G418" s="527" t="inlineStr">
        <x:is>
          <x:t xml:space="preserve">Chesapeake Midstream Development</x:t>
        </x:is>
      </x:c>
      <x:c r="H418" s="527" t="inlineStr">
        <x:is>
          <x:t xml:space="preserve">Compass Bank</x:t>
        </x:is>
      </x:c>
      <x:c r="I418" s="527" t="inlineStr">
        <x:is>
          <x:t xml:space="preserve">S29 T16N R22W A S22 T16N R25W A 322 more candidate from related target search page of 31-12N-24W, aol</x:t>
        </x:is>
      </x:c>
      <x:c r="J418" s="527" t="inlineStr">
        <x:is>
          <x:t xml:space="preserve">Provides record notice of lease</x:t>
        </x:is>
      </x:c>
      <x:c r="K418" s="527" t="inlineStr">
        <x:is>
          <x:t xml:space="preserve">OKCountyRecords public search result via web index | https://okcountyrecords.com/detail/roger+mills/2013-002047</x:t>
        </x:is>
      </x:c>
      <x:c r="L418" s="565" t="n"/>
      <x:c r="M418" s="565" t="n"/>
      <x:c r="N418" s="565" t="n"/>
      <x:c r="O418" s="565" t="n"/>
      <x:c r="P418" s="565" t="n"/>
      <x:c r="Q418" s="565" t="n"/>
      <x:c r="R418" s="565" t="n"/>
      <x:c r="S418" s="613" t="n"/>
      <x:c r="T418" s="565" t="n"/>
      <x:c r="U418" s="613" t="n"/>
      <x:c r="V418" s="565" t="n"/>
      <x:c r="W418" s="565" t="n"/>
      <x:c r="X418" s="565" t="n"/>
      <x:c r="Y418" s="565" t="n"/>
      <x:c r="Z418" s="565" t="n"/>
    </x:row>
    <x:row r="419">
      <x:c r="A419" s="542" t="n"/>
      <x:c r="B419" s="527" t="n">
        <x:v>43</x:v>
      </x:c>
      <x:c r="C419" s="527" t="inlineStr">
        <x:is>
          <x:t xml:space="preserve">Quit Claim Mineral Deed</x:t>
        </x:is>
      </x:c>
      <x:c r="D419" s="527" t="n">
        <x:v>42593</x:v>
      </x:c>
      <x:c r="E419" s="529" t="n">
        <x:v>42593</x:v>
      </x:c>
      <x:c r="F419" s="529" t="inlineStr">
        <x:is>
          <x:t xml:space="preserve">2342/0219</x:t>
        </x:is>
      </x:c>
      <x:c r="G419" s="527" t="inlineStr">
        <x:is>
          <x:t xml:space="preserve">Devon Energy Production Co.</x:t>
        </x:is>
      </x:c>
      <x:c r="H419" s="527" t="inlineStr">
        <x:is>
          <x:t xml:space="preserve">Tecolote Holdings</x:t>
        </x:is>
      </x:c>
      <x:c r="I419" s="527" t="inlineStr">
        <x:is>
          <x:t xml:space="preserve">S12 R26W S/2 SE/4 W/2 NW/4 20 more of 31-12N-24W, aol</x:t>
        </x:is>
      </x:c>
      <x:c r="J419" s="527" t="inlineStr">
        <x:is>
          <x:t xml:space="preserve">Conveys/clarifies mineral interest</x:t>
        </x:is>
      </x:c>
      <x:c r="K419" s="527" t="inlineStr">
        <x:is>
          <x:t xml:space="preserve">OKCountyRecords public search result via web index | https://okcountyrecords.com/detail/roger+mills/2016-001882</x:t>
        </x:is>
      </x:c>
      <x:c r="L419" s="565" t="n"/>
      <x:c r="M419" s="565" t="n"/>
      <x:c r="N419" s="565" t="n"/>
      <x:c r="O419" s="565" t="n"/>
      <x:c r="P419" s="565" t="n"/>
      <x:c r="Q419" s="565" t="n"/>
      <x:c r="R419" s="565" t="n"/>
      <x:c r="S419" s="613" t="n"/>
      <x:c r="T419" s="565" t="n"/>
      <x:c r="U419" s="613" t="n"/>
      <x:c r="V419" s="565" t="n"/>
      <x:c r="W419" s="565" t="n"/>
      <x:c r="X419" s="565" t="n"/>
      <x:c r="Y419" s="565" t="n"/>
      <x:c r="Z419" s="565" t="n"/>
    </x:row>
    <x:row r="420">
      <x:c r="A420" s="542" t="n"/>
      <x:c r="B420" s="527" t="n">
        <x:v>46</x:v>
      </x:c>
      <x:c r="C420" s="527" t="inlineStr">
        <x:is>
          <x:t xml:space="preserve">Assignment</x:t>
        </x:is>
      </x:c>
      <x:c r="D420" s="527" t="n">
        <x:v>42719</x:v>
      </x:c>
      <x:c r="E420" s="529" t="n">
        <x:v>42719</x:v>
      </x:c>
      <x:c r="F420" s="529" t="inlineStr">
        <x:is>
          <x:t xml:space="preserve">2354/0229</x:t>
        </x:is>
      </x:c>
      <x:c r="G420" s="527" t="inlineStr">
        <x:is>
          <x:t xml:space="preserve">Hefner Company, Inc.</x:t>
        </x:is>
      </x:c>
      <x:c r="H420" s="527" t="inlineStr">
        <x:is>
          <x:t xml:space="preserve">Cheyenne Resources, LLC</x:t>
        </x:is>
      </x:c>
      <x:c r="I420" s="527" t="inlineStr">
        <x:is>
          <x:t xml:space="preserve">A of 31-12N-24W</x:t>
        </x:is>
      </x:c>
      <x:c r="J420" s="527" t="inlineStr">
        <x:is>
          <x:t xml:space="preserve">Transfers leasehold/WI in chain</x:t>
        </x:is>
      </x:c>
      <x:c r="K420" s="527" t="inlineStr">
        <x:is>
          <x:t xml:space="preserve">63e8b9a8d056433a9994fe46ca85076b.pdf | https://okcountyrecords.com/detail/roger+mills/2016-002793</x:t>
        </x:is>
      </x:c>
      <x:c r="L420" s="565" t="n"/>
      <x:c r="M420" s="565" t="n"/>
      <x:c r="N420" s="565" t="n"/>
      <x:c r="O420" s="565" t="n"/>
      <x:c r="P420" s="565" t="n"/>
      <x:c r="Q420" s="565" t="n"/>
      <x:c r="R420" s="565" t="n"/>
      <x:c r="S420" s="613" t="n"/>
      <x:c r="T420" s="565" t="n"/>
      <x:c r="U420" s="613" t="n"/>
      <x:c r="V420" s="565" t="n"/>
      <x:c r="W420" s="565" t="n"/>
      <x:c r="X420" s="565" t="n"/>
      <x:c r="Y420" s="565" t="n"/>
      <x:c r="Z420" s="565" t="n"/>
    </x:row>
    <x:row r="421">
      <x:c r="A421" s="542" t="n"/>
      <x:c r="B421" s="527" t="n">
        <x:v>47</x:v>
      </x:c>
      <x:c r="C421" s="527" t="inlineStr">
        <x:is>
          <x:t xml:space="preserve">Assignment</x:t>
        </x:is>
      </x:c>
      <x:c r="D421" s="527" t="n">
        <x:v>42723</x:v>
      </x:c>
      <x:c r="E421" s="529" t="n">
        <x:v>42723</x:v>
      </x:c>
      <x:c r="F421" s="529" t="inlineStr">
        <x:is>
          <x:t xml:space="preserve">2351/0001</x:t>
        </x:is>
      </x:c>
      <x:c r="G421" s="527" t="inlineStr">
        <x:is>
          <x:t xml:space="preserve">Oil Rio,
Gas II, LLC</x:t>
        </x:is>
      </x:c>
      <x:c r="H421" s="527" t="inlineStr">
        <x:is>
          <x:t xml:space="preserve">Samson Resources Co.</x:t>
        </x:is>
      </x:c>
      <x:c r="I421" s="527" t="inlineStr">
        <x:is>
          <x:t xml:space="preserve">S9 T15N R23W LFUCHS 168 more candidate from related target search page of 31-12N-24W, aol</x:t>
        </x:is>
      </x:c>
      <x:c r="J421" s="527" t="inlineStr">
        <x:is>
          <x:t xml:space="preserve">Transfers leasehold/WI in chain</x:t>
        </x:is>
      </x:c>
      <x:c r="K421" s="527" t="inlineStr">
        <x:is>
          <x:t xml:space="preserve">OKCountyRecords public search result via web index | https://okcountyrecords.com/detail/roger+mills/2016-002668</x:t>
        </x:is>
      </x:c>
      <x:c r="L421" s="565" t="n"/>
      <x:c r="M421" s="565" t="n"/>
      <x:c r="N421" s="565" t="n"/>
      <x:c r="O421" s="565" t="n"/>
      <x:c r="P421" s="565" t="n"/>
      <x:c r="Q421" s="565" t="n"/>
      <x:c r="R421" s="565" t="n"/>
      <x:c r="S421" s="613" t="n"/>
      <x:c r="T421" s="565" t="n"/>
      <x:c r="U421" s="613" t="n"/>
      <x:c r="V421" s="565" t="n"/>
      <x:c r="W421" s="565" t="n"/>
      <x:c r="X421" s="565" t="n"/>
      <x:c r="Y421" s="565" t="n"/>
      <x:c r="Z421" s="565" t="n"/>
    </x:row>
    <x:row r="422">
      <x:c r="A422" s="542" t="n"/>
      <x:c r="B422" s="527" t="n">
        <x:v>48</x:v>
      </x:c>
      <x:c r="C422" s="527" t="inlineStr">
        <x:is>
          <x:t xml:space="preserve">Assignment</x:t>
        </x:is>
      </x:c>
      <x:c r="D422" s="527" t="n">
        <x:v>42752</x:v>
      </x:c>
      <x:c r="E422" s="529" t="n">
        <x:v>42752</x:v>
      </x:c>
      <x:c r="F422" s="529" t="inlineStr">
        <x:is>
          <x:t xml:space="preserve">2356/0399</x:t>
        </x:is>
      </x:c>
      <x:c r="G422" s="527" t="inlineStr">
        <x:is>
          <x:t xml:space="preserve">Geodyne Resources, Inc.,
Samson Lone Star, LLC,
Samson Resources Company</x:t>
        </x:is>
      </x:c>
      <x:c r="H422" s="527" t="inlineStr">
        <x:is>
          <x:t xml:space="preserve">Fairway Resources III, LLC</x:t>
        </x:is>
      </x:c>
      <x:c r="I422" s="527" t="inlineStr">
        <x:is>
          <x:t xml:space="preserve">S12 T13N R22W LA CROSS RANCH LALEXANDER 278 more of 31-12N-24W, aol</x:t>
        </x:is>
      </x:c>
      <x:c r="J422" s="527" t="inlineStr">
        <x:is>
          <x:t xml:space="preserve">Transfers leasehold/WI in chain</x:t>
        </x:is>
      </x:c>
      <x:c r="K422" s="527" t="inlineStr">
        <x:is>
          <x:t xml:space="preserve">Existing raw OKCR public snippet | https://okcountyrecords.com/detail/roger+mills/2017-000083</x:t>
        </x:is>
      </x:c>
      <x:c r="L422" s="565" t="n"/>
      <x:c r="M422" s="565" t="n"/>
      <x:c r="N422" s="565" t="n"/>
      <x:c r="O422" s="565" t="n"/>
      <x:c r="P422" s="565" t="n"/>
      <x:c r="Q422" s="565" t="n"/>
      <x:c r="R422" s="565" t="n"/>
      <x:c r="S422" s="613" t="n"/>
      <x:c r="T422" s="565" t="n"/>
      <x:c r="U422" s="613" t="n"/>
      <x:c r="V422" s="565" t="n"/>
      <x:c r="W422" s="565" t="n"/>
      <x:c r="X422" s="565" t="n"/>
      <x:c r="Y422" s="565" t="n"/>
      <x:c r="Z422" s="565" t="n"/>
    </x:row>
    <x:row r="423">
      <x:c r="A423" s="542" t="n"/>
      <x:c r="B423" s="527" t="n">
        <x:v>49</x:v>
      </x:c>
      <x:c r="C423" s="527" t="inlineStr">
        <x:is>
          <x:t xml:space="preserve">Mineral Deed</x:t>
        </x:is>
      </x:c>
      <x:c r="D423" s="527" t="n">
        <x:v>42858</x:v>
      </x:c>
      <x:c r="E423" s="529" t="n">
        <x:v>42858</x:v>
      </x:c>
      <x:c r="F423" s="529" t="inlineStr">
        <x:is>
          <x:t xml:space="preserve">2365/0338</x:t>
        </x:is>
      </x:c>
      <x:c r="G423" s="527" t="inlineStr">
        <x:is>
          <x:t xml:space="preserve">Pearl Kirk Ella</x:t>
        </x:is>
      </x:c>
      <x:c r="H423" s="527" t="inlineStr">
        <x:is>
          <x:t xml:space="preserve">Wayne Kirk Calvin</x:t>
        </x:is>
      </x:c>
      <x:c r="I423" s="527" t="inlineStr">
        <x:is>
          <x:t xml:space="preserve">NW/4 Partial of 31-12N-24W, aol</x:t>
        </x:is>
      </x:c>
      <x:c r="J423" s="527" t="inlineStr">
        <x:is>
          <x:t xml:space="preserve">Conveys mineral fee</x:t>
        </x:is>
      </x:c>
      <x:c r="K423" s="527" t="inlineStr">
        <x:is>
          <x:t xml:space="preserve">31-12N-24W_Roger_Mills_Cursory_Title_Report_FINAL</x:t>
        </x:is>
      </x:c>
      <x:c r="L423" s="565" t="n"/>
      <x:c r="M423" s="565" t="n"/>
      <x:c r="N423" s="565" t="n"/>
      <x:c r="O423" s="565" t="n"/>
      <x:c r="P423" s="565" t="n"/>
      <x:c r="Q423" s="565" t="n"/>
      <x:c r="R423" s="565" t="n"/>
      <x:c r="S423" s="613" t="n"/>
      <x:c r="T423" s="565" t="n"/>
      <x:c r="U423" s="613" t="n"/>
      <x:c r="V423" s="565" t="n"/>
      <x:c r="W423" s="565" t="n"/>
      <x:c r="X423" s="565" t="n"/>
      <x:c r="Y423" s="565" t="n"/>
      <x:c r="Z423" s="565" t="n"/>
    </x:row>
    <x:row r="424">
      <x:c r="A424" s="542" t="n"/>
      <x:c r="B424" s="527" t="n">
        <x:v>50</x:v>
      </x:c>
      <x:c r="C424" s="527" t="inlineStr">
        <x:is>
          <x:t xml:space="preserve">Conveyance</x:t>
        </x:is>
      </x:c>
      <x:c r="D424" s="527" t="n">
        <x:v>43088</x:v>
      </x:c>
      <x:c r="E424" s="529" t="n">
        <x:v>43088</x:v>
      </x:c>
      <x:c r="F424" s="529" t="inlineStr">
        <x:is>
          <x:t xml:space="preserve">2383/0169</x:t>
        </x:is>
      </x:c>
      <x:c r="G424" s="527" t="inlineStr">
        <x:is>
          <x:t xml:space="preserve">Tecolote Holdings, LLC</x:t>
        </x:is>
      </x:c>
      <x:c r="H424" s="527" t="inlineStr">
        <x:is>
          <x:t xml:space="preserve">Tecolote Royalty, LP</x:t>
        </x:is>
      </x:c>
      <x:c r="I424" s="527" t="inlineStr">
        <x:is>
          <x:t xml:space="preserve">A of 31-12N-24W</x:t>
        </x:is>
      </x:c>
      <x:c r="J424" s="527" t="inlineStr">
        <x:is>
          <x:t xml:space="preserve">Transfers interest</x:t>
        </x:is>
      </x:c>
      <x:c r="K424" s="527" t="inlineStr">
        <x:is>
          <x:t xml:space="preserve">63e8b9a8d056433a9994fe46ca85076b.pdf | https://okcountyrecords.com/detail/roger+mills/2017-002694</x:t>
        </x:is>
      </x:c>
      <x:c r="L424" s="565" t="n"/>
      <x:c r="M424" s="565" t="n"/>
      <x:c r="N424" s="565" t="n"/>
      <x:c r="O424" s="565" t="n"/>
      <x:c r="P424" s="565" t="n"/>
      <x:c r="Q424" s="565" t="n"/>
      <x:c r="R424" s="565" t="n"/>
      <x:c r="S424" s="613" t="n"/>
      <x:c r="T424" s="565" t="n"/>
      <x:c r="U424" s="613" t="n"/>
      <x:c r="V424" s="565" t="n"/>
      <x:c r="W424" s="565" t="n"/>
      <x:c r="X424" s="565" t="n"/>
      <x:c r="Y424" s="565" t="n"/>
      <x:c r="Z424" s="565" t="n"/>
    </x:row>
    <x:row r="425">
      <x:c r="A425" s="542" t="n"/>
      <x:c r="B425" s="527" t="n">
        <x:v>51</x:v>
      </x:c>
      <x:c r="C425" s="527" t="inlineStr">
        <x:is>
          <x:t xml:space="preserve">Assignment</x:t>
        </x:is>
      </x:c>
      <x:c r="D425" s="527" t="n">
        <x:v>43119</x:v>
      </x:c>
      <x:c r="E425" s="529" t="n">
        <x:v>43119</x:v>
      </x:c>
      <x:c r="F425" s="529" t="inlineStr">
        <x:is>
          <x:t xml:space="preserve">2385/0072</x:t>
        </x:is>
      </x:c>
      <x:c r="G425" s="527" t="inlineStr">
        <x:is>
          <x:t xml:space="preserve">Cheyenne Resources</x:t>
        </x:is>
      </x:c>
      <x:c r="H425" s="527" t="inlineStr">
        <x:is>
          <x:t xml:space="preserve">Templar Energy, LLC</x:t>
        </x:is>
      </x:c>
      <x:c r="I425" s="527" t="inlineStr">
        <x:is>
          <x:t xml:space="preserve">Lalexander 1-31 of 31-12N-24W</x:t>
        </x:is>
      </x:c>
      <x:c r="J425" s="527" t="inlineStr">
        <x:is>
          <x:t xml:space="preserve">Transfers leasehold/WI in chain</x:t>
        </x:is>
      </x:c>
      <x:c r="K425" s="527" t="inlineStr">
        <x:is>
          <x:t xml:space="preserve">31-12N-24W_Roger_Mills_Cursory_Title_Report_FINAL</x:t>
        </x:is>
      </x:c>
      <x:c r="L425" s="565" t="n"/>
      <x:c r="M425" s="565" t="n"/>
      <x:c r="N425" s="565" t="n"/>
      <x:c r="O425" s="565" t="n"/>
      <x:c r="P425" s="565" t="n"/>
      <x:c r="Q425" s="565" t="n"/>
      <x:c r="R425" s="565" t="n"/>
      <x:c r="S425" s="613" t="n"/>
      <x:c r="T425" s="565" t="n"/>
      <x:c r="U425" s="613" t="n"/>
      <x:c r="V425" s="565" t="n"/>
      <x:c r="W425" s="565" t="n"/>
      <x:c r="X425" s="565" t="n"/>
      <x:c r="Y425" s="565" t="n"/>
      <x:c r="Z425" s="565" t="n"/>
    </x:row>
    <x:row r="426">
      <x:c r="A426" s="542" t="n"/>
      <x:c r="B426" s="527" t="n">
        <x:v>52</x:v>
      </x:c>
      <x:c r="C426" s="527" t="inlineStr">
        <x:is>
          <x:t xml:space="preserve">Memorandum</x:t>
        </x:is>
      </x:c>
      <x:c r="D426" s="527" t="n">
        <x:v>43327</x:v>
      </x:c>
      <x:c r="E426" s="529" t="n">
        <x:v>43327</x:v>
      </x:c>
      <x:c r="F426" s="529" t="inlineStr">
        <x:is>
          <x:t xml:space="preserve">2399/0188</x:t>
        </x:is>
      </x:c>
      <x:c r="G426" s="527" t="inlineStr">
        <x:is>
          <x:t xml:space="preserve">Enervest Operating Et Al</x:t>
        </x:is>
      </x:c>
      <x:c r="H426" s="527" t="inlineStr">
        <x:is>
          <x:t xml:space="preserve">Public</x:t>
        </x:is>
      </x:c>
      <x:c r="I426" s="527" t="inlineStr">
        <x:is>
          <x:t xml:space="preserve">ALL ALEXANDER 1-31 of 31-12N-24W</x:t>
        </x:is>
      </x:c>
      <x:c r="J426" s="527" t="inlineStr">
        <x:is>
          <x:t xml:space="preserve">Provides record notice of lease</x:t>
        </x:is>
      </x:c>
      <x:c r="K426" s="527" t="inlineStr">
        <x:is>
          <x:t xml:space="preserve">63e8b9a8d056433a9994fe46ca85076b.pdf | https://okcountyrecords.com/detail/roger+mills/2018-002049</x:t>
        </x:is>
      </x:c>
      <x:c r="L426" s="565" t="n"/>
      <x:c r="M426" s="565" t="n"/>
      <x:c r="N426" s="565" t="n"/>
      <x:c r="O426" s="565" t="n"/>
      <x:c r="P426" s="565" t="n"/>
      <x:c r="Q426" s="565" t="n"/>
      <x:c r="R426" s="565" t="n"/>
      <x:c r="S426" s="613" t="n"/>
      <x:c r="T426" s="565" t="n"/>
      <x:c r="U426" s="613" t="n"/>
      <x:c r="V426" s="565" t="n"/>
      <x:c r="W426" s="565" t="n"/>
      <x:c r="X426" s="565" t="n"/>
      <x:c r="Y426" s="565" t="n"/>
      <x:c r="Z426" s="565" t="n"/>
    </x:row>
    <x:row r="427">
      <x:c r="A427" s="542" t="n"/>
      <x:c r="B427" s="527" t="n">
        <x:v>53</x:v>
      </x:c>
      <x:c r="C427" s="527" t="inlineStr">
        <x:is>
          <x:t xml:space="preserve">Quit Claim Mineral Deed</x:t>
        </x:is>
      </x:c>
      <x:c r="D427" s="527" t="n">
        <x:v>43382</x:v>
      </x:c>
      <x:c r="E427" s="529" t="n">
        <x:v>43382</x:v>
      </x:c>
      <x:c r="F427" s="529" t="inlineStr">
        <x:is>
          <x:t xml:space="preserve">2406/0228</x:t>
        </x:is>
      </x:c>
      <x:c r="G427" s="527" t="inlineStr">
        <x:is>
          <x:t xml:space="preserve">Of the Luther Cindy Lou Vignal, Trustee,
Veronica Liv Thurman Trust</x:t>
        </x:is>
      </x:c>
      <x:c r="H427" s="527" t="inlineStr">
        <x:is>
          <x:t xml:space="preserve">Of the Gary Gary Wayne Vignal, Trustee,
Cindy Liv Vignal Trust, Cindy Lou Vignal, of the Gary, Trustee,
Cindy Liv Vignal Trust</x:t>
        </x:is>
      </x:c>
      <x:c r="I427" s="527" t="inlineStr">
        <x:is>
          <x:t xml:space="preserve">E/2 NW/4 of 31-12N-24W, aol</x:t>
        </x:is>
      </x:c>
      <x:c r="J427" s="527" t="inlineStr">
        <x:is>
          <x:t xml:space="preserve">Conveys/clarifies mineral interest</x:t>
        </x:is>
      </x:c>
      <x:c r="K427" s="527" t="inlineStr">
        <x:is>
          <x:t xml:space="preserve">31-12N-24W_Roger_Mills_Cursory_Title_Report_FINAL</x:t>
        </x:is>
      </x:c>
      <x:c r="L427" s="565" t="n"/>
      <x:c r="M427" s="565" t="n"/>
      <x:c r="N427" s="565" t="n"/>
      <x:c r="O427" s="565" t="n"/>
      <x:c r="P427" s="565" t="n"/>
      <x:c r="Q427" s="565" t="n"/>
      <x:c r="R427" s="565" t="n"/>
      <x:c r="S427" s="613" t="n"/>
      <x:c r="T427" s="565" t="n"/>
      <x:c r="U427" s="613" t="n"/>
      <x:c r="V427" s="565" t="n"/>
      <x:c r="W427" s="565" t="n"/>
      <x:c r="X427" s="565" t="n"/>
      <x:c r="Y427" s="565" t="n"/>
      <x:c r="Z427" s="565" t="n"/>
    </x:row>
    <x:row r="428">
      <x:c r="A428" s="542" t="n"/>
      <x:c r="B428" s="527" t="n">
        <x:v>54</x:v>
      </x:c>
      <x:c r="C428" s="527" t="inlineStr">
        <x:is>
          <x:t xml:space="preserve">Assignment</x:t>
        </x:is>
      </x:c>
      <x:c r="D428" s="527" t="n">
        <x:v>43698</x:v>
      </x:c>
      <x:c r="E428" s="529" t="n">
        <x:v>43698</x:v>
      </x:c>
      <x:c r="F428" s="529" t="inlineStr">
        <x:is>
          <x:t xml:space="preserve">2425/0380</x:t>
        </x:is>
      </x:c>
      <x:c r="G428" s="527" t="inlineStr">
        <x:is>
          <x:t xml:space="preserve">Bhp Billiton Petroleum</x:t>
        </x:is>
      </x:c>
      <x:c r="H428" s="527" t="inlineStr">
        <x:is>
          <x:t xml:space="preserve">Cohete Rojo, LLC</x:t>
        </x:is>
      </x:c>
      <x:c r="I428" s="527" t="inlineStr">
        <x:is>
          <x:t xml:space="preserve">All of 31-12N-24W</x:t>
        </x:is>
      </x:c>
      <x:c r="J428" s="527" t="inlineStr">
        <x:is>
          <x:t xml:space="preserve">Transfers leasehold/WI in chain</x:t>
        </x:is>
      </x:c>
      <x:c r="K428" s="527" t="inlineStr">
        <x:is>
          <x:t xml:space="preserve">63e8b9a8d056433a9994fe46ca85076b.pdf | https://okcountyrecords.com/detail/roger+mills/2019-001779</x:t>
        </x:is>
      </x:c>
      <x:c r="L428" s="565" t="n"/>
      <x:c r="M428" s="565" t="n"/>
      <x:c r="N428" s="565" t="n"/>
      <x:c r="O428" s="565" t="n"/>
      <x:c r="P428" s="565" t="n"/>
      <x:c r="Q428" s="565" t="n"/>
      <x:c r="R428" s="565" t="n"/>
      <x:c r="S428" s="613" t="n"/>
      <x:c r="T428" s="565" t="n"/>
      <x:c r="U428" s="613" t="n"/>
      <x:c r="V428" s="565" t="n"/>
      <x:c r="W428" s="565" t="n"/>
      <x:c r="X428" s="565" t="n"/>
      <x:c r="Y428" s="565" t="n"/>
      <x:c r="Z428" s="565" t="n"/>
    </x:row>
    <x:row r="429">
      <x:c r="A429" s="542" t="n"/>
      <x:c r="B429" s="527" t="n">
        <x:v>55</x:v>
      </x:c>
      <x:c r="C429" s="527" t="inlineStr">
        <x:is>
          <x:t xml:space="preserve">Mineral Deed</x:t>
        </x:is>
      </x:c>
      <x:c r="D429" s="527" t="n">
        <x:v>43711</x:v>
      </x:c>
      <x:c r="E429" s="529" t="n">
        <x:v>43711</x:v>
      </x:c>
      <x:c r="F429" s="529" t="inlineStr">
        <x:is>
          <x:t xml:space="preserve">2426/0154</x:t>
        </x:is>
      </x:c>
      <x:c r="G429" s="527" t="inlineStr">
        <x:is>
          <x:t xml:space="preserve">Roca Development Colt Development</x:t>
        </x:is>
      </x:c>
      <x:c r="H429" s="527" t="inlineStr">
        <x:is>
          <x:t xml:space="preserve">Dustin Deal, LLC</x:t>
        </x:is>
      </x:c>
      <x:c r="I429" s="527" t="inlineStr">
        <x:is>
          <x:t xml:space="preserve">E/2 NW/4 of 31-12N-24W</x:t>
        </x:is>
      </x:c>
      <x:c r="J429" s="527" t="inlineStr">
        <x:is>
          <x:t xml:space="preserve">Conveys mineral fee</x:t>
        </x:is>
      </x:c>
      <x:c r="K429" s="527" t="inlineStr">
        <x:is>
          <x:t xml:space="preserve">31-12N-24W_Roger_Mills_Cursory_Title_Report_FINAL</x:t>
        </x:is>
      </x:c>
      <x:c r="L429" s="565" t="n"/>
      <x:c r="M429" s="565" t="n"/>
      <x:c r="N429" s="565" t="n"/>
      <x:c r="O429" s="565" t="n"/>
      <x:c r="P429" s="565" t="n"/>
      <x:c r="Q429" s="565" t="n"/>
      <x:c r="R429" s="565" t="n"/>
      <x:c r="S429" s="613" t="n"/>
      <x:c r="T429" s="565" t="n"/>
      <x:c r="U429" s="613" t="n"/>
      <x:c r="V429" s="565" t="n"/>
      <x:c r="W429" s="565" t="n"/>
      <x:c r="X429" s="565" t="n"/>
      <x:c r="Y429" s="565" t="n"/>
      <x:c r="Z429" s="565" t="n"/>
    </x:row>
    <x:row r="430">
      <x:c r="A430" s="542" t="n"/>
      <x:c r="B430" s="527" t="n">
        <x:v>56</x:v>
      </x:c>
      <x:c r="C430" s="527" t="inlineStr">
        <x:is>
          <x:t xml:space="preserve">Assignment</x:t>
        </x:is>
      </x:c>
      <x:c r="D430" s="527" t="n">
        <x:v>44060</x:v>
      </x:c>
      <x:c r="E430" s="529" t="n">
        <x:v>44060</x:v>
      </x:c>
      <x:c r="F430" s="529" t="inlineStr">
        <x:is>
          <x:t xml:space="preserve">2449/0333</x:t>
        </x:is>
      </x:c>
      <x:c r="G430" s="527" t="inlineStr">
        <x:is>
          <x:t xml:space="preserve">Te Holdco Rp, LLC Et Al</x:t>
        </x:is>
      </x:c>
      <x:c r="H430" s="527" t="inlineStr">
        <x:is>
          <x:t xml:space="preserve">Presidio Wab, LLC</x:t>
        </x:is>
      </x:c>
      <x:c r="I430" s="527" t="inlineStr">
        <x:is>
          <x:t xml:space="preserve">A of 31-12N-24W</x:t>
        </x:is>
      </x:c>
      <x:c r="J430" s="527" t="inlineStr">
        <x:is>
          <x:t xml:space="preserve">Transfers leasehold/WI in chain</x:t>
        </x:is>
      </x:c>
      <x:c r="K430" s="527" t="inlineStr">
        <x:is>
          <x:t xml:space="preserve">63e8b9a8d056433a9994fe46ca85076b.pdf | https://okcountyrecords.com/detail/roger+mills/2020-001283</x:t>
        </x:is>
      </x:c>
      <x:c r="L430" s="565" t="n"/>
      <x:c r="M430" s="565" t="n"/>
      <x:c r="N430" s="565" t="n"/>
      <x:c r="O430" s="565" t="n"/>
      <x:c r="P430" s="565" t="n"/>
      <x:c r="Q430" s="565" t="n"/>
      <x:c r="R430" s="565" t="n"/>
      <x:c r="S430" s="613" t="n"/>
      <x:c r="T430" s="565" t="n"/>
      <x:c r="U430" s="613" t="n"/>
      <x:c r="V430" s="565" t="n"/>
      <x:c r="W430" s="565" t="n"/>
      <x:c r="X430" s="565" t="n"/>
      <x:c r="Y430" s="565" t="n"/>
      <x:c r="Z430" s="565" t="n"/>
    </x:row>
    <x:row r="431">
      <x:c r="A431" s="542" t="n"/>
      <x:c r="B431" s="527" t="n">
        <x:v>57</x:v>
      </x:c>
      <x:c r="C431" s="527" t="inlineStr">
        <x:is>
          <x:t xml:space="preserve">Assignment</x:t>
        </x:is>
      </x:c>
      <x:c r="D431" s="527" t="n">
        <x:v>44118</x:v>
      </x:c>
      <x:c r="E431" s="529" t="n">
        <x:v>44118</x:v>
      </x:c>
      <x:c r="F431" s="529" t="inlineStr">
        <x:is>
          <x:t xml:space="preserve">2452/0235</x:t>
        </x:is>
      </x:c>
      <x:c r="G431" s="527" t="inlineStr">
        <x:is>
          <x:t xml:space="preserve">Tecolote Holdings, LLC Et Al</x:t>
        </x:is>
      </x:c>
      <x:c r="H431" s="527" t="inlineStr">
        <x:is>
          <x:t xml:space="preserve">Mustang Fuel Corporation</x:t>
        </x:is>
      </x:c>
      <x:c r="I431" s="527" t="inlineStr">
        <x:is>
          <x:t xml:space="preserve">A of 31-12N-24W</x:t>
        </x:is>
      </x:c>
      <x:c r="J431" s="527" t="inlineStr">
        <x:is>
          <x:t xml:space="preserve">Transfers leasehold/WI in chain</x:t>
        </x:is>
      </x:c>
      <x:c r="K431" s="527" t="inlineStr">
        <x:is>
          <x:t xml:space="preserve">63e8b9a8d056433a9994fe46ca85076b.pdf | https://okcountyrecords.com/detail/roger+mills/2020-001577</x:t>
        </x:is>
      </x:c>
      <x:c r="L431" s="565" t="n"/>
      <x:c r="M431" s="565" t="n"/>
      <x:c r="N431" s="565" t="n"/>
      <x:c r="O431" s="565" t="n"/>
      <x:c r="P431" s="565" t="n"/>
      <x:c r="Q431" s="565" t="n"/>
      <x:c r="R431" s="565" t="n"/>
      <x:c r="S431" s="613" t="n"/>
      <x:c r="T431" s="565" t="n"/>
      <x:c r="U431" s="613" t="n"/>
      <x:c r="V431" s="565" t="n"/>
      <x:c r="W431" s="565" t="n"/>
      <x:c r="X431" s="565" t="n"/>
      <x:c r="Y431" s="565" t="n"/>
      <x:c r="Z431" s="565" t="n"/>
    </x:row>
    <x:row r="432">
      <x:c r="A432" s="542" t="n"/>
      <x:c r="B432" s="527" t="n">
        <x:v>58</x:v>
      </x:c>
      <x:c r="C432" s="527" t="inlineStr">
        <x:is>
          <x:t xml:space="preserve">Mineral Deed</x:t>
        </x:is>
      </x:c>
      <x:c r="D432" s="527" t="n">
        <x:v>44144</x:v>
      </x:c>
      <x:c r="E432" s="529" t="n">
        <x:v>44144</x:v>
      </x:c>
      <x:c r="F432" s="529" t="inlineStr">
        <x:is>
          <x:t xml:space="preserve">2453/0452</x:t>
        </x:is>
      </x:c>
      <x:c r="G432" s="527" t="inlineStr">
        <x:is>
          <x:t xml:space="preserve">Payday Holdings, LLC</x:t>
        </x:is>
      </x:c>
      <x:c r="H432" s="527" t="inlineStr">
        <x:is>
          <x:t xml:space="preserve">Andrew Pennington</x:t>
        </x:is>
      </x:c>
      <x:c r="I432" s="527" t="inlineStr">
        <x:is>
          <x:t xml:space="preserve">A of 31-12N-24W</x:t>
        </x:is>
      </x:c>
      <x:c r="J432" s="527" t="inlineStr">
        <x:is>
          <x:t xml:space="preserve">Conveys mineral fee</x:t>
        </x:is>
      </x:c>
      <x:c r="K432" s="527" t="inlineStr">
        <x:is>
          <x:t xml:space="preserve">63e8b9a8d056433a9994fe46ca85076b.pdf | https://okcountyrecords.com/detail/roger+mills/2020-001708</x:t>
        </x:is>
      </x:c>
      <x:c r="L432" s="565" t="n"/>
      <x:c r="M432" s="565" t="n"/>
      <x:c r="N432" s="565" t="n"/>
      <x:c r="O432" s="565" t="n"/>
      <x:c r="P432" s="565" t="n"/>
      <x:c r="Q432" s="565" t="n"/>
      <x:c r="R432" s="565" t="n"/>
      <x:c r="S432" s="613" t="n"/>
      <x:c r="T432" s="565" t="n"/>
      <x:c r="U432" s="613" t="n"/>
      <x:c r="V432" s="565" t="n"/>
      <x:c r="W432" s="565" t="n"/>
      <x:c r="X432" s="565" t="n"/>
      <x:c r="Y432" s="565" t="n"/>
      <x:c r="Z432" s="565" t="n"/>
    </x:row>
    <x:row r="433">
      <x:c r="A433" s="542" t="n"/>
      <x:c r="B433" s="527" t="n">
        <x:v>59</x:v>
      </x:c>
      <x:c r="C433" s="527" t="inlineStr">
        <x:is>
          <x:t xml:space="preserve">Assignment</x:t>
        </x:is>
      </x:c>
      <x:c r="D433" s="527" t="n">
        <x:v>44175</x:v>
      </x:c>
      <x:c r="E433" s="529" t="n">
        <x:v>44175</x:v>
      </x:c>
      <x:c r="F433" s="529" t="inlineStr">
        <x:is>
          <x:t xml:space="preserve">2455/0446</x:t>
        </x:is>
      </x:c>
      <x:c r="G433" s="527" t="inlineStr">
        <x:is>
          <x:t xml:space="preserve">Tabally Hani</x:t>
        </x:is>
      </x:c>
      <x:c r="H433" s="527" t="inlineStr">
        <x:is>
          <x:t xml:space="preserve">J. Dominguez Santos</x:t>
        </x:is>
      </x:c>
      <x:c r="I433" s="527" t="inlineStr">
        <x:is>
          <x:t xml:space="preserve">Lalexander of 31-12N-24W</x:t>
        </x:is>
      </x:c>
      <x:c r="J433" s="527" t="inlineStr">
        <x:is>
          <x:t xml:space="preserve">Transfers leasehold/WI in chain</x:t>
        </x:is>
      </x:c>
      <x:c r="K433" s="527" t="inlineStr">
        <x:is>
          <x:t xml:space="preserve">31-12N-24W_Roger_Mills_Cursory_Title_Report_FINAL</x:t>
        </x:is>
      </x:c>
      <x:c r="L433" s="565" t="n"/>
      <x:c r="M433" s="565" t="n"/>
      <x:c r="N433" s="565" t="n"/>
      <x:c r="O433" s="565" t="n"/>
      <x:c r="P433" s="565" t="n"/>
      <x:c r="Q433" s="565" t="n"/>
      <x:c r="R433" s="565" t="n"/>
      <x:c r="S433" s="613" t="n"/>
      <x:c r="T433" s="565" t="n"/>
      <x:c r="U433" s="613" t="n"/>
      <x:c r="V433" s="565" t="n"/>
      <x:c r="W433" s="565" t="n"/>
      <x:c r="X433" s="565" t="n"/>
      <x:c r="Y433" s="565" t="n"/>
      <x:c r="Z433" s="565" t="n"/>
    </x:row>
    <x:row r="434">
      <x:c r="A434" s="542" t="n"/>
      <x:c r="B434" s="527" t="n">
        <x:v>60</x:v>
      </x:c>
      <x:c r="C434" s="527" t="inlineStr">
        <x:is>
          <x:t xml:space="preserve">Change of Name</x:t>
        </x:is>
      </x:c>
      <x:c r="D434" s="527" t="n">
        <x:v>44314</x:v>
      </x:c>
      <x:c r="E434" s="529" t="n">
        <x:v>44314</x:v>
      </x:c>
      <x:c r="F434" s="529" t="inlineStr">
        <x:is>
          <x:t xml:space="preserve">2463/0147</x:t>
        </x:is>
      </x:c>
      <x:c r="G434" s="527" t="inlineStr">
        <x:is>
          <x:t xml:space="preserve">Fourpoint Energy, LLC</x:t>
        </x:is>
      </x:c>
      <x:c r="H434" s="527" t="inlineStr">
        <x:is>
          <x:t xml:space="preserve">Unbridled Resources, LLC</x:t>
        </x:is>
      </x:c>
      <x:c r="I434" s="527" t="inlineStr">
        <x:is>
          <x:t xml:space="preserve">A of 31-12N-24W</x:t>
        </x:is>
      </x:c>
      <x:c r="J434" s="527" t="inlineStr">
        <x:is>
          <x:t xml:space="preserve">Identifies same party under new name</x:t>
        </x:is>
      </x:c>
      <x:c r="K434" s="527" t="inlineStr">
        <x:is>
          <x:t xml:space="preserve">63e8b9a8d056433a9994fe46ca85076b.pdf | https://okcountyrecords.com/detail/roger+mills/2021-000697</x:t>
        </x:is>
      </x:c>
      <x:c r="L434" s="565" t="n"/>
      <x:c r="M434" s="565" t="n"/>
      <x:c r="N434" s="565" t="n"/>
      <x:c r="O434" s="565" t="n"/>
      <x:c r="P434" s="565" t="n"/>
      <x:c r="Q434" s="565" t="n"/>
      <x:c r="R434" s="565" t="n"/>
      <x:c r="S434" s="613" t="n"/>
      <x:c r="T434" s="565" t="n"/>
      <x:c r="U434" s="613" t="n"/>
      <x:c r="V434" s="565" t="n"/>
      <x:c r="W434" s="565" t="n"/>
      <x:c r="X434" s="565" t="n"/>
      <x:c r="Y434" s="565" t="n"/>
      <x:c r="Z434" s="565" t="n"/>
    </x:row>
    <x:row r="435">
      <x:c r="A435" s="542" t="n"/>
      <x:c r="B435" s="527" t="n">
        <x:v>61</x:v>
      </x:c>
      <x:c r="C435" s="527" t="inlineStr">
        <x:is>
          <x:t xml:space="preserve">Affidavit</x:t>
        </x:is>
      </x:c>
      <x:c r="D435" s="527" t="n">
        <x:v>44462</x:v>
      </x:c>
      <x:c r="E435" s="529" t="n">
        <x:v>44462</x:v>
      </x:c>
      <x:c r="F435" s="529" t="inlineStr">
        <x:is>
          <x:t xml:space="preserve">2476/0001</x:t>
        </x:is>
      </x:c>
      <x:c r="G435" s="527" t="inlineStr">
        <x:is>
          <x:t xml:space="preserve">Presidio Investment Holdings</x:t>
        </x:is>
      </x:c>
      <x:c r="H435" s="527" t="inlineStr">
        <x:is>
          <x:t xml:space="preserve">Public</x:t>
        </x:is>
      </x:c>
      <x:c r="I435" s="527" t="inlineStr">
        <x:is>
          <x:t xml:space="preserve">A of 31-12N-24W</x:t>
        </x:is>
      </x:c>
      <x:c r="J435" s="527" t="inlineStr">
        <x:is>
          <x:t xml:space="preserve">Supports/curative record</x:t>
        </x:is>
      </x:c>
      <x:c r="K435" s="527" t="inlineStr">
        <x:is>
          <x:t xml:space="preserve">63e8b9a8d056433a9994fe46ca85076b.pdf | https://okcountyrecords.com/detail/roger+mills/2021-001557</x:t>
        </x:is>
      </x:c>
      <x:c r="L435" s="565" t="n"/>
      <x:c r="M435" s="565" t="n"/>
      <x:c r="N435" s="565" t="n"/>
      <x:c r="O435" s="565" t="n"/>
      <x:c r="P435" s="565" t="n"/>
      <x:c r="Q435" s="565" t="n"/>
      <x:c r="R435" s="565" t="n"/>
      <x:c r="S435" s="613" t="n"/>
      <x:c r="T435" s="565" t="n"/>
      <x:c r="U435" s="613" t="n"/>
      <x:c r="V435" s="565" t="n"/>
      <x:c r="W435" s="565" t="n"/>
      <x:c r="X435" s="565" t="n"/>
      <x:c r="Y435" s="565" t="n"/>
      <x:c r="Z435" s="565" t="n"/>
    </x:row>
    <x:row r="436">
      <x:c r="A436" s="542" t="n"/>
      <x:c r="B436" s="527" t="n">
        <x:v>63</x:v>
      </x:c>
      <x:c r="C436" s="527" t="inlineStr">
        <x:is>
          <x:t xml:space="preserve">Assignment</x:t>
        </x:is>
      </x:c>
      <x:c r="D436" s="527" t="n">
        <x:v>44463</x:v>
      </x:c>
      <x:c r="E436" s="529" t="n">
        <x:v>44463</x:v>
      </x:c>
      <x:c r="F436" s="529" t="inlineStr">
        <x:is>
          <x:t xml:space="preserve">2479/0001</x:t>
        </x:is>
      </x:c>
      <x:c r="G436" s="527" t="inlineStr">
        <x:is>
          <x:t xml:space="preserve">Fairway Resources III, LLC Et Al</x:t>
        </x:is>
      </x:c>
      <x:c r="H436" s="527" t="inlineStr">
        <x:is>
          <x:t xml:space="preserve">Mustang Fuel Corporation</x:t>
        </x:is>
      </x:c>
      <x:c r="I436" s="527" t="inlineStr">
        <x:is>
          <x:t xml:space="preserve">E/2 NW/4 of 31-12N-24W</x:t>
        </x:is>
      </x:c>
      <x:c r="J436" s="527" t="inlineStr">
        <x:is>
          <x:t xml:space="preserve">Transfers leasehold/WI in chain</x:t>
        </x:is>
      </x:c>
      <x:c r="K436" s="527" t="inlineStr">
        <x:is>
          <x:t xml:space="preserve">63e8b9a8d056433a9994fe46ca85076b.pdf | https://okcountyrecords.com/detail/roger+mills/2021-001561</x:t>
        </x:is>
      </x:c>
      <x:c r="L436" s="565" t="n"/>
      <x:c r="M436" s="565" t="n"/>
      <x:c r="N436" s="565" t="n"/>
      <x:c r="O436" s="565" t="n"/>
      <x:c r="P436" s="565" t="n"/>
      <x:c r="Q436" s="565" t="n"/>
      <x:c r="R436" s="565" t="n"/>
      <x:c r="S436" s="613" t="n"/>
      <x:c r="T436" s="565" t="n"/>
      <x:c r="U436" s="613" t="n"/>
      <x:c r="V436" s="565" t="n"/>
      <x:c r="W436" s="565" t="n"/>
      <x:c r="X436" s="565" t="n"/>
      <x:c r="Y436" s="565" t="n"/>
      <x:c r="Z436" s="565" t="n"/>
    </x:row>
    <x:row r="437">
      <x:c r="A437" s="542" t="n"/>
      <x:c r="B437" s="527" t="n">
        <x:v>64</x:v>
      </x:c>
      <x:c r="C437" s="527" t="inlineStr">
        <x:is>
          <x:t xml:space="preserve">Assignment</x:t>
        </x:is>
      </x:c>
      <x:c r="D437" s="527" t="n">
        <x:v>44476</x:v>
      </x:c>
      <x:c r="E437" s="529" t="n">
        <x:v>44476</x:v>
      </x:c>
      <x:c r="F437" s="529" t="inlineStr">
        <x:is>
          <x:t xml:space="preserve">2480/0297</x:t>
        </x:is>
      </x:c>
      <x:c r="G437" s="527" t="inlineStr">
        <x:is>
          <x:t xml:space="preserve">Tlw Investments, LLC</x:t>
        </x:is>
      </x:c>
      <x:c r="H437" s="527" t="inlineStr">
        <x:is>
          <x:t xml:space="preserve">Cannon Field Minerals Fund, LP</x:t>
        </x:is>
      </x:c>
      <x:c r="I437" s="527" t="inlineStr">
        <x:is>
          <x:t xml:space="preserve">A of 31-12N-24W</x:t>
        </x:is>
      </x:c>
      <x:c r="J437" s="527" t="inlineStr">
        <x:is>
          <x:t xml:space="preserve">Transfers leasehold/WI in chain</x:t>
        </x:is>
      </x:c>
      <x:c r="K437" s="527" t="inlineStr">
        <x:is>
          <x:t xml:space="preserve">63e8b9a8d056433a9994fe46ca85076b.pdf | https://okcountyrecords.com/detail/roger+mills/2021-001605</x:t>
        </x:is>
      </x:c>
      <x:c r="L437" s="565" t="n"/>
      <x:c r="M437" s="565" t="n"/>
      <x:c r="N437" s="565" t="n"/>
      <x:c r="O437" s="565" t="n"/>
      <x:c r="P437" s="565" t="n"/>
      <x:c r="Q437" s="565" t="n"/>
      <x:c r="R437" s="565" t="n"/>
      <x:c r="S437" s="613" t="n"/>
      <x:c r="T437" s="565" t="n"/>
      <x:c r="U437" s="613" t="n"/>
      <x:c r="V437" s="565" t="n"/>
      <x:c r="W437" s="565" t="n"/>
      <x:c r="X437" s="565" t="n"/>
      <x:c r="Y437" s="565" t="n"/>
      <x:c r="Z437" s="565" t="n"/>
    </x:row>
    <x:row r="438">
      <x:c r="A438" s="542" t="n"/>
      <x:c r="B438" s="527" t="n">
        <x:v>65</x:v>
      </x:c>
      <x:c r="C438" s="527" t="inlineStr">
        <x:is>
          <x:t xml:space="preserve">Mineral Deed</x:t>
        </x:is>
      </x:c>
      <x:c r="D438" s="527" t="n">
        <x:v>44491</x:v>
      </x:c>
      <x:c r="E438" s="529" t="n">
        <x:v>44491</x:v>
      </x:c>
      <x:c r="F438" s="529" t="inlineStr">
        <x:is>
          <x:t xml:space="preserve">2481/0287</x:t>
        </x:is>
      </x:c>
      <x:c r="G438" s="527" t="inlineStr">
        <x:is>
          <x:t xml:space="preserve">Greystone Energy,
Minerals</x:t>
        </x:is>
      </x:c>
      <x:c r="H438" s="527" t="inlineStr">
        <x:is>
          <x:t xml:space="preserve">Cardinal Land Company, Llc, Edr, LLC</x:t>
        </x:is>
      </x:c>
      <x:c r="I438" s="527" t="inlineStr">
        <x:is>
          <x:t xml:space="preserve">SW/4 NE/4 of 31-12N-24W, aol</x:t>
        </x:is>
      </x:c>
      <x:c r="J438" s="527" t="inlineStr">
        <x:is>
          <x:t xml:space="preserve">Conveys mineral fee</x:t>
        </x:is>
      </x:c>
      <x:c r="K438" s="527" t="inlineStr">
        <x:is>
          <x:t xml:space="preserve">31-12N-24W_Roger_Mills_Cursory_Title_Report_FINAL</x:t>
        </x:is>
      </x:c>
      <x:c r="L438" s="565" t="n"/>
      <x:c r="M438" s="565" t="n"/>
      <x:c r="N438" s="565" t="n"/>
      <x:c r="O438" s="565" t="n"/>
      <x:c r="P438" s="565" t="n"/>
      <x:c r="Q438" s="565" t="n"/>
      <x:c r="R438" s="565" t="n"/>
      <x:c r="S438" s="613" t="n"/>
      <x:c r="T438" s="565" t="n"/>
      <x:c r="U438" s="613" t="n"/>
      <x:c r="V438" s="565" t="n"/>
      <x:c r="W438" s="565" t="n"/>
      <x:c r="X438" s="565" t="n"/>
      <x:c r="Y438" s="565" t="n"/>
      <x:c r="Z438" s="565" t="n"/>
    </x:row>
    <x:row r="439">
      <x:c r="A439" s="542" t="n"/>
      <x:c r="B439" s="527" t="n">
        <x:v>66</x:v>
      </x:c>
      <x:c r="C439" s="527" t="inlineStr">
        <x:is>
          <x:t xml:space="preserve">Wellbore Assignment</x:t>
        </x:is>
      </x:c>
      <x:c r="D439" s="527" t="n">
        <x:v>45247</x:v>
      </x:c>
      <x:c r="E439" s="529" t="n">
        <x:v>45247</x:v>
      </x:c>
      <x:c r="F439" s="529" t="inlineStr">
        <x:is>
          <x:t xml:space="preserve">2542/0413</x:t>
        </x:is>
      </x:c>
      <x:c r="G439" s="527" t="inlineStr">
        <x:is>
          <x:t xml:space="preserve">Unbridled Resources, LLC</x:t>
        </x:is>
      </x:c>
      <x:c r="H439" s="527" t="inlineStr">
        <x:is>
          <x:t xml:space="preserve">Mnr Abs Issuer I., LLC</x:t>
        </x:is>
      </x:c>
      <x:c r="I439" s="527" t="inlineStr">
        <x:is>
          <x:t xml:space="preserve">ALL ALEXANDER 1-31 of 31-12N-24W</x:t>
        </x:is>
      </x:c>
      <x:c r="J439" s="527" t="inlineStr">
        <x:is>
          <x:t xml:space="preserve">Transfers wellbore-only rights</x:t>
        </x:is>
      </x:c>
      <x:c r="K439" s="527" t="inlineStr">
        <x:is>
          <x:t xml:space="preserve">63e8b9a8d056433a9994fe46ca85076b.pdf | https://okcountyrecords.com/detail/roger+mills/2023-003590</x:t>
        </x:is>
      </x:c>
      <x:c r="L439" s="565" t="n"/>
      <x:c r="M439" s="565" t="n"/>
      <x:c r="N439" s="565" t="n"/>
      <x:c r="O439" s="565" t="n"/>
      <x:c r="P439" s="565" t="n"/>
      <x:c r="Q439" s="565" t="n"/>
      <x:c r="R439" s="565" t="n"/>
      <x:c r="S439" s="613" t="n"/>
      <x:c r="T439" s="565" t="n"/>
      <x:c r="U439" s="613" t="n"/>
      <x:c r="V439" s="565" t="n"/>
      <x:c r="W439" s="565" t="n"/>
      <x:c r="X439" s="565" t="n"/>
      <x:c r="Y439" s="565" t="n"/>
      <x:c r="Z439" s="565" t="n"/>
    </x:row>
    <x:row r="440">
      <x:c r="A440" s="542" t="n"/>
      <x:c r="B440" s="527" t="n">
        <x:v>67</x:v>
      </x:c>
      <x:c r="C440" s="527" t="inlineStr">
        <x:is>
          <x:t xml:space="preserve">Assignment</x:t>
        </x:is>
      </x:c>
      <x:c r="D440" s="527" t="n">
        <x:v>45401</x:v>
      </x:c>
      <x:c r="E440" s="529" t="n">
        <x:v>45401</x:v>
      </x:c>
      <x:c r="F440" s="529" t="inlineStr">
        <x:is>
          <x:t xml:space="preserve">2567/0102</x:t>
        </x:is>
      </x:c>
      <x:c r="G440" s="527" t="inlineStr">
        <x:is>
          <x:t xml:space="preserve">Yale Oil Association, Inc.</x:t>
        </x:is>
      </x:c>
      <x:c r="H440" s="527" t="inlineStr">
        <x:is>
          <x:t xml:space="preserve">K. C. Production, LLC</x:t>
        </x:is>
      </x:c>
      <x:c r="I440" s="527" t="inlineStr">
        <x:is>
          <x:t xml:space="preserve">All of 31-12N-24W</x:t>
        </x:is>
      </x:c>
      <x:c r="J440" s="527" t="inlineStr">
        <x:is>
          <x:t xml:space="preserve">Transfers leasehold/WI in chain</x:t>
        </x:is>
      </x:c>
      <x:c r="K440" s="527" t="inlineStr">
        <x:is>
          <x:t xml:space="preserve">63e8b9a8d056433a9994fe46ca85076b.pdf | https://okcountyrecords.com/detail/roger+mills/2024-002310</x:t>
        </x:is>
      </x:c>
      <x:c r="L440" s="565" t="n"/>
      <x:c r="M440" s="565" t="n"/>
      <x:c r="N440" s="565" t="n"/>
      <x:c r="O440" s="565" t="n"/>
      <x:c r="P440" s="565" t="n"/>
      <x:c r="Q440" s="565" t="n"/>
      <x:c r="R440" s="565" t="n"/>
      <x:c r="S440" s="613" t="n"/>
      <x:c r="T440" s="565" t="n"/>
      <x:c r="U440" s="613" t="n"/>
      <x:c r="V440" s="565" t="n"/>
      <x:c r="W440" s="565" t="n"/>
      <x:c r="X440" s="565" t="n"/>
      <x:c r="Y440" s="565" t="n"/>
      <x:c r="Z440" s="565" t="n"/>
    </x:row>
    <x:row r="441">
      <x:c r="A441" s="542" t="n"/>
      <x:c r="B441" s="527" t="n">
        <x:v>68</x:v>
      </x:c>
      <x:c r="C441" s="527" t="inlineStr">
        <x:is>
          <x:t xml:space="preserve">Assignment</x:t>
        </x:is>
      </x:c>
      <x:c r="D441" s="527" t="n">
        <x:v>45432</x:v>
      </x:c>
      <x:c r="E441" s="529" t="n">
        <x:v>45432</x:v>
      </x:c>
      <x:c r="F441" s="529" t="inlineStr">
        <x:is>
          <x:t xml:space="preserve">2571/0579</x:t>
        </x:is>
      </x:c>
      <x:c r="G441" s="527" t="inlineStr">
        <x:is>
          <x:t xml:space="preserve">Yale Oil Association, Inc.</x:t>
        </x:is>
      </x:c>
      <x:c r="H441" s="527" t="inlineStr">
        <x:is>
          <x:t xml:space="preserve">Greg Et Al Cdx</x:t>
        </x:is>
      </x:c>
      <x:c r="I441" s="527" t="inlineStr">
        <x:is>
          <x:t xml:space="preserve">ALL ALEXANDER 1-31 of 31-12N-24W</x:t>
        </x:is>
      </x:c>
      <x:c r="J441" s="527" t="inlineStr">
        <x:is>
          <x:t xml:space="preserve">Transfers leasehold/WI in chain</x:t>
        </x:is>
      </x:c>
      <x:c r="K441" s="527" t="inlineStr">
        <x:is>
          <x:t xml:space="preserve">63e8b9a8d056433a9994fe46ca85076b.pdf | https://okcountyrecords.com/detail/roger+mills/2024-003107</x:t>
        </x:is>
      </x:c>
      <x:c r="L441" s="565" t="n"/>
      <x:c r="M441" s="565" t="n"/>
      <x:c r="N441" s="565" t="n"/>
      <x:c r="O441" s="565" t="n"/>
      <x:c r="P441" s="565" t="n"/>
      <x:c r="Q441" s="565" t="n"/>
      <x:c r="R441" s="565" t="n"/>
      <x:c r="S441" s="613" t="n"/>
      <x:c r="T441" s="565" t="n"/>
      <x:c r="U441" s="613" t="n"/>
      <x:c r="V441" s="565" t="n"/>
      <x:c r="W441" s="565" t="n"/>
      <x:c r="X441" s="565" t="n"/>
      <x:c r="Y441" s="565" t="n"/>
      <x:c r="Z441" s="565" t="n"/>
    </x:row>
    <x:row r="442">
      <x:c r="A442" s="542" t="n"/>
      <x:c r="B442" s="527" t="n">
        <x:v>69</x:v>
      </x:c>
      <x:c r="C442" s="527" t="inlineStr">
        <x:is>
          <x:t xml:space="preserve">Assignment</x:t>
        </x:is>
      </x:c>
      <x:c r="D442" s="527" t="n">
        <x:v>45509</x:v>
      </x:c>
      <x:c r="E442" s="529" t="n">
        <x:v>45509</x:v>
      </x:c>
      <x:c r="F442" s="529" t="inlineStr">
        <x:is>
          <x:t xml:space="preserve">2584/0149</x:t>
        </x:is>
      </x:c>
      <x:c r="G442" s="527" t="inlineStr">
        <x:is>
          <x:t xml:space="preserve">Chanas Partners, LLC</x:t>
        </x:is>
      </x:c>
      <x:c r="H442" s="527" t="inlineStr">
        <x:is>
          <x:t xml:space="preserve">Nwr Mineral Partners, LLC</x:t>
        </x:is>
      </x:c>
      <x:c r="I442" s="527" t="inlineStr">
        <x:is>
          <x:t xml:space="preserve">All of 31-12N-24W</x:t>
        </x:is>
      </x:c>
      <x:c r="J442" s="527" t="inlineStr">
        <x:is>
          <x:t xml:space="preserve">Transfers leasehold/WI in chain</x:t>
        </x:is>
      </x:c>
      <x:c r="K442" s="527" t="inlineStr">
        <x:is>
          <x:t xml:space="preserve">63e8b9a8d056433a9994fe46ca85076b.pdf | https://okcountyrecords.com/detail/roger+mills/2024-004916</x:t>
        </x:is>
      </x:c>
      <x:c r="L442" s="565" t="n"/>
      <x:c r="M442" s="565" t="n"/>
      <x:c r="N442" s="565" t="n"/>
      <x:c r="O442" s="565" t="n"/>
      <x:c r="P442" s="565" t="n"/>
      <x:c r="Q442" s="565" t="n"/>
      <x:c r="R442" s="565" t="n"/>
      <x:c r="S442" s="613" t="n"/>
      <x:c r="T442" s="565" t="n"/>
      <x:c r="U442" s="613" t="n"/>
      <x:c r="V442" s="565" t="n"/>
      <x:c r="W442" s="565" t="n"/>
      <x:c r="X442" s="565" t="n"/>
      <x:c r="Y442" s="565" t="n"/>
      <x:c r="Z442" s="565" t="n"/>
    </x:row>
    <x:row r="443">
      <x:c r="A443" s="542" t="n"/>
      <x:c r="B443" s="527" t="n">
        <x:v>70</x:v>
      </x:c>
      <x:c r="C443" s="527" t="inlineStr">
        <x:is>
          <x:t xml:space="preserve">Conveyance</x:t>
        </x:is>
      </x:c>
      <x:c r="D443" s="527" t="n">
        <x:v>45614</x:v>
      </x:c>
      <x:c r="E443" s="529" t="n">
        <x:v>45614</x:v>
      </x:c>
      <x:c r="F443" s="529" t="inlineStr">
        <x:is>
          <x:t xml:space="preserve">2599/0463</x:t>
        </x:is>
      </x:c>
      <x:c r="G443" s="527" t="inlineStr">
        <x:is>
          <x:t xml:space="preserve">Onigbe Consulting, LLC</x:t>
        </x:is>
      </x:c>
      <x:c r="H443" s="527" t="inlineStr">
        <x:is>
          <x:t xml:space="preserve">Oil Comanche,
Gas, Inc.</x:t>
        </x:is>
      </x:c>
      <x:c r="I443" s="527" t="inlineStr">
        <x:is>
          <x:t xml:space="preserve">All of 31-12N-24W</x:t>
        </x:is>
      </x:c>
      <x:c r="J443" s="527" t="inlineStr">
        <x:is>
          <x:t xml:space="preserve">Transfers interest</x:t>
        </x:is>
      </x:c>
      <x:c r="K443" s="527" t="inlineStr">
        <x:is>
          <x:t xml:space="preserve">63e8b9a8d056433a9994fe46ca85076b.pdf | https://okcountyrecords.com/detail/roger+mills/2024-007198</x:t>
        </x:is>
      </x:c>
      <x:c r="L443" s="565" t="n"/>
      <x:c r="M443" s="565" t="n"/>
      <x:c r="N443" s="565" t="n"/>
      <x:c r="O443" s="565" t="n"/>
      <x:c r="P443" s="565" t="n"/>
      <x:c r="Q443" s="565" t="n"/>
      <x:c r="R443" s="565" t="n"/>
      <x:c r="S443" s="613" t="n"/>
      <x:c r="T443" s="565" t="n"/>
      <x:c r="U443" s="613" t="n"/>
      <x:c r="V443" s="565" t="n"/>
      <x:c r="W443" s="565" t="n"/>
      <x:c r="X443" s="565" t="n"/>
      <x:c r="Y443" s="565" t="n"/>
      <x:c r="Z443" s="565" t="n"/>
    </x:row>
    <x:row r="444">
      <x:c r="A444" s="542" t="n"/>
      <x:c r="B444" s="527" t="n">
        <x:v>72</x:v>
      </x:c>
      <x:c r="C444" s="527" t="inlineStr">
        <x:is>
          <x:t xml:space="preserve">Mineral Deed</x:t>
        </x:is>
      </x:c>
      <x:c r="D444" s="527" t="n">
        <x:v>45621</x:v>
      </x:c>
      <x:c r="E444" s="529" t="n">
        <x:v>45621</x:v>
      </x:c>
      <x:c r="F444" s="529" t="inlineStr">
        <x:is>
          <x:t xml:space="preserve">2600/0472</x:t>
        </x:is>
      </x:c>
      <x:c r="G444" s="527" t="inlineStr">
        <x:is>
          <x:t xml:space="preserve">Leeann Mitchell Carrie</x:t>
        </x:is>
      </x:c>
      <x:c r="H444" s="527" t="inlineStr">
        <x:is>
          <x:t xml:space="preserve">James Gerard Buonaccorsi, of the Mitchell-buonaccorsi Living Trust, Carrie Leeann Mitchell, Trustee of the Mitchell-buonaccorsi Living Trust, Trustee</x:t>
        </x:is>
      </x:c>
      <x:c r="I444" s="527" t="inlineStr">
        <x:is>
          <x:t xml:space="preserve">All of 31-12N-24W, aol</x:t>
        </x:is>
      </x:c>
      <x:c r="J444" s="527" t="inlineStr">
        <x:is>
          <x:t xml:space="preserve">Conveys mineral fee</x:t>
        </x:is>
      </x:c>
      <x:c r="K444" s="527" t="inlineStr">
        <x:is>
          <x:t xml:space="preserve">31-12N-24W_Roger_Mills_Cursory_Title_Report_FINAL</x:t>
        </x:is>
      </x:c>
      <x:c r="L444" s="565" t="n"/>
      <x:c r="M444" s="565" t="n"/>
      <x:c r="N444" s="565" t="n"/>
      <x:c r="O444" s="565" t="n"/>
      <x:c r="P444" s="565" t="n"/>
      <x:c r="Q444" s="565" t="n"/>
      <x:c r="R444" s="565" t="n"/>
      <x:c r="S444" s="613" t="n"/>
      <x:c r="T444" s="565" t="n"/>
      <x:c r="U444" s="613" t="n"/>
      <x:c r="V444" s="565" t="n"/>
      <x:c r="W444" s="565" t="n"/>
      <x:c r="X444" s="565" t="n"/>
      <x:c r="Y444" s="565" t="n"/>
      <x:c r="Z444" s="565" t="n"/>
    </x:row>
    <x:row r="445">
      <x:c r="A445" s="542" t="n"/>
      <x:c r="B445" s="527" t="n">
        <x:v>73</x:v>
      </x:c>
      <x:c r="C445" s="527" t="inlineStr">
        <x:is>
          <x:t xml:space="preserve">Assignment</x:t>
        </x:is>
      </x:c>
      <x:c r="D445" s="527" t="n">
        <x:v>45642</x:v>
      </x:c>
      <x:c r="E445" s="529" t="n">
        <x:v>45642</x:v>
      </x:c>
      <x:c r="F445" s="529" t="inlineStr">
        <x:is>
          <x:t xml:space="preserve">2604/0111</x:t>
        </x:is>
      </x:c>
      <x:c r="G445" s="527" t="inlineStr">
        <x:is>
          <x:t xml:space="preserve">Of the Gregg M. Satherlie Christopher D. Greene, Trustee,
Chelin H. Satherlie 1989 Rev Trust</x:t>
        </x:is>
      </x:c>
      <x:c r="H445" s="527" t="inlineStr">
        <x:is>
          <x:t xml:space="preserve">Trison Holdings, LLC</x:t>
        </x:is>
      </x:c>
      <x:c r="I445" s="527" t="inlineStr">
        <x:is>
          <x:t xml:space="preserve">All of 31-12N-24W, aol</x:t>
        </x:is>
      </x:c>
      <x:c r="J445" s="527" t="inlineStr">
        <x:is>
          <x:t xml:space="preserve">Transfers leasehold/WI in chain</x:t>
        </x:is>
      </x:c>
      <x:c r="K445" s="527" t="inlineStr">
        <x:is>
          <x:t xml:space="preserve">31-12N-24W_Roger_Mills_Cursory_Title_Report_FINAL</x:t>
        </x:is>
      </x:c>
      <x:c r="L445" s="565" t="n"/>
      <x:c r="M445" s="565" t="n"/>
      <x:c r="N445" s="565" t="n"/>
      <x:c r="O445" s="565" t="n"/>
      <x:c r="P445" s="565" t="n"/>
      <x:c r="Q445" s="565" t="n"/>
      <x:c r="R445" s="565" t="n"/>
      <x:c r="S445" s="613" t="n"/>
      <x:c r="T445" s="565" t="n"/>
      <x:c r="U445" s="613" t="n"/>
      <x:c r="V445" s="565" t="n"/>
      <x:c r="W445" s="565" t="n"/>
      <x:c r="X445" s="565" t="n"/>
      <x:c r="Y445" s="565" t="n"/>
      <x:c r="Z445" s="565" t="n"/>
    </x:row>
    <x:row r="446">
      <x:c r="A446" s="542" t="n"/>
      <x:c r="B446" s="527" t="n">
        <x:v>74</x:v>
      </x:c>
      <x:c r="C446" s="527" t="inlineStr">
        <x:is>
          <x:t xml:space="preserve">Mineral Deed</x:t>
        </x:is>
      </x:c>
      <x:c r="D446" s="527" t="n">
        <x:v>45771</x:v>
      </x:c>
      <x:c r="E446" s="529" t="n">
        <x:v>45771</x:v>
      </x:c>
      <x:c r="F446" s="529" t="inlineStr">
        <x:is>
          <x:t xml:space="preserve">2625/0231</x:t>
        </x:is>
      </x:c>
      <x:c r="G446" s="527" t="inlineStr">
        <x:is>
          <x:t xml:space="preserve">Edr, LLC</x:t>
        </x:is>
      </x:c>
      <x:c r="H446" s="527" t="inlineStr">
        <x:is>
          <x:t xml:space="preserve">Okki Industries, LLC</x:t>
        </x:is>
      </x:c>
      <x:c r="I446" s="527" t="inlineStr">
        <x:is>
          <x:t xml:space="preserve">SW/4 NE/4 of 31-12N-24W, aol</x:t>
        </x:is>
      </x:c>
      <x:c r="J446" s="527" t="inlineStr">
        <x:is>
          <x:t xml:space="preserve">Conveys mineral fee</x:t>
        </x:is>
      </x:c>
      <x:c r="K446" s="527" t="inlineStr">
        <x:is>
          <x:t xml:space="preserve">31-12N-24W_Roger_Mills_Cursory_Title_Report_FINAL</x:t>
        </x:is>
      </x:c>
      <x:c r="L446" s="565" t="n"/>
      <x:c r="M446" s="565" t="n"/>
      <x:c r="N446" s="565" t="n"/>
      <x:c r="O446" s="565" t="n"/>
      <x:c r="P446" s="565" t="n"/>
      <x:c r="Q446" s="565" t="n"/>
      <x:c r="R446" s="565" t="n"/>
      <x:c r="S446" s="613" t="n"/>
      <x:c r="T446" s="565" t="n"/>
      <x:c r="U446" s="613" t="n"/>
      <x:c r="V446" s="565" t="n"/>
      <x:c r="W446" s="565" t="n"/>
      <x:c r="X446" s="565" t="n"/>
      <x:c r="Y446" s="565" t="n"/>
      <x:c r="Z446" s="565" t="n"/>
    </x:row>
    <x:row r="447">
      <x:c r="A447" s="542" t="n"/>
      <x:c r="B447" s="527" t="n">
        <x:v>76</x:v>
      </x:c>
      <x:c r="C447" s="527" t="inlineStr">
        <x:is>
          <x:t xml:space="preserve">Affidavit</x:t>
        </x:is>
      </x:c>
      <x:c r="D447" s="527" t="n">
        <x:v>45792</x:v>
      </x:c>
      <x:c r="E447" s="529" t="n">
        <x:v>45792</x:v>
      </x:c>
      <x:c r="F447" s="529" t="inlineStr">
        <x:is>
          <x:t xml:space="preserve">2628/0429</x:t>
        </x:is>
      </x:c>
      <x:c r="G447" s="527" t="inlineStr">
        <x:is>
          <x:t xml:space="preserve">Diversified Energy Company</x:t>
        </x:is>
      </x:c>
      <x:c r="H447" s="527" t="inlineStr">
        <x:is>
          <x:t xml:space="preserve">Et Al Public</x:t>
        </x:is>
      </x:c>
      <x:c r="I447" s="527" t="inlineStr">
        <x:is>
          <x:t xml:space="preserve">All of 31-12N-24W</x:t>
        </x:is>
      </x:c>
      <x:c r="J447" s="527" t="inlineStr">
        <x:is>
          <x:t xml:space="preserve">Supports/curative record</x:t>
        </x:is>
      </x:c>
      <x:c r="K447" s="527" t="inlineStr">
        <x:is>
          <x:t xml:space="preserve">63e8b9a8d056433a9994fe46ca85076b.pdf | https://okcountyrecords.com/detail/roger+mills/2025-002923</x:t>
        </x:is>
      </x:c>
      <x:c r="L447" s="565" t="n"/>
      <x:c r="M447" s="565" t="n"/>
      <x:c r="N447" s="565" t="n"/>
      <x:c r="O447" s="565" t="n"/>
      <x:c r="P447" s="565" t="n"/>
      <x:c r="Q447" s="565" t="n"/>
      <x:c r="R447" s="565" t="n"/>
      <x:c r="S447" s="613" t="n"/>
      <x:c r="T447" s="565" t="n"/>
      <x:c r="U447" s="613" t="n"/>
      <x:c r="V447" s="565" t="n"/>
      <x:c r="W447" s="565" t="n"/>
      <x:c r="X447" s="565" t="n"/>
      <x:c r="Y447" s="565" t="n"/>
      <x:c r="Z447" s="565" t="n"/>
    </x:row>
    <x:row r="448">
      <x:c r="A448" s="542" t="n"/>
      <x:c r="B448" s="527" t="n">
        <x:v>77</x:v>
      </x:c>
      <x:c r="C448" s="527" t="inlineStr">
        <x:is>
          <x:t xml:space="preserve">Memorandum</x:t>
        </x:is>
      </x:c>
      <x:c r="D448" s="527" t="n">
        <x:v>45954</x:v>
      </x:c>
      <x:c r="E448" s="529" t="n">
        <x:v>45954</x:v>
      </x:c>
      <x:c r="F448" s="529" t="inlineStr">
        <x:is>
          <x:t xml:space="preserve">2660/0341</x:t>
        </x:is>
      </x:c>
      <x:c r="G448" s="527" t="inlineStr">
        <x:is>
          <x:t xml:space="preserve">Windsor Ok, LLC Et Al</x:t>
        </x:is>
      </x:c>
      <x:c r="H448" s="527" t="inlineStr">
        <x:is>
          <x:t xml:space="preserve">Windsor Ok Development Sub, LLC Et Al</x:t>
        </x:is>
      </x:c>
      <x:c r="I448" s="527" t="inlineStr">
        <x:is>
          <x:t xml:space="preserve">All of 31-12N-24W</x:t>
        </x:is>
      </x:c>
      <x:c r="J448" s="527" t="inlineStr">
        <x:is>
          <x:t xml:space="preserve">Provides record notice of lease</x:t>
        </x:is>
      </x:c>
      <x:c r="K448" s="527" t="inlineStr">
        <x:is>
          <x:t xml:space="preserve">63e8b9a8d056433a9994fe46ca85076b.pdf | https://okcountyrecords.com/detail/roger+mills/2025-006541</x:t>
        </x:is>
      </x:c>
      <x:c r="L448" s="565" t="n"/>
      <x:c r="M448" s="565" t="n"/>
      <x:c r="N448" s="565" t="n"/>
      <x:c r="O448" s="565" t="n"/>
      <x:c r="P448" s="565" t="n"/>
      <x:c r="Q448" s="565" t="n"/>
      <x:c r="R448" s="565" t="n"/>
      <x:c r="S448" s="613" t="n"/>
      <x:c r="T448" s="565" t="n"/>
      <x:c r="U448" s="613" t="n"/>
      <x:c r="V448" s="565" t="n"/>
      <x:c r="W448" s="565" t="n"/>
      <x:c r="X448" s="565" t="n"/>
      <x:c r="Y448" s="565" t="n"/>
      <x:c r="Z448" s="565" t="n"/>
    </x:row>
    <x:row r="449">
      <x:c r="A449" s="542" t="n"/>
      <x:c r="B449" s="527" t="n">
        <x:v>78</x:v>
      </x:c>
      <x:c r="C449" s="527" t="inlineStr">
        <x:is>
          <x:t xml:space="preserve">Wellbore Assignment</x:t>
        </x:is>
      </x:c>
      <x:c r="D449" s="527" t="n">
        <x:v>45975</x:v>
      </x:c>
      <x:c r="E449" s="529" t="n">
        <x:v>45975</x:v>
      </x:c>
      <x:c r="F449" s="529" t="inlineStr">
        <x:is>
          <x:t xml:space="preserve">2664/0169</x:t>
        </x:is>
      </x:c>
      <x:c r="G449" s="527" t="inlineStr">
        <x:is>
          <x:t xml:space="preserve">Presidio Finance, LLC</x:t>
        </x:is>
      </x:c>
      <x:c r="H449" s="527" t="inlineStr">
        <x:is>
          <x:t xml:space="preserve">Martins Empire, LLC</x:t>
        </x:is>
      </x:c>
      <x:c r="I449" s="527" t="inlineStr">
        <x:is>
          <x:t xml:space="preserve">All of 31-12N-24W</x:t>
        </x:is>
      </x:c>
      <x:c r="J449" s="527" t="inlineStr">
        <x:is>
          <x:t xml:space="preserve">Transfers wellbore-only rights</x:t>
        </x:is>
      </x:c>
      <x:c r="K449" s="527" t="inlineStr">
        <x:is>
          <x:t xml:space="preserve">63e8b9a8d056433a9994fe46ca85076b.pdf | https://okcountyrecords.com/detail/roger+mills/2025-006987</x:t>
        </x:is>
      </x:c>
      <x:c r="L449" s="565" t="n"/>
      <x:c r="M449" s="565" t="n"/>
      <x:c r="N449" s="565" t="n"/>
      <x:c r="O449" s="565" t="n"/>
      <x:c r="P449" s="565" t="n"/>
      <x:c r="Q449" s="565" t="n"/>
      <x:c r="R449" s="565" t="n"/>
      <x:c r="S449" s="613" t="n"/>
      <x:c r="T449" s="565" t="n"/>
      <x:c r="U449" s="613" t="n"/>
      <x:c r="V449" s="565" t="n"/>
      <x:c r="W449" s="565" t="n"/>
      <x:c r="X449" s="565" t="n"/>
      <x:c r="Y449" s="565" t="n"/>
      <x:c r="Z449" s="565" t="n"/>
    </x:row>
    <x:row r="450">
      <x:c r="A450" s="542" t="n"/>
      <x:c r="B450" s="527" t="n">
        <x:v>79</x:v>
      </x:c>
      <x:c r="C450" s="527" t="inlineStr">
        <x:is>
          <x:t xml:space="preserve">Affidavit</x:t>
        </x:is>
      </x:c>
      <x:c r="D450" s="527" t="n">
        <x:v>46119</x:v>
      </x:c>
      <x:c r="E450" s="529" t="n">
        <x:v>46119</x:v>
      </x:c>
      <x:c r="F450" s="529" t="inlineStr">
        <x:is>
          <x:t xml:space="preserve">2692/0412</x:t>
        </x:is>
      </x:c>
      <x:c r="G450" s="527" t="inlineStr">
        <x:is>
          <x:t xml:space="preserve">Midcon Energy Production, LLC Et Al</x:t>
        </x:is>
      </x:c>
      <x:c r="H450" s="527" t="inlineStr">
        <x:is>
          <x:t xml:space="preserve">Public</x:t>
        </x:is>
      </x:c>
      <x:c r="I450" s="527" t="inlineStr">
        <x:is>
          <x:t xml:space="preserve">All of 31-12N-24W</x:t>
        </x:is>
      </x:c>
      <x:c r="J450" s="527" t="inlineStr">
        <x:is>
          <x:t xml:space="preserve">Supports/curative record</x:t>
        </x:is>
      </x:c>
      <x:c r="K450" s="527" t="inlineStr">
        <x:is>
          <x:t xml:space="preserve">63e8b9a8d056433a9994fe46ca85076b.pdf | https://okcountyrecords.com/detail/roger+mills/2026-001884</x:t>
        </x:is>
      </x:c>
      <x:c r="L450" s="565" t="n"/>
      <x:c r="M450" s="565" t="n"/>
      <x:c r="N450" s="565" t="n"/>
      <x:c r="O450" s="565" t="n"/>
      <x:c r="P450" s="565" t="n"/>
      <x:c r="Q450" s="565" t="n"/>
      <x:c r="R450" s="565" t="n"/>
      <x:c r="S450" s="613" t="n"/>
      <x:c r="T450" s="565" t="n"/>
      <x:c r="U450" s="613" t="n"/>
      <x:c r="V450" s="565" t="n"/>
      <x:c r="W450" s="565" t="n"/>
      <x:c r="X450" s="565" t="n"/>
      <x:c r="Y450" s="565" t="n"/>
      <x:c r="Z450" s="565" t="n"/>
    </x:row>
    <x:row r="451">
      <x:c r="A451" s="542" t="n"/>
      <x:c r="B451" s="527" t="n">
        <x:v>81</x:v>
      </x:c>
      <x:c r="C451" s="527" t="inlineStr">
        <x:is>
          <x:t xml:space="preserve">Oil and Gas Lease</x:t>
        </x:is>
      </x:c>
      <x:c r="D451" s="527" t="n">
        <x:v>46122</x:v>
      </x:c>
      <x:c r="E451" s="529" t="n">
        <x:v>46122</x:v>
      </x:c>
      <x:c r="F451" s="529" t="inlineStr">
        <x:is>
          <x:t xml:space="preserve">2693/0337</x:t>
        </x:is>
      </x:c>
      <x:c r="G451" s="527" t="inlineStr">
        <x:is>
          <x:t xml:space="preserve">James Gerard Buonaccorsi, of the Mitchell Buonaccorsi Living Trust U/a, Carrie Leeann Mitchell, Trustee of the Mitchell Buonaccorsi Living Trust U/a, Trustee</x:t>
        </x:is>
      </x:c>
      <x:c r="H451" s="527" t="inlineStr">
        <x:is>
          <x:t xml:space="preserve">Silver Oak Natural Resources, LLC</x:t>
        </x:is>
      </x:c>
      <x:c r="I451" s="527" t="inlineStr">
        <x:is>
          <x:t xml:space="preserve">N/2 NE/4, SE/4 NE/4 of 31-12N-24W, aol</x:t>
        </x:is>
      </x:c>
      <x:c r="J451" s="527" t="inlineStr">
        <x:is>
          <x:t xml:space="preserve">Creates oil &amp; gas leasehold burden</x:t>
        </x:is>
      </x:c>
      <x:c r="K451" s="527" t="inlineStr">
        <x:is>
          <x:t xml:space="preserve">31-12N-24W_Roger_Mills_Cursory_Title_Report_FINAL</x:t>
        </x:is>
      </x:c>
      <x:c r="L451" s="565" t="n"/>
      <x:c r="M451" s="565" t="n"/>
      <x:c r="N451" s="565" t="n"/>
      <x:c r="O451" s="565" t="n"/>
      <x:c r="P451" s="565" t="n"/>
      <x:c r="Q451" s="565" t="n"/>
      <x:c r="R451" s="565" t="n"/>
      <x:c r="S451" s="613" t="n"/>
      <x:c r="T451" s="565" t="n"/>
      <x:c r="U451" s="613" t="n"/>
      <x:c r="V451" s="565" t="n"/>
      <x:c r="W451" s="565" t="n"/>
      <x:c r="X451" s="565" t="n"/>
      <x:c r="Y451" s="565" t="n"/>
      <x:c r="Z451" s="565" t="n"/>
    </x:row>
    <x:row r="452">
      <x:c r="A452" s="542" t="n"/>
      <x:c r="B452" s="527" t="n">
        <x:v>84</x:v>
      </x:c>
      <x:c r="C452" s="527" t="inlineStr">
        <x:is>
          <x:t xml:space="preserve">Affidavit of Heirship</x:t>
        </x:is>
      </x:c>
      <x:c r="D452" s="527" t="n">
        <x:v>46143</x:v>
      </x:c>
      <x:c r="E452" s="529" t="n">
        <x:v>46143</x:v>
      </x:c>
      <x:c r="F452" s="529" t="inlineStr">
        <x:is>
          <x:t xml:space="preserve">2697/0517</x:t>
        </x:is>
      </x:c>
      <x:c r="G452" s="527" t="inlineStr">
        <x:is>
          <x:t xml:space="preserve">Leeann Mitchell Carrie</x:t>
        </x:is>
      </x:c>
      <x:c r="H452" s="527" t="inlineStr">
        <x:is>
          <x:t xml:space="preserve">The Public, RE: Nancy Susan Mitchell, Deceased</x:t>
        </x:is>
      </x:c>
      <x:c r="I452" s="527" t="inlineStr">
        <x:is>
          <x:t xml:space="preserve">All of 31-12N-24W, aol</x:t>
        </x:is>
      </x:c>
      <x:c r="J452" s="527" t="inlineStr">
        <x:is>
          <x:t xml:space="preserve">Evidences heirship; curative</x:t>
        </x:is>
      </x:c>
      <x:c r="K452" s="527" t="inlineStr">
        <x:is>
          <x:t xml:space="preserve">31-12N-24W_Roger_Mills_Cursory_Title_Report_FINAL</x:t>
        </x:is>
      </x:c>
      <x:c r="L452" s="565" t="n"/>
      <x:c r="M452" s="565" t="n"/>
      <x:c r="N452" s="565" t="n"/>
      <x:c r="O452" s="565" t="n"/>
      <x:c r="P452" s="565" t="n"/>
      <x:c r="Q452" s="565" t="n"/>
      <x:c r="R452" s="565" t="n"/>
      <x:c r="S452" s="613" t="n"/>
      <x:c r="T452" s="565" t="n"/>
      <x:c r="U452" s="613" t="n"/>
      <x:c r="V452" s="565" t="n"/>
      <x:c r="W452" s="565" t="n"/>
      <x:c r="X452" s="565" t="n"/>
      <x:c r="Y452" s="565" t="n"/>
      <x:c r="Z452" s="565" t="n"/>
    </x:row>
    <x:row r="453">
      <x:c r="A453" s="542" t="n"/>
      <x:c r="B453" s="527" t="n">
        <x:v>87</x:v>
      </x:c>
      <x:c r="C453" s="527" t="inlineStr">
        <x:is>
          <x:t xml:space="preserve">Final Decree</x:t>
        </x:is>
      </x:c>
      <x:c r="D453" s="527" t="n">
        <x:v>46160</x:v>
      </x:c>
      <x:c r="E453" s="529" t="n">
        <x:v>46160</x:v>
      </x:c>
      <x:c r="F453" s="529" t="inlineStr">
        <x:is>
          <x:t xml:space="preserve">2700/0395</x:t>
        </x:is>
      </x:c>
      <x:c r="G453" s="527" t="inlineStr">
        <x:is>
          <x:t xml:space="preserve">Estate of Audy C. Campbell</x:t>
        </x:is>
      </x:c>
      <x:c r="H453" s="527" t="inlineStr">
        <x:is>
          <x:t xml:space="preserve">The Public</x:t>
        </x:is>
      </x:c>
      <x:c r="I453" s="527" t="inlineStr">
        <x:is>
          <x:t xml:space="preserve">S/2 Lot 4, S/2 NE/4 SW/4 of 31-12N-24W, aol</x:t>
        </x:is>
      </x:c>
      <x:c r="J453" s="527" t="inlineStr">
        <x:is>
          <x:t xml:space="preserve">Vests title per probate</x:t>
        </x:is>
      </x:c>
      <x:c r="K453" s="527" t="inlineStr">
        <x:is>
          <x:t xml:space="preserve">31-12N-24W_Roger_Mills_Cursory_Title_Report_FINAL</x:t>
        </x:is>
      </x:c>
      <x:c r="L453" s="565" t="n"/>
      <x:c r="M453" s="565" t="n"/>
      <x:c r="N453" s="565" t="n"/>
      <x:c r="O453" s="565" t="n"/>
      <x:c r="P453" s="565" t="n"/>
      <x:c r="Q453" s="565" t="n"/>
      <x:c r="R453" s="565" t="n"/>
      <x:c r="S453" s="613" t="n"/>
      <x:c r="T453" s="565" t="n"/>
      <x:c r="U453" s="613" t="n"/>
      <x:c r="V453" s="565" t="n"/>
      <x:c r="W453" s="565" t="n"/>
      <x:c r="X453" s="565" t="n"/>
      <x:c r="Y453" s="565" t="n"/>
      <x:c r="Z453" s="565" t="n"/>
    </x:row>
    <x:row r="454">
      <x:c r="A454" s="542" t="n"/>
      <x:c r="B454" s="527" t="n">
        <x:v>88</x:v>
      </x:c>
      <x:c r="C454" s="527" t="inlineStr">
        <x:is>
          <x:t xml:space="preserve">Affidavit of Heirship</x:t>
        </x:is>
      </x:c>
      <x:c r="D454" s="527" t="n">
        <x:v>46170</x:v>
      </x:c>
      <x:c r="E454" s="529" t="n">
        <x:v>46170</x:v>
      </x:c>
      <x:c r="F454" s="529" t="inlineStr">
        <x:is>
          <x:t xml:space="preserve">2702/0500</x:t>
        </x:is>
      </x:c>
      <x:c r="G454" s="527" t="inlineStr">
        <x:is>
          <x:t xml:space="preserve">Leeann Mitchell Carrie</x:t>
        </x:is>
      </x:c>
      <x:c r="H454" s="527" t="inlineStr">
        <x:is>
          <x:t xml:space="preserve">The Public, RE: Gene Gilbert Williams, Deceased</x:t>
        </x:is>
      </x:c>
      <x:c r="I454" s="527" t="inlineStr">
        <x:is>
          <x:t xml:space="preserve">All of 31-12N-24W, aol</x:t>
        </x:is>
      </x:c>
      <x:c r="J454" s="527" t="inlineStr">
        <x:is>
          <x:t xml:space="preserve">Evidences heirship; curative</x:t>
        </x:is>
      </x:c>
      <x:c r="K454" s="527" t="inlineStr">
        <x:is>
          <x:t xml:space="preserve">31-12N-24W_Roger_Mills_Cursory_Title_Report_FINAL</x:t>
        </x:is>
      </x:c>
      <x:c r="L454" s="565" t="n"/>
      <x:c r="M454" s="565" t="n"/>
      <x:c r="N454" s="565" t="n"/>
      <x:c r="O454" s="565" t="n"/>
      <x:c r="P454" s="565" t="n"/>
      <x:c r="Q454" s="565" t="n"/>
      <x:c r="R454" s="565" t="n"/>
      <x:c r="S454" s="613" t="n"/>
      <x:c r="T454" s="565" t="n"/>
      <x:c r="U454" s="613" t="n"/>
      <x:c r="V454" s="565" t="n"/>
      <x:c r="W454" s="565" t="n"/>
      <x:c r="X454" s="565" t="n"/>
      <x:c r="Y454" s="565" t="n"/>
      <x:c r="Z454" s="565" t="n"/>
    </x:row>
    <x:row r="455">
      <x:c r="A455" s="542" t="n"/>
      <x:c r="B455" s="527" t="n">
        <x:v>92</x:v>
      </x:c>
      <x:c r="C455" s="527" t="inlineStr">
        <x:is>
          <x:t xml:space="preserve">Final Decree</x:t>
        </x:is>
      </x:c>
      <x:c r="D455" s="527" t="n">
        <x:v>46178</x:v>
      </x:c>
      <x:c r="E455" s="529" t="n">
        <x:v>46178</x:v>
      </x:c>
      <x:c r="F455" s="529" t="inlineStr">
        <x:is>
          <x:t xml:space="preserve">2704/0142</x:t>
        </x:is>
      </x:c>
      <x:c r="G455" s="527" t="inlineStr">
        <x:is>
          <x:t xml:space="preserve">Estate of Darrell Edward Hamilton</x:t>
        </x:is>
      </x:c>
      <x:c r="H455" s="527" t="inlineStr">
        <x:is>
          <x:t xml:space="preserve">The Public</x:t>
        </x:is>
      </x:c>
      <x:c r="I455" s="527" t="inlineStr">
        <x:is>
          <x:t xml:space="preserve">SW/4 NE/4, NW/4 SE/4 of 31-12N-24W, aol</x:t>
        </x:is>
      </x:c>
      <x:c r="J455" s="527" t="inlineStr">
        <x:is>
          <x:t xml:space="preserve">Vests title per probate</x:t>
        </x:is>
      </x:c>
      <x:c r="K455" s="527" t="inlineStr">
        <x:is>
          <x:t xml:space="preserve">31-12N-24W_Roger_Mills_Cursory_Title_Report_FINAL</x:t>
        </x:is>
      </x:c>
      <x:c r="L455" s="565" t="n"/>
      <x:c r="M455" s="565" t="n"/>
      <x:c r="N455" s="565" t="n"/>
      <x:c r="O455" s="565" t="n"/>
      <x:c r="P455" s="565" t="n"/>
      <x:c r="Q455" s="565" t="n"/>
      <x:c r="R455" s="565" t="n"/>
      <x:c r="S455" s="613" t="n"/>
      <x:c r="T455" s="565" t="n"/>
      <x:c r="U455" s="613" t="n"/>
      <x:c r="V455" s="565" t="n"/>
      <x:c r="W455" s="565" t="n"/>
      <x:c r="X455" s="565" t="n"/>
      <x:c r="Y455" s="565" t="n"/>
      <x:c r="Z455" s="565" t="n"/>
    </x:row>
    <x:row r="456">
      <x:c r="A456" s="542" t="n"/>
      <x:c r="B456" s="527" t="n">
        <x:v>93</x:v>
      </x:c>
      <x:c r="C456" s="527" t="inlineStr">
        <x:is>
          <x:t xml:space="preserve">Assignment</x:t>
        </x:is>
      </x:c>
      <x:c r="D456" s="527" t="n">
        <x:v>36600</x:v>
      </x:c>
      <x:c r="E456" s="529" t="inlineStr">
        <x:is>
          <x:t xml:space="preserve">Not stated</x:t>
        </x:is>
      </x:c>
      <x:c r="F456" s="529" t="inlineStr">
        <x:is>
          <x:t xml:space="preserve">1608/0038</x:t>
        </x:is>
      </x:c>
      <x:c r="G456" s="527" t="inlineStr">
        <x:is>
          <x:t xml:space="preserve">R. Michael Lortz</x:t>
        </x:is>
      </x:c>
      <x:c r="H456" s="527" t="inlineStr">
        <x:is>
          <x:t xml:space="preserve">Lariat Petroleum, Inc.</x:t>
        </x:is>
      </x:c>
      <x:c r="I456" s="527" t="inlineStr">
        <x:is>
          <x:t xml:space="preserve">A of 31-12N-24W</x:t>
        </x:is>
      </x:c>
      <x:c r="J456" s="527" t="inlineStr">
        <x:is>
          <x:t xml:space="preserve">Transfers leasehold/WI in chain</x:t>
        </x:is>
      </x:c>
      <x:c r="K456" s="527" t="inlineStr">
        <x:is>
          <x:t xml:space="preserve">31-12N-24W_Roger_Mills_Cursory_Title_Report_(6-10-2026)_BEST_UPDATED | 12N 24W 31 - Index.pdf, PDF page 24 / printed report page 1</x:t>
        </x:is>
      </x:c>
      <x:c r="L456" s="565" t="n"/>
      <x:c r="M456" s="565" t="n"/>
      <x:c r="N456" s="565" t="n"/>
      <x:c r="O456" s="565" t="n"/>
      <x:c r="P456" s="565" t="n"/>
      <x:c r="Q456" s="565" t="n"/>
      <x:c r="R456" s="565" t="n"/>
      <x:c r="S456" s="613" t="n"/>
      <x:c r="T456" s="565" t="n"/>
      <x:c r="U456" s="613" t="n"/>
      <x:c r="V456" s="565" t="n"/>
      <x:c r="W456" s="565" t="n"/>
      <x:c r="X456" s="565" t="n"/>
      <x:c r="Y456" s="565" t="n"/>
      <x:c r="Z456" s="565" t="n"/>
    </x:row>
    <x:row r="457">
      <x:c r="A457" s="542" t="n"/>
      <x:c r="B457" s="527" t="n">
        <x:v>94</x:v>
      </x:c>
      <x:c r="C457" s="527" t="inlineStr">
        <x:is>
          <x:t xml:space="preserve">Oil and Gas Lease</x:t>
        </x:is>
      </x:c>
      <x:c r="D457" s="527" t="n">
        <x:v>36612</x:v>
      </x:c>
      <x:c r="E457" s="529" t="inlineStr">
        <x:is>
          <x:t xml:space="preserve">Not stated</x:t>
        </x:is>
      </x:c>
      <x:c r="F457" s="529" t="inlineStr">
        <x:is>
          <x:t xml:space="preserve">1608/0452</x:t>
        </x:is>
      </x:c>
      <x:c r="G457" s="527" t="inlineStr">
        <x:is>
          <x:t xml:space="preserve">Melinda Barbie</x:t>
        </x:is>
      </x:c>
      <x:c r="H457" s="527" t="inlineStr">
        <x:is>
          <x:t xml:space="preserve">R. Michael Lortz</x:t>
        </x:is>
      </x:c>
      <x:c r="I457" s="527" t="inlineStr">
        <x:is>
          <x:t xml:space="preserve">Lot 4 S/2, Lot 3 S/2 NE/4 SW/4 SE/4 SW/4 of 31-12N-24W, aol</x:t>
        </x:is>
      </x:c>
      <x:c r="J457" s="527" t="inlineStr">
        <x:is>
          <x:t xml:space="preserve">Creates oil &amp; gas leasehold burden</x:t>
        </x:is>
      </x:c>
      <x:c r="K457" s="527" t="inlineStr">
        <x:is>
          <x:t xml:space="preserve">31-12N-24W_Roger_Mills_Cursory_Title_Report_(6-10-2026)_BEST_UPDATED | 12N 24W 31 - Index.pdf, PDF page 24 / printed report page 1</x:t>
        </x:is>
      </x:c>
      <x:c r="L457" s="565" t="n"/>
      <x:c r="M457" s="565" t="n"/>
      <x:c r="N457" s="565" t="n"/>
      <x:c r="O457" s="565" t="n"/>
      <x:c r="P457" s="565" t="n"/>
      <x:c r="Q457" s="565" t="n"/>
      <x:c r="R457" s="565" t="n"/>
      <x:c r="S457" s="613" t="n"/>
      <x:c r="T457" s="565" t="n"/>
      <x:c r="U457" s="613" t="n"/>
      <x:c r="V457" s="565" t="n"/>
      <x:c r="W457" s="565" t="n"/>
      <x:c r="X457" s="565" t="n"/>
      <x:c r="Y457" s="565" t="n"/>
      <x:c r="Z457" s="565" t="n"/>
    </x:row>
    <x:row r="458">
      <x:c r="A458" s="542" t="n"/>
      <x:c r="B458" s="527" t="n">
        <x:v>95</x:v>
      </x:c>
      <x:c r="C458" s="527" t="inlineStr">
        <x:is>
          <x:t xml:space="preserve">Oil and Gas Lease</x:t>
        </x:is>
      </x:c>
      <x:c r="D458" s="527" t="n">
        <x:v>36613</x:v>
      </x:c>
      <x:c r="E458" s="529" t="inlineStr">
        <x:is>
          <x:t xml:space="preserve">Not stated</x:t>
        </x:is>
      </x:c>
      <x:c r="F458" s="529" t="inlineStr">
        <x:is>
          <x:t xml:space="preserve">1608/0541</x:t>
        </x:is>
      </x:c>
      <x:c r="G458" s="527" t="inlineStr">
        <x:is>
          <x:t xml:space="preserve">Carrie Leeanne Mitchell</x:t>
        </x:is>
      </x:c>
      <x:c r="H458" s="527" t="inlineStr">
        <x:is>
          <x:t xml:space="preserve">Eog Resources, Inc.</x:t>
        </x:is>
      </x:c>
      <x:c r="I458" s="527" t="inlineStr">
        <x:is>
          <x:t xml:space="preserve">E/2 NW/4 E/2 SW/4, Lots 3-4 N/2 NE/4 NE/4 SE/4 SE/4 NE/4 of 31-12N-24W</x:t>
        </x:is>
      </x:c>
      <x:c r="J458" s="527" t="inlineStr">
        <x:is>
          <x:t xml:space="preserve">Creates oil &amp; gas leasehold burden</x:t>
        </x:is>
      </x:c>
      <x:c r="K458" s="527" t="inlineStr">
        <x:is>
          <x:t xml:space="preserve">31-12N-24W_Roger_Mills_Cursory_Title_Report_(6-10-2026)_BEST_UPDATED | 12N 24W 31 - Index.pdf, PDF page 24 / printed report page 1</x:t>
        </x:is>
      </x:c>
      <x:c r="L458" s="565" t="n"/>
      <x:c r="M458" s="565" t="n"/>
      <x:c r="N458" s="565" t="n"/>
      <x:c r="O458" s="565" t="n"/>
      <x:c r="P458" s="565" t="n"/>
      <x:c r="Q458" s="565" t="n"/>
      <x:c r="R458" s="565" t="n"/>
      <x:c r="S458" s="613" t="n"/>
      <x:c r="T458" s="565" t="n"/>
      <x:c r="U458" s="613" t="n"/>
      <x:c r="V458" s="565" t="n"/>
      <x:c r="W458" s="565" t="n"/>
      <x:c r="X458" s="565" t="n"/>
      <x:c r="Y458" s="565" t="n"/>
      <x:c r="Z458" s="565" t="n"/>
    </x:row>
    <x:row r="459">
      <x:c r="A459" s="542" t="n"/>
      <x:c r="B459" s="527" t="n">
        <x:v>98</x:v>
      </x:c>
      <x:c r="C459" s="527" t="inlineStr">
        <x:is>
          <x:t xml:space="preserve">Wellbore Assignment</x:t>
        </x:is>
      </x:c>
      <x:c r="D459" s="527" t="n">
        <x:v>46146</x:v>
      </x:c>
      <x:c r="E459" s="529" t="inlineStr">
        <x:is>
          <x:t xml:space="preserve">Not stated</x:t>
        </x:is>
      </x:c>
      <x:c r="F459" s="529" t="inlineStr">
        <x:is>
          <x:t xml:space="preserve">2698/0069</x:t>
        </x:is>
      </x:c>
      <x:c r="G459" s="527" t="inlineStr">
        <x:is>
          <x:t xml:space="preserve">Martin'S Empire, LLC</x:t>
        </x:is>
      </x:c>
      <x:c r="H459" s="527" t="inlineStr">
        <x:is>
          <x:t xml:space="preserve">Stride Bank, of the Unbrella Trust, Trustee</x:t>
        </x:is>
      </x:c>
      <x:c r="I459" s="527" t="inlineStr">
        <x:is>
          <x:t xml:space="preserve">NW/4 NW/4 of 31-12N-24W</x:t>
        </x:is>
      </x:c>
      <x:c r="J459" s="527" t="inlineStr">
        <x:is>
          <x:t xml:space="preserve">Transfers wellbore-only rights</x:t>
        </x:is>
      </x:c>
      <x:c r="K459" s="527" t="inlineStr">
        <x:is>
          <x:t xml:space="preserve">31-12N-24W_Roger_Mills_Cursory_Title_Report_(6-10-2026)_BEST_UPDATED | https://okcountyrecords.com/detail/roger+mills/2026-002547/35349405</x:t>
        </x:is>
      </x:c>
      <x:c r="L459" s="565" t="n"/>
      <x:c r="M459" s="565" t="n"/>
      <x:c r="N459" s="565" t="n"/>
      <x:c r="O459" s="565" t="n"/>
      <x:c r="P459" s="565" t="n"/>
      <x:c r="Q459" s="565" t="n"/>
      <x:c r="R459" s="565" t="n"/>
      <x:c r="S459" s="613" t="n"/>
      <x:c r="T459" s="565" t="n"/>
      <x:c r="U459" s="613" t="n"/>
      <x:c r="V459" s="565" t="n"/>
      <x:c r="W459" s="565" t="n"/>
      <x:c r="X459" s="565" t="n"/>
      <x:c r="Y459" s="565" t="n"/>
      <x:c r="Z459" s="565" t="n"/>
    </x:row>
    <x:row r="460">
      <x:c r="A460" s="542" t="n"/>
      <x:c r="B460" s="527" t="n">
        <x:v>41</x:v>
      </x:c>
      <x:c r="C460" s="527" t="inlineStr">
        <x:is>
          <x:t xml:space="preserve">Memorandum</x:t>
        </x:is>
      </x:c>
      <x:c r="D460" s="527" t="inlineStr">
        <x:is>
          <x:t xml:space="preserve">2159/0063</x:t>
        </x:is>
      </x:c>
      <x:c r="E460" s="529" t="n"/>
      <x:c r="F460" s="529" t="n">
        <x:v>41190</x:v>
      </x:c>
      <x:c r="G460" s="527" t="inlineStr">
        <x:is>
          <x:t xml:space="preserve">Bank of America</x:t>
        </x:is>
      </x:c>
      <x:c r="H460" s="527" t="inlineStr">
        <x:is>
          <x:t xml:space="preserve">Chesapeake Energy Corp.,
Chesapeake Midstream Development,
Latigo</x:t>
        </x:is>
      </x:c>
      <x:c r="I460" s="527" t="inlineStr">
        <x:is>
          <x:t xml:space="preserve">Legal not found in public snippet candidate from related web-index page of 31-12N-24W</x:t>
        </x:is>
      </x:c>
      <x:c r="J460" s="527" t="inlineStr">
        <x:is>
          <x:t xml:space="preserve">Memorializes OGL — see related lease
Search-engine indexed OKCR snippet surfaced instrument 2012-006698 as Memorandum, Book 002159, pages 0063-0074, 12 images. Legal was not shown in snippet.</x:t>
        </x:is>
      </x:c>
      <x:c r="K460" s="527" t="inlineStr">
        <x:is>
          <x:t xml:space="preserve">OKCountyRecords public search result via web index</x:t>
        </x:is>
      </x:c>
      <x:c r="L460" s="565" t="n"/>
      <x:c r="M460" s="565" t="n"/>
      <x:c r="N460" s="565" t="n"/>
      <x:c r="O460" s="565" t="n"/>
      <x:c r="P460" s="565" t="n"/>
      <x:c r="Q460" s="565" t="n"/>
      <x:c r="R460" s="565" t="n"/>
      <x:c r="S460" s="613" t="n"/>
      <x:c r="T460" s="565" t="n"/>
      <x:c r="U460" s="613" t="n"/>
      <x:c r="V460" s="565" t="n"/>
      <x:c r="W460" s="565" t="n"/>
      <x:c r="X460" s="565" t="n"/>
      <x:c r="Y460" s="565" t="n"/>
      <x:c r="Z460" s="565" t="n"/>
    </x:row>
    <x:row r="461">
      <x:c r="A461" s="542" t="n"/>
      <x:c r="B461" s="527" t="n">
        <x:v>42</x:v>
      </x:c>
      <x:c r="C461" s="527" t="inlineStr">
        <x:is>
          <x:t xml:space="preserve">Memorandum</x:t>
        </x:is>
      </x:c>
      <x:c r="D461" s="527" t="inlineStr">
        <x:is>
          <x:t xml:space="preserve">2179/0001</x:t>
        </x:is>
      </x:c>
      <x:c r="E461" s="529" t="n"/>
      <x:c r="F461" s="529" t="n">
        <x:v>41387</x:v>
      </x:c>
      <x:c r="G461" s="527" t="inlineStr">
        <x:is>
          <x:t xml:space="preserve">Chesapeake Midstream Development</x:t>
        </x:is>
      </x:c>
      <x:c r="H461" s="527" t="inlineStr">
        <x:is>
          <x:t xml:space="preserve">Compass Bank</x:t>
        </x:is>
      </x:c>
      <x:c r="I461" s="527" t="inlineStr">
        <x:is>
          <x:t xml:space="preserve">S29 T16N R22W A S22 T16N R25W A 322 more candidate from related target search page of 31-12N-24W, aol</x:t>
        </x:is>
      </x:c>
      <x:c r="J461" s="527" t="inlineStr">
        <x:is>
          <x:t xml:space="preserve">Memorializes OGL — see related lease
Search-engine indexed OKCR snippet surfaced instrument 2013-002047 as Memorandum, Book 002179, pages 0001-0354, 354 images. Full legal list is truncated.</x:t>
        </x:is>
      </x:c>
      <x:c r="K461" s="527" t="inlineStr">
        <x:is>
          <x:t xml:space="preserve">OKCountyRecords public search result via web index</x:t>
        </x:is>
      </x:c>
      <x:c r="L461" s="565" t="n"/>
      <x:c r="M461" s="565" t="n"/>
      <x:c r="N461" s="565" t="n"/>
      <x:c r="O461" s="565" t="n"/>
      <x:c r="P461" s="565" t="n"/>
      <x:c r="Q461" s="565" t="n"/>
      <x:c r="R461" s="565" t="n"/>
      <x:c r="S461" s="613" t="n"/>
      <x:c r="T461" s="565" t="n"/>
      <x:c r="U461" s="613" t="n"/>
      <x:c r="V461" s="565" t="n"/>
      <x:c r="W461" s="565" t="n"/>
      <x:c r="X461" s="565" t="n"/>
      <x:c r="Y461" s="565" t="n"/>
      <x:c r="Z461" s="565" t="n"/>
    </x:row>
    <x:row r="462">
      <x:c r="A462" s="542" t="n"/>
      <x:c r="B462" s="527" t="n">
        <x:v>45</x:v>
      </x:c>
      <x:c r="C462" s="527" t="inlineStr">
        <x:is>
          <x:t xml:space="preserve">Assignment</x:t>
        </x:is>
      </x:c>
      <x:c r="D462" s="527" t="inlineStr">
        <x:is>
          <x:t xml:space="preserve">2351/0001</x:t>
        </x:is>
      </x:c>
      <x:c r="E462" s="529" t="n"/>
      <x:c r="F462" s="529" t="n">
        <x:v>42723</x:v>
      </x:c>
      <x:c r="G462" s="527" t="inlineStr">
        <x:is>
          <x:t xml:space="preserve">Oil Rio,
Gas II, LLC</x:t>
        </x:is>
      </x:c>
      <x:c r="H462" s="527" t="inlineStr">
        <x:is>
          <x:t xml:space="preserve">Samson Resources Co.</x:t>
        </x:is>
      </x:c>
      <x:c r="I462" s="527" t="inlineStr">
        <x:is>
          <x:t xml:space="preserve">S9 T15N R23W LFUCHS 168 more candidate from related target search page of 31-12N-24W, aol</x:t>
        </x:is>
      </x:c>
      <x:c r="J462" s="527" t="inlineStr">
        <x:is>
          <x:t xml:space="preserve">Leasehold assigned (chain)
Search-engine indexed OKCR snippet surfaced instrument 2016-002668 as Assignment, Book 002351, pages 0001-0146, 146 images. Full legal list is truncated.</x:t>
        </x:is>
      </x:c>
      <x:c r="K462" s="527" t="inlineStr">
        <x:is>
          <x:t xml:space="preserve">OKCountyRecords public search result via web index</x:t>
        </x:is>
      </x:c>
      <x:c r="L462" s="565" t="n"/>
      <x:c r="M462" s="565" t="n"/>
      <x:c r="N462" s="565" t="n"/>
      <x:c r="O462" s="565" t="n"/>
      <x:c r="P462" s="565" t="n"/>
      <x:c r="Q462" s="565" t="n"/>
      <x:c r="R462" s="565" t="n"/>
      <x:c r="S462" s="613" t="n"/>
      <x:c r="T462" s="565" t="n"/>
      <x:c r="U462" s="613" t="n"/>
      <x:c r="V462" s="565" t="n"/>
      <x:c r="W462" s="565" t="n"/>
      <x:c r="X462" s="565" t="n"/>
      <x:c r="Y462" s="565" t="n"/>
      <x:c r="Z462" s="565" t="n"/>
    </x:row>
    <x:row r="463">
      <x:c r="A463" s="527" t="inlineStr">
        <x:is>
          <x:t xml:space="preserve">1905-000429</x:t>
        </x:is>
      </x:c>
      <x:c r="B463" s="527" t="n"/>
      <x:c r="C463" s="527" t="inlineStr">
        <x:is>
          <x:t xml:space="preserve">Deed</x:t>
        </x:is>
      </x:c>
      <x:c r="D463" s="527" t="inlineStr">
        <x:is>
          <x:t xml:space="preserve">D00006/0206</x:t>
        </x:is>
      </x:c>
      <x:c r="E463" s="529" t="inlineStr">
        <x:is>
          <x:t xml:space="preserve">08/24/1905</x:t>
        </x:is>
      </x:c>
      <x:c r="F463" s="529" t="n">
        <x:v>2063</x:v>
      </x:c>
      <x:c r="G463" s="527" t="inlineStr">
        <x:is>
          <x:t xml:space="preserve">Leo Kennett</x:t>
        </x:is>
      </x:c>
      <x:c r="H463" s="527" t="inlineStr">
        <x:is>
          <x:t xml:space="preserve">Mack Hawbrook</x:t>
        </x:is>
      </x:c>
      <x:c r="I463" s="527" t="inlineStr">
        <x:is>
          <x:t xml:space="preserve">31-12N-24W</x:t>
        </x:is>
      </x:c>
      <x:c r="J463" s="527" t="inlineStr">
        <x:is>
          <x:t xml:space="preserve">Fee / as stated</x:t>
        </x:is>
      </x:c>
      <x:c r="K463" s="527" t="inlineStr">
        <x:is>
          <x:t xml:space="preserve">OKCountyRecords official index, Roger Mills County (instrument 1905-000429); searched 06/11/2026</x:t>
        </x:is>
      </x:c>
      <x:c r="L463" s="565" t="n"/>
      <x:c r="M463" s="565" t="n"/>
      <x:c r="N463" s="565" t="n"/>
      <x:c r="O463" s="565" t="n"/>
      <x:c r="P463" s="565" t="n"/>
      <x:c r="Q463" s="565" t="n"/>
      <x:c r="R463" s="565" t="n"/>
      <x:c r="S463" s="613" t="n"/>
      <x:c r="T463" s="565" t="n"/>
      <x:c r="U463" s="613" t="n"/>
      <x:c r="V463" s="565" t="n"/>
      <x:c r="W463" s="565" t="n"/>
      <x:c r="X463" s="565" t="n"/>
      <x:c r="Y463" s="565" t="n"/>
      <x:c r="Z463" s="565" t="n"/>
    </x:row>
    <x:row r="464">
      <x:c r="A464" s="527" t="inlineStr">
        <x:is>
          <x:t xml:space="preserve">1907-000709</x:t>
        </x:is>
      </x:c>
      <x:c r="B464" s="527" t="n"/>
      <x:c r="C464" s="527" t="inlineStr">
        <x:is>
          <x:t xml:space="preserve">Deed</x:t>
        </x:is>
      </x:c>
      <x:c r="D464" s="527" t="inlineStr">
        <x:is>
          <x:t xml:space="preserve">D00009/0303</x:t>
        </x:is>
      </x:c>
      <x:c r="E464" s="529" t="inlineStr">
        <x:is>
          <x:t xml:space="preserve">02/13/1907</x:t>
        </x:is>
      </x:c>
      <x:c r="F464" s="529" t="n">
        <x:v>2601</x:v>
      </x:c>
      <x:c r="G464" s="527" t="inlineStr">
        <x:is>
          <x:t xml:space="preserve">Charles T. Kennett,
Sadie N. Kennett</x:t>
        </x:is>
      </x:c>
      <x:c r="H464" s="527" t="inlineStr">
        <x:is>
          <x:t xml:space="preserve">John G. Lancaster</x:t>
        </x:is>
      </x:c>
      <x:c r="I464" s="527" t="inlineStr">
        <x:is>
          <x:t xml:space="preserve">31-12N-24W</x:t>
        </x:is>
      </x:c>
      <x:c r="J464" s="527" t="inlineStr">
        <x:is>
          <x:t xml:space="preserve">Fee / as stated</x:t>
        </x:is>
      </x:c>
      <x:c r="K464" s="527" t="inlineStr">
        <x:is>
          <x:t xml:space="preserve">OKCountyRecords official index, Roger Mills County (instrument 1907-000709); searched 06/11/2026</x:t>
        </x:is>
      </x:c>
      <x:c r="L464" s="565" t="n"/>
      <x:c r="M464" s="565" t="n"/>
      <x:c r="N464" s="565" t="n"/>
      <x:c r="O464" s="565" t="n"/>
      <x:c r="P464" s="565" t="n"/>
      <x:c r="Q464" s="565" t="n"/>
      <x:c r="R464" s="565" t="n"/>
      <x:c r="S464" s="613" t="n"/>
      <x:c r="T464" s="565" t="n"/>
      <x:c r="U464" s="613" t="n"/>
      <x:c r="V464" s="565" t="n"/>
      <x:c r="W464" s="565" t="n"/>
      <x:c r="X464" s="565" t="n"/>
      <x:c r="Y464" s="565" t="n"/>
      <x:c r="Z464" s="565" t="n"/>
    </x:row>
    <x:row r="465">
      <x:c r="A465" s="527" t="inlineStr">
        <x:is>
          <x:t xml:space="preserve">1907-005379</x:t>
        </x:is>
      </x:c>
      <x:c r="B465" s="527" t="n"/>
      <x:c r="C465" s="527" t="inlineStr">
        <x:is>
          <x:t xml:space="preserve">Patent</x:t>
        </x:is>
      </x:c>
      <x:c r="D465" s="527" t="inlineStr">
        <x:is>
          <x:t xml:space="preserve">PAT003/495</x:t>
        </x:is>
      </x:c>
      <x:c r="E465" s="529" t="inlineStr">
        <x:is>
          <x:t xml:space="preserve">07/14/1907</x:t>
        </x:is>
      </x:c>
      <x:c r="F465" s="529" t="n">
        <x:v>2752</x:v>
      </x:c>
      <x:c r="G465" s="527" t="inlineStr">
        <x:is>
          <x:t xml:space="preserve">United States of America</x:t>
        </x:is>
      </x:c>
      <x:c r="H465" s="527" t="inlineStr">
        <x:is>
          <x:t xml:space="preserve">Leo Kennett</x:t>
        </x:is>
      </x:c>
      <x:c r="I465" s="527" t="inlineStr">
        <x:is>
          <x:t xml:space="preserve">31-12N-24W</x:t>
        </x:is>
      </x:c>
      <x:c r="J465" s="527" t="inlineStr">
        <x:is>
          <x:t xml:space="preserve">Fee / as stated</x:t>
        </x:is>
      </x:c>
      <x:c r="K465" s="527" t="inlineStr">
        <x:is>
          <x:t xml:space="preserve">OKCountyRecords official index, Roger Mills County (instrument 1907-005379); searched 06/11/2026</x:t>
        </x:is>
      </x:c>
      <x:c r="L465" s="565" t="n"/>
      <x:c r="M465" s="565" t="n"/>
      <x:c r="N465" s="565" t="n"/>
      <x:c r="O465" s="565" t="n"/>
      <x:c r="P465" s="565" t="n"/>
      <x:c r="Q465" s="565" t="n"/>
      <x:c r="R465" s="565" t="n"/>
      <x:c r="S465" s="613" t="n"/>
      <x:c r="T465" s="565" t="n"/>
      <x:c r="U465" s="613" t="n"/>
      <x:c r="V465" s="565" t="n"/>
      <x:c r="W465" s="565" t="n"/>
      <x:c r="X465" s="565" t="n"/>
      <x:c r="Y465" s="565" t="n"/>
      <x:c r="Z465" s="565" t="n"/>
    </x:row>
    <x:row r="466">
      <x:c r="A466" s="527" t="inlineStr">
        <x:is>
          <x:t xml:space="preserve">1907-001545</x:t>
        </x:is>
      </x:c>
      <x:c r="B466" s="527" t="n"/>
      <x:c r="C466" s="527" t="inlineStr">
        <x:is>
          <x:t xml:space="preserve">Deed</x:t>
        </x:is>
      </x:c>
      <x:c r="D466" s="527" t="inlineStr">
        <x:is>
          <x:t xml:space="preserve">D00011/0209</x:t>
        </x:is>
      </x:c>
      <x:c r="E466" s="529" t="inlineStr">
        <x:is>
          <x:t xml:space="preserve">07/17/1907</x:t>
        </x:is>
      </x:c>
      <x:c r="F466" s="529" t="n">
        <x:v>2755</x:v>
      </x:c>
      <x:c r="G466" s="527" t="inlineStr">
        <x:is>
          <x:t xml:space="preserve">Claude J. McGuire,
Herbert E. McGuire</x:t>
        </x:is>
      </x:c>
      <x:c r="H466" s="527" t="inlineStr">
        <x:is>
          <x:t xml:space="preserve">Mark Hambrook</x:t>
        </x:is>
      </x:c>
      <x:c r="I466" s="527" t="inlineStr">
        <x:is>
          <x:t xml:space="preserve">31-12N-24W</x:t>
        </x:is>
      </x:c>
      <x:c r="J466" s="527" t="inlineStr">
        <x:is>
          <x:t xml:space="preserve">Fee / as stated</x:t>
        </x:is>
      </x:c>
      <x:c r="K466" s="527" t="inlineStr">
        <x:is>
          <x:t xml:space="preserve">OKCountyRecords official index, Roger Mills County (instrument 1907-001545); searched 06/11/2026</x:t>
        </x:is>
      </x:c>
      <x:c r="L466" s="565" t="n"/>
      <x:c r="M466" s="565" t="n"/>
      <x:c r="N466" s="565" t="n"/>
      <x:c r="O466" s="565" t="n"/>
      <x:c r="P466" s="565" t="n"/>
      <x:c r="Q466" s="565" t="n"/>
      <x:c r="R466" s="565" t="n"/>
      <x:c r="S466" s="613" t="n"/>
      <x:c r="T466" s="565" t="n"/>
      <x:c r="U466" s="613" t="n"/>
      <x:c r="V466" s="565" t="n"/>
      <x:c r="W466" s="565" t="n"/>
      <x:c r="X466" s="565" t="n"/>
      <x:c r="Y466" s="565" t="n"/>
      <x:c r="Z466" s="565" t="n"/>
    </x:row>
    <x:row r="467">
      <x:c r="A467" s="527" t="inlineStr">
        <x:is>
          <x:t xml:space="preserve">1907-002970</x:t>
        </x:is>
      </x:c>
      <x:c r="B467" s="527" t="n"/>
      <x:c r="C467" s="527" t="inlineStr">
        <x:is>
          <x:t xml:space="preserve">Release</x:t>
        </x:is>
      </x:c>
      <x:c r="D467" s="527" t="inlineStr">
        <x:is>
          <x:t xml:space="preserve">MIS005/0500</x:t>
        </x:is>
      </x:c>
      <x:c r="E467" s="529" t="inlineStr">
        <x:is>
          <x:t xml:space="preserve">07/23/1907</x:t>
        </x:is>
      </x:c>
      <x:c r="F467" s="529" t="n">
        <x:v>2761</x:v>
      </x:c>
      <x:c r="G467" s="527" t="inlineStr">
        <x:is>
          <x:t xml:space="preserve">Leo Kermett</x:t>
        </x:is>
      </x:c>
      <x:c r="H467" s="527" t="inlineStr">
        <x:is>
          <x:t xml:space="preserve">Mark Hambrook</x:t>
        </x:is>
      </x:c>
      <x:c r="I467" s="527" t="inlineStr">
        <x:is>
          <x:t xml:space="preserve">31-12N-24W</x:t>
        </x:is>
      </x:c>
      <x:c r="J467" s="527" t="inlineStr">
        <x:is>
          <x:t xml:space="preserve">Leasehold / WI</x:t>
        </x:is>
      </x:c>
      <x:c r="K467" s="527" t="inlineStr">
        <x:is>
          <x:t xml:space="preserve">OKCountyRecords official index, Roger Mills County (instrument 1907-002970); searched 06/11/2026</x:t>
        </x:is>
      </x:c>
      <x:c r="L467" s="565" t="n"/>
      <x:c r="M467" s="565" t="n"/>
      <x:c r="N467" s="565" t="n"/>
      <x:c r="O467" s="565" t="n"/>
      <x:c r="P467" s="565" t="n"/>
      <x:c r="Q467" s="565" t="n"/>
      <x:c r="R467" s="565" t="n"/>
      <x:c r="S467" s="613" t="n"/>
      <x:c r="T467" s="565" t="n"/>
      <x:c r="U467" s="613" t="n"/>
      <x:c r="V467" s="565" t="n"/>
      <x:c r="W467" s="565" t="n"/>
      <x:c r="X467" s="565" t="n"/>
      <x:c r="Y467" s="565" t="n"/>
      <x:c r="Z467" s="565" t="n"/>
    </x:row>
    <x:row r="468">
      <x:c r="A468" s="527" t="inlineStr">
        <x:is>
          <x:t xml:space="preserve">1907-000157</x:t>
        </x:is>
      </x:c>
      <x:c r="B468" s="527" t="n"/>
      <x:c r="C468" s="527" t="inlineStr">
        <x:is>
          <x:t xml:space="preserve">Assignment</x:t>
        </x:is>
      </x:c>
      <x:c r="D468" s="527" t="inlineStr">
        <x:is>
          <x:t xml:space="preserve">ASN001/0103</x:t>
        </x:is>
      </x:c>
      <x:c r="E468" s="529" t="inlineStr">
        <x:is>
          <x:t xml:space="preserve">12/02/1907</x:t>
        </x:is>
      </x:c>
      <x:c r="F468" s="529" t="n">
        <x:v>2893</x:v>
      </x:c>
      <x:c r="G468" s="527" t="inlineStr">
        <x:is>
          <x:t xml:space="preserve">Oklahoma Farm Mortgage Company</x:t>
        </x:is>
      </x:c>
      <x:c r="H468" s="527" t="inlineStr">
        <x:is>
          <x:t xml:space="preserve">Abram Poole Jr.</x:t>
        </x:is>
      </x:c>
      <x:c r="I468" s="527" t="inlineStr">
        <x:is>
          <x:t xml:space="preserve">31-12N-24W</x:t>
        </x:is>
      </x:c>
      <x:c r="J468" s="527" t="inlineStr">
        <x:is>
          <x:t xml:space="preserve">Leasehold / WI</x:t>
        </x:is>
      </x:c>
      <x:c r="K468" s="527" t="inlineStr">
        <x:is>
          <x:t xml:space="preserve">OKCountyRecords official index, Roger Mills County (instrument 1907-000157); searched 06/11/2026</x:t>
        </x:is>
      </x:c>
      <x:c r="L468" s="565" t="n"/>
      <x:c r="M468" s="565" t="n"/>
      <x:c r="N468" s="565" t="n"/>
      <x:c r="O468" s="565" t="n"/>
      <x:c r="P468" s="565" t="n"/>
      <x:c r="Q468" s="565" t="n"/>
      <x:c r="R468" s="565" t="n"/>
      <x:c r="S468" s="613" t="n"/>
      <x:c r="T468" s="565" t="n"/>
      <x:c r="U468" s="613" t="n"/>
      <x:c r="V468" s="565" t="n"/>
      <x:c r="W468" s="565" t="n"/>
      <x:c r="X468" s="565" t="n"/>
      <x:c r="Y468" s="565" t="n"/>
      <x:c r="Z468" s="565" t="n"/>
    </x:row>
    <x:row r="469">
      <x:c r="A469" s="527" t="inlineStr">
        <x:is>
          <x:t xml:space="preserve">1908-000607</x:t>
        </x:is>
      </x:c>
      <x:c r="B469" s="527" t="n"/>
      <x:c r="C469" s="527" t="inlineStr">
        <x:is>
          <x:t xml:space="preserve">Deed</x:t>
        </x:is>
      </x:c>
      <x:c r="D469" s="527" t="inlineStr">
        <x:is>
          <x:t xml:space="preserve">D00011/0448</x:t>
        </x:is>
      </x:c>
      <x:c r="E469" s="529" t="inlineStr">
        <x:is>
          <x:t xml:space="preserve">09/23/1908</x:t>
        </x:is>
      </x:c>
      <x:c r="F469" s="529" t="n">
        <x:v>3189</x:v>
      </x:c>
      <x:c r="G469" s="527" t="inlineStr">
        <x:is>
          <x:t xml:space="preserve">John G. Lancaster,
Mary C. Lancaster</x:t>
        </x:is>
      </x:c>
      <x:c r="H469" s="527" t="inlineStr">
        <x:is>
          <x:t xml:space="preserve">Eugene S. Repass</x:t>
        </x:is>
      </x:c>
      <x:c r="I469" s="527" t="inlineStr">
        <x:is>
          <x:t xml:space="preserve">31-12N-24W (AOL)</x:t>
        </x:is>
      </x:c>
      <x:c r="J469" s="527" t="inlineStr">
        <x:is>
          <x:t xml:space="preserve">Fee / as stated</x:t>
        </x:is>
      </x:c>
      <x:c r="K469" s="527" t="inlineStr">
        <x:is>
          <x:t xml:space="preserve">OKCountyRecords official index, Roger Mills County (instrument 1908-000607); searched 06/11/2026</x:t>
        </x:is>
      </x:c>
      <x:c r="L469" s="565" t="n"/>
      <x:c r="M469" s="565" t="n"/>
      <x:c r="N469" s="565" t="n"/>
      <x:c r="O469" s="565" t="n"/>
      <x:c r="P469" s="565" t="n"/>
      <x:c r="Q469" s="565" t="n"/>
      <x:c r="R469" s="565" t="n"/>
      <x:c r="S469" s="613" t="n"/>
      <x:c r="T469" s="565" t="n"/>
      <x:c r="U469" s="613" t="n"/>
      <x:c r="V469" s="565" t="n"/>
      <x:c r="W469" s="565" t="n"/>
      <x:c r="X469" s="565" t="n"/>
      <x:c r="Y469" s="565" t="n"/>
      <x:c r="Z469" s="565" t="n"/>
    </x:row>
    <x:row r="470">
      <x:c r="A470" s="527" t="inlineStr">
        <x:is>
          <x:t xml:space="preserve">1908-003103</x:t>
        </x:is>
      </x:c>
      <x:c r="B470" s="527" t="n"/>
      <x:c r="C470" s="527" t="inlineStr">
        <x:is>
          <x:t xml:space="preserve">Release</x:t>
        </x:is>
      </x:c>
      <x:c r="D470" s="527" t="inlineStr">
        <x:is>
          <x:t xml:space="preserve">REL001/0308</x:t>
        </x:is>
      </x:c>
      <x:c r="E470" s="529" t="inlineStr">
        <x:is>
          <x:t xml:space="preserve">09/25/1908</x:t>
        </x:is>
      </x:c>
      <x:c r="F470" s="529" t="n">
        <x:v>3191</x:v>
      </x:c>
      <x:c r="G470" s="527" t="inlineStr">
        <x:is>
          <x:t xml:space="preserve">Oklahoma Western Mortgage Co</x:t>
        </x:is>
      </x:c>
      <x:c r="H470" s="527" t="inlineStr">
        <x:is>
          <x:t xml:space="preserve">Roy A. Garrison,
Virdie Garrison</x:t>
        </x:is>
      </x:c>
      <x:c r="I470" s="527" t="inlineStr">
        <x:is>
          <x:t xml:space="preserve">31-12N-24W (AOL)</x:t>
        </x:is>
      </x:c>
      <x:c r="J470" s="527" t="inlineStr">
        <x:is>
          <x:t xml:space="preserve">Leasehold / WI</x:t>
        </x:is>
      </x:c>
      <x:c r="K470" s="527" t="inlineStr">
        <x:is>
          <x:t xml:space="preserve">OKCountyRecords official index, Roger Mills County (instrument 1908-003103); searched 06/11/2026</x:t>
        </x:is>
      </x:c>
      <x:c r="L470" s="565" t="n"/>
      <x:c r="M470" s="565" t="n"/>
      <x:c r="N470" s="565" t="n"/>
      <x:c r="O470" s="565" t="n"/>
      <x:c r="P470" s="565" t="n"/>
      <x:c r="Q470" s="565" t="n"/>
      <x:c r="R470" s="565" t="n"/>
      <x:c r="S470" s="613" t="n"/>
      <x:c r="T470" s="565" t="n"/>
      <x:c r="U470" s="613" t="n"/>
      <x:c r="V470" s="565" t="n"/>
      <x:c r="W470" s="565" t="n"/>
      <x:c r="X470" s="565" t="n"/>
      <x:c r="Y470" s="565" t="n"/>
      <x:c r="Z470" s="565" t="n"/>
    </x:row>
    <x:row r="471">
      <x:c r="A471" s="527" t="inlineStr">
        <x:is>
          <x:t xml:space="preserve">1908-003105</x:t>
        </x:is>
      </x:c>
      <x:c r="B471" s="527" t="n"/>
      <x:c r="C471" s="527" t="inlineStr">
        <x:is>
          <x:t xml:space="preserve">Release</x:t>
        </x:is>
      </x:c>
      <x:c r="D471" s="527" t="inlineStr">
        <x:is>
          <x:t xml:space="preserve">REL001/0309</x:t>
        </x:is>
      </x:c>
      <x:c r="E471" s="529" t="inlineStr">
        <x:is>
          <x:t xml:space="preserve">09/25/1908</x:t>
        </x:is>
      </x:c>
      <x:c r="F471" s="529" t="n">
        <x:v>3191</x:v>
      </x:c>
      <x:c r="G471" s="527" t="inlineStr">
        <x:is>
          <x:t xml:space="preserve">Oklahoma Western Mortgage Co</x:t>
        </x:is>
      </x:c>
      <x:c r="H471" s="527" t="inlineStr">
        <x:is>
          <x:t xml:space="preserve">Roy A. Garrison,
Virdie Garrison</x:t>
        </x:is>
      </x:c>
      <x:c r="I471" s="527" t="inlineStr">
        <x:is>
          <x:t xml:space="preserve">31-12N-24W (AOL)</x:t>
        </x:is>
      </x:c>
      <x:c r="J471" s="527" t="inlineStr">
        <x:is>
          <x:t xml:space="preserve">Leasehold / WI</x:t>
        </x:is>
      </x:c>
      <x:c r="K471" s="527" t="inlineStr">
        <x:is>
          <x:t xml:space="preserve">OKCountyRecords official index, Roger Mills County (instrument 1908-003105); searched 06/11/2026</x:t>
        </x:is>
      </x:c>
      <x:c r="L471" s="565" t="n"/>
      <x:c r="M471" s="565" t="n"/>
      <x:c r="N471" s="565" t="n"/>
      <x:c r="O471" s="565" t="n"/>
      <x:c r="P471" s="565" t="n"/>
      <x:c r="Q471" s="565" t="n"/>
      <x:c r="R471" s="565" t="n"/>
      <x:c r="S471" s="613" t="n"/>
      <x:c r="T471" s="565" t="n"/>
      <x:c r="U471" s="613" t="n"/>
      <x:c r="V471" s="565" t="n"/>
      <x:c r="W471" s="565" t="n"/>
      <x:c r="X471" s="565" t="n"/>
      <x:c r="Y471" s="565" t="n"/>
      <x:c r="Z471" s="565" t="n"/>
    </x:row>
    <x:row r="472">
      <x:c r="A472" s="527" t="inlineStr">
        <x:is>
          <x:t xml:space="preserve">1909-000004</x:t>
        </x:is>
      </x:c>
      <x:c r="B472" s="527" t="n"/>
      <x:c r="C472" s="527" t="inlineStr">
        <x:is>
          <x:t xml:space="preserve">Assignment</x:t>
        </x:is>
      </x:c>
      <x:c r="D472" s="527" t="inlineStr">
        <x:is>
          <x:t xml:space="preserve">ASN001/0137</x:t>
        </x:is>
      </x:c>
      <x:c r="E472" s="529" t="inlineStr">
        <x:is>
          <x:t xml:space="preserve">01/25/1909</x:t>
        </x:is>
      </x:c>
      <x:c r="F472" s="529" t="n">
        <x:v>3313</x:v>
      </x:c>
      <x:c r="G472" s="527" t="inlineStr">
        <x:is>
          <x:t xml:space="preserve">Oklahoma Farm Mortgage Company</x:t>
        </x:is>
      </x:c>
      <x:c r="H472" s="527" t="inlineStr">
        <x:is>
          <x:t xml:space="preserve">Thomas Kent</x:t>
        </x:is>
      </x:c>
      <x:c r="I472" s="527" t="inlineStr">
        <x:is>
          <x:t xml:space="preserve">31-12N-24W (AOL)</x:t>
        </x:is>
      </x:c>
      <x:c r="J472" s="527" t="inlineStr">
        <x:is>
          <x:t xml:space="preserve">Leasehold / WI</x:t>
        </x:is>
      </x:c>
      <x:c r="K472" s="527" t="inlineStr">
        <x:is>
          <x:t xml:space="preserve">OKCountyRecords official index, Roger Mills County (instrument 1909-000004); searched 06/11/2026</x:t>
        </x:is>
      </x:c>
      <x:c r="L472" s="565" t="n"/>
      <x:c r="M472" s="565" t="n"/>
      <x:c r="N472" s="565" t="n"/>
      <x:c r="O472" s="565" t="n"/>
      <x:c r="P472" s="565" t="n"/>
      <x:c r="Q472" s="565" t="n"/>
      <x:c r="R472" s="565" t="n"/>
      <x:c r="S472" s="613" t="n"/>
      <x:c r="T472" s="565" t="n"/>
      <x:c r="U472" s="613" t="n"/>
      <x:c r="V472" s="565" t="n"/>
      <x:c r="W472" s="565" t="n"/>
      <x:c r="X472" s="565" t="n"/>
      <x:c r="Y472" s="565" t="n"/>
      <x:c r="Z472" s="565" t="n"/>
    </x:row>
    <x:row r="473">
      <x:c r="A473" s="527" t="inlineStr">
        <x:is>
          <x:t xml:space="preserve">1909-002932</x:t>
        </x:is>
      </x:c>
      <x:c r="B473" s="527" t="n"/>
      <x:c r="C473" s="527" t="inlineStr">
        <x:is>
          <x:t xml:space="preserve">Patent</x:t>
        </x:is>
      </x:c>
      <x:c r="D473" s="527" t="inlineStr">
        <x:is>
          <x:t xml:space="preserve">PAT006/7</x:t>
        </x:is>
      </x:c>
      <x:c r="E473" s="529" t="inlineStr">
        <x:is>
          <x:t xml:space="preserve">12/30/1909</x:t>
        </x:is>
      </x:c>
      <x:c r="F473" s="529" t="n">
        <x:v>3652</x:v>
      </x:c>
      <x:c r="G473" s="527" t="inlineStr">
        <x:is>
          <x:t xml:space="preserve">United States of America</x:t>
        </x:is>
      </x:c>
      <x:c r="H473" s="527" t="inlineStr">
        <x:is>
          <x:t xml:space="preserve">Ernest Brooks</x:t>
        </x:is>
      </x:c>
      <x:c r="I473" s="527" t="inlineStr">
        <x:is>
          <x:t xml:space="preserve">31-12N-24W</x:t>
        </x:is>
      </x:c>
      <x:c r="J473" s="527" t="inlineStr">
        <x:is>
          <x:t xml:space="preserve">Fee / as stated</x:t>
        </x:is>
      </x:c>
      <x:c r="K473" s="527" t="inlineStr">
        <x:is>
          <x:t xml:space="preserve">OKCountyRecords official index, Roger Mills County (instrument 1909-002932); searched 06/11/2026</x:t>
        </x:is>
      </x:c>
      <x:c r="L473" s="565" t="n"/>
      <x:c r="M473" s="565" t="n"/>
      <x:c r="N473" s="565" t="n"/>
      <x:c r="O473" s="565" t="n"/>
      <x:c r="P473" s="565" t="n"/>
      <x:c r="Q473" s="565" t="n"/>
      <x:c r="R473" s="565" t="n"/>
      <x:c r="S473" s="613" t="n"/>
      <x:c r="T473" s="565" t="n"/>
      <x:c r="U473" s="613" t="n"/>
      <x:c r="V473" s="565" t="n"/>
      <x:c r="W473" s="565" t="n"/>
      <x:c r="X473" s="565" t="n"/>
      <x:c r="Y473" s="565" t="n"/>
      <x:c r="Z473" s="565" t="n"/>
    </x:row>
    <x:row r="474">
      <x:c r="A474" s="527" t="inlineStr">
        <x:is>
          <x:t xml:space="preserve">1910-000114</x:t>
        </x:is>
      </x:c>
      <x:c r="B474" s="527" t="n"/>
      <x:c r="C474" s="527" t="inlineStr">
        <x:is>
          <x:t xml:space="preserve">Assignment</x:t>
        </x:is>
      </x:c>
      <x:c r="D474" s="527" t="inlineStr">
        <x:is>
          <x:t xml:space="preserve">ASN002/0009</x:t>
        </x:is>
      </x:c>
      <x:c r="E474" s="529" t="inlineStr">
        <x:is>
          <x:t xml:space="preserve">03/25/1910</x:t>
        </x:is>
      </x:c>
      <x:c r="F474" s="529" t="n">
        <x:v>3737</x:v>
      </x:c>
      <x:c r="G474" s="527" t="inlineStr">
        <x:is>
          <x:t xml:space="preserve">G. E. Martin</x:t>
        </x:is>
      </x:c>
      <x:c r="H474" s="527" t="inlineStr">
        <x:is>
          <x:t xml:space="preserve">Oklahoma National Life Insurance Company</x:t>
        </x:is>
      </x:c>
      <x:c r="I474" s="527" t="inlineStr">
        <x:is>
          <x:t xml:space="preserve">31-12N-24W (AOL)</x:t>
        </x:is>
      </x:c>
      <x:c r="J474" s="527" t="inlineStr">
        <x:is>
          <x:t xml:space="preserve">Leasehold / WI</x:t>
        </x:is>
      </x:c>
      <x:c r="K474" s="527" t="inlineStr">
        <x:is>
          <x:t xml:space="preserve">OKCountyRecords official index, Roger Mills County (instrument 1910-000114); searched 06/11/2026</x:t>
        </x:is>
      </x:c>
      <x:c r="L474" s="565" t="n"/>
      <x:c r="M474" s="565" t="n"/>
      <x:c r="N474" s="565" t="n"/>
      <x:c r="O474" s="565" t="n"/>
      <x:c r="P474" s="565" t="n"/>
      <x:c r="Q474" s="565" t="n"/>
      <x:c r="R474" s="565" t="n"/>
      <x:c r="S474" s="613" t="n"/>
      <x:c r="T474" s="565" t="n"/>
      <x:c r="U474" s="613" t="n"/>
      <x:c r="V474" s="565" t="n"/>
      <x:c r="W474" s="565" t="n"/>
      <x:c r="X474" s="565" t="n"/>
      <x:c r="Y474" s="565" t="n"/>
      <x:c r="Z474" s="565" t="n"/>
    </x:row>
    <x:row r="475">
      <x:c r="A475" s="527" t="inlineStr">
        <x:is>
          <x:t xml:space="preserve">1911-000098</x:t>
        </x:is>
      </x:c>
      <x:c r="B475" s="527" t="n"/>
      <x:c r="C475" s="527" t="inlineStr">
        <x:is>
          <x:t xml:space="preserve">Assignment</x:t>
        </x:is>
      </x:c>
      <x:c r="D475" s="527" t="inlineStr">
        <x:is>
          <x:t xml:space="preserve">ASN002/0028</x:t>
        </x:is>
      </x:c>
      <x:c r="E475" s="529" t="inlineStr">
        <x:is>
          <x:t xml:space="preserve">05/25/1911</x:t>
        </x:is>
      </x:c>
      <x:c r="F475" s="529" t="n">
        <x:v>4163</x:v>
      </x:c>
      <x:c r="G475" s="527" t="inlineStr">
        <x:is>
          <x:t xml:space="preserve">A. B. Kent</x:t>
        </x:is>
      </x:c>
      <x:c r="H475" s="527" t="inlineStr">
        <x:is>
          <x:t xml:space="preserve">Sarah Jane Kent</x:t>
        </x:is>
      </x:c>
      <x:c r="I475" s="527" t="inlineStr">
        <x:is>
          <x:t xml:space="preserve">31-12N-24W (AOL)</x:t>
        </x:is>
      </x:c>
      <x:c r="J475" s="527" t="inlineStr">
        <x:is>
          <x:t xml:space="preserve">Leasehold / WI</x:t>
        </x:is>
      </x:c>
      <x:c r="K475" s="527" t="inlineStr">
        <x:is>
          <x:t xml:space="preserve">OKCountyRecords official index, Roger Mills County (instrument 1911-000098); searched 06/11/2026</x:t>
        </x:is>
      </x:c>
      <x:c r="L475" s="565" t="n"/>
      <x:c r="M475" s="565" t="n"/>
      <x:c r="N475" s="565" t="n"/>
      <x:c r="O475" s="565" t="n"/>
      <x:c r="P475" s="565" t="n"/>
      <x:c r="Q475" s="565" t="n"/>
      <x:c r="R475" s="565" t="n"/>
      <x:c r="S475" s="613" t="n"/>
      <x:c r="T475" s="565" t="n"/>
      <x:c r="U475" s="613" t="n"/>
      <x:c r="V475" s="565" t="n"/>
      <x:c r="W475" s="565" t="n"/>
      <x:c r="X475" s="565" t="n"/>
      <x:c r="Y475" s="565" t="n"/>
      <x:c r="Z475" s="565" t="n"/>
    </x:row>
    <x:row r="476">
      <x:c r="A476" s="527" t="inlineStr">
        <x:is>
          <x:t xml:space="preserve">1913-000413</x:t>
        </x:is>
      </x:c>
      <x:c r="B476" s="527" t="n"/>
      <x:c r="C476" s="527" t="inlineStr">
        <x:is>
          <x:t xml:space="preserve">Deed</x:t>
        </x:is>
      </x:c>
      <x:c r="D476" s="527" t="inlineStr">
        <x:is>
          <x:t xml:space="preserve">D00019/0268</x:t>
        </x:is>
      </x:c>
      <x:c r="E476" s="529" t="inlineStr">
        <x:is>
          <x:t xml:space="preserve">01/10/1913</x:t>
        </x:is>
      </x:c>
      <x:c r="F476" s="529" t="n">
        <x:v>4759</x:v>
      </x:c>
      <x:c r="G476" s="527" t="inlineStr">
        <x:is>
          <x:t xml:space="preserve">Ernest Brooks,
Mary Brooks</x:t>
        </x:is>
      </x:c>
      <x:c r="H476" s="527" t="inlineStr">
        <x:is>
          <x:t xml:space="preserve">Susie Danforth,
W. C. Danforth</x:t>
        </x:is>
      </x:c>
      <x:c r="I476" s="527" t="inlineStr">
        <x:is>
          <x:t xml:space="preserve">31-12N-24W</x:t>
        </x:is>
      </x:c>
      <x:c r="J476" s="527" t="inlineStr">
        <x:is>
          <x:t xml:space="preserve">Fee / as stated</x:t>
        </x:is>
      </x:c>
      <x:c r="K476" s="527" t="inlineStr">
        <x:is>
          <x:t xml:space="preserve">OKCountyRecords official index, Roger Mills County (instrument 1913-000413); searched 06/11/2026</x:t>
        </x:is>
      </x:c>
      <x:c r="L476" s="565" t="n"/>
      <x:c r="M476" s="565" t="n"/>
      <x:c r="N476" s="565" t="n"/>
      <x:c r="O476" s="565" t="n"/>
      <x:c r="P476" s="565" t="n"/>
      <x:c r="Q476" s="565" t="n"/>
      <x:c r="R476" s="565" t="n"/>
      <x:c r="S476" s="613" t="n"/>
      <x:c r="T476" s="565" t="n"/>
      <x:c r="U476" s="613" t="n"/>
      <x:c r="V476" s="565" t="n"/>
      <x:c r="W476" s="565" t="n"/>
      <x:c r="X476" s="565" t="n"/>
      <x:c r="Y476" s="565" t="n"/>
      <x:c r="Z476" s="565" t="n"/>
    </x:row>
    <x:row r="477">
      <x:c r="A477" s="527" t="inlineStr">
        <x:is>
          <x:t xml:space="preserve">1913-000024</x:t>
        </x:is>
      </x:c>
      <x:c r="B477" s="527" t="n"/>
      <x:c r="C477" s="527" t="inlineStr">
        <x:is>
          <x:t xml:space="preserve">Assignment</x:t>
        </x:is>
      </x:c>
      <x:c r="D477" s="527" t="inlineStr">
        <x:is>
          <x:t xml:space="preserve">ASN002/0045</x:t>
        </x:is>
      </x:c>
      <x:c r="E477" s="529" t="inlineStr">
        <x:is>
          <x:t xml:space="preserve">03/12/1913</x:t>
        </x:is>
      </x:c>
      <x:c r="F477" s="529" t="n">
        <x:v>4820</x:v>
      </x:c>
      <x:c r="G477" s="527" t="inlineStr">
        <x:is>
          <x:t xml:space="preserve">G. E. Martin</x:t>
        </x:is>
      </x:c>
      <x:c r="H477" s="527" t="inlineStr">
        <x:is>
          <x:t xml:space="preserve">Georgie S. Preston</x:t>
        </x:is>
      </x:c>
      <x:c r="I477" s="527" t="inlineStr">
        <x:is>
          <x:t xml:space="preserve">31-12N-24W</x:t>
        </x:is>
      </x:c>
      <x:c r="J477" s="527" t="inlineStr">
        <x:is>
          <x:t xml:space="preserve">Leasehold / WI</x:t>
        </x:is>
      </x:c>
      <x:c r="K477" s="527" t="inlineStr">
        <x:is>
          <x:t xml:space="preserve">OKCountyRecords official index, Roger Mills County (instrument 1913-000024); searched 06/11/2026</x:t>
        </x:is>
      </x:c>
      <x:c r="L477" s="565" t="n"/>
      <x:c r="M477" s="565" t="n"/>
      <x:c r="N477" s="565" t="n"/>
      <x:c r="O477" s="565" t="n"/>
      <x:c r="P477" s="565" t="n"/>
      <x:c r="Q477" s="565" t="n"/>
      <x:c r="R477" s="565" t="n"/>
      <x:c r="S477" s="613" t="n"/>
      <x:c r="T477" s="565" t="n"/>
      <x:c r="U477" s="613" t="n"/>
      <x:c r="V477" s="565" t="n"/>
      <x:c r="W477" s="565" t="n"/>
      <x:c r="X477" s="565" t="n"/>
      <x:c r="Y477" s="565" t="n"/>
      <x:c r="Z477" s="565" t="n"/>
    </x:row>
    <x:row r="478">
      <x:c r="A478" s="527" t="inlineStr">
        <x:is>
          <x:t xml:space="preserve">1913-000133</x:t>
        </x:is>
      </x:c>
      <x:c r="B478" s="527" t="n"/>
      <x:c r="C478" s="527" t="inlineStr">
        <x:is>
          <x:t xml:space="preserve">Assignment</x:t>
        </x:is>
      </x:c>
      <x:c r="D478" s="527" t="inlineStr">
        <x:is>
          <x:t xml:space="preserve">ASN003/0182</x:t>
        </x:is>
      </x:c>
      <x:c r="E478" s="529" t="inlineStr">
        <x:is>
          <x:t xml:space="preserve">03/31/1913</x:t>
        </x:is>
      </x:c>
      <x:c r="F478" s="529" t="n">
        <x:v>4839</x:v>
      </x:c>
      <x:c r="G478" s="527" t="inlineStr">
        <x:is>
          <x:t xml:space="preserve">P. E. Schaub</x:t>
        </x:is>
      </x:c>
      <x:c r="H478" s="527" t="inlineStr">
        <x:is>
          <x:t xml:space="preserve">W. D. Wilson</x:t>
        </x:is>
      </x:c>
      <x:c r="I478" s="527" t="inlineStr">
        <x:is>
          <x:t xml:space="preserve">31-12N-24W (AOL)</x:t>
        </x:is>
      </x:c>
      <x:c r="J478" s="527" t="inlineStr">
        <x:is>
          <x:t xml:space="preserve">Leasehold / WI</x:t>
        </x:is>
      </x:c>
      <x:c r="K478" s="527" t="inlineStr">
        <x:is>
          <x:t xml:space="preserve">OKCountyRecords official index, Roger Mills County (instrument 1913-000133); searched 06/11/2026</x:t>
        </x:is>
      </x:c>
      <x:c r="L478" s="565" t="n"/>
      <x:c r="M478" s="565" t="n"/>
      <x:c r="N478" s="565" t="n"/>
      <x:c r="O478" s="565" t="n"/>
      <x:c r="P478" s="565" t="n"/>
      <x:c r="Q478" s="565" t="n"/>
      <x:c r="R478" s="565" t="n"/>
      <x:c r="S478" s="613" t="n"/>
      <x:c r="T478" s="565" t="n"/>
      <x:c r="U478" s="613" t="n"/>
      <x:c r="V478" s="565" t="n"/>
      <x:c r="W478" s="565" t="n"/>
      <x:c r="X478" s="565" t="n"/>
      <x:c r="Y478" s="565" t="n"/>
      <x:c r="Z478" s="565" t="n"/>
    </x:row>
    <x:row r="479">
      <x:c r="A479" s="527" t="inlineStr">
        <x:is>
          <x:t xml:space="preserve">1913-000192</x:t>
        </x:is>
      </x:c>
      <x:c r="B479" s="527" t="n"/>
      <x:c r="C479" s="527" t="inlineStr">
        <x:is>
          <x:t xml:space="preserve">Assignment</x:t>
        </x:is>
      </x:c>
      <x:c r="D479" s="527" t="inlineStr">
        <x:is>
          <x:t xml:space="preserve">ASN004/0012</x:t>
        </x:is>
      </x:c>
      <x:c r="E479" s="529" t="inlineStr">
        <x:is>
          <x:t xml:space="preserve">04/13/1913</x:t>
        </x:is>
      </x:c>
      <x:c r="F479" s="529" t="n">
        <x:v>4852</x:v>
      </x:c>
      <x:c r="G479" s="527" t="inlineStr">
        <x:is>
          <x:t xml:space="preserve">G. E. Martin</x:t>
        </x:is>
      </x:c>
      <x:c r="H479" s="527" t="inlineStr">
        <x:is>
          <x:t xml:space="preserve">Will G. Barber</x:t>
        </x:is>
      </x:c>
      <x:c r="I479" s="527" t="inlineStr">
        <x:is>
          <x:t xml:space="preserve">31-12N-24W</x:t>
        </x:is>
      </x:c>
      <x:c r="J479" s="527" t="inlineStr">
        <x:is>
          <x:t xml:space="preserve">Leasehold / WI</x:t>
        </x:is>
      </x:c>
      <x:c r="K479" s="527" t="inlineStr">
        <x:is>
          <x:t xml:space="preserve">OKCountyRecords official index, Roger Mills County (instrument 1913-000192); searched 06/11/2026</x:t>
        </x:is>
      </x:c>
      <x:c r="L479" s="565" t="n"/>
      <x:c r="M479" s="565" t="n"/>
      <x:c r="N479" s="565" t="n"/>
      <x:c r="O479" s="565" t="n"/>
      <x:c r="P479" s="565" t="n"/>
      <x:c r="Q479" s="565" t="n"/>
      <x:c r="R479" s="565" t="n"/>
      <x:c r="S479" s="613" t="n"/>
      <x:c r="T479" s="565" t="n"/>
      <x:c r="U479" s="613" t="n"/>
      <x:c r="V479" s="565" t="n"/>
      <x:c r="W479" s="565" t="n"/>
      <x:c r="X479" s="565" t="n"/>
      <x:c r="Y479" s="565" t="n"/>
      <x:c r="Z479" s="565" t="n"/>
    </x:row>
    <x:row r="480">
      <x:c r="A480" s="527" t="inlineStr">
        <x:is>
          <x:t xml:space="preserve">1914-002273</x:t>
        </x:is>
      </x:c>
      <x:c r="B480" s="527" t="n"/>
      <x:c r="C480" s="527" t="inlineStr">
        <x:is>
          <x:t xml:space="preserve">Release</x:t>
        </x:is>
      </x:c>
      <x:c r="D480" s="527" t="inlineStr">
        <x:is>
          <x:t xml:space="preserve">REL005/0489</x:t>
        </x:is>
      </x:c>
      <x:c r="E480" s="529" t="inlineStr">
        <x:is>
          <x:t xml:space="preserve">06/22/1914</x:t>
        </x:is>
      </x:c>
      <x:c r="F480" s="529" t="n">
        <x:v>5287</x:v>
      </x:c>
      <x:c r="G480" s="527" t="inlineStr">
        <x:is>
          <x:t xml:space="preserve">Graves Farm Loan Investment Company</x:t>
        </x:is>
      </x:c>
      <x:c r="H480" s="527" t="inlineStr">
        <x:is>
          <x:t xml:space="preserve">Roy A. Garrison,
Virdie M. Garrison</x:t>
        </x:is>
      </x:c>
      <x:c r="I480" s="527" t="inlineStr">
        <x:is>
          <x:t xml:space="preserve">31-12N-24W (AOL)</x:t>
        </x:is>
      </x:c>
      <x:c r="J480" s="527" t="inlineStr">
        <x:is>
          <x:t xml:space="preserve">Leasehold / WI</x:t>
        </x:is>
      </x:c>
      <x:c r="K480" s="527" t="inlineStr">
        <x:is>
          <x:t xml:space="preserve">OKCountyRecords official index, Roger Mills County (instrument 1914-002273); searched 06/11/2026</x:t>
        </x:is>
      </x:c>
      <x:c r="L480" s="565" t="n"/>
      <x:c r="M480" s="565" t="n"/>
      <x:c r="N480" s="565" t="n"/>
      <x:c r="O480" s="565" t="n"/>
      <x:c r="P480" s="565" t="n"/>
      <x:c r="Q480" s="565" t="n"/>
      <x:c r="R480" s="565" t="n"/>
      <x:c r="S480" s="613" t="n"/>
      <x:c r="T480" s="565" t="n"/>
      <x:c r="U480" s="613" t="n"/>
      <x:c r="V480" s="565" t="n"/>
      <x:c r="W480" s="565" t="n"/>
      <x:c r="X480" s="565" t="n"/>
      <x:c r="Y480" s="565" t="n"/>
      <x:c r="Z480" s="565" t="n"/>
    </x:row>
    <x:row r="481">
      <x:c r="A481" s="527" t="inlineStr">
        <x:is>
          <x:t xml:space="preserve">1914-002098</x:t>
        </x:is>
      </x:c>
      <x:c r="B481" s="527" t="n"/>
      <x:c r="C481" s="527" t="inlineStr">
        <x:is>
          <x:t xml:space="preserve">Release</x:t>
        </x:is>
      </x:c>
      <x:c r="D481" s="527" t="inlineStr">
        <x:is>
          <x:t xml:space="preserve">REL004/0361</x:t>
        </x:is>
      </x:c>
      <x:c r="E481" s="529" t="inlineStr">
        <x:is>
          <x:t xml:space="preserve">08/02/1914</x:t>
        </x:is>
      </x:c>
      <x:c r="F481" s="529" t="n">
        <x:v>5328</x:v>
      </x:c>
      <x:c r="G481" s="527" t="inlineStr">
        <x:is>
          <x:t xml:space="preserve">G. E. Martin</x:t>
        </x:is>
      </x:c>
      <x:c r="H481" s="527" t="inlineStr">
        <x:is>
          <x:t xml:space="preserve">E. S. Repass,
Sarah Repass</x:t>
        </x:is>
      </x:c>
      <x:c r="I481" s="527" t="inlineStr">
        <x:is>
          <x:t xml:space="preserve">31-12N-24W (AOL)</x:t>
        </x:is>
      </x:c>
      <x:c r="J481" s="527" t="inlineStr">
        <x:is>
          <x:t xml:space="preserve">Leasehold / WI</x:t>
        </x:is>
      </x:c>
      <x:c r="K481" s="527" t="inlineStr">
        <x:is>
          <x:t xml:space="preserve">OKCountyRecords official index, Roger Mills County (instrument 1914-002098); searched 06/11/2026</x:t>
        </x:is>
      </x:c>
      <x:c r="L481" s="565" t="n"/>
      <x:c r="M481" s="565" t="n"/>
      <x:c r="N481" s="565" t="n"/>
      <x:c r="O481" s="565" t="n"/>
      <x:c r="P481" s="565" t="n"/>
      <x:c r="Q481" s="565" t="n"/>
      <x:c r="R481" s="565" t="n"/>
      <x:c r="S481" s="613" t="n"/>
      <x:c r="T481" s="565" t="n"/>
      <x:c r="U481" s="613" t="n"/>
      <x:c r="V481" s="565" t="n"/>
      <x:c r="W481" s="565" t="n"/>
      <x:c r="X481" s="565" t="n"/>
      <x:c r="Y481" s="565" t="n"/>
      <x:c r="Z481" s="565" t="n"/>
    </x:row>
    <x:row r="482">
      <x:c r="A482" s="527" t="inlineStr">
        <x:is>
          <x:t xml:space="preserve">1914-002382</x:t>
        </x:is>
      </x:c>
      <x:c r="B482" s="527" t="n"/>
      <x:c r="C482" s="527" t="inlineStr">
        <x:is>
          <x:t xml:space="preserve">Release</x:t>
        </x:is>
      </x:c>
      <x:c r="D482" s="527" t="inlineStr">
        <x:is>
          <x:t xml:space="preserve">REL006/0104</x:t>
        </x:is>
      </x:c>
      <x:c r="E482" s="529" t="inlineStr">
        <x:is>
          <x:t xml:space="preserve">08/14/1914</x:t>
        </x:is>
      </x:c>
      <x:c r="F482" s="529" t="n">
        <x:v>5340</x:v>
      </x:c>
      <x:c r="G482" s="527" t="inlineStr">
        <x:is>
          <x:t xml:space="preserve">Oklahoma Farm Mortgage Co</x:t>
        </x:is>
      </x:c>
      <x:c r="H482" s="527" t="inlineStr">
        <x:is>
          <x:t xml:space="preserve">Claude J. McGuire,
Herbert E. McGuire</x:t>
        </x:is>
      </x:c>
      <x:c r="I482" s="527" t="inlineStr">
        <x:is>
          <x:t xml:space="preserve">31-12N-24W</x:t>
        </x:is>
      </x:c>
      <x:c r="J482" s="527" t="inlineStr">
        <x:is>
          <x:t xml:space="preserve">Leasehold / WI</x:t>
        </x:is>
      </x:c>
      <x:c r="K482" s="527" t="inlineStr">
        <x:is>
          <x:t xml:space="preserve">OKCountyRecords official index, Roger Mills County (instrument 1914-002382); searched 06/11/2026</x:t>
        </x:is>
      </x:c>
      <x:c r="L482" s="565" t="n"/>
      <x:c r="M482" s="565" t="n"/>
      <x:c r="N482" s="565" t="n"/>
      <x:c r="O482" s="565" t="n"/>
      <x:c r="P482" s="565" t="n"/>
      <x:c r="Q482" s="565" t="n"/>
      <x:c r="R482" s="565" t="n"/>
      <x:c r="S482" s="613" t="n"/>
      <x:c r="T482" s="565" t="n"/>
      <x:c r="U482" s="613" t="n"/>
      <x:c r="V482" s="565" t="n"/>
      <x:c r="W482" s="565" t="n"/>
      <x:c r="X482" s="565" t="n"/>
      <x:c r="Y482" s="565" t="n"/>
      <x:c r="Z482" s="565" t="n"/>
    </x:row>
    <x:row r="483">
      <x:c r="A483" s="527" t="inlineStr">
        <x:is>
          <x:t xml:space="preserve">1914-000130</x:t>
        </x:is>
      </x:c>
      <x:c r="B483" s="527" t="n"/>
      <x:c r="C483" s="527" t="inlineStr">
        <x:is>
          <x:t xml:space="preserve">Assignment</x:t>
        </x:is>
      </x:c>
      <x:c r="D483" s="527" t="inlineStr">
        <x:is>
          <x:t xml:space="preserve">ASN003/0285</x:t>
        </x:is>
      </x:c>
      <x:c r="E483" s="529" t="inlineStr">
        <x:is>
          <x:t xml:space="preserve">11/21/1914</x:t>
        </x:is>
      </x:c>
      <x:c r="F483" s="529" t="n">
        <x:v>5439</x:v>
      </x:c>
      <x:c r="G483" s="527" t="inlineStr">
        <x:is>
          <x:t xml:space="preserve">E. C. Thorne</x:t>
        </x:is>
      </x:c>
      <x:c r="H483" s="527" t="inlineStr">
        <x:is>
          <x:t xml:space="preserve">State Life Insurance Company</x:t>
        </x:is>
      </x:c>
      <x:c r="I483" s="527" t="inlineStr">
        <x:is>
          <x:t xml:space="preserve">31-12N-24W</x:t>
        </x:is>
      </x:c>
      <x:c r="J483" s="527" t="inlineStr">
        <x:is>
          <x:t xml:space="preserve">Leasehold / WI</x:t>
        </x:is>
      </x:c>
      <x:c r="K483" s="527" t="inlineStr">
        <x:is>
          <x:t xml:space="preserve">OKCountyRecords official index, Roger Mills County (instrument 1914-000130); searched 06/11/2026</x:t>
        </x:is>
      </x:c>
      <x:c r="L483" s="565" t="n"/>
      <x:c r="M483" s="565" t="n"/>
      <x:c r="N483" s="565" t="n"/>
      <x:c r="O483" s="565" t="n"/>
      <x:c r="P483" s="565" t="n"/>
      <x:c r="Q483" s="565" t="n"/>
      <x:c r="R483" s="565" t="n"/>
      <x:c r="S483" s="613" t="n"/>
      <x:c r="T483" s="565" t="n"/>
      <x:c r="U483" s="613" t="n"/>
      <x:c r="V483" s="565" t="n"/>
      <x:c r="W483" s="565" t="n"/>
      <x:c r="X483" s="565" t="n"/>
      <x:c r="Y483" s="565" t="n"/>
      <x:c r="Z483" s="565" t="n"/>
    </x:row>
    <x:row r="484">
      <x:c r="A484" s="527" t="inlineStr">
        <x:is>
          <x:t xml:space="preserve">1914-002143</x:t>
        </x:is>
      </x:c>
      <x:c r="B484" s="527" t="n"/>
      <x:c r="C484" s="527" t="inlineStr">
        <x:is>
          <x:t xml:space="preserve">Release</x:t>
        </x:is>
      </x:c>
      <x:c r="D484" s="527" t="inlineStr">
        <x:is>
          <x:t xml:space="preserve">REL004/0383</x:t>
        </x:is>
      </x:c>
      <x:c r="E484" s="529" t="inlineStr">
        <x:is>
          <x:t xml:space="preserve">11/21/1914</x:t>
        </x:is>
      </x:c>
      <x:c r="F484" s="529" t="n">
        <x:v>5439</x:v>
      </x:c>
      <x:c r="G484" s="527" t="inlineStr">
        <x:is>
          <x:t xml:space="preserve">Abram Poole Jr.</x:t>
        </x:is>
      </x:c>
      <x:c r="H484" s="527" t="inlineStr">
        <x:is>
          <x:t xml:space="preserve">Claude J. McGuire,
H. E. McGuire</x:t>
        </x:is>
      </x:c>
      <x:c r="I484" s="527" t="inlineStr">
        <x:is>
          <x:t xml:space="preserve">31-12N-24W</x:t>
        </x:is>
      </x:c>
      <x:c r="J484" s="527" t="inlineStr">
        <x:is>
          <x:t xml:space="preserve">Leasehold / WI</x:t>
        </x:is>
      </x:c>
      <x:c r="K484" s="527" t="inlineStr">
        <x:is>
          <x:t xml:space="preserve">OKCountyRecords official index, Roger Mills County (instrument 1914-002143); searched 06/11/2026</x:t>
        </x:is>
      </x:c>
      <x:c r="L484" s="565" t="n"/>
      <x:c r="M484" s="565" t="n"/>
      <x:c r="N484" s="565" t="n"/>
      <x:c r="O484" s="565" t="n"/>
      <x:c r="P484" s="565" t="n"/>
      <x:c r="Q484" s="565" t="n"/>
      <x:c r="R484" s="565" t="n"/>
      <x:c r="S484" s="613" t="n"/>
      <x:c r="T484" s="565" t="n"/>
      <x:c r="U484" s="613" t="n"/>
      <x:c r="V484" s="565" t="n"/>
      <x:c r="W484" s="565" t="n"/>
      <x:c r="X484" s="565" t="n"/>
      <x:c r="Y484" s="565" t="n"/>
      <x:c r="Z484" s="565" t="n"/>
    </x:row>
    <x:row r="485">
      <x:c r="A485" s="527" t="inlineStr">
        <x:is>
          <x:t xml:space="preserve">1916-001105</x:t>
        </x:is>
      </x:c>
      <x:c r="B485" s="527" t="n"/>
      <x:c r="C485" s="527" t="inlineStr">
        <x:is>
          <x:t xml:space="preserve">Lease</x:t>
        </x:is>
      </x:c>
      <x:c r="D485" s="527" t="inlineStr">
        <x:is>
          <x:t xml:space="preserve">MIS009/0513</x:t>
        </x:is>
      </x:c>
      <x:c r="E485" s="529" t="inlineStr">
        <x:is>
          <x:t xml:space="preserve">03/09/1916</x:t>
        </x:is>
      </x:c>
      <x:c r="F485" s="529" t="n">
        <x:v>5913</x:v>
      </x:c>
      <x:c r="G485" s="527" t="inlineStr">
        <x:is>
          <x:t xml:space="preserve">W. D. Wilson</x:t>
        </x:is>
      </x:c>
      <x:c r="H485" s="527" t="inlineStr">
        <x:is>
          <x:t xml:space="preserve">Olo Olson</x:t>
        </x:is>
      </x:c>
      <x:c r="I485" s="527" t="inlineStr">
        <x:is>
          <x:t xml:space="preserve">31-12N-24W (AOL)</x:t>
        </x:is>
      </x:c>
      <x:c r="J485" s="527" t="inlineStr">
        <x:is>
          <x:t xml:space="preserve">Leasehold / WI</x:t>
        </x:is>
      </x:c>
      <x:c r="K485" s="527" t="inlineStr">
        <x:is>
          <x:t xml:space="preserve">OKCountyRecords official index, Roger Mills County (instrument 1916-001105); searched 06/11/2026</x:t>
        </x:is>
      </x:c>
      <x:c r="L485" s="565" t="n"/>
      <x:c r="M485" s="565" t="n"/>
      <x:c r="N485" s="565" t="n"/>
      <x:c r="O485" s="565" t="n"/>
      <x:c r="P485" s="565" t="n"/>
      <x:c r="Q485" s="565" t="n"/>
      <x:c r="R485" s="565" t="n"/>
      <x:c r="S485" s="613" t="n"/>
      <x:c r="T485" s="565" t="n"/>
      <x:c r="U485" s="613" t="n"/>
      <x:c r="V485" s="565" t="n"/>
      <x:c r="W485" s="565" t="n"/>
      <x:c r="X485" s="565" t="n"/>
      <x:c r="Y485" s="565" t="n"/>
      <x:c r="Z485" s="565" t="n"/>
    </x:row>
    <x:row r="486">
      <x:c r="A486" s="527" t="inlineStr">
        <x:is>
          <x:t xml:space="preserve">1916-000332</x:t>
        </x:is>
      </x:c>
      <x:c r="B486" s="527" t="n"/>
      <x:c r="C486" s="527" t="inlineStr">
        <x:is>
          <x:t xml:space="preserve">Deed</x:t>
        </x:is>
      </x:c>
      <x:c r="D486" s="527" t="inlineStr">
        <x:is>
          <x:t xml:space="preserve">D00022/0248</x:t>
        </x:is>
      </x:c>
      <x:c r="E486" s="529" t="inlineStr">
        <x:is>
          <x:t xml:space="preserve">03/21/1916</x:t>
        </x:is>
      </x:c>
      <x:c r="F486" s="529" t="n">
        <x:v>5925</x:v>
      </x:c>
      <x:c r="G486" s="527" t="inlineStr">
        <x:is>
          <x:t xml:space="preserve">H. L. Rowley,
Myrtie Rowley</x:t>
        </x:is>
      </x:c>
      <x:c r="H486" s="527" t="inlineStr">
        <x:is>
          <x:t xml:space="preserve">H. E. Rupp</x:t>
        </x:is>
      </x:c>
      <x:c r="I486" s="527" t="inlineStr">
        <x:is>
          <x:t xml:space="preserve">31-12N-24W (AOL)</x:t>
        </x:is>
      </x:c>
      <x:c r="J486" s="527" t="inlineStr">
        <x:is>
          <x:t xml:space="preserve">Fee / as stated</x:t>
        </x:is>
      </x:c>
      <x:c r="K486" s="527" t="inlineStr">
        <x:is>
          <x:t xml:space="preserve">OKCountyRecords official index, Roger Mills County (instrument 1916-000332); searched 06/11/2026</x:t>
        </x:is>
      </x:c>
      <x:c r="L486" s="565" t="n"/>
      <x:c r="M486" s="565" t="n"/>
      <x:c r="N486" s="565" t="n"/>
      <x:c r="O486" s="565" t="n"/>
      <x:c r="P486" s="565" t="n"/>
      <x:c r="Q486" s="565" t="n"/>
      <x:c r="R486" s="565" t="n"/>
      <x:c r="S486" s="613" t="n"/>
      <x:c r="T486" s="565" t="n"/>
      <x:c r="U486" s="613" t="n"/>
      <x:c r="V486" s="565" t="n"/>
      <x:c r="W486" s="565" t="n"/>
      <x:c r="X486" s="565" t="n"/>
      <x:c r="Y486" s="565" t="n"/>
      <x:c r="Z486" s="565" t="n"/>
    </x:row>
    <x:row r="487">
      <x:c r="A487" s="527" t="inlineStr">
        <x:is>
          <x:t xml:space="preserve">1917-004125</x:t>
        </x:is>
      </x:c>
      <x:c r="B487" s="527" t="n"/>
      <x:c r="C487" s="527" t="inlineStr">
        <x:is>
          <x:t xml:space="preserve">Release</x:t>
        </x:is>
      </x:c>
      <x:c r="D487" s="527" t="inlineStr">
        <x:is>
          <x:t xml:space="preserve">REL004/0563</x:t>
        </x:is>
      </x:c>
      <x:c r="E487" s="529" t="inlineStr">
        <x:is>
          <x:t xml:space="preserve">03/02/1917</x:t>
        </x:is>
      </x:c>
      <x:c r="F487" s="529" t="n">
        <x:v>6271</x:v>
      </x:c>
      <x:c r="G487" s="527" t="inlineStr">
        <x:is>
          <x:t xml:space="preserve">Abram Poole Jr.</x:t>
        </x:is>
      </x:c>
      <x:c r="H487" s="527" t="inlineStr">
        <x:is>
          <x:t xml:space="preserve">Bertha M. Hambrook,
Mark Hambrook</x:t>
        </x:is>
      </x:c>
      <x:c r="I487" s="527" t="inlineStr">
        <x:is>
          <x:t xml:space="preserve">31-12N-24W</x:t>
        </x:is>
      </x:c>
      <x:c r="J487" s="527" t="inlineStr">
        <x:is>
          <x:t xml:space="preserve">Leasehold / WI</x:t>
        </x:is>
      </x:c>
      <x:c r="K487" s="527" t="inlineStr">
        <x:is>
          <x:t xml:space="preserve">OKCountyRecords official index, Roger Mills County (instrument 1917-004125); searched 06/11/2026</x:t>
        </x:is>
      </x:c>
      <x:c r="L487" s="565" t="n"/>
      <x:c r="M487" s="565" t="n"/>
      <x:c r="N487" s="565" t="n"/>
      <x:c r="O487" s="565" t="n"/>
      <x:c r="P487" s="565" t="n"/>
      <x:c r="Q487" s="565" t="n"/>
      <x:c r="R487" s="565" t="n"/>
      <x:c r="S487" s="613" t="n"/>
      <x:c r="T487" s="565" t="n"/>
      <x:c r="U487" s="613" t="n"/>
      <x:c r="V487" s="565" t="n"/>
      <x:c r="W487" s="565" t="n"/>
      <x:c r="X487" s="565" t="n"/>
      <x:c r="Y487" s="565" t="n"/>
      <x:c r="Z487" s="565" t="n"/>
    </x:row>
    <x:row r="488">
      <x:c r="A488" s="527" t="inlineStr">
        <x:is>
          <x:t xml:space="preserve">1917-003351</x:t>
        </x:is>
      </x:c>
      <x:c r="B488" s="527" t="n"/>
      <x:c r="C488" s="527" t="inlineStr">
        <x:is>
          <x:t xml:space="preserve">Oil and Gas Lease</x:t>
        </x:is>
      </x:c>
      <x:c r="D488" s="527" t="inlineStr">
        <x:is>
          <x:t xml:space="preserve">OGL004/0061</x:t>
        </x:is>
      </x:c>
      <x:c r="E488" s="529" t="inlineStr">
        <x:is>
          <x:t xml:space="preserve">05/03/1917</x:t>
        </x:is>
      </x:c>
      <x:c r="F488" s="529" t="n">
        <x:v>6333</x:v>
      </x:c>
      <x:c r="G488" s="527" t="inlineStr">
        <x:is>
          <x:t xml:space="preserve">H. E. Rupp,
L. M. Rupp</x:t>
        </x:is>
      </x:c>
      <x:c r="H488" s="527" t="inlineStr">
        <x:is>
          <x:t xml:space="preserve">Reo Oil &amp; Gas Company</x:t>
        </x:is>
      </x:c>
      <x:c r="I488" s="527" t="inlineStr">
        <x:is>
          <x:t xml:space="preserve">31-12N-24W (AOL)</x:t>
        </x:is>
      </x:c>
      <x:c r="J488" s="527" t="inlineStr">
        <x:is>
          <x:t xml:space="preserve">Leasehold / WI</x:t>
        </x:is>
      </x:c>
      <x:c r="K488" s="527" t="inlineStr">
        <x:is>
          <x:t xml:space="preserve">OKCountyRecords official index, Roger Mills County (instrument 1917-003351); searched 06/11/2026</x:t>
        </x:is>
      </x:c>
      <x:c r="L488" s="565" t="n"/>
      <x:c r="M488" s="565" t="n"/>
      <x:c r="N488" s="565" t="n"/>
      <x:c r="O488" s="565" t="n"/>
      <x:c r="P488" s="565" t="n"/>
      <x:c r="Q488" s="565" t="n"/>
      <x:c r="R488" s="565" t="n"/>
      <x:c r="S488" s="613" t="n"/>
      <x:c r="T488" s="565" t="n"/>
      <x:c r="U488" s="613" t="n"/>
      <x:c r="V488" s="565" t="n"/>
      <x:c r="W488" s="565" t="n"/>
      <x:c r="X488" s="565" t="n"/>
      <x:c r="Y488" s="565" t="n"/>
      <x:c r="Z488" s="565" t="n"/>
    </x:row>
    <x:row r="489">
      <x:c r="A489" s="527" t="inlineStr">
        <x:is>
          <x:t xml:space="preserve">1917-003354</x:t>
        </x:is>
      </x:c>
      <x:c r="B489" s="527" t="n"/>
      <x:c r="C489" s="527" t="inlineStr">
        <x:is>
          <x:t xml:space="preserve">Oil and Gas Lease</x:t>
        </x:is>
      </x:c>
      <x:c r="D489" s="527" t="inlineStr">
        <x:is>
          <x:t xml:space="preserve">OGL004/0064</x:t>
        </x:is>
      </x:c>
      <x:c r="E489" s="529" t="inlineStr">
        <x:is>
          <x:t xml:space="preserve">05/03/1917</x:t>
        </x:is>
      </x:c>
      <x:c r="F489" s="529" t="n">
        <x:v>6333</x:v>
      </x:c>
      <x:c r="G489" s="527" t="inlineStr">
        <x:is>
          <x:t xml:space="preserve">M. Hambrook</x:t>
        </x:is>
      </x:c>
      <x:c r="H489" s="527" t="inlineStr">
        <x:is>
          <x:t xml:space="preserve">Reo Oil &amp; Gas Company</x:t>
        </x:is>
      </x:c>
      <x:c r="I489" s="527" t="inlineStr">
        <x:is>
          <x:t xml:space="preserve">31-12N-24W</x:t>
        </x:is>
      </x:c>
      <x:c r="J489" s="527" t="inlineStr">
        <x:is>
          <x:t xml:space="preserve">Leasehold / WI</x:t>
        </x:is>
      </x:c>
      <x:c r="K489" s="527" t="inlineStr">
        <x:is>
          <x:t xml:space="preserve">OKCountyRecords official index, Roger Mills County (instrument 1917-003354); searched 06/11/2026</x:t>
        </x:is>
      </x:c>
      <x:c r="L489" s="565" t="n"/>
      <x:c r="M489" s="565" t="n"/>
      <x:c r="N489" s="565" t="n"/>
      <x:c r="O489" s="565" t="n"/>
      <x:c r="P489" s="565" t="n"/>
      <x:c r="Q489" s="565" t="n"/>
      <x:c r="R489" s="565" t="n"/>
      <x:c r="S489" s="613" t="n"/>
      <x:c r="T489" s="565" t="n"/>
      <x:c r="U489" s="613" t="n"/>
      <x:c r="V489" s="565" t="n"/>
      <x:c r="W489" s="565" t="n"/>
      <x:c r="X489" s="565" t="n"/>
      <x:c r="Y489" s="565" t="n"/>
      <x:c r="Z489" s="565" t="n"/>
    </x:row>
    <x:row r="490">
      <x:c r="A490" s="527" t="inlineStr">
        <x:is>
          <x:t xml:space="preserve">1917-003731</x:t>
        </x:is>
      </x:c>
      <x:c r="B490" s="527" t="n"/>
      <x:c r="C490" s="527" t="inlineStr">
        <x:is>
          <x:t xml:space="preserve">Oil and Gas Lease</x:t>
        </x:is>
      </x:c>
      <x:c r="D490" s="527" t="inlineStr">
        <x:is>
          <x:t xml:space="preserve">OGL005/0320</x:t>
        </x:is>
      </x:c>
      <x:c r="E490" s="529" t="inlineStr">
        <x:is>
          <x:t xml:space="preserve">07/08/1917</x:t>
        </x:is>
      </x:c>
      <x:c r="F490" s="529" t="n">
        <x:v>6399</x:v>
      </x:c>
      <x:c r="G490" s="527" t="inlineStr">
        <x:is>
          <x:t xml:space="preserve">Claude J. McGuire,
Herbert E. McGuire</x:t>
        </x:is>
      </x:c>
      <x:c r="H490" s="527" t="inlineStr">
        <x:is>
          <x:t xml:space="preserve">Empire Gas &amp; Fuel Company</x:t>
        </x:is>
      </x:c>
      <x:c r="I490" s="527" t="inlineStr">
        <x:is>
          <x:t xml:space="preserve">31-12N-24W</x:t>
        </x:is>
      </x:c>
      <x:c r="J490" s="527" t="inlineStr">
        <x:is>
          <x:t xml:space="preserve">Leasehold / WI</x:t>
        </x:is>
      </x:c>
      <x:c r="K490" s="527" t="inlineStr">
        <x:is>
          <x:t xml:space="preserve">OKCountyRecords official index, Roger Mills County (instrument 1917-003731); searched 06/11/2026</x:t>
        </x:is>
      </x:c>
      <x:c r="L490" s="565" t="n"/>
      <x:c r="M490" s="565" t="n"/>
      <x:c r="N490" s="565" t="n"/>
      <x:c r="O490" s="565" t="n"/>
      <x:c r="P490" s="565" t="n"/>
      <x:c r="Q490" s="565" t="n"/>
      <x:c r="R490" s="565" t="n"/>
      <x:c r="S490" s="613" t="n"/>
      <x:c r="T490" s="565" t="n"/>
      <x:c r="U490" s="613" t="n"/>
      <x:c r="V490" s="565" t="n"/>
      <x:c r="W490" s="565" t="n"/>
      <x:c r="X490" s="565" t="n"/>
      <x:c r="Y490" s="565" t="n"/>
      <x:c r="Z490" s="565" t="n"/>
    </x:row>
    <x:row r="491">
      <x:c r="A491" s="527" t="inlineStr">
        <x:is>
          <x:t xml:space="preserve">1917-003743</x:t>
        </x:is>
      </x:c>
      <x:c r="B491" s="527" t="n"/>
      <x:c r="C491" s="527" t="inlineStr">
        <x:is>
          <x:t xml:space="preserve">Oil and Gas Lease</x:t>
        </x:is>
      </x:c>
      <x:c r="D491" s="527" t="inlineStr">
        <x:is>
          <x:t xml:space="preserve">OGL005/0332</x:t>
        </x:is>
      </x:c>
      <x:c r="E491" s="529" t="inlineStr">
        <x:is>
          <x:t xml:space="preserve">07/08/1917</x:t>
        </x:is>
      </x:c>
      <x:c r="F491" s="529" t="n">
        <x:v>6399</x:v>
      </x:c>
      <x:c r="G491" s="527" t="inlineStr">
        <x:is>
          <x:t xml:space="preserve">C. S. Repass,
Sarah Repass</x:t>
        </x:is>
      </x:c>
      <x:c r="H491" s="527" t="inlineStr">
        <x:is>
          <x:t xml:space="preserve">Empire Gas &amp; Fuel Company</x:t>
        </x:is>
      </x:c>
      <x:c r="I491" s="527" t="inlineStr">
        <x:is>
          <x:t xml:space="preserve">31-12N-24W</x:t>
        </x:is>
      </x:c>
      <x:c r="J491" s="527" t="inlineStr">
        <x:is>
          <x:t xml:space="preserve">Leasehold / WI</x:t>
        </x:is>
      </x:c>
      <x:c r="K491" s="527" t="inlineStr">
        <x:is>
          <x:t xml:space="preserve">OKCountyRecords official index, Roger Mills County (instrument 1917-003743); searched 06/11/2026</x:t>
        </x:is>
      </x:c>
      <x:c r="L491" s="565" t="n"/>
      <x:c r="M491" s="565" t="n"/>
      <x:c r="N491" s="565" t="n"/>
      <x:c r="O491" s="565" t="n"/>
      <x:c r="P491" s="565" t="n"/>
      <x:c r="Q491" s="565" t="n"/>
      <x:c r="R491" s="565" t="n"/>
      <x:c r="S491" s="613" t="n"/>
      <x:c r="T491" s="565" t="n"/>
      <x:c r="U491" s="613" t="n"/>
      <x:c r="V491" s="565" t="n"/>
      <x:c r="W491" s="565" t="n"/>
      <x:c r="X491" s="565" t="n"/>
      <x:c r="Y491" s="565" t="n"/>
      <x:c r="Z491" s="565" t="n"/>
    </x:row>
    <x:row r="492">
      <x:c r="A492" s="527" t="inlineStr">
        <x:is>
          <x:t xml:space="preserve">1917-004775</x:t>
        </x:is>
      </x:c>
      <x:c r="B492" s="527" t="n"/>
      <x:c r="C492" s="527" t="inlineStr">
        <x:is>
          <x:t xml:space="preserve">Release</x:t>
        </x:is>
      </x:c>
      <x:c r="D492" s="527" t="inlineStr">
        <x:is>
          <x:t xml:space="preserve">REL009/0089</x:t>
        </x:is>
      </x:c>
      <x:c r="E492" s="529" t="inlineStr">
        <x:is>
          <x:t xml:space="preserve">12/22/1917</x:t>
        </x:is>
      </x:c>
      <x:c r="F492" s="529" t="n">
        <x:v>6566</x:v>
      </x:c>
      <x:c r="G492" s="527" t="inlineStr">
        <x:is>
          <x:t xml:space="preserve">Will G. Barber</x:t>
        </x:is>
      </x:c>
      <x:c r="H492" s="527" t="inlineStr">
        <x:is>
          <x:t xml:space="preserve">Mrs Susie Danforth</x:t>
        </x:is>
      </x:c>
      <x:c r="I492" s="527" t="inlineStr">
        <x:is>
          <x:t xml:space="preserve">31-12N-24W</x:t>
        </x:is>
      </x:c>
      <x:c r="J492" s="527" t="inlineStr">
        <x:is>
          <x:t xml:space="preserve">Leasehold / WI</x:t>
        </x:is>
      </x:c>
      <x:c r="K492" s="527" t="inlineStr">
        <x:is>
          <x:t xml:space="preserve">OKCountyRecords official index, Roger Mills County (instrument 1917-004775); searched 06/11/2026</x:t>
        </x:is>
      </x:c>
      <x:c r="L492" s="565" t="n"/>
      <x:c r="M492" s="565" t="n"/>
      <x:c r="N492" s="565" t="n"/>
      <x:c r="O492" s="565" t="n"/>
      <x:c r="P492" s="565" t="n"/>
      <x:c r="Q492" s="565" t="n"/>
      <x:c r="R492" s="565" t="n"/>
      <x:c r="S492" s="613" t="n"/>
      <x:c r="T492" s="565" t="n"/>
      <x:c r="U492" s="613" t="n"/>
      <x:c r="V492" s="565" t="n"/>
      <x:c r="W492" s="565" t="n"/>
      <x:c r="X492" s="565" t="n"/>
      <x:c r="Y492" s="565" t="n"/>
      <x:c r="Z492" s="565" t="n"/>
    </x:row>
    <x:row r="493">
      <x:c r="A493" s="527" t="inlineStr">
        <x:is>
          <x:t xml:space="preserve">1918-002463</x:t>
        </x:is>
      </x:c>
      <x:c r="B493" s="527" t="n"/>
      <x:c r="C493" s="527" t="inlineStr">
        <x:is>
          <x:t xml:space="preserve">Release</x:t>
        </x:is>
      </x:c>
      <x:c r="D493" s="527" t="inlineStr">
        <x:is>
          <x:t xml:space="preserve">REL009/0108</x:t>
        </x:is>
      </x:c>
      <x:c r="E493" s="529" t="inlineStr">
        <x:is>
          <x:t xml:space="preserve">01/14/1918</x:t>
        </x:is>
      </x:c>
      <x:c r="F493" s="529" t="n">
        <x:v>6589</x:v>
      </x:c>
      <x:c r="G493" s="527" t="inlineStr">
        <x:is>
          <x:t xml:space="preserve">State Life Ins Co</x:t>
        </x:is>
      </x:c>
      <x:c r="H493" s="527" t="inlineStr">
        <x:is>
          <x:t xml:space="preserve">Claude J. McGuire,
Herbert E. McGuire</x:t>
        </x:is>
      </x:c>
      <x:c r="I493" s="527" t="inlineStr">
        <x:is>
          <x:t xml:space="preserve">31-12N-24W</x:t>
        </x:is>
      </x:c>
      <x:c r="J493" s="527" t="inlineStr">
        <x:is>
          <x:t xml:space="preserve">Leasehold / WI</x:t>
        </x:is>
      </x:c>
      <x:c r="K493" s="527" t="inlineStr">
        <x:is>
          <x:t xml:space="preserve">OKCountyRecords official index, Roger Mills County (instrument 1918-002463); searched 06/11/2026</x:t>
        </x:is>
      </x:c>
      <x:c r="L493" s="565" t="n"/>
      <x:c r="M493" s="565" t="n"/>
      <x:c r="N493" s="565" t="n"/>
      <x:c r="O493" s="565" t="n"/>
      <x:c r="P493" s="565" t="n"/>
      <x:c r="Q493" s="565" t="n"/>
      <x:c r="R493" s="565" t="n"/>
      <x:c r="S493" s="613" t="n"/>
      <x:c r="T493" s="565" t="n"/>
      <x:c r="U493" s="613" t="n"/>
      <x:c r="V493" s="565" t="n"/>
      <x:c r="W493" s="565" t="n"/>
      <x:c r="X493" s="565" t="n"/>
      <x:c r="Y493" s="565" t="n"/>
      <x:c r="Z493" s="565" t="n"/>
    </x:row>
    <x:row r="494">
      <x:c r="A494" s="527" t="inlineStr">
        <x:is>
          <x:t xml:space="preserve">1918-002091</x:t>
        </x:is>
      </x:c>
      <x:c r="B494" s="527" t="n"/>
      <x:c r="C494" s="527" t="inlineStr">
        <x:is>
          <x:t xml:space="preserve">Release</x:t>
        </x:is>
      </x:c>
      <x:c r="D494" s="527" t="inlineStr">
        <x:is>
          <x:t xml:space="preserve">REL005/0251</x:t>
        </x:is>
      </x:c>
      <x:c r="E494" s="529" t="inlineStr">
        <x:is>
          <x:t xml:space="preserve">01/21/1918</x:t>
        </x:is>
      </x:c>
      <x:c r="F494" s="529" t="n">
        <x:v>6596</x:v>
      </x:c>
      <x:c r="G494" s="527" t="inlineStr">
        <x:is>
          <x:t xml:space="preserve">E. C. Thorne</x:t>
        </x:is>
      </x:c>
      <x:c r="H494" s="527" t="inlineStr">
        <x:is>
          <x:t xml:space="preserve">Claude McGuire,
Herbert E. McGuire</x:t>
        </x:is>
      </x:c>
      <x:c r="I494" s="527" t="inlineStr">
        <x:is>
          <x:t xml:space="preserve">31-12N-24W</x:t>
        </x:is>
      </x:c>
      <x:c r="J494" s="527" t="inlineStr">
        <x:is>
          <x:t xml:space="preserve">Leasehold / WI</x:t>
        </x:is>
      </x:c>
      <x:c r="K494" s="527" t="inlineStr">
        <x:is>
          <x:t xml:space="preserve">OKCountyRecords official index, Roger Mills County (instrument 1918-002091); searched 06/11/2026</x:t>
        </x:is>
      </x:c>
      <x:c r="L494" s="565" t="n"/>
      <x:c r="M494" s="565" t="n"/>
      <x:c r="N494" s="565" t="n"/>
      <x:c r="O494" s="565" t="n"/>
      <x:c r="P494" s="565" t="n"/>
      <x:c r="Q494" s="565" t="n"/>
      <x:c r="R494" s="565" t="n"/>
      <x:c r="S494" s="613" t="n"/>
      <x:c r="T494" s="565" t="n"/>
      <x:c r="U494" s="613" t="n"/>
      <x:c r="V494" s="565" t="n"/>
      <x:c r="W494" s="565" t="n"/>
      <x:c r="X494" s="565" t="n"/>
      <x:c r="Y494" s="565" t="n"/>
      <x:c r="Z494" s="565" t="n"/>
    </x:row>
    <x:row r="495">
      <x:c r="A495" s="527" t="inlineStr">
        <x:is>
          <x:t xml:space="preserve">1918-000943</x:t>
        </x:is>
      </x:c>
      <x:c r="B495" s="527" t="n"/>
      <x:c r="C495" s="527" t="inlineStr">
        <x:is>
          <x:t xml:space="preserve">Deed</x:t>
        </x:is>
      </x:c>
      <x:c r="D495" s="527" t="inlineStr">
        <x:is>
          <x:t xml:space="preserve">D00027/0477</x:t>
        </x:is>
      </x:c>
      <x:c r="E495" s="529" t="inlineStr">
        <x:is>
          <x:t xml:space="preserve">11/08/1918</x:t>
        </x:is>
      </x:c>
      <x:c r="F495" s="529" t="n">
        <x:v>6887</x:v>
      </x:c>
      <x:c r="G495" s="527" t="inlineStr">
        <x:is>
          <x:t xml:space="preserve">Claude J. McGuire,
Herbert E. McGuire</x:t>
        </x:is>
      </x:c>
      <x:c r="H495" s="527" t="inlineStr">
        <x:is>
          <x:t xml:space="preserve">E. T. Gamble</x:t>
        </x:is>
      </x:c>
      <x:c r="I495" s="527" t="inlineStr">
        <x:is>
          <x:t xml:space="preserve">31-12N-24W</x:t>
        </x:is>
      </x:c>
      <x:c r="J495" s="527" t="inlineStr">
        <x:is>
          <x:t xml:space="preserve">Fee / as stated</x:t>
        </x:is>
      </x:c>
      <x:c r="K495" s="527" t="inlineStr">
        <x:is>
          <x:t xml:space="preserve">OKCountyRecords official index, Roger Mills County (instrument 1918-000943); searched 06/11/2026</x:t>
        </x:is>
      </x:c>
      <x:c r="L495" s="565" t="n"/>
      <x:c r="M495" s="565" t="n"/>
      <x:c r="N495" s="565" t="n"/>
      <x:c r="O495" s="565" t="n"/>
      <x:c r="P495" s="565" t="n"/>
      <x:c r="Q495" s="565" t="n"/>
      <x:c r="R495" s="565" t="n"/>
      <x:c r="S495" s="613" t="n"/>
      <x:c r="T495" s="565" t="n"/>
      <x:c r="U495" s="613" t="n"/>
      <x:c r="V495" s="565" t="n"/>
      <x:c r="W495" s="565" t="n"/>
      <x:c r="X495" s="565" t="n"/>
      <x:c r="Y495" s="565" t="n"/>
      <x:c r="Z495" s="565" t="n"/>
    </x:row>
    <x:row r="496">
      <x:c r="A496" s="527" t="inlineStr">
        <x:is>
          <x:t xml:space="preserve">1918-002849</x:t>
        </x:is>
      </x:c>
      <x:c r="B496" s="527" t="n"/>
      <x:c r="C496" s="527" t="inlineStr">
        <x:is>
          <x:t xml:space="preserve">Release</x:t>
        </x:is>
      </x:c>
      <x:c r="D496" s="527" t="inlineStr">
        <x:is>
          <x:t xml:space="preserve">REL009/0340</x:t>
        </x:is>
      </x:c>
      <x:c r="E496" s="529" t="inlineStr">
        <x:is>
          <x:t xml:space="preserve">11/09/1918</x:t>
        </x:is>
      </x:c>
      <x:c r="F496" s="529" t="n">
        <x:v>6888</x:v>
      </x:c>
      <x:c r="G496" s="527" t="inlineStr">
        <x:is>
          <x:t xml:space="preserve">Empire Gas &amp; Fuel Co</x:t>
        </x:is>
      </x:c>
      <x:c r="H496" s="527" t="inlineStr">
        <x:is>
          <x:t xml:space="preserve">Claude J. McGuire,
Herbert E. McGuire</x:t>
        </x:is>
      </x:c>
      <x:c r="I496" s="527" t="inlineStr">
        <x:is>
          <x:t xml:space="preserve">31-12N-24W</x:t>
        </x:is>
      </x:c>
      <x:c r="J496" s="527" t="inlineStr">
        <x:is>
          <x:t xml:space="preserve">Leasehold / WI</x:t>
        </x:is>
      </x:c>
      <x:c r="K496" s="527" t="inlineStr">
        <x:is>
          <x:t xml:space="preserve">OKCountyRecords official index, Roger Mills County (instrument 1918-002849); searched 06/11/2026</x:t>
        </x:is>
      </x:c>
      <x:c r="L496" s="565" t="n"/>
      <x:c r="M496" s="565" t="n"/>
      <x:c r="N496" s="565" t="n"/>
      <x:c r="O496" s="565" t="n"/>
      <x:c r="P496" s="565" t="n"/>
      <x:c r="Q496" s="565" t="n"/>
      <x:c r="R496" s="565" t="n"/>
      <x:c r="S496" s="613" t="n"/>
      <x:c r="T496" s="565" t="n"/>
      <x:c r="U496" s="613" t="n"/>
      <x:c r="V496" s="565" t="n"/>
      <x:c r="W496" s="565" t="n"/>
      <x:c r="X496" s="565" t="n"/>
      <x:c r="Y496" s="565" t="n"/>
      <x:c r="Z496" s="565" t="n"/>
    </x:row>
    <x:row r="497">
      <x:c r="A497" s="527" t="inlineStr">
        <x:is>
          <x:t xml:space="preserve">1918-001215</x:t>
        </x:is>
      </x:c>
      <x:c r="B497" s="527" t="n"/>
      <x:c r="C497" s="527" t="inlineStr">
        <x:is>
          <x:t xml:space="preserve">Miscellaneous</x:t>
        </x:is>
      </x:c>
      <x:c r="D497" s="527" t="inlineStr">
        <x:is>
          <x:t xml:space="preserve">MIS010/0485</x:t>
        </x:is>
      </x:c>
      <x:c r="E497" s="529" t="inlineStr">
        <x:is>
          <x:t xml:space="preserve">11/23/1918</x:t>
        </x:is>
      </x:c>
      <x:c r="F497" s="529" t="n">
        <x:v>6902</x:v>
      </x:c>
      <x:c r="G497" s="527" t="inlineStr">
        <x:is>
          <x:t xml:space="preserve">E. S. Repass</x:t>
        </x:is>
      </x:c>
      <x:c r="H497" s="527" t="inlineStr">
        <x:is>
          <x:t xml:space="preserve">William C. Bain</x:t>
        </x:is>
      </x:c>
      <x:c r="I497" s="527" t="inlineStr">
        <x:is>
          <x:t xml:space="preserve">31-12N-24W</x:t>
        </x:is>
      </x:c>
      <x:c r="J497" s="527" t="inlineStr">
        <x:is>
          <x:t xml:space="preserve">See instrument</x:t>
        </x:is>
      </x:c>
      <x:c r="K497" s="527" t="inlineStr">
        <x:is>
          <x:t xml:space="preserve">OKCountyRecords official index, Roger Mills County (instrument 1918-001215); searched 06/11/2026</x:t>
        </x:is>
      </x:c>
      <x:c r="L497" s="565" t="n"/>
      <x:c r="M497" s="565" t="n"/>
      <x:c r="N497" s="565" t="n"/>
      <x:c r="O497" s="565" t="n"/>
      <x:c r="P497" s="565" t="n"/>
      <x:c r="Q497" s="565" t="n"/>
      <x:c r="R497" s="565" t="n"/>
      <x:c r="S497" s="613" t="n"/>
      <x:c r="T497" s="565" t="n"/>
      <x:c r="U497" s="613" t="n"/>
      <x:c r="V497" s="565" t="n"/>
      <x:c r="W497" s="565" t="n"/>
      <x:c r="X497" s="565" t="n"/>
      <x:c r="Y497" s="565" t="n"/>
      <x:c r="Z497" s="565" t="n"/>
    </x:row>
    <x:row r="498">
      <x:c r="A498" s="527" t="inlineStr">
        <x:is>
          <x:t xml:space="preserve">1919-002106</x:t>
        </x:is>
      </x:c>
      <x:c r="B498" s="527" t="n"/>
      <x:c r="C498" s="527" t="inlineStr">
        <x:is>
          <x:t xml:space="preserve">Oil and Gas Lease</x:t>
        </x:is>
      </x:c>
      <x:c r="D498" s="527" t="inlineStr">
        <x:is>
          <x:t xml:space="preserve">OGL004/0401</x:t>
        </x:is>
      </x:c>
      <x:c r="E498" s="529" t="inlineStr">
        <x:is>
          <x:t xml:space="preserve">05/30/1919</x:t>
        </x:is>
      </x:c>
      <x:c r="F498" s="529" t="n">
        <x:v>7090</x:v>
      </x:c>
      <x:c r="G498" s="527" t="inlineStr">
        <x:is>
          <x:t xml:space="preserve">Susie Danforth,
W. C. Danforth</x:t>
        </x:is>
      </x:c>
      <x:c r="H498" s="527" t="inlineStr">
        <x:is>
          <x:t xml:space="preserve">John R. Williams</x:t>
        </x:is>
      </x:c>
      <x:c r="I498" s="527" t="inlineStr">
        <x:is>
          <x:t xml:space="preserve">31-12N-24W</x:t>
        </x:is>
      </x:c>
      <x:c r="J498" s="527" t="inlineStr">
        <x:is>
          <x:t xml:space="preserve">Leasehold / WI</x:t>
        </x:is>
      </x:c>
      <x:c r="K498" s="527" t="inlineStr">
        <x:is>
          <x:t xml:space="preserve">OKCountyRecords official index, Roger Mills County (instrument 1919-002106); searched 06/11/2026</x:t>
        </x:is>
      </x:c>
      <x:c r="L498" s="565" t="n"/>
      <x:c r="M498" s="565" t="n"/>
      <x:c r="N498" s="565" t="n"/>
      <x:c r="O498" s="565" t="n"/>
      <x:c r="P498" s="565" t="n"/>
      <x:c r="Q498" s="565" t="n"/>
      <x:c r="R498" s="565" t="n"/>
      <x:c r="S498" s="613" t="n"/>
      <x:c r="T498" s="565" t="n"/>
      <x:c r="U498" s="613" t="n"/>
      <x:c r="V498" s="565" t="n"/>
      <x:c r="W498" s="565" t="n"/>
      <x:c r="X498" s="565" t="n"/>
      <x:c r="Y498" s="565" t="n"/>
      <x:c r="Z498" s="565" t="n"/>
    </x:row>
    <x:row r="499">
      <x:c r="A499" s="527" t="inlineStr">
        <x:is>
          <x:t xml:space="preserve">1919-002150</x:t>
        </x:is>
      </x:c>
      <x:c r="B499" s="527" t="n"/>
      <x:c r="C499" s="527" t="inlineStr">
        <x:is>
          <x:t xml:space="preserve">Oil and Gas Lease</x:t>
        </x:is>
      </x:c>
      <x:c r="D499" s="527" t="inlineStr">
        <x:is>
          <x:t xml:space="preserve">OGL004/0445</x:t>
        </x:is>
      </x:c>
      <x:c r="E499" s="529" t="inlineStr">
        <x:is>
          <x:t xml:space="preserve">06/25/1919</x:t>
        </x:is>
      </x:c>
      <x:c r="F499" s="529" t="n">
        <x:v>7116</x:v>
      </x:c>
      <x:c r="G499" s="527" t="inlineStr">
        <x:is>
          <x:t xml:space="preserve">H. E. Rupp,
Lulu M. Rupp</x:t>
        </x:is>
      </x:c>
      <x:c r="H499" s="527" t="inlineStr">
        <x:is>
          <x:t xml:space="preserve">J. G. Queman</x:t>
        </x:is>
      </x:c>
      <x:c r="I499" s="527" t="inlineStr">
        <x:is>
          <x:t xml:space="preserve">31-12N-24W</x:t>
        </x:is>
      </x:c>
      <x:c r="J499" s="527" t="inlineStr">
        <x:is>
          <x:t xml:space="preserve">Leasehold / WI</x:t>
        </x:is>
      </x:c>
      <x:c r="K499" s="527" t="inlineStr">
        <x:is>
          <x:t xml:space="preserve">OKCountyRecords official index, Roger Mills County (instrument 1919-002150); searched 06/11/2026</x:t>
        </x:is>
      </x:c>
      <x:c r="L499" s="565" t="n"/>
      <x:c r="M499" s="565" t="n"/>
      <x:c r="N499" s="565" t="n"/>
      <x:c r="O499" s="565" t="n"/>
      <x:c r="P499" s="565" t="n"/>
      <x:c r="Q499" s="565" t="n"/>
      <x:c r="R499" s="565" t="n"/>
      <x:c r="S499" s="613" t="n"/>
      <x:c r="T499" s="565" t="n"/>
      <x:c r="U499" s="613" t="n"/>
      <x:c r="V499" s="565" t="n"/>
      <x:c r="W499" s="565" t="n"/>
      <x:c r="X499" s="565" t="n"/>
      <x:c r="Y499" s="565" t="n"/>
      <x:c r="Z499" s="565" t="n"/>
    </x:row>
    <x:row r="500">
      <x:c r="A500" s="527" t="inlineStr">
        <x:is>
          <x:t xml:space="preserve">1919-000296</x:t>
        </x:is>
      </x:c>
      <x:c r="B500" s="527" t="n"/>
      <x:c r="C500" s="527" t="inlineStr">
        <x:is>
          <x:t xml:space="preserve">Assignment</x:t>
        </x:is>
      </x:c>
      <x:c r="D500" s="527" t="inlineStr">
        <x:is>
          <x:t xml:space="preserve">ASN005/0562</x:t>
        </x:is>
      </x:c>
      <x:c r="E500" s="529" t="inlineStr">
        <x:is>
          <x:t xml:space="preserve">12/17/1919</x:t>
        </x:is>
      </x:c>
      <x:c r="F500" s="529" t="n">
        <x:v>7291</x:v>
      </x:c>
      <x:c r="G500" s="527" t="inlineStr">
        <x:is>
          <x:t xml:space="preserve">Oklahoma National Life Insurance Company</x:t>
        </x:is>
      </x:c>
      <x:c r="H500" s="527" t="inlineStr">
        <x:is>
          <x:t xml:space="preserve">Great Southern Life Insurance Company</x:t>
        </x:is>
      </x:c>
      <x:c r="I500" s="527" t="inlineStr">
        <x:is>
          <x:t xml:space="preserve">31-12N-24W (AOL)</x:t>
        </x:is>
      </x:c>
      <x:c r="J500" s="527" t="inlineStr">
        <x:is>
          <x:t xml:space="preserve">Leasehold / WI</x:t>
        </x:is>
      </x:c>
      <x:c r="K500" s="527" t="inlineStr">
        <x:is>
          <x:t xml:space="preserve">OKCountyRecords official index, Roger Mills County (instrument 1919-000296); searched 06/11/2026</x:t>
        </x:is>
      </x:c>
      <x:c r="L500" s="565" t="n"/>
      <x:c r="M500" s="565" t="n"/>
      <x:c r="N500" s="565" t="n"/>
      <x:c r="O500" s="565" t="n"/>
      <x:c r="P500" s="565" t="n"/>
      <x:c r="Q500" s="565" t="n"/>
      <x:c r="R500" s="565" t="n"/>
      <x:c r="S500" s="613" t="n"/>
      <x:c r="T500" s="565" t="n"/>
      <x:c r="U500" s="613" t="n"/>
      <x:c r="V500" s="565" t="n"/>
      <x:c r="W500" s="565" t="n"/>
      <x:c r="X500" s="565" t="n"/>
      <x:c r="Y500" s="565" t="n"/>
      <x:c r="Z500" s="565" t="n"/>
    </x:row>
    <x:row r="501">
      <x:c r="A501" s="527" t="inlineStr">
        <x:is>
          <x:t xml:space="preserve">1919-000971</x:t>
        </x:is>
      </x:c>
      <x:c r="B501" s="527" t="n"/>
      <x:c r="C501" s="527" t="inlineStr">
        <x:is>
          <x:t xml:space="preserve">Deed</x:t>
        </x:is>
      </x:c>
      <x:c r="D501" s="527" t="inlineStr">
        <x:is>
          <x:t xml:space="preserve">D00029/0382</x:t>
        </x:is>
      </x:c>
      <x:c r="E501" s="529" t="inlineStr">
        <x:is>
          <x:t xml:space="preserve">12/17/1919</x:t>
        </x:is>
      </x:c>
      <x:c r="F501" s="529" t="n">
        <x:v>7291</x:v>
      </x:c>
      <x:c r="G501" s="527" t="inlineStr">
        <x:is>
          <x:t xml:space="preserve">E. S. Repass,
Sarah J. Repass</x:t>
        </x:is>
      </x:c>
      <x:c r="H501" s="527" t="inlineStr">
        <x:is>
          <x:t xml:space="preserve">William C. Bain</x:t>
        </x:is>
      </x:c>
      <x:c r="I501" s="527" t="inlineStr">
        <x:is>
          <x:t xml:space="preserve">31-12N-24W</x:t>
        </x:is>
      </x:c>
      <x:c r="J501" s="527" t="inlineStr">
        <x:is>
          <x:t xml:space="preserve">Fee / as stated</x:t>
        </x:is>
      </x:c>
      <x:c r="K501" s="527" t="inlineStr">
        <x:is>
          <x:t xml:space="preserve">OKCountyRecords official index, Roger Mills County (instrument 1919-000971); searched 06/11/2026</x:t>
        </x:is>
      </x:c>
      <x:c r="L501" s="565" t="n"/>
      <x:c r="M501" s="565" t="n"/>
      <x:c r="N501" s="565" t="n"/>
      <x:c r="O501" s="565" t="n"/>
      <x:c r="P501" s="565" t="n"/>
      <x:c r="Q501" s="565" t="n"/>
      <x:c r="R501" s="565" t="n"/>
      <x:c r="S501" s="613" t="n"/>
      <x:c r="T501" s="565" t="n"/>
      <x:c r="U501" s="613" t="n"/>
      <x:c r="V501" s="565" t="n"/>
      <x:c r="W501" s="565" t="n"/>
      <x:c r="X501" s="565" t="n"/>
      <x:c r="Y501" s="565" t="n"/>
      <x:c r="Z501" s="565" t="n"/>
    </x:row>
    <x:row r="502">
      <x:c r="A502" s="527" t="inlineStr">
        <x:is>
          <x:t xml:space="preserve">1919-001437</x:t>
        </x:is>
      </x:c>
      <x:c r="B502" s="527" t="n"/>
      <x:c r="C502" s="527" t="inlineStr">
        <x:is>
          <x:t xml:space="preserve">Affidavit</x:t>
        </x:is>
      </x:c>
      <x:c r="D502" s="527" t="inlineStr">
        <x:is>
          <x:t xml:space="preserve">MIS011/0154</x:t>
        </x:is>
      </x:c>
      <x:c r="E502" s="529" t="inlineStr">
        <x:is>
          <x:t xml:space="preserve">12/17/1919</x:t>
        </x:is>
      </x:c>
      <x:c r="F502" s="529" t="n">
        <x:v>7291</x:v>
      </x:c>
      <x:c r="G502" s="527" t="inlineStr">
        <x:is>
          <x:t xml:space="preserve">E. L. Martin</x:t>
        </x:is>
      </x:c>
      <x:c r="H502" s="527" t="inlineStr">
        <x:is>
          <x:t xml:space="preserve">The Public</x:t>
        </x:is>
      </x:c>
      <x:c r="I502" s="527" t="inlineStr">
        <x:is>
          <x:t xml:space="preserve">31-12N-24W</x:t>
        </x:is>
      </x:c>
      <x:c r="J502" s="527" t="inlineStr">
        <x:is>
          <x:t xml:space="preserve">See instrument</x:t>
        </x:is>
      </x:c>
      <x:c r="K502" s="527" t="inlineStr">
        <x:is>
          <x:t xml:space="preserve">OKCountyRecords official index, Roger Mills County (instrument 1919-001437); searched 06/11/2026</x:t>
        </x:is>
      </x:c>
      <x:c r="L502" s="565" t="n"/>
      <x:c r="M502" s="565" t="n"/>
      <x:c r="N502" s="565" t="n"/>
      <x:c r="O502" s="565" t="n"/>
      <x:c r="P502" s="565" t="n"/>
      <x:c r="Q502" s="565" t="n"/>
      <x:c r="R502" s="565" t="n"/>
      <x:c r="S502" s="613" t="n"/>
      <x:c r="T502" s="565" t="n"/>
      <x:c r="U502" s="613" t="n"/>
      <x:c r="V502" s="565" t="n"/>
      <x:c r="W502" s="565" t="n"/>
      <x:c r="X502" s="565" t="n"/>
      <x:c r="Y502" s="565" t="n"/>
      <x:c r="Z502" s="565" t="n"/>
    </x:row>
    <x:row r="503">
      <x:c r="A503" s="527" t="inlineStr">
        <x:is>
          <x:t xml:space="preserve">1919-003329</x:t>
        </x:is>
      </x:c>
      <x:c r="B503" s="527" t="n"/>
      <x:c r="C503" s="527" t="inlineStr">
        <x:is>
          <x:t xml:space="preserve">Release</x:t>
        </x:is>
      </x:c>
      <x:c r="D503" s="527" t="inlineStr">
        <x:is>
          <x:t xml:space="preserve">REL011/0026</x:t>
        </x:is>
      </x:c>
      <x:c r="E503" s="529" t="inlineStr">
        <x:is>
          <x:t xml:space="preserve">12/17/1919</x:t>
        </x:is>
      </x:c>
      <x:c r="F503" s="529" t="n">
        <x:v>7291</x:v>
      </x:c>
      <x:c r="G503" s="527" t="inlineStr">
        <x:is>
          <x:t xml:space="preserve">Great Southern Life Ins Co</x:t>
        </x:is>
      </x:c>
      <x:c r="H503" s="527" t="inlineStr">
        <x:is>
          <x:t xml:space="preserve">E. S. Repass,
Sarah Repass</x:t>
        </x:is>
      </x:c>
      <x:c r="I503" s="527" t="inlineStr">
        <x:is>
          <x:t xml:space="preserve">31-12N-24W</x:t>
        </x:is>
      </x:c>
      <x:c r="J503" s="527" t="inlineStr">
        <x:is>
          <x:t xml:space="preserve">Leasehold / WI</x:t>
        </x:is>
      </x:c>
      <x:c r="K503" s="527" t="inlineStr">
        <x:is>
          <x:t xml:space="preserve">OKCountyRecords official index, Roger Mills County (instrument 1919-003329); searched 06/11/2026</x:t>
        </x:is>
      </x:c>
      <x:c r="L503" s="565" t="n"/>
      <x:c r="M503" s="565" t="n"/>
      <x:c r="N503" s="565" t="n"/>
      <x:c r="O503" s="565" t="n"/>
      <x:c r="P503" s="565" t="n"/>
      <x:c r="Q503" s="565" t="n"/>
      <x:c r="R503" s="565" t="n"/>
      <x:c r="S503" s="613" t="n"/>
      <x:c r="T503" s="565" t="n"/>
      <x:c r="U503" s="613" t="n"/>
      <x:c r="V503" s="565" t="n"/>
      <x:c r="W503" s="565" t="n"/>
      <x:c r="X503" s="565" t="n"/>
      <x:c r="Y503" s="565" t="n"/>
      <x:c r="Z503" s="565" t="n"/>
    </x:row>
    <x:row r="504">
      <x:c r="A504" s="527" t="inlineStr">
        <x:is>
          <x:t xml:space="preserve">1920-000012</x:t>
        </x:is>
      </x:c>
      <x:c r="B504" s="527" t="n"/>
      <x:c r="C504" s="527" t="inlineStr">
        <x:is>
          <x:t xml:space="preserve">Assignment</x:t>
        </x:is>
      </x:c>
      <x:c r="D504" s="527" t="inlineStr">
        <x:is>
          <x:t xml:space="preserve">ASN004/0082</x:t>
        </x:is>
      </x:c>
      <x:c r="E504" s="529" t="inlineStr">
        <x:is>
          <x:t xml:space="preserve">01/12/1920</x:t>
        </x:is>
      </x:c>
      <x:c r="F504" s="529" t="n">
        <x:v>7317</x:v>
      </x:c>
      <x:c r="G504" s="527" t="inlineStr">
        <x:is>
          <x:t xml:space="preserve">Martin Loan &amp; Investment Company</x:t>
        </x:is>
      </x:c>
      <x:c r="H504" s="527" t="inlineStr">
        <x:is>
          <x:t xml:space="preserve">Florence Lewis</x:t>
        </x:is>
      </x:c>
      <x:c r="I504" s="527" t="inlineStr">
        <x:is>
          <x:t xml:space="preserve">31-12N-24W</x:t>
        </x:is>
      </x:c>
      <x:c r="J504" s="527" t="inlineStr">
        <x:is>
          <x:t xml:space="preserve">Leasehold / WI</x:t>
        </x:is>
      </x:c>
      <x:c r="K504" s="527" t="inlineStr">
        <x:is>
          <x:t xml:space="preserve">OKCountyRecords official index, Roger Mills County (instrument 1920-000012); searched 06/11/2026</x:t>
        </x:is>
      </x:c>
      <x:c r="L504" s="565" t="n"/>
      <x:c r="M504" s="565" t="n"/>
      <x:c r="N504" s="565" t="n"/>
      <x:c r="O504" s="565" t="n"/>
      <x:c r="P504" s="565" t="n"/>
      <x:c r="Q504" s="565" t="n"/>
      <x:c r="R504" s="565" t="n"/>
      <x:c r="S504" s="613" t="n"/>
      <x:c r="T504" s="565" t="n"/>
      <x:c r="U504" s="613" t="n"/>
      <x:c r="V504" s="565" t="n"/>
      <x:c r="W504" s="565" t="n"/>
      <x:c r="X504" s="565" t="n"/>
      <x:c r="Y504" s="565" t="n"/>
      <x:c r="Z504" s="565" t="n"/>
    </x:row>
    <x:row r="505">
      <x:c r="A505" s="527" t="inlineStr">
        <x:is>
          <x:t xml:space="preserve">1920-002046</x:t>
        </x:is>
      </x:c>
      <x:c r="B505" s="527" t="n"/>
      <x:c r="C505" s="527" t="inlineStr">
        <x:is>
          <x:t xml:space="preserve">Oil and Gas Lease</x:t>
        </x:is>
      </x:c>
      <x:c r="D505" s="527" t="inlineStr">
        <x:is>
          <x:t xml:space="preserve">OGL004/0556</x:t>
        </x:is>
      </x:c>
      <x:c r="E505" s="529" t="inlineStr">
        <x:is>
          <x:t xml:space="preserve">02/05/1920</x:t>
        </x:is>
      </x:c>
      <x:c r="F505" s="529" t="n">
        <x:v>7341</x:v>
      </x:c>
      <x:c r="G505" s="527" t="inlineStr">
        <x:is>
          <x:t xml:space="preserve">Margaret V. Black,
William G. Black</x:t>
        </x:is>
      </x:c>
      <x:c r="H505" s="527" t="inlineStr">
        <x:is>
          <x:t xml:space="preserve">W. E. Thomas</x:t>
        </x:is>
      </x:c>
      <x:c r="I505" s="527" t="inlineStr">
        <x:is>
          <x:t xml:space="preserve">31-12N-24W (AOL)</x:t>
        </x:is>
      </x:c>
      <x:c r="J505" s="527" t="inlineStr">
        <x:is>
          <x:t xml:space="preserve">Leasehold / WI</x:t>
        </x:is>
      </x:c>
      <x:c r="K505" s="527" t="inlineStr">
        <x:is>
          <x:t xml:space="preserve">OKCountyRecords official index, Roger Mills County (instrument 1920-002046); searched 06/11/2026</x:t>
        </x:is>
      </x:c>
      <x:c r="L505" s="565" t="n"/>
      <x:c r="M505" s="565" t="n"/>
      <x:c r="N505" s="565" t="n"/>
      <x:c r="O505" s="565" t="n"/>
      <x:c r="P505" s="565" t="n"/>
      <x:c r="Q505" s="565" t="n"/>
      <x:c r="R505" s="565" t="n"/>
      <x:c r="S505" s="613" t="n"/>
      <x:c r="T505" s="565" t="n"/>
      <x:c r="U505" s="613" t="n"/>
      <x:c r="V505" s="565" t="n"/>
      <x:c r="W505" s="565" t="n"/>
      <x:c r="X505" s="565" t="n"/>
      <x:c r="Y505" s="565" t="n"/>
      <x:c r="Z505" s="565" t="n"/>
    </x:row>
    <x:row r="506">
      <x:c r="A506" s="527" t="inlineStr">
        <x:is>
          <x:t xml:space="preserve">1920-003327</x:t>
        </x:is>
      </x:c>
      <x:c r="B506" s="527" t="n"/>
      <x:c r="C506" s="527" t="inlineStr">
        <x:is>
          <x:t xml:space="preserve">Release</x:t>
        </x:is>
      </x:c>
      <x:c r="D506" s="527" t="inlineStr">
        <x:is>
          <x:t xml:space="preserve">REL011/0327</x:t>
        </x:is>
      </x:c>
      <x:c r="E506" s="529" t="inlineStr">
        <x:is>
          <x:t xml:space="preserve">12/23/1920</x:t>
        </x:is>
      </x:c>
      <x:c r="F506" s="529" t="n">
        <x:v>7663</x:v>
      </x:c>
      <x:c r="G506" s="527" t="inlineStr">
        <x:is>
          <x:t xml:space="preserve">E. C. Thorne</x:t>
        </x:is>
      </x:c>
      <x:c r="H506" s="527" t="inlineStr">
        <x:is>
          <x:t xml:space="preserve">Claude J. McGuire,
Herbert E. McGuire</x:t>
        </x:is>
      </x:c>
      <x:c r="I506" s="527" t="inlineStr">
        <x:is>
          <x:t xml:space="preserve">31-12N-24W</x:t>
        </x:is>
      </x:c>
      <x:c r="J506" s="527" t="inlineStr">
        <x:is>
          <x:t xml:space="preserve">Leasehold / WI</x:t>
        </x:is>
      </x:c>
      <x:c r="K506" s="527" t="inlineStr">
        <x:is>
          <x:t xml:space="preserve">OKCountyRecords official index, Roger Mills County (instrument 1920-003327); searched 06/11/2026</x:t>
        </x:is>
      </x:c>
      <x:c r="L506" s="565" t="n"/>
      <x:c r="M506" s="565" t="n"/>
      <x:c r="N506" s="565" t="n"/>
      <x:c r="O506" s="565" t="n"/>
      <x:c r="P506" s="565" t="n"/>
      <x:c r="Q506" s="565" t="n"/>
      <x:c r="R506" s="565" t="n"/>
      <x:c r="S506" s="613" t="n"/>
      <x:c r="T506" s="565" t="n"/>
      <x:c r="U506" s="613" t="n"/>
      <x:c r="V506" s="565" t="n"/>
      <x:c r="W506" s="565" t="n"/>
      <x:c r="X506" s="565" t="n"/>
      <x:c r="Y506" s="565" t="n"/>
      <x:c r="Z506" s="565" t="n"/>
    </x:row>
    <x:row r="507">
      <x:c r="A507" s="527" t="inlineStr">
        <x:is>
          <x:t xml:space="preserve">1921-001533</x:t>
        </x:is>
      </x:c>
      <x:c r="B507" s="527" t="n"/>
      <x:c r="C507" s="527" t="inlineStr">
        <x:is>
          <x:t xml:space="preserve">Release</x:t>
        </x:is>
      </x:c>
      <x:c r="D507" s="527" t="inlineStr">
        <x:is>
          <x:t xml:space="preserve">REL011/0342</x:t>
        </x:is>
      </x:c>
      <x:c r="E507" s="529" t="inlineStr">
        <x:is>
          <x:t xml:space="preserve">01/11/1921</x:t>
        </x:is>
      </x:c>
      <x:c r="F507" s="529" t="n">
        <x:v>7682</x:v>
      </x:c>
      <x:c r="G507" s="527" t="inlineStr">
        <x:is>
          <x:t xml:space="preserve">H. L. Rowley</x:t>
        </x:is>
      </x:c>
      <x:c r="H507" s="527" t="inlineStr">
        <x:is>
          <x:t xml:space="preserve">H. E. Rupp,
Lula M. Rupp</x:t>
        </x:is>
      </x:c>
      <x:c r="I507" s="527" t="inlineStr">
        <x:is>
          <x:t xml:space="preserve">31-12N-24W (AOL)</x:t>
        </x:is>
      </x:c>
      <x:c r="J507" s="527" t="inlineStr">
        <x:is>
          <x:t xml:space="preserve">Leasehold / WI</x:t>
        </x:is>
      </x:c>
      <x:c r="K507" s="527" t="inlineStr">
        <x:is>
          <x:t xml:space="preserve">OKCountyRecords official index, Roger Mills County (instrument 1921-001533); searched 06/11/2026</x:t>
        </x:is>
      </x:c>
      <x:c r="L507" s="565" t="n"/>
      <x:c r="M507" s="565" t="n"/>
      <x:c r="N507" s="565" t="n"/>
      <x:c r="O507" s="565" t="n"/>
      <x:c r="P507" s="565" t="n"/>
      <x:c r="Q507" s="565" t="n"/>
      <x:c r="R507" s="565" t="n"/>
      <x:c r="S507" s="613" t="n"/>
      <x:c r="T507" s="565" t="n"/>
      <x:c r="U507" s="613" t="n"/>
      <x:c r="V507" s="565" t="n"/>
      <x:c r="W507" s="565" t="n"/>
      <x:c r="X507" s="565" t="n"/>
      <x:c r="Y507" s="565" t="n"/>
      <x:c r="Z507" s="565" t="n"/>
    </x:row>
    <x:row r="508">
      <x:c r="A508" s="527" t="inlineStr">
        <x:is>
          <x:t xml:space="preserve">1921-001998</x:t>
        </x:is>
      </x:c>
      <x:c r="B508" s="527" t="n"/>
      <x:c r="C508" s="527" t="inlineStr">
        <x:is>
          <x:t xml:space="preserve">Release</x:t>
        </x:is>
      </x:c>
      <x:c r="D508" s="527" t="inlineStr">
        <x:is>
          <x:t xml:space="preserve">REL013/0049</x:t>
        </x:is>
      </x:c>
      <x:c r="E508" s="529" t="inlineStr">
        <x:is>
          <x:t xml:space="preserve">03/20/1921</x:t>
        </x:is>
      </x:c>
      <x:c r="F508" s="529" t="n">
        <x:v>7750</x:v>
      </x:c>
      <x:c r="G508" s="527" t="inlineStr">
        <x:is>
          <x:t xml:space="preserve">H. L. Rowley</x:t>
        </x:is>
      </x:c>
      <x:c r="H508" s="527" t="inlineStr">
        <x:is>
          <x:t xml:space="preserve">H. E. Rupp,
Lula Rupp</x:t>
        </x:is>
      </x:c>
      <x:c r="I508" s="527" t="inlineStr">
        <x:is>
          <x:t xml:space="preserve">31-12N-24W (AOL)</x:t>
        </x:is>
      </x:c>
      <x:c r="J508" s="527" t="inlineStr">
        <x:is>
          <x:t xml:space="preserve">Leasehold / WI</x:t>
        </x:is>
      </x:c>
      <x:c r="K508" s="527" t="inlineStr">
        <x:is>
          <x:t xml:space="preserve">OKCountyRecords official index, Roger Mills County (instrument 1921-001998); searched 06/11/2026</x:t>
        </x:is>
      </x:c>
      <x:c r="L508" s="565" t="n"/>
      <x:c r="M508" s="565" t="n"/>
      <x:c r="N508" s="565" t="n"/>
      <x:c r="O508" s="565" t="n"/>
      <x:c r="P508" s="565" t="n"/>
      <x:c r="Q508" s="565" t="n"/>
      <x:c r="R508" s="565" t="n"/>
      <x:c r="S508" s="613" t="n"/>
      <x:c r="T508" s="565" t="n"/>
      <x:c r="U508" s="613" t="n"/>
      <x:c r="V508" s="565" t="n"/>
      <x:c r="W508" s="565" t="n"/>
      <x:c r="X508" s="565" t="n"/>
      <x:c r="Y508" s="565" t="n"/>
      <x:c r="Z508" s="565" t="n"/>
    </x:row>
    <x:row r="509">
      <x:c r="A509" s="527" t="inlineStr">
        <x:is>
          <x:t xml:space="preserve">1921-000501</x:t>
        </x:is>
      </x:c>
      <x:c r="B509" s="527" t="n"/>
      <x:c r="C509" s="527" t="inlineStr">
        <x:is>
          <x:t xml:space="preserve">Deed</x:t>
        </x:is>
      </x:c>
      <x:c r="D509" s="527" t="inlineStr">
        <x:is>
          <x:t xml:space="preserve">D00031/0387</x:t>
        </x:is>
      </x:c>
      <x:c r="E509" s="529" t="inlineStr">
        <x:is>
          <x:t xml:space="preserve">05/14/1921</x:t>
        </x:is>
      </x:c>
      <x:c r="F509" s="529" t="n">
        <x:v>7805</x:v>
      </x:c>
      <x:c r="G509" s="527" t="inlineStr">
        <x:is>
          <x:t xml:space="preserve">H. E. Rupp,
Lulu M. Rupp</x:t>
        </x:is>
      </x:c>
      <x:c r="H509" s="527" t="inlineStr">
        <x:is>
          <x:t xml:space="preserve">E. C. Winford</x:t>
        </x:is>
      </x:c>
      <x:c r="I509" s="527" t="inlineStr">
        <x:is>
          <x:t xml:space="preserve">31-12N-24W (AOL)</x:t>
        </x:is>
      </x:c>
      <x:c r="J509" s="527" t="inlineStr">
        <x:is>
          <x:t xml:space="preserve">Fee / as stated</x:t>
        </x:is>
      </x:c>
      <x:c r="K509" s="527" t="inlineStr">
        <x:is>
          <x:t xml:space="preserve">OKCountyRecords official index, Roger Mills County (instrument 1921-000501); searched 06/11/2026</x:t>
        </x:is>
      </x:c>
      <x:c r="L509" s="565" t="n"/>
      <x:c r="M509" s="565" t="n"/>
      <x:c r="N509" s="565" t="n"/>
      <x:c r="O509" s="565" t="n"/>
      <x:c r="P509" s="565" t="n"/>
      <x:c r="Q509" s="565" t="n"/>
      <x:c r="R509" s="565" t="n"/>
      <x:c r="S509" s="613" t="n"/>
      <x:c r="T509" s="565" t="n"/>
      <x:c r="U509" s="613" t="n"/>
      <x:c r="V509" s="565" t="n"/>
      <x:c r="W509" s="565" t="n"/>
      <x:c r="X509" s="565" t="n"/>
      <x:c r="Y509" s="565" t="n"/>
      <x:c r="Z509" s="565" t="n"/>
    </x:row>
    <x:row r="510">
      <x:c r="A510" s="527" t="inlineStr">
        <x:is>
          <x:t xml:space="preserve">1921-000502</x:t>
        </x:is>
      </x:c>
      <x:c r="B510" s="527" t="n"/>
      <x:c r="C510" s="527" t="inlineStr">
        <x:is>
          <x:t xml:space="preserve">Deed</x:t>
        </x:is>
      </x:c>
      <x:c r="D510" s="527" t="inlineStr">
        <x:is>
          <x:t xml:space="preserve">D00031/0388</x:t>
        </x:is>
      </x:c>
      <x:c r="E510" s="529" t="inlineStr">
        <x:is>
          <x:t xml:space="preserve">05/14/1921</x:t>
        </x:is>
      </x:c>
      <x:c r="F510" s="529" t="n">
        <x:v>7805</x:v>
      </x:c>
      <x:c r="G510" s="527" t="inlineStr">
        <x:is>
          <x:t xml:space="preserve">E. C. Winford,
Florence E. Winford</x:t>
        </x:is>
      </x:c>
      <x:c r="H510" s="527" t="inlineStr">
        <x:is>
          <x:t xml:space="preserve">Louis E. Jaques</x:t>
        </x:is>
      </x:c>
      <x:c r="I510" s="527" t="inlineStr">
        <x:is>
          <x:t xml:space="preserve">31-12N-24W (AOL)</x:t>
        </x:is>
      </x:c>
      <x:c r="J510" s="527" t="inlineStr">
        <x:is>
          <x:t xml:space="preserve">Fee / as stated</x:t>
        </x:is>
      </x:c>
      <x:c r="K510" s="527" t="inlineStr">
        <x:is>
          <x:t xml:space="preserve">OKCountyRecords official index, Roger Mills County (instrument 1921-000502); searched 06/11/2026</x:t>
        </x:is>
      </x:c>
      <x:c r="L510" s="565" t="n"/>
      <x:c r="M510" s="565" t="n"/>
      <x:c r="N510" s="565" t="n"/>
      <x:c r="O510" s="565" t="n"/>
      <x:c r="P510" s="565" t="n"/>
      <x:c r="Q510" s="565" t="n"/>
      <x:c r="R510" s="565" t="n"/>
      <x:c r="S510" s="613" t="n"/>
      <x:c r="T510" s="565" t="n"/>
      <x:c r="U510" s="613" t="n"/>
      <x:c r="V510" s="565" t="n"/>
      <x:c r="W510" s="565" t="n"/>
      <x:c r="X510" s="565" t="n"/>
      <x:c r="Y510" s="565" t="n"/>
      <x:c r="Z510" s="565" t="n"/>
    </x:row>
    <x:row r="511">
      <x:c r="A511" s="527" t="inlineStr">
        <x:is>
          <x:t xml:space="preserve">1921-001778</x:t>
        </x:is>
      </x:c>
      <x:c r="B511" s="527" t="n"/>
      <x:c r="C511" s="527" t="inlineStr">
        <x:is>
          <x:t xml:space="preserve">Release</x:t>
        </x:is>
      </x:c>
      <x:c r="D511" s="527" t="inlineStr">
        <x:is>
          <x:t xml:space="preserve">REL011/0476</x:t>
        </x:is>
      </x:c>
      <x:c r="E511" s="529" t="inlineStr">
        <x:is>
          <x:t xml:space="preserve">05/16/1921</x:t>
        </x:is>
      </x:c>
      <x:c r="F511" s="529" t="n">
        <x:v>7807</x:v>
      </x:c>
      <x:c r="G511" s="527" t="inlineStr">
        <x:is>
          <x:t xml:space="preserve">Empire Gas &amp; Fuel Company</x:t>
        </x:is>
      </x:c>
      <x:c r="H511" s="527" t="inlineStr">
        <x:is>
          <x:t xml:space="preserve">E. S. Repass,
Sarah J. Repass</x:t>
        </x:is>
      </x:c>
      <x:c r="I511" s="527" t="inlineStr">
        <x:is>
          <x:t xml:space="preserve">31-12N-24W</x:t>
        </x:is>
      </x:c>
      <x:c r="J511" s="527" t="inlineStr">
        <x:is>
          <x:t xml:space="preserve">Leasehold / WI</x:t>
        </x:is>
      </x:c>
      <x:c r="K511" s="527" t="inlineStr">
        <x:is>
          <x:t xml:space="preserve">OKCountyRecords official index, Roger Mills County (instrument 1921-001778); searched 06/11/2026</x:t>
        </x:is>
      </x:c>
      <x:c r="L511" s="565" t="n"/>
      <x:c r="M511" s="565" t="n"/>
      <x:c r="N511" s="565" t="n"/>
      <x:c r="O511" s="565" t="n"/>
      <x:c r="P511" s="565" t="n"/>
      <x:c r="Q511" s="565" t="n"/>
      <x:c r="R511" s="565" t="n"/>
      <x:c r="S511" s="613" t="n"/>
      <x:c r="T511" s="565" t="n"/>
      <x:c r="U511" s="613" t="n"/>
      <x:c r="V511" s="565" t="n"/>
      <x:c r="W511" s="565" t="n"/>
      <x:c r="X511" s="565" t="n"/>
      <x:c r="Y511" s="565" t="n"/>
      <x:c r="Z511" s="565" t="n"/>
    </x:row>
    <x:row r="512">
      <x:c r="A512" s="527" t="inlineStr">
        <x:is>
          <x:t xml:space="preserve">1921-001835</x:t>
        </x:is>
      </x:c>
      <x:c r="B512" s="527" t="n"/>
      <x:c r="C512" s="527" t="inlineStr">
        <x:is>
          <x:t xml:space="preserve">Release</x:t>
        </x:is>
      </x:c>
      <x:c r="D512" s="527" t="inlineStr">
        <x:is>
          <x:t xml:space="preserve">REL011/0509</x:t>
        </x:is>
      </x:c>
      <x:c r="E512" s="529" t="inlineStr">
        <x:is>
          <x:t xml:space="preserve">07/08/1921</x:t>
        </x:is>
      </x:c>
      <x:c r="F512" s="529" t="n">
        <x:v>7860</x:v>
      </x:c>
      <x:c r="G512" s="527" t="inlineStr">
        <x:is>
          <x:t xml:space="preserve">John R. Williams</x:t>
        </x:is>
      </x:c>
      <x:c r="H512" s="527" t="inlineStr">
        <x:is>
          <x:t xml:space="preserve">Susie Danforth,
W. C. Danforth</x:t>
        </x:is>
      </x:c>
      <x:c r="I512" s="527" t="inlineStr">
        <x:is>
          <x:t xml:space="preserve">31-12N-24W</x:t>
        </x:is>
      </x:c>
      <x:c r="J512" s="527" t="inlineStr">
        <x:is>
          <x:t xml:space="preserve">Leasehold / WI</x:t>
        </x:is>
      </x:c>
      <x:c r="K512" s="527" t="inlineStr">
        <x:is>
          <x:t xml:space="preserve">OKCountyRecords official index, Roger Mills County (instrument 1921-001835); searched 06/11/2026</x:t>
        </x:is>
      </x:c>
      <x:c r="L512" s="565" t="n"/>
      <x:c r="M512" s="565" t="n"/>
      <x:c r="N512" s="565" t="n"/>
      <x:c r="O512" s="565" t="n"/>
      <x:c r="P512" s="565" t="n"/>
      <x:c r="Q512" s="565" t="n"/>
      <x:c r="R512" s="565" t="n"/>
      <x:c r="S512" s="613" t="n"/>
      <x:c r="T512" s="565" t="n"/>
      <x:c r="U512" s="613" t="n"/>
      <x:c r="V512" s="565" t="n"/>
      <x:c r="W512" s="565" t="n"/>
      <x:c r="X512" s="565" t="n"/>
      <x:c r="Y512" s="565" t="n"/>
      <x:c r="Z512" s="565" t="n"/>
    </x:row>
    <x:row r="513">
      <x:c r="A513" s="527" t="inlineStr">
        <x:is>
          <x:t xml:space="preserve">1922-000463</x:t>
        </x:is>
      </x:c>
      <x:c r="B513" s="527" t="n"/>
      <x:c r="C513" s="527" t="inlineStr">
        <x:is>
          <x:t xml:space="preserve">Deed</x:t>
        </x:is>
      </x:c>
      <x:c r="D513" s="527" t="inlineStr">
        <x:is>
          <x:t xml:space="preserve">D00031/0637</x:t>
        </x:is>
      </x:c>
      <x:c r="E513" s="529" t="inlineStr">
        <x:is>
          <x:t xml:space="preserve">03/26/1922</x:t>
        </x:is>
      </x:c>
      <x:c r="F513" s="529" t="n">
        <x:v>8121</x:v>
      </x:c>
      <x:c r="G513" s="527" t="inlineStr">
        <x:is>
          <x:t xml:space="preserve">Susie Danforth,
W. C. Danforth</x:t>
        </x:is>
      </x:c>
      <x:c r="H513" s="527" t="inlineStr">
        <x:is>
          <x:t xml:space="preserve">Benjamin H. Shotwell</x:t>
        </x:is>
      </x:c>
      <x:c r="I513" s="527" t="inlineStr">
        <x:is>
          <x:t xml:space="preserve">31-12N-24W</x:t>
        </x:is>
      </x:c>
      <x:c r="J513" s="527" t="inlineStr">
        <x:is>
          <x:t xml:space="preserve">Fee / as stated</x:t>
        </x:is>
      </x:c>
      <x:c r="K513" s="527" t="inlineStr">
        <x:is>
          <x:t xml:space="preserve">OKCountyRecords official index, Roger Mills County (instrument 1922-000463); searched 06/11/2026</x:t>
        </x:is>
      </x:c>
      <x:c r="L513" s="565" t="n"/>
      <x:c r="M513" s="565" t="n"/>
      <x:c r="N513" s="565" t="n"/>
      <x:c r="O513" s="565" t="n"/>
      <x:c r="P513" s="565" t="n"/>
      <x:c r="Q513" s="565" t="n"/>
      <x:c r="R513" s="565" t="n"/>
      <x:c r="S513" s="613" t="n"/>
      <x:c r="T513" s="565" t="n"/>
      <x:c r="U513" s="613" t="n"/>
      <x:c r="V513" s="565" t="n"/>
      <x:c r="W513" s="565" t="n"/>
      <x:c r="X513" s="565" t="n"/>
      <x:c r="Y513" s="565" t="n"/>
      <x:c r="Z513" s="565" t="n"/>
    </x:row>
    <x:row r="514">
      <x:c r="A514" s="527" t="inlineStr">
        <x:is>
          <x:t xml:space="preserve">1922-001969</x:t>
        </x:is>
      </x:c>
      <x:c r="B514" s="527" t="n"/>
      <x:c r="C514" s="527" t="inlineStr">
        <x:is>
          <x:t xml:space="preserve">Release</x:t>
        </x:is>
      </x:c>
      <x:c r="D514" s="527" t="inlineStr">
        <x:is>
          <x:t xml:space="preserve">REL013/0120</x:t>
        </x:is>
      </x:c>
      <x:c r="E514" s="529" t="inlineStr">
        <x:is>
          <x:t xml:space="preserve">03/26/1922</x:t>
        </x:is>
      </x:c>
      <x:c r="F514" s="529" t="n">
        <x:v>8121</x:v>
      </x:c>
      <x:c r="G514" s="527" t="inlineStr">
        <x:is>
          <x:t xml:space="preserve">Georgie S. Preston</x:t>
        </x:is>
      </x:c>
      <x:c r="H514" s="527" t="inlineStr">
        <x:is>
          <x:t xml:space="preserve">Ernest Brooks,
Mary Brooks</x:t>
        </x:is>
      </x:c>
      <x:c r="I514" s="527" t="inlineStr">
        <x:is>
          <x:t xml:space="preserve">31-12N-24W</x:t>
        </x:is>
      </x:c>
      <x:c r="J514" s="527" t="inlineStr">
        <x:is>
          <x:t xml:space="preserve">Leasehold / WI</x:t>
        </x:is>
      </x:c>
      <x:c r="K514" s="527" t="inlineStr">
        <x:is>
          <x:t xml:space="preserve">OKCountyRecords official index, Roger Mills County (instrument 1922-001969); searched 06/11/2026</x:t>
        </x:is>
      </x:c>
      <x:c r="L514" s="565" t="n"/>
      <x:c r="M514" s="565" t="n"/>
      <x:c r="N514" s="565" t="n"/>
      <x:c r="O514" s="565" t="n"/>
      <x:c r="P514" s="565" t="n"/>
      <x:c r="Q514" s="565" t="n"/>
      <x:c r="R514" s="565" t="n"/>
      <x:c r="S514" s="613" t="n"/>
      <x:c r="T514" s="565" t="n"/>
      <x:c r="U514" s="613" t="n"/>
      <x:c r="V514" s="565" t="n"/>
      <x:c r="W514" s="565" t="n"/>
      <x:c r="X514" s="565" t="n"/>
      <x:c r="Y514" s="565" t="n"/>
      <x:c r="Z514" s="565" t="n"/>
    </x:row>
    <x:row r="515">
      <x:c r="A515" s="527" t="inlineStr">
        <x:is>
          <x:t xml:space="preserve">1922-001979</x:t>
        </x:is>
      </x:c>
      <x:c r="B515" s="527" t="n"/>
      <x:c r="C515" s="527" t="inlineStr">
        <x:is>
          <x:t xml:space="preserve">Release</x:t>
        </x:is>
      </x:c>
      <x:c r="D515" s="527" t="inlineStr">
        <x:is>
          <x:t xml:space="preserve">REL013/0125</x:t>
        </x:is>
      </x:c>
      <x:c r="E515" s="529" t="inlineStr">
        <x:is>
          <x:t xml:space="preserve">04/17/1922</x:t>
        </x:is>
      </x:c>
      <x:c r="F515" s="529" t="n">
        <x:v>8143</x:v>
      </x:c>
      <x:c r="G515" s="527" t="inlineStr">
        <x:is>
          <x:t xml:space="preserve">Eugene P. Gum</x:t>
        </x:is>
      </x:c>
      <x:c r="H515" s="527" t="inlineStr">
        <x:is>
          <x:t xml:space="preserve">Roy A. Garrison,
Virdie Garrison</x:t>
        </x:is>
      </x:c>
      <x:c r="I515" s="527" t="inlineStr">
        <x:is>
          <x:t xml:space="preserve">31-12N-24W (AOL)</x:t>
        </x:is>
      </x:c>
      <x:c r="J515" s="527" t="inlineStr">
        <x:is>
          <x:t xml:space="preserve">Leasehold / WI</x:t>
        </x:is>
      </x:c>
      <x:c r="K515" s="527" t="inlineStr">
        <x:is>
          <x:t xml:space="preserve">OKCountyRecords official index, Roger Mills County (instrument 1922-001979); searched 06/11/2026</x:t>
        </x:is>
      </x:c>
      <x:c r="L515" s="565" t="n"/>
      <x:c r="M515" s="565" t="n"/>
      <x:c r="N515" s="565" t="n"/>
      <x:c r="O515" s="565" t="n"/>
      <x:c r="P515" s="565" t="n"/>
      <x:c r="Q515" s="565" t="n"/>
      <x:c r="R515" s="565" t="n"/>
      <x:c r="S515" s="613" t="n"/>
      <x:c r="T515" s="565" t="n"/>
      <x:c r="U515" s="613" t="n"/>
      <x:c r="V515" s="565" t="n"/>
      <x:c r="W515" s="565" t="n"/>
      <x:c r="X515" s="565" t="n"/>
      <x:c r="Y515" s="565" t="n"/>
      <x:c r="Z515" s="565" t="n"/>
    </x:row>
    <x:row r="516">
      <x:c r="A516" s="527" t="inlineStr">
        <x:is>
          <x:t xml:space="preserve">1923-001298</x:t>
        </x:is>
      </x:c>
      <x:c r="B516" s="527" t="n"/>
      <x:c r="C516" s="527" t="inlineStr">
        <x:is>
          <x:t xml:space="preserve">Assignment</x:t>
        </x:is>
      </x:c>
      <x:c r="D516" s="527" t="inlineStr">
        <x:is>
          <x:t xml:space="preserve">MIS012/0107</x:t>
        </x:is>
      </x:c>
      <x:c r="E516" s="529" t="inlineStr">
        <x:is>
          <x:t xml:space="preserve">04/17/1923</x:t>
        </x:is>
      </x:c>
      <x:c r="F516" s="529" t="n">
        <x:v>8508</x:v>
      </x:c>
      <x:c r="G516" s="527" t="inlineStr">
        <x:is>
          <x:t xml:space="preserve">E. T. Gamble</x:t>
        </x:is>
      </x:c>
      <x:c r="H516" s="527" t="inlineStr">
        <x:is>
          <x:t xml:space="preserve">Swinburn J. Stewart</x:t>
        </x:is>
      </x:c>
      <x:c r="I516" s="527" t="inlineStr">
        <x:is>
          <x:t xml:space="preserve">31-12N-24W</x:t>
        </x:is>
      </x:c>
      <x:c r="J516" s="527" t="inlineStr">
        <x:is>
          <x:t xml:space="preserve">Leasehold / WI</x:t>
        </x:is>
      </x:c>
      <x:c r="K516" s="527" t="inlineStr">
        <x:is>
          <x:t xml:space="preserve">OKCountyRecords official index, Roger Mills County (instrument 1923-001298); searched 06/11/2026</x:t>
        </x:is>
      </x:c>
      <x:c r="L516" s="565" t="n"/>
      <x:c r="M516" s="565" t="n"/>
      <x:c r="N516" s="565" t="n"/>
      <x:c r="O516" s="565" t="n"/>
      <x:c r="P516" s="565" t="n"/>
      <x:c r="Q516" s="565" t="n"/>
      <x:c r="R516" s="565" t="n"/>
      <x:c r="S516" s="613" t="n"/>
      <x:c r="T516" s="565" t="n"/>
      <x:c r="U516" s="613" t="n"/>
      <x:c r="V516" s="565" t="n"/>
      <x:c r="W516" s="565" t="n"/>
      <x:c r="X516" s="565" t="n"/>
      <x:c r="Y516" s="565" t="n"/>
      <x:c r="Z516" s="565" t="n"/>
    </x:row>
    <x:row r="517">
      <x:c r="A517" s="527" t="inlineStr">
        <x:is>
          <x:t xml:space="preserve">1923-002282</x:t>
        </x:is>
      </x:c>
      <x:c r="B517" s="527" t="n"/>
      <x:c r="C517" s="527" t="inlineStr">
        <x:is>
          <x:t xml:space="preserve">Oil and Gas Lease</x:t>
        </x:is>
      </x:c>
      <x:c r="D517" s="527" t="inlineStr">
        <x:is>
          <x:t xml:space="preserve">OGL006/0484</x:t>
        </x:is>
      </x:c>
      <x:c r="E517" s="529" t="inlineStr">
        <x:is>
          <x:t xml:space="preserve">04/22/1923</x:t>
        </x:is>
      </x:c>
      <x:c r="F517" s="529" t="n">
        <x:v>8513</x:v>
      </x:c>
      <x:c r="G517" s="527" t="inlineStr">
        <x:is>
          <x:t xml:space="preserve">E. T. Gamble,
Zella Gamble</x:t>
        </x:is>
      </x:c>
      <x:c r="H517" s="527" t="inlineStr">
        <x:is>
          <x:t xml:space="preserve">Calvin M. Rosser</x:t>
        </x:is>
      </x:c>
      <x:c r="I517" s="527" t="inlineStr">
        <x:is>
          <x:t xml:space="preserve">31-12N-24W</x:t>
        </x:is>
      </x:c>
      <x:c r="J517" s="527" t="inlineStr">
        <x:is>
          <x:t xml:space="preserve">Leasehold / WI</x:t>
        </x:is>
      </x:c>
      <x:c r="K517" s="527" t="inlineStr">
        <x:is>
          <x:t xml:space="preserve">OKCountyRecords official index, Roger Mills County (instrument 1923-002282); searched 06/11/2026</x:t>
        </x:is>
      </x:c>
      <x:c r="L517" s="565" t="n"/>
      <x:c r="M517" s="565" t="n"/>
      <x:c r="N517" s="565" t="n"/>
      <x:c r="O517" s="565" t="n"/>
      <x:c r="P517" s="565" t="n"/>
      <x:c r="Q517" s="565" t="n"/>
      <x:c r="R517" s="565" t="n"/>
      <x:c r="S517" s="613" t="n"/>
      <x:c r="T517" s="565" t="n"/>
      <x:c r="U517" s="613" t="n"/>
      <x:c r="V517" s="565" t="n"/>
      <x:c r="W517" s="565" t="n"/>
      <x:c r="X517" s="565" t="n"/>
      <x:c r="Y517" s="565" t="n"/>
      <x:c r="Z517" s="565" t="n"/>
    </x:row>
    <x:row r="518">
      <x:c r="A518" s="527" t="inlineStr">
        <x:is>
          <x:t xml:space="preserve">1923-001306</x:t>
        </x:is>
      </x:c>
      <x:c r="B518" s="527" t="n"/>
      <x:c r="C518" s="527" t="inlineStr">
        <x:is>
          <x:t xml:space="preserve">Affidavit</x:t>
        </x:is>
      </x:c>
      <x:c r="D518" s="527" t="inlineStr">
        <x:is>
          <x:t xml:space="preserve">MIS012/0119</x:t>
        </x:is>
      </x:c>
      <x:c r="E518" s="529" t="inlineStr">
        <x:is>
          <x:t xml:space="preserve">04/27/1923</x:t>
        </x:is>
      </x:c>
      <x:c r="F518" s="529" t="n">
        <x:v>8518</x:v>
      </x:c>
      <x:c r="G518" s="527" t="inlineStr">
        <x:is>
          <x:t xml:space="preserve">A. H. Douglass</x:t>
        </x:is>
      </x:c>
      <x:c r="H518" s="527" t="inlineStr">
        <x:is>
          <x:t xml:space="preserve">The Public</x:t>
        </x:is>
      </x:c>
      <x:c r="I518" s="527" t="inlineStr">
        <x:is>
          <x:t xml:space="preserve">31-12N-24W</x:t>
        </x:is>
      </x:c>
      <x:c r="J518" s="527" t="inlineStr">
        <x:is>
          <x:t xml:space="preserve">See instrument</x:t>
        </x:is>
      </x:c>
      <x:c r="K518" s="527" t="inlineStr">
        <x:is>
          <x:t xml:space="preserve">OKCountyRecords official index, Roger Mills County (instrument 1923-001306); searched 06/11/2026</x:t>
        </x:is>
      </x:c>
      <x:c r="L518" s="565" t="n"/>
      <x:c r="M518" s="565" t="n"/>
      <x:c r="N518" s="565" t="n"/>
      <x:c r="O518" s="565" t="n"/>
      <x:c r="P518" s="565" t="n"/>
      <x:c r="Q518" s="565" t="n"/>
      <x:c r="R518" s="565" t="n"/>
      <x:c r="S518" s="613" t="n"/>
      <x:c r="T518" s="565" t="n"/>
      <x:c r="U518" s="613" t="n"/>
      <x:c r="V518" s="565" t="n"/>
      <x:c r="W518" s="565" t="n"/>
      <x:c r="X518" s="565" t="n"/>
      <x:c r="Y518" s="565" t="n"/>
      <x:c r="Z518" s="565" t="n"/>
    </x:row>
    <x:row r="519">
      <x:c r="A519" s="527" t="inlineStr">
        <x:is>
          <x:t xml:space="preserve">1925-000406</x:t>
        </x:is>
      </x:c>
      <x:c r="B519" s="527" t="n"/>
      <x:c r="C519" s="527" t="inlineStr">
        <x:is>
          <x:t xml:space="preserve">Deed</x:t>
        </x:is>
      </x:c>
      <x:c r="D519" s="527" t="inlineStr">
        <x:is>
          <x:t xml:space="preserve">D00034/0104</x:t>
        </x:is>
      </x:c>
      <x:c r="E519" s="529" t="inlineStr">
        <x:is>
          <x:t xml:space="preserve">01/05/1925</x:t>
        </x:is>
      </x:c>
      <x:c r="F519" s="529" t="n">
        <x:v>9137</x:v>
      </x:c>
      <x:c r="G519" s="527" t="inlineStr">
        <x:is>
          <x:t xml:space="preserve">E. T. Gamble,
Zella M. Gamble</x:t>
        </x:is>
      </x:c>
      <x:c r="H519" s="527" t="inlineStr">
        <x:is>
          <x:t xml:space="preserve">Leo Aulbert</x:t>
        </x:is>
      </x:c>
      <x:c r="I519" s="527" t="inlineStr">
        <x:is>
          <x:t xml:space="preserve">31-12N-24W</x:t>
        </x:is>
      </x:c>
      <x:c r="J519" s="527" t="inlineStr">
        <x:is>
          <x:t xml:space="preserve">Fee / as stated</x:t>
        </x:is>
      </x:c>
      <x:c r="K519" s="527" t="inlineStr">
        <x:is>
          <x:t xml:space="preserve">OKCountyRecords official index, Roger Mills County (instrument 1925-000406); searched 06/11/2026</x:t>
        </x:is>
      </x:c>
      <x:c r="L519" s="565" t="n"/>
      <x:c r="M519" s="565" t="n"/>
      <x:c r="N519" s="565" t="n"/>
      <x:c r="O519" s="565" t="n"/>
      <x:c r="P519" s="565" t="n"/>
      <x:c r="Q519" s="565" t="n"/>
      <x:c r="R519" s="565" t="n"/>
      <x:c r="S519" s="613" t="n"/>
      <x:c r="T519" s="565" t="n"/>
      <x:c r="U519" s="613" t="n"/>
      <x:c r="V519" s="565" t="n"/>
      <x:c r="W519" s="565" t="n"/>
      <x:c r="X519" s="565" t="n"/>
      <x:c r="Y519" s="565" t="n"/>
      <x:c r="Z519" s="565" t="n"/>
    </x:row>
    <x:row r="520">
      <x:c r="A520" s="527" t="inlineStr">
        <x:is>
          <x:t xml:space="preserve">1926-001354</x:t>
        </x:is>
      </x:c>
      <x:c r="B520" s="527" t="n"/>
      <x:c r="C520" s="527" t="inlineStr">
        <x:is>
          <x:t xml:space="preserve">Release</x:t>
        </x:is>
      </x:c>
      <x:c r="D520" s="527" t="inlineStr">
        <x:is>
          <x:t xml:space="preserve">REL007/0496</x:t>
        </x:is>
      </x:c>
      <x:c r="E520" s="529" t="inlineStr">
        <x:is>
          <x:t xml:space="preserve">10/31/1926</x:t>
        </x:is>
      </x:c>
      <x:c r="F520" s="529" t="n">
        <x:v>9801</x:v>
      </x:c>
      <x:c r="G520" s="527" t="inlineStr">
        <x:is>
          <x:t xml:space="preserve">Martin Loan &amp; Investment Company</x:t>
        </x:is>
      </x:c>
      <x:c r="H520" s="527" t="inlineStr">
        <x:is>
          <x:t xml:space="preserve">Wilda B. Bain,
William C. Bain</x:t>
        </x:is>
      </x:c>
      <x:c r="I520" s="527" t="inlineStr">
        <x:is>
          <x:t xml:space="preserve">31-12N-24W</x:t>
        </x:is>
      </x:c>
      <x:c r="J520" s="527" t="inlineStr">
        <x:is>
          <x:t xml:space="preserve">Leasehold / WI</x:t>
        </x:is>
      </x:c>
      <x:c r="K520" s="527" t="inlineStr">
        <x:is>
          <x:t xml:space="preserve">OKCountyRecords official index, Roger Mills County (instrument 1926-001354); searched 06/11/2026</x:t>
        </x:is>
      </x:c>
      <x:c r="L520" s="565" t="n"/>
      <x:c r="M520" s="565" t="n"/>
      <x:c r="N520" s="565" t="n"/>
      <x:c r="O520" s="565" t="n"/>
      <x:c r="P520" s="565" t="n"/>
      <x:c r="Q520" s="565" t="n"/>
      <x:c r="R520" s="565" t="n"/>
      <x:c r="S520" s="613" t="n"/>
      <x:c r="T520" s="565" t="n"/>
      <x:c r="U520" s="613" t="n"/>
      <x:c r="V520" s="565" t="n"/>
      <x:c r="W520" s="565" t="n"/>
      <x:c r="X520" s="565" t="n"/>
      <x:c r="Y520" s="565" t="n"/>
      <x:c r="Z520" s="565" t="n"/>
    </x:row>
    <x:row r="521">
      <x:c r="A521" s="527" t="inlineStr">
        <x:is>
          <x:t xml:space="preserve">1927-000706</x:t>
        </x:is>
      </x:c>
      <x:c r="B521" s="527" t="n"/>
      <x:c r="C521" s="527" t="inlineStr">
        <x:is>
          <x:t xml:space="preserve">Deed</x:t>
        </x:is>
      </x:c>
      <x:c r="D521" s="527" t="inlineStr">
        <x:is>
          <x:t xml:space="preserve">D00038/0162</x:t>
        </x:is>
      </x:c>
      <x:c r="E521" s="529" t="inlineStr">
        <x:is>
          <x:t xml:space="preserve">08/03/1927</x:t>
        </x:is>
      </x:c>
      <x:c r="F521" s="529" t="n">
        <x:v>10077</x:v>
      </x:c>
      <x:c r="G521" s="527" t="inlineStr">
        <x:is>
          <x:t xml:space="preserve">Mark Hambrook</x:t>
        </x:is>
      </x:c>
      <x:c r="H521" s="527" t="inlineStr">
        <x:is>
          <x:t xml:space="preserve">Panhandle Co-operative Royalty Company</x:t>
        </x:is>
      </x:c>
      <x:c r="I521" s="527" t="inlineStr">
        <x:is>
          <x:t xml:space="preserve">31-12N-24W</x:t>
        </x:is>
      </x:c>
      <x:c r="J521" s="527" t="inlineStr">
        <x:is>
          <x:t xml:space="preserve">Fee / as stated</x:t>
        </x:is>
      </x:c>
      <x:c r="K521" s="527" t="inlineStr">
        <x:is>
          <x:t xml:space="preserve">OKCountyRecords official index, Roger Mills County (instrument 1927-000706); searched 06/11/2026</x:t>
        </x:is>
      </x:c>
      <x:c r="L521" s="565" t="n"/>
      <x:c r="M521" s="565" t="n"/>
      <x:c r="N521" s="565" t="n"/>
      <x:c r="O521" s="565" t="n"/>
      <x:c r="P521" s="565" t="n"/>
      <x:c r="Q521" s="565" t="n"/>
      <x:c r="R521" s="565" t="n"/>
      <x:c r="S521" s="613" t="n"/>
      <x:c r="T521" s="565" t="n"/>
      <x:c r="U521" s="613" t="n"/>
      <x:c r="V521" s="565" t="n"/>
      <x:c r="W521" s="565" t="n"/>
      <x:c r="X521" s="565" t="n"/>
      <x:c r="Y521" s="565" t="n"/>
      <x:c r="Z521" s="565" t="n"/>
    </x:row>
    <x:row r="522">
      <x:c r="A522" s="527" t="inlineStr">
        <x:is>
          <x:t xml:space="preserve">1927-000712</x:t>
        </x:is>
      </x:c>
      <x:c r="B522" s="527" t="n"/>
      <x:c r="C522" s="527" t="inlineStr">
        <x:is>
          <x:t xml:space="preserve">Deed</x:t>
        </x:is>
      </x:c>
      <x:c r="D522" s="527" t="inlineStr">
        <x:is>
          <x:t xml:space="preserve">D00038/0173</x:t>
        </x:is>
      </x:c>
      <x:c r="E522" s="529" t="inlineStr">
        <x:is>
          <x:t xml:space="preserve">08/03/1927</x:t>
        </x:is>
      </x:c>
      <x:c r="F522" s="529" t="n">
        <x:v>10077</x:v>
      </x:c>
      <x:c r="G522" s="527" t="inlineStr">
        <x:is>
          <x:t xml:space="preserve">L. E. Jacques,
N. V. Jacques</x:t>
        </x:is>
      </x:c>
      <x:c r="H522" s="527" t="inlineStr">
        <x:is>
          <x:t xml:space="preserve">Panhandle Co-operative Royalty Co</x:t>
        </x:is>
      </x:c>
      <x:c r="I522" s="527" t="inlineStr">
        <x:is>
          <x:t xml:space="preserve">31-12N-24W</x:t>
        </x:is>
      </x:c>
      <x:c r="J522" s="527" t="inlineStr">
        <x:is>
          <x:t xml:space="preserve">Fee / as stated</x:t>
        </x:is>
      </x:c>
      <x:c r="K522" s="527" t="inlineStr">
        <x:is>
          <x:t xml:space="preserve">OKCountyRecords official index, Roger Mills County (instrument 1927-000712); searched 06/11/2026</x:t>
        </x:is>
      </x:c>
      <x:c r="L522" s="565" t="n"/>
      <x:c r="M522" s="565" t="n"/>
      <x:c r="N522" s="565" t="n"/>
      <x:c r="O522" s="565" t="n"/>
      <x:c r="P522" s="565" t="n"/>
      <x:c r="Q522" s="565" t="n"/>
      <x:c r="R522" s="565" t="n"/>
      <x:c r="S522" s="613" t="n"/>
      <x:c r="T522" s="565" t="n"/>
      <x:c r="U522" s="613" t="n"/>
      <x:c r="V522" s="565" t="n"/>
      <x:c r="W522" s="565" t="n"/>
      <x:c r="X522" s="565" t="n"/>
      <x:c r="Y522" s="565" t="n"/>
      <x:c r="Z522" s="565" t="n"/>
    </x:row>
    <x:row r="523">
      <x:c r="A523" s="527" t="inlineStr">
        <x:is>
          <x:t xml:space="preserve">1928-002014</x:t>
        </x:is>
      </x:c>
      <x:c r="B523" s="527" t="n"/>
      <x:c r="C523" s="527" t="inlineStr">
        <x:is>
          <x:t xml:space="preserve">Release</x:t>
        </x:is>
      </x:c>
      <x:c r="D523" s="527" t="inlineStr">
        <x:is>
          <x:t xml:space="preserve">REL015/0588</x:t>
        </x:is>
      </x:c>
      <x:c r="E523" s="529" t="inlineStr">
        <x:is>
          <x:t xml:space="preserve">01/11/1928</x:t>
        </x:is>
      </x:c>
      <x:c r="F523" s="529" t="n">
        <x:v>10238</x:v>
      </x:c>
      <x:c r="G523" s="527" t="inlineStr">
        <x:is>
          <x:t xml:space="preserve">E. C. Thorne</x:t>
        </x:is>
      </x:c>
      <x:c r="H523" s="527" t="inlineStr">
        <x:is>
          <x:t xml:space="preserve">Claude J. McGuire,
Herbert E. McGuire</x:t>
        </x:is>
      </x:c>
      <x:c r="I523" s="527" t="inlineStr">
        <x:is>
          <x:t xml:space="preserve">31-12N-24W</x:t>
        </x:is>
      </x:c>
      <x:c r="J523" s="527" t="inlineStr">
        <x:is>
          <x:t xml:space="preserve">Leasehold / WI</x:t>
        </x:is>
      </x:c>
      <x:c r="K523" s="527" t="inlineStr">
        <x:is>
          <x:t xml:space="preserve">OKCountyRecords official index, Roger Mills County (instrument 1928-002014); searched 06/11/2026</x:t>
        </x:is>
      </x:c>
      <x:c r="L523" s="565" t="n"/>
      <x:c r="M523" s="565" t="n"/>
      <x:c r="N523" s="565" t="n"/>
      <x:c r="O523" s="565" t="n"/>
      <x:c r="P523" s="565" t="n"/>
      <x:c r="Q523" s="565" t="n"/>
      <x:c r="R523" s="565" t="n"/>
      <x:c r="S523" s="613" t="n"/>
      <x:c r="T523" s="565" t="n"/>
      <x:c r="U523" s="613" t="n"/>
      <x:c r="V523" s="565" t="n"/>
      <x:c r="W523" s="565" t="n"/>
      <x:c r="X523" s="565" t="n"/>
      <x:c r="Y523" s="565" t="n"/>
      <x:c r="Z523" s="565" t="n"/>
    </x:row>
    <x:row r="524">
      <x:c r="A524" s="527" t="inlineStr">
        <x:is>
          <x:t xml:space="preserve">1929-002475</x:t>
        </x:is>
      </x:c>
      <x:c r="B524" s="527" t="n"/>
      <x:c r="C524" s="527" t="inlineStr">
        <x:is>
          <x:t xml:space="preserve">Release</x:t>
        </x:is>
      </x:c>
      <x:c r="D524" s="527" t="inlineStr">
        <x:is>
          <x:t xml:space="preserve">REL007/0548</x:t>
        </x:is>
      </x:c>
      <x:c r="E524" s="529" t="inlineStr">
        <x:is>
          <x:t xml:space="preserve">11/23/1929</x:t>
        </x:is>
      </x:c>
      <x:c r="F524" s="529" t="n">
        <x:v>10920</x:v>
      </x:c>
      <x:c r="G524" s="527" t="inlineStr">
        <x:is>
          <x:t xml:space="preserve">Martin Loan &amp; Investment Company</x:t>
        </x:is>
      </x:c>
      <x:c r="H524" s="527" t="inlineStr">
        <x:is>
          <x:t xml:space="preserve">Eula Bain,
William C. Bain</x:t>
        </x:is>
      </x:c>
      <x:c r="I524" s="527" t="inlineStr">
        <x:is>
          <x:t xml:space="preserve">31-12N-24W</x:t>
        </x:is>
      </x:c>
      <x:c r="J524" s="527" t="inlineStr">
        <x:is>
          <x:t xml:space="preserve">Leasehold / WI</x:t>
        </x:is>
      </x:c>
      <x:c r="K524" s="527" t="inlineStr">
        <x:is>
          <x:t xml:space="preserve">OKCountyRecords official index, Roger Mills County (instrument 1929-002475); searched 06/11/2026</x:t>
        </x:is>
      </x:c>
      <x:c r="L524" s="565" t="n"/>
      <x:c r="M524" s="565" t="n"/>
      <x:c r="N524" s="565" t="n"/>
      <x:c r="O524" s="565" t="n"/>
      <x:c r="P524" s="565" t="n"/>
      <x:c r="Q524" s="565" t="n"/>
      <x:c r="R524" s="565" t="n"/>
      <x:c r="S524" s="613" t="n"/>
      <x:c r="T524" s="565" t="n"/>
      <x:c r="U524" s="613" t="n"/>
      <x:c r="V524" s="565" t="n"/>
      <x:c r="W524" s="565" t="n"/>
      <x:c r="X524" s="565" t="n"/>
      <x:c r="Y524" s="565" t="n"/>
      <x:c r="Z524" s="565" t="n"/>
    </x:row>
    <x:row r="525">
      <x:c r="A525" s="527" t="inlineStr">
        <x:is>
          <x:t xml:space="preserve">1930-003190</x:t>
        </x:is>
      </x:c>
      <x:c r="B525" s="527" t="n"/>
      <x:c r="C525" s="527" t="inlineStr">
        <x:is>
          <x:t xml:space="preserve">Release</x:t>
        </x:is>
      </x:c>
      <x:c r="D525" s="527" t="inlineStr">
        <x:is>
          <x:t xml:space="preserve">REL016/0331</x:t>
        </x:is>
      </x:c>
      <x:c r="E525" s="529" t="inlineStr">
        <x:is>
          <x:t xml:space="preserve">01/06/1930</x:t>
        </x:is>
      </x:c>
      <x:c r="F525" s="529" t="n">
        <x:v>10964</x:v>
      </x:c>
      <x:c r="G525" s="527" t="inlineStr">
        <x:is>
          <x:t xml:space="preserve">Albert G. Frick</x:t>
        </x:is>
      </x:c>
      <x:c r="H525" s="527" t="inlineStr">
        <x:is>
          <x:t xml:space="preserve">H. E. Rupp,
Lula Rupp</x:t>
        </x:is>
      </x:c>
      <x:c r="I525" s="527" t="inlineStr">
        <x:is>
          <x:t xml:space="preserve">31-12N-24W (AOL)</x:t>
        </x:is>
      </x:c>
      <x:c r="J525" s="527" t="inlineStr">
        <x:is>
          <x:t xml:space="preserve">Leasehold / WI</x:t>
        </x:is>
      </x:c>
      <x:c r="K525" s="527" t="inlineStr">
        <x:is>
          <x:t xml:space="preserve">OKCountyRecords official index, Roger Mills County (instrument 1930-003190); searched 06/11/2026</x:t>
        </x:is>
      </x:c>
      <x:c r="L525" s="565" t="n"/>
      <x:c r="M525" s="565" t="n"/>
      <x:c r="N525" s="565" t="n"/>
      <x:c r="O525" s="565" t="n"/>
      <x:c r="P525" s="565" t="n"/>
      <x:c r="Q525" s="565" t="n"/>
      <x:c r="R525" s="565" t="n"/>
      <x:c r="S525" s="613" t="n"/>
      <x:c r="T525" s="565" t="n"/>
      <x:c r="U525" s="613" t="n"/>
      <x:c r="V525" s="565" t="n"/>
      <x:c r="W525" s="565" t="n"/>
      <x:c r="X525" s="565" t="n"/>
      <x:c r="Y525" s="565" t="n"/>
      <x:c r="Z525" s="565" t="n"/>
    </x:row>
    <x:row r="526">
      <x:c r="A526" s="527" t="inlineStr">
        <x:is>
          <x:t xml:space="preserve">1930-002914</x:t>
        </x:is>
      </x:c>
      <x:c r="B526" s="527" t="n"/>
      <x:c r="C526" s="527" t="inlineStr">
        <x:is>
          <x:t xml:space="preserve">Patent</x:t>
        </x:is>
      </x:c>
      <x:c r="D526" s="527" t="inlineStr">
        <x:is>
          <x:t xml:space="preserve">PAT010/234</x:t>
        </x:is>
      </x:c>
      <x:c r="E526" s="529" t="inlineStr">
        <x:is>
          <x:t xml:space="preserve">03/04/1930</x:t>
        </x:is>
      </x:c>
      <x:c r="F526" s="529" t="n">
        <x:v>11021</x:v>
      </x:c>
      <x:c r="G526" s="527" t="inlineStr">
        <x:is>
          <x:t xml:space="preserve">United States of America</x:t>
        </x:is>
      </x:c>
      <x:c r="H526" s="527" t="inlineStr">
        <x:is>
          <x:t xml:space="preserve">Roy A. Garrison</x:t>
        </x:is>
      </x:c>
      <x:c r="I526" s="527" t="inlineStr">
        <x:is>
          <x:t xml:space="preserve">31-12N-24W (AOL)</x:t>
        </x:is>
      </x:c>
      <x:c r="J526" s="527" t="inlineStr">
        <x:is>
          <x:t xml:space="preserve">Fee / as stated</x:t>
        </x:is>
      </x:c>
      <x:c r="K526" s="527" t="inlineStr">
        <x:is>
          <x:t xml:space="preserve">OKCountyRecords official index, Roger Mills County (instrument 1930-002914); searched 06/11/2026</x:t>
        </x:is>
      </x:c>
      <x:c r="L526" s="565" t="n"/>
      <x:c r="M526" s="565" t="n"/>
      <x:c r="N526" s="565" t="n"/>
      <x:c r="O526" s="565" t="n"/>
      <x:c r="P526" s="565" t="n"/>
      <x:c r="Q526" s="565" t="n"/>
      <x:c r="R526" s="565" t="n"/>
      <x:c r="S526" s="613" t="n"/>
      <x:c r="T526" s="565" t="n"/>
      <x:c r="U526" s="613" t="n"/>
      <x:c r="V526" s="565" t="n"/>
      <x:c r="W526" s="565" t="n"/>
      <x:c r="X526" s="565" t="n"/>
      <x:c r="Y526" s="565" t="n"/>
      <x:c r="Z526" s="565" t="n"/>
    </x:row>
    <x:row r="527">
      <x:c r="A527" s="527" t="inlineStr">
        <x:is>
          <x:t xml:space="preserve">1930-003271</x:t>
        </x:is>
      </x:c>
      <x:c r="B527" s="527" t="n"/>
      <x:c r="C527" s="527" t="inlineStr">
        <x:is>
          <x:t xml:space="preserve">Release</x:t>
        </x:is>
      </x:c>
      <x:c r="D527" s="527" t="inlineStr">
        <x:is>
          <x:t xml:space="preserve">REL016/0387</x:t>
        </x:is>
      </x:c>
      <x:c r="E527" s="529" t="inlineStr">
        <x:is>
          <x:t xml:space="preserve">04/21/1930</x:t>
        </x:is>
      </x:c>
      <x:c r="F527" s="529" t="n">
        <x:v>11069</x:v>
      </x:c>
      <x:c r="G527" s="527" t="inlineStr">
        <x:is>
          <x:t xml:space="preserve">Albert G. Frick</x:t>
        </x:is>
      </x:c>
      <x:c r="H527" s="527" t="inlineStr">
        <x:is>
          <x:t xml:space="preserve">H. E. Rupp,
Lula Rupp</x:t>
        </x:is>
      </x:c>
      <x:c r="I527" s="527" t="inlineStr">
        <x:is>
          <x:t xml:space="preserve">31-12N-24W (AOL)</x:t>
        </x:is>
      </x:c>
      <x:c r="J527" s="527" t="inlineStr">
        <x:is>
          <x:t xml:space="preserve">Leasehold / WI</x:t>
        </x:is>
      </x:c>
      <x:c r="K527" s="527" t="inlineStr">
        <x:is>
          <x:t xml:space="preserve">OKCountyRecords official index, Roger Mills County (instrument 1930-003271); searched 06/11/2026</x:t>
        </x:is>
      </x:c>
      <x:c r="L527" s="565" t="n"/>
      <x:c r="M527" s="565" t="n"/>
      <x:c r="N527" s="565" t="n"/>
      <x:c r="O527" s="565" t="n"/>
      <x:c r="P527" s="565" t="n"/>
      <x:c r="Q527" s="565" t="n"/>
      <x:c r="R527" s="565" t="n"/>
      <x:c r="S527" s="613" t="n"/>
      <x:c r="T527" s="565" t="n"/>
      <x:c r="U527" s="613" t="n"/>
      <x:c r="V527" s="565" t="n"/>
      <x:c r="W527" s="565" t="n"/>
      <x:c r="X527" s="565" t="n"/>
      <x:c r="Y527" s="565" t="n"/>
      <x:c r="Z527" s="565" t="n"/>
    </x:row>
    <x:row r="528">
      <x:c r="A528" s="527" t="inlineStr">
        <x:is>
          <x:t xml:space="preserve">1930-001678</x:t>
        </x:is>
      </x:c>
      <x:c r="B528" s="527" t="n"/>
      <x:c r="C528" s="527" t="inlineStr">
        <x:is>
          <x:t xml:space="preserve">Miscellaneous</x:t>
        </x:is>
      </x:c>
      <x:c r="D528" s="527" t="inlineStr">
        <x:is>
          <x:t xml:space="preserve">MIS015/0055</x:t>
        </x:is>
      </x:c>
      <x:c r="E528" s="529" t="inlineStr">
        <x:is>
          <x:t xml:space="preserve">06/30/1930</x:t>
        </x:is>
      </x:c>
      <x:c r="F528" s="529" t="n">
        <x:v>11139</x:v>
      </x:c>
      <x:c r="G528" s="527" t="inlineStr">
        <x:is>
          <x:t xml:space="preserve">G. D. Wooley</x:t>
        </x:is>
      </x:c>
      <x:c r="H528" s="527" t="inlineStr">
        <x:is>
          <x:t xml:space="preserve">The Public</x:t>
        </x:is>
      </x:c>
      <x:c r="I528" s="527" t="inlineStr">
        <x:is>
          <x:t xml:space="preserve">31-12N-24W (AOL)</x:t>
        </x:is>
      </x:c>
      <x:c r="J528" s="527" t="inlineStr">
        <x:is>
          <x:t xml:space="preserve">See instrument</x:t>
        </x:is>
      </x:c>
      <x:c r="K528" s="527" t="inlineStr">
        <x:is>
          <x:t xml:space="preserve">OKCountyRecords official index, Roger Mills County (instrument 1930-001678); searched 06/11/2026</x:t>
        </x:is>
      </x:c>
      <x:c r="L528" s="565" t="n"/>
      <x:c r="M528" s="565" t="n"/>
      <x:c r="N528" s="565" t="n"/>
      <x:c r="O528" s="565" t="n"/>
      <x:c r="P528" s="565" t="n"/>
      <x:c r="Q528" s="565" t="n"/>
      <x:c r="R528" s="565" t="n"/>
      <x:c r="S528" s="613" t="n"/>
      <x:c r="T528" s="565" t="n"/>
      <x:c r="U528" s="613" t="n"/>
      <x:c r="V528" s="565" t="n"/>
      <x:c r="W528" s="565" t="n"/>
      <x:c r="X528" s="565" t="n"/>
      <x:c r="Y528" s="565" t="n"/>
      <x:c r="Z528" s="565" t="n"/>
    </x:row>
    <x:row r="529">
      <x:c r="A529" s="527" t="inlineStr">
        <x:is>
          <x:t xml:space="preserve">1930-001681</x:t>
        </x:is>
      </x:c>
      <x:c r="B529" s="527" t="n"/>
      <x:c r="C529" s="527" t="inlineStr">
        <x:is>
          <x:t xml:space="preserve">Miscellaneous</x:t>
        </x:is>
      </x:c>
      <x:c r="D529" s="527" t="inlineStr">
        <x:is>
          <x:t xml:space="preserve">MIS015/0059</x:t>
        </x:is>
      </x:c>
      <x:c r="E529" s="529" t="inlineStr">
        <x:is>
          <x:t xml:space="preserve">07/25/1930</x:t>
        </x:is>
      </x:c>
      <x:c r="F529" s="529" t="n">
        <x:v>11164</x:v>
      </x:c>
      <x:c r="G529" s="527" t="inlineStr">
        <x:is>
          <x:t xml:space="preserve">Roy M. Johnson</x:t>
        </x:is>
      </x:c>
      <x:c r="H529" s="527" t="inlineStr">
        <x:is>
          <x:t xml:space="preserve">The Public</x:t>
        </x:is>
      </x:c>
      <x:c r="I529" s="527" t="inlineStr">
        <x:is>
          <x:t xml:space="preserve">31-12N-24W (AOL)</x:t>
        </x:is>
      </x:c>
      <x:c r="J529" s="527" t="inlineStr">
        <x:is>
          <x:t xml:space="preserve">See instrument</x:t>
        </x:is>
      </x:c>
      <x:c r="K529" s="527" t="inlineStr">
        <x:is>
          <x:t xml:space="preserve">OKCountyRecords official index, Roger Mills County (instrument 1930-001681); searched 06/11/2026</x:t>
        </x:is>
      </x:c>
      <x:c r="L529" s="565" t="n"/>
      <x:c r="M529" s="565" t="n"/>
      <x:c r="N529" s="565" t="n"/>
      <x:c r="O529" s="565" t="n"/>
      <x:c r="P529" s="565" t="n"/>
      <x:c r="Q529" s="565" t="n"/>
      <x:c r="R529" s="565" t="n"/>
      <x:c r="S529" s="613" t="n"/>
      <x:c r="T529" s="565" t="n"/>
      <x:c r="U529" s="613" t="n"/>
      <x:c r="V529" s="565" t="n"/>
      <x:c r="W529" s="565" t="n"/>
      <x:c r="X529" s="565" t="n"/>
      <x:c r="Y529" s="565" t="n"/>
      <x:c r="Z529" s="565" t="n"/>
    </x:row>
    <x:row r="530">
      <x:c r="A530" s="527" t="inlineStr">
        <x:is>
          <x:t xml:space="preserve">1930-002708</x:t>
        </x:is>
      </x:c>
      <x:c r="B530" s="527" t="n"/>
      <x:c r="C530" s="527" t="inlineStr">
        <x:is>
          <x:t xml:space="preserve">Oil and Gas Lease</x:t>
        </x:is>
      </x:c>
      <x:c r="D530" s="527" t="inlineStr">
        <x:is>
          <x:t xml:space="preserve">OGL008/0649</x:t>
        </x:is>
      </x:c>
      <x:c r="E530" s="529" t="inlineStr">
        <x:is>
          <x:t xml:space="preserve">07/25/1930</x:t>
        </x:is>
      </x:c>
      <x:c r="F530" s="529" t="n">
        <x:v>11164</x:v>
      </x:c>
      <x:c r="G530" s="527" t="inlineStr">
        <x:is>
          <x:t xml:space="preserve">Louis E. Jaques,
Virginia Jaques</x:t>
        </x:is>
      </x:c>
      <x:c r="H530" s="527" t="inlineStr">
        <x:is>
          <x:t xml:space="preserve">Roy M. Johnson</x:t>
        </x:is>
      </x:c>
      <x:c r="I530" s="527" t="inlineStr">
        <x:is>
          <x:t xml:space="preserve">31-12N-24W (AOL)</x:t>
        </x:is>
      </x:c>
      <x:c r="J530" s="527" t="inlineStr">
        <x:is>
          <x:t xml:space="preserve">Leasehold / WI</x:t>
        </x:is>
      </x:c>
      <x:c r="K530" s="527" t="inlineStr">
        <x:is>
          <x:t xml:space="preserve">OKCountyRecords official index, Roger Mills County (instrument 1930-002708); searched 06/11/2026</x:t>
        </x:is>
      </x:c>
      <x:c r="L530" s="565" t="n"/>
      <x:c r="M530" s="565" t="n"/>
      <x:c r="N530" s="565" t="n"/>
      <x:c r="O530" s="565" t="n"/>
      <x:c r="P530" s="565" t="n"/>
      <x:c r="Q530" s="565" t="n"/>
      <x:c r="R530" s="565" t="n"/>
      <x:c r="S530" s="613" t="n"/>
      <x:c r="T530" s="565" t="n"/>
      <x:c r="U530" s="613" t="n"/>
      <x:c r="V530" s="565" t="n"/>
      <x:c r="W530" s="565" t="n"/>
      <x:c r="X530" s="565" t="n"/>
      <x:c r="Y530" s="565" t="n"/>
      <x:c r="Z530" s="565" t="n"/>
    </x:row>
    <x:row r="531">
      <x:c r="A531" s="527" t="inlineStr">
        <x:is>
          <x:t xml:space="preserve">1930-002773</x:t>
        </x:is>
      </x:c>
      <x:c r="B531" s="527" t="n"/>
      <x:c r="C531" s="527" t="inlineStr">
        <x:is>
          <x:t xml:space="preserve">Oil and Gas Lease</x:t>
        </x:is>
      </x:c>
      <x:c r="D531" s="527" t="inlineStr">
        <x:is>
          <x:t xml:space="preserve">OGL009/0032</x:t>
        </x:is>
      </x:c>
      <x:c r="E531" s="529" t="inlineStr">
        <x:is>
          <x:t xml:space="preserve">08/04/1930</x:t>
        </x:is>
      </x:c>
      <x:c r="F531" s="529" t="n">
        <x:v>11174</x:v>
      </x:c>
      <x:c r="G531" s="527" t="inlineStr">
        <x:is>
          <x:t xml:space="preserve">Lee Aulbert,
Mollie Aulbert</x:t>
        </x:is>
      </x:c>
      <x:c r="H531" s="527" t="inlineStr">
        <x:is>
          <x:t xml:space="preserve">Roy M. Johnson</x:t>
        </x:is>
      </x:c>
      <x:c r="I531" s="527" t="inlineStr">
        <x:is>
          <x:t xml:space="preserve">31-12N-24W</x:t>
        </x:is>
      </x:c>
      <x:c r="J531" s="527" t="inlineStr">
        <x:is>
          <x:t xml:space="preserve">Leasehold / WI</x:t>
        </x:is>
      </x:c>
      <x:c r="K531" s="527" t="inlineStr">
        <x:is>
          <x:t xml:space="preserve">OKCountyRecords official index, Roger Mills County (instrument 1930-002773); searched 06/11/2026</x:t>
        </x:is>
      </x:c>
      <x:c r="L531" s="565" t="n"/>
      <x:c r="M531" s="565" t="n"/>
      <x:c r="N531" s="565" t="n"/>
      <x:c r="O531" s="565" t="n"/>
      <x:c r="P531" s="565" t="n"/>
      <x:c r="Q531" s="565" t="n"/>
      <x:c r="R531" s="565" t="n"/>
      <x:c r="S531" s="613" t="n"/>
      <x:c r="T531" s="565" t="n"/>
      <x:c r="U531" s="613" t="n"/>
      <x:c r="V531" s="565" t="n"/>
      <x:c r="W531" s="565" t="n"/>
      <x:c r="X531" s="565" t="n"/>
      <x:c r="Y531" s="565" t="n"/>
      <x:c r="Z531" s="565" t="n"/>
    </x:row>
    <x:row r="532">
      <x:c r="A532" s="527" t="inlineStr">
        <x:is>
          <x:t xml:space="preserve">1930-002771</x:t>
        </x:is>
      </x:c>
      <x:c r="B532" s="527" t="n"/>
      <x:c r="C532" s="527" t="inlineStr">
        <x:is>
          <x:t xml:space="preserve">Oil and Gas Lease</x:t>
        </x:is>
      </x:c>
      <x:c r="D532" s="527" t="inlineStr">
        <x:is>
          <x:t xml:space="preserve">OGL009/0030</x:t>
        </x:is>
      </x:c>
      <x:c r="E532" s="529" t="inlineStr">
        <x:is>
          <x:t xml:space="preserve">08/07/1930</x:t>
        </x:is>
      </x:c>
      <x:c r="F532" s="529" t="n">
        <x:v>11177</x:v>
      </x:c>
      <x:c r="G532" s="527" t="inlineStr">
        <x:is>
          <x:t xml:space="preserve">Mark Hambrook</x:t>
        </x:is>
      </x:c>
      <x:c r="H532" s="527" t="inlineStr">
        <x:is>
          <x:t xml:space="preserve">Roy M. Johnson</x:t>
        </x:is>
      </x:c>
      <x:c r="I532" s="527" t="inlineStr">
        <x:is>
          <x:t xml:space="preserve">31-12N-24W</x:t>
        </x:is>
      </x:c>
      <x:c r="J532" s="527" t="inlineStr">
        <x:is>
          <x:t xml:space="preserve">Leasehold / WI</x:t>
        </x:is>
      </x:c>
      <x:c r="K532" s="527" t="inlineStr">
        <x:is>
          <x:t xml:space="preserve">OKCountyRecords official index, Roger Mills County (instrument 1930-002771); searched 06/11/2026</x:t>
        </x:is>
      </x:c>
      <x:c r="L532" s="565" t="n"/>
      <x:c r="M532" s="565" t="n"/>
      <x:c r="N532" s="565" t="n"/>
      <x:c r="O532" s="565" t="n"/>
      <x:c r="P532" s="565" t="n"/>
      <x:c r="Q532" s="565" t="n"/>
      <x:c r="R532" s="565" t="n"/>
      <x:c r="S532" s="613" t="n"/>
      <x:c r="T532" s="565" t="n"/>
      <x:c r="U532" s="613" t="n"/>
      <x:c r="V532" s="565" t="n"/>
      <x:c r="W532" s="565" t="n"/>
      <x:c r="X532" s="565" t="n"/>
      <x:c r="Y532" s="565" t="n"/>
      <x:c r="Z532" s="565" t="n"/>
    </x:row>
    <x:row r="533">
      <x:c r="A533" s="527" t="inlineStr">
        <x:is>
          <x:t xml:space="preserve">1930-002803</x:t>
        </x:is>
      </x:c>
      <x:c r="B533" s="527" t="n"/>
      <x:c r="C533" s="527" t="inlineStr">
        <x:is>
          <x:t xml:space="preserve">Oil and Gas Lease</x:t>
        </x:is>
      </x:c>
      <x:c r="D533" s="527" t="inlineStr">
        <x:is>
          <x:t xml:space="preserve">OGL009/0062</x:t>
        </x:is>
      </x:c>
      <x:c r="E533" s="529" t="inlineStr">
        <x:is>
          <x:t xml:space="preserve">09/22/1930</x:t>
        </x:is>
      </x:c>
      <x:c r="F533" s="529" t="n">
        <x:v>11223</x:v>
      </x:c>
      <x:c r="G533" s="527" t="inlineStr">
        <x:is>
          <x:t xml:space="preserve">Eula Bain,
William C. Bain</x:t>
        </x:is>
      </x:c>
      <x:c r="H533" s="527" t="inlineStr">
        <x:is>
          <x:t xml:space="preserve">Roy M. Johnson</x:t>
        </x:is>
      </x:c>
      <x:c r="I533" s="527" t="inlineStr">
        <x:is>
          <x:t xml:space="preserve">31-12N-24W</x:t>
        </x:is>
      </x:c>
      <x:c r="J533" s="527" t="inlineStr">
        <x:is>
          <x:t xml:space="preserve">Leasehold / WI</x:t>
        </x:is>
      </x:c>
      <x:c r="K533" s="527" t="inlineStr">
        <x:is>
          <x:t xml:space="preserve">OKCountyRecords official index, Roger Mills County (instrument 1930-002803); searched 06/11/2026</x:t>
        </x:is>
      </x:c>
      <x:c r="L533" s="565" t="n"/>
      <x:c r="M533" s="565" t="n"/>
      <x:c r="N533" s="565" t="n"/>
      <x:c r="O533" s="565" t="n"/>
      <x:c r="P533" s="565" t="n"/>
      <x:c r="Q533" s="565" t="n"/>
      <x:c r="R533" s="565" t="n"/>
      <x:c r="S533" s="613" t="n"/>
      <x:c r="T533" s="565" t="n"/>
      <x:c r="U533" s="613" t="n"/>
      <x:c r="V533" s="565" t="n"/>
      <x:c r="W533" s="565" t="n"/>
      <x:c r="X533" s="565" t="n"/>
      <x:c r="Y533" s="565" t="n"/>
      <x:c r="Z533" s="565" t="n"/>
    </x:row>
    <x:row r="534">
      <x:c r="A534" s="527" t="inlineStr">
        <x:is>
          <x:t xml:space="preserve">1930-001789</x:t>
        </x:is>
      </x:c>
      <x:c r="B534" s="527" t="n"/>
      <x:c r="C534" s="527" t="inlineStr">
        <x:is>
          <x:t xml:space="preserve">Agreement</x:t>
        </x:is>
      </x:c>
      <x:c r="D534" s="527" t="inlineStr">
        <x:is>
          <x:t xml:space="preserve">MIS015/0290</x:t>
        </x:is>
      </x:c>
      <x:c r="E534" s="529" t="inlineStr">
        <x:is>
          <x:t xml:space="preserve">10/06/1930</x:t>
        </x:is>
      </x:c>
      <x:c r="F534" s="529" t="n">
        <x:v>11237</x:v>
      </x:c>
      <x:c r="G534" s="527" t="inlineStr">
        <x:is>
          <x:t xml:space="preserve">Lee Aulbert,
Mollie Aulbert</x:t>
        </x:is>
      </x:c>
      <x:c r="H534" s="527" t="inlineStr">
        <x:is>
          <x:t xml:space="preserve">Roy M. Johnson</x:t>
        </x:is>
      </x:c>
      <x:c r="I534" s="527" t="inlineStr">
        <x:is>
          <x:t xml:space="preserve">31-12N-24W</x:t>
        </x:is>
      </x:c>
      <x:c r="J534" s="527" t="inlineStr">
        <x:is>
          <x:t xml:space="preserve">See instrument</x:t>
        </x:is>
      </x:c>
      <x:c r="K534" s="527" t="inlineStr">
        <x:is>
          <x:t xml:space="preserve">OKCountyRecords official index, Roger Mills County (instrument 1930-001789); searched 06/11/2026</x:t>
        </x:is>
      </x:c>
      <x:c r="L534" s="565" t="n"/>
      <x:c r="M534" s="565" t="n"/>
      <x:c r="N534" s="565" t="n"/>
      <x:c r="O534" s="565" t="n"/>
      <x:c r="P534" s="565" t="n"/>
      <x:c r="Q534" s="565" t="n"/>
      <x:c r="R534" s="565" t="n"/>
      <x:c r="S534" s="613" t="n"/>
      <x:c r="T534" s="565" t="n"/>
      <x:c r="U534" s="613" t="n"/>
      <x:c r="V534" s="565" t="n"/>
      <x:c r="W534" s="565" t="n"/>
      <x:c r="X534" s="565" t="n"/>
      <x:c r="Y534" s="565" t="n"/>
      <x:c r="Z534" s="565" t="n"/>
    </x:row>
    <x:row r="535">
      <x:c r="A535" s="527" t="inlineStr">
        <x:is>
          <x:t xml:space="preserve">1930-001819</x:t>
        </x:is>
      </x:c>
      <x:c r="B535" s="527" t="n"/>
      <x:c r="C535" s="527" t="inlineStr">
        <x:is>
          <x:t xml:space="preserve">Agreement</x:t>
        </x:is>
      </x:c>
      <x:c r="D535" s="527" t="inlineStr">
        <x:is>
          <x:t xml:space="preserve">MIS015/0330</x:t>
        </x:is>
      </x:c>
      <x:c r="E535" s="529" t="inlineStr">
        <x:is>
          <x:t xml:space="preserve">10/06/1930</x:t>
        </x:is>
      </x:c>
      <x:c r="F535" s="529" t="n">
        <x:v>11237</x:v>
      </x:c>
      <x:c r="G535" s="527" t="inlineStr">
        <x:is>
          <x:t xml:space="preserve">Louis E. Jaques,
Virginia Jaques</x:t>
        </x:is>
      </x:c>
      <x:c r="H535" s="527" t="inlineStr">
        <x:is>
          <x:t xml:space="preserve">Roy M. Johnson</x:t>
        </x:is>
      </x:c>
      <x:c r="I535" s="527" t="inlineStr">
        <x:is>
          <x:t xml:space="preserve">31-12N-24W (AOL)</x:t>
        </x:is>
      </x:c>
      <x:c r="J535" s="527" t="inlineStr">
        <x:is>
          <x:t xml:space="preserve">See instrument</x:t>
        </x:is>
      </x:c>
      <x:c r="K535" s="527" t="inlineStr">
        <x:is>
          <x:t xml:space="preserve">OKCountyRecords official index, Roger Mills County (instrument 1930-001819); searched 06/11/2026</x:t>
        </x:is>
      </x:c>
      <x:c r="L535" s="565" t="n"/>
      <x:c r="M535" s="565" t="n"/>
      <x:c r="N535" s="565" t="n"/>
      <x:c r="O535" s="565" t="n"/>
      <x:c r="P535" s="565" t="n"/>
      <x:c r="Q535" s="565" t="n"/>
      <x:c r="R535" s="565" t="n"/>
      <x:c r="S535" s="613" t="n"/>
      <x:c r="T535" s="565" t="n"/>
      <x:c r="U535" s="613" t="n"/>
      <x:c r="V535" s="565" t="n"/>
      <x:c r="W535" s="565" t="n"/>
      <x:c r="X535" s="565" t="n"/>
      <x:c r="Y535" s="565" t="n"/>
      <x:c r="Z535" s="565" t="n"/>
    </x:row>
    <x:row r="536">
      <x:c r="A536" s="527" t="inlineStr">
        <x:is>
          <x:t xml:space="preserve">1930-002841</x:t>
        </x:is>
      </x:c>
      <x:c r="B536" s="527" t="n"/>
      <x:c r="C536" s="527" t="inlineStr">
        <x:is>
          <x:t xml:space="preserve">Oil and Gas Lease</x:t>
        </x:is>
      </x:c>
      <x:c r="D536" s="527" t="inlineStr">
        <x:is>
          <x:t xml:space="preserve">OGL009/0100</x:t>
        </x:is>
      </x:c>
      <x:c r="E536" s="529" t="inlineStr">
        <x:is>
          <x:t xml:space="preserve">10/29/1930</x:t>
        </x:is>
      </x:c>
      <x:c r="F536" s="529" t="n">
        <x:v>11260</x:v>
      </x:c>
      <x:c r="G536" s="527" t="inlineStr">
        <x:is>
          <x:t xml:space="preserve">J. G. Hambrook,
Thomas Hambrook</x:t>
        </x:is>
      </x:c>
      <x:c r="H536" s="527" t="inlineStr">
        <x:is>
          <x:t xml:space="preserve">Roy M. Johnson</x:t>
        </x:is>
      </x:c>
      <x:c r="I536" s="527" t="inlineStr">
        <x:is>
          <x:t xml:space="preserve">31-12N-24W</x:t>
        </x:is>
      </x:c>
      <x:c r="J536" s="527" t="inlineStr">
        <x:is>
          <x:t xml:space="preserve">Leasehold / WI</x:t>
        </x:is>
      </x:c>
      <x:c r="K536" s="527" t="inlineStr">
        <x:is>
          <x:t xml:space="preserve">OKCountyRecords official index, Roger Mills County (instrument 1930-002841); searched 06/11/2026</x:t>
        </x:is>
      </x:c>
      <x:c r="L536" s="565" t="n"/>
      <x:c r="M536" s="565" t="n"/>
      <x:c r="N536" s="565" t="n"/>
      <x:c r="O536" s="565" t="n"/>
      <x:c r="P536" s="565" t="n"/>
      <x:c r="Q536" s="565" t="n"/>
      <x:c r="R536" s="565" t="n"/>
      <x:c r="S536" s="613" t="n"/>
      <x:c r="T536" s="565" t="n"/>
      <x:c r="U536" s="613" t="n"/>
      <x:c r="V536" s="565" t="n"/>
      <x:c r="W536" s="565" t="n"/>
      <x:c r="X536" s="565" t="n"/>
      <x:c r="Y536" s="565" t="n"/>
      <x:c r="Z536" s="565" t="n"/>
    </x:row>
    <x:row r="537">
      <x:c r="A537" s="527" t="inlineStr">
        <x:is>
          <x:t xml:space="preserve">1930-002854</x:t>
        </x:is>
      </x:c>
      <x:c r="B537" s="527" t="n"/>
      <x:c r="C537" s="527" t="inlineStr">
        <x:is>
          <x:t xml:space="preserve">Oil and Gas Lease</x:t>
        </x:is>
      </x:c>
      <x:c r="D537" s="527" t="inlineStr">
        <x:is>
          <x:t xml:space="preserve">OGL009/0113</x:t>
        </x:is>
      </x:c>
      <x:c r="E537" s="529" t="inlineStr">
        <x:is>
          <x:t xml:space="preserve">11/10/1930</x:t>
        </x:is>
      </x:c>
      <x:c r="F537" s="529" t="n">
        <x:v>11272</x:v>
      </x:c>
      <x:c r="G537" s="527" t="inlineStr">
        <x:is>
          <x:t xml:space="preserve">Swinburn J. Stewart</x:t>
        </x:is>
      </x:c>
      <x:c r="H537" s="527" t="inlineStr">
        <x:is>
          <x:t xml:space="preserve">Roy M. Johnson</x:t>
        </x:is>
      </x:c>
      <x:c r="I537" s="527" t="inlineStr">
        <x:is>
          <x:t xml:space="preserve">31-12N-24W</x:t>
        </x:is>
      </x:c>
      <x:c r="J537" s="527" t="inlineStr">
        <x:is>
          <x:t xml:space="preserve">Leasehold / WI</x:t>
        </x:is>
      </x:c>
      <x:c r="K537" s="527" t="inlineStr">
        <x:is>
          <x:t xml:space="preserve">OKCountyRecords official index, Roger Mills County (instrument 1930-002854); searched 06/11/2026</x:t>
        </x:is>
      </x:c>
      <x:c r="L537" s="565" t="n"/>
      <x:c r="M537" s="565" t="n"/>
      <x:c r="N537" s="565" t="n"/>
      <x:c r="O537" s="565" t="n"/>
      <x:c r="P537" s="565" t="n"/>
      <x:c r="Q537" s="565" t="n"/>
      <x:c r="R537" s="565" t="n"/>
      <x:c r="S537" s="613" t="n"/>
      <x:c r="T537" s="565" t="n"/>
      <x:c r="U537" s="613" t="n"/>
      <x:c r="V537" s="565" t="n"/>
      <x:c r="W537" s="565" t="n"/>
      <x:c r="X537" s="565" t="n"/>
      <x:c r="Y537" s="565" t="n"/>
      <x:c r="Z537" s="565" t="n"/>
    </x:row>
    <x:row r="538">
      <x:c r="A538" s="527" t="inlineStr">
        <x:is>
          <x:t xml:space="preserve">1930-002857</x:t>
        </x:is>
      </x:c>
      <x:c r="B538" s="527" t="n"/>
      <x:c r="C538" s="527" t="inlineStr">
        <x:is>
          <x:t xml:space="preserve">Oil and Gas Lease</x:t>
        </x:is>
      </x:c>
      <x:c r="D538" s="527" t="inlineStr">
        <x:is>
          <x:t xml:space="preserve">OGL009/0116</x:t>
        </x:is>
      </x:c>
      <x:c r="E538" s="529" t="inlineStr">
        <x:is>
          <x:t xml:space="preserve">11/17/1930</x:t>
        </x:is>
      </x:c>
      <x:c r="F538" s="529" t="n">
        <x:v>11279</x:v>
      </x:c>
      <x:c r="G538" s="527" t="inlineStr">
        <x:is>
          <x:t xml:space="preserve">Maggie S. Bennett,
A. M. Cuff,
Ida M. Cuff,
O. L. Davis,
Pearl L. Davis,
Eli Shotwell,
Ida Shotwell,
Josie D. Shotwell,
Roy T. Shotwell</x:t>
        </x:is>
      </x:c>
      <x:c r="H538" s="527" t="inlineStr">
        <x:is>
          <x:t xml:space="preserve">Roy M. Johnson</x:t>
        </x:is>
      </x:c>
      <x:c r="I538" s="527" t="inlineStr">
        <x:is>
          <x:t xml:space="preserve">31-12N-24W</x:t>
        </x:is>
      </x:c>
      <x:c r="J538" s="527" t="inlineStr">
        <x:is>
          <x:t xml:space="preserve">Leasehold / WI</x:t>
        </x:is>
      </x:c>
      <x:c r="K538" s="527" t="inlineStr">
        <x:is>
          <x:t xml:space="preserve">OKCountyRecords official index, Roger Mills County (instrument 1930-002857); searched 06/11/2026</x:t>
        </x:is>
      </x:c>
      <x:c r="L538" s="565" t="n"/>
      <x:c r="M538" s="565" t="n"/>
      <x:c r="N538" s="565" t="n"/>
      <x:c r="O538" s="565" t="n"/>
      <x:c r="P538" s="565" t="n"/>
      <x:c r="Q538" s="565" t="n"/>
      <x:c r="R538" s="565" t="n"/>
      <x:c r="S538" s="613" t="n"/>
      <x:c r="T538" s="565" t="n"/>
      <x:c r="U538" s="613" t="n"/>
      <x:c r="V538" s="565" t="n"/>
      <x:c r="W538" s="565" t="n"/>
      <x:c r="X538" s="565" t="n"/>
      <x:c r="Y538" s="565" t="n"/>
      <x:c r="Z538" s="565" t="n"/>
    </x:row>
    <x:row r="539">
      <x:c r="A539" s="527" t="inlineStr">
        <x:is>
          <x:t xml:space="preserve">1930-000125</x:t>
        </x:is>
      </x:c>
      <x:c r="B539" s="527" t="n"/>
      <x:c r="C539" s="527" t="inlineStr">
        <x:is>
          <x:t xml:space="preserve">Assignment</x:t>
        </x:is>
      </x:c>
      <x:c r="D539" s="527" t="inlineStr">
        <x:is>
          <x:t xml:space="preserve">ASN009/0394</x:t>
        </x:is>
      </x:c>
      <x:c r="E539" s="529" t="inlineStr">
        <x:is>
          <x:t xml:space="preserve">12/12/1930</x:t>
        </x:is>
      </x:c>
      <x:c r="F539" s="529" t="n">
        <x:v>11304</x:v>
      </x:c>
      <x:c r="G539" s="527" t="inlineStr">
        <x:is>
          <x:t xml:space="preserve">William C. Bain</x:t>
        </x:is>
      </x:c>
      <x:c r="H539" s="527" t="inlineStr">
        <x:is>
          <x:t xml:space="preserve">First State Bank of Cheyenne</x:t>
        </x:is>
      </x:c>
      <x:c r="I539" s="527" t="inlineStr">
        <x:is>
          <x:t xml:space="preserve">31-12N-24W</x:t>
        </x:is>
      </x:c>
      <x:c r="J539" s="527" t="inlineStr">
        <x:is>
          <x:t xml:space="preserve">Leasehold / WI</x:t>
        </x:is>
      </x:c>
      <x:c r="K539" s="527" t="inlineStr">
        <x:is>
          <x:t xml:space="preserve">OKCountyRecords official index, Roger Mills County (instrument 1930-000125); searched 06/11/2026</x:t>
        </x:is>
      </x:c>
      <x:c r="L539" s="565" t="n"/>
      <x:c r="M539" s="565" t="n"/>
      <x:c r="N539" s="565" t="n"/>
      <x:c r="O539" s="565" t="n"/>
      <x:c r="P539" s="565" t="n"/>
      <x:c r="Q539" s="565" t="n"/>
      <x:c r="R539" s="565" t="n"/>
      <x:c r="S539" s="613" t="n"/>
      <x:c r="T539" s="565" t="n"/>
      <x:c r="U539" s="613" t="n"/>
      <x:c r="V539" s="565" t="n"/>
      <x:c r="W539" s="565" t="n"/>
      <x:c r="X539" s="565" t="n"/>
      <x:c r="Y539" s="565" t="n"/>
      <x:c r="Z539" s="565" t="n"/>
    </x:row>
    <x:row r="540">
      <x:c r="A540" s="527" t="inlineStr">
        <x:is>
          <x:t xml:space="preserve">1931-001768</x:t>
        </x:is>
      </x:c>
      <x:c r="B540" s="527" t="n"/>
      <x:c r="C540" s="527" t="inlineStr">
        <x:is>
          <x:t xml:space="preserve">Oil and Gas Lease</x:t>
        </x:is>
      </x:c>
      <x:c r="D540" s="527" t="inlineStr">
        <x:is>
          <x:t xml:space="preserve">OGL009/0176</x:t>
        </x:is>
      </x:c>
      <x:c r="E540" s="529" t="inlineStr">
        <x:is>
          <x:t xml:space="preserve">02/10/1931</x:t>
        </x:is>
      </x:c>
      <x:c r="F540" s="529" t="n">
        <x:v>11364</x:v>
      </x:c>
      <x:c r="G540" s="527" t="inlineStr">
        <x:is>
          <x:t xml:space="preserve">Swinburn J. Stewart</x:t>
        </x:is>
      </x:c>
      <x:c r="H540" s="527" t="inlineStr">
        <x:is>
          <x:t xml:space="preserve">Roy M. Johnson</x:t>
        </x:is>
      </x:c>
      <x:c r="I540" s="527" t="inlineStr">
        <x:is>
          <x:t xml:space="preserve">31-12N-24W</x:t>
        </x:is>
      </x:c>
      <x:c r="J540" s="527" t="inlineStr">
        <x:is>
          <x:t xml:space="preserve">Leasehold / WI</x:t>
        </x:is>
      </x:c>
      <x:c r="K540" s="527" t="inlineStr">
        <x:is>
          <x:t xml:space="preserve">OKCountyRecords official index, Roger Mills County (instrument 1931-001768); searched 06/11/2026</x:t>
        </x:is>
      </x:c>
      <x:c r="L540" s="565" t="n"/>
      <x:c r="M540" s="565" t="n"/>
      <x:c r="N540" s="565" t="n"/>
      <x:c r="O540" s="565" t="n"/>
      <x:c r="P540" s="565" t="n"/>
      <x:c r="Q540" s="565" t="n"/>
      <x:c r="R540" s="565" t="n"/>
      <x:c r="S540" s="613" t="n"/>
      <x:c r="T540" s="565" t="n"/>
      <x:c r="U540" s="613" t="n"/>
      <x:c r="V540" s="565" t="n"/>
      <x:c r="W540" s="565" t="n"/>
      <x:c r="X540" s="565" t="n"/>
      <x:c r="Y540" s="565" t="n"/>
      <x:c r="Z540" s="565" t="n"/>
    </x:row>
    <x:row r="541">
      <x:c r="A541" s="527" t="inlineStr">
        <x:is>
          <x:t xml:space="preserve">1931-001962</x:t>
        </x:is>
      </x:c>
      <x:c r="B541" s="527" t="n"/>
      <x:c r="C541" s="527" t="inlineStr">
        <x:is>
          <x:t xml:space="preserve">Release</x:t>
        </x:is>
      </x:c>
      <x:c r="D541" s="527" t="inlineStr">
        <x:is>
          <x:t xml:space="preserve">REL016/0531</x:t>
        </x:is>
      </x:c>
      <x:c r="E541" s="529" t="inlineStr">
        <x:is>
          <x:t xml:space="preserve">02/10/1931</x:t>
        </x:is>
      </x:c>
      <x:c r="F541" s="529" t="n">
        <x:v>11364</x:v>
      </x:c>
      <x:c r="G541" s="527" t="inlineStr">
        <x:is>
          <x:t xml:space="preserve">Roy M. Johnson</x:t>
        </x:is>
      </x:c>
      <x:c r="H541" s="527" t="inlineStr">
        <x:is>
          <x:t xml:space="preserve">Swinburn J. Stewart</x:t>
        </x:is>
      </x:c>
      <x:c r="I541" s="527" t="inlineStr">
        <x:is>
          <x:t xml:space="preserve">31-12N-24W (AOL)</x:t>
        </x:is>
      </x:c>
      <x:c r="J541" s="527" t="inlineStr">
        <x:is>
          <x:t xml:space="preserve">Leasehold / WI</x:t>
        </x:is>
      </x:c>
      <x:c r="K541" s="527" t="inlineStr">
        <x:is>
          <x:t xml:space="preserve">OKCountyRecords official index, Roger Mills County (instrument 1931-001962); searched 06/11/2026</x:t>
        </x:is>
      </x:c>
      <x:c r="L541" s="565" t="n"/>
      <x:c r="M541" s="565" t="n"/>
      <x:c r="N541" s="565" t="n"/>
      <x:c r="O541" s="565" t="n"/>
      <x:c r="P541" s="565" t="n"/>
      <x:c r="Q541" s="565" t="n"/>
      <x:c r="R541" s="565" t="n"/>
      <x:c r="S541" s="613" t="n"/>
      <x:c r="T541" s="565" t="n"/>
      <x:c r="U541" s="613" t="n"/>
      <x:c r="V541" s="565" t="n"/>
      <x:c r="W541" s="565" t="n"/>
      <x:c r="X541" s="565" t="n"/>
      <x:c r="Y541" s="565" t="n"/>
      <x:c r="Z541" s="565" t="n"/>
    </x:row>
    <x:row r="542">
      <x:c r="A542" s="527" t="inlineStr">
        <x:is>
          <x:t xml:space="preserve">1931-000573</x:t>
        </x:is>
      </x:c>
      <x:c r="B542" s="527" t="n"/>
      <x:c r="C542" s="527" t="inlineStr">
        <x:is>
          <x:t xml:space="preserve">Deed</x:t>
        </x:is>
      </x:c>
      <x:c r="D542" s="527" t="inlineStr">
        <x:is>
          <x:t xml:space="preserve">D00041/0447</x:t>
        </x:is>
      </x:c>
      <x:c r="E542" s="529" t="inlineStr">
        <x:is>
          <x:t xml:space="preserve">03/12/1931</x:t>
        </x:is>
      </x:c>
      <x:c r="F542" s="529" t="n">
        <x:v>11394</x:v>
      </x:c>
      <x:c r="G542" s="527" t="inlineStr">
        <x:is>
          <x:t xml:space="preserve">Flora E. Hambrook,
Thomas O. Hambrook</x:t>
        </x:is>
      </x:c>
      <x:c r="H542" s="527" t="inlineStr">
        <x:is>
          <x:t xml:space="preserve">James G. Hambrook</x:t>
        </x:is>
      </x:c>
      <x:c r="I542" s="527" t="inlineStr">
        <x:is>
          <x:t xml:space="preserve">31-12N-24W</x:t>
        </x:is>
      </x:c>
      <x:c r="J542" s="527" t="inlineStr">
        <x:is>
          <x:t xml:space="preserve">Fee / as stated</x:t>
        </x:is>
      </x:c>
      <x:c r="K542" s="527" t="inlineStr">
        <x:is>
          <x:t xml:space="preserve">OKCountyRecords official index, Roger Mills County (instrument 1931-000573); searched 06/11/2026</x:t>
        </x:is>
      </x:c>
      <x:c r="L542" s="565" t="n"/>
      <x:c r="M542" s="565" t="n"/>
      <x:c r="N542" s="565" t="n"/>
      <x:c r="O542" s="565" t="n"/>
      <x:c r="P542" s="565" t="n"/>
      <x:c r="Q542" s="565" t="n"/>
      <x:c r="R542" s="565" t="n"/>
      <x:c r="S542" s="613" t="n"/>
      <x:c r="T542" s="565" t="n"/>
      <x:c r="U542" s="613" t="n"/>
      <x:c r="V542" s="565" t="n"/>
      <x:c r="W542" s="565" t="n"/>
      <x:c r="X542" s="565" t="n"/>
      <x:c r="Y542" s="565" t="n"/>
      <x:c r="Z542" s="565" t="n"/>
    </x:row>
    <x:row r="543">
      <x:c r="A543" s="527" t="inlineStr">
        <x:is>
          <x:t xml:space="preserve">1931-001910</x:t>
        </x:is>
      </x:c>
      <x:c r="B543" s="527" t="n"/>
      <x:c r="C543" s="527" t="inlineStr">
        <x:is>
          <x:t xml:space="preserve">Release</x:t>
        </x:is>
      </x:c>
      <x:c r="D543" s="527" t="inlineStr">
        <x:is>
          <x:t xml:space="preserve">REL013/0608</x:t>
        </x:is>
      </x:c>
      <x:c r="E543" s="529" t="inlineStr">
        <x:is>
          <x:t xml:space="preserve">03/18/1931</x:t>
        </x:is>
      </x:c>
      <x:c r="F543" s="529" t="n">
        <x:v>11400</x:v>
      </x:c>
      <x:c r="G543" s="527" t="inlineStr">
        <x:is>
          <x:t xml:space="preserve">O. M. Marsh</x:t>
        </x:is>
      </x:c>
      <x:c r="H543" s="527" t="inlineStr">
        <x:is>
          <x:t xml:space="preserve">Mark Hambrook</x:t>
        </x:is>
      </x:c>
      <x:c r="I543" s="527" t="inlineStr">
        <x:is>
          <x:t xml:space="preserve">31-12N-24W</x:t>
        </x:is>
      </x:c>
      <x:c r="J543" s="527" t="inlineStr">
        <x:is>
          <x:t xml:space="preserve">Leasehold / WI</x:t>
        </x:is>
      </x:c>
      <x:c r="K543" s="527" t="inlineStr">
        <x:is>
          <x:t xml:space="preserve">OKCountyRecords official index, Roger Mills County (instrument 1931-001910); searched 06/11/2026</x:t>
        </x:is>
      </x:c>
      <x:c r="L543" s="565" t="n"/>
      <x:c r="M543" s="565" t="n"/>
      <x:c r="N543" s="565" t="n"/>
      <x:c r="O543" s="565" t="n"/>
      <x:c r="P543" s="565" t="n"/>
      <x:c r="Q543" s="565" t="n"/>
      <x:c r="R543" s="565" t="n"/>
      <x:c r="S543" s="613" t="n"/>
      <x:c r="T543" s="565" t="n"/>
      <x:c r="U543" s="613" t="n"/>
      <x:c r="V543" s="565" t="n"/>
      <x:c r="W543" s="565" t="n"/>
      <x:c r="X543" s="565" t="n"/>
      <x:c r="Y543" s="565" t="n"/>
      <x:c r="Z543" s="565" t="n"/>
    </x:row>
    <x:row r="544">
      <x:c r="A544" s="527" t="inlineStr">
        <x:is>
          <x:t xml:space="preserve">1931-001789</x:t>
        </x:is>
      </x:c>
      <x:c r="B544" s="527" t="n"/>
      <x:c r="C544" s="527" t="inlineStr">
        <x:is>
          <x:t xml:space="preserve">Patent</x:t>
        </x:is>
      </x:c>
      <x:c r="D544" s="527" t="inlineStr">
        <x:is>
          <x:t xml:space="preserve">PAT007/374</x:t>
        </x:is>
      </x:c>
      <x:c r="E544" s="529" t="inlineStr">
        <x:is>
          <x:t xml:space="preserve">05/07/1931</x:t>
        </x:is>
      </x:c>
      <x:c r="F544" s="529" t="n">
        <x:v>11450</x:v>
      </x:c>
      <x:c r="G544" s="527" t="inlineStr">
        <x:is>
          <x:t xml:space="preserve">United States of America</x:t>
        </x:is>
      </x:c>
      <x:c r="H544" s="527" t="inlineStr">
        <x:is>
          <x:t xml:space="preserve">Herbert E. McGuire</x:t>
        </x:is>
      </x:c>
      <x:c r="I544" s="527" t="inlineStr">
        <x:is>
          <x:t xml:space="preserve">31-12N-24W</x:t>
        </x:is>
      </x:c>
      <x:c r="J544" s="527" t="inlineStr">
        <x:is>
          <x:t xml:space="preserve">Fee / as stated</x:t>
        </x:is>
      </x:c>
      <x:c r="K544" s="527" t="inlineStr">
        <x:is>
          <x:t xml:space="preserve">OKCountyRecords official index, Roger Mills County (instrument 1931-001789); searched 06/11/2026</x:t>
        </x:is>
      </x:c>
      <x:c r="L544" s="565" t="n"/>
      <x:c r="M544" s="565" t="n"/>
      <x:c r="N544" s="565" t="n"/>
      <x:c r="O544" s="565" t="n"/>
      <x:c r="P544" s="565" t="n"/>
      <x:c r="Q544" s="565" t="n"/>
      <x:c r="R544" s="565" t="n"/>
      <x:c r="S544" s="613" t="n"/>
      <x:c r="T544" s="565" t="n"/>
      <x:c r="U544" s="613" t="n"/>
      <x:c r="V544" s="565" t="n"/>
      <x:c r="W544" s="565" t="n"/>
      <x:c r="X544" s="565" t="n"/>
      <x:c r="Y544" s="565" t="n"/>
      <x:c r="Z544" s="565" t="n"/>
    </x:row>
    <x:row r="545">
      <x:c r="A545" s="527" t="inlineStr">
        <x:is>
          <x:t xml:space="preserve">1931-000994</x:t>
        </x:is>
      </x:c>
      <x:c r="B545" s="527" t="n"/>
      <x:c r="C545" s="527" t="inlineStr">
        <x:is>
          <x:t xml:space="preserve">Deed</x:t>
        </x:is>
      </x:c>
      <x:c r="D545" s="527" t="inlineStr">
        <x:is>
          <x:t xml:space="preserve">D00043/0608</x:t>
        </x:is>
      </x:c>
      <x:c r="E545" s="529" t="inlineStr">
        <x:is>
          <x:t xml:space="preserve">09/12/1931</x:t>
        </x:is>
      </x:c>
      <x:c r="F545" s="529" t="n">
        <x:v>11578</x:v>
      </x:c>
      <x:c r="G545" s="527" t="inlineStr">
        <x:is>
          <x:t xml:space="preserve">Ethel Shotwell,
Lawrence E. Shotwell</x:t>
        </x:is>
      </x:c>
      <x:c r="H545" s="527" t="inlineStr">
        <x:is>
          <x:t xml:space="preserve">Maggie Bennett,
Pearl L. Davis,
Eli L. Shotwell,
Roy T. Shotwell</x:t>
        </x:is>
      </x:c>
      <x:c r="I545" s="527" t="inlineStr">
        <x:is>
          <x:t xml:space="preserve">31-12N-24W</x:t>
        </x:is>
      </x:c>
      <x:c r="J545" s="527" t="inlineStr">
        <x:is>
          <x:t xml:space="preserve">Fee / as stated</x:t>
        </x:is>
      </x:c>
      <x:c r="K545" s="527" t="inlineStr">
        <x:is>
          <x:t xml:space="preserve">OKCountyRecords official index, Roger Mills County (instrument 1931-000994); searched 06/11/2026</x:t>
        </x:is>
      </x:c>
      <x:c r="L545" s="565" t="n"/>
      <x:c r="M545" s="565" t="n"/>
      <x:c r="N545" s="565" t="n"/>
      <x:c r="O545" s="565" t="n"/>
      <x:c r="P545" s="565" t="n"/>
      <x:c r="Q545" s="565" t="n"/>
      <x:c r="R545" s="565" t="n"/>
      <x:c r="S545" s="613" t="n"/>
      <x:c r="T545" s="565" t="n"/>
      <x:c r="U545" s="613" t="n"/>
      <x:c r="V545" s="565" t="n"/>
      <x:c r="W545" s="565" t="n"/>
      <x:c r="X545" s="565" t="n"/>
      <x:c r="Y545" s="565" t="n"/>
      <x:c r="Z545" s="565" t="n"/>
    </x:row>
    <x:row r="546">
      <x:c r="A546" s="527" t="inlineStr">
        <x:is>
          <x:t xml:space="preserve">1932-001278</x:t>
        </x:is>
      </x:c>
      <x:c r="B546" s="527" t="n"/>
      <x:c r="C546" s="527" t="inlineStr">
        <x:is>
          <x:t xml:space="preserve">Release</x:t>
        </x:is>
      </x:c>
      <x:c r="D546" s="527" t="inlineStr">
        <x:is>
          <x:t xml:space="preserve">REL017/0490</x:t>
        </x:is>
      </x:c>
      <x:c r="E546" s="529" t="inlineStr">
        <x:is>
          <x:t xml:space="preserve">06/02/1932</x:t>
        </x:is>
      </x:c>
      <x:c r="F546" s="529" t="n">
        <x:v>11842</x:v>
      </x:c>
      <x:c r="G546" s="527" t="inlineStr">
        <x:is>
          <x:t xml:space="preserve">Roy M. Johnson</x:t>
        </x:is>
      </x:c>
      <x:c r="H546" s="527" t="inlineStr">
        <x:is>
          <x:t xml:space="preserve">Swinburn J. Stewart</x:t>
        </x:is>
      </x:c>
      <x:c r="I546" s="527" t="inlineStr">
        <x:is>
          <x:t xml:space="preserve">31-12N-24W (AOL)</x:t>
        </x:is>
      </x:c>
      <x:c r="J546" s="527" t="inlineStr">
        <x:is>
          <x:t xml:space="preserve">Leasehold / WI</x:t>
        </x:is>
      </x:c>
      <x:c r="K546" s="527" t="inlineStr">
        <x:is>
          <x:t xml:space="preserve">OKCountyRecords official index, Roger Mills County (instrument 1932-001278); searched 06/11/2026</x:t>
        </x:is>
      </x:c>
      <x:c r="L546" s="565" t="n"/>
      <x:c r="M546" s="565" t="n"/>
      <x:c r="N546" s="565" t="n"/>
      <x:c r="O546" s="565" t="n"/>
      <x:c r="P546" s="565" t="n"/>
      <x:c r="Q546" s="565" t="n"/>
      <x:c r="R546" s="565" t="n"/>
      <x:c r="S546" s="613" t="n"/>
      <x:c r="T546" s="565" t="n"/>
      <x:c r="U546" s="613" t="n"/>
      <x:c r="V546" s="565" t="n"/>
      <x:c r="W546" s="565" t="n"/>
      <x:c r="X546" s="565" t="n"/>
      <x:c r="Y546" s="565" t="n"/>
      <x:c r="Z546" s="565" t="n"/>
    </x:row>
    <x:row r="547">
      <x:c r="A547" s="527" t="inlineStr">
        <x:is>
          <x:t xml:space="preserve">1932-000511</x:t>
        </x:is>
      </x:c>
      <x:c r="B547" s="527" t="n"/>
      <x:c r="C547" s="527" t="inlineStr">
        <x:is>
          <x:t xml:space="preserve">Deed</x:t>
        </x:is>
      </x:c>
      <x:c r="D547" s="527" t="inlineStr">
        <x:is>
          <x:t xml:space="preserve">D00046/0089</x:t>
        </x:is>
      </x:c>
      <x:c r="E547" s="529" t="inlineStr">
        <x:is>
          <x:t xml:space="preserve">12/12/1932</x:t>
        </x:is>
      </x:c>
      <x:c r="F547" s="529" t="n">
        <x:v>12035</x:v>
      </x:c>
      <x:c r="G547" s="527" t="inlineStr">
        <x:is>
          <x:t xml:space="preserve">James G. Hambrook</x:t>
        </x:is>
      </x:c>
      <x:c r="H547" s="527" t="inlineStr">
        <x:is>
          <x:t xml:space="preserve">Lillie Hambrook</x:t>
        </x:is>
      </x:c>
      <x:c r="I547" s="527" t="inlineStr">
        <x:is>
          <x:t xml:space="preserve">31-12N-24W (AOL)</x:t>
        </x:is>
      </x:c>
      <x:c r="J547" s="527" t="inlineStr">
        <x:is>
          <x:t xml:space="preserve">Fee / as stated</x:t>
        </x:is>
      </x:c>
      <x:c r="K547" s="527" t="inlineStr">
        <x:is>
          <x:t xml:space="preserve">OKCountyRecords official index, Roger Mills County (instrument 1932-000511); searched 06/11/2026</x:t>
        </x:is>
      </x:c>
      <x:c r="L547" s="565" t="n"/>
      <x:c r="M547" s="565" t="n"/>
      <x:c r="N547" s="565" t="n"/>
      <x:c r="O547" s="565" t="n"/>
      <x:c r="P547" s="565" t="n"/>
      <x:c r="Q547" s="565" t="n"/>
      <x:c r="R547" s="565" t="n"/>
      <x:c r="S547" s="613" t="n"/>
      <x:c r="T547" s="565" t="n"/>
      <x:c r="U547" s="613" t="n"/>
      <x:c r="V547" s="565" t="n"/>
      <x:c r="W547" s="565" t="n"/>
      <x:c r="X547" s="565" t="n"/>
      <x:c r="Y547" s="565" t="n"/>
      <x:c r="Z547" s="565" t="n"/>
    </x:row>
    <x:row r="548">
      <x:c r="A548" s="527" t="inlineStr">
        <x:is>
          <x:t xml:space="preserve">1933-000028</x:t>
        </x:is>
      </x:c>
      <x:c r="B548" s="527" t="n"/>
      <x:c r="C548" s="527" t="inlineStr">
        <x:is>
          <x:t xml:space="preserve">Assignment</x:t>
        </x:is>
      </x:c>
      <x:c r="D548" s="527" t="inlineStr">
        <x:is>
          <x:t xml:space="preserve">ASN012/0165</x:t>
        </x:is>
      </x:c>
      <x:c r="E548" s="529" t="inlineStr">
        <x:is>
          <x:t xml:space="preserve">08/05/1933</x:t>
        </x:is>
      </x:c>
      <x:c r="F548" s="529" t="n">
        <x:v>12271</x:v>
      </x:c>
      <x:c r="G548" s="527" t="inlineStr">
        <x:is>
          <x:t xml:space="preserve">First State Bank of Cheyenne</x:t>
        </x:is>
      </x:c>
      <x:c r="H548" s="527" t="inlineStr">
        <x:is>
          <x:t xml:space="preserve">Sprowls Cronin and Company</x:t>
        </x:is>
      </x:c>
      <x:c r="I548" s="527" t="inlineStr">
        <x:is>
          <x:t xml:space="preserve">31-12N-24W</x:t>
        </x:is>
      </x:c>
      <x:c r="J548" s="527" t="inlineStr">
        <x:is>
          <x:t xml:space="preserve">Leasehold / WI</x:t>
        </x:is>
      </x:c>
      <x:c r="K548" s="527" t="inlineStr">
        <x:is>
          <x:t xml:space="preserve">OKCountyRecords official index, Roger Mills County (instrument 1933-000028); searched 06/11/2026</x:t>
        </x:is>
      </x:c>
      <x:c r="L548" s="565" t="n"/>
      <x:c r="M548" s="565" t="n"/>
      <x:c r="N548" s="565" t="n"/>
      <x:c r="O548" s="565" t="n"/>
      <x:c r="P548" s="565" t="n"/>
      <x:c r="Q548" s="565" t="n"/>
      <x:c r="R548" s="565" t="n"/>
      <x:c r="S548" s="613" t="n"/>
      <x:c r="T548" s="565" t="n"/>
      <x:c r="U548" s="613" t="n"/>
      <x:c r="V548" s="565" t="n"/>
      <x:c r="W548" s="565" t="n"/>
      <x:c r="X548" s="565" t="n"/>
      <x:c r="Y548" s="565" t="n"/>
      <x:c r="Z548" s="565" t="n"/>
    </x:row>
    <x:row r="549">
      <x:c r="A549" s="527" t="inlineStr">
        <x:is>
          <x:t xml:space="preserve">1934-001693</x:t>
        </x:is>
      </x:c>
      <x:c r="B549" s="527" t="n"/>
      <x:c r="C549" s="527" t="inlineStr">
        <x:is>
          <x:t xml:space="preserve">Release</x:t>
        </x:is>
      </x:c>
      <x:c r="D549" s="527" t="inlineStr">
        <x:is>
          <x:t xml:space="preserve">REL018/0049</x:t>
        </x:is>
      </x:c>
      <x:c r="E549" s="529" t="inlineStr">
        <x:is>
          <x:t xml:space="preserve">06/26/1934</x:t>
        </x:is>
      </x:c>
      <x:c r="F549" s="529" t="n">
        <x:v>12596</x:v>
      </x:c>
      <x:c r="G549" s="527" t="inlineStr">
        <x:is>
          <x:t xml:space="preserve">Swinburn J. Stewart</x:t>
        </x:is>
      </x:c>
      <x:c r="H549" s="527" t="inlineStr">
        <x:is>
          <x:t xml:space="preserve">Lee Aulbert,
Mollie Aulbert</x:t>
        </x:is>
      </x:c>
      <x:c r="I549" s="527" t="inlineStr">
        <x:is>
          <x:t xml:space="preserve">31-12N-24W</x:t>
        </x:is>
      </x:c>
      <x:c r="J549" s="527" t="inlineStr">
        <x:is>
          <x:t xml:space="preserve">Leasehold / WI</x:t>
        </x:is>
      </x:c>
      <x:c r="K549" s="527" t="inlineStr">
        <x:is>
          <x:t xml:space="preserve">OKCountyRecords official index, Roger Mills County (instrument 1934-001693); searched 06/11/2026</x:t>
        </x:is>
      </x:c>
      <x:c r="L549" s="565" t="n"/>
      <x:c r="M549" s="565" t="n"/>
      <x:c r="N549" s="565" t="n"/>
      <x:c r="O549" s="565" t="n"/>
      <x:c r="P549" s="565" t="n"/>
      <x:c r="Q549" s="565" t="n"/>
      <x:c r="R549" s="565" t="n"/>
      <x:c r="S549" s="613" t="n"/>
      <x:c r="T549" s="565" t="n"/>
      <x:c r="U549" s="613" t="n"/>
      <x:c r="V549" s="565" t="n"/>
      <x:c r="W549" s="565" t="n"/>
      <x:c r="X549" s="565" t="n"/>
      <x:c r="Y549" s="565" t="n"/>
      <x:c r="Z549" s="565" t="n"/>
    </x:row>
    <x:row r="550">
      <x:c r="A550" s="527" t="inlineStr">
        <x:is>
          <x:t xml:space="preserve">1935-000201</x:t>
        </x:is>
      </x:c>
      <x:c r="B550" s="527" t="n"/>
      <x:c r="C550" s="527" t="inlineStr">
        <x:is>
          <x:t xml:space="preserve">Deed</x:t>
        </x:is>
      </x:c>
      <x:c r="D550" s="527" t="inlineStr">
        <x:is>
          <x:t xml:space="preserve">D00045/0395</x:t>
        </x:is>
      </x:c>
      <x:c r="E550" s="529" t="inlineStr">
        <x:is>
          <x:t xml:space="preserve">03/01/1935</x:t>
        </x:is>
      </x:c>
      <x:c r="F550" s="529" t="n">
        <x:v>12844</x:v>
      </x:c>
      <x:c r="G550" s="527" t="inlineStr">
        <x:is>
          <x:t xml:space="preserve">Ethel Brister,
L. E. Jaques</x:t>
        </x:is>
      </x:c>
      <x:c r="H550" s="527" t="inlineStr">
        <x:is>
          <x:t xml:space="preserve">Virginia Jaques</x:t>
        </x:is>
      </x:c>
      <x:c r="I550" s="527" t="inlineStr">
        <x:is>
          <x:t xml:space="preserve">31-12N-24W (AOL)</x:t>
        </x:is>
      </x:c>
      <x:c r="J550" s="527" t="inlineStr">
        <x:is>
          <x:t xml:space="preserve">Fee / as stated</x:t>
        </x:is>
      </x:c>
      <x:c r="K550" s="527" t="inlineStr">
        <x:is>
          <x:t xml:space="preserve">OKCountyRecords official index, Roger Mills County (instrument 1935-000201); searched 06/11/2026</x:t>
        </x:is>
      </x:c>
      <x:c r="L550" s="565" t="n"/>
      <x:c r="M550" s="565" t="n"/>
      <x:c r="N550" s="565" t="n"/>
      <x:c r="O550" s="565" t="n"/>
      <x:c r="P550" s="565" t="n"/>
      <x:c r="Q550" s="565" t="n"/>
      <x:c r="R550" s="565" t="n"/>
      <x:c r="S550" s="613" t="n"/>
      <x:c r="T550" s="565" t="n"/>
      <x:c r="U550" s="613" t="n"/>
      <x:c r="V550" s="565" t="n"/>
      <x:c r="W550" s="565" t="n"/>
      <x:c r="X550" s="565" t="n"/>
      <x:c r="Y550" s="565" t="n"/>
      <x:c r="Z550" s="565" t="n"/>
    </x:row>
    <x:row r="551">
      <x:c r="A551" s="527" t="inlineStr">
        <x:is>
          <x:t xml:space="preserve">1935-000554</x:t>
        </x:is>
      </x:c>
      <x:c r="B551" s="527" t="n"/>
      <x:c r="C551" s="527" t="inlineStr">
        <x:is>
          <x:t xml:space="preserve">Deed</x:t>
        </x:is>
      </x:c>
      <x:c r="D551" s="527" t="inlineStr">
        <x:is>
          <x:t xml:space="preserve">D00046/0540</x:t>
        </x:is>
      </x:c>
      <x:c r="E551" s="529" t="inlineStr">
        <x:is>
          <x:t xml:space="preserve">12/03/1935</x:t>
        </x:is>
      </x:c>
      <x:c r="F551" s="529" t="n">
        <x:v>13121</x:v>
      </x:c>
      <x:c r="G551" s="527" t="inlineStr">
        <x:is>
          <x:t xml:space="preserve">Flora E. Hambrook,
Thomas O. Hambrook</x:t>
        </x:is>
      </x:c>
      <x:c r="H551" s="527" t="inlineStr">
        <x:is>
          <x:t xml:space="preserve">H. M. Carter</x:t>
        </x:is>
      </x:c>
      <x:c r="I551" s="527" t="inlineStr">
        <x:is>
          <x:t xml:space="preserve">31-12N-24W (AOL)</x:t>
        </x:is>
      </x:c>
      <x:c r="J551" s="527" t="inlineStr">
        <x:is>
          <x:t xml:space="preserve">Fee / as stated</x:t>
        </x:is>
      </x:c>
      <x:c r="K551" s="527" t="inlineStr">
        <x:is>
          <x:t xml:space="preserve">OKCountyRecords official index, Roger Mills County (instrument 1935-000554); searched 06/11/2026</x:t>
        </x:is>
      </x:c>
      <x:c r="L551" s="565" t="n"/>
      <x:c r="M551" s="565" t="n"/>
      <x:c r="N551" s="565" t="n"/>
      <x:c r="O551" s="565" t="n"/>
      <x:c r="P551" s="565" t="n"/>
      <x:c r="Q551" s="565" t="n"/>
      <x:c r="R551" s="565" t="n"/>
      <x:c r="S551" s="613" t="n"/>
      <x:c r="T551" s="565" t="n"/>
      <x:c r="U551" s="613" t="n"/>
      <x:c r="V551" s="565" t="n"/>
      <x:c r="W551" s="565" t="n"/>
      <x:c r="X551" s="565" t="n"/>
      <x:c r="Y551" s="565" t="n"/>
      <x:c r="Z551" s="565" t="n"/>
    </x:row>
    <x:row r="552">
      <x:c r="A552" s="527" t="inlineStr">
        <x:is>
          <x:t xml:space="preserve">1935-001793</x:t>
        </x:is>
      </x:c>
      <x:c r="B552" s="527" t="n"/>
      <x:c r="C552" s="527" t="inlineStr">
        <x:is>
          <x:t xml:space="preserve">Release</x:t>
        </x:is>
      </x:c>
      <x:c r="D552" s="527" t="inlineStr">
        <x:is>
          <x:t xml:space="preserve">REL019/0547</x:t>
        </x:is>
      </x:c>
      <x:c r="E552" s="529" t="inlineStr">
        <x:is>
          <x:t xml:space="preserve">12/03/1935</x:t>
        </x:is>
      </x:c>
      <x:c r="F552" s="529" t="n">
        <x:v>13121</x:v>
      </x:c>
      <x:c r="G552" s="527" t="inlineStr">
        <x:is>
          <x:t xml:space="preserve">Roy M. Johnson</x:t>
        </x:is>
      </x:c>
      <x:c r="H552" s="527" t="inlineStr">
        <x:is>
          <x:t xml:space="preserve">J. G. Hambrook,
Thomas Hambrook</x:t>
        </x:is>
      </x:c>
      <x:c r="I552" s="527" t="inlineStr">
        <x:is>
          <x:t xml:space="preserve">31-12N-24W</x:t>
        </x:is>
      </x:c>
      <x:c r="J552" s="527" t="inlineStr">
        <x:is>
          <x:t xml:space="preserve">Leasehold / WI</x:t>
        </x:is>
      </x:c>
      <x:c r="K552" s="527" t="inlineStr">
        <x:is>
          <x:t xml:space="preserve">OKCountyRecords official index, Roger Mills County (instrument 1935-001793); searched 06/11/2026</x:t>
        </x:is>
      </x:c>
      <x:c r="L552" s="565" t="n"/>
      <x:c r="M552" s="565" t="n"/>
      <x:c r="N552" s="565" t="n"/>
      <x:c r="O552" s="565" t="n"/>
      <x:c r="P552" s="565" t="n"/>
      <x:c r="Q552" s="565" t="n"/>
      <x:c r="R552" s="565" t="n"/>
      <x:c r="S552" s="613" t="n"/>
      <x:c r="T552" s="565" t="n"/>
      <x:c r="U552" s="613" t="n"/>
      <x:c r="V552" s="565" t="n"/>
      <x:c r="W552" s="565" t="n"/>
      <x:c r="X552" s="565" t="n"/>
      <x:c r="Y552" s="565" t="n"/>
      <x:c r="Z552" s="565" t="n"/>
    </x:row>
    <x:row r="553">
      <x:c r="A553" s="527" t="inlineStr">
        <x:is>
          <x:t xml:space="preserve">1935-001795</x:t>
        </x:is>
      </x:c>
      <x:c r="B553" s="527" t="n"/>
      <x:c r="C553" s="527" t="inlineStr">
        <x:is>
          <x:t xml:space="preserve">Release</x:t>
        </x:is>
      </x:c>
      <x:c r="D553" s="527" t="inlineStr">
        <x:is>
          <x:t xml:space="preserve">REL019/0548</x:t>
        </x:is>
      </x:c>
      <x:c r="E553" s="529" t="inlineStr">
        <x:is>
          <x:t xml:space="preserve">12/03/1935</x:t>
        </x:is>
      </x:c>
      <x:c r="F553" s="529" t="n">
        <x:v>13121</x:v>
      </x:c>
      <x:c r="G553" s="527" t="inlineStr">
        <x:is>
          <x:t xml:space="preserve">Roy M. Johnson</x:t>
        </x:is>
      </x:c>
      <x:c r="H553" s="527" t="inlineStr">
        <x:is>
          <x:t xml:space="preserve">Mark Hambrook</x:t>
        </x:is>
      </x:c>
      <x:c r="I553" s="527" t="inlineStr">
        <x:is>
          <x:t xml:space="preserve">31-12N-24W</x:t>
        </x:is>
      </x:c>
      <x:c r="J553" s="527" t="inlineStr">
        <x:is>
          <x:t xml:space="preserve">Leasehold / WI</x:t>
        </x:is>
      </x:c>
      <x:c r="K553" s="527" t="inlineStr">
        <x:is>
          <x:t xml:space="preserve">OKCountyRecords official index, Roger Mills County (instrument 1935-001795); searched 06/11/2026</x:t>
        </x:is>
      </x:c>
      <x:c r="L553" s="565" t="n"/>
      <x:c r="M553" s="565" t="n"/>
      <x:c r="N553" s="565" t="n"/>
      <x:c r="O553" s="565" t="n"/>
      <x:c r="P553" s="565" t="n"/>
      <x:c r="Q553" s="565" t="n"/>
      <x:c r="R553" s="565" t="n"/>
      <x:c r="S553" s="613" t="n"/>
      <x:c r="T553" s="565" t="n"/>
      <x:c r="U553" s="613" t="n"/>
      <x:c r="V553" s="565" t="n"/>
      <x:c r="W553" s="565" t="n"/>
      <x:c r="X553" s="565" t="n"/>
      <x:c r="Y553" s="565" t="n"/>
      <x:c r="Z553" s="565" t="n"/>
    </x:row>
    <x:row r="554">
      <x:c r="A554" s="527" t="inlineStr">
        <x:is>
          <x:t xml:space="preserve">1937-000416</x:t>
        </x:is>
      </x:c>
      <x:c r="B554" s="527" t="n"/>
      <x:c r="C554" s="527" t="inlineStr">
        <x:is>
          <x:t xml:space="preserve">Deed</x:t>
        </x:is>
      </x:c>
      <x:c r="D554" s="527" t="inlineStr">
        <x:is>
          <x:t xml:space="preserve">D00048/0072</x:t>
        </x:is>
      </x:c>
      <x:c r="E554" s="529" t="inlineStr">
        <x:is>
          <x:t xml:space="preserve">01/30/1937</x:t>
        </x:is>
      </x:c>
      <x:c r="F554" s="529" t="n">
        <x:v>13545</x:v>
      </x:c>
      <x:c r="G554" s="527" t="inlineStr">
        <x:is>
          <x:t xml:space="preserve">N. Virgina Jacques,
Virginia Jaques</x:t>
        </x:is>
      </x:c>
      <x:c r="H554" s="527" t="inlineStr">
        <x:is>
          <x:t xml:space="preserve">H. M. Carter</x:t>
        </x:is>
      </x:c>
      <x:c r="I554" s="527" t="inlineStr">
        <x:is>
          <x:t xml:space="preserve">31-12N-24W (AOL)</x:t>
        </x:is>
      </x:c>
      <x:c r="J554" s="527" t="inlineStr">
        <x:is>
          <x:t xml:space="preserve">Fee / as stated</x:t>
        </x:is>
      </x:c>
      <x:c r="K554" s="527" t="inlineStr">
        <x:is>
          <x:t xml:space="preserve">OKCountyRecords official index, Roger Mills County (instrument 1937-000416); searched 06/11/2026</x:t>
        </x:is>
      </x:c>
      <x:c r="L554" s="565" t="n"/>
      <x:c r="M554" s="565" t="n"/>
      <x:c r="N554" s="565" t="n"/>
      <x:c r="O554" s="565" t="n"/>
      <x:c r="P554" s="565" t="n"/>
      <x:c r="Q554" s="565" t="n"/>
      <x:c r="R554" s="565" t="n"/>
      <x:c r="S554" s="613" t="n"/>
      <x:c r="T554" s="565" t="n"/>
      <x:c r="U554" s="613" t="n"/>
      <x:c r="V554" s="565" t="n"/>
      <x:c r="W554" s="565" t="n"/>
      <x:c r="X554" s="565" t="n"/>
      <x:c r="Y554" s="565" t="n"/>
      <x:c r="Z554" s="565" t="n"/>
    </x:row>
    <x:row r="555">
      <x:c r="A555" s="527" t="inlineStr">
        <x:is>
          <x:t xml:space="preserve">1938-000632</x:t>
        </x:is>
      </x:c>
      <x:c r="B555" s="527" t="n"/>
      <x:c r="C555" s="527" t="inlineStr">
        <x:is>
          <x:t xml:space="preserve">Affidavit</x:t>
        </x:is>
      </x:c>
      <x:c r="D555" s="527" t="inlineStr">
        <x:is>
          <x:t xml:space="preserve">MIS019/0466</x:t>
        </x:is>
      </x:c>
      <x:c r="E555" s="529" t="inlineStr">
        <x:is>
          <x:t xml:space="preserve">02/13/1938</x:t>
        </x:is>
      </x:c>
      <x:c r="F555" s="529" t="n">
        <x:v>13924</x:v>
      </x:c>
      <x:c r="G555" s="527" t="inlineStr">
        <x:is>
          <x:t xml:space="preserve">M. R. Slief</x:t>
        </x:is>
      </x:c>
      <x:c r="H555" s="527" t="inlineStr">
        <x:is>
          <x:t xml:space="preserve">The Public</x:t>
        </x:is>
      </x:c>
      <x:c r="I555" s="527" t="inlineStr">
        <x:is>
          <x:t xml:space="preserve">31-12N-24W (AOL)</x:t>
        </x:is>
      </x:c>
      <x:c r="J555" s="527" t="inlineStr">
        <x:is>
          <x:t xml:space="preserve">See instrument</x:t>
        </x:is>
      </x:c>
      <x:c r="K555" s="527" t="inlineStr">
        <x:is>
          <x:t xml:space="preserve">OKCountyRecords official index, Roger Mills County (instrument 1938-000632); searched 06/11/2026</x:t>
        </x:is>
      </x:c>
      <x:c r="L555" s="565" t="n"/>
      <x:c r="M555" s="565" t="n"/>
      <x:c r="N555" s="565" t="n"/>
      <x:c r="O555" s="565" t="n"/>
      <x:c r="P555" s="565" t="n"/>
      <x:c r="Q555" s="565" t="n"/>
      <x:c r="R555" s="565" t="n"/>
      <x:c r="S555" s="613" t="n"/>
      <x:c r="T555" s="565" t="n"/>
      <x:c r="U555" s="613" t="n"/>
      <x:c r="V555" s="565" t="n"/>
      <x:c r="W555" s="565" t="n"/>
      <x:c r="X555" s="565" t="n"/>
      <x:c r="Y555" s="565" t="n"/>
      <x:c r="Z555" s="565" t="n"/>
    </x:row>
    <x:row r="556">
      <x:c r="A556" s="527" t="inlineStr">
        <x:is>
          <x:t xml:space="preserve">1938-000969</x:t>
        </x:is>
      </x:c>
      <x:c r="B556" s="527" t="n"/>
      <x:c r="C556" s="527" t="inlineStr">
        <x:is>
          <x:t xml:space="preserve">Release</x:t>
        </x:is>
      </x:c>
      <x:c r="D556" s="527" t="inlineStr">
        <x:is>
          <x:t xml:space="preserve">REL018/0166</x:t>
        </x:is>
      </x:c>
      <x:c r="E556" s="529" t="inlineStr">
        <x:is>
          <x:t xml:space="preserve">10/30/1938</x:t>
        </x:is>
      </x:c>
      <x:c r="F556" s="529" t="n">
        <x:v>14183</x:v>
      </x:c>
      <x:c r="G556" s="527" t="inlineStr">
        <x:is>
          <x:t xml:space="preserve">Beckham County National Bank</x:t>
        </x:is>
      </x:c>
      <x:c r="H556" s="527" t="inlineStr">
        <x:is>
          <x:t xml:space="preserve">Louis E. Jaques,
N. Virginia Jaques</x:t>
        </x:is>
      </x:c>
      <x:c r="I556" s="527" t="inlineStr">
        <x:is>
          <x:t xml:space="preserve">31-12N-24W (AOL)</x:t>
        </x:is>
      </x:c>
      <x:c r="J556" s="527" t="inlineStr">
        <x:is>
          <x:t xml:space="preserve">Leasehold / WI</x:t>
        </x:is>
      </x:c>
      <x:c r="K556" s="527" t="inlineStr">
        <x:is>
          <x:t xml:space="preserve">OKCountyRecords official index, Roger Mills County (instrument 1938-000969); searched 06/11/2026</x:t>
        </x:is>
      </x:c>
      <x:c r="L556" s="565" t="n"/>
      <x:c r="M556" s="565" t="n"/>
      <x:c r="N556" s="565" t="n"/>
      <x:c r="O556" s="565" t="n"/>
      <x:c r="P556" s="565" t="n"/>
      <x:c r="Q556" s="565" t="n"/>
      <x:c r="R556" s="565" t="n"/>
      <x:c r="S556" s="613" t="n"/>
      <x:c r="T556" s="565" t="n"/>
      <x:c r="U556" s="613" t="n"/>
      <x:c r="V556" s="565" t="n"/>
      <x:c r="W556" s="565" t="n"/>
      <x:c r="X556" s="565" t="n"/>
      <x:c r="Y556" s="565" t="n"/>
      <x:c r="Z556" s="565" t="n"/>
    </x:row>
    <x:row r="557">
      <x:c r="A557" s="527" t="inlineStr">
        <x:is>
          <x:t xml:space="preserve">1939-001120</x:t>
        </x:is>
      </x:c>
      <x:c r="B557" s="527" t="n"/>
      <x:c r="C557" s="527" t="inlineStr">
        <x:is>
          <x:t xml:space="preserve">Deed</x:t>
        </x:is>
      </x:c>
      <x:c r="D557" s="527" t="inlineStr">
        <x:is>
          <x:t xml:space="preserve">QCD003/0491</x:t>
        </x:is>
      </x:c>
      <x:c r="E557" s="529" t="inlineStr">
        <x:is>
          <x:t xml:space="preserve">02/13/1939</x:t>
        </x:is>
      </x:c>
      <x:c r="F557" s="529" t="n">
        <x:v>14289</x:v>
      </x:c>
      <x:c r="G557" s="527" t="inlineStr">
        <x:is>
          <x:t xml:space="preserve">Ethel Brister,
Jack Brister</x:t>
        </x:is>
      </x:c>
      <x:c r="H557" s="527" t="inlineStr">
        <x:is>
          <x:t xml:space="preserve">Virginia Jaques</x:t>
        </x:is>
      </x:c>
      <x:c r="I557" s="527" t="inlineStr">
        <x:is>
          <x:t xml:space="preserve">31-12N-24W</x:t>
        </x:is>
      </x:c>
      <x:c r="J557" s="527" t="inlineStr">
        <x:is>
          <x:t xml:space="preserve">Fee / as stated</x:t>
        </x:is>
      </x:c>
      <x:c r="K557" s="527" t="inlineStr">
        <x:is>
          <x:t xml:space="preserve">OKCountyRecords official index, Roger Mills County (instrument 1939-001120); searched 06/11/2026</x:t>
        </x:is>
      </x:c>
      <x:c r="L557" s="565" t="n"/>
      <x:c r="M557" s="565" t="n"/>
      <x:c r="N557" s="565" t="n"/>
      <x:c r="O557" s="565" t="n"/>
      <x:c r="P557" s="565" t="n"/>
      <x:c r="Q557" s="565" t="n"/>
      <x:c r="R557" s="565" t="n"/>
      <x:c r="S557" s="613" t="n"/>
      <x:c r="T557" s="565" t="n"/>
      <x:c r="U557" s="613" t="n"/>
      <x:c r="V557" s="565" t="n"/>
      <x:c r="W557" s="565" t="n"/>
      <x:c r="X557" s="565" t="n"/>
      <x:c r="Y557" s="565" t="n"/>
      <x:c r="Z557" s="565" t="n"/>
    </x:row>
    <x:row r="558">
      <x:c r="A558" s="527" t="inlineStr">
        <x:is>
          <x:t xml:space="preserve">1939-001197</x:t>
        </x:is>
      </x:c>
      <x:c r="B558" s="527" t="n"/>
      <x:c r="C558" s="527" t="inlineStr">
        <x:is>
          <x:t xml:space="preserve">Release</x:t>
        </x:is>
      </x:c>
      <x:c r="D558" s="527" t="inlineStr">
        <x:is>
          <x:t xml:space="preserve">REL018/0174</x:t>
        </x:is>
      </x:c>
      <x:c r="E558" s="529" t="inlineStr">
        <x:is>
          <x:t xml:space="preserve">02/24/1939</x:t>
        </x:is>
      </x:c>
      <x:c r="F558" s="529" t="n">
        <x:v>14300</x:v>
      </x:c>
      <x:c r="G558" s="527" t="inlineStr">
        <x:is>
          <x:t xml:space="preserve">Beckham County National Bank</x:t>
        </x:is>
      </x:c>
      <x:c r="H558" s="527" t="inlineStr">
        <x:is>
          <x:t xml:space="preserve">Louis E. Jaques,
N. Virginia Jaques</x:t>
        </x:is>
      </x:c>
      <x:c r="I558" s="527" t="inlineStr">
        <x:is>
          <x:t xml:space="preserve">31-12N-24W (AOL)</x:t>
        </x:is>
      </x:c>
      <x:c r="J558" s="527" t="inlineStr">
        <x:is>
          <x:t xml:space="preserve">Leasehold / WI</x:t>
        </x:is>
      </x:c>
      <x:c r="K558" s="527" t="inlineStr">
        <x:is>
          <x:t xml:space="preserve">OKCountyRecords official index, Roger Mills County (instrument 1939-001197); searched 06/11/2026</x:t>
        </x:is>
      </x:c>
      <x:c r="L558" s="565" t="n"/>
      <x:c r="M558" s="565" t="n"/>
      <x:c r="N558" s="565" t="n"/>
      <x:c r="O558" s="565" t="n"/>
      <x:c r="P558" s="565" t="n"/>
      <x:c r="Q558" s="565" t="n"/>
      <x:c r="R558" s="565" t="n"/>
      <x:c r="S558" s="613" t="n"/>
      <x:c r="T558" s="565" t="n"/>
      <x:c r="U558" s="613" t="n"/>
      <x:c r="V558" s="565" t="n"/>
      <x:c r="W558" s="565" t="n"/>
      <x:c r="X558" s="565" t="n"/>
      <x:c r="Y558" s="565" t="n"/>
      <x:c r="Z558" s="565" t="n"/>
    </x:row>
    <x:row r="559">
      <x:c r="A559" s="527" t="inlineStr">
        <x:is>
          <x:t xml:space="preserve">1939-001202</x:t>
        </x:is>
      </x:c>
      <x:c r="B559" s="527" t="n"/>
      <x:c r="C559" s="527" t="inlineStr">
        <x:is>
          <x:t xml:space="preserve">Release</x:t>
        </x:is>
      </x:c>
      <x:c r="D559" s="527" t="inlineStr">
        <x:is>
          <x:t xml:space="preserve">REL018/0177</x:t>
        </x:is>
      </x:c>
      <x:c r="E559" s="529" t="inlineStr">
        <x:is>
          <x:t xml:space="preserve">03/30/1939</x:t>
        </x:is>
      </x:c>
      <x:c r="F559" s="529" t="n">
        <x:v>14334</x:v>
      </x:c>
      <x:c r="G559" s="527" t="inlineStr">
        <x:is>
          <x:t xml:space="preserve">O. M. Marsh</x:t>
        </x:is>
      </x:c>
      <x:c r="H559" s="527" t="inlineStr">
        <x:is>
          <x:t xml:space="preserve">Mark Hambrook</x:t>
        </x:is>
      </x:c>
      <x:c r="I559" s="527" t="inlineStr">
        <x:is>
          <x:t xml:space="preserve">31-12N-24W</x:t>
        </x:is>
      </x:c>
      <x:c r="J559" s="527" t="inlineStr">
        <x:is>
          <x:t xml:space="preserve">Leasehold / WI</x:t>
        </x:is>
      </x:c>
      <x:c r="K559" s="527" t="inlineStr">
        <x:is>
          <x:t xml:space="preserve">OKCountyRecords official index, Roger Mills County (instrument 1939-001202); searched 06/11/2026</x:t>
        </x:is>
      </x:c>
      <x:c r="L559" s="565" t="n"/>
      <x:c r="M559" s="565" t="n"/>
      <x:c r="N559" s="565" t="n"/>
      <x:c r="O559" s="565" t="n"/>
      <x:c r="P559" s="565" t="n"/>
      <x:c r="Q559" s="565" t="n"/>
      <x:c r="R559" s="565" t="n"/>
      <x:c r="S559" s="613" t="n"/>
      <x:c r="T559" s="565" t="n"/>
      <x:c r="U559" s="613" t="n"/>
      <x:c r="V559" s="565" t="n"/>
      <x:c r="W559" s="565" t="n"/>
      <x:c r="X559" s="565" t="n"/>
      <x:c r="Y559" s="565" t="n"/>
      <x:c r="Z559" s="565" t="n"/>
    </x:row>
    <x:row r="560">
      <x:c r="A560" s="527" t="inlineStr">
        <x:is>
          <x:t xml:space="preserve">1939-000083</x:t>
        </x:is>
      </x:c>
      <x:c r="B560" s="527" t="n"/>
      <x:c r="C560" s="527" t="inlineStr">
        <x:is>
          <x:t xml:space="preserve">Assignment</x:t>
        </x:is>
      </x:c>
      <x:c r="D560" s="527" t="inlineStr">
        <x:is>
          <x:t xml:space="preserve">ASN013/0186</x:t>
        </x:is>
      </x:c>
      <x:c r="E560" s="529" t="inlineStr">
        <x:is>
          <x:t xml:space="preserve">10/04/1939</x:t>
        </x:is>
      </x:c>
      <x:c r="F560" s="529" t="n">
        <x:v>14522</x:v>
      </x:c>
      <x:c r="G560" s="527" t="inlineStr">
        <x:is>
          <x:t xml:space="preserve">Panhandle Cooperative Royalty Company</x:t>
        </x:is>
      </x:c>
      <x:c r="H560" s="527" t="inlineStr">
        <x:is>
          <x:t xml:space="preserve">Flag Oil Company of Oklahoma</x:t>
        </x:is>
      </x:c>
      <x:c r="I560" s="527" t="inlineStr">
        <x:is>
          <x:t xml:space="preserve">31-12N-24W</x:t>
        </x:is>
      </x:c>
      <x:c r="J560" s="527" t="inlineStr">
        <x:is>
          <x:t xml:space="preserve">Leasehold / WI</x:t>
        </x:is>
      </x:c>
      <x:c r="K560" s="527" t="inlineStr">
        <x:is>
          <x:t xml:space="preserve">OKCountyRecords official index, Roger Mills County (instrument 1939-000083); searched 06/11/2026</x:t>
        </x:is>
      </x:c>
      <x:c r="L560" s="565" t="n"/>
      <x:c r="M560" s="565" t="n"/>
      <x:c r="N560" s="565" t="n"/>
      <x:c r="O560" s="565" t="n"/>
      <x:c r="P560" s="565" t="n"/>
      <x:c r="Q560" s="565" t="n"/>
      <x:c r="R560" s="565" t="n"/>
      <x:c r="S560" s="613" t="n"/>
      <x:c r="T560" s="565" t="n"/>
      <x:c r="U560" s="613" t="n"/>
      <x:c r="V560" s="565" t="n"/>
      <x:c r="W560" s="565" t="n"/>
      <x:c r="X560" s="565" t="n"/>
      <x:c r="Y560" s="565" t="n"/>
      <x:c r="Z560" s="565" t="n"/>
    </x:row>
    <x:row r="561">
      <x:c r="A561" s="527" t="inlineStr">
        <x:is>
          <x:t xml:space="preserve">1939-000085</x:t>
        </x:is>
      </x:c>
      <x:c r="B561" s="527" t="n"/>
      <x:c r="C561" s="527" t="inlineStr">
        <x:is>
          <x:t xml:space="preserve">Assignment</x:t>
        </x:is>
      </x:c>
      <x:c r="D561" s="527" t="inlineStr">
        <x:is>
          <x:t xml:space="preserve">ASN013/0188</x:t>
        </x:is>
      </x:c>
      <x:c r="E561" s="529" t="inlineStr">
        <x:is>
          <x:t xml:space="preserve">10/04/1939</x:t>
        </x:is>
      </x:c>
      <x:c r="F561" s="529" t="n">
        <x:v>14522</x:v>
      </x:c>
      <x:c r="G561" s="527" t="inlineStr">
        <x:is>
          <x:t xml:space="preserve">Panhandle Cooperative Royalty Company</x:t>
        </x:is>
      </x:c>
      <x:c r="H561" s="527" t="inlineStr">
        <x:is>
          <x:t xml:space="preserve">Flag Oil Company of Oklahoma</x:t>
        </x:is>
      </x:c>
      <x:c r="I561" s="527" t="inlineStr">
        <x:is>
          <x:t xml:space="preserve">31-12N-24W</x:t>
        </x:is>
      </x:c>
      <x:c r="J561" s="527" t="inlineStr">
        <x:is>
          <x:t xml:space="preserve">Leasehold / WI</x:t>
        </x:is>
      </x:c>
      <x:c r="K561" s="527" t="inlineStr">
        <x:is>
          <x:t xml:space="preserve">OKCountyRecords official index, Roger Mills County (instrument 1939-000085); searched 06/11/2026</x:t>
        </x:is>
      </x:c>
      <x:c r="L561" s="565" t="n"/>
      <x:c r="M561" s="565" t="n"/>
      <x:c r="N561" s="565" t="n"/>
      <x:c r="O561" s="565" t="n"/>
      <x:c r="P561" s="565" t="n"/>
      <x:c r="Q561" s="565" t="n"/>
      <x:c r="R561" s="565" t="n"/>
      <x:c r="S561" s="613" t="n"/>
      <x:c r="T561" s="565" t="n"/>
      <x:c r="U561" s="613" t="n"/>
      <x:c r="V561" s="565" t="n"/>
      <x:c r="W561" s="565" t="n"/>
      <x:c r="X561" s="565" t="n"/>
      <x:c r="Y561" s="565" t="n"/>
      <x:c r="Z561" s="565" t="n"/>
    </x:row>
    <x:row r="562">
      <x:c r="A562" s="527" t="inlineStr">
        <x:is>
          <x:t xml:space="preserve">1942-000982</x:t>
        </x:is>
      </x:c>
      <x:c r="B562" s="527" t="n"/>
      <x:c r="C562" s="527" t="inlineStr">
        <x:is>
          <x:t xml:space="preserve">Release</x:t>
        </x:is>
      </x:c>
      <x:c r="D562" s="527" t="inlineStr">
        <x:is>
          <x:t xml:space="preserve">REL021/0004</x:t>
        </x:is>
      </x:c>
      <x:c r="E562" s="529" t="inlineStr">
        <x:is>
          <x:t xml:space="preserve">02/04/1942</x:t>
        </x:is>
      </x:c>
      <x:c r="F562" s="529" t="n">
        <x:v>15376</x:v>
      </x:c>
      <x:c r="G562" s="527" t="inlineStr">
        <x:is>
          <x:t xml:space="preserve">Federal Farm Mortgage Corporation,
Land Bank Commissioner</x:t>
        </x:is>
      </x:c>
      <x:c r="H562" s="527" t="inlineStr">
        <x:is>
          <x:t xml:space="preserve">Lee Aulbert,
Mollie Aulbert</x:t>
        </x:is>
      </x:c>
      <x:c r="I562" s="527" t="inlineStr">
        <x:is>
          <x:t xml:space="preserve">31-12N-24W</x:t>
        </x:is>
      </x:c>
      <x:c r="J562" s="527" t="inlineStr">
        <x:is>
          <x:t xml:space="preserve">Leasehold / WI</x:t>
        </x:is>
      </x:c>
      <x:c r="K562" s="527" t="inlineStr">
        <x:is>
          <x:t xml:space="preserve">OKCountyRecords official index, Roger Mills County (instrument 1942-000982); searched 06/11/2026</x:t>
        </x:is>
      </x:c>
      <x:c r="L562" s="565" t="n"/>
      <x:c r="M562" s="565" t="n"/>
      <x:c r="N562" s="565" t="n"/>
      <x:c r="O562" s="565" t="n"/>
      <x:c r="P562" s="565" t="n"/>
      <x:c r="Q562" s="565" t="n"/>
      <x:c r="R562" s="565" t="n"/>
      <x:c r="S562" s="613" t="n"/>
      <x:c r="T562" s="565" t="n"/>
      <x:c r="U562" s="613" t="n"/>
      <x:c r="V562" s="565" t="n"/>
      <x:c r="W562" s="565" t="n"/>
      <x:c r="X562" s="565" t="n"/>
      <x:c r="Y562" s="565" t="n"/>
      <x:c r="Z562" s="565" t="n"/>
    </x:row>
    <x:row r="563">
      <x:c r="A563" s="527" t="inlineStr">
        <x:is>
          <x:t xml:space="preserve">1942-000630</x:t>
        </x:is>
      </x:c>
      <x:c r="B563" s="527" t="n"/>
      <x:c r="C563" s="527" t="inlineStr">
        <x:is>
          <x:t xml:space="preserve">Final Decree</x:t>
        </x:is>
      </x:c>
      <x:c r="D563" s="527" t="inlineStr">
        <x:is>
          <x:t xml:space="preserve">MIS021/0471</x:t>
        </x:is>
      </x:c>
      <x:c r="E563" s="529" t="inlineStr">
        <x:is>
          <x:t xml:space="preserve">05/29/1942</x:t>
        </x:is>
      </x:c>
      <x:c r="F563" s="529" t="n">
        <x:v>15490</x:v>
      </x:c>
      <x:c r="G563" s="527" t="inlineStr">
        <x:is>
          <x:t xml:space="preserve">Beckham County Court,
Swinburn J. Stewart</x:t>
        </x:is>
      </x:c>
      <x:c r="H563" s="527" t="inlineStr">
        <x:is>
          <x:t xml:space="preserve">The Public</x:t>
        </x:is>
      </x:c>
      <x:c r="I563" s="527" t="inlineStr">
        <x:is>
          <x:t xml:space="preserve">31-12N-24W (AOL)</x:t>
        </x:is>
      </x:c>
      <x:c r="J563" s="527" t="inlineStr">
        <x:is>
          <x:t xml:space="preserve">Fee / as stated</x:t>
        </x:is>
      </x:c>
      <x:c r="K563" s="527" t="inlineStr">
        <x:is>
          <x:t xml:space="preserve">OKCountyRecords official index, Roger Mills County (instrument 1942-000630); searched 06/11/2026</x:t>
        </x:is>
      </x:c>
      <x:c r="L563" s="565" t="n"/>
      <x:c r="M563" s="565" t="n"/>
      <x:c r="N563" s="565" t="n"/>
      <x:c r="O563" s="565" t="n"/>
      <x:c r="P563" s="565" t="n"/>
      <x:c r="Q563" s="565" t="n"/>
      <x:c r="R563" s="565" t="n"/>
      <x:c r="S563" s="613" t="n"/>
      <x:c r="T563" s="565" t="n"/>
      <x:c r="U563" s="613" t="n"/>
      <x:c r="V563" s="565" t="n"/>
      <x:c r="W563" s="565" t="n"/>
      <x:c r="X563" s="565" t="n"/>
      <x:c r="Y563" s="565" t="n"/>
      <x:c r="Z563" s="565" t="n"/>
    </x:row>
    <x:row r="564">
      <x:c r="A564" s="527" t="inlineStr">
        <x:is>
          <x:t xml:space="preserve">1944-001314</x:t>
        </x:is>
      </x:c>
      <x:c r="B564" s="527" t="n"/>
      <x:c r="C564" s="527" t="inlineStr">
        <x:is>
          <x:t xml:space="preserve">Release</x:t>
        </x:is>
      </x:c>
      <x:c r="D564" s="527" t="inlineStr">
        <x:is>
          <x:t xml:space="preserve">REL021/0313</x:t>
        </x:is>
      </x:c>
      <x:c r="E564" s="529" t="inlineStr">
        <x:is>
          <x:t xml:space="preserve">09/28/1944</x:t>
        </x:is>
      </x:c>
      <x:c r="F564" s="529" t="n">
        <x:v>16343</x:v>
      </x:c>
      <x:c r="G564" s="527" t="inlineStr">
        <x:is>
          <x:t xml:space="preserve">Sprowls Cronin &amp; Co</x:t>
        </x:is>
      </x:c>
      <x:c r="H564" s="527" t="inlineStr">
        <x:is>
          <x:t xml:space="preserve">Eula Bain,
William C. Bain</x:t>
        </x:is>
      </x:c>
      <x:c r="I564" s="527" t="inlineStr">
        <x:is>
          <x:t xml:space="preserve">31-12N-24W</x:t>
        </x:is>
      </x:c>
      <x:c r="J564" s="527" t="inlineStr">
        <x:is>
          <x:t xml:space="preserve">Leasehold / WI</x:t>
        </x:is>
      </x:c>
      <x:c r="K564" s="527" t="inlineStr">
        <x:is>
          <x:t xml:space="preserve">OKCountyRecords official index, Roger Mills County (instrument 1944-001314); searched 06/11/2026</x:t>
        </x:is>
      </x:c>
      <x:c r="L564" s="565" t="n"/>
      <x:c r="M564" s="565" t="n"/>
      <x:c r="N564" s="565" t="n"/>
      <x:c r="O564" s="565" t="n"/>
      <x:c r="P564" s="565" t="n"/>
      <x:c r="Q564" s="565" t="n"/>
      <x:c r="R564" s="565" t="n"/>
      <x:c r="S564" s="613" t="n"/>
      <x:c r="T564" s="565" t="n"/>
      <x:c r="U564" s="613" t="n"/>
      <x:c r="V564" s="565" t="n"/>
      <x:c r="W564" s="565" t="n"/>
      <x:c r="X564" s="565" t="n"/>
      <x:c r="Y564" s="565" t="n"/>
      <x:c r="Z564" s="565" t="n"/>
    </x:row>
    <x:row r="565">
      <x:c r="A565" s="527" t="inlineStr">
        <x:is>
          <x:t xml:space="preserve">1945-000816</x:t>
        </x:is>
      </x:c>
      <x:c r="B565" s="527" t="n"/>
      <x:c r="C565" s="527" t="inlineStr">
        <x:is>
          <x:t xml:space="preserve">Final Decree</x:t>
        </x:is>
      </x:c>
      <x:c r="D565" s="527" t="inlineStr">
        <x:is>
          <x:t xml:space="preserve">MIS022/0628</x:t>
        </x:is>
      </x:c>
      <x:c r="E565" s="529" t="inlineStr">
        <x:is>
          <x:t xml:space="preserve">01/02/1945</x:t>
        </x:is>
      </x:c>
      <x:c r="F565" s="529" t="n">
        <x:v>16439</x:v>
      </x:c>
      <x:c r="G565" s="527" t="inlineStr">
        <x:is>
          <x:t xml:space="preserve">Beckham County Court,
Benjamin H. Shotwell</x:t>
        </x:is>
      </x:c>
      <x:c r="H565" s="527" t="inlineStr">
        <x:is>
          <x:t xml:space="preserve">The Public</x:t>
        </x:is>
      </x:c>
      <x:c r="I565" s="527" t="inlineStr">
        <x:is>
          <x:t xml:space="preserve">31-12N-24W</x:t>
        </x:is>
      </x:c>
      <x:c r="J565" s="527" t="inlineStr">
        <x:is>
          <x:t xml:space="preserve">Fee / as stated</x:t>
        </x:is>
      </x:c>
      <x:c r="K565" s="527" t="inlineStr">
        <x:is>
          <x:t xml:space="preserve">OKCountyRecords official index, Roger Mills County (instrument 1945-000816); searched 06/11/2026</x:t>
        </x:is>
      </x:c>
      <x:c r="L565" s="565" t="n"/>
      <x:c r="M565" s="565" t="n"/>
      <x:c r="N565" s="565" t="n"/>
      <x:c r="O565" s="565" t="n"/>
      <x:c r="P565" s="565" t="n"/>
      <x:c r="Q565" s="565" t="n"/>
      <x:c r="R565" s="565" t="n"/>
      <x:c r="S565" s="613" t="n"/>
      <x:c r="T565" s="565" t="n"/>
      <x:c r="U565" s="613" t="n"/>
      <x:c r="V565" s="565" t="n"/>
      <x:c r="W565" s="565" t="n"/>
      <x:c r="X565" s="565" t="n"/>
      <x:c r="Y565" s="565" t="n"/>
      <x:c r="Z565" s="565" t="n"/>
    </x:row>
    <x:row r="566">
      <x:c r="A566" s="527" t="inlineStr">
        <x:is>
          <x:t xml:space="preserve">1945-001445</x:t>
        </x:is>
      </x:c>
      <x:c r="B566" s="527" t="n"/>
      <x:c r="C566" s="527" t="inlineStr">
        <x:is>
          <x:t xml:space="preserve">Release</x:t>
        </x:is>
      </x:c>
      <x:c r="D566" s="527" t="inlineStr">
        <x:is>
          <x:t xml:space="preserve">REL018/0328</x:t>
        </x:is>
      </x:c>
      <x:c r="E566" s="529" t="inlineStr">
        <x:is>
          <x:t xml:space="preserve">02/09/1945</x:t>
        </x:is>
      </x:c>
      <x:c r="F566" s="529" t="n">
        <x:v>16477</x:v>
      </x:c>
      <x:c r="G566" s="527" t="inlineStr">
        <x:is>
          <x:t xml:space="preserve">Walter Sprowls</x:t>
        </x:is>
      </x:c>
      <x:c r="H566" s="527" t="inlineStr">
        <x:is>
          <x:t xml:space="preserve">Eula Bain,
William C. Bain</x:t>
        </x:is>
      </x:c>
      <x:c r="I566" s="527" t="inlineStr">
        <x:is>
          <x:t xml:space="preserve">31-12N-24W</x:t>
        </x:is>
      </x:c>
      <x:c r="J566" s="527" t="inlineStr">
        <x:is>
          <x:t xml:space="preserve">Leasehold / WI</x:t>
        </x:is>
      </x:c>
      <x:c r="K566" s="527" t="inlineStr">
        <x:is>
          <x:t xml:space="preserve">OKCountyRecords official index, Roger Mills County (instrument 1945-001445); searched 06/11/2026</x:t>
        </x:is>
      </x:c>
      <x:c r="L566" s="565" t="n"/>
      <x:c r="M566" s="565" t="n"/>
      <x:c r="N566" s="565" t="n"/>
      <x:c r="O566" s="565" t="n"/>
      <x:c r="P566" s="565" t="n"/>
      <x:c r="Q566" s="565" t="n"/>
      <x:c r="R566" s="565" t="n"/>
      <x:c r="S566" s="613" t="n"/>
      <x:c r="T566" s="565" t="n"/>
      <x:c r="U566" s="613" t="n"/>
      <x:c r="V566" s="565" t="n"/>
      <x:c r="W566" s="565" t="n"/>
      <x:c r="X566" s="565" t="n"/>
      <x:c r="Y566" s="565" t="n"/>
      <x:c r="Z566" s="565" t="n"/>
    </x:row>
    <x:row r="567">
      <x:c r="A567" s="527" t="inlineStr">
        <x:is>
          <x:t xml:space="preserve">1945-001524</x:t>
        </x:is>
      </x:c>
      <x:c r="B567" s="527" t="n"/>
      <x:c r="C567" s="527" t="inlineStr">
        <x:is>
          <x:t xml:space="preserve">Release</x:t>
        </x:is>
      </x:c>
      <x:c r="D567" s="527" t="inlineStr">
        <x:is>
          <x:t xml:space="preserve">REL021/0347</x:t>
        </x:is>
      </x:c>
      <x:c r="E567" s="529" t="inlineStr">
        <x:is>
          <x:t xml:space="preserve">02/09/1945</x:t>
        </x:is>
      </x:c>
      <x:c r="F567" s="529" t="n">
        <x:v>16477</x:v>
      </x:c>
      <x:c r="G567" s="527" t="inlineStr">
        <x:is>
          <x:t xml:space="preserve">Sebring, Carl B. Bank Comm</x:t>
        </x:is>
      </x:c>
      <x:c r="H567" s="527" t="inlineStr">
        <x:is>
          <x:t xml:space="preserve">Eula Bain,
William C. Bain</x:t>
        </x:is>
      </x:c>
      <x:c r="I567" s="527" t="inlineStr">
        <x:is>
          <x:t xml:space="preserve">31-12N-24W</x:t>
        </x:is>
      </x:c>
      <x:c r="J567" s="527" t="inlineStr">
        <x:is>
          <x:t xml:space="preserve">Leasehold / WI</x:t>
        </x:is>
      </x:c>
      <x:c r="K567" s="527" t="inlineStr">
        <x:is>
          <x:t xml:space="preserve">OKCountyRecords official index, Roger Mills County (instrument 1945-001524); searched 06/11/2026</x:t>
        </x:is>
      </x:c>
      <x:c r="L567" s="565" t="n"/>
      <x:c r="M567" s="565" t="n"/>
      <x:c r="N567" s="565" t="n"/>
      <x:c r="O567" s="565" t="n"/>
      <x:c r="P567" s="565" t="n"/>
      <x:c r="Q567" s="565" t="n"/>
      <x:c r="R567" s="565" t="n"/>
      <x:c r="S567" s="613" t="n"/>
      <x:c r="T567" s="565" t="n"/>
      <x:c r="U567" s="613" t="n"/>
      <x:c r="V567" s="565" t="n"/>
      <x:c r="W567" s="565" t="n"/>
      <x:c r="X567" s="565" t="n"/>
      <x:c r="Y567" s="565" t="n"/>
      <x:c r="Z567" s="565" t="n"/>
    </x:row>
    <x:row r="568">
      <x:c r="A568" s="527" t="inlineStr">
        <x:is>
          <x:t xml:space="preserve">1945-000171</x:t>
        </x:is>
      </x:c>
      <x:c r="B568" s="527" t="n"/>
      <x:c r="C568" s="527" t="inlineStr">
        <x:is>
          <x:t xml:space="preserve">Deed</x:t>
        </x:is>
      </x:c>
      <x:c r="D568" s="527" t="inlineStr">
        <x:is>
          <x:t xml:space="preserve">D00055/0254</x:t>
        </x:is>
      </x:c>
      <x:c r="E568" s="529" t="inlineStr">
        <x:is>
          <x:t xml:space="preserve">03/12/1945</x:t>
        </x:is>
      </x:c>
      <x:c r="F568" s="529" t="n">
        <x:v>16508</x:v>
      </x:c>
      <x:c r="G568" s="527" t="inlineStr">
        <x:is>
          <x:t xml:space="preserve">Maggie Bennett,
A. M. Cuff,
Ida M. Cuff,
H. V. Davis,
Maggie Davis,
O. L. Davis,
Pearl L. Davis,
Eli L. Shotwell,
Ida M. Shotwell,
Josie A. Shotwell,
Roy T. Shotwell</x:t>
        </x:is>
      </x:c>
      <x:c r="H568" s="527" t="inlineStr">
        <x:is>
          <x:t xml:space="preserve">H. M. Carter</x:t>
        </x:is>
      </x:c>
      <x:c r="I568" s="527" t="inlineStr">
        <x:is>
          <x:t xml:space="preserve">31-12N-24W</x:t>
        </x:is>
      </x:c>
      <x:c r="J568" s="527" t="inlineStr">
        <x:is>
          <x:t xml:space="preserve">Fee / as stated</x:t>
        </x:is>
      </x:c>
      <x:c r="K568" s="527" t="inlineStr">
        <x:is>
          <x:t xml:space="preserve">OKCountyRecords official index, Roger Mills County (instrument 1945-000171); searched 06/11/2026</x:t>
        </x:is>
      </x:c>
      <x:c r="L568" s="565" t="n"/>
      <x:c r="M568" s="565" t="n"/>
      <x:c r="N568" s="565" t="n"/>
      <x:c r="O568" s="565" t="n"/>
      <x:c r="P568" s="565" t="n"/>
      <x:c r="Q568" s="565" t="n"/>
      <x:c r="R568" s="565" t="n"/>
      <x:c r="S568" s="613" t="n"/>
      <x:c r="T568" s="565" t="n"/>
      <x:c r="U568" s="613" t="n"/>
      <x:c r="V568" s="565" t="n"/>
      <x:c r="W568" s="565" t="n"/>
      <x:c r="X568" s="565" t="n"/>
      <x:c r="Y568" s="565" t="n"/>
      <x:c r="Z568" s="565" t="n"/>
    </x:row>
    <x:row r="569">
      <x:c r="A569" s="527" t="inlineStr">
        <x:is>
          <x:t xml:space="preserve">1946-001487</x:t>
        </x:is>
      </x:c>
      <x:c r="B569" s="527" t="n"/>
      <x:c r="C569" s="527" t="inlineStr">
        <x:is>
          <x:t xml:space="preserve">Oil and Gas Lease</x:t>
        </x:is>
      </x:c>
      <x:c r="D569" s="527" t="inlineStr">
        <x:is>
          <x:t xml:space="preserve">OGL011/0083</x:t>
        </x:is>
      </x:c>
      <x:c r="E569" s="529" t="inlineStr">
        <x:is>
          <x:t xml:space="preserve">02/27/1946</x:t>
        </x:is>
      </x:c>
      <x:c r="F569" s="529" t="n">
        <x:v>16860</x:v>
      </x:c>
      <x:c r="G569" s="527" t="inlineStr">
        <x:is>
          <x:t xml:space="preserve">Lee Aulbert,
Mollie Aulbert</x:t>
        </x:is>
      </x:c>
      <x:c r="H569" s="527" t="inlineStr">
        <x:is>
          <x:t xml:space="preserve">Tom R. Johnson Jr.</x:t>
        </x:is>
      </x:c>
      <x:c r="I569" s="527" t="inlineStr">
        <x:is>
          <x:t xml:space="preserve">31-12N-24W</x:t>
        </x:is>
      </x:c>
      <x:c r="J569" s="527" t="inlineStr">
        <x:is>
          <x:t xml:space="preserve">Leasehold / WI</x:t>
        </x:is>
      </x:c>
      <x:c r="K569" s="527" t="inlineStr">
        <x:is>
          <x:t xml:space="preserve">OKCountyRecords official index, Roger Mills County (instrument 1946-001487); searched 06/11/2026</x:t>
        </x:is>
      </x:c>
      <x:c r="L569" s="565" t="n"/>
      <x:c r="M569" s="565" t="n"/>
      <x:c r="N569" s="565" t="n"/>
      <x:c r="O569" s="565" t="n"/>
      <x:c r="P569" s="565" t="n"/>
      <x:c r="Q569" s="565" t="n"/>
      <x:c r="R569" s="565" t="n"/>
      <x:c r="S569" s="613" t="n"/>
      <x:c r="T569" s="565" t="n"/>
      <x:c r="U569" s="613" t="n"/>
      <x:c r="V569" s="565" t="n"/>
      <x:c r="W569" s="565" t="n"/>
      <x:c r="X569" s="565" t="n"/>
      <x:c r="Y569" s="565" t="n"/>
      <x:c r="Z569" s="565" t="n"/>
    </x:row>
    <x:row r="570">
      <x:c r="A570" s="527" t="inlineStr">
        <x:is>
          <x:t xml:space="preserve">1946-001492</x:t>
        </x:is>
      </x:c>
      <x:c r="B570" s="527" t="n"/>
      <x:c r="C570" s="527" t="inlineStr">
        <x:is>
          <x:t xml:space="preserve">Oil and Gas Lease</x:t>
        </x:is>
      </x:c>
      <x:c r="D570" s="527" t="inlineStr">
        <x:is>
          <x:t xml:space="preserve">OGL011/0088</x:t>
        </x:is>
      </x:c>
      <x:c r="E570" s="529" t="inlineStr">
        <x:is>
          <x:t xml:space="preserve">02/27/1946</x:t>
        </x:is>
      </x:c>
      <x:c r="F570" s="529" t="n">
        <x:v>16860</x:v>
      </x:c>
      <x:c r="G570" s="527" t="inlineStr">
        <x:is>
          <x:t xml:space="preserve">Eula Bain,
William C. Bain</x:t>
        </x:is>
      </x:c>
      <x:c r="H570" s="527" t="inlineStr">
        <x:is>
          <x:t xml:space="preserve">O. C. Robinson</x:t>
        </x:is>
      </x:c>
      <x:c r="I570" s="527" t="inlineStr">
        <x:is>
          <x:t xml:space="preserve">31-12N-24W</x:t>
        </x:is>
      </x:c>
      <x:c r="J570" s="527" t="inlineStr">
        <x:is>
          <x:t xml:space="preserve">Leasehold / WI</x:t>
        </x:is>
      </x:c>
      <x:c r="K570" s="527" t="inlineStr">
        <x:is>
          <x:t xml:space="preserve">OKCountyRecords official index, Roger Mills County (instrument 1946-001492); searched 06/11/2026</x:t>
        </x:is>
      </x:c>
      <x:c r="L570" s="565" t="n"/>
      <x:c r="M570" s="565" t="n"/>
      <x:c r="N570" s="565" t="n"/>
      <x:c r="O570" s="565" t="n"/>
      <x:c r="P570" s="565" t="n"/>
      <x:c r="Q570" s="565" t="n"/>
      <x:c r="R570" s="565" t="n"/>
      <x:c r="S570" s="613" t="n"/>
      <x:c r="T570" s="565" t="n"/>
      <x:c r="U570" s="613" t="n"/>
      <x:c r="V570" s="565" t="n"/>
      <x:c r="W570" s="565" t="n"/>
      <x:c r="X570" s="565" t="n"/>
      <x:c r="Y570" s="565" t="n"/>
      <x:c r="Z570" s="565" t="n"/>
    </x:row>
    <x:row r="571">
      <x:c r="A571" s="527" t="inlineStr">
        <x:is>
          <x:t xml:space="preserve">1946-001409</x:t>
        </x:is>
      </x:c>
      <x:c r="B571" s="527" t="n"/>
      <x:c r="C571" s="527" t="inlineStr">
        <x:is>
          <x:t xml:space="preserve">Oil and Gas Lease</x:t>
        </x:is>
      </x:c>
      <x:c r="D571" s="527" t="inlineStr">
        <x:is>
          <x:t xml:space="preserve">OGL010/0262</x:t>
        </x:is>
      </x:c>
      <x:c r="E571" s="529" t="inlineStr">
        <x:is>
          <x:t xml:space="preserve">06/24/1946</x:t>
        </x:is>
      </x:c>
      <x:c r="F571" s="529" t="n">
        <x:v>16977</x:v>
      </x:c>
      <x:c r="G571" s="527" t="inlineStr">
        <x:is>
          <x:t xml:space="preserve">Ethel Carter,
H. M. Carter</x:t>
        </x:is>
      </x:c>
      <x:c r="H571" s="527" t="inlineStr">
        <x:is>
          <x:t xml:space="preserve">Atlantic Refining Company</x:t>
        </x:is>
      </x:c>
      <x:c r="I571" s="527" t="inlineStr">
        <x:is>
          <x:t xml:space="preserve">31-12N-24W (AOL)</x:t>
        </x:is>
      </x:c>
      <x:c r="J571" s="527" t="inlineStr">
        <x:is>
          <x:t xml:space="preserve">Leasehold / WI</x:t>
        </x:is>
      </x:c>
      <x:c r="K571" s="527" t="inlineStr">
        <x:is>
          <x:t xml:space="preserve">OKCountyRecords official index, Roger Mills County (instrument 1946-001409); searched 06/11/2026</x:t>
        </x:is>
      </x:c>
      <x:c r="L571" s="565" t="n"/>
      <x:c r="M571" s="565" t="n"/>
      <x:c r="N571" s="565" t="n"/>
      <x:c r="O571" s="565" t="n"/>
      <x:c r="P571" s="565" t="n"/>
      <x:c r="Q571" s="565" t="n"/>
      <x:c r="R571" s="565" t="n"/>
      <x:c r="S571" s="613" t="n"/>
      <x:c r="T571" s="565" t="n"/>
      <x:c r="U571" s="613" t="n"/>
      <x:c r="V571" s="565" t="n"/>
      <x:c r="W571" s="565" t="n"/>
      <x:c r="X571" s="565" t="n"/>
      <x:c r="Y571" s="565" t="n"/>
      <x:c r="Z571" s="565" t="n"/>
    </x:row>
    <x:row r="572">
      <x:c r="A572" s="527" t="inlineStr">
        <x:is>
          <x:t xml:space="preserve">1947-001785</x:t>
        </x:is>
      </x:c>
      <x:c r="B572" s="527" t="n"/>
      <x:c r="C572" s="527" t="inlineStr">
        <x:is>
          <x:t xml:space="preserve">Release</x:t>
        </x:is>
      </x:c>
      <x:c r="D572" s="527" t="inlineStr">
        <x:is>
          <x:t xml:space="preserve">REL021/0563</x:t>
        </x:is>
      </x:c>
      <x:c r="E572" s="529" t="inlineStr">
        <x:is>
          <x:t xml:space="preserve">01/31/1947</x:t>
        </x:is>
      </x:c>
      <x:c r="F572" s="529" t="n">
        <x:v>17198</x:v>
      </x:c>
      <x:c r="G572" s="527" t="inlineStr">
        <x:is>
          <x:t xml:space="preserve">Roy M. Johnson</x:t>
        </x:is>
      </x:c>
      <x:c r="H572" s="527" t="inlineStr">
        <x:is>
          <x:t xml:space="preserve">Eula Bain,
W. M. Bain</x:t>
        </x:is>
      </x:c>
      <x:c r="I572" s="527" t="inlineStr">
        <x:is>
          <x:t xml:space="preserve">31-12N-24W</x:t>
        </x:is>
      </x:c>
      <x:c r="J572" s="527" t="inlineStr">
        <x:is>
          <x:t xml:space="preserve">Leasehold / WI</x:t>
        </x:is>
      </x:c>
      <x:c r="K572" s="527" t="inlineStr">
        <x:is>
          <x:t xml:space="preserve">OKCountyRecords official index, Roger Mills County (instrument 1947-001785); searched 06/11/2026</x:t>
        </x:is>
      </x:c>
      <x:c r="L572" s="565" t="n"/>
      <x:c r="M572" s="565" t="n"/>
      <x:c r="N572" s="565" t="n"/>
      <x:c r="O572" s="565" t="n"/>
      <x:c r="P572" s="565" t="n"/>
      <x:c r="Q572" s="565" t="n"/>
      <x:c r="R572" s="565" t="n"/>
      <x:c r="S572" s="613" t="n"/>
      <x:c r="T572" s="565" t="n"/>
      <x:c r="U572" s="613" t="n"/>
      <x:c r="V572" s="565" t="n"/>
      <x:c r="W572" s="565" t="n"/>
      <x:c r="X572" s="565" t="n"/>
      <x:c r="Y572" s="565" t="n"/>
      <x:c r="Z572" s="565" t="n"/>
    </x:row>
    <x:row r="573">
      <x:c r="A573" s="527" t="inlineStr">
        <x:is>
          <x:t xml:space="preserve">1947-001286</x:t>
        </x:is>
      </x:c>
      <x:c r="B573" s="527" t="n"/>
      <x:c r="C573" s="527" t="inlineStr">
        <x:is>
          <x:t xml:space="preserve">Oil and Gas Lease</x:t>
        </x:is>
      </x:c>
      <x:c r="D573" s="527" t="inlineStr">
        <x:is>
          <x:t xml:space="preserve">OGL010/0457</x:t>
        </x:is>
      </x:c>
      <x:c r="E573" s="529" t="inlineStr">
        <x:is>
          <x:t xml:space="preserve">12/03/1947</x:t>
        </x:is>
      </x:c>
      <x:c r="F573" s="529" t="n">
        <x:v>17504</x:v>
      </x:c>
      <x:c r="G573" s="527" t="inlineStr">
        <x:is>
          <x:t xml:space="preserve">J. B. Campbell,
Lillie A. Campbell,
Lillie A. Hambrook</x:t>
        </x:is>
      </x:c>
      <x:c r="H573" s="527" t="inlineStr">
        <x:is>
          <x:t xml:space="preserve">C. L. Moss</x:t>
        </x:is>
      </x:c>
      <x:c r="I573" s="527" t="inlineStr">
        <x:is>
          <x:t xml:space="preserve">31-12N-24W</x:t>
        </x:is>
      </x:c>
      <x:c r="J573" s="527" t="inlineStr">
        <x:is>
          <x:t xml:space="preserve">Leasehold / WI</x:t>
        </x:is>
      </x:c>
      <x:c r="K573" s="527" t="inlineStr">
        <x:is>
          <x:t xml:space="preserve">OKCountyRecords official index, Roger Mills County (instrument 1947-001286); searched 06/11/2026</x:t>
        </x:is>
      </x:c>
      <x:c r="L573" s="565" t="n"/>
      <x:c r="M573" s="565" t="n"/>
      <x:c r="N573" s="565" t="n"/>
      <x:c r="O573" s="565" t="n"/>
      <x:c r="P573" s="565" t="n"/>
      <x:c r="Q573" s="565" t="n"/>
      <x:c r="R573" s="565" t="n"/>
      <x:c r="S573" s="613" t="n"/>
      <x:c r="T573" s="565" t="n"/>
      <x:c r="U573" s="613" t="n"/>
      <x:c r="V573" s="565" t="n"/>
      <x:c r="W573" s="565" t="n"/>
      <x:c r="X573" s="565" t="n"/>
      <x:c r="Y573" s="565" t="n"/>
      <x:c r="Z573" s="565" t="n"/>
    </x:row>
    <x:row r="574">
      <x:c r="A574" s="527" t="inlineStr">
        <x:is>
          <x:t xml:space="preserve">1948-002010</x:t>
        </x:is>
      </x:c>
      <x:c r="B574" s="527" t="n"/>
      <x:c r="C574" s="527" t="inlineStr">
        <x:is>
          <x:t xml:space="preserve">Oil and Gas Lease</x:t>
        </x:is>
      </x:c>
      <x:c r="D574" s="527" t="inlineStr">
        <x:is>
          <x:t xml:space="preserve">OGL011/0337</x:t>
        </x:is>
      </x:c>
      <x:c r="E574" s="529" t="inlineStr">
        <x:is>
          <x:t xml:space="preserve">01/17/1948</x:t>
        </x:is>
      </x:c>
      <x:c r="F574" s="529" t="n">
        <x:v>17549</x:v>
      </x:c>
      <x:c r="G574" s="527" t="inlineStr">
        <x:is>
          <x:t xml:space="preserve">J. E. Campbell,
Lillie A. Campbell</x:t>
        </x:is>
      </x:c>
      <x:c r="H574" s="527" t="inlineStr">
        <x:is>
          <x:t xml:space="preserve">C. L. Moss</x:t>
        </x:is>
      </x:c>
      <x:c r="I574" s="527" t="inlineStr">
        <x:is>
          <x:t xml:space="preserve">31-12N-24W</x:t>
        </x:is>
      </x:c>
      <x:c r="J574" s="527" t="inlineStr">
        <x:is>
          <x:t xml:space="preserve">Leasehold / WI</x:t>
        </x:is>
      </x:c>
      <x:c r="K574" s="527" t="inlineStr">
        <x:is>
          <x:t xml:space="preserve">OKCountyRecords official index, Roger Mills County (instrument 1948-002010); searched 06/11/2026</x:t>
        </x:is>
      </x:c>
      <x:c r="L574" s="565" t="n"/>
      <x:c r="M574" s="565" t="n"/>
      <x:c r="N574" s="565" t="n"/>
      <x:c r="O574" s="565" t="n"/>
      <x:c r="P574" s="565" t="n"/>
      <x:c r="Q574" s="565" t="n"/>
      <x:c r="R574" s="565" t="n"/>
      <x:c r="S574" s="613" t="n"/>
      <x:c r="T574" s="565" t="n"/>
      <x:c r="U574" s="613" t="n"/>
      <x:c r="V574" s="565" t="n"/>
      <x:c r="W574" s="565" t="n"/>
      <x:c r="X574" s="565" t="n"/>
      <x:c r="Y574" s="565" t="n"/>
      <x:c r="Z574" s="565" t="n"/>
    </x:row>
    <x:row r="575">
      <x:c r="A575" s="527" t="inlineStr">
        <x:is>
          <x:t xml:space="preserve">1948-000087</x:t>
        </x:is>
      </x:c>
      <x:c r="B575" s="527" t="n"/>
      <x:c r="C575" s="527" t="inlineStr">
        <x:is>
          <x:t xml:space="preserve">Assignment</x:t>
        </x:is>
      </x:c>
      <x:c r="D575" s="527" t="inlineStr">
        <x:is>
          <x:t xml:space="preserve">ASN014/0269</x:t>
        </x:is>
      </x:c>
      <x:c r="E575" s="529" t="inlineStr">
        <x:is>
          <x:t xml:space="preserve">01/22/1948</x:t>
        </x:is>
      </x:c>
      <x:c r="F575" s="529" t="n">
        <x:v>17554</x:v>
      </x:c>
      <x:c r="G575" s="527" t="inlineStr">
        <x:is>
          <x:t xml:space="preserve">J. B. Campbell,
Lillie A. Campbell,
Lillie A. Hambrook</x:t>
        </x:is>
      </x:c>
      <x:c r="H575" s="527" t="inlineStr">
        <x:is>
          <x:t xml:space="preserve">Commissioners of the Land Office</x:t>
        </x:is>
      </x:c>
      <x:c r="I575" s="527" t="inlineStr">
        <x:is>
          <x:t xml:space="preserve">31-12N-24W</x:t>
        </x:is>
      </x:c>
      <x:c r="J575" s="527" t="inlineStr">
        <x:is>
          <x:t xml:space="preserve">Leasehold / WI</x:t>
        </x:is>
      </x:c>
      <x:c r="K575" s="527" t="inlineStr">
        <x:is>
          <x:t xml:space="preserve">OKCountyRecords official index, Roger Mills County (instrument 1948-000087); searched 06/11/2026</x:t>
        </x:is>
      </x:c>
      <x:c r="L575" s="565" t="n"/>
      <x:c r="M575" s="565" t="n"/>
      <x:c r="N575" s="565" t="n"/>
      <x:c r="O575" s="565" t="n"/>
      <x:c r="P575" s="565" t="n"/>
      <x:c r="Q575" s="565" t="n"/>
      <x:c r="R575" s="565" t="n"/>
      <x:c r="S575" s="613" t="n"/>
      <x:c r="T575" s="565" t="n"/>
      <x:c r="U575" s="613" t="n"/>
      <x:c r="V575" s="565" t="n"/>
      <x:c r="W575" s="565" t="n"/>
      <x:c r="X575" s="565" t="n"/>
      <x:c r="Y575" s="565" t="n"/>
      <x:c r="Z575" s="565" t="n"/>
    </x:row>
    <x:row r="576">
      <x:c r="A576" s="527" t="inlineStr">
        <x:is>
          <x:t xml:space="preserve">1948-002054</x:t>
        </x:is>
      </x:c>
      <x:c r="B576" s="527" t="n"/>
      <x:c r="C576" s="527" t="inlineStr">
        <x:is>
          <x:t xml:space="preserve">Oil and Gas Lease</x:t>
        </x:is>
      </x:c>
      <x:c r="D576" s="527" t="inlineStr">
        <x:is>
          <x:t xml:space="preserve">OGL011/0498</x:t>
        </x:is>
      </x:c>
      <x:c r="E576" s="529" t="inlineStr">
        <x:is>
          <x:t xml:space="preserve">02/03/1948</x:t>
        </x:is>
      </x:c>
      <x:c r="F576" s="529" t="n">
        <x:v>17566</x:v>
      </x:c>
      <x:c r="G576" s="527" t="inlineStr">
        <x:is>
          <x:t xml:space="preserve">Gladys Priest</x:t>
        </x:is>
      </x:c>
      <x:c r="H576" s="527" t="inlineStr">
        <x:is>
          <x:t xml:space="preserve">Tom R. Johnson</x:t>
        </x:is>
      </x:c>
      <x:c r="I576" s="527" t="inlineStr">
        <x:is>
          <x:t xml:space="preserve">31-12N-24W</x:t>
        </x:is>
      </x:c>
      <x:c r="J576" s="527" t="inlineStr">
        <x:is>
          <x:t xml:space="preserve">Leasehold / WI</x:t>
        </x:is>
      </x:c>
      <x:c r="K576" s="527" t="inlineStr">
        <x:is>
          <x:t xml:space="preserve">OKCountyRecords official index, Roger Mills County (instrument 1948-002054); searched 06/11/2026</x:t>
        </x:is>
      </x:c>
      <x:c r="L576" s="565" t="n"/>
      <x:c r="M576" s="565" t="n"/>
      <x:c r="N576" s="565" t="n"/>
      <x:c r="O576" s="565" t="n"/>
      <x:c r="P576" s="565" t="n"/>
      <x:c r="Q576" s="565" t="n"/>
      <x:c r="R576" s="565" t="n"/>
      <x:c r="S576" s="613" t="n"/>
      <x:c r="T576" s="565" t="n"/>
      <x:c r="U576" s="613" t="n"/>
      <x:c r="V576" s="565" t="n"/>
      <x:c r="W576" s="565" t="n"/>
      <x:c r="X576" s="565" t="n"/>
      <x:c r="Y576" s="565" t="n"/>
      <x:c r="Z576" s="565" t="n"/>
    </x:row>
    <x:row r="577">
      <x:c r="A577" s="527" t="inlineStr">
        <x:is>
          <x:t xml:space="preserve">1948-000106</x:t>
        </x:is>
      </x:c>
      <x:c r="B577" s="527" t="n"/>
      <x:c r="C577" s="527" t="inlineStr">
        <x:is>
          <x:t xml:space="preserve">Assignment</x:t>
        </x:is>
      </x:c>
      <x:c r="D577" s="527" t="inlineStr">
        <x:is>
          <x:t xml:space="preserve">ASN014/0298</x:t>
        </x:is>
      </x:c>
      <x:c r="E577" s="529" t="inlineStr">
        <x:is>
          <x:t xml:space="preserve">02/17/1948</x:t>
        </x:is>
      </x:c>
      <x:c r="F577" s="529" t="n">
        <x:v>17580</x:v>
      </x:c>
      <x:c r="G577" s="527" t="inlineStr">
        <x:is>
          <x:t xml:space="preserve">C. L. Moss,
Rilda O. Moss</x:t>
        </x:is>
      </x:c>
      <x:c r="H577" s="527" t="inlineStr">
        <x:is>
          <x:t xml:space="preserve">Superior Oil Company</x:t>
        </x:is>
      </x:c>
      <x:c r="I577" s="527" t="inlineStr">
        <x:is>
          <x:t xml:space="preserve">31-12N-24W</x:t>
        </x:is>
      </x:c>
      <x:c r="J577" s="527" t="inlineStr">
        <x:is>
          <x:t xml:space="preserve">Leasehold / WI</x:t>
        </x:is>
      </x:c>
      <x:c r="K577" s="527" t="inlineStr">
        <x:is>
          <x:t xml:space="preserve">OKCountyRecords official index, Roger Mills County (instrument 1948-000106); searched 06/11/2026</x:t>
        </x:is>
      </x:c>
      <x:c r="L577" s="565" t="n"/>
      <x:c r="M577" s="565" t="n"/>
      <x:c r="N577" s="565" t="n"/>
      <x:c r="O577" s="565" t="n"/>
      <x:c r="P577" s="565" t="n"/>
      <x:c r="Q577" s="565" t="n"/>
      <x:c r="R577" s="565" t="n"/>
      <x:c r="S577" s="613" t="n"/>
      <x:c r="T577" s="565" t="n"/>
      <x:c r="U577" s="613" t="n"/>
      <x:c r="V577" s="565" t="n"/>
      <x:c r="W577" s="565" t="n"/>
      <x:c r="X577" s="565" t="n"/>
      <x:c r="Y577" s="565" t="n"/>
      <x:c r="Z577" s="565" t="n"/>
    </x:row>
    <x:row r="578">
      <x:c r="A578" s="527" t="inlineStr">
        <x:is>
          <x:t xml:space="preserve">1949-002129</x:t>
        </x:is>
      </x:c>
      <x:c r="B578" s="527" t="n"/>
      <x:c r="C578" s="527" t="inlineStr">
        <x:is>
          <x:t xml:space="preserve">Certificate</x:t>
        </x:is>
      </x:c>
      <x:c r="D578" s="527" t="inlineStr">
        <x:is>
          <x:t xml:space="preserve">MIS025/0030</x:t>
        </x:is>
      </x:c>
      <x:c r="E578" s="529" t="inlineStr">
        <x:is>
          <x:t xml:space="preserve">03/29/1949</x:t>
        </x:is>
      </x:c>
      <x:c r="F578" s="529" t="n">
        <x:v>17986</x:v>
      </x:c>
      <x:c r="G578" s="527" t="inlineStr">
        <x:is>
          <x:t xml:space="preserve">Corporation Commission of Oklahoma</x:t>
        </x:is>
      </x:c>
      <x:c r="H578" s="527" t="inlineStr">
        <x:is>
          <x:t xml:space="preserve">The Public</x:t>
        </x:is>
      </x:c>
      <x:c r="I578" s="527" t="inlineStr">
        <x:is>
          <x:t xml:space="preserve">31-12N-24W (AOL)</x:t>
        </x:is>
      </x:c>
      <x:c r="J578" s="527" t="inlineStr">
        <x:is>
          <x:t xml:space="preserve">See instrument</x:t>
        </x:is>
      </x:c>
      <x:c r="K578" s="527" t="inlineStr">
        <x:is>
          <x:t xml:space="preserve">OKCountyRecords official index, Roger Mills County (instrument 1949-002129); searched 06/11/2026</x:t>
        </x:is>
      </x:c>
      <x:c r="L578" s="565" t="n"/>
      <x:c r="M578" s="565" t="n"/>
      <x:c r="N578" s="565" t="n"/>
      <x:c r="O578" s="565" t="n"/>
      <x:c r="P578" s="565" t="n"/>
      <x:c r="Q578" s="565" t="n"/>
      <x:c r="R578" s="565" t="n"/>
      <x:c r="S578" s="613" t="n"/>
      <x:c r="T578" s="565" t="n"/>
      <x:c r="U578" s="613" t="n"/>
      <x:c r="V578" s="565" t="n"/>
      <x:c r="W578" s="565" t="n"/>
      <x:c r="X578" s="565" t="n"/>
      <x:c r="Y578" s="565" t="n"/>
      <x:c r="Z578" s="565" t="n"/>
    </x:row>
    <x:row r="579">
      <x:c r="A579" s="527" t="inlineStr">
        <x:is>
          <x:t xml:space="preserve">1949-002138</x:t>
        </x:is>
      </x:c>
      <x:c r="B579" s="527" t="n"/>
      <x:c r="C579" s="527" t="inlineStr">
        <x:is>
          <x:t xml:space="preserve">Contract</x:t>
        </x:is>
      </x:c>
      <x:c r="D579" s="527" t="inlineStr">
        <x:is>
          <x:t xml:space="preserve">MIS025/0041</x:t>
        </x:is>
      </x:c>
      <x:c r="E579" s="529" t="inlineStr">
        <x:is>
          <x:t xml:space="preserve">04/03/1949</x:t>
        </x:is>
      </x:c>
      <x:c r="F579" s="529" t="n">
        <x:v>17991</x:v>
      </x:c>
      <x:c r="G579" s="527" t="inlineStr">
        <x:is>
          <x:t xml:space="preserve">Ethel Carter,
N. M. Carter</x:t>
        </x:is>
      </x:c>
      <x:c r="H579" s="527" t="inlineStr">
        <x:is>
          <x:t xml:space="preserve">Marvin G. Mitchell</x:t>
        </x:is>
      </x:c>
      <x:c r="I579" s="527" t="inlineStr">
        <x:is>
          <x:t xml:space="preserve">31-12N-24W (AOL)</x:t>
        </x:is>
      </x:c>
      <x:c r="J579" s="527" t="inlineStr">
        <x:is>
          <x:t xml:space="preserve">See instrument</x:t>
        </x:is>
      </x:c>
      <x:c r="K579" s="527" t="inlineStr">
        <x:is>
          <x:t xml:space="preserve">OKCountyRecords official index, Roger Mills County (instrument 1949-002138); searched 06/11/2026</x:t>
        </x:is>
      </x:c>
      <x:c r="L579" s="565" t="n"/>
      <x:c r="M579" s="565" t="n"/>
      <x:c r="N579" s="565" t="n"/>
      <x:c r="O579" s="565" t="n"/>
      <x:c r="P579" s="565" t="n"/>
      <x:c r="Q579" s="565" t="n"/>
      <x:c r="R579" s="565" t="n"/>
      <x:c r="S579" s="613" t="n"/>
      <x:c r="T579" s="565" t="n"/>
      <x:c r="U579" s="613" t="n"/>
      <x:c r="V579" s="565" t="n"/>
      <x:c r="W579" s="565" t="n"/>
      <x:c r="X579" s="565" t="n"/>
      <x:c r="Y579" s="565" t="n"/>
      <x:c r="Z579" s="565" t="n"/>
    </x:row>
    <x:row r="580">
      <x:c r="A580" s="527" t="inlineStr">
        <x:is>
          <x:t xml:space="preserve">1949-003597</x:t>
        </x:is>
      </x:c>
      <x:c r="B580" s="527" t="n"/>
      <x:c r="C580" s="527" t="inlineStr">
        <x:is>
          <x:t xml:space="preserve">Release</x:t>
        </x:is>
      </x:c>
      <x:c r="D580" s="527" t="inlineStr">
        <x:is>
          <x:t xml:space="preserve">REL024/0128</x:t>
        </x:is>
      </x:c>
      <x:c r="E580" s="529" t="inlineStr">
        <x:is>
          <x:t xml:space="preserve">04/07/1949</x:t>
        </x:is>
      </x:c>
      <x:c r="F580" s="529" t="n">
        <x:v>17995</x:v>
      </x:c>
      <x:c r="G580" s="527" t="inlineStr">
        <x:is>
          <x:t xml:space="preserve">Beckham County National Bank</x:t>
        </x:is>
      </x:c>
      <x:c r="H580" s="527" t="inlineStr">
        <x:is>
          <x:t xml:space="preserve">Mark Hambrook</x:t>
        </x:is>
      </x:c>
      <x:c r="I580" s="527" t="inlineStr">
        <x:is>
          <x:t xml:space="preserve">31-12N-24W</x:t>
        </x:is>
      </x:c>
      <x:c r="J580" s="527" t="inlineStr">
        <x:is>
          <x:t xml:space="preserve">Leasehold / WI</x:t>
        </x:is>
      </x:c>
      <x:c r="K580" s="527" t="inlineStr">
        <x:is>
          <x:t xml:space="preserve">OKCountyRecords official index, Roger Mills County (instrument 1949-003597); searched 06/11/2026</x:t>
        </x:is>
      </x:c>
      <x:c r="L580" s="565" t="n"/>
      <x:c r="M580" s="565" t="n"/>
      <x:c r="N580" s="565" t="n"/>
      <x:c r="O580" s="565" t="n"/>
      <x:c r="P580" s="565" t="n"/>
      <x:c r="Q580" s="565" t="n"/>
      <x:c r="R580" s="565" t="n"/>
      <x:c r="S580" s="613" t="n"/>
      <x:c r="T580" s="565" t="n"/>
      <x:c r="U580" s="613" t="n"/>
      <x:c r="V580" s="565" t="n"/>
      <x:c r="W580" s="565" t="n"/>
      <x:c r="X580" s="565" t="n"/>
      <x:c r="Y580" s="565" t="n"/>
      <x:c r="Z580" s="565" t="n"/>
    </x:row>
    <x:row r="581">
      <x:c r="A581" s="527" t="inlineStr">
        <x:is>
          <x:t xml:space="preserve">1949-002521</x:t>
        </x:is>
      </x:c>
      <x:c r="B581" s="527" t="n"/>
      <x:c r="C581" s="527" t="inlineStr">
        <x:is>
          <x:t xml:space="preserve">Oil and Gas Lease</x:t>
        </x:is>
      </x:c>
      <x:c r="D581" s="527" t="inlineStr">
        <x:is>
          <x:t xml:space="preserve">OGL012/0452</x:t>
        </x:is>
      </x:c>
      <x:c r="E581" s="529" t="inlineStr">
        <x:is>
          <x:t xml:space="preserve">04/27/1949</x:t>
        </x:is>
      </x:c>
      <x:c r="F581" s="529" t="n">
        <x:v>18015</x:v>
      </x:c>
      <x:c r="G581" s="527" t="inlineStr">
        <x:is>
          <x:t xml:space="preserve">Lee Aulbert,
Mollie Aulbert</x:t>
        </x:is>
      </x:c>
      <x:c r="H581" s="527" t="inlineStr">
        <x:is>
          <x:t xml:space="preserve">Tom R. Johnson Jr.</x:t>
        </x:is>
      </x:c>
      <x:c r="I581" s="527" t="inlineStr">
        <x:is>
          <x:t xml:space="preserve">31-12N-24W</x:t>
        </x:is>
      </x:c>
      <x:c r="J581" s="527" t="inlineStr">
        <x:is>
          <x:t xml:space="preserve">Leasehold / WI</x:t>
        </x:is>
      </x:c>
      <x:c r="K581" s="527" t="inlineStr">
        <x:is>
          <x:t xml:space="preserve">OKCountyRecords official index, Roger Mills County (instrument 1949-002521); searched 06/11/2026</x:t>
        </x:is>
      </x:c>
      <x:c r="L581" s="565" t="n"/>
      <x:c r="M581" s="565" t="n"/>
      <x:c r="N581" s="565" t="n"/>
      <x:c r="O581" s="565" t="n"/>
      <x:c r="P581" s="565" t="n"/>
      <x:c r="Q581" s="565" t="n"/>
      <x:c r="R581" s="565" t="n"/>
      <x:c r="S581" s="613" t="n"/>
      <x:c r="T581" s="565" t="n"/>
      <x:c r="U581" s="613" t="n"/>
      <x:c r="V581" s="565" t="n"/>
      <x:c r="W581" s="565" t="n"/>
      <x:c r="X581" s="565" t="n"/>
      <x:c r="Y581" s="565" t="n"/>
      <x:c r="Z581" s="565" t="n"/>
    </x:row>
    <x:row r="582">
      <x:c r="A582" s="527" t="inlineStr">
        <x:is>
          <x:t xml:space="preserve">1949-003605</x:t>
        </x:is>
      </x:c>
      <x:c r="B582" s="527" t="n"/>
      <x:c r="C582" s="527" t="inlineStr">
        <x:is>
          <x:t xml:space="preserve">Release</x:t>
        </x:is>
      </x:c>
      <x:c r="D582" s="527" t="inlineStr">
        <x:is>
          <x:t xml:space="preserve">REL024/0133</x:t>
        </x:is>
      </x:c>
      <x:c r="E582" s="529" t="inlineStr">
        <x:is>
          <x:t xml:space="preserve">04/27/1949</x:t>
        </x:is>
      </x:c>
      <x:c r="F582" s="529" t="n">
        <x:v>18015</x:v>
      </x:c>
      <x:c r="G582" s="527" t="inlineStr">
        <x:is>
          <x:t xml:space="preserve">Tom R. Johnson Jr.</x:t>
        </x:is>
      </x:c>
      <x:c r="H582" s="527" t="inlineStr">
        <x:is>
          <x:t xml:space="preserve">Lee Aulbert,
Mollie Aulbert</x:t>
        </x:is>
      </x:c>
      <x:c r="I582" s="527" t="inlineStr">
        <x:is>
          <x:t xml:space="preserve">31-12N-24W</x:t>
        </x:is>
      </x:c>
      <x:c r="J582" s="527" t="inlineStr">
        <x:is>
          <x:t xml:space="preserve">Leasehold / WI</x:t>
        </x:is>
      </x:c>
      <x:c r="K582" s="527" t="inlineStr">
        <x:is>
          <x:t xml:space="preserve">OKCountyRecords official index, Roger Mills County (instrument 1949-003605); searched 06/11/2026</x:t>
        </x:is>
      </x:c>
      <x:c r="L582" s="565" t="n"/>
      <x:c r="M582" s="565" t="n"/>
      <x:c r="N582" s="565" t="n"/>
      <x:c r="O582" s="565" t="n"/>
      <x:c r="P582" s="565" t="n"/>
      <x:c r="Q582" s="565" t="n"/>
      <x:c r="R582" s="565" t="n"/>
      <x:c r="S582" s="613" t="n"/>
      <x:c r="T582" s="565" t="n"/>
      <x:c r="U582" s="613" t="n"/>
      <x:c r="V582" s="565" t="n"/>
      <x:c r="W582" s="565" t="n"/>
      <x:c r="X582" s="565" t="n"/>
      <x:c r="Y582" s="565" t="n"/>
      <x:c r="Z582" s="565" t="n"/>
    </x:row>
    <x:row r="583">
      <x:c r="A583" s="527" t="inlineStr">
        <x:is>
          <x:t xml:space="preserve">1949-003394</x:t>
        </x:is>
      </x:c>
      <x:c r="B583" s="527" t="n"/>
      <x:c r="C583" s="527" t="inlineStr">
        <x:is>
          <x:t xml:space="preserve">Deed</x:t>
        </x:is>
      </x:c>
      <x:c r="D583" s="527" t="inlineStr">
        <x:is>
          <x:t xml:space="preserve">QCD005/0092</x:t>
        </x:is>
      </x:c>
      <x:c r="E583" s="529" t="inlineStr">
        <x:is>
          <x:t xml:space="preserve">07/05/1949</x:t>
        </x:is>
      </x:c>
      <x:c r="F583" s="529" t="n">
        <x:v>18084</x:v>
      </x:c>
      <x:c r="G583" s="527" t="inlineStr">
        <x:is>
          <x:t xml:space="preserve">A. H. Douglas</x:t>
        </x:is>
      </x:c>
      <x:c r="H583" s="527" t="inlineStr">
        <x:is>
          <x:t xml:space="preserve">Marvin G. Mitchell</x:t>
        </x:is>
      </x:c>
      <x:c r="I583" s="527" t="inlineStr">
        <x:is>
          <x:t xml:space="preserve">31-12N-24W</x:t>
        </x:is>
      </x:c>
      <x:c r="J583" s="527" t="inlineStr">
        <x:is>
          <x:t xml:space="preserve">Fee / as stated</x:t>
        </x:is>
      </x:c>
      <x:c r="K583" s="527" t="inlineStr">
        <x:is>
          <x:t xml:space="preserve">OKCountyRecords official index, Roger Mills County (instrument 1949-003394); searched 06/11/2026</x:t>
        </x:is>
      </x:c>
      <x:c r="L583" s="565" t="n"/>
      <x:c r="M583" s="565" t="n"/>
      <x:c r="N583" s="565" t="n"/>
      <x:c r="O583" s="565" t="n"/>
      <x:c r="P583" s="565" t="n"/>
      <x:c r="Q583" s="565" t="n"/>
      <x:c r="R583" s="565" t="n"/>
      <x:c r="S583" s="613" t="n"/>
      <x:c r="T583" s="565" t="n"/>
      <x:c r="U583" s="613" t="n"/>
      <x:c r="V583" s="565" t="n"/>
      <x:c r="W583" s="565" t="n"/>
      <x:c r="X583" s="565" t="n"/>
      <x:c r="Y583" s="565" t="n"/>
      <x:c r="Z583" s="565" t="n"/>
    </x:row>
    <x:row r="584">
      <x:c r="A584" s="527" t="inlineStr">
        <x:is>
          <x:t xml:space="preserve">1949-000809</x:t>
        </x:is>
      </x:c>
      <x:c r="B584" s="527" t="n"/>
      <x:c r="C584" s="527" t="inlineStr">
        <x:is>
          <x:t xml:space="preserve">Deed</x:t>
        </x:is>
      </x:c>
      <x:c r="D584" s="527" t="inlineStr">
        <x:is>
          <x:t xml:space="preserve">D00059/0246</x:t>
        </x:is>
      </x:c>
      <x:c r="E584" s="529" t="inlineStr">
        <x:is>
          <x:t xml:space="preserve">07/16/1949</x:t>
        </x:is>
      </x:c>
      <x:c r="F584" s="529" t="n">
        <x:v>18095</x:v>
      </x:c>
      <x:c r="G584" s="527" t="inlineStr">
        <x:is>
          <x:t xml:space="preserve">Lee Aulbert,
Mollie Aulbert</x:t>
        </x:is>
      </x:c>
      <x:c r="H584" s="527" t="inlineStr">
        <x:is>
          <x:t xml:space="preserve">Carrie Lou Mitchell,
Marvin G. Mitchell</x:t>
        </x:is>
      </x:c>
      <x:c r="I584" s="527" t="inlineStr">
        <x:is>
          <x:t xml:space="preserve">31-12N-24W</x:t>
        </x:is>
      </x:c>
      <x:c r="J584" s="527" t="inlineStr">
        <x:is>
          <x:t xml:space="preserve">Fee / as stated</x:t>
        </x:is>
      </x:c>
      <x:c r="K584" s="527" t="inlineStr">
        <x:is>
          <x:t xml:space="preserve">OKCountyRecords official index, Roger Mills County (instrument 1949-000809); searched 06/11/2026</x:t>
        </x:is>
      </x:c>
      <x:c r="L584" s="565" t="n"/>
      <x:c r="M584" s="565" t="n"/>
      <x:c r="N584" s="565" t="n"/>
      <x:c r="O584" s="565" t="n"/>
      <x:c r="P584" s="565" t="n"/>
      <x:c r="Q584" s="565" t="n"/>
      <x:c r="R584" s="565" t="n"/>
      <x:c r="S584" s="613" t="n"/>
      <x:c r="T584" s="565" t="n"/>
      <x:c r="U584" s="613" t="n"/>
      <x:c r="V584" s="565" t="n"/>
      <x:c r="W584" s="565" t="n"/>
      <x:c r="X584" s="565" t="n"/>
      <x:c r="Y584" s="565" t="n"/>
      <x:c r="Z584" s="565" t="n"/>
    </x:row>
    <x:row r="585">
      <x:c r="A585" s="527" t="inlineStr">
        <x:is>
          <x:t xml:space="preserve">1949-000814</x:t>
        </x:is>
      </x:c>
      <x:c r="B585" s="527" t="n"/>
      <x:c r="C585" s="527" t="inlineStr">
        <x:is>
          <x:t xml:space="preserve">Deed</x:t>
        </x:is>
      </x:c>
      <x:c r="D585" s="527" t="inlineStr">
        <x:is>
          <x:t xml:space="preserve">D00059/0251</x:t>
        </x:is>
      </x:c>
      <x:c r="E585" s="529" t="inlineStr">
        <x:is>
          <x:t xml:space="preserve">08/02/1949</x:t>
        </x:is>
      </x:c>
      <x:c r="F585" s="529" t="n">
        <x:v>18112</x:v>
      </x:c>
      <x:c r="G585" s="527" t="inlineStr">
        <x:is>
          <x:t xml:space="preserve">H. M. Carter,
Mrs Ethel Carter</x:t>
        </x:is>
      </x:c>
      <x:c r="H585" s="527" t="inlineStr">
        <x:is>
          <x:t xml:space="preserve">Carrie Lou Mitchell,
Marvin G. Mitchell</x:t>
        </x:is>
      </x:c>
      <x:c r="I585" s="527" t="inlineStr">
        <x:is>
          <x:t xml:space="preserve">31-12N-24W (AOL)</x:t>
        </x:is>
      </x:c>
      <x:c r="J585" s="527" t="inlineStr">
        <x:is>
          <x:t xml:space="preserve">Fee / as stated</x:t>
        </x:is>
      </x:c>
      <x:c r="K585" s="527" t="inlineStr">
        <x:is>
          <x:t xml:space="preserve">OKCountyRecords official index, Roger Mills County (instrument 1949-000814); searched 06/11/2026</x:t>
        </x:is>
      </x:c>
      <x:c r="L585" s="565" t="n"/>
      <x:c r="M585" s="565" t="n"/>
      <x:c r="N585" s="565" t="n"/>
      <x:c r="O585" s="565" t="n"/>
      <x:c r="P585" s="565" t="n"/>
      <x:c r="Q585" s="565" t="n"/>
      <x:c r="R585" s="565" t="n"/>
      <x:c r="S585" s="613" t="n"/>
      <x:c r="T585" s="565" t="n"/>
      <x:c r="U585" s="613" t="n"/>
      <x:c r="V585" s="565" t="n"/>
      <x:c r="W585" s="565" t="n"/>
      <x:c r="X585" s="565" t="n"/>
      <x:c r="Y585" s="565" t="n"/>
      <x:c r="Z585" s="565" t="n"/>
    </x:row>
    <x:row r="586">
      <x:c r="A586" s="527" t="inlineStr">
        <x:is>
          <x:t xml:space="preserve">1949-000505</x:t>
        </x:is>
      </x:c>
      <x:c r="B586" s="527" t="n"/>
      <x:c r="C586" s="527" t="inlineStr">
        <x:is>
          <x:t xml:space="preserve">Assignment</x:t>
        </x:is>
      </x:c>
      <x:c r="D586" s="527" t="inlineStr">
        <x:is>
          <x:t xml:space="preserve">ASN016/0312</x:t>
        </x:is>
      </x:c>
      <x:c r="E586" s="529" t="inlineStr">
        <x:is>
          <x:t xml:space="preserve">09/14/1949</x:t>
        </x:is>
      </x:c>
      <x:c r="F586" s="529" t="n">
        <x:v>18155</x:v>
      </x:c>
      <x:c r="G586" s="527" t="inlineStr">
        <x:is>
          <x:t xml:space="preserve">Maxlyn M. Johnson,
Tom R. Johnson</x:t>
        </x:is>
      </x:c>
      <x:c r="H586" s="527" t="inlineStr">
        <x:is>
          <x:t xml:space="preserve">Gulf Oil Corporation</x:t>
        </x:is>
      </x:c>
      <x:c r="I586" s="527" t="inlineStr">
        <x:is>
          <x:t xml:space="preserve">31-12N-24W</x:t>
        </x:is>
      </x:c>
      <x:c r="J586" s="527" t="inlineStr">
        <x:is>
          <x:t xml:space="preserve">Leasehold / WI</x:t>
        </x:is>
      </x:c>
      <x:c r="K586" s="527" t="inlineStr">
        <x:is>
          <x:t xml:space="preserve">OKCountyRecords official index, Roger Mills County (instrument 1949-000505); searched 06/11/2026</x:t>
        </x:is>
      </x:c>
      <x:c r="L586" s="565" t="n"/>
      <x:c r="M586" s="565" t="n"/>
      <x:c r="N586" s="565" t="n"/>
      <x:c r="O586" s="565" t="n"/>
      <x:c r="P586" s="565" t="n"/>
      <x:c r="Q586" s="565" t="n"/>
      <x:c r="R586" s="565" t="n"/>
      <x:c r="S586" s="613" t="n"/>
      <x:c r="T586" s="565" t="n"/>
      <x:c r="U586" s="613" t="n"/>
      <x:c r="V586" s="565" t="n"/>
      <x:c r="W586" s="565" t="n"/>
      <x:c r="X586" s="565" t="n"/>
      <x:c r="Y586" s="565" t="n"/>
      <x:c r="Z586" s="565" t="n"/>
    </x:row>
    <x:row r="587">
      <x:c r="A587" s="527" t="inlineStr">
        <x:is>
          <x:t xml:space="preserve">1949-000506</x:t>
        </x:is>
      </x:c>
      <x:c r="B587" s="527" t="n"/>
      <x:c r="C587" s="527" t="inlineStr">
        <x:is>
          <x:t xml:space="preserve">Assignment</x:t>
        </x:is>
      </x:c>
      <x:c r="D587" s="527" t="inlineStr">
        <x:is>
          <x:t xml:space="preserve">ASN016/0313</x:t>
        </x:is>
      </x:c>
      <x:c r="E587" s="529" t="inlineStr">
        <x:is>
          <x:t xml:space="preserve">09/14/1949</x:t>
        </x:is>
      </x:c>
      <x:c r="F587" s="529" t="n">
        <x:v>18155</x:v>
      </x:c>
      <x:c r="G587" s="527" t="inlineStr">
        <x:is>
          <x:t xml:space="preserve">Maxlyn M. Johnson,
Tom R. Johnson</x:t>
        </x:is>
      </x:c>
      <x:c r="H587" s="527" t="inlineStr">
        <x:is>
          <x:t xml:space="preserve">Gulf Oil Corporation</x:t>
        </x:is>
      </x:c>
      <x:c r="I587" s="527" t="inlineStr">
        <x:is>
          <x:t xml:space="preserve">31-12N-24W</x:t>
        </x:is>
      </x:c>
      <x:c r="J587" s="527" t="inlineStr">
        <x:is>
          <x:t xml:space="preserve">Leasehold / WI</x:t>
        </x:is>
      </x:c>
      <x:c r="K587" s="527" t="inlineStr">
        <x:is>
          <x:t xml:space="preserve">OKCountyRecords official index, Roger Mills County (instrument 1949-000506); searched 06/11/2026</x:t>
        </x:is>
      </x:c>
      <x:c r="L587" s="565" t="n"/>
      <x:c r="M587" s="565" t="n"/>
      <x:c r="N587" s="565" t="n"/>
      <x:c r="O587" s="565" t="n"/>
      <x:c r="P587" s="565" t="n"/>
      <x:c r="Q587" s="565" t="n"/>
      <x:c r="R587" s="565" t="n"/>
      <x:c r="S587" s="613" t="n"/>
      <x:c r="T587" s="565" t="n"/>
      <x:c r="U587" s="613" t="n"/>
      <x:c r="V587" s="565" t="n"/>
      <x:c r="W587" s="565" t="n"/>
      <x:c r="X587" s="565" t="n"/>
      <x:c r="Y587" s="565" t="n"/>
      <x:c r="Z587" s="565" t="n"/>
    </x:row>
    <x:row r="588">
      <x:c r="A588" s="527" t="inlineStr">
        <x:is>
          <x:t xml:space="preserve">1949-000111</x:t>
        </x:is>
      </x:c>
      <x:c r="B588" s="527" t="n"/>
      <x:c r="C588" s="527" t="inlineStr">
        <x:is>
          <x:t xml:space="preserve">Assignment</x:t>
        </x:is>
      </x:c>
      <x:c r="D588" s="527" t="inlineStr">
        <x:is>
          <x:t xml:space="preserve">ASN015/0149</x:t>
        </x:is>
      </x:c>
      <x:c r="E588" s="529" t="inlineStr">
        <x:is>
          <x:t xml:space="preserve">09/19/1949</x:t>
        </x:is>
      </x:c>
      <x:c r="F588" s="529" t="n">
        <x:v>18160</x:v>
      </x:c>
      <x:c r="G588" s="527" t="inlineStr">
        <x:is>
          <x:t xml:space="preserve">Eula Bain,
William C. Bain</x:t>
        </x:is>
      </x:c>
      <x:c r="H588" s="527" t="inlineStr">
        <x:is>
          <x:t xml:space="preserve">Commissioners of Land Office</x:t>
        </x:is>
      </x:c>
      <x:c r="I588" s="527" t="inlineStr">
        <x:is>
          <x:t xml:space="preserve">31-12N-24W</x:t>
        </x:is>
      </x:c>
      <x:c r="J588" s="527" t="inlineStr">
        <x:is>
          <x:t xml:space="preserve">Leasehold / WI</x:t>
        </x:is>
      </x:c>
      <x:c r="K588" s="527" t="inlineStr">
        <x:is>
          <x:t xml:space="preserve">OKCountyRecords official index, Roger Mills County (instrument 1949-000111); searched 06/11/2026</x:t>
        </x:is>
      </x:c>
      <x:c r="L588" s="565" t="n"/>
      <x:c r="M588" s="565" t="n"/>
      <x:c r="N588" s="565" t="n"/>
      <x:c r="O588" s="565" t="n"/>
      <x:c r="P588" s="565" t="n"/>
      <x:c r="Q588" s="565" t="n"/>
      <x:c r="R588" s="565" t="n"/>
      <x:c r="S588" s="613" t="n"/>
      <x:c r="T588" s="565" t="n"/>
      <x:c r="U588" s="613" t="n"/>
      <x:c r="V588" s="565" t="n"/>
      <x:c r="W588" s="565" t="n"/>
      <x:c r="X588" s="565" t="n"/>
      <x:c r="Y588" s="565" t="n"/>
      <x:c r="Z588" s="565" t="n"/>
    </x:row>
    <x:row r="589">
      <x:c r="A589" s="527" t="inlineStr">
        <x:is>
          <x:t xml:space="preserve">1949-000517</x:t>
        </x:is>
      </x:c>
      <x:c r="B589" s="527" t="n"/>
      <x:c r="C589" s="527" t="inlineStr">
        <x:is>
          <x:t xml:space="preserve">Assignment</x:t>
        </x:is>
      </x:c>
      <x:c r="D589" s="527" t="inlineStr">
        <x:is>
          <x:t xml:space="preserve">ASN016/0324</x:t>
        </x:is>
      </x:c>
      <x:c r="E589" s="529" t="inlineStr">
        <x:is>
          <x:t xml:space="preserve">09/19/1949</x:t>
        </x:is>
      </x:c>
      <x:c r="F589" s="529" t="n">
        <x:v>18160</x:v>
      </x:c>
      <x:c r="G589" s="527" t="inlineStr">
        <x:is>
          <x:t xml:space="preserve">Maxine P. Robinson,
O. C. Robinson</x:t>
        </x:is>
      </x:c>
      <x:c r="H589" s="527" t="inlineStr">
        <x:is>
          <x:t xml:space="preserve">Gulf Oil Corporation</x:t>
        </x:is>
      </x:c>
      <x:c r="I589" s="527" t="inlineStr">
        <x:is>
          <x:t xml:space="preserve">31-12N-24W</x:t>
        </x:is>
      </x:c>
      <x:c r="J589" s="527" t="inlineStr">
        <x:is>
          <x:t xml:space="preserve">Leasehold / WI</x:t>
        </x:is>
      </x:c>
      <x:c r="K589" s="527" t="inlineStr">
        <x:is>
          <x:t xml:space="preserve">OKCountyRecords official index, Roger Mills County (instrument 1949-000517); searched 06/11/2026</x:t>
        </x:is>
      </x:c>
      <x:c r="L589" s="565" t="n"/>
      <x:c r="M589" s="565" t="n"/>
      <x:c r="N589" s="565" t="n"/>
      <x:c r="O589" s="565" t="n"/>
      <x:c r="P589" s="565" t="n"/>
      <x:c r="Q589" s="565" t="n"/>
      <x:c r="R589" s="565" t="n"/>
      <x:c r="S589" s="613" t="n"/>
      <x:c r="T589" s="565" t="n"/>
      <x:c r="U589" s="613" t="n"/>
      <x:c r="V589" s="565" t="n"/>
      <x:c r="W589" s="565" t="n"/>
      <x:c r="X589" s="565" t="n"/>
      <x:c r="Y589" s="565" t="n"/>
      <x:c r="Z589" s="565" t="n"/>
    </x:row>
    <x:row r="590">
      <x:c r="A590" s="527" t="inlineStr">
        <x:is>
          <x:t xml:space="preserve">1949-003639</x:t>
        </x:is>
      </x:c>
      <x:c r="B590" s="527" t="n"/>
      <x:c r="C590" s="527" t="inlineStr">
        <x:is>
          <x:t xml:space="preserve">Release</x:t>
        </x:is>
      </x:c>
      <x:c r="D590" s="527" t="inlineStr">
        <x:is>
          <x:t xml:space="preserve">REL024/0150</x:t>
        </x:is>
      </x:c>
      <x:c r="E590" s="529" t="inlineStr">
        <x:is>
          <x:t xml:space="preserve">09/28/1949</x:t>
        </x:is>
      </x:c>
      <x:c r="F590" s="529" t="n">
        <x:v>18169</x:v>
      </x:c>
      <x:c r="G590" s="527" t="inlineStr">
        <x:is>
          <x:t xml:space="preserve">Roy M. Johnson</x:t>
        </x:is>
      </x:c>
      <x:c r="H590" s="527" t="inlineStr">
        <x:is>
          <x:t xml:space="preserve">Eula Bain,
William C. Bain</x:t>
        </x:is>
      </x:c>
      <x:c r="I590" s="527" t="inlineStr">
        <x:is>
          <x:t xml:space="preserve">31-12N-24W</x:t>
        </x:is>
      </x:c>
      <x:c r="J590" s="527" t="inlineStr">
        <x:is>
          <x:t xml:space="preserve">Leasehold / WI</x:t>
        </x:is>
      </x:c>
      <x:c r="K590" s="527" t="inlineStr">
        <x:is>
          <x:t xml:space="preserve">OKCountyRecords official index, Roger Mills County (instrument 1949-003639); searched 06/11/2026</x:t>
        </x:is>
      </x:c>
      <x:c r="L590" s="565" t="n"/>
      <x:c r="M590" s="565" t="n"/>
      <x:c r="N590" s="565" t="n"/>
      <x:c r="O590" s="565" t="n"/>
      <x:c r="P590" s="565" t="n"/>
      <x:c r="Q590" s="565" t="n"/>
      <x:c r="R590" s="565" t="n"/>
      <x:c r="S590" s="613" t="n"/>
      <x:c r="T590" s="565" t="n"/>
      <x:c r="U590" s="613" t="n"/>
      <x:c r="V590" s="565" t="n"/>
      <x:c r="W590" s="565" t="n"/>
      <x:c r="X590" s="565" t="n"/>
      <x:c r="Y590" s="565" t="n"/>
      <x:c r="Z590" s="565" t="n"/>
    </x:row>
    <x:row r="591">
      <x:c r="A591" s="527" t="inlineStr">
        <x:is>
          <x:t xml:space="preserve">1949-001867</x:t>
        </x:is>
      </x:c>
      <x:c r="B591" s="527" t="n"/>
      <x:c r="C591" s="527" t="inlineStr">
        <x:is>
          <x:t xml:space="preserve">Deed</x:t>
        </x:is>
      </x:c>
      <x:c r="D591" s="527" t="inlineStr">
        <x:is>
          <x:t xml:space="preserve">D00063/0097</x:t>
        </x:is>
      </x:c>
      <x:c r="E591" s="529" t="inlineStr">
        <x:is>
          <x:t xml:space="preserve">09/29/1949</x:t>
        </x:is>
      </x:c>
      <x:c r="F591" s="529" t="n">
        <x:v>18170</x:v>
      </x:c>
      <x:c r="G591" s="527" t="inlineStr">
        <x:is>
          <x:t xml:space="preserve">Ethel Carter,
H. M. Carter</x:t>
        </x:is>
      </x:c>
      <x:c r="H591" s="527" t="inlineStr">
        <x:is>
          <x:t xml:space="preserve">G. C. Mitchel,
Glenn D. Mitchel</x:t>
        </x:is>
      </x:c>
      <x:c r="I591" s="527" t="inlineStr">
        <x:is>
          <x:t xml:space="preserve">31-12N-24W (AOL)</x:t>
        </x:is>
      </x:c>
      <x:c r="J591" s="527" t="inlineStr">
        <x:is>
          <x:t xml:space="preserve">Fee / as stated</x:t>
        </x:is>
      </x:c>
      <x:c r="K591" s="527" t="inlineStr">
        <x:is>
          <x:t xml:space="preserve">OKCountyRecords official index, Roger Mills County (instrument 1949-001867); searched 06/11/2026</x:t>
        </x:is>
      </x:c>
      <x:c r="L591" s="565" t="n"/>
      <x:c r="M591" s="565" t="n"/>
      <x:c r="N591" s="565" t="n"/>
      <x:c r="O591" s="565" t="n"/>
      <x:c r="P591" s="565" t="n"/>
      <x:c r="Q591" s="565" t="n"/>
      <x:c r="R591" s="565" t="n"/>
      <x:c r="S591" s="613" t="n"/>
      <x:c r="T591" s="565" t="n"/>
      <x:c r="U591" s="613" t="n"/>
      <x:c r="V591" s="565" t="n"/>
      <x:c r="W591" s="565" t="n"/>
      <x:c r="X591" s="565" t="n"/>
      <x:c r="Y591" s="565" t="n"/>
      <x:c r="Z591" s="565" t="n"/>
    </x:row>
    <x:row r="592">
      <x:c r="A592" s="527" t="inlineStr">
        <x:is>
          <x:t xml:space="preserve">1950-001326</x:t>
        </x:is>
      </x:c>
      <x:c r="B592" s="527" t="n"/>
      <x:c r="C592" s="527" t="inlineStr">
        <x:is>
          <x:t xml:space="preserve">Miscellaneous</x:t>
        </x:is>
      </x:c>
      <x:c r="D592" s="527" t="inlineStr">
        <x:is>
          <x:t xml:space="preserve">MIS025/0335</x:t>
        </x:is>
      </x:c>
      <x:c r="E592" s="529" t="inlineStr">
        <x:is>
          <x:t xml:space="preserve">02/27/1950</x:t>
        </x:is>
      </x:c>
      <x:c r="F592" s="529" t="n">
        <x:v>18321</x:v>
      </x:c>
      <x:c r="G592" s="527" t="inlineStr">
        <x:is>
          <x:t xml:space="preserve">Carrie Lou Mitchell,
Marvin G. Mitchell</x:t>
        </x:is>
      </x:c>
      <x:c r="H592" s="527" t="inlineStr">
        <x:is>
          <x:t xml:space="preserve">Gulf Oil Corp</x:t>
        </x:is>
      </x:c>
      <x:c r="I592" s="527" t="inlineStr">
        <x:is>
          <x:t xml:space="preserve">31-12N-24W</x:t>
        </x:is>
      </x:c>
      <x:c r="J592" s="527" t="inlineStr">
        <x:is>
          <x:t xml:space="preserve">See instrument</x:t>
        </x:is>
      </x:c>
      <x:c r="K592" s="527" t="inlineStr">
        <x:is>
          <x:t xml:space="preserve">OKCountyRecords official index, Roger Mills County (instrument 1950-001326); searched 06/11/2026</x:t>
        </x:is>
      </x:c>
      <x:c r="L592" s="565" t="n"/>
      <x:c r="M592" s="565" t="n"/>
      <x:c r="N592" s="565" t="n"/>
      <x:c r="O592" s="565" t="n"/>
      <x:c r="P592" s="565" t="n"/>
      <x:c r="Q592" s="565" t="n"/>
      <x:c r="R592" s="565" t="n"/>
      <x:c r="S592" s="613" t="n"/>
      <x:c r="T592" s="565" t="n"/>
      <x:c r="U592" s="613" t="n"/>
      <x:c r="V592" s="565" t="n"/>
      <x:c r="W592" s="565" t="n"/>
      <x:c r="X592" s="565" t="n"/>
      <x:c r="Y592" s="565" t="n"/>
      <x:c r="Z592" s="565" t="n"/>
    </x:row>
    <x:row r="593">
      <x:c r="A593" s="527" t="inlineStr">
        <x:is>
          <x:t xml:space="preserve">1950-000383</x:t>
        </x:is>
      </x:c>
      <x:c r="B593" s="527" t="n"/>
      <x:c r="C593" s="527" t="inlineStr">
        <x:is>
          <x:t xml:space="preserve">Deed</x:t>
        </x:is>
      </x:c>
      <x:c r="D593" s="527" t="inlineStr">
        <x:is>
          <x:t xml:space="preserve">D00059/0410</x:t>
        </x:is>
      </x:c>
      <x:c r="E593" s="529" t="inlineStr">
        <x:is>
          <x:t xml:space="preserve">06/06/1950</x:t>
        </x:is>
      </x:c>
      <x:c r="F593" s="529" t="n">
        <x:v>18420</x:v>
      </x:c>
      <x:c r="G593" s="527" t="inlineStr">
        <x:is>
          <x:t xml:space="preserve">Ethel Carter,
H. M. Carter</x:t>
        </x:is>
      </x:c>
      <x:c r="H593" s="527" t="inlineStr">
        <x:is>
          <x:t xml:space="preserve">Carrie Lou Mitchell,
Marvin G. Mitchell</x:t>
        </x:is>
      </x:c>
      <x:c r="I593" s="527" t="inlineStr">
        <x:is>
          <x:t xml:space="preserve">31-12N-24W (AOL)</x:t>
        </x:is>
      </x:c>
      <x:c r="J593" s="527" t="inlineStr">
        <x:is>
          <x:t xml:space="preserve">Fee / as stated</x:t>
        </x:is>
      </x:c>
      <x:c r="K593" s="527" t="inlineStr">
        <x:is>
          <x:t xml:space="preserve">OKCountyRecords official index, Roger Mills County (instrument 1950-000383); searched 06/11/2026</x:t>
        </x:is>
      </x:c>
      <x:c r="L593" s="565" t="n"/>
      <x:c r="M593" s="565" t="n"/>
      <x:c r="N593" s="565" t="n"/>
      <x:c r="O593" s="565" t="n"/>
      <x:c r="P593" s="565" t="n"/>
      <x:c r="Q593" s="565" t="n"/>
      <x:c r="R593" s="565" t="n"/>
      <x:c r="S593" s="613" t="n"/>
      <x:c r="T593" s="565" t="n"/>
      <x:c r="U593" s="613" t="n"/>
      <x:c r="V593" s="565" t="n"/>
      <x:c r="W593" s="565" t="n"/>
      <x:c r="X593" s="565" t="n"/>
      <x:c r="Y593" s="565" t="n"/>
      <x:c r="Z593" s="565" t="n"/>
    </x:row>
    <x:row r="594">
      <x:c r="A594" s="527" t="inlineStr">
        <x:is>
          <x:t xml:space="preserve">1951-001020</x:t>
        </x:is>
      </x:c>
      <x:c r="B594" s="527" t="n"/>
      <x:c r="C594" s="527" t="inlineStr">
        <x:is>
          <x:t xml:space="preserve">Deed</x:t>
        </x:is>
      </x:c>
      <x:c r="D594" s="527" t="inlineStr">
        <x:is>
          <x:t xml:space="preserve">D00065/0063</x:t>
        </x:is>
      </x:c>
      <x:c r="E594" s="529" t="inlineStr">
        <x:is>
          <x:t xml:space="preserve">02/21/1951</x:t>
        </x:is>
      </x:c>
      <x:c r="F594" s="529" t="n">
        <x:v>18680</x:v>
      </x:c>
      <x:c r="G594" s="527" t="inlineStr">
        <x:is>
          <x:t xml:space="preserve">Carrie Lou Mitchell,
Marvin G. Mitchell</x:t>
        </x:is>
      </x:c>
      <x:c r="H594" s="527" t="inlineStr">
        <x:is>
          <x:t xml:space="preserve">Elvin J. Ridling</x:t>
        </x:is>
      </x:c>
      <x:c r="I594" s="527" t="inlineStr">
        <x:is>
          <x:t xml:space="preserve">31-12N-24W (AOL)</x:t>
        </x:is>
      </x:c>
      <x:c r="J594" s="527" t="inlineStr">
        <x:is>
          <x:t xml:space="preserve">Fee / as stated</x:t>
        </x:is>
      </x:c>
      <x:c r="K594" s="527" t="inlineStr">
        <x:is>
          <x:t xml:space="preserve">OKCountyRecords official index, Roger Mills County (instrument 1951-001020); searched 06/11/2026</x:t>
        </x:is>
      </x:c>
      <x:c r="L594" s="565" t="n"/>
      <x:c r="M594" s="565" t="n"/>
      <x:c r="N594" s="565" t="n"/>
      <x:c r="O594" s="565" t="n"/>
      <x:c r="P594" s="565" t="n"/>
      <x:c r="Q594" s="565" t="n"/>
      <x:c r="R594" s="565" t="n"/>
      <x:c r="S594" s="613" t="n"/>
      <x:c r="T594" s="565" t="n"/>
      <x:c r="U594" s="613" t="n"/>
      <x:c r="V594" s="565" t="n"/>
      <x:c r="W594" s="565" t="n"/>
      <x:c r="X594" s="565" t="n"/>
      <x:c r="Y594" s="565" t="n"/>
      <x:c r="Z594" s="565" t="n"/>
    </x:row>
    <x:row r="595">
      <x:c r="A595" s="527" t="inlineStr">
        <x:is>
          <x:t xml:space="preserve">1952-001426</x:t>
        </x:is>
      </x:c>
      <x:c r="B595" s="527" t="n"/>
      <x:c r="C595" s="527" t="inlineStr">
        <x:is>
          <x:t xml:space="preserve">Release</x:t>
        </x:is>
      </x:c>
      <x:c r="D595" s="527" t="inlineStr">
        <x:is>
          <x:t xml:space="preserve">REL025/0007</x:t>
        </x:is>
      </x:c>
      <x:c r="E595" s="529" t="inlineStr">
        <x:is>
          <x:t xml:space="preserve">04/15/1952</x:t>
        </x:is>
      </x:c>
      <x:c r="F595" s="529" t="n">
        <x:v>19099</x:v>
      </x:c>
      <x:c r="G595" s="527" t="inlineStr">
        <x:is>
          <x:t xml:space="preserve">Commissioners of the Land Office</x:t>
        </x:is>
      </x:c>
      <x:c r="H595" s="527" t="inlineStr">
        <x:is>
          <x:t xml:space="preserve">Ethel Carter,
H. M. Carter</x:t>
        </x:is>
      </x:c>
      <x:c r="I595" s="527" t="inlineStr">
        <x:is>
          <x:t xml:space="preserve">31-12N-24W</x:t>
        </x:is>
      </x:c>
      <x:c r="J595" s="527" t="inlineStr">
        <x:is>
          <x:t xml:space="preserve">Leasehold / WI</x:t>
        </x:is>
      </x:c>
      <x:c r="K595" s="527" t="inlineStr">
        <x:is>
          <x:t xml:space="preserve">OKCountyRecords official index, Roger Mills County (instrument 1952-001426); searched 06/11/2026</x:t>
        </x:is>
      </x:c>
      <x:c r="L595" s="565" t="n"/>
      <x:c r="M595" s="565" t="n"/>
      <x:c r="N595" s="565" t="n"/>
      <x:c r="O595" s="565" t="n"/>
      <x:c r="P595" s="565" t="n"/>
      <x:c r="Q595" s="565" t="n"/>
      <x:c r="R595" s="565" t="n"/>
      <x:c r="S595" s="613" t="n"/>
      <x:c r="T595" s="565" t="n"/>
      <x:c r="U595" s="613" t="n"/>
      <x:c r="V595" s="565" t="n"/>
      <x:c r="W595" s="565" t="n"/>
      <x:c r="X595" s="565" t="n"/>
      <x:c r="Y595" s="565" t="n"/>
      <x:c r="Z595" s="565" t="n"/>
    </x:row>
    <x:row r="596">
      <x:c r="A596" s="527" t="inlineStr">
        <x:is>
          <x:t xml:space="preserve">1952-001427</x:t>
        </x:is>
      </x:c>
      <x:c r="B596" s="527" t="n"/>
      <x:c r="C596" s="527" t="inlineStr">
        <x:is>
          <x:t xml:space="preserve">Release</x:t>
        </x:is>
      </x:c>
      <x:c r="D596" s="527" t="inlineStr">
        <x:is>
          <x:t xml:space="preserve">REL025/0008</x:t>
        </x:is>
      </x:c>
      <x:c r="E596" s="529" t="inlineStr">
        <x:is>
          <x:t xml:space="preserve">04/15/1952</x:t>
        </x:is>
      </x:c>
      <x:c r="F596" s="529" t="n">
        <x:v>19099</x:v>
      </x:c>
      <x:c r="G596" s="527" t="inlineStr">
        <x:is>
          <x:t xml:space="preserve">Commissioners of the Land Office</x:t>
        </x:is>
      </x:c>
      <x:c r="H596" s="527" t="inlineStr">
        <x:is>
          <x:t xml:space="preserve">Louis E. Jacques,
N. Virginia Jacques</x:t>
        </x:is>
      </x:c>
      <x:c r="I596" s="527" t="inlineStr">
        <x:is>
          <x:t xml:space="preserve">31-12N-24W (AOL)</x:t>
        </x:is>
      </x:c>
      <x:c r="J596" s="527" t="inlineStr">
        <x:is>
          <x:t xml:space="preserve">Leasehold / WI</x:t>
        </x:is>
      </x:c>
      <x:c r="K596" s="527" t="inlineStr">
        <x:is>
          <x:t xml:space="preserve">OKCountyRecords official index, Roger Mills County (instrument 1952-001427); searched 06/11/2026</x:t>
        </x:is>
      </x:c>
      <x:c r="L596" s="565" t="n"/>
      <x:c r="M596" s="565" t="n"/>
      <x:c r="N596" s="565" t="n"/>
      <x:c r="O596" s="565" t="n"/>
      <x:c r="P596" s="565" t="n"/>
      <x:c r="Q596" s="565" t="n"/>
      <x:c r="R596" s="565" t="n"/>
      <x:c r="S596" s="613" t="n"/>
      <x:c r="T596" s="565" t="n"/>
      <x:c r="U596" s="613" t="n"/>
      <x:c r="V596" s="565" t="n"/>
      <x:c r="W596" s="565" t="n"/>
      <x:c r="X596" s="565" t="n"/>
      <x:c r="Y596" s="565" t="n"/>
      <x:c r="Z596" s="565" t="n"/>
    </x:row>
    <x:row r="597">
      <x:c r="A597" s="527" t="inlineStr">
        <x:is>
          <x:t xml:space="preserve">1953-000493</x:t>
        </x:is>
      </x:c>
      <x:c r="B597" s="527" t="n"/>
      <x:c r="C597" s="527" t="inlineStr">
        <x:is>
          <x:t xml:space="preserve">Deed</x:t>
        </x:is>
      </x:c>
      <x:c r="D597" s="527" t="inlineStr">
        <x:is>
          <x:t xml:space="preserve">D00067/0154</x:t>
        </x:is>
      </x:c>
      <x:c r="E597" s="529" t="inlineStr">
        <x:is>
          <x:t xml:space="preserve">02/06/1953</x:t>
        </x:is>
      </x:c>
      <x:c r="F597" s="529" t="n">
        <x:v>19396</x:v>
      </x:c>
      <x:c r="G597" s="527" t="inlineStr">
        <x:is>
          <x:t xml:space="preserve">Dorothy Jean Ridling,
Elvin J. Ridling</x:t>
        </x:is>
      </x:c>
      <x:c r="H597" s="527" t="inlineStr">
        <x:is>
          <x:t xml:space="preserve">Carrie Lou Mitchell,
M. G. Mitchell</x:t>
        </x:is>
      </x:c>
      <x:c r="I597" s="527" t="inlineStr">
        <x:is>
          <x:t xml:space="preserve">31-12N-24W (AOL)</x:t>
        </x:is>
      </x:c>
      <x:c r="J597" s="527" t="inlineStr">
        <x:is>
          <x:t xml:space="preserve">Fee / as stated</x:t>
        </x:is>
      </x:c>
      <x:c r="K597" s="527" t="inlineStr">
        <x:is>
          <x:t xml:space="preserve">OKCountyRecords official index, Roger Mills County (instrument 1953-000493); searched 06/11/2026</x:t>
        </x:is>
      </x:c>
      <x:c r="L597" s="565" t="n"/>
      <x:c r="M597" s="565" t="n"/>
      <x:c r="N597" s="565" t="n"/>
      <x:c r="O597" s="565" t="n"/>
      <x:c r="P597" s="565" t="n"/>
      <x:c r="Q597" s="565" t="n"/>
      <x:c r="R597" s="565" t="n"/>
      <x:c r="S597" s="613" t="n"/>
      <x:c r="T597" s="565" t="n"/>
      <x:c r="U597" s="613" t="n"/>
      <x:c r="V597" s="565" t="n"/>
      <x:c r="W597" s="565" t="n"/>
      <x:c r="X597" s="565" t="n"/>
      <x:c r="Y597" s="565" t="n"/>
      <x:c r="Z597" s="565" t="n"/>
    </x:row>
    <x:row r="598">
      <x:c r="A598" s="527" t="inlineStr">
        <x:is>
          <x:t xml:space="preserve">1953-001402</x:t>
        </x:is>
      </x:c>
      <x:c r="B598" s="527" t="n"/>
      <x:c r="C598" s="527" t="inlineStr">
        <x:is>
          <x:t xml:space="preserve">Release</x:t>
        </x:is>
      </x:c>
      <x:c r="D598" s="527" t="inlineStr">
        <x:is>
          <x:t xml:space="preserve">REL024/0339</x:t>
        </x:is>
      </x:c>
      <x:c r="E598" s="529" t="inlineStr">
        <x:is>
          <x:t xml:space="preserve">02/13/1953</x:t>
        </x:is>
      </x:c>
      <x:c r="F598" s="529" t="n">
        <x:v>19403</x:v>
      </x:c>
      <x:c r="G598" s="527" t="inlineStr">
        <x:is>
          <x:t xml:space="preserve">Carrie Lou Mitchell,
M. G. Mitchell</x:t>
        </x:is>
      </x:c>
      <x:c r="H598" s="527" t="inlineStr">
        <x:is>
          <x:t xml:space="preserve">Dorothy Jean Ridling,
Elvin J. Ridling</x:t>
        </x:is>
      </x:c>
      <x:c r="I598" s="527" t="inlineStr">
        <x:is>
          <x:t xml:space="preserve">31-12N-24W (AOL)</x:t>
        </x:is>
      </x:c>
      <x:c r="J598" s="527" t="inlineStr">
        <x:is>
          <x:t xml:space="preserve">Leasehold / WI</x:t>
        </x:is>
      </x:c>
      <x:c r="K598" s="527" t="inlineStr">
        <x:is>
          <x:t xml:space="preserve">OKCountyRecords official index, Roger Mills County (instrument 1953-001402); searched 06/11/2026</x:t>
        </x:is>
      </x:c>
      <x:c r="L598" s="565" t="n"/>
      <x:c r="M598" s="565" t="n"/>
      <x:c r="N598" s="565" t="n"/>
      <x:c r="O598" s="565" t="n"/>
      <x:c r="P598" s="565" t="n"/>
      <x:c r="Q598" s="565" t="n"/>
      <x:c r="R598" s="565" t="n"/>
      <x:c r="S598" s="613" t="n"/>
      <x:c r="T598" s="565" t="n"/>
      <x:c r="U598" s="613" t="n"/>
      <x:c r="V598" s="565" t="n"/>
      <x:c r="W598" s="565" t="n"/>
      <x:c r="X598" s="565" t="n"/>
      <x:c r="Y598" s="565" t="n"/>
      <x:c r="Z598" s="565" t="n"/>
    </x:row>
    <x:row r="599">
      <x:c r="A599" s="527" t="inlineStr">
        <x:is>
          <x:t xml:space="preserve">1953-000498</x:t>
        </x:is>
      </x:c>
      <x:c r="B599" s="527" t="n"/>
      <x:c r="C599" s="527" t="inlineStr">
        <x:is>
          <x:t xml:space="preserve">Deed</x:t>
        </x:is>
      </x:c>
      <x:c r="D599" s="527" t="inlineStr">
        <x:is>
          <x:t xml:space="preserve">D00067/0159</x:t>
        </x:is>
      </x:c>
      <x:c r="E599" s="529" t="inlineStr">
        <x:is>
          <x:t xml:space="preserve">02/27/1953</x:t>
        </x:is>
      </x:c>
      <x:c r="F599" s="529" t="n">
        <x:v>19417</x:v>
      </x:c>
      <x:c r="G599" s="527" t="inlineStr">
        <x:is>
          <x:t xml:space="preserve">Carrie Lou Mitchell,
Marvin G. Mitchell</x:t>
        </x:is>
      </x:c>
      <x:c r="H599" s="527" t="inlineStr">
        <x:is>
          <x:t xml:space="preserve">Hazel Avers,
W. L. Avers</x:t>
        </x:is>
      </x:c>
      <x:c r="I599" s="527" t="inlineStr">
        <x:is>
          <x:t xml:space="preserve">31-12N-24W</x:t>
        </x:is>
      </x:c>
      <x:c r="J599" s="527" t="inlineStr">
        <x:is>
          <x:t xml:space="preserve">Fee / as stated</x:t>
        </x:is>
      </x:c>
      <x:c r="K599" s="527" t="inlineStr">
        <x:is>
          <x:t xml:space="preserve">OKCountyRecords official index, Roger Mills County (instrument 1953-000498); searched 06/11/2026</x:t>
        </x:is>
      </x:c>
      <x:c r="L599" s="565" t="n"/>
      <x:c r="M599" s="565" t="n"/>
      <x:c r="N599" s="565" t="n"/>
      <x:c r="O599" s="565" t="n"/>
      <x:c r="P599" s="565" t="n"/>
      <x:c r="Q599" s="565" t="n"/>
      <x:c r="R599" s="565" t="n"/>
      <x:c r="S599" s="613" t="n"/>
      <x:c r="T599" s="565" t="n"/>
      <x:c r="U599" s="613" t="n"/>
      <x:c r="V599" s="565" t="n"/>
      <x:c r="W599" s="565" t="n"/>
      <x:c r="X599" s="565" t="n"/>
      <x:c r="Y599" s="565" t="n"/>
      <x:c r="Z599" s="565" t="n"/>
    </x:row>
    <x:row r="600">
      <x:c r="A600" s="527" t="inlineStr">
        <x:is>
          <x:t xml:space="preserve">1953-000389</x:t>
        </x:is>
      </x:c>
      <x:c r="B600" s="527" t="n"/>
      <x:c r="C600" s="527" t="inlineStr">
        <x:is>
          <x:t xml:space="preserve">Deed</x:t>
        </x:is>
      </x:c>
      <x:c r="D600" s="527" t="inlineStr">
        <x:is>
          <x:t xml:space="preserve">D00065/0208</x:t>
        </x:is>
      </x:c>
      <x:c r="E600" s="529" t="inlineStr">
        <x:is>
          <x:t xml:space="preserve">02/27/1953</x:t>
        </x:is>
      </x:c>
      <x:c r="F600" s="529" t="n">
        <x:v>19417</x:v>
      </x:c>
      <x:c r="G600" s="527" t="inlineStr">
        <x:is>
          <x:t xml:space="preserve">Carrie Lou Mitchell,
Marvin G. Mitchell</x:t>
        </x:is>
      </x:c>
      <x:c r="H600" s="527" t="inlineStr">
        <x:is>
          <x:t xml:space="preserve">Hazel Ayers,
W. L. Ayers</x:t>
        </x:is>
      </x:c>
      <x:c r="I600" s="527" t="inlineStr">
        <x:is>
          <x:t xml:space="preserve">31-12N-24W (AOL)</x:t>
        </x:is>
      </x:c>
      <x:c r="J600" s="527" t="inlineStr">
        <x:is>
          <x:t xml:space="preserve">Fee / as stated</x:t>
        </x:is>
      </x:c>
      <x:c r="K600" s="527" t="inlineStr">
        <x:is>
          <x:t xml:space="preserve">OKCountyRecords official index, Roger Mills County (instrument 1953-000389); searched 06/11/2026</x:t>
        </x:is>
      </x:c>
      <x:c r="L600" s="565" t="n"/>
      <x:c r="M600" s="565" t="n"/>
      <x:c r="N600" s="565" t="n"/>
      <x:c r="O600" s="565" t="n"/>
      <x:c r="P600" s="565" t="n"/>
      <x:c r="Q600" s="565" t="n"/>
      <x:c r="R600" s="565" t="n"/>
      <x:c r="S600" s="613" t="n"/>
      <x:c r="T600" s="565" t="n"/>
      <x:c r="U600" s="613" t="n"/>
      <x:c r="V600" s="565" t="n"/>
      <x:c r="W600" s="565" t="n"/>
      <x:c r="X600" s="565" t="n"/>
      <x:c r="Y600" s="565" t="n"/>
      <x:c r="Z600" s="565" t="n"/>
    </x:row>
    <x:row r="601">
      <x:c r="A601" s="527" t="inlineStr">
        <x:is>
          <x:t xml:space="preserve">1954-001418</x:t>
        </x:is>
      </x:c>
      <x:c r="B601" s="527" t="n"/>
      <x:c r="C601" s="527" t="inlineStr">
        <x:is>
          <x:t xml:space="preserve">Release</x:t>
        </x:is>
      </x:c>
      <x:c r="D601" s="527" t="inlineStr">
        <x:is>
          <x:t xml:space="preserve">REL024/0469</x:t>
        </x:is>
      </x:c>
      <x:c r="E601" s="529" t="inlineStr">
        <x:is>
          <x:t xml:space="preserve">07/30/1954</x:t>
        </x:is>
      </x:c>
      <x:c r="F601" s="529" t="n">
        <x:v>19935</x:v>
      </x:c>
      <x:c r="G601" s="527" t="inlineStr">
        <x:is>
          <x:t xml:space="preserve">Atlantic Refining Company</x:t>
        </x:is>
      </x:c>
      <x:c r="H601" s="527" t="inlineStr">
        <x:is>
          <x:t xml:space="preserve">Ethel Carter,
H. M. Carter</x:t>
        </x:is>
      </x:c>
      <x:c r="I601" s="527" t="inlineStr">
        <x:is>
          <x:t xml:space="preserve">31-12N-24W (AOL)</x:t>
        </x:is>
      </x:c>
      <x:c r="J601" s="527" t="inlineStr">
        <x:is>
          <x:t xml:space="preserve">Leasehold / WI</x:t>
        </x:is>
      </x:c>
      <x:c r="K601" s="527" t="inlineStr">
        <x:is>
          <x:t xml:space="preserve">OKCountyRecords official index, Roger Mills County (instrument 1954-001418); searched 06/11/2026</x:t>
        </x:is>
      </x:c>
      <x:c r="L601" s="565" t="n"/>
      <x:c r="M601" s="565" t="n"/>
      <x:c r="N601" s="565" t="n"/>
      <x:c r="O601" s="565" t="n"/>
      <x:c r="P601" s="565" t="n"/>
      <x:c r="Q601" s="565" t="n"/>
      <x:c r="R601" s="565" t="n"/>
      <x:c r="S601" s="613" t="n"/>
      <x:c r="T601" s="565" t="n"/>
      <x:c r="U601" s="613" t="n"/>
      <x:c r="V601" s="565" t="n"/>
      <x:c r="W601" s="565" t="n"/>
      <x:c r="X601" s="565" t="n"/>
      <x:c r="Y601" s="565" t="n"/>
      <x:c r="Z601" s="565" t="n"/>
    </x:row>
    <x:row r="602">
      <x:c r="A602" s="527" t="inlineStr">
        <x:is>
          <x:t xml:space="preserve">1956-001415</x:t>
        </x:is>
      </x:c>
      <x:c r="B602" s="527" t="n"/>
      <x:c r="C602" s="527" t="inlineStr">
        <x:is>
          <x:t xml:space="preserve">Release</x:t>
        </x:is>
      </x:c>
      <x:c r="D602" s="527" t="inlineStr">
        <x:is>
          <x:t xml:space="preserve">REL025/0052</x:t>
        </x:is>
      </x:c>
      <x:c r="E602" s="529" t="inlineStr">
        <x:is>
          <x:t xml:space="preserve">06/11/1956</x:t>
        </x:is>
      </x:c>
      <x:c r="F602" s="529" t="n">
        <x:v>20617</x:v>
      </x:c>
      <x:c r="G602" s="527" t="inlineStr">
        <x:is>
          <x:t xml:space="preserve">Commissioners of the Land Office</x:t>
        </x:is>
      </x:c>
      <x:c r="H602" s="527" t="inlineStr">
        <x:is>
          <x:t xml:space="preserve">Lillie Hambrook</x:t>
        </x:is>
      </x:c>
      <x:c r="I602" s="527" t="inlineStr">
        <x:is>
          <x:t xml:space="preserve">31-12N-24W</x:t>
        </x:is>
      </x:c>
      <x:c r="J602" s="527" t="inlineStr">
        <x:is>
          <x:t xml:space="preserve">Leasehold / WI</x:t>
        </x:is>
      </x:c>
      <x:c r="K602" s="527" t="inlineStr">
        <x:is>
          <x:t xml:space="preserve">OKCountyRecords official index, Roger Mills County (instrument 1956-001415); searched 06/11/2026</x:t>
        </x:is>
      </x:c>
      <x:c r="L602" s="565" t="n"/>
      <x:c r="M602" s="565" t="n"/>
      <x:c r="N602" s="565" t="n"/>
      <x:c r="O602" s="565" t="n"/>
      <x:c r="P602" s="565" t="n"/>
      <x:c r="Q602" s="565" t="n"/>
      <x:c r="R602" s="565" t="n"/>
      <x:c r="S602" s="613" t="n"/>
      <x:c r="T602" s="565" t="n"/>
      <x:c r="U602" s="613" t="n"/>
      <x:c r="V602" s="565" t="n"/>
      <x:c r="W602" s="565" t="n"/>
      <x:c r="X602" s="565" t="n"/>
      <x:c r="Y602" s="565" t="n"/>
      <x:c r="Z602" s="565" t="n"/>
    </x:row>
    <x:row r="603">
      <x:c r="A603" s="527" t="inlineStr">
        <x:is>
          <x:t xml:space="preserve">1956-001377</x:t>
        </x:is>
      </x:c>
      <x:c r="B603" s="527" t="n"/>
      <x:c r="C603" s="527" t="inlineStr">
        <x:is>
          <x:t xml:space="preserve">Release</x:t>
        </x:is>
      </x:c>
      <x:c r="D603" s="527" t="inlineStr">
        <x:is>
          <x:t xml:space="preserve">REL024/0628</x:t>
        </x:is>
      </x:c>
      <x:c r="E603" s="529" t="inlineStr">
        <x:is>
          <x:t xml:space="preserve">07/18/1956</x:t>
        </x:is>
      </x:c>
      <x:c r="F603" s="529" t="n">
        <x:v>20654</x:v>
      </x:c>
      <x:c r="G603" s="527" t="inlineStr">
        <x:is>
          <x:t xml:space="preserve">Gulf Oil Corporation</x:t>
        </x:is>
      </x:c>
      <x:c r="H603" s="527" t="inlineStr">
        <x:is>
          <x:t xml:space="preserve">William C. Bain</x:t>
        </x:is>
      </x:c>
      <x:c r="I603" s="527" t="inlineStr">
        <x:is>
          <x:t xml:space="preserve">31-12N-24W</x:t>
        </x:is>
      </x:c>
      <x:c r="J603" s="527" t="inlineStr">
        <x:is>
          <x:t xml:space="preserve">Leasehold / WI</x:t>
        </x:is>
      </x:c>
      <x:c r="K603" s="527" t="inlineStr">
        <x:is>
          <x:t xml:space="preserve">OKCountyRecords official index, Roger Mills County (instrument 1956-001377); searched 06/11/2026</x:t>
        </x:is>
      </x:c>
      <x:c r="L603" s="565" t="n"/>
      <x:c r="M603" s="565" t="n"/>
      <x:c r="N603" s="565" t="n"/>
      <x:c r="O603" s="565" t="n"/>
      <x:c r="P603" s="565" t="n"/>
      <x:c r="Q603" s="565" t="n"/>
      <x:c r="R603" s="565" t="n"/>
      <x:c r="S603" s="613" t="n"/>
      <x:c r="T603" s="565" t="n"/>
      <x:c r="U603" s="613" t="n"/>
      <x:c r="V603" s="565" t="n"/>
      <x:c r="W603" s="565" t="n"/>
      <x:c r="X603" s="565" t="n"/>
      <x:c r="Y603" s="565" t="n"/>
      <x:c r="Z603" s="565" t="n"/>
    </x:row>
    <x:row r="604">
      <x:c r="A604" s="527" t="inlineStr">
        <x:is>
          <x:t xml:space="preserve">1957-001086</x:t>
        </x:is>
      </x:c>
      <x:c r="B604" s="527" t="n"/>
      <x:c r="C604" s="527" t="inlineStr">
        <x:is>
          <x:t xml:space="preserve">Contract</x:t>
        </x:is>
      </x:c>
      <x:c r="D604" s="527" t="inlineStr">
        <x:is>
          <x:t xml:space="preserve">MIS027/0380</x:t>
        </x:is>
      </x:c>
      <x:c r="E604" s="529" t="inlineStr">
        <x:is>
          <x:t xml:space="preserve">02/25/1957</x:t>
        </x:is>
      </x:c>
      <x:c r="F604" s="529" t="n">
        <x:v>20876</x:v>
      </x:c>
      <x:c r="G604" s="527" t="inlineStr">
        <x:is>
          <x:t xml:space="preserve">W. L. Ayers</x:t>
        </x:is>
      </x:c>
      <x:c r="H604" s="527" t="inlineStr">
        <x:is>
          <x:t xml:space="preserve">Clara Mae Bryan,
George M. Bryan</x:t>
        </x:is>
      </x:c>
      <x:c r="I604" s="527" t="inlineStr">
        <x:is>
          <x:t xml:space="preserve">31-12N-24W (AOL)</x:t>
        </x:is>
      </x:c>
      <x:c r="J604" s="527" t="inlineStr">
        <x:is>
          <x:t xml:space="preserve">See instrument</x:t>
        </x:is>
      </x:c>
      <x:c r="K604" s="527" t="inlineStr">
        <x:is>
          <x:t xml:space="preserve">OKCountyRecords official index, Roger Mills County (instrument 1957-001086); searched 06/11/2026</x:t>
        </x:is>
      </x:c>
      <x:c r="L604" s="565" t="n"/>
      <x:c r="M604" s="565" t="n"/>
      <x:c r="N604" s="565" t="n"/>
      <x:c r="O604" s="565" t="n"/>
      <x:c r="P604" s="565" t="n"/>
      <x:c r="Q604" s="565" t="n"/>
      <x:c r="R604" s="565" t="n"/>
      <x:c r="S604" s="613" t="n"/>
      <x:c r="T604" s="565" t="n"/>
      <x:c r="U604" s="613" t="n"/>
      <x:c r="V604" s="565" t="n"/>
      <x:c r="W604" s="565" t="n"/>
      <x:c r="X604" s="565" t="n"/>
      <x:c r="Y604" s="565" t="n"/>
      <x:c r="Z604" s="565" t="n"/>
    </x:row>
    <x:row r="605">
      <x:c r="A605" s="527" t="inlineStr">
        <x:is>
          <x:t xml:space="preserve">1957-002580</x:t>
        </x:is>
      </x:c>
      <x:c r="B605" s="527" t="n"/>
      <x:c r="C605" s="527" t="inlineStr">
        <x:is>
          <x:t xml:space="preserve">Release</x:t>
        </x:is>
      </x:c>
      <x:c r="D605" s="527" t="inlineStr">
        <x:is>
          <x:t xml:space="preserve">REL025/0397</x:t>
        </x:is>
      </x:c>
      <x:c r="E605" s="529" t="inlineStr">
        <x:is>
          <x:t xml:space="preserve">12/23/1957</x:t>
        </x:is>
      </x:c>
      <x:c r="F605" s="529" t="n">
        <x:v>21177</x:v>
      </x:c>
      <x:c r="G605" s="527" t="inlineStr">
        <x:is>
          <x:t xml:space="preserve">Superior Oil Company</x:t>
        </x:is>
      </x:c>
      <x:c r="H605" s="527" t="inlineStr">
        <x:is>
          <x:t xml:space="preserve">J. M. Anderson,
Forest Baker,
Paul J. Beavin,
V. W. Bentley,
Lisle Boggs,
C. S. Borin,
Frank G. Bowers,
Billy B. Bowman,
George W. Burns,
J. T. Burns,
Lillie A. Campbell,
Alvin T. Chappell,
Annabelle Cheek,
Harsie M. Coffey,
Cathrine Boettcher Converse,
Homer G. Conway,
Eula Cross,
Lester R. Davis,
Yolande C. Fuchs,
O. S. Grady,
Florence E. Graham,
George W. Graham,
Harry Harmon,
Sammie Harrington,
Jess Harris,
Herman L. Isch,
H. E. Kelley,
Florence Lackey,
Sam A. Legrand,
J. I. Markley,
James L. McCaskill,
Larue Doris McEntire,
Hugh Nabors,
A. H. Purvis,
Frank E. Purvis,
L. L. Roark,
Clyde E. Roberson,
L. H. Roberts,
T. M. Roinson,
John T. Ross,
John R. Simmons,
R. F. Sprowls,
Anna Stoddard,
Raymond Thompson,
Susie M. Webster,
Capitola Yell,
William N. Youngblood</x:t>
        </x:is>
      </x:c>
      <x:c r="I605" s="527" t="inlineStr">
        <x:is>
          <x:t xml:space="preserve">All of 31-12N-24W (AOL)</x:t>
        </x:is>
      </x:c>
      <x:c r="J605" s="527" t="inlineStr">
        <x:is>
          <x:t xml:space="preserve">Leasehold / WI</x:t>
        </x:is>
      </x:c>
      <x:c r="K605" s="527" t="inlineStr">
        <x:is>
          <x:t xml:space="preserve">OKCountyRecords official index, Roger Mills County (instrument 1957-002580); searched 06/11/2026</x:t>
        </x:is>
      </x:c>
      <x:c r="L605" s="565" t="n"/>
      <x:c r="M605" s="565" t="n"/>
      <x:c r="N605" s="565" t="n"/>
      <x:c r="O605" s="565" t="n"/>
      <x:c r="P605" s="565" t="n"/>
      <x:c r="Q605" s="565" t="n"/>
      <x:c r="R605" s="565" t="n"/>
      <x:c r="S605" s="613" t="n"/>
      <x:c r="T605" s="565" t="n"/>
      <x:c r="U605" s="613" t="n"/>
      <x:c r="V605" s="565" t="n"/>
      <x:c r="W605" s="565" t="n"/>
      <x:c r="X605" s="565" t="n"/>
      <x:c r="Y605" s="565" t="n"/>
      <x:c r="Z605" s="565" t="n"/>
    </x:row>
    <x:row r="606">
      <x:c r="A606" s="527" t="inlineStr">
        <x:is>
          <x:t xml:space="preserve">1958-002778</x:t>
        </x:is>
      </x:c>
      <x:c r="B606" s="527" t="n"/>
      <x:c r="C606" s="527" t="inlineStr">
        <x:is>
          <x:t xml:space="preserve">Release</x:t>
        </x:is>
      </x:c>
      <x:c r="D606" s="527" t="inlineStr">
        <x:is>
          <x:t xml:space="preserve">REL025/0454</x:t>
        </x:is>
      </x:c>
      <x:c r="E606" s="529" t="inlineStr">
        <x:is>
          <x:t xml:space="preserve">04/11/1958</x:t>
        </x:is>
      </x:c>
      <x:c r="F606" s="529" t="n">
        <x:v>21286</x:v>
      </x:c>
      <x:c r="G606" s="527" t="inlineStr">
        <x:is>
          <x:t xml:space="preserve">Gulf Oil Corporation</x:t>
        </x:is>
      </x:c>
      <x:c r="H606" s="527" t="inlineStr">
        <x:is>
          <x:t xml:space="preserve">Ira J. Fish,
Gladys Priest,
Inez L. Cobb Sears</x:t>
        </x:is>
      </x:c>
      <x:c r="I606" s="527" t="inlineStr">
        <x:is>
          <x:t xml:space="preserve">31-12N-24W (AOL)</x:t>
        </x:is>
      </x:c>
      <x:c r="J606" s="527" t="inlineStr">
        <x:is>
          <x:t xml:space="preserve">Leasehold / WI</x:t>
        </x:is>
      </x:c>
      <x:c r="K606" s="527" t="inlineStr">
        <x:is>
          <x:t xml:space="preserve">OKCountyRecords official index, Roger Mills County (instrument 1958-002778); searched 06/11/2026</x:t>
        </x:is>
      </x:c>
      <x:c r="L606" s="565" t="n"/>
      <x:c r="M606" s="565" t="n"/>
      <x:c r="N606" s="565" t="n"/>
      <x:c r="O606" s="565" t="n"/>
      <x:c r="P606" s="565" t="n"/>
      <x:c r="Q606" s="565" t="n"/>
      <x:c r="R606" s="565" t="n"/>
      <x:c r="S606" s="613" t="n"/>
      <x:c r="T606" s="565" t="n"/>
      <x:c r="U606" s="613" t="n"/>
      <x:c r="V606" s="565" t="n"/>
      <x:c r="W606" s="565" t="n"/>
      <x:c r="X606" s="565" t="n"/>
      <x:c r="Y606" s="565" t="n"/>
      <x:c r="Z606" s="565" t="n"/>
    </x:row>
    <x:row r="607">
      <x:c r="A607" s="527" t="inlineStr">
        <x:is>
          <x:t xml:space="preserve">1958-002810</x:t>
        </x:is>
      </x:c>
      <x:c r="B607" s="527" t="n"/>
      <x:c r="C607" s="527" t="inlineStr">
        <x:is>
          <x:t xml:space="preserve">Release</x:t>
        </x:is>
      </x:c>
      <x:c r="D607" s="527" t="inlineStr">
        <x:is>
          <x:t xml:space="preserve">REL025/0472</x:t>
        </x:is>
      </x:c>
      <x:c r="E607" s="529" t="inlineStr">
        <x:is>
          <x:t xml:space="preserve">05/02/1958</x:t>
        </x:is>
      </x:c>
      <x:c r="F607" s="529" t="n">
        <x:v>21307</x:v>
      </x:c>
      <x:c r="G607" s="527" t="inlineStr">
        <x:is>
          <x:t xml:space="preserve">Gulf Oil Corporation</x:t>
        </x:is>
      </x:c>
      <x:c r="H607" s="527" t="inlineStr">
        <x:is>
          <x:t xml:space="preserve">Lee Aulbert,
James Devine,
Elizabeth R. McCauley,
C. M. Neilson,
Pan Mutual Royalties</x:t>
        </x:is>
      </x:c>
      <x:c r="I607" s="527" t="inlineStr">
        <x:is>
          <x:t xml:space="preserve">31-12N-24W (AOL)</x:t>
        </x:is>
      </x:c>
      <x:c r="J607" s="527" t="inlineStr">
        <x:is>
          <x:t xml:space="preserve">Leasehold / WI</x:t>
        </x:is>
      </x:c>
      <x:c r="K607" s="527" t="inlineStr">
        <x:is>
          <x:t xml:space="preserve">OKCountyRecords official index, Roger Mills County (instrument 1958-002810); searched 06/11/2026</x:t>
        </x:is>
      </x:c>
      <x:c r="L607" s="565" t="n"/>
      <x:c r="M607" s="565" t="n"/>
      <x:c r="N607" s="565" t="n"/>
      <x:c r="O607" s="565" t="n"/>
      <x:c r="P607" s="565" t="n"/>
      <x:c r="Q607" s="565" t="n"/>
      <x:c r="R607" s="565" t="n"/>
      <x:c r="S607" s="613" t="n"/>
      <x:c r="T607" s="565" t="n"/>
      <x:c r="U607" s="613" t="n"/>
      <x:c r="V607" s="565" t="n"/>
      <x:c r="W607" s="565" t="n"/>
      <x:c r="X607" s="565" t="n"/>
      <x:c r="Y607" s="565" t="n"/>
      <x:c r="Z607" s="565" t="n"/>
    </x:row>
    <x:row r="608">
      <x:c r="A608" s="527" t="inlineStr">
        <x:is>
          <x:t xml:space="preserve">1958-002487</x:t>
        </x:is>
      </x:c>
      <x:c r="B608" s="527" t="n"/>
      <x:c r="C608" s="527" t="inlineStr">
        <x:is>
          <x:t xml:space="preserve">Oil and Gas Lease</x:t>
        </x:is>
      </x:c>
      <x:c r="D608" s="527" t="inlineStr">
        <x:is>
          <x:t xml:space="preserve">OGL022/0198</x:t>
        </x:is>
      </x:c>
      <x:c r="E608" s="529" t="inlineStr">
        <x:is>
          <x:t xml:space="preserve">11/06/1958</x:t>
        </x:is>
      </x:c>
      <x:c r="F608" s="529" t="n">
        <x:v>21495</x:v>
      </x:c>
      <x:c r="G608" s="527" t="inlineStr">
        <x:is>
          <x:t xml:space="preserve">Eula M. Bain,
W. M. Bain</x:t>
        </x:is>
      </x:c>
      <x:c r="H608" s="527" t="inlineStr">
        <x:is>
          <x:t xml:space="preserve">Ed Puls</x:t>
        </x:is>
      </x:c>
      <x:c r="I608" s="527" t="inlineStr">
        <x:is>
          <x:t xml:space="preserve">31-12N-24W (AOL)</x:t>
        </x:is>
      </x:c>
      <x:c r="J608" s="527" t="inlineStr">
        <x:is>
          <x:t xml:space="preserve">Leasehold / WI</x:t>
        </x:is>
      </x:c>
      <x:c r="K608" s="527" t="inlineStr">
        <x:is>
          <x:t xml:space="preserve">OKCountyRecords official index, Roger Mills County (instrument 1958-002487); searched 06/11/2026</x:t>
        </x:is>
      </x:c>
      <x:c r="L608" s="565" t="n"/>
      <x:c r="M608" s="565" t="n"/>
      <x:c r="N608" s="565" t="n"/>
      <x:c r="O608" s="565" t="n"/>
      <x:c r="P608" s="565" t="n"/>
      <x:c r="Q608" s="565" t="n"/>
      <x:c r="R608" s="565" t="n"/>
      <x:c r="S608" s="613" t="n"/>
      <x:c r="T608" s="565" t="n"/>
      <x:c r="U608" s="613" t="n"/>
      <x:c r="V608" s="565" t="n"/>
      <x:c r="W608" s="565" t="n"/>
      <x:c r="X608" s="565" t="n"/>
      <x:c r="Y608" s="565" t="n"/>
      <x:c r="Z608" s="565" t="n"/>
    </x:row>
    <x:row r="609">
      <x:c r="A609" s="527" t="inlineStr">
        <x:is>
          <x:t xml:space="preserve">1959-001270</x:t>
        </x:is>
      </x:c>
      <x:c r="B609" s="527" t="n"/>
      <x:c r="C609" s="527" t="inlineStr">
        <x:is>
          <x:t xml:space="preserve">Miscellaneous</x:t>
        </x:is>
      </x:c>
      <x:c r="D609" s="527" t="inlineStr">
        <x:is>
          <x:t xml:space="preserve">MIS029/0334</x:t>
        </x:is>
      </x:c>
      <x:c r="E609" s="529" t="inlineStr">
        <x:is>
          <x:t xml:space="preserve">05/26/1959</x:t>
        </x:is>
      </x:c>
      <x:c r="F609" s="529" t="n">
        <x:v>21696</x:v>
      </x:c>
      <x:c r="G609" s="527" t="inlineStr">
        <x:is>
          <x:t xml:space="preserve">Southwestern Bell Telephone Co</x:t>
        </x:is>
      </x:c>
      <x:c r="H609" s="527" t="inlineStr">
        <x:is>
          <x:t xml:space="preserve">The Public</x:t>
        </x:is>
      </x:c>
      <x:c r="I609" s="527" t="inlineStr">
        <x:is>
          <x:t xml:space="preserve">31-12N-24W (AOL)</x:t>
        </x:is>
      </x:c>
      <x:c r="J609" s="527" t="inlineStr">
        <x:is>
          <x:t xml:space="preserve">See instrument</x:t>
        </x:is>
      </x:c>
      <x:c r="K609" s="527" t="inlineStr">
        <x:is>
          <x:t xml:space="preserve">OKCountyRecords official index, Roger Mills County (instrument 1959-001270); searched 06/11/2026</x:t>
        </x:is>
      </x:c>
      <x:c r="L609" s="565" t="n"/>
      <x:c r="M609" s="565" t="n"/>
      <x:c r="N609" s="565" t="n"/>
      <x:c r="O609" s="565" t="n"/>
      <x:c r="P609" s="565" t="n"/>
      <x:c r="Q609" s="565" t="n"/>
      <x:c r="R609" s="565" t="n"/>
      <x:c r="S609" s="613" t="n"/>
      <x:c r="T609" s="565" t="n"/>
      <x:c r="U609" s="613" t="n"/>
      <x:c r="V609" s="565" t="n"/>
      <x:c r="W609" s="565" t="n"/>
      <x:c r="X609" s="565" t="n"/>
      <x:c r="Y609" s="565" t="n"/>
      <x:c r="Z609" s="565" t="n"/>
    </x:row>
    <x:row r="610">
      <x:c r="A610" s="527" t="inlineStr">
        <x:is>
          <x:t xml:space="preserve">1959-002917</x:t>
        </x:is>
      </x:c>
      <x:c r="B610" s="527" t="n"/>
      <x:c r="C610" s="527" t="inlineStr">
        <x:is>
          <x:t xml:space="preserve">Release</x:t>
        </x:is>
      </x:c>
      <x:c r="D610" s="527" t="inlineStr">
        <x:is>
          <x:t xml:space="preserve">REL017/0186</x:t>
        </x:is>
      </x:c>
      <x:c r="E610" s="529" t="inlineStr">
        <x:is>
          <x:t xml:space="preserve">11/18/1959</x:t>
        </x:is>
      </x:c>
      <x:c r="F610" s="529" t="n">
        <x:v>21872</x:v>
      </x:c>
      <x:c r="G610" s="527" t="inlineStr">
        <x:is>
          <x:t xml:space="preserve">Ed Puls</x:t>
        </x:is>
      </x:c>
      <x:c r="H610" s="527" t="inlineStr">
        <x:is>
          <x:t xml:space="preserve">Eula M. Bain,
W. M. Bain</x:t>
        </x:is>
      </x:c>
      <x:c r="I610" s="527" t="inlineStr">
        <x:is>
          <x:t xml:space="preserve">31-12N-24W (AOL)</x:t>
        </x:is>
      </x:c>
      <x:c r="J610" s="527" t="inlineStr">
        <x:is>
          <x:t xml:space="preserve">Leasehold / WI</x:t>
        </x:is>
      </x:c>
      <x:c r="K610" s="527" t="inlineStr">
        <x:is>
          <x:t xml:space="preserve">OKCountyRecords official index, Roger Mills County (instrument 1959-002917); searched 06/11/2026</x:t>
        </x:is>
      </x:c>
      <x:c r="L610" s="565" t="n"/>
      <x:c r="M610" s="565" t="n"/>
      <x:c r="N610" s="565" t="n"/>
      <x:c r="O610" s="565" t="n"/>
      <x:c r="P610" s="565" t="n"/>
      <x:c r="Q610" s="565" t="n"/>
      <x:c r="R610" s="565" t="n"/>
      <x:c r="S610" s="613" t="n"/>
      <x:c r="T610" s="565" t="n"/>
      <x:c r="U610" s="613" t="n"/>
      <x:c r="V610" s="565" t="n"/>
      <x:c r="W610" s="565" t="n"/>
      <x:c r="X610" s="565" t="n"/>
      <x:c r="Y610" s="565" t="n"/>
      <x:c r="Z610" s="565" t="n"/>
    </x:row>
    <x:row r="611">
      <x:c r="A611" s="527" t="inlineStr">
        <x:is>
          <x:t xml:space="preserve">1960-000414</x:t>
        </x:is>
      </x:c>
      <x:c r="B611" s="527" t="n"/>
      <x:c r="C611" s="527" t="inlineStr">
        <x:is>
          <x:t xml:space="preserve">Merger</x:t>
        </x:is>
      </x:c>
      <x:c r="D611" s="527" t="inlineStr">
        <x:is>
          <x:t xml:space="preserve">MIS032/0144</x:t>
        </x:is>
      </x:c>
      <x:c r="E611" s="529" t="inlineStr">
        <x:is>
          <x:t xml:space="preserve">02/23/1960</x:t>
        </x:is>
      </x:c>
      <x:c r="F611" s="529" t="n">
        <x:v>21969</x:v>
      </x:c>
      <x:c r="G611" s="527" t="inlineStr">
        <x:is>
          <x:t xml:space="preserve">Magnolia Petroleum,
Magnolia Petroleum Co,
Socony Mobil Oil Co</x:t>
        </x:is>
      </x:c>
      <x:c r="H611" s="527" t="inlineStr">
        <x:is>
          <x:t xml:space="preserve">The Public</x:t>
        </x:is>
      </x:c>
      <x:c r="I611" s="527" t="inlineStr">
        <x:is>
          <x:t xml:space="preserve">31-12N-24W (AOL)</x:t>
        </x:is>
      </x:c>
      <x:c r="J611" s="527" t="inlineStr">
        <x:is>
          <x:t xml:space="preserve">Fee / as stated</x:t>
        </x:is>
      </x:c>
      <x:c r="K611" s="527" t="inlineStr">
        <x:is>
          <x:t xml:space="preserve">OKCountyRecords official index, Roger Mills County (instrument 1960-000414); searched 06/11/2026</x:t>
        </x:is>
      </x:c>
      <x:c r="L611" s="565" t="n"/>
      <x:c r="M611" s="565" t="n"/>
      <x:c r="N611" s="565" t="n"/>
      <x:c r="O611" s="565" t="n"/>
      <x:c r="P611" s="565" t="n"/>
      <x:c r="Q611" s="565" t="n"/>
      <x:c r="R611" s="565" t="n"/>
      <x:c r="S611" s="613" t="n"/>
      <x:c r="T611" s="565" t="n"/>
      <x:c r="U611" s="613" t="n"/>
      <x:c r="V611" s="565" t="n"/>
      <x:c r="W611" s="565" t="n"/>
      <x:c r="X611" s="565" t="n"/>
      <x:c r="Y611" s="565" t="n"/>
      <x:c r="Z611" s="565" t="n"/>
    </x:row>
    <x:row r="612">
      <x:c r="A612" s="527" t="inlineStr">
        <x:is>
          <x:t xml:space="preserve">1962-000500</x:t>
        </x:is>
      </x:c>
      <x:c r="B612" s="527" t="n"/>
      <x:c r="C612" s="527" t="inlineStr">
        <x:is>
          <x:t xml:space="preserve">Oil and Gas Lease</x:t>
        </x:is>
      </x:c>
      <x:c r="D612" s="527" t="inlineStr">
        <x:is>
          <x:t xml:space="preserve">MIS045/0202</x:t>
        </x:is>
      </x:c>
      <x:c r="E612" s="529" t="inlineStr">
        <x:is>
          <x:t xml:space="preserve">04/25/1962</x:t>
        </x:is>
      </x:c>
      <x:c r="F612" s="529" t="n">
        <x:v>22761</x:v>
      </x:c>
      <x:c r="G612" s="527" t="inlineStr">
        <x:is>
          <x:t xml:space="preserve">Joseph Devenas,
Mary Margaret Devenas</x:t>
        </x:is>
      </x:c>
      <x:c r="H612" s="527" t="inlineStr">
        <x:is>
          <x:t xml:space="preserve">Robert O. Lister Jr.</x:t>
        </x:is>
      </x:c>
      <x:c r="I612" s="527" t="inlineStr">
        <x:is>
          <x:t xml:space="preserve">31-12N-24W (AOL)</x:t>
        </x:is>
      </x:c>
      <x:c r="J612" s="527" t="inlineStr">
        <x:is>
          <x:t xml:space="preserve">Leasehold / WI</x:t>
        </x:is>
      </x:c>
      <x:c r="K612" s="527" t="inlineStr">
        <x:is>
          <x:t xml:space="preserve">OKCountyRecords official index, Roger Mills County (instrument 1962-000500); searched 06/11/2026</x:t>
        </x:is>
      </x:c>
      <x:c r="L612" s="565" t="n"/>
      <x:c r="M612" s="565" t="n"/>
      <x:c r="N612" s="565" t="n"/>
      <x:c r="O612" s="565" t="n"/>
      <x:c r="P612" s="565" t="n"/>
      <x:c r="Q612" s="565" t="n"/>
      <x:c r="R612" s="565" t="n"/>
      <x:c r="S612" s="613" t="n"/>
      <x:c r="T612" s="565" t="n"/>
      <x:c r="U612" s="613" t="n"/>
      <x:c r="V612" s="565" t="n"/>
      <x:c r="W612" s="565" t="n"/>
      <x:c r="X612" s="565" t="n"/>
      <x:c r="Y612" s="565" t="n"/>
      <x:c r="Z612" s="565" t="n"/>
    </x:row>
    <x:row r="613">
      <x:c r="A613" s="527" t="inlineStr">
        <x:is>
          <x:t xml:space="preserve">1962-000501</x:t>
        </x:is>
      </x:c>
      <x:c r="B613" s="527" t="n"/>
      <x:c r="C613" s="527" t="inlineStr">
        <x:is>
          <x:t xml:space="preserve">Oil and Gas Lease</x:t>
        </x:is>
      </x:c>
      <x:c r="D613" s="527" t="inlineStr">
        <x:is>
          <x:t xml:space="preserve">MIS045/0204</x:t>
        </x:is>
      </x:c>
      <x:c r="E613" s="529" t="inlineStr">
        <x:is>
          <x:t xml:space="preserve">04/25/1962</x:t>
        </x:is>
      </x:c>
      <x:c r="F613" s="529" t="n">
        <x:v>22761</x:v>
      </x:c>
      <x:c r="G613" s="527" t="inlineStr">
        <x:is>
          <x:t xml:space="preserve">Margaret Gray,
Murrell Gray</x:t>
        </x:is>
      </x:c>
      <x:c r="H613" s="527" t="inlineStr">
        <x:is>
          <x:t xml:space="preserve">Robert O. Lister Jr.</x:t>
        </x:is>
      </x:c>
      <x:c r="I613" s="527" t="inlineStr">
        <x:is>
          <x:t xml:space="preserve">31-12N-24W (AOL)</x:t>
        </x:is>
      </x:c>
      <x:c r="J613" s="527" t="inlineStr">
        <x:is>
          <x:t xml:space="preserve">Leasehold / WI</x:t>
        </x:is>
      </x:c>
      <x:c r="K613" s="527" t="inlineStr">
        <x:is>
          <x:t xml:space="preserve">OKCountyRecords official index, Roger Mills County (instrument 1962-000501); searched 06/11/2026</x:t>
        </x:is>
      </x:c>
      <x:c r="L613" s="565" t="n"/>
      <x:c r="M613" s="565" t="n"/>
      <x:c r="N613" s="565" t="n"/>
      <x:c r="O613" s="565" t="n"/>
      <x:c r="P613" s="565" t="n"/>
      <x:c r="Q613" s="565" t="n"/>
      <x:c r="R613" s="565" t="n"/>
      <x:c r="S613" s="613" t="n"/>
      <x:c r="T613" s="565" t="n"/>
      <x:c r="U613" s="613" t="n"/>
      <x:c r="V613" s="565" t="n"/>
      <x:c r="W613" s="565" t="n"/>
      <x:c r="X613" s="565" t="n"/>
      <x:c r="Y613" s="565" t="n"/>
      <x:c r="Z613" s="565" t="n"/>
    </x:row>
    <x:row r="614">
      <x:c r="A614" s="527" t="inlineStr">
        <x:is>
          <x:t xml:space="preserve">1962-000502</x:t>
        </x:is>
      </x:c>
      <x:c r="B614" s="527" t="n"/>
      <x:c r="C614" s="527" t="inlineStr">
        <x:is>
          <x:t xml:space="preserve">Oil and Gas Lease</x:t>
        </x:is>
      </x:c>
      <x:c r="D614" s="527" t="inlineStr">
        <x:is>
          <x:t xml:space="preserve">MIS045/0206</x:t>
        </x:is>
      </x:c>
      <x:c r="E614" s="529" t="inlineStr">
        <x:is>
          <x:t xml:space="preserve">04/25/1962</x:t>
        </x:is>
      </x:c>
      <x:c r="F614" s="529" t="n">
        <x:v>22761</x:v>
      </x:c>
      <x:c r="G614" s="527" t="inlineStr">
        <x:is>
          <x:t xml:space="preserve">Gladys Priest</x:t>
        </x:is>
      </x:c>
      <x:c r="H614" s="527" t="inlineStr">
        <x:is>
          <x:t xml:space="preserve">Robert O. Lister Jr.</x:t>
        </x:is>
      </x:c>
      <x:c r="I614" s="527" t="inlineStr">
        <x:is>
          <x:t xml:space="preserve">31-12N-24W (AOL)</x:t>
        </x:is>
      </x:c>
      <x:c r="J614" s="527" t="inlineStr">
        <x:is>
          <x:t xml:space="preserve">Leasehold / WI</x:t>
        </x:is>
      </x:c>
      <x:c r="K614" s="527" t="inlineStr">
        <x:is>
          <x:t xml:space="preserve">OKCountyRecords official index, Roger Mills County (instrument 1962-000502); searched 06/11/2026</x:t>
        </x:is>
      </x:c>
      <x:c r="L614" s="565" t="n"/>
      <x:c r="M614" s="565" t="n"/>
      <x:c r="N614" s="565" t="n"/>
      <x:c r="O614" s="565" t="n"/>
      <x:c r="P614" s="565" t="n"/>
      <x:c r="Q614" s="565" t="n"/>
      <x:c r="R614" s="565" t="n"/>
      <x:c r="S614" s="613" t="n"/>
      <x:c r="T614" s="565" t="n"/>
      <x:c r="U614" s="613" t="n"/>
      <x:c r="V614" s="565" t="n"/>
      <x:c r="W614" s="565" t="n"/>
      <x:c r="X614" s="565" t="n"/>
      <x:c r="Y614" s="565" t="n"/>
      <x:c r="Z614" s="565" t="n"/>
    </x:row>
    <x:row r="615">
      <x:c r="A615" s="527" t="inlineStr">
        <x:is>
          <x:t xml:space="preserve">1962-000503</x:t>
        </x:is>
      </x:c>
      <x:c r="B615" s="527" t="n"/>
      <x:c r="C615" s="527" t="inlineStr">
        <x:is>
          <x:t xml:space="preserve">Oil and Gas Lease</x:t>
        </x:is>
      </x:c>
      <x:c r="D615" s="527" t="inlineStr">
        <x:is>
          <x:t xml:space="preserve">MIS045/0208</x:t>
        </x:is>
      </x:c>
      <x:c r="E615" s="529" t="inlineStr">
        <x:is>
          <x:t xml:space="preserve">04/25/1962</x:t>
        </x:is>
      </x:c>
      <x:c r="F615" s="529" t="n">
        <x:v>22761</x:v>
      </x:c>
      <x:c r="G615" s="527" t="inlineStr">
        <x:is>
          <x:t xml:space="preserve">Ethel I. Carter,
H. M. Carter</x:t>
        </x:is>
      </x:c>
      <x:c r="H615" s="527" t="inlineStr">
        <x:is>
          <x:t xml:space="preserve">Robert O. Lister Jr.</x:t>
        </x:is>
      </x:c>
      <x:c r="I615" s="527" t="inlineStr">
        <x:is>
          <x:t xml:space="preserve">31-12N-24W (AOL)</x:t>
        </x:is>
      </x:c>
      <x:c r="J615" s="527" t="inlineStr">
        <x:is>
          <x:t xml:space="preserve">Leasehold / WI</x:t>
        </x:is>
      </x:c>
      <x:c r="K615" s="527" t="inlineStr">
        <x:is>
          <x:t xml:space="preserve">OKCountyRecords official index, Roger Mills County (instrument 1962-000503); searched 06/11/2026</x:t>
        </x:is>
      </x:c>
      <x:c r="L615" s="565" t="n"/>
      <x:c r="M615" s="565" t="n"/>
      <x:c r="N615" s="565" t="n"/>
      <x:c r="O615" s="565" t="n"/>
      <x:c r="P615" s="565" t="n"/>
      <x:c r="Q615" s="565" t="n"/>
      <x:c r="R615" s="565" t="n"/>
      <x:c r="S615" s="613" t="n"/>
      <x:c r="T615" s="565" t="n"/>
      <x:c r="U615" s="613" t="n"/>
      <x:c r="V615" s="565" t="n"/>
      <x:c r="W615" s="565" t="n"/>
      <x:c r="X615" s="565" t="n"/>
      <x:c r="Y615" s="565" t="n"/>
      <x:c r="Z615" s="565" t="n"/>
    </x:row>
    <x:row r="616">
      <x:c r="A616" s="527" t="inlineStr">
        <x:is>
          <x:t xml:space="preserve">1962-000505</x:t>
        </x:is>
      </x:c>
      <x:c r="B616" s="527" t="n"/>
      <x:c r="C616" s="527" t="inlineStr">
        <x:is>
          <x:t xml:space="preserve">Oil and Gas Lease</x:t>
        </x:is>
      </x:c>
      <x:c r="D616" s="527" t="inlineStr">
        <x:is>
          <x:t xml:space="preserve">MIS045/0212</x:t>
        </x:is>
      </x:c>
      <x:c r="E616" s="529" t="inlineStr">
        <x:is>
          <x:t xml:space="preserve">04/25/1962</x:t>
        </x:is>
      </x:c>
      <x:c r="F616" s="529" t="n">
        <x:v>22761</x:v>
      </x:c>
      <x:c r="G616" s="527" t="inlineStr">
        <x:is>
          <x:t xml:space="preserve">Carrie Lou Mitchell,
Marvin G. Mitchell</x:t>
        </x:is>
      </x:c>
      <x:c r="H616" s="527" t="inlineStr">
        <x:is>
          <x:t xml:space="preserve">Robert O. Lister Jr.</x:t>
        </x:is>
      </x:c>
      <x:c r="I616" s="527" t="inlineStr">
        <x:is>
          <x:t xml:space="preserve">31-12N-24W</x:t>
        </x:is>
      </x:c>
      <x:c r="J616" s="527" t="inlineStr">
        <x:is>
          <x:t xml:space="preserve">Leasehold / WI</x:t>
        </x:is>
      </x:c>
      <x:c r="K616" s="527" t="inlineStr">
        <x:is>
          <x:t xml:space="preserve">OKCountyRecords official index, Roger Mills County (instrument 1962-000505); searched 06/11/2026</x:t>
        </x:is>
      </x:c>
      <x:c r="L616" s="565" t="n"/>
      <x:c r="M616" s="565" t="n"/>
      <x:c r="N616" s="565" t="n"/>
      <x:c r="O616" s="565" t="n"/>
      <x:c r="P616" s="565" t="n"/>
      <x:c r="Q616" s="565" t="n"/>
      <x:c r="R616" s="565" t="n"/>
      <x:c r="S616" s="613" t="n"/>
      <x:c r="T616" s="565" t="n"/>
      <x:c r="U616" s="613" t="n"/>
      <x:c r="V616" s="565" t="n"/>
      <x:c r="W616" s="565" t="n"/>
      <x:c r="X616" s="565" t="n"/>
      <x:c r="Y616" s="565" t="n"/>
      <x:c r="Z616" s="565" t="n"/>
    </x:row>
    <x:row r="617">
      <x:c r="A617" s="527" t="inlineStr">
        <x:is>
          <x:t xml:space="preserve">1962-000506</x:t>
        </x:is>
      </x:c>
      <x:c r="B617" s="527" t="n"/>
      <x:c r="C617" s="527" t="inlineStr">
        <x:is>
          <x:t xml:space="preserve">Oil and Gas Lease</x:t>
        </x:is>
      </x:c>
      <x:c r="D617" s="527" t="inlineStr">
        <x:is>
          <x:t xml:space="preserve">MIS045/0214</x:t>
        </x:is>
      </x:c>
      <x:c r="E617" s="529" t="inlineStr">
        <x:is>
          <x:t xml:space="preserve">04/25/1962</x:t>
        </x:is>
      </x:c>
      <x:c r="F617" s="529" t="n">
        <x:v>22761</x:v>
      </x:c>
      <x:c r="G617" s="527" t="inlineStr">
        <x:is>
          <x:t xml:space="preserve">Carrie Lou Mitchell,
Marvin G. Mitchell</x:t>
        </x:is>
      </x:c>
      <x:c r="H617" s="527" t="inlineStr">
        <x:is>
          <x:t xml:space="preserve">Robert O. Lister Jr.</x:t>
        </x:is>
      </x:c>
      <x:c r="I617" s="527" t="inlineStr">
        <x:is>
          <x:t xml:space="preserve">31-12N-24W</x:t>
        </x:is>
      </x:c>
      <x:c r="J617" s="527" t="inlineStr">
        <x:is>
          <x:t xml:space="preserve">Leasehold / WI</x:t>
        </x:is>
      </x:c>
      <x:c r="K617" s="527" t="inlineStr">
        <x:is>
          <x:t xml:space="preserve">OKCountyRecords official index, Roger Mills County (instrument 1962-000506); searched 06/11/2026</x:t>
        </x:is>
      </x:c>
      <x:c r="L617" s="565" t="n"/>
      <x:c r="M617" s="565" t="n"/>
      <x:c r="N617" s="565" t="n"/>
      <x:c r="O617" s="565" t="n"/>
      <x:c r="P617" s="565" t="n"/>
      <x:c r="Q617" s="565" t="n"/>
      <x:c r="R617" s="565" t="n"/>
      <x:c r="S617" s="613" t="n"/>
      <x:c r="T617" s="565" t="n"/>
      <x:c r="U617" s="613" t="n"/>
      <x:c r="V617" s="565" t="n"/>
      <x:c r="W617" s="565" t="n"/>
      <x:c r="X617" s="565" t="n"/>
      <x:c r="Y617" s="565" t="n"/>
      <x:c r="Z617" s="565" t="n"/>
    </x:row>
    <x:row r="618">
      <x:c r="A618" s="527" t="inlineStr">
        <x:is>
          <x:t xml:space="preserve">1962-000726</x:t>
        </x:is>
      </x:c>
      <x:c r="B618" s="527" t="n"/>
      <x:c r="C618" s="527" t="inlineStr">
        <x:is>
          <x:t xml:space="preserve">Oil and Gas Lease</x:t>
        </x:is>
      </x:c>
      <x:c r="D618" s="527" t="inlineStr">
        <x:is>
          <x:t xml:space="preserve">MIS045/0598</x:t>
        </x:is>
      </x:c>
      <x:c r="E618" s="529" t="inlineStr">
        <x:is>
          <x:t xml:space="preserve">06/19/1962</x:t>
        </x:is>
      </x:c>
      <x:c r="F618" s="529" t="n">
        <x:v>22816</x:v>
      </x:c>
      <x:c r="G618" s="527" t="inlineStr">
        <x:is>
          <x:t xml:space="preserve">Carrie Lou Mitchell,
Marvin G. Mitchell</x:t>
        </x:is>
      </x:c>
      <x:c r="H618" s="527" t="inlineStr">
        <x:is>
          <x:t xml:space="preserve">Robert O. Lister Jr.</x:t>
        </x:is>
      </x:c>
      <x:c r="I618" s="527" t="inlineStr">
        <x:is>
          <x:t xml:space="preserve">31-12N-24W</x:t>
        </x:is>
      </x:c>
      <x:c r="J618" s="527" t="inlineStr">
        <x:is>
          <x:t xml:space="preserve">Leasehold / WI</x:t>
        </x:is>
      </x:c>
      <x:c r="K618" s="527" t="inlineStr">
        <x:is>
          <x:t xml:space="preserve">OKCountyRecords official index, Roger Mills County (instrument 1962-000726); searched 06/11/2026</x:t>
        </x:is>
      </x:c>
      <x:c r="L618" s="565" t="n"/>
      <x:c r="M618" s="565" t="n"/>
      <x:c r="N618" s="565" t="n"/>
      <x:c r="O618" s="565" t="n"/>
      <x:c r="P618" s="565" t="n"/>
      <x:c r="Q618" s="565" t="n"/>
      <x:c r="R618" s="565" t="n"/>
      <x:c r="S618" s="613" t="n"/>
      <x:c r="T618" s="565" t="n"/>
      <x:c r="U618" s="613" t="n"/>
      <x:c r="V618" s="565" t="n"/>
      <x:c r="W618" s="565" t="n"/>
      <x:c r="X618" s="565" t="n"/>
      <x:c r="Y618" s="565" t="n"/>
      <x:c r="Z618" s="565" t="n"/>
    </x:row>
    <x:row r="619">
      <x:c r="A619" s="527" t="inlineStr">
        <x:is>
          <x:t xml:space="preserve">1962-000727</x:t>
        </x:is>
      </x:c>
      <x:c r="B619" s="527" t="n"/>
      <x:c r="C619" s="527" t="inlineStr">
        <x:is>
          <x:t xml:space="preserve">Oil and Gas Lease</x:t>
        </x:is>
      </x:c>
      <x:c r="D619" s="527" t="inlineStr">
        <x:is>
          <x:t xml:space="preserve">MIS045/0600</x:t>
        </x:is>
      </x:c>
      <x:c r="E619" s="529" t="inlineStr">
        <x:is>
          <x:t xml:space="preserve">06/19/1962</x:t>
        </x:is>
      </x:c>
      <x:c r="F619" s="529" t="n">
        <x:v>22816</x:v>
      </x:c>
      <x:c r="G619" s="527" t="inlineStr">
        <x:is>
          <x:t xml:space="preserve">Carrie Lou Mitchell,
Marvin G. Mitchell</x:t>
        </x:is>
      </x:c>
      <x:c r="H619" s="527" t="inlineStr">
        <x:is>
          <x:t xml:space="preserve">Robert O. Lister Jr.</x:t>
        </x:is>
      </x:c>
      <x:c r="I619" s="527" t="inlineStr">
        <x:is>
          <x:t xml:space="preserve">31-12N-24W</x:t>
        </x:is>
      </x:c>
      <x:c r="J619" s="527" t="inlineStr">
        <x:is>
          <x:t xml:space="preserve">Leasehold / WI</x:t>
        </x:is>
      </x:c>
      <x:c r="K619" s="527" t="inlineStr">
        <x:is>
          <x:t xml:space="preserve">OKCountyRecords official index, Roger Mills County (instrument 1962-000727); searched 06/11/2026</x:t>
        </x:is>
      </x:c>
      <x:c r="L619" s="565" t="n"/>
      <x:c r="M619" s="565" t="n"/>
      <x:c r="N619" s="565" t="n"/>
      <x:c r="O619" s="565" t="n"/>
      <x:c r="P619" s="565" t="n"/>
      <x:c r="Q619" s="565" t="n"/>
      <x:c r="R619" s="565" t="n"/>
      <x:c r="S619" s="613" t="n"/>
      <x:c r="T619" s="565" t="n"/>
      <x:c r="U619" s="613" t="n"/>
      <x:c r="V619" s="565" t="n"/>
      <x:c r="W619" s="565" t="n"/>
      <x:c r="X619" s="565" t="n"/>
      <x:c r="Y619" s="565" t="n"/>
      <x:c r="Z619" s="565" t="n"/>
    </x:row>
    <x:row r="620">
      <x:c r="A620" s="527" t="inlineStr">
        <x:is>
          <x:t xml:space="preserve">1962-001141</x:t>
        </x:is>
      </x:c>
      <x:c r="B620" s="527" t="n"/>
      <x:c r="C620" s="527" t="inlineStr">
        <x:is>
          <x:t xml:space="preserve">Deed</x:t>
        </x:is>
      </x:c>
      <x:c r="D620" s="527" t="inlineStr">
        <x:is>
          <x:t xml:space="preserve">MIS047/0164</x:t>
        </x:is>
      </x:c>
      <x:c r="E620" s="529" t="inlineStr">
        <x:is>
          <x:t xml:space="preserve">09/17/1962</x:t>
        </x:is>
      </x:c>
      <x:c r="F620" s="529" t="n">
        <x:v>22906</x:v>
      </x:c>
      <x:c r="G620" s="527" t="inlineStr">
        <x:is>
          <x:t xml:space="preserve">Hazel Ayers,
W. L. Ayers</x:t>
        </x:is>
      </x:c>
      <x:c r="H620" s="527" t="inlineStr">
        <x:is>
          <x:t xml:space="preserve">Robert O. Lister Jr.</x:t>
        </x:is>
      </x:c>
      <x:c r="I620" s="527" t="inlineStr">
        <x:is>
          <x:t xml:space="preserve">31-12N-24W</x:t>
        </x:is>
      </x:c>
      <x:c r="J620" s="527" t="inlineStr">
        <x:is>
          <x:t xml:space="preserve">Fee / as stated</x:t>
        </x:is>
      </x:c>
      <x:c r="K620" s="527" t="inlineStr">
        <x:is>
          <x:t xml:space="preserve">OKCountyRecords official index, Roger Mills County (instrument 1962-001141); searched 06/11/2026</x:t>
        </x:is>
      </x:c>
      <x:c r="L620" s="565" t="n"/>
      <x:c r="M620" s="565" t="n"/>
      <x:c r="N620" s="565" t="n"/>
      <x:c r="O620" s="565" t="n"/>
      <x:c r="P620" s="565" t="n"/>
      <x:c r="Q620" s="565" t="n"/>
      <x:c r="R620" s="565" t="n"/>
      <x:c r="S620" s="613" t="n"/>
      <x:c r="T620" s="565" t="n"/>
      <x:c r="U620" s="613" t="n"/>
      <x:c r="V620" s="565" t="n"/>
      <x:c r="W620" s="565" t="n"/>
      <x:c r="X620" s="565" t="n"/>
      <x:c r="Y620" s="565" t="n"/>
      <x:c r="Z620" s="565" t="n"/>
    </x:row>
    <x:row r="621">
      <x:c r="A621" s="527" t="inlineStr">
        <x:is>
          <x:t xml:space="preserve">1962-001142</x:t>
        </x:is>
      </x:c>
      <x:c r="B621" s="527" t="n"/>
      <x:c r="C621" s="527" t="inlineStr">
        <x:is>
          <x:t xml:space="preserve">Deed</x:t>
        </x:is>
      </x:c>
      <x:c r="D621" s="527" t="inlineStr">
        <x:is>
          <x:t xml:space="preserve">MIS047/0165</x:t>
        </x:is>
      </x:c>
      <x:c r="E621" s="529" t="inlineStr">
        <x:is>
          <x:t xml:space="preserve">09/17/1962</x:t>
        </x:is>
      </x:c>
      <x:c r="F621" s="529" t="n">
        <x:v>22906</x:v>
      </x:c>
      <x:c r="G621" s="527" t="inlineStr">
        <x:is>
          <x:t xml:space="preserve">Hazel Ayers,
W. L. Ayers</x:t>
        </x:is>
      </x:c>
      <x:c r="H621" s="527" t="inlineStr">
        <x:is>
          <x:t xml:space="preserve">Robert O. Lister Jr.</x:t>
        </x:is>
      </x:c>
      <x:c r="I621" s="527" t="inlineStr">
        <x:is>
          <x:t xml:space="preserve">31-12N-24W (AOL)</x:t>
        </x:is>
      </x:c>
      <x:c r="J621" s="527" t="inlineStr">
        <x:is>
          <x:t xml:space="preserve">Fee / as stated</x:t>
        </x:is>
      </x:c>
      <x:c r="K621" s="527" t="inlineStr">
        <x:is>
          <x:t xml:space="preserve">OKCountyRecords official index, Roger Mills County (instrument 1962-001142); searched 06/11/2026</x:t>
        </x:is>
      </x:c>
      <x:c r="L621" s="565" t="n"/>
      <x:c r="M621" s="565" t="n"/>
      <x:c r="N621" s="565" t="n"/>
      <x:c r="O621" s="565" t="n"/>
      <x:c r="P621" s="565" t="n"/>
      <x:c r="Q621" s="565" t="n"/>
      <x:c r="R621" s="565" t="n"/>
      <x:c r="S621" s="613" t="n"/>
      <x:c r="T621" s="565" t="n"/>
      <x:c r="U621" s="613" t="n"/>
      <x:c r="V621" s="565" t="n"/>
      <x:c r="W621" s="565" t="n"/>
      <x:c r="X621" s="565" t="n"/>
      <x:c r="Y621" s="565" t="n"/>
      <x:c r="Z621" s="565" t="n"/>
    </x:row>
    <x:row r="622">
      <x:c r="A622" s="527" t="inlineStr">
        <x:is>
          <x:t xml:space="preserve">1962-001143</x:t>
        </x:is>
      </x:c>
      <x:c r="B622" s="527" t="n"/>
      <x:c r="C622" s="527" t="inlineStr">
        <x:is>
          <x:t xml:space="preserve">Oil and Gas Lease</x:t>
        </x:is>
      </x:c>
      <x:c r="D622" s="527" t="inlineStr">
        <x:is>
          <x:t xml:space="preserve">MIS047/0166</x:t>
        </x:is>
      </x:c>
      <x:c r="E622" s="529" t="inlineStr">
        <x:is>
          <x:t xml:space="preserve">09/17/1962</x:t>
        </x:is>
      </x:c>
      <x:c r="F622" s="529" t="n">
        <x:v>22906</x:v>
      </x:c>
      <x:c r="G622" s="527" t="inlineStr">
        <x:is>
          <x:t xml:space="preserve">Marie Lister,
Robert O. Lister Jr.</x:t>
        </x:is>
      </x:c>
      <x:c r="H622" s="527" t="inlineStr">
        <x:is>
          <x:t xml:space="preserve">W. V. Lister</x:t>
        </x:is>
      </x:c>
      <x:c r="I622" s="527" t="inlineStr">
        <x:is>
          <x:t xml:space="preserve">31-12N-24W (AOL)</x:t>
        </x:is>
      </x:c>
      <x:c r="J622" s="527" t="inlineStr">
        <x:is>
          <x:t xml:space="preserve">Leasehold / WI</x:t>
        </x:is>
      </x:c>
      <x:c r="K622" s="527" t="inlineStr">
        <x:is>
          <x:t xml:space="preserve">OKCountyRecords official index, Roger Mills County (instrument 1962-001143); searched 06/11/2026</x:t>
        </x:is>
      </x:c>
      <x:c r="L622" s="565" t="n"/>
      <x:c r="M622" s="565" t="n"/>
      <x:c r="N622" s="565" t="n"/>
      <x:c r="O622" s="565" t="n"/>
      <x:c r="P622" s="565" t="n"/>
      <x:c r="Q622" s="565" t="n"/>
      <x:c r="R622" s="565" t="n"/>
      <x:c r="S622" s="613" t="n"/>
      <x:c r="T622" s="565" t="n"/>
      <x:c r="U622" s="613" t="n"/>
      <x:c r="V622" s="565" t="n"/>
      <x:c r="W622" s="565" t="n"/>
      <x:c r="X622" s="565" t="n"/>
      <x:c r="Y622" s="565" t="n"/>
      <x:c r="Z622" s="565" t="n"/>
    </x:row>
    <x:row r="623">
      <x:c r="A623" s="527" t="inlineStr">
        <x:is>
          <x:t xml:space="preserve">1962-001144</x:t>
        </x:is>
      </x:c>
      <x:c r="B623" s="527" t="n"/>
      <x:c r="C623" s="527" t="inlineStr">
        <x:is>
          <x:t xml:space="preserve">Deed</x:t>
        </x:is>
      </x:c>
      <x:c r="D623" s="527" t="inlineStr">
        <x:is>
          <x:t xml:space="preserve">MIS047/0168</x:t>
        </x:is>
      </x:c>
      <x:c r="E623" s="529" t="inlineStr">
        <x:is>
          <x:t xml:space="preserve">09/17/1962</x:t>
        </x:is>
      </x:c>
      <x:c r="F623" s="529" t="n">
        <x:v>22906</x:v>
      </x:c>
      <x:c r="G623" s="527" t="inlineStr">
        <x:is>
          <x:t xml:space="preserve">Marie Lister,
Robert O. Lister Jr.</x:t>
        </x:is>
      </x:c>
      <x:c r="H623" s="527" t="inlineStr">
        <x:is>
          <x:t xml:space="preserve">Carrie Lou Mitchell,
Marvin G. Mitchell</x:t>
        </x:is>
      </x:c>
      <x:c r="I623" s="527" t="inlineStr">
        <x:is>
          <x:t xml:space="preserve">31-12N-24W</x:t>
        </x:is>
      </x:c>
      <x:c r="J623" s="527" t="inlineStr">
        <x:is>
          <x:t xml:space="preserve">Fee / as stated</x:t>
        </x:is>
      </x:c>
      <x:c r="K623" s="527" t="inlineStr">
        <x:is>
          <x:t xml:space="preserve">OKCountyRecords official index, Roger Mills County (instrument 1962-001144); searched 06/11/2026</x:t>
        </x:is>
      </x:c>
      <x:c r="L623" s="565" t="n"/>
      <x:c r="M623" s="565" t="n"/>
      <x:c r="N623" s="565" t="n"/>
      <x:c r="O623" s="565" t="n"/>
      <x:c r="P623" s="565" t="n"/>
      <x:c r="Q623" s="565" t="n"/>
      <x:c r="R623" s="565" t="n"/>
      <x:c r="S623" s="613" t="n"/>
      <x:c r="T623" s="565" t="n"/>
      <x:c r="U623" s="613" t="n"/>
      <x:c r="V623" s="565" t="n"/>
      <x:c r="W623" s="565" t="n"/>
      <x:c r="X623" s="565" t="n"/>
      <x:c r="Y623" s="565" t="n"/>
      <x:c r="Z623" s="565" t="n"/>
    </x:row>
    <x:row r="624">
      <x:c r="A624" s="527" t="inlineStr">
        <x:is>
          <x:t xml:space="preserve">1962-001145</x:t>
        </x:is>
      </x:c>
      <x:c r="B624" s="527" t="n"/>
      <x:c r="C624" s="527" t="inlineStr">
        <x:is>
          <x:t xml:space="preserve">Deed</x:t>
        </x:is>
      </x:c>
      <x:c r="D624" s="527" t="inlineStr">
        <x:is>
          <x:t xml:space="preserve">MIS047/0169</x:t>
        </x:is>
      </x:c>
      <x:c r="E624" s="529" t="inlineStr">
        <x:is>
          <x:t xml:space="preserve">09/17/1962</x:t>
        </x:is>
      </x:c>
      <x:c r="F624" s="529" t="n">
        <x:v>22906</x:v>
      </x:c>
      <x:c r="G624" s="527" t="inlineStr">
        <x:is>
          <x:t xml:space="preserve">Marie Lister,
Robert O. Lister Jr.</x:t>
        </x:is>
      </x:c>
      <x:c r="H624" s="527" t="inlineStr">
        <x:is>
          <x:t xml:space="preserve">Carrie Lou Mitchell</x:t>
        </x:is>
      </x:c>
      <x:c r="I624" s="527" t="inlineStr">
        <x:is>
          <x:t xml:space="preserve">31-12N-24W</x:t>
        </x:is>
      </x:c>
      <x:c r="J624" s="527" t="inlineStr">
        <x:is>
          <x:t xml:space="preserve">Fee / as stated</x:t>
        </x:is>
      </x:c>
      <x:c r="K624" s="527" t="inlineStr">
        <x:is>
          <x:t xml:space="preserve">OKCountyRecords official index, Roger Mills County (instrument 1962-001145); searched 06/11/2026</x:t>
        </x:is>
      </x:c>
      <x:c r="L624" s="565" t="n"/>
      <x:c r="M624" s="565" t="n"/>
      <x:c r="N624" s="565" t="n"/>
      <x:c r="O624" s="565" t="n"/>
      <x:c r="P624" s="565" t="n"/>
      <x:c r="Q624" s="565" t="n"/>
      <x:c r="R624" s="565" t="n"/>
      <x:c r="S624" s="613" t="n"/>
      <x:c r="T624" s="565" t="n"/>
      <x:c r="U624" s="613" t="n"/>
      <x:c r="V624" s="565" t="n"/>
      <x:c r="W624" s="565" t="n"/>
      <x:c r="X624" s="565" t="n"/>
      <x:c r="Y624" s="565" t="n"/>
      <x:c r="Z624" s="565" t="n"/>
    </x:row>
    <x:row r="625">
      <x:c r="A625" s="527" t="inlineStr">
        <x:is>
          <x:t xml:space="preserve">1962-001196</x:t>
        </x:is>
      </x:c>
      <x:c r="B625" s="527" t="n"/>
      <x:c r="C625" s="527" t="inlineStr">
        <x:is>
          <x:t xml:space="preserve">Oil and Gas Lease</x:t>
        </x:is>
      </x:c>
      <x:c r="D625" s="527" t="inlineStr">
        <x:is>
          <x:t xml:space="preserve">MIS047/0240</x:t>
        </x:is>
      </x:c>
      <x:c r="E625" s="529" t="inlineStr">
        <x:is>
          <x:t xml:space="preserve">09/24/1962</x:t>
        </x:is>
      </x:c>
      <x:c r="F625" s="529" t="n">
        <x:v>22913</x:v>
      </x:c>
      <x:c r="G625" s="527" t="inlineStr">
        <x:is>
          <x:t xml:space="preserve">Eula Bain,
W. M. Bain</x:t>
        </x:is>
      </x:c>
      <x:c r="H625" s="527" t="inlineStr">
        <x:is>
          <x:t xml:space="preserve">Jack Campbell</x:t>
        </x:is>
      </x:c>
      <x:c r="I625" s="527" t="inlineStr">
        <x:is>
          <x:t xml:space="preserve">31-12N-24W</x:t>
        </x:is>
      </x:c>
      <x:c r="J625" s="527" t="inlineStr">
        <x:is>
          <x:t xml:space="preserve">Leasehold / WI</x:t>
        </x:is>
      </x:c>
      <x:c r="K625" s="527" t="inlineStr">
        <x:is>
          <x:t xml:space="preserve">OKCountyRecords official index, Roger Mills County (instrument 1962-001196); searched 06/11/2026</x:t>
        </x:is>
      </x:c>
      <x:c r="L625" s="565" t="n"/>
      <x:c r="M625" s="565" t="n"/>
      <x:c r="N625" s="565" t="n"/>
      <x:c r="O625" s="565" t="n"/>
      <x:c r="P625" s="565" t="n"/>
      <x:c r="Q625" s="565" t="n"/>
      <x:c r="R625" s="565" t="n"/>
      <x:c r="S625" s="613" t="n"/>
      <x:c r="T625" s="565" t="n"/>
      <x:c r="U625" s="613" t="n"/>
      <x:c r="V625" s="565" t="n"/>
      <x:c r="W625" s="565" t="n"/>
      <x:c r="X625" s="565" t="n"/>
      <x:c r="Y625" s="565" t="n"/>
      <x:c r="Z625" s="565" t="n"/>
    </x:row>
    <x:row r="626">
      <x:c r="A626" s="527" t="inlineStr">
        <x:is>
          <x:t xml:space="preserve">1962-001271</x:t>
        </x:is>
      </x:c>
      <x:c r="B626" s="527" t="n"/>
      <x:c r="C626" s="527" t="inlineStr">
        <x:is>
          <x:t xml:space="preserve">Release</x:t>
        </x:is>
      </x:c>
      <x:c r="D626" s="527" t="inlineStr">
        <x:is>
          <x:t xml:space="preserve">MIS047/0367</x:t>
        </x:is>
      </x:c>
      <x:c r="E626" s="529" t="inlineStr">
        <x:is>
          <x:t xml:space="preserve">10/08/1962</x:t>
        </x:is>
      </x:c>
      <x:c r="F626" s="529" t="n">
        <x:v>22927</x:v>
      </x:c>
      <x:c r="G626" s="527" t="inlineStr">
        <x:is>
          <x:t xml:space="preserve">Commissioners of the Land Office</x:t>
        </x:is>
      </x:c>
      <x:c r="H626" s="527" t="inlineStr">
        <x:is>
          <x:t xml:space="preserve">Eula Bain,
William C. Bain</x:t>
        </x:is>
      </x:c>
      <x:c r="I626" s="527" t="inlineStr">
        <x:is>
          <x:t xml:space="preserve">31-12N-24W</x:t>
        </x:is>
      </x:c>
      <x:c r="J626" s="527" t="inlineStr">
        <x:is>
          <x:t xml:space="preserve">Leasehold / WI</x:t>
        </x:is>
      </x:c>
      <x:c r="K626" s="527" t="inlineStr">
        <x:is>
          <x:t xml:space="preserve">OKCountyRecords official index, Roger Mills County (instrument 1962-001271); searched 06/11/2026</x:t>
        </x:is>
      </x:c>
      <x:c r="L626" s="565" t="n"/>
      <x:c r="M626" s="565" t="n"/>
      <x:c r="N626" s="565" t="n"/>
      <x:c r="O626" s="565" t="n"/>
      <x:c r="P626" s="565" t="n"/>
      <x:c r="Q626" s="565" t="n"/>
      <x:c r="R626" s="565" t="n"/>
      <x:c r="S626" s="613" t="n"/>
      <x:c r="T626" s="565" t="n"/>
      <x:c r="U626" s="613" t="n"/>
      <x:c r="V626" s="565" t="n"/>
      <x:c r="W626" s="565" t="n"/>
      <x:c r="X626" s="565" t="n"/>
      <x:c r="Y626" s="565" t="n"/>
      <x:c r="Z626" s="565" t="n"/>
    </x:row>
    <x:row r="627">
      <x:c r="A627" s="527" t="inlineStr">
        <x:is>
          <x:t xml:space="preserve">1962-001281</x:t>
        </x:is>
      </x:c>
      <x:c r="B627" s="527" t="n"/>
      <x:c r="C627" s="527" t="inlineStr">
        <x:is>
          <x:t xml:space="preserve">Assignment</x:t>
        </x:is>
      </x:c>
      <x:c r="D627" s="527" t="inlineStr">
        <x:is>
          <x:t xml:space="preserve">MIS047/0377</x:t>
        </x:is>
      </x:c>
      <x:c r="E627" s="529" t="inlineStr">
        <x:is>
          <x:t xml:space="preserve">10/09/1962</x:t>
        </x:is>
      </x:c>
      <x:c r="F627" s="529" t="n">
        <x:v>22928</x:v>
      </x:c>
      <x:c r="G627" s="527" t="inlineStr">
        <x:is>
          <x:t xml:space="preserve">Jack Campbell</x:t>
        </x:is>
      </x:c>
      <x:c r="H627" s="527" t="inlineStr">
        <x:is>
          <x:t xml:space="preserve">Midwest Oil Corporation</x:t>
        </x:is>
      </x:c>
      <x:c r="I627" s="527" t="inlineStr">
        <x:is>
          <x:t xml:space="preserve">31-12N-24W</x:t>
        </x:is>
      </x:c>
      <x:c r="J627" s="527" t="inlineStr">
        <x:is>
          <x:t xml:space="preserve">Leasehold / WI</x:t>
        </x:is>
      </x:c>
      <x:c r="K627" s="527" t="inlineStr">
        <x:is>
          <x:t xml:space="preserve">OKCountyRecords official index, Roger Mills County (instrument 1962-001281); searched 06/11/2026</x:t>
        </x:is>
      </x:c>
      <x:c r="L627" s="565" t="n"/>
      <x:c r="M627" s="565" t="n"/>
      <x:c r="N627" s="565" t="n"/>
      <x:c r="O627" s="565" t="n"/>
      <x:c r="P627" s="565" t="n"/>
      <x:c r="Q627" s="565" t="n"/>
      <x:c r="R627" s="565" t="n"/>
      <x:c r="S627" s="613" t="n"/>
      <x:c r="T627" s="565" t="n"/>
      <x:c r="U627" s="613" t="n"/>
      <x:c r="V627" s="565" t="n"/>
      <x:c r="W627" s="565" t="n"/>
      <x:c r="X627" s="565" t="n"/>
      <x:c r="Y627" s="565" t="n"/>
      <x:c r="Z627" s="565" t="n"/>
    </x:row>
    <x:row r="628">
      <x:c r="A628" s="527" t="inlineStr">
        <x:is>
          <x:t xml:space="preserve">1962-001389</x:t>
        </x:is>
      </x:c>
      <x:c r="B628" s="527" t="n"/>
      <x:c r="C628" s="527" t="inlineStr">
        <x:is>
          <x:t xml:space="preserve">Deed</x:t>
        </x:is>
      </x:c>
      <x:c r="D628" s="527" t="inlineStr">
        <x:is>
          <x:t xml:space="preserve">MIS047/0558</x:t>
        </x:is>
      </x:c>
      <x:c r="E628" s="529" t="inlineStr">
        <x:is>
          <x:t xml:space="preserve">10/19/1962</x:t>
        </x:is>
      </x:c>
      <x:c r="F628" s="529" t="n">
        <x:v>22938</x:v>
      </x:c>
      <x:c r="G628" s="527" t="inlineStr">
        <x:is>
          <x:t xml:space="preserve">Robert O. Lister Jr.</x:t>
        </x:is>
      </x:c>
      <x:c r="H628" s="527" t="inlineStr">
        <x:is>
          <x:t xml:space="preserve">A. C. Campbell</x:t>
        </x:is>
      </x:c>
      <x:c r="I628" s="527" t="inlineStr">
        <x:is>
          <x:t xml:space="preserve">31-12N-24W</x:t>
        </x:is>
      </x:c>
      <x:c r="J628" s="527" t="inlineStr">
        <x:is>
          <x:t xml:space="preserve">Fee / as stated</x:t>
        </x:is>
      </x:c>
      <x:c r="K628" s="527" t="inlineStr">
        <x:is>
          <x:t xml:space="preserve">OKCountyRecords official index, Roger Mills County (instrument 1962-001389); searched 06/11/2026</x:t>
        </x:is>
      </x:c>
      <x:c r="L628" s="565" t="n"/>
      <x:c r="M628" s="565" t="n"/>
      <x:c r="N628" s="565" t="n"/>
      <x:c r="O628" s="565" t="n"/>
      <x:c r="P628" s="565" t="n"/>
      <x:c r="Q628" s="565" t="n"/>
      <x:c r="R628" s="565" t="n"/>
      <x:c r="S628" s="613" t="n"/>
      <x:c r="T628" s="565" t="n"/>
      <x:c r="U628" s="613" t="n"/>
      <x:c r="V628" s="565" t="n"/>
      <x:c r="W628" s="565" t="n"/>
      <x:c r="X628" s="565" t="n"/>
      <x:c r="Y628" s="565" t="n"/>
      <x:c r="Z628" s="565" t="n"/>
    </x:row>
    <x:row r="629">
      <x:c r="A629" s="527" t="inlineStr">
        <x:is>
          <x:t xml:space="preserve">1962-001390</x:t>
        </x:is>
      </x:c>
      <x:c r="B629" s="527" t="n"/>
      <x:c r="C629" s="527" t="inlineStr">
        <x:is>
          <x:t xml:space="preserve">Deed</x:t>
        </x:is>
      </x:c>
      <x:c r="D629" s="527" t="inlineStr">
        <x:is>
          <x:t xml:space="preserve">MIS047/0559</x:t>
        </x:is>
      </x:c>
      <x:c r="E629" s="529" t="inlineStr">
        <x:is>
          <x:t xml:space="preserve">10/19/1962</x:t>
        </x:is>
      </x:c>
      <x:c r="F629" s="529" t="n">
        <x:v>22938</x:v>
      </x:c>
      <x:c r="G629" s="527" t="inlineStr">
        <x:is>
          <x:t xml:space="preserve">Robert O. Lister Jr.</x:t>
        </x:is>
      </x:c>
      <x:c r="H629" s="527" t="inlineStr">
        <x:is>
          <x:t xml:space="preserve">J. W. Klopfenstein</x:t>
        </x:is>
      </x:c>
      <x:c r="I629" s="527" t="inlineStr">
        <x:is>
          <x:t xml:space="preserve">31-12N-24W</x:t>
        </x:is>
      </x:c>
      <x:c r="J629" s="527" t="inlineStr">
        <x:is>
          <x:t xml:space="preserve">Fee / as stated</x:t>
        </x:is>
      </x:c>
      <x:c r="K629" s="527" t="inlineStr">
        <x:is>
          <x:t xml:space="preserve">OKCountyRecords official index, Roger Mills County (instrument 1962-001390); searched 06/11/2026</x:t>
        </x:is>
      </x:c>
      <x:c r="L629" s="565" t="n"/>
      <x:c r="M629" s="565" t="n"/>
      <x:c r="N629" s="565" t="n"/>
      <x:c r="O629" s="565" t="n"/>
      <x:c r="P629" s="565" t="n"/>
      <x:c r="Q629" s="565" t="n"/>
      <x:c r="R629" s="565" t="n"/>
      <x:c r="S629" s="613" t="n"/>
      <x:c r="T629" s="565" t="n"/>
      <x:c r="U629" s="613" t="n"/>
      <x:c r="V629" s="565" t="n"/>
      <x:c r="W629" s="565" t="n"/>
      <x:c r="X629" s="565" t="n"/>
      <x:c r="Y629" s="565" t="n"/>
      <x:c r="Z629" s="565" t="n"/>
    </x:row>
    <x:row r="630">
      <x:c r="A630" s="527" t="inlineStr">
        <x:is>
          <x:t xml:space="preserve">1963-000284</x:t>
        </x:is>
      </x:c>
      <x:c r="B630" s="527" t="n"/>
      <x:c r="C630" s="527" t="inlineStr">
        <x:is>
          <x:t xml:space="preserve">Assignment</x:t>
        </x:is>
      </x:c>
      <x:c r="D630" s="527" t="inlineStr">
        <x:is>
          <x:t xml:space="preserve">MIS050/0067</x:t>
        </x:is>
      </x:c>
      <x:c r="E630" s="529" t="inlineStr">
        <x:is>
          <x:t xml:space="preserve">02/12/1963</x:t>
        </x:is>
      </x:c>
      <x:c r="F630" s="529" t="n">
        <x:v>23054</x:v>
      </x:c>
      <x:c r="G630" s="527" t="inlineStr">
        <x:is>
          <x:t xml:space="preserve">Robert O. Lister Jr.</x:t>
        </x:is>
      </x:c>
      <x:c r="H630" s="527" t="inlineStr">
        <x:is>
          <x:t xml:space="preserve">W. V. Lister</x:t>
        </x:is>
      </x:c>
      <x:c r="I630" s="527" t="inlineStr">
        <x:is>
          <x:t xml:space="preserve">31-12N-24W (AOL)</x:t>
        </x:is>
      </x:c>
      <x:c r="J630" s="527" t="inlineStr">
        <x:is>
          <x:t xml:space="preserve">Leasehold / WI</x:t>
        </x:is>
      </x:c>
      <x:c r="K630" s="527" t="inlineStr">
        <x:is>
          <x:t xml:space="preserve">OKCountyRecords official index, Roger Mills County (instrument 1963-000284); searched 06/11/2026</x:t>
        </x:is>
      </x:c>
      <x:c r="L630" s="565" t="n"/>
      <x:c r="M630" s="565" t="n"/>
      <x:c r="N630" s="565" t="n"/>
      <x:c r="O630" s="565" t="n"/>
      <x:c r="P630" s="565" t="n"/>
      <x:c r="Q630" s="565" t="n"/>
      <x:c r="R630" s="565" t="n"/>
      <x:c r="S630" s="613" t="n"/>
      <x:c r="T630" s="565" t="n"/>
      <x:c r="U630" s="613" t="n"/>
      <x:c r="V630" s="565" t="n"/>
      <x:c r="W630" s="565" t="n"/>
      <x:c r="X630" s="565" t="n"/>
      <x:c r="Y630" s="565" t="n"/>
      <x:c r="Z630" s="565" t="n"/>
    </x:row>
    <x:row r="631">
      <x:c r="A631" s="527" t="inlineStr">
        <x:is>
          <x:t xml:space="preserve">1963-000285</x:t>
        </x:is>
      </x:c>
      <x:c r="B631" s="527" t="n"/>
      <x:c r="C631" s="527" t="inlineStr">
        <x:is>
          <x:t xml:space="preserve">Assignment</x:t>
        </x:is>
      </x:c>
      <x:c r="D631" s="527" t="inlineStr">
        <x:is>
          <x:t xml:space="preserve">MIS050/0068</x:t>
        </x:is>
      </x:c>
      <x:c r="E631" s="529" t="inlineStr">
        <x:is>
          <x:t xml:space="preserve">02/12/1963</x:t>
        </x:is>
      </x:c>
      <x:c r="F631" s="529" t="n">
        <x:v>23054</x:v>
      </x:c>
      <x:c r="G631" s="527" t="inlineStr">
        <x:is>
          <x:t xml:space="preserve">Robert O. Lister Jr.</x:t>
        </x:is>
      </x:c>
      <x:c r="H631" s="527" t="inlineStr">
        <x:is>
          <x:t xml:space="preserve">W. V. Lister</x:t>
        </x:is>
      </x:c>
      <x:c r="I631" s="527" t="inlineStr">
        <x:is>
          <x:t xml:space="preserve">31-12N-24W (AOL)</x:t>
        </x:is>
      </x:c>
      <x:c r="J631" s="527" t="inlineStr">
        <x:is>
          <x:t xml:space="preserve">Leasehold / WI</x:t>
        </x:is>
      </x:c>
      <x:c r="K631" s="527" t="inlineStr">
        <x:is>
          <x:t xml:space="preserve">OKCountyRecords official index, Roger Mills County (instrument 1963-000285); searched 06/11/2026</x:t>
        </x:is>
      </x:c>
      <x:c r="L631" s="565" t="n"/>
      <x:c r="M631" s="565" t="n"/>
      <x:c r="N631" s="565" t="n"/>
      <x:c r="O631" s="565" t="n"/>
      <x:c r="P631" s="565" t="n"/>
      <x:c r="Q631" s="565" t="n"/>
      <x:c r="R631" s="565" t="n"/>
      <x:c r="S631" s="613" t="n"/>
      <x:c r="T631" s="565" t="n"/>
      <x:c r="U631" s="613" t="n"/>
      <x:c r="V631" s="565" t="n"/>
      <x:c r="W631" s="565" t="n"/>
      <x:c r="X631" s="565" t="n"/>
      <x:c r="Y631" s="565" t="n"/>
      <x:c r="Z631" s="565" t="n"/>
    </x:row>
    <x:row r="632">
      <x:c r="A632" s="527" t="inlineStr">
        <x:is>
          <x:t xml:space="preserve">1963-000286</x:t>
        </x:is>
      </x:c>
      <x:c r="B632" s="527" t="n"/>
      <x:c r="C632" s="527" t="inlineStr">
        <x:is>
          <x:t xml:space="preserve">Assignment</x:t>
        </x:is>
      </x:c>
      <x:c r="D632" s="527" t="inlineStr">
        <x:is>
          <x:t xml:space="preserve">MIS050/0069</x:t>
        </x:is>
      </x:c>
      <x:c r="E632" s="529" t="inlineStr">
        <x:is>
          <x:t xml:space="preserve">02/12/1963</x:t>
        </x:is>
      </x:c>
      <x:c r="F632" s="529" t="n">
        <x:v>23054</x:v>
      </x:c>
      <x:c r="G632" s="527" t="inlineStr">
        <x:is>
          <x:t xml:space="preserve">Robert O. Lister Jr.</x:t>
        </x:is>
      </x:c>
      <x:c r="H632" s="527" t="inlineStr">
        <x:is>
          <x:t xml:space="preserve">W. V. Lister</x:t>
        </x:is>
      </x:c>
      <x:c r="I632" s="527" t="inlineStr">
        <x:is>
          <x:t xml:space="preserve">31-12N-24W (AOL)</x:t>
        </x:is>
      </x:c>
      <x:c r="J632" s="527" t="inlineStr">
        <x:is>
          <x:t xml:space="preserve">Leasehold / WI</x:t>
        </x:is>
      </x:c>
      <x:c r="K632" s="527" t="inlineStr">
        <x:is>
          <x:t xml:space="preserve">OKCountyRecords official index, Roger Mills County (instrument 1963-000286); searched 06/11/2026</x:t>
        </x:is>
      </x:c>
      <x:c r="L632" s="565" t="n"/>
      <x:c r="M632" s="565" t="n"/>
      <x:c r="N632" s="565" t="n"/>
      <x:c r="O632" s="565" t="n"/>
      <x:c r="P632" s="565" t="n"/>
      <x:c r="Q632" s="565" t="n"/>
      <x:c r="R632" s="565" t="n"/>
      <x:c r="S632" s="613" t="n"/>
      <x:c r="T632" s="565" t="n"/>
      <x:c r="U632" s="613" t="n"/>
      <x:c r="V632" s="565" t="n"/>
      <x:c r="W632" s="565" t="n"/>
      <x:c r="X632" s="565" t="n"/>
      <x:c r="Y632" s="565" t="n"/>
      <x:c r="Z632" s="565" t="n"/>
    </x:row>
    <x:row r="633">
      <x:c r="A633" s="527" t="inlineStr">
        <x:is>
          <x:t xml:space="preserve">1963-000287</x:t>
        </x:is>
      </x:c>
      <x:c r="B633" s="527" t="n"/>
      <x:c r="C633" s="527" t="inlineStr">
        <x:is>
          <x:t xml:space="preserve">Assignment</x:t>
        </x:is>
      </x:c>
      <x:c r="D633" s="527" t="inlineStr">
        <x:is>
          <x:t xml:space="preserve">MIS050/0070</x:t>
        </x:is>
      </x:c>
      <x:c r="E633" s="529" t="inlineStr">
        <x:is>
          <x:t xml:space="preserve">02/12/1963</x:t>
        </x:is>
      </x:c>
      <x:c r="F633" s="529" t="n">
        <x:v>23054</x:v>
      </x:c>
      <x:c r="G633" s="527" t="inlineStr">
        <x:is>
          <x:t xml:space="preserve">Robert O. Lister Jr.</x:t>
        </x:is>
      </x:c>
      <x:c r="H633" s="527" t="inlineStr">
        <x:is>
          <x:t xml:space="preserve">W. V. Lister</x:t>
        </x:is>
      </x:c>
      <x:c r="I633" s="527" t="inlineStr">
        <x:is>
          <x:t xml:space="preserve">31-12N-24W (AOL)</x:t>
        </x:is>
      </x:c>
      <x:c r="J633" s="527" t="inlineStr">
        <x:is>
          <x:t xml:space="preserve">Leasehold / WI</x:t>
        </x:is>
      </x:c>
      <x:c r="K633" s="527" t="inlineStr">
        <x:is>
          <x:t xml:space="preserve">OKCountyRecords official index, Roger Mills County (instrument 1963-000287); searched 06/11/2026</x:t>
        </x:is>
      </x:c>
      <x:c r="L633" s="565" t="n"/>
      <x:c r="M633" s="565" t="n"/>
      <x:c r="N633" s="565" t="n"/>
      <x:c r="O633" s="565" t="n"/>
      <x:c r="P633" s="565" t="n"/>
      <x:c r="Q633" s="565" t="n"/>
      <x:c r="R633" s="565" t="n"/>
      <x:c r="S633" s="613" t="n"/>
      <x:c r="T633" s="565" t="n"/>
      <x:c r="U633" s="613" t="n"/>
      <x:c r="V633" s="565" t="n"/>
      <x:c r="W633" s="565" t="n"/>
      <x:c r="X633" s="565" t="n"/>
      <x:c r="Y633" s="565" t="n"/>
      <x:c r="Z633" s="565" t="n"/>
    </x:row>
    <x:row r="634">
      <x:c r="A634" s="527" t="inlineStr">
        <x:is>
          <x:t xml:space="preserve">1965-000770</x:t>
        </x:is>
      </x:c>
      <x:c r="B634" s="527" t="n"/>
      <x:c r="C634" s="527" t="inlineStr">
        <x:is>
          <x:t xml:space="preserve">Release</x:t>
        </x:is>
      </x:c>
      <x:c r="D634" s="527" t="inlineStr">
        <x:is>
          <x:t xml:space="preserve">MIS062/0462</x:t>
        </x:is>
      </x:c>
      <x:c r="E634" s="529" t="inlineStr">
        <x:is>
          <x:t xml:space="preserve">05/28/1965</x:t>
        </x:is>
      </x:c>
      <x:c r="F634" s="529" t="n">
        <x:v>23890</x:v>
      </x:c>
      <x:c r="G634" s="527" t="inlineStr">
        <x:is>
          <x:t xml:space="preserve">Hazel Ayers,
W. L. Ayers</x:t>
        </x:is>
      </x:c>
      <x:c r="H634" s="527" t="inlineStr">
        <x:is>
          <x:t xml:space="preserve">Carrie Lou Mitchell</x:t>
        </x:is>
      </x:c>
      <x:c r="I634" s="527" t="inlineStr">
        <x:is>
          <x:t xml:space="preserve">31-12N-24W (AOL)</x:t>
        </x:is>
      </x:c>
      <x:c r="J634" s="527" t="inlineStr">
        <x:is>
          <x:t xml:space="preserve">Leasehold / WI</x:t>
        </x:is>
      </x:c>
      <x:c r="K634" s="527" t="inlineStr">
        <x:is>
          <x:t xml:space="preserve">OKCountyRecords official index, Roger Mills County (instrument 1965-000770); searched 06/11/2026</x:t>
        </x:is>
      </x:c>
      <x:c r="L634" s="565" t="n"/>
      <x:c r="M634" s="565" t="n"/>
      <x:c r="N634" s="565" t="n"/>
      <x:c r="O634" s="565" t="n"/>
      <x:c r="P634" s="565" t="n"/>
      <x:c r="Q634" s="565" t="n"/>
      <x:c r="R634" s="565" t="n"/>
      <x:c r="S634" s="613" t="n"/>
      <x:c r="T634" s="565" t="n"/>
      <x:c r="U634" s="613" t="n"/>
      <x:c r="V634" s="565" t="n"/>
      <x:c r="W634" s="565" t="n"/>
      <x:c r="X634" s="565" t="n"/>
      <x:c r="Y634" s="565" t="n"/>
      <x:c r="Z634" s="565" t="n"/>
    </x:row>
    <x:row r="635">
      <x:c r="A635" s="527" t="inlineStr">
        <x:is>
          <x:t xml:space="preserve">1965-000771</x:t>
        </x:is>
      </x:c>
      <x:c r="B635" s="527" t="n"/>
      <x:c r="C635" s="527" t="inlineStr">
        <x:is>
          <x:t xml:space="preserve">Deed</x:t>
        </x:is>
      </x:c>
      <x:c r="D635" s="527" t="inlineStr">
        <x:is>
          <x:t xml:space="preserve">MIS062/0464</x:t>
        </x:is>
      </x:c>
      <x:c r="E635" s="529" t="inlineStr">
        <x:is>
          <x:t xml:space="preserve">05/28/1965</x:t>
        </x:is>
      </x:c>
      <x:c r="F635" s="529" t="n">
        <x:v>23890</x:v>
      </x:c>
      <x:c r="G635" s="527" t="inlineStr">
        <x:is>
          <x:t xml:space="preserve">Carrie Lou Mitchell,
Marvin G. Mitchell</x:t>
        </x:is>
      </x:c>
      <x:c r="H635" s="527" t="inlineStr">
        <x:is>
          <x:t xml:space="preserve">Clara Mae Bryan,
George M. Bryan</x:t>
        </x:is>
      </x:c>
      <x:c r="I635" s="527" t="inlineStr">
        <x:is>
          <x:t xml:space="preserve">31-12N-24W (AOL)</x:t>
        </x:is>
      </x:c>
      <x:c r="J635" s="527" t="inlineStr">
        <x:is>
          <x:t xml:space="preserve">Fee / as stated</x:t>
        </x:is>
      </x:c>
      <x:c r="K635" s="527" t="inlineStr">
        <x:is>
          <x:t xml:space="preserve">OKCountyRecords official index, Roger Mills County (instrument 1965-000771); searched 06/11/2026</x:t>
        </x:is>
      </x:c>
      <x:c r="L635" s="565" t="n"/>
      <x:c r="M635" s="565" t="n"/>
      <x:c r="N635" s="565" t="n"/>
      <x:c r="O635" s="565" t="n"/>
      <x:c r="P635" s="565" t="n"/>
      <x:c r="Q635" s="565" t="n"/>
      <x:c r="R635" s="565" t="n"/>
      <x:c r="S635" s="613" t="n"/>
      <x:c r="T635" s="565" t="n"/>
      <x:c r="U635" s="613" t="n"/>
      <x:c r="V635" s="565" t="n"/>
      <x:c r="W635" s="565" t="n"/>
      <x:c r="X635" s="565" t="n"/>
      <x:c r="Y635" s="565" t="n"/>
      <x:c r="Z635" s="565" t="n"/>
    </x:row>
    <x:row r="636">
      <x:c r="A636" s="527" t="inlineStr">
        <x:is>
          <x:t xml:space="preserve">1966-000665</x:t>
        </x:is>
      </x:c>
      <x:c r="B636" s="527" t="n"/>
      <x:c r="C636" s="527" t="inlineStr">
        <x:is>
          <x:t xml:space="preserve">Release</x:t>
        </x:is>
      </x:c>
      <x:c r="D636" s="527" t="inlineStr">
        <x:is>
          <x:t xml:space="preserve">MIS069/0512</x:t>
        </x:is>
      </x:c>
      <x:c r="E636" s="529" t="inlineStr">
        <x:is>
          <x:t xml:space="preserve">03/02/1966</x:t>
        </x:is>
      </x:c>
      <x:c r="F636" s="529" t="n">
        <x:v>24168</x:v>
      </x:c>
      <x:c r="G636" s="527" t="inlineStr">
        <x:is>
          <x:t xml:space="preserve">Clinton Production Credit Association</x:t>
        </x:is>
      </x:c>
      <x:c r="H636" s="527" t="inlineStr">
        <x:is>
          <x:t xml:space="preserve">Beatrice Marshall,
C. W. Marshall</x:t>
        </x:is>
      </x:c>
      <x:c r="I636" s="527" t="inlineStr">
        <x:is>
          <x:t xml:space="preserve">31-12N-24W</x:t>
        </x:is>
      </x:c>
      <x:c r="J636" s="527" t="inlineStr">
        <x:is>
          <x:t xml:space="preserve">Leasehold / WI</x:t>
        </x:is>
      </x:c>
      <x:c r="K636" s="527" t="inlineStr">
        <x:is>
          <x:t xml:space="preserve">OKCountyRecords official index, Roger Mills County (instrument 1966-000665); searched 06/11/2026</x:t>
        </x:is>
      </x:c>
      <x:c r="L636" s="565" t="n"/>
      <x:c r="M636" s="565" t="n"/>
      <x:c r="N636" s="565" t="n"/>
      <x:c r="O636" s="565" t="n"/>
      <x:c r="P636" s="565" t="n"/>
      <x:c r="Q636" s="565" t="n"/>
      <x:c r="R636" s="565" t="n"/>
      <x:c r="S636" s="613" t="n"/>
      <x:c r="T636" s="565" t="n"/>
      <x:c r="U636" s="613" t="n"/>
      <x:c r="V636" s="565" t="n"/>
      <x:c r="W636" s="565" t="n"/>
      <x:c r="X636" s="565" t="n"/>
      <x:c r="Y636" s="565" t="n"/>
      <x:c r="Z636" s="565" t="n"/>
    </x:row>
    <x:row r="637">
      <x:c r="A637" s="527" t="inlineStr">
        <x:is>
          <x:t xml:space="preserve">1967-000241</x:t>
        </x:is>
      </x:c>
      <x:c r="B637" s="527" t="n"/>
      <x:c r="C637" s="527" t="inlineStr">
        <x:is>
          <x:t xml:space="preserve">Miscellaneous</x:t>
        </x:is>
      </x:c>
      <x:c r="D637" s="527" t="inlineStr">
        <x:is>
          <x:t xml:space="preserve">MIS078/0112</x:t>
        </x:is>
      </x:c>
      <x:c r="E637" s="529" t="inlineStr">
        <x:is>
          <x:t xml:space="preserve">01/30/1967</x:t>
        </x:is>
      </x:c>
      <x:c r="F637" s="529" t="n">
        <x:v>24502</x:v>
      </x:c>
      <x:c r="G637" s="527" t="inlineStr">
        <x:is>
          <x:t xml:space="preserve">Clark Exec Ellison,
Ellison, Kenneth A. Estate of Dcd</x:t>
        </x:is>
      </x:c>
      <x:c r="H637" s="527" t="inlineStr">
        <x:is>
          <x:t xml:space="preserve">Robert O. Lister Jr.</x:t>
        </x:is>
      </x:c>
      <x:c r="I637" s="527" t="inlineStr">
        <x:is>
          <x:t xml:space="preserve">31-12N-24W (AOL)</x:t>
        </x:is>
      </x:c>
      <x:c r="J637" s="527" t="inlineStr">
        <x:is>
          <x:t xml:space="preserve">See instrument</x:t>
        </x:is>
      </x:c>
      <x:c r="K637" s="527" t="inlineStr">
        <x:is>
          <x:t xml:space="preserve">OKCountyRecords official index, Roger Mills County (instrument 1967-000241); searched 06/11/2026</x:t>
        </x:is>
      </x:c>
      <x:c r="L637" s="565" t="n"/>
      <x:c r="M637" s="565" t="n"/>
      <x:c r="N637" s="565" t="n"/>
      <x:c r="O637" s="565" t="n"/>
      <x:c r="P637" s="565" t="n"/>
      <x:c r="Q637" s="565" t="n"/>
      <x:c r="R637" s="565" t="n"/>
      <x:c r="S637" s="613" t="n"/>
      <x:c r="T637" s="565" t="n"/>
      <x:c r="U637" s="613" t="n"/>
      <x:c r="V637" s="565" t="n"/>
      <x:c r="W637" s="565" t="n"/>
      <x:c r="X637" s="565" t="n"/>
      <x:c r="Y637" s="565" t="n"/>
      <x:c r="Z637" s="565" t="n"/>
    </x:row>
    <x:row r="638">
      <x:c r="A638" s="527" t="inlineStr">
        <x:is>
          <x:t xml:space="preserve">1967-000351</x:t>
        </x:is>
      </x:c>
      <x:c r="B638" s="527" t="n"/>
      <x:c r="C638" s="527" t="inlineStr">
        <x:is>
          <x:t xml:space="preserve">Oil and Gas Lease</x:t>
        </x:is>
      </x:c>
      <x:c r="D638" s="527" t="inlineStr">
        <x:is>
          <x:t xml:space="preserve">MIS078/0309</x:t>
        </x:is>
      </x:c>
      <x:c r="E638" s="529" t="inlineStr">
        <x:is>
          <x:t xml:space="preserve">02/09/1967</x:t>
        </x:is>
      </x:c>
      <x:c r="F638" s="529" t="n">
        <x:v>24512</x:v>
      </x:c>
      <x:c r="G638" s="527" t="inlineStr">
        <x:is>
          <x:t xml:space="preserve">J. B. Campbell,
Lillie A. Campbell</x:t>
        </x:is>
      </x:c>
      <x:c r="H638" s="527" t="inlineStr">
        <x:is>
          <x:t xml:space="preserve">J. R. Groves</x:t>
        </x:is>
      </x:c>
      <x:c r="I638" s="527" t="inlineStr">
        <x:is>
          <x:t xml:space="preserve">31-12N-24W</x:t>
        </x:is>
      </x:c>
      <x:c r="J638" s="527" t="inlineStr">
        <x:is>
          <x:t xml:space="preserve">Leasehold / WI</x:t>
        </x:is>
      </x:c>
      <x:c r="K638" s="527" t="inlineStr">
        <x:is>
          <x:t xml:space="preserve">OKCountyRecords official index, Roger Mills County (instrument 1967-000351); searched 06/11/2026</x:t>
        </x:is>
      </x:c>
      <x:c r="L638" s="565" t="n"/>
      <x:c r="M638" s="565" t="n"/>
      <x:c r="N638" s="565" t="n"/>
      <x:c r="O638" s="565" t="n"/>
      <x:c r="P638" s="565" t="n"/>
      <x:c r="Q638" s="565" t="n"/>
      <x:c r="R638" s="565" t="n"/>
      <x:c r="S638" s="613" t="n"/>
      <x:c r="T638" s="565" t="n"/>
      <x:c r="U638" s="613" t="n"/>
      <x:c r="V638" s="565" t="n"/>
      <x:c r="W638" s="565" t="n"/>
      <x:c r="X638" s="565" t="n"/>
      <x:c r="Y638" s="565" t="n"/>
      <x:c r="Z638" s="565" t="n"/>
    </x:row>
    <x:row r="639">
      <x:c r="A639" s="527" t="inlineStr">
        <x:is>
          <x:t xml:space="preserve">1967-002816</x:t>
        </x:is>
      </x:c>
      <x:c r="B639" s="527" t="n"/>
      <x:c r="C639" s="527" t="inlineStr">
        <x:is>
          <x:t xml:space="preserve">Final Decree</x:t>
        </x:is>
      </x:c>
      <x:c r="D639" s="527" t="inlineStr">
        <x:is>
          <x:t xml:space="preserve">MIS086/0033</x:t>
        </x:is>
      </x:c>
      <x:c r="E639" s="529" t="inlineStr">
        <x:is>
          <x:t xml:space="preserve">10/05/1967</x:t>
        </x:is>
      </x:c>
      <x:c r="F639" s="529" t="n">
        <x:v>24750</x:v>
      </x:c>
      <x:c r="G639" s="527" t="inlineStr">
        <x:is>
          <x:t xml:space="preserve">Carrie Lou Mitchell</x:t>
        </x:is>
      </x:c>
      <x:c r="H639" s="527" t="inlineStr">
        <x:is>
          <x:t xml:space="preserve">Max Carder,
The Public</x:t>
        </x:is>
      </x:c>
      <x:c r="I639" s="527" t="inlineStr">
        <x:is>
          <x:t xml:space="preserve">31-12N-24W (AOL)</x:t>
        </x:is>
      </x:c>
      <x:c r="J639" s="527" t="inlineStr">
        <x:is>
          <x:t xml:space="preserve">Fee / as stated</x:t>
        </x:is>
      </x:c>
      <x:c r="K639" s="527" t="inlineStr">
        <x:is>
          <x:t xml:space="preserve">OKCountyRecords official index, Roger Mills County (instrument 1967-002816); searched 06/11/2026</x:t>
        </x:is>
      </x:c>
      <x:c r="L639" s="565" t="n"/>
      <x:c r="M639" s="565" t="n"/>
      <x:c r="N639" s="565" t="n"/>
      <x:c r="O639" s="565" t="n"/>
      <x:c r="P639" s="565" t="n"/>
      <x:c r="Q639" s="565" t="n"/>
      <x:c r="R639" s="565" t="n"/>
      <x:c r="S639" s="613" t="n"/>
      <x:c r="T639" s="565" t="n"/>
      <x:c r="U639" s="613" t="n"/>
      <x:c r="V639" s="565" t="n"/>
      <x:c r="W639" s="565" t="n"/>
      <x:c r="X639" s="565" t="n"/>
      <x:c r="Y639" s="565" t="n"/>
      <x:c r="Z639" s="565" t="n"/>
    </x:row>
    <x:row r="640">
      <x:c r="A640" s="527" t="inlineStr">
        <x:is>
          <x:t xml:space="preserve">1968-003045</x:t>
        </x:is>
      </x:c>
      <x:c r="B640" s="527" t="n"/>
      <x:c r="C640" s="527" t="inlineStr">
        <x:is>
          <x:t xml:space="preserve">Assignment</x:t>
        </x:is>
      </x:c>
      <x:c r="D640" s="527" t="inlineStr">
        <x:is>
          <x:t xml:space="preserve">MIS097/0020</x:t>
        </x:is>
      </x:c>
      <x:c r="E640" s="529" t="inlineStr">
        <x:is>
          <x:t xml:space="preserve">12/04/1968</x:t>
        </x:is>
      </x:c>
      <x:c r="F640" s="529" t="n">
        <x:v>25176</x:v>
      </x:c>
      <x:c r="G640" s="527" t="inlineStr">
        <x:is>
          <x:t xml:space="preserve">J. R. Groves</x:t>
        </x:is>
      </x:c>
      <x:c r="H640" s="527" t="inlineStr">
        <x:is>
          <x:t xml:space="preserve">Tenneco Oil Company</x:t>
        </x:is>
      </x:c>
      <x:c r="I640" s="527" t="inlineStr">
        <x:is>
          <x:t xml:space="preserve">31-12N-24W (AOL)</x:t>
        </x:is>
      </x:c>
      <x:c r="J640" s="527" t="inlineStr">
        <x:is>
          <x:t xml:space="preserve">Leasehold / WI</x:t>
        </x:is>
      </x:c>
      <x:c r="K640" s="527" t="inlineStr">
        <x:is>
          <x:t xml:space="preserve">OKCountyRecords official index, Roger Mills County (instrument 1968-003045); searched 06/11/2026</x:t>
        </x:is>
      </x:c>
      <x:c r="L640" s="565" t="n"/>
      <x:c r="M640" s="565" t="n"/>
      <x:c r="N640" s="565" t="n"/>
      <x:c r="O640" s="565" t="n"/>
      <x:c r="P640" s="565" t="n"/>
      <x:c r="Q640" s="565" t="n"/>
      <x:c r="R640" s="565" t="n"/>
      <x:c r="S640" s="613" t="n"/>
      <x:c r="T640" s="565" t="n"/>
      <x:c r="U640" s="613" t="n"/>
      <x:c r="V640" s="565" t="n"/>
      <x:c r="W640" s="565" t="n"/>
      <x:c r="X640" s="565" t="n"/>
      <x:c r="Y640" s="565" t="n"/>
      <x:c r="Z640" s="565" t="n"/>
    </x:row>
    <x:row r="641">
      <x:c r="A641" s="527" t="inlineStr">
        <x:is>
          <x:t xml:space="preserve">1968-003144</x:t>
        </x:is>
      </x:c>
      <x:c r="B641" s="527" t="n"/>
      <x:c r="C641" s="527" t="inlineStr">
        <x:is>
          <x:t xml:space="preserve">Rental Division Order</x:t>
        </x:is>
      </x:c>
      <x:c r="D641" s="527" t="inlineStr">
        <x:is>
          <x:t xml:space="preserve">MIS097/0120</x:t>
        </x:is>
      </x:c>
      <x:c r="E641" s="529" t="inlineStr">
        <x:is>
          <x:t xml:space="preserve">12/04/1968</x:t>
        </x:is>
      </x:c>
      <x:c r="F641" s="529" t="n">
        <x:v>25176</x:v>
      </x:c>
      <x:c r="G641" s="527" t="inlineStr">
        <x:is>
          <x:t xml:space="preserve">J. B. Campbell,
Lillie A. Campbell</x:t>
        </x:is>
      </x:c>
      <x:c r="H641" s="527" t="inlineStr">
        <x:is>
          <x:t xml:space="preserve">J. R. Groves</x:t>
        </x:is>
      </x:c>
      <x:c r="I641" s="527" t="inlineStr">
        <x:is>
          <x:t xml:space="preserve">31-12N-24W</x:t>
        </x:is>
      </x:c>
      <x:c r="J641" s="527" t="inlineStr">
        <x:is>
          <x:t xml:space="preserve">Leasehold / WI</x:t>
        </x:is>
      </x:c>
      <x:c r="K641" s="527" t="inlineStr">
        <x:is>
          <x:t xml:space="preserve">OKCountyRecords official index, Roger Mills County (instrument 1968-003144); searched 06/11/2026</x:t>
        </x:is>
      </x:c>
      <x:c r="L641" s="565" t="n"/>
      <x:c r="M641" s="565" t="n"/>
      <x:c r="N641" s="565" t="n"/>
      <x:c r="O641" s="565" t="n"/>
      <x:c r="P641" s="565" t="n"/>
      <x:c r="Q641" s="565" t="n"/>
      <x:c r="R641" s="565" t="n"/>
      <x:c r="S641" s="613" t="n"/>
      <x:c r="T641" s="565" t="n"/>
      <x:c r="U641" s="613" t="n"/>
      <x:c r="V641" s="565" t="n"/>
      <x:c r="W641" s="565" t="n"/>
      <x:c r="X641" s="565" t="n"/>
      <x:c r="Y641" s="565" t="n"/>
      <x:c r="Z641" s="565" t="n"/>
    </x:row>
    <x:row r="642">
      <x:c r="A642" s="527" t="inlineStr">
        <x:is>
          <x:t xml:space="preserve">1970-001176</x:t>
        </x:is>
      </x:c>
      <x:c r="B642" s="527" t="n"/>
      <x:c r="C642" s="527" t="inlineStr">
        <x:is>
          <x:t xml:space="preserve">Oil and Gas Lease</x:t>
        </x:is>
      </x:c>
      <x:c r="D642" s="527" t="inlineStr">
        <x:is>
          <x:t xml:space="preserve">0110/0054</x:t>
        </x:is>
      </x:c>
      <x:c r="E642" s="529" t="inlineStr">
        <x:is>
          <x:t xml:space="preserve">06/24/1970</x:t>
        </x:is>
      </x:c>
      <x:c r="F642" s="529" t="n">
        <x:v>25743</x:v>
      </x:c>
      <x:c r="G642" s="527" t="inlineStr">
        <x:is>
          <x:t xml:space="preserve">Crystal Henson,
O. K. Henson Jr.</x:t>
        </x:is>
      </x:c>
      <x:c r="H642" s="527" t="inlineStr">
        <x:is>
          <x:t xml:space="preserve">Union Oil Company of California</x:t>
        </x:is>
      </x:c>
      <x:c r="I642" s="527" t="inlineStr">
        <x:is>
          <x:t xml:space="preserve">31-12N-24W (AOL)</x:t>
        </x:is>
      </x:c>
      <x:c r="J642" s="527" t="inlineStr">
        <x:is>
          <x:t xml:space="preserve">Leasehold / WI</x:t>
        </x:is>
      </x:c>
      <x:c r="K642" s="527" t="inlineStr">
        <x:is>
          <x:t xml:space="preserve">OKCountyRecords official index, Roger Mills County (instrument 1970-001176); searched 06/11/2026</x:t>
        </x:is>
      </x:c>
      <x:c r="L642" s="565" t="n"/>
      <x:c r="M642" s="565" t="n"/>
      <x:c r="N642" s="565" t="n"/>
      <x:c r="O642" s="565" t="n"/>
      <x:c r="P642" s="565" t="n"/>
      <x:c r="Q642" s="565" t="n"/>
      <x:c r="R642" s="565" t="n"/>
      <x:c r="S642" s="613" t="n"/>
      <x:c r="T642" s="565" t="n"/>
      <x:c r="U642" s="613" t="n"/>
      <x:c r="V642" s="565" t="n"/>
      <x:c r="W642" s="565" t="n"/>
      <x:c r="X642" s="565" t="n"/>
      <x:c r="Y642" s="565" t="n"/>
      <x:c r="Z642" s="565" t="n"/>
    </x:row>
    <x:row r="643">
      <x:c r="A643" s="527" t="inlineStr">
        <x:is>
          <x:t xml:space="preserve">1970-001971</x:t>
        </x:is>
      </x:c>
      <x:c r="B643" s="527" t="n"/>
      <x:c r="C643" s="527" t="inlineStr">
        <x:is>
          <x:t xml:space="preserve">Oil and Gas Lease</x:t>
        </x:is>
      </x:c>
      <x:c r="D643" s="527" t="inlineStr">
        <x:is>
          <x:t xml:space="preserve">0112/0464</x:t>
        </x:is>
      </x:c>
      <x:c r="E643" s="529" t="inlineStr">
        <x:is>
          <x:t xml:space="preserve">09/18/1970</x:t>
        </x:is>
      </x:c>
      <x:c r="F643" s="529" t="n">
        <x:v>25829</x:v>
      </x:c>
      <x:c r="G643" s="527" t="inlineStr">
        <x:is>
          <x:t xml:space="preserve">Gladys Priest</x:t>
        </x:is>
      </x:c>
      <x:c r="H643" s="527" t="inlineStr">
        <x:is>
          <x:t xml:space="preserve">Ghk Corporation</x:t>
        </x:is>
      </x:c>
      <x:c r="I643" s="527" t="inlineStr">
        <x:is>
          <x:t xml:space="preserve">31-12N-24W (AOL)</x:t>
        </x:is>
      </x:c>
      <x:c r="J643" s="527" t="inlineStr">
        <x:is>
          <x:t xml:space="preserve">Leasehold / WI</x:t>
        </x:is>
      </x:c>
      <x:c r="K643" s="527" t="inlineStr">
        <x:is>
          <x:t xml:space="preserve">OKCountyRecords official index, Roger Mills County (instrument 1970-001971); searched 06/11/2026</x:t>
        </x:is>
      </x:c>
      <x:c r="L643" s="565" t="n"/>
      <x:c r="M643" s="565" t="n"/>
      <x:c r="N643" s="565" t="n"/>
      <x:c r="O643" s="565" t="n"/>
      <x:c r="P643" s="565" t="n"/>
      <x:c r="Q643" s="565" t="n"/>
      <x:c r="R643" s="565" t="n"/>
      <x:c r="S643" s="613" t="n"/>
      <x:c r="T643" s="565" t="n"/>
      <x:c r="U643" s="613" t="n"/>
      <x:c r="V643" s="565" t="n"/>
      <x:c r="W643" s="565" t="n"/>
      <x:c r="X643" s="565" t="n"/>
      <x:c r="Y643" s="565" t="n"/>
      <x:c r="Z643" s="565" t="n"/>
    </x:row>
    <x:row r="644">
      <x:c r="A644" s="527" t="inlineStr">
        <x:is>
          <x:t xml:space="preserve">1970-001972</x:t>
        </x:is>
      </x:c>
      <x:c r="B644" s="527" t="n"/>
      <x:c r="C644" s="527" t="inlineStr">
        <x:is>
          <x:t xml:space="preserve">Oil and Gas Lease</x:t>
        </x:is>
      </x:c>
      <x:c r="D644" s="527" t="inlineStr">
        <x:is>
          <x:t xml:space="preserve">0112/0466</x:t>
        </x:is>
      </x:c>
      <x:c r="E644" s="529" t="inlineStr">
        <x:is>
          <x:t xml:space="preserve">09/18/1970</x:t>
        </x:is>
      </x:c>
      <x:c r="F644" s="529" t="n">
        <x:v>25829</x:v>
      </x:c>
      <x:c r="G644" s="527" t="inlineStr">
        <x:is>
          <x:t xml:space="preserve">Joseph Devanas,
Mary Margaret Devanas</x:t>
        </x:is>
      </x:c>
      <x:c r="H644" s="527" t="inlineStr">
        <x:is>
          <x:t xml:space="preserve">Ghk Corporation</x:t>
        </x:is>
      </x:c>
      <x:c r="I644" s="527" t="inlineStr">
        <x:is>
          <x:t xml:space="preserve">31-12N-24W (AOL)</x:t>
        </x:is>
      </x:c>
      <x:c r="J644" s="527" t="inlineStr">
        <x:is>
          <x:t xml:space="preserve">Leasehold / WI</x:t>
        </x:is>
      </x:c>
      <x:c r="K644" s="527" t="inlineStr">
        <x:is>
          <x:t xml:space="preserve">OKCountyRecords official index, Roger Mills County (instrument 1970-001972); searched 06/11/2026</x:t>
        </x:is>
      </x:c>
      <x:c r="L644" s="565" t="n"/>
      <x:c r="M644" s="565" t="n"/>
      <x:c r="N644" s="565" t="n"/>
      <x:c r="O644" s="565" t="n"/>
      <x:c r="P644" s="565" t="n"/>
      <x:c r="Q644" s="565" t="n"/>
      <x:c r="R644" s="565" t="n"/>
      <x:c r="S644" s="613" t="n"/>
      <x:c r="T644" s="565" t="n"/>
      <x:c r="U644" s="613" t="n"/>
      <x:c r="V644" s="565" t="n"/>
      <x:c r="W644" s="565" t="n"/>
      <x:c r="X644" s="565" t="n"/>
      <x:c r="Y644" s="565" t="n"/>
      <x:c r="Z644" s="565" t="n"/>
    </x:row>
    <x:row r="645">
      <x:c r="A645" s="527" t="inlineStr">
        <x:is>
          <x:t xml:space="preserve">1970-001973</x:t>
        </x:is>
      </x:c>
      <x:c r="B645" s="527" t="n"/>
      <x:c r="C645" s="527" t="inlineStr">
        <x:is>
          <x:t xml:space="preserve">Oil and Gas Lease</x:t>
        </x:is>
      </x:c>
      <x:c r="D645" s="527" t="inlineStr">
        <x:is>
          <x:t xml:space="preserve">0112/0468</x:t>
        </x:is>
      </x:c>
      <x:c r="E645" s="529" t="inlineStr">
        <x:is>
          <x:t xml:space="preserve">09/18/1970</x:t>
        </x:is>
      </x:c>
      <x:c r="F645" s="529" t="n">
        <x:v>25829</x:v>
      </x:c>
      <x:c r="G645" s="527" t="inlineStr">
        <x:is>
          <x:t xml:space="preserve">Margaret Gray,
Murrell Gray</x:t>
        </x:is>
      </x:c>
      <x:c r="H645" s="527" t="inlineStr">
        <x:is>
          <x:t xml:space="preserve">Ghk Corporation</x:t>
        </x:is>
      </x:c>
      <x:c r="I645" s="527" t="inlineStr">
        <x:is>
          <x:t xml:space="preserve">31-12N-24W (AOL)</x:t>
        </x:is>
      </x:c>
      <x:c r="J645" s="527" t="inlineStr">
        <x:is>
          <x:t xml:space="preserve">Leasehold / WI</x:t>
        </x:is>
      </x:c>
      <x:c r="K645" s="527" t="inlineStr">
        <x:is>
          <x:t xml:space="preserve">OKCountyRecords official index, Roger Mills County (instrument 1970-001973); searched 06/11/2026</x:t>
        </x:is>
      </x:c>
      <x:c r="L645" s="565" t="n"/>
      <x:c r="M645" s="565" t="n"/>
      <x:c r="N645" s="565" t="n"/>
      <x:c r="O645" s="565" t="n"/>
      <x:c r="P645" s="565" t="n"/>
      <x:c r="Q645" s="565" t="n"/>
      <x:c r="R645" s="565" t="n"/>
      <x:c r="S645" s="613" t="n"/>
      <x:c r="T645" s="565" t="n"/>
      <x:c r="U645" s="613" t="n"/>
      <x:c r="V645" s="565" t="n"/>
      <x:c r="W645" s="565" t="n"/>
      <x:c r="X645" s="565" t="n"/>
      <x:c r="Y645" s="565" t="n"/>
      <x:c r="Z645" s="565" t="n"/>
    </x:row>
    <x:row r="646">
      <x:c r="A646" s="527" t="inlineStr">
        <x:is>
          <x:t xml:space="preserve">1970-002603</x:t>
        </x:is>
      </x:c>
      <x:c r="B646" s="527" t="n"/>
      <x:c r="C646" s="527" t="inlineStr">
        <x:is>
          <x:t xml:space="preserve">Oil and Gas Lease</x:t>
        </x:is>
      </x:c>
      <x:c r="D646" s="527" t="inlineStr">
        <x:is>
          <x:t xml:space="preserve">0114/0483</x:t>
        </x:is>
      </x:c>
      <x:c r="E646" s="529" t="inlineStr">
        <x:is>
          <x:t xml:space="preserve">11/12/1970</x:t>
        </x:is>
      </x:c>
      <x:c r="F646" s="529" t="n">
        <x:v>25884</x:v>
      </x:c>
      <x:c r="G646" s="527" t="inlineStr">
        <x:is>
          <x:t xml:space="preserve">Capitola Yell Harmon,
Fred Harmon</x:t>
        </x:is>
      </x:c>
      <x:c r="H646" s="527" t="inlineStr">
        <x:is>
          <x:t xml:space="preserve">Kerr McGee Corporation</x:t>
        </x:is>
      </x:c>
      <x:c r="I646" s="527" t="inlineStr">
        <x:is>
          <x:t xml:space="preserve">31-12N-24W (AOL)</x:t>
        </x:is>
      </x:c>
      <x:c r="J646" s="527" t="inlineStr">
        <x:is>
          <x:t xml:space="preserve">Leasehold / WI</x:t>
        </x:is>
      </x:c>
      <x:c r="K646" s="527" t="inlineStr">
        <x:is>
          <x:t xml:space="preserve">OKCountyRecords official index, Roger Mills County (instrument 1970-002603); searched 06/11/2026</x:t>
        </x:is>
      </x:c>
      <x:c r="L646" s="565" t="n"/>
      <x:c r="M646" s="565" t="n"/>
      <x:c r="N646" s="565" t="n"/>
      <x:c r="O646" s="565" t="n"/>
      <x:c r="P646" s="565" t="n"/>
      <x:c r="Q646" s="565" t="n"/>
      <x:c r="R646" s="565" t="n"/>
      <x:c r="S646" s="613" t="n"/>
      <x:c r="T646" s="565" t="n"/>
      <x:c r="U646" s="613" t="n"/>
      <x:c r="V646" s="565" t="n"/>
      <x:c r="W646" s="565" t="n"/>
      <x:c r="X646" s="565" t="n"/>
      <x:c r="Y646" s="565" t="n"/>
      <x:c r="Z646" s="565" t="n"/>
    </x:row>
    <x:row r="647">
      <x:c r="A647" s="527" t="inlineStr">
        <x:is>
          <x:t xml:space="preserve">1970-002661</x:t>
        </x:is>
      </x:c>
      <x:c r="B647" s="527" t="n"/>
      <x:c r="C647" s="527" t="inlineStr">
        <x:is>
          <x:t xml:space="preserve">Assignment</x:t>
        </x:is>
      </x:c>
      <x:c r="D647" s="527" t="inlineStr">
        <x:is>
          <x:t xml:space="preserve">0114/0553</x:t>
        </x:is>
      </x:c>
      <x:c r="E647" s="529" t="inlineStr">
        <x:is>
          <x:t xml:space="preserve">11/13/1970</x:t>
        </x:is>
      </x:c>
      <x:c r="F647" s="529" t="n">
        <x:v>25885</x:v>
      </x:c>
      <x:c r="G647" s="527" t="inlineStr">
        <x:is>
          <x:t xml:space="preserve">W. V. Lister</x:t>
        </x:is>
      </x:c>
      <x:c r="H647" s="527" t="inlineStr">
        <x:is>
          <x:t xml:space="preserve">Gasanadarko, Ltd.</x:t>
        </x:is>
      </x:c>
      <x:c r="I647" s="527" t="inlineStr">
        <x:is>
          <x:t xml:space="preserve">31-12N-24W (AOL)</x:t>
        </x:is>
      </x:c>
      <x:c r="J647" s="527" t="inlineStr">
        <x:is>
          <x:t xml:space="preserve">Leasehold / WI</x:t>
        </x:is>
      </x:c>
      <x:c r="K647" s="527" t="inlineStr">
        <x:is>
          <x:t xml:space="preserve">OKCountyRecords official index, Roger Mills County (instrument 1970-002661); searched 06/11/2026</x:t>
        </x:is>
      </x:c>
      <x:c r="L647" s="565" t="n"/>
      <x:c r="M647" s="565" t="n"/>
      <x:c r="N647" s="565" t="n"/>
      <x:c r="O647" s="565" t="n"/>
      <x:c r="P647" s="565" t="n"/>
      <x:c r="Q647" s="565" t="n"/>
      <x:c r="R647" s="565" t="n"/>
      <x:c r="S647" s="613" t="n"/>
      <x:c r="T647" s="565" t="n"/>
      <x:c r="U647" s="613" t="n"/>
      <x:c r="V647" s="565" t="n"/>
      <x:c r="W647" s="565" t="n"/>
      <x:c r="X647" s="565" t="n"/>
      <x:c r="Y647" s="565" t="n"/>
      <x:c r="Z647" s="565" t="n"/>
    </x:row>
    <x:row r="648">
      <x:c r="A648" s="527" t="inlineStr">
        <x:is>
          <x:t xml:space="preserve">1970-002662</x:t>
        </x:is>
      </x:c>
      <x:c r="B648" s="527" t="n"/>
      <x:c r="C648" s="527" t="inlineStr">
        <x:is>
          <x:t xml:space="preserve">Assignment</x:t>
        </x:is>
      </x:c>
      <x:c r="D648" s="527" t="inlineStr">
        <x:is>
          <x:t xml:space="preserve">0114/0554</x:t>
        </x:is>
      </x:c>
      <x:c r="E648" s="529" t="inlineStr">
        <x:is>
          <x:t xml:space="preserve">11/13/1970</x:t>
        </x:is>
      </x:c>
      <x:c r="F648" s="529" t="n">
        <x:v>25885</x:v>
      </x:c>
      <x:c r="G648" s="527" t="inlineStr">
        <x:is>
          <x:t xml:space="preserve">W. V. Lister</x:t>
        </x:is>
      </x:c>
      <x:c r="H648" s="527" t="inlineStr">
        <x:is>
          <x:t xml:space="preserve">Gasanadarko, Ltd.</x:t>
        </x:is>
      </x:c>
      <x:c r="I648" s="527" t="inlineStr">
        <x:is>
          <x:t xml:space="preserve">31-12N-24W (AOL)</x:t>
        </x:is>
      </x:c>
      <x:c r="J648" s="527" t="inlineStr">
        <x:is>
          <x:t xml:space="preserve">Leasehold / WI</x:t>
        </x:is>
      </x:c>
      <x:c r="K648" s="527" t="inlineStr">
        <x:is>
          <x:t xml:space="preserve">OKCountyRecords official index, Roger Mills County (instrument 1970-002662); searched 06/11/2026</x:t>
        </x:is>
      </x:c>
      <x:c r="L648" s="565" t="n"/>
      <x:c r="M648" s="565" t="n"/>
      <x:c r="N648" s="565" t="n"/>
      <x:c r="O648" s="565" t="n"/>
      <x:c r="P648" s="565" t="n"/>
      <x:c r="Q648" s="565" t="n"/>
      <x:c r="R648" s="565" t="n"/>
      <x:c r="S648" s="613" t="n"/>
      <x:c r="T648" s="565" t="n"/>
      <x:c r="U648" s="613" t="n"/>
      <x:c r="V648" s="565" t="n"/>
      <x:c r="W648" s="565" t="n"/>
      <x:c r="X648" s="565" t="n"/>
      <x:c r="Y648" s="565" t="n"/>
      <x:c r="Z648" s="565" t="n"/>
    </x:row>
    <x:row r="649">
      <x:c r="A649" s="527" t="inlineStr">
        <x:is>
          <x:t xml:space="preserve">1970-002663</x:t>
        </x:is>
      </x:c>
      <x:c r="B649" s="527" t="n"/>
      <x:c r="C649" s="527" t="inlineStr">
        <x:is>
          <x:t xml:space="preserve">Assignment</x:t>
        </x:is>
      </x:c>
      <x:c r="D649" s="527" t="inlineStr">
        <x:is>
          <x:t xml:space="preserve">0114/0555</x:t>
        </x:is>
      </x:c>
      <x:c r="E649" s="529" t="inlineStr">
        <x:is>
          <x:t xml:space="preserve">11/13/1970</x:t>
        </x:is>
      </x:c>
      <x:c r="F649" s="529" t="n">
        <x:v>25885</x:v>
      </x:c>
      <x:c r="G649" s="527" t="inlineStr">
        <x:is>
          <x:t xml:space="preserve">W. V. Lister</x:t>
        </x:is>
      </x:c>
      <x:c r="H649" s="527" t="inlineStr">
        <x:is>
          <x:t xml:space="preserve">Gasanadarko, Ltd.</x:t>
        </x:is>
      </x:c>
      <x:c r="I649" s="527" t="inlineStr">
        <x:is>
          <x:t xml:space="preserve">31-12N-24W (AOL)</x:t>
        </x:is>
      </x:c>
      <x:c r="J649" s="527" t="inlineStr">
        <x:is>
          <x:t xml:space="preserve">Leasehold / WI</x:t>
        </x:is>
      </x:c>
      <x:c r="K649" s="527" t="inlineStr">
        <x:is>
          <x:t xml:space="preserve">OKCountyRecords official index, Roger Mills County (instrument 1970-002663); searched 06/11/2026</x:t>
        </x:is>
      </x:c>
      <x:c r="L649" s="565" t="n"/>
      <x:c r="M649" s="565" t="n"/>
      <x:c r="N649" s="565" t="n"/>
      <x:c r="O649" s="565" t="n"/>
      <x:c r="P649" s="565" t="n"/>
      <x:c r="Q649" s="565" t="n"/>
      <x:c r="R649" s="565" t="n"/>
      <x:c r="S649" s="613" t="n"/>
      <x:c r="T649" s="565" t="n"/>
      <x:c r="U649" s="613" t="n"/>
      <x:c r="V649" s="565" t="n"/>
      <x:c r="W649" s="565" t="n"/>
      <x:c r="X649" s="565" t="n"/>
      <x:c r="Y649" s="565" t="n"/>
      <x:c r="Z649" s="565" t="n"/>
    </x:row>
    <x:row r="650">
      <x:c r="A650" s="527" t="inlineStr">
        <x:is>
          <x:t xml:space="preserve">1970-002664</x:t>
        </x:is>
      </x:c>
      <x:c r="B650" s="527" t="n"/>
      <x:c r="C650" s="527" t="inlineStr">
        <x:is>
          <x:t xml:space="preserve">Assignment</x:t>
        </x:is>
      </x:c>
      <x:c r="D650" s="527" t="inlineStr">
        <x:is>
          <x:t xml:space="preserve">0114/0556</x:t>
        </x:is>
      </x:c>
      <x:c r="E650" s="529" t="inlineStr">
        <x:is>
          <x:t xml:space="preserve">11/13/1970</x:t>
        </x:is>
      </x:c>
      <x:c r="F650" s="529" t="n">
        <x:v>25885</x:v>
      </x:c>
      <x:c r="G650" s="527" t="inlineStr">
        <x:is>
          <x:t xml:space="preserve">Ghk Corporation</x:t>
        </x:is>
      </x:c>
      <x:c r="H650" s="527" t="inlineStr">
        <x:is>
          <x:t xml:space="preserve">Gasanadarko, Ltd.</x:t>
        </x:is>
      </x:c>
      <x:c r="I650" s="527" t="inlineStr">
        <x:is>
          <x:t xml:space="preserve">31-12N-24W (AOL)</x:t>
        </x:is>
      </x:c>
      <x:c r="J650" s="527" t="inlineStr">
        <x:is>
          <x:t xml:space="preserve">Leasehold / WI</x:t>
        </x:is>
      </x:c>
      <x:c r="K650" s="527" t="inlineStr">
        <x:is>
          <x:t xml:space="preserve">OKCountyRecords official index, Roger Mills County (instrument 1970-002664); searched 06/11/2026</x:t>
        </x:is>
      </x:c>
      <x:c r="L650" s="565" t="n"/>
      <x:c r="M650" s="565" t="n"/>
      <x:c r="N650" s="565" t="n"/>
      <x:c r="O650" s="565" t="n"/>
      <x:c r="P650" s="565" t="n"/>
      <x:c r="Q650" s="565" t="n"/>
      <x:c r="R650" s="565" t="n"/>
      <x:c r="S650" s="613" t="n"/>
      <x:c r="T650" s="565" t="n"/>
      <x:c r="U650" s="613" t="n"/>
      <x:c r="V650" s="565" t="n"/>
      <x:c r="W650" s="565" t="n"/>
      <x:c r="X650" s="565" t="n"/>
      <x:c r="Y650" s="565" t="n"/>
      <x:c r="Z650" s="565" t="n"/>
    </x:row>
    <x:row r="651">
      <x:c r="A651" s="527" t="inlineStr">
        <x:is>
          <x:t xml:space="preserve">1970-002665</x:t>
        </x:is>
      </x:c>
      <x:c r="B651" s="527" t="n"/>
      <x:c r="C651" s="527" t="inlineStr">
        <x:is>
          <x:t xml:space="preserve">Assignment</x:t>
        </x:is>
      </x:c>
      <x:c r="D651" s="527" t="inlineStr">
        <x:is>
          <x:t xml:space="preserve">0114/0557</x:t>
        </x:is>
      </x:c>
      <x:c r="E651" s="529" t="inlineStr">
        <x:is>
          <x:t xml:space="preserve">11/13/1970</x:t>
        </x:is>
      </x:c>
      <x:c r="F651" s="529" t="n">
        <x:v>25885</x:v>
      </x:c>
      <x:c r="G651" s="527" t="inlineStr">
        <x:is>
          <x:t xml:space="preserve">Ghk Corporation</x:t>
        </x:is>
      </x:c>
      <x:c r="H651" s="527" t="inlineStr">
        <x:is>
          <x:t xml:space="preserve">Gasanadarko, Ltd.</x:t>
        </x:is>
      </x:c>
      <x:c r="I651" s="527" t="inlineStr">
        <x:is>
          <x:t xml:space="preserve">31-12N-24W (AOL)</x:t>
        </x:is>
      </x:c>
      <x:c r="J651" s="527" t="inlineStr">
        <x:is>
          <x:t xml:space="preserve">Leasehold / WI</x:t>
        </x:is>
      </x:c>
      <x:c r="K651" s="527" t="inlineStr">
        <x:is>
          <x:t xml:space="preserve">OKCountyRecords official index, Roger Mills County (instrument 1970-002665); searched 06/11/2026</x:t>
        </x:is>
      </x:c>
      <x:c r="L651" s="565" t="n"/>
      <x:c r="M651" s="565" t="n"/>
      <x:c r="N651" s="565" t="n"/>
      <x:c r="O651" s="565" t="n"/>
      <x:c r="P651" s="565" t="n"/>
      <x:c r="Q651" s="565" t="n"/>
      <x:c r="R651" s="565" t="n"/>
      <x:c r="S651" s="613" t="n"/>
      <x:c r="T651" s="565" t="n"/>
      <x:c r="U651" s="613" t="n"/>
      <x:c r="V651" s="565" t="n"/>
      <x:c r="W651" s="565" t="n"/>
      <x:c r="X651" s="565" t="n"/>
      <x:c r="Y651" s="565" t="n"/>
      <x:c r="Z651" s="565" t="n"/>
    </x:row>
    <x:row r="652">
      <x:c r="A652" s="527" t="inlineStr">
        <x:is>
          <x:t xml:space="preserve">1970-002666</x:t>
        </x:is>
      </x:c>
      <x:c r="B652" s="527" t="n"/>
      <x:c r="C652" s="527" t="inlineStr">
        <x:is>
          <x:t xml:space="preserve">Assignment</x:t>
        </x:is>
      </x:c>
      <x:c r="D652" s="527" t="inlineStr">
        <x:is>
          <x:t xml:space="preserve">0114/0558</x:t>
        </x:is>
      </x:c>
      <x:c r="E652" s="529" t="inlineStr">
        <x:is>
          <x:t xml:space="preserve">11/13/1970</x:t>
        </x:is>
      </x:c>
      <x:c r="F652" s="529" t="n">
        <x:v>25885</x:v>
      </x:c>
      <x:c r="G652" s="527" t="inlineStr">
        <x:is>
          <x:t xml:space="preserve">Ghk Corporation</x:t>
        </x:is>
      </x:c>
      <x:c r="H652" s="527" t="inlineStr">
        <x:is>
          <x:t xml:space="preserve">Gasanadarko, Ltd.</x:t>
        </x:is>
      </x:c>
      <x:c r="I652" s="527" t="inlineStr">
        <x:is>
          <x:t xml:space="preserve">31-12N-24W (AOL)</x:t>
        </x:is>
      </x:c>
      <x:c r="J652" s="527" t="inlineStr">
        <x:is>
          <x:t xml:space="preserve">Leasehold / WI</x:t>
        </x:is>
      </x:c>
      <x:c r="K652" s="527" t="inlineStr">
        <x:is>
          <x:t xml:space="preserve">OKCountyRecords official index, Roger Mills County (instrument 1970-002666); searched 06/11/2026</x:t>
        </x:is>
      </x:c>
      <x:c r="L652" s="565" t="n"/>
      <x:c r="M652" s="565" t="n"/>
      <x:c r="N652" s="565" t="n"/>
      <x:c r="O652" s="565" t="n"/>
      <x:c r="P652" s="565" t="n"/>
      <x:c r="Q652" s="565" t="n"/>
      <x:c r="R652" s="565" t="n"/>
      <x:c r="S652" s="613" t="n"/>
      <x:c r="T652" s="565" t="n"/>
      <x:c r="U652" s="613" t="n"/>
      <x:c r="V652" s="565" t="n"/>
      <x:c r="W652" s="565" t="n"/>
      <x:c r="X652" s="565" t="n"/>
      <x:c r="Y652" s="565" t="n"/>
      <x:c r="Z652" s="565" t="n"/>
    </x:row>
    <x:row r="653">
      <x:c r="A653" s="527" t="inlineStr">
        <x:is>
          <x:t xml:space="preserve">1970-002991</x:t>
        </x:is>
      </x:c>
      <x:c r="B653" s="527" t="n"/>
      <x:c r="C653" s="527" t="inlineStr">
        <x:is>
          <x:t xml:space="preserve">Assignment</x:t>
        </x:is>
      </x:c>
      <x:c r="D653" s="527" t="inlineStr">
        <x:is>
          <x:t xml:space="preserve">0115/0456</x:t>
        </x:is>
      </x:c>
      <x:c r="E653" s="529" t="inlineStr">
        <x:is>
          <x:t xml:space="preserve">12/03/1970</x:t>
        </x:is>
      </x:c>
      <x:c r="F653" s="529" t="n">
        <x:v>25905</x:v>
      </x:c>
      <x:c r="G653" s="527" t="inlineStr">
        <x:is>
          <x:t xml:space="preserve">W. V. Lister</x:t>
        </x:is>
      </x:c>
      <x:c r="H653" s="527" t="inlineStr">
        <x:is>
          <x:t xml:space="preserve">Ghk Corporation</x:t>
        </x:is>
      </x:c>
      <x:c r="I653" s="527" t="inlineStr">
        <x:is>
          <x:t xml:space="preserve">31-12N-24W (AOL)</x:t>
        </x:is>
      </x:c>
      <x:c r="J653" s="527" t="inlineStr">
        <x:is>
          <x:t xml:space="preserve">Leasehold / WI</x:t>
        </x:is>
      </x:c>
      <x:c r="K653" s="527" t="inlineStr">
        <x:is>
          <x:t xml:space="preserve">OKCountyRecords official index, Roger Mills County (instrument 1970-002991); searched 06/11/2026</x:t>
        </x:is>
      </x:c>
      <x:c r="L653" s="565" t="n"/>
      <x:c r="M653" s="565" t="n"/>
      <x:c r="N653" s="565" t="n"/>
      <x:c r="O653" s="565" t="n"/>
      <x:c r="P653" s="565" t="n"/>
      <x:c r="Q653" s="565" t="n"/>
      <x:c r="R653" s="565" t="n"/>
      <x:c r="S653" s="613" t="n"/>
      <x:c r="T653" s="565" t="n"/>
      <x:c r="U653" s="613" t="n"/>
      <x:c r="V653" s="565" t="n"/>
      <x:c r="W653" s="565" t="n"/>
      <x:c r="X653" s="565" t="n"/>
      <x:c r="Y653" s="565" t="n"/>
      <x:c r="Z653" s="565" t="n"/>
    </x:row>
    <x:row r="654">
      <x:c r="A654" s="527" t="inlineStr">
        <x:is>
          <x:t xml:space="preserve">1970-002992</x:t>
        </x:is>
      </x:c>
      <x:c r="B654" s="527" t="n"/>
      <x:c r="C654" s="527" t="inlineStr">
        <x:is>
          <x:t xml:space="preserve">Assignment</x:t>
        </x:is>
      </x:c>
      <x:c r="D654" s="527" t="inlineStr">
        <x:is>
          <x:t xml:space="preserve">0115/0457</x:t>
        </x:is>
      </x:c>
      <x:c r="E654" s="529" t="inlineStr">
        <x:is>
          <x:t xml:space="preserve">12/03/1970</x:t>
        </x:is>
      </x:c>
      <x:c r="F654" s="529" t="n">
        <x:v>25905</x:v>
      </x:c>
      <x:c r="G654" s="527" t="inlineStr">
        <x:is>
          <x:t xml:space="preserve">Ghk Corporation</x:t>
        </x:is>
      </x:c>
      <x:c r="H654" s="527" t="inlineStr">
        <x:is>
          <x:t xml:space="preserve">Gasanadarko, Ltd.</x:t>
        </x:is>
      </x:c>
      <x:c r="I654" s="527" t="inlineStr">
        <x:is>
          <x:t xml:space="preserve">31-12N-24W (AOL)</x:t>
        </x:is>
      </x:c>
      <x:c r="J654" s="527" t="inlineStr">
        <x:is>
          <x:t xml:space="preserve">Leasehold / WI</x:t>
        </x:is>
      </x:c>
      <x:c r="K654" s="527" t="inlineStr">
        <x:is>
          <x:t xml:space="preserve">OKCountyRecords official index, Roger Mills County (instrument 1970-002992); searched 06/11/2026</x:t>
        </x:is>
      </x:c>
      <x:c r="L654" s="565" t="n"/>
      <x:c r="M654" s="565" t="n"/>
      <x:c r="N654" s="565" t="n"/>
      <x:c r="O654" s="565" t="n"/>
      <x:c r="P654" s="565" t="n"/>
      <x:c r="Q654" s="565" t="n"/>
      <x:c r="R654" s="565" t="n"/>
      <x:c r="S654" s="613" t="n"/>
      <x:c r="T654" s="565" t="n"/>
      <x:c r="U654" s="613" t="n"/>
      <x:c r="V654" s="565" t="n"/>
      <x:c r="W654" s="565" t="n"/>
      <x:c r="X654" s="565" t="n"/>
      <x:c r="Y654" s="565" t="n"/>
      <x:c r="Z654" s="565" t="n"/>
    </x:row>
    <x:row r="655">
      <x:c r="A655" s="527" t="inlineStr">
        <x:is>
          <x:t xml:space="preserve">1970-003015</x:t>
        </x:is>
      </x:c>
      <x:c r="B655" s="527" t="n"/>
      <x:c r="C655" s="527" t="inlineStr">
        <x:is>
          <x:t xml:space="preserve">Rental Division Order</x:t>
        </x:is>
      </x:c>
      <x:c r="D655" s="527" t="inlineStr">
        <x:is>
          <x:t xml:space="preserve">0115/0485</x:t>
        </x:is>
      </x:c>
      <x:c r="E655" s="529" t="inlineStr">
        <x:is>
          <x:t xml:space="preserve">12/03/1970</x:t>
        </x:is>
      </x:c>
      <x:c r="F655" s="529" t="n">
        <x:v>25905</x:v>
      </x:c>
      <x:c r="G655" s="527" t="inlineStr">
        <x:is>
          <x:t xml:space="preserve">Marie Lister,
Robert O. Lister Jr.</x:t>
        </x:is>
      </x:c>
      <x:c r="H655" s="527" t="inlineStr">
        <x:is>
          <x:t xml:space="preserve">W. V. Lister</x:t>
        </x:is>
      </x:c>
      <x:c r="I655" s="527" t="inlineStr">
        <x:is>
          <x:t xml:space="preserve">31-12N-24W</x:t>
        </x:is>
      </x:c>
      <x:c r="J655" s="527" t="inlineStr">
        <x:is>
          <x:t xml:space="preserve">Leasehold / WI</x:t>
        </x:is>
      </x:c>
      <x:c r="K655" s="527" t="inlineStr">
        <x:is>
          <x:t xml:space="preserve">OKCountyRecords official index, Roger Mills County (instrument 1970-003015); searched 06/11/2026</x:t>
        </x:is>
      </x:c>
      <x:c r="L655" s="565" t="n"/>
      <x:c r="M655" s="565" t="n"/>
      <x:c r="N655" s="565" t="n"/>
      <x:c r="O655" s="565" t="n"/>
      <x:c r="P655" s="565" t="n"/>
      <x:c r="Q655" s="565" t="n"/>
      <x:c r="R655" s="565" t="n"/>
      <x:c r="S655" s="613" t="n"/>
      <x:c r="T655" s="565" t="n"/>
      <x:c r="U655" s="613" t="n"/>
      <x:c r="V655" s="565" t="n"/>
      <x:c r="W655" s="565" t="n"/>
      <x:c r="X655" s="565" t="n"/>
      <x:c r="Y655" s="565" t="n"/>
      <x:c r="Z655" s="565" t="n"/>
    </x:row>
    <x:row r="656">
      <x:c r="A656" s="527" t="inlineStr">
        <x:is>
          <x:t xml:space="preserve">1970-003106</x:t>
        </x:is>
      </x:c>
      <x:c r="B656" s="527" t="n"/>
      <x:c r="C656" s="527" t="inlineStr">
        <x:is>
          <x:t xml:space="preserve">Oil and Gas Lease</x:t>
        </x:is>
      </x:c>
      <x:c r="D656" s="527" t="inlineStr">
        <x:is>
          <x:t xml:space="preserve">0116/0044</x:t>
        </x:is>
      </x:c>
      <x:c r="E656" s="529" t="inlineStr">
        <x:is>
          <x:t xml:space="preserve">12/08/1970</x:t>
        </x:is>
      </x:c>
      <x:c r="F656" s="529" t="n">
        <x:v>25910</x:v>
      </x:c>
      <x:c r="G656" s="527" t="inlineStr">
        <x:is>
          <x:t xml:space="preserve">L. E. Thurman</x:t>
        </x:is>
      </x:c>
      <x:c r="H656" s="527" t="inlineStr">
        <x:is>
          <x:t xml:space="preserve">Ghk Corporation</x:t>
        </x:is>
      </x:c>
      <x:c r="I656" s="527" t="inlineStr">
        <x:is>
          <x:t xml:space="preserve">31-12N-24W (AOL)</x:t>
        </x:is>
      </x:c>
      <x:c r="J656" s="527" t="inlineStr">
        <x:is>
          <x:t xml:space="preserve">Leasehold / WI</x:t>
        </x:is>
      </x:c>
      <x:c r="K656" s="527" t="inlineStr">
        <x:is>
          <x:t xml:space="preserve">OKCountyRecords official index, Roger Mills County (instrument 1970-003106); searched 06/11/2026</x:t>
        </x:is>
      </x:c>
      <x:c r="L656" s="565" t="n"/>
      <x:c r="M656" s="565" t="n"/>
      <x:c r="N656" s="565" t="n"/>
      <x:c r="O656" s="565" t="n"/>
      <x:c r="P656" s="565" t="n"/>
      <x:c r="Q656" s="565" t="n"/>
      <x:c r="R656" s="565" t="n"/>
      <x:c r="S656" s="613" t="n"/>
      <x:c r="T656" s="565" t="n"/>
      <x:c r="U656" s="613" t="n"/>
      <x:c r="V656" s="565" t="n"/>
      <x:c r="W656" s="565" t="n"/>
      <x:c r="X656" s="565" t="n"/>
      <x:c r="Y656" s="565" t="n"/>
      <x:c r="Z656" s="565" t="n"/>
    </x:row>
    <x:row r="657">
      <x:c r="A657" s="527" t="inlineStr">
        <x:is>
          <x:t xml:space="preserve">1970-003107</x:t>
        </x:is>
      </x:c>
      <x:c r="B657" s="527" t="n"/>
      <x:c r="C657" s="527" t="inlineStr">
        <x:is>
          <x:t xml:space="preserve">Assignment</x:t>
        </x:is>
      </x:c>
      <x:c r="D657" s="527" t="inlineStr">
        <x:is>
          <x:t xml:space="preserve">0116/0047</x:t>
        </x:is>
      </x:c>
      <x:c r="E657" s="529" t="inlineStr">
        <x:is>
          <x:t xml:space="preserve">12/08/1970</x:t>
        </x:is>
      </x:c>
      <x:c r="F657" s="529" t="n">
        <x:v>25910</x:v>
      </x:c>
      <x:c r="G657" s="527" t="inlineStr">
        <x:is>
          <x:t xml:space="preserve">Ghk Corporation</x:t>
        </x:is>
      </x:c>
      <x:c r="H657" s="527" t="inlineStr">
        <x:is>
          <x:t xml:space="preserve">Gasanadarko, Ltd.</x:t>
        </x:is>
      </x:c>
      <x:c r="I657" s="527" t="inlineStr">
        <x:is>
          <x:t xml:space="preserve">31-12N-24W (AOL)</x:t>
        </x:is>
      </x:c>
      <x:c r="J657" s="527" t="inlineStr">
        <x:is>
          <x:t xml:space="preserve">Leasehold / WI</x:t>
        </x:is>
      </x:c>
      <x:c r="K657" s="527" t="inlineStr">
        <x:is>
          <x:t xml:space="preserve">OKCountyRecords official index, Roger Mills County (instrument 1970-003107); searched 06/11/2026</x:t>
        </x:is>
      </x:c>
      <x:c r="L657" s="565" t="n"/>
      <x:c r="M657" s="565" t="n"/>
      <x:c r="N657" s="565" t="n"/>
      <x:c r="O657" s="565" t="n"/>
      <x:c r="P657" s="565" t="n"/>
      <x:c r="Q657" s="565" t="n"/>
      <x:c r="R657" s="565" t="n"/>
      <x:c r="S657" s="613" t="n"/>
      <x:c r="T657" s="565" t="n"/>
      <x:c r="U657" s="613" t="n"/>
      <x:c r="V657" s="565" t="n"/>
      <x:c r="W657" s="565" t="n"/>
      <x:c r="X657" s="565" t="n"/>
      <x:c r="Y657" s="565" t="n"/>
      <x:c r="Z657" s="565" t="n"/>
    </x:row>
    <x:row r="658">
      <x:c r="A658" s="527" t="inlineStr">
        <x:is>
          <x:t xml:space="preserve">1971-001694</x:t>
        </x:is>
      </x:c>
      <x:c r="B658" s="527" t="n"/>
      <x:c r="C658" s="527" t="inlineStr">
        <x:is>
          <x:t xml:space="preserve">Release</x:t>
        </x:is>
      </x:c>
      <x:c r="D658" s="527" t="inlineStr">
        <x:is>
          <x:t xml:space="preserve">0122/0046</x:t>
        </x:is>
      </x:c>
      <x:c r="E658" s="529" t="inlineStr">
        <x:is>
          <x:t xml:space="preserve">05/18/1971</x:t>
        </x:is>
      </x:c>
      <x:c r="F658" s="529" t="n">
        <x:v>26071</x:v>
      </x:c>
      <x:c r="G658" s="527" t="inlineStr">
        <x:is>
          <x:t xml:space="preserve">Gasanadarko, Ltd.</x:t>
        </x:is>
      </x:c>
      <x:c r="H658" s="527" t="inlineStr">
        <x:is>
          <x:t xml:space="preserve">Marie Lister,
Robert O. Lister Jr.</x:t>
        </x:is>
      </x:c>
      <x:c r="I658" s="527" t="inlineStr">
        <x:is>
          <x:t xml:space="preserve">31-12N-24W</x:t>
        </x:is>
      </x:c>
      <x:c r="J658" s="527" t="inlineStr">
        <x:is>
          <x:t xml:space="preserve">Leasehold / WI</x:t>
        </x:is>
      </x:c>
      <x:c r="K658" s="527" t="inlineStr">
        <x:is>
          <x:t xml:space="preserve">OKCountyRecords official index, Roger Mills County (instrument 1971-001694); searched 06/11/2026</x:t>
        </x:is>
      </x:c>
      <x:c r="L658" s="565" t="n"/>
      <x:c r="M658" s="565" t="n"/>
      <x:c r="N658" s="565" t="n"/>
      <x:c r="O658" s="565" t="n"/>
      <x:c r="P658" s="565" t="n"/>
      <x:c r="Q658" s="565" t="n"/>
      <x:c r="R658" s="565" t="n"/>
      <x:c r="S658" s="613" t="n"/>
      <x:c r="T658" s="565" t="n"/>
      <x:c r="U658" s="613" t="n"/>
      <x:c r="V658" s="565" t="n"/>
      <x:c r="W658" s="565" t="n"/>
      <x:c r="X658" s="565" t="n"/>
      <x:c r="Y658" s="565" t="n"/>
      <x:c r="Z658" s="565" t="n"/>
    </x:row>
    <x:row r="659">
      <x:c r="A659" s="527" t="inlineStr">
        <x:is>
          <x:t xml:space="preserve">1971-002243</x:t>
        </x:is>
      </x:c>
      <x:c r="B659" s="527" t="n"/>
      <x:c r="C659" s="527" t="inlineStr">
        <x:is>
          <x:t xml:space="preserve">Oil and Gas Lease</x:t>
        </x:is>
      </x:c>
      <x:c r="D659" s="527" t="inlineStr">
        <x:is>
          <x:t xml:space="preserve">0123/0448</x:t>
        </x:is>
      </x:c>
      <x:c r="E659" s="529" t="inlineStr">
        <x:is>
          <x:t xml:space="preserve">07/16/1971</x:t>
        </x:is>
      </x:c>
      <x:c r="F659" s="529" t="n">
        <x:v>26130</x:v>
      </x:c>
      <x:c r="G659" s="527" t="inlineStr">
        <x:is>
          <x:t xml:space="preserve">Eula M. Bain,
William C. Bain</x:t>
        </x:is>
      </x:c>
      <x:c r="H659" s="527" t="inlineStr">
        <x:is>
          <x:t xml:space="preserve">W. V. Lister</x:t>
        </x:is>
      </x:c>
      <x:c r="I659" s="527" t="inlineStr">
        <x:is>
          <x:t xml:space="preserve">31-12N-24W</x:t>
        </x:is>
      </x:c>
      <x:c r="J659" s="527" t="inlineStr">
        <x:is>
          <x:t xml:space="preserve">Leasehold / WI</x:t>
        </x:is>
      </x:c>
      <x:c r="K659" s="527" t="inlineStr">
        <x:is>
          <x:t xml:space="preserve">OKCountyRecords official index, Roger Mills County (instrument 1971-002243); searched 06/11/2026</x:t>
        </x:is>
      </x:c>
      <x:c r="L659" s="565" t="n"/>
      <x:c r="M659" s="565" t="n"/>
      <x:c r="N659" s="565" t="n"/>
      <x:c r="O659" s="565" t="n"/>
      <x:c r="P659" s="565" t="n"/>
      <x:c r="Q659" s="565" t="n"/>
      <x:c r="R659" s="565" t="n"/>
      <x:c r="S659" s="613" t="n"/>
      <x:c r="T659" s="565" t="n"/>
      <x:c r="U659" s="613" t="n"/>
      <x:c r="V659" s="565" t="n"/>
      <x:c r="W659" s="565" t="n"/>
      <x:c r="X659" s="565" t="n"/>
      <x:c r="Y659" s="565" t="n"/>
      <x:c r="Z659" s="565" t="n"/>
    </x:row>
    <x:row r="660">
      <x:c r="A660" s="527" t="inlineStr">
        <x:is>
          <x:t xml:space="preserve">1971-002244</x:t>
        </x:is>
      </x:c>
      <x:c r="B660" s="527" t="n"/>
      <x:c r="C660" s="527" t="inlineStr">
        <x:is>
          <x:t xml:space="preserve">Assignment</x:t>
        </x:is>
      </x:c>
      <x:c r="D660" s="527" t="inlineStr">
        <x:is>
          <x:t xml:space="preserve">0123/0450</x:t>
        </x:is>
      </x:c>
      <x:c r="E660" s="529" t="inlineStr">
        <x:is>
          <x:t xml:space="preserve">07/16/1971</x:t>
        </x:is>
      </x:c>
      <x:c r="F660" s="529" t="n">
        <x:v>26130</x:v>
      </x:c>
      <x:c r="G660" s="527" t="inlineStr">
        <x:is>
          <x:t xml:space="preserve">W. V. Lister</x:t>
        </x:is>
      </x:c>
      <x:c r="H660" s="527" t="inlineStr">
        <x:is>
          <x:t xml:space="preserve">Gasanadarko, Ltd.</x:t>
        </x:is>
      </x:c>
      <x:c r="I660" s="527" t="inlineStr">
        <x:is>
          <x:t xml:space="preserve">31-12N-24W</x:t>
        </x:is>
      </x:c>
      <x:c r="J660" s="527" t="inlineStr">
        <x:is>
          <x:t xml:space="preserve">Leasehold / WI</x:t>
        </x:is>
      </x:c>
      <x:c r="K660" s="527" t="inlineStr">
        <x:is>
          <x:t xml:space="preserve">OKCountyRecords official index, Roger Mills County (instrument 1971-002244); searched 06/11/2026</x:t>
        </x:is>
      </x:c>
      <x:c r="L660" s="565" t="n"/>
      <x:c r="M660" s="565" t="n"/>
      <x:c r="N660" s="565" t="n"/>
      <x:c r="O660" s="565" t="n"/>
      <x:c r="P660" s="565" t="n"/>
      <x:c r="Q660" s="565" t="n"/>
      <x:c r="R660" s="565" t="n"/>
      <x:c r="S660" s="613" t="n"/>
      <x:c r="T660" s="565" t="n"/>
      <x:c r="U660" s="613" t="n"/>
      <x:c r="V660" s="565" t="n"/>
      <x:c r="W660" s="565" t="n"/>
      <x:c r="X660" s="565" t="n"/>
      <x:c r="Y660" s="565" t="n"/>
      <x:c r="Z660" s="565" t="n"/>
    </x:row>
    <x:row r="661">
      <x:c r="A661" s="527" t="inlineStr">
        <x:is>
          <x:t xml:space="preserve">1971-002664</x:t>
        </x:is>
      </x:c>
      <x:c r="B661" s="527" t="n"/>
      <x:c r="C661" s="527" t="inlineStr">
        <x:is>
          <x:t xml:space="preserve">Oil and Gas Lease</x:t>
        </x:is>
      </x:c>
      <x:c r="D661" s="527" t="inlineStr">
        <x:is>
          <x:t xml:space="preserve">0125/0007</x:t>
        </x:is>
      </x:c>
      <x:c r="E661" s="529" t="inlineStr">
        <x:is>
          <x:t xml:space="preserve">08/13/1971</x:t>
        </x:is>
      </x:c>
      <x:c r="F661" s="529" t="n">
        <x:v>26158</x:v>
      </x:c>
      <x:c r="G661" s="527" t="inlineStr">
        <x:is>
          <x:t xml:space="preserve">A. C. Campbell,
Fern Campbell,
J. W. Klopfenstein,
Ruby M. Klopfenstein</x:t>
        </x:is>
      </x:c>
      <x:c r="H661" s="527" t="inlineStr">
        <x:is>
          <x:t xml:space="preserve">Chalfant Magee &amp; Hansen, Inc.</x:t>
        </x:is>
      </x:c>
      <x:c r="I661" s="527" t="inlineStr">
        <x:is>
          <x:t xml:space="preserve">31-12N-24W</x:t>
        </x:is>
      </x:c>
      <x:c r="J661" s="527" t="inlineStr">
        <x:is>
          <x:t xml:space="preserve">Leasehold / WI</x:t>
        </x:is>
      </x:c>
      <x:c r="K661" s="527" t="inlineStr">
        <x:is>
          <x:t xml:space="preserve">OKCountyRecords official index, Roger Mills County (instrument 1971-002664); searched 06/11/2026</x:t>
        </x:is>
      </x:c>
      <x:c r="L661" s="565" t="n"/>
      <x:c r="M661" s="565" t="n"/>
      <x:c r="N661" s="565" t="n"/>
      <x:c r="O661" s="565" t="n"/>
      <x:c r="P661" s="565" t="n"/>
      <x:c r="Q661" s="565" t="n"/>
      <x:c r="R661" s="565" t="n"/>
      <x:c r="S661" s="613" t="n"/>
      <x:c r="T661" s="565" t="n"/>
      <x:c r="U661" s="613" t="n"/>
      <x:c r="V661" s="565" t="n"/>
      <x:c r="W661" s="565" t="n"/>
      <x:c r="X661" s="565" t="n"/>
      <x:c r="Y661" s="565" t="n"/>
      <x:c r="Z661" s="565" t="n"/>
    </x:row>
    <x:row r="662">
      <x:c r="A662" s="527" t="inlineStr">
        <x:is>
          <x:t xml:space="preserve">1971-003272</x:t>
        </x:is>
      </x:c>
      <x:c r="B662" s="527" t="n"/>
      <x:c r="C662" s="527" t="inlineStr">
        <x:is>
          <x:t xml:space="preserve">Assignment</x:t>
        </x:is>
      </x:c>
      <x:c r="D662" s="527" t="inlineStr">
        <x:is>
          <x:t xml:space="preserve">0127/0028</x:t>
        </x:is>
      </x:c>
      <x:c r="E662" s="529" t="inlineStr">
        <x:is>
          <x:t xml:space="preserve">09/17/1971</x:t>
        </x:is>
      </x:c>
      <x:c r="F662" s="529" t="n">
        <x:v>26193</x:v>
      </x:c>
      <x:c r="G662" s="527" t="inlineStr">
        <x:is>
          <x:t xml:space="preserve">A. C. Campbell,
Fern Campbell,
J. W. Klopfenstein,
Ruby M. Klopfenstein</x:t>
        </x:is>
      </x:c>
      <x:c r="H662" s="527" t="inlineStr">
        <x:is>
          <x:t xml:space="preserve">Chalfant Magee and Hansen, Inc.</x:t>
        </x:is>
      </x:c>
      <x:c r="I662" s="527" t="inlineStr">
        <x:is>
          <x:t xml:space="preserve">31-12N-24W</x:t>
        </x:is>
      </x:c>
      <x:c r="J662" s="527" t="inlineStr">
        <x:is>
          <x:t xml:space="preserve">Leasehold / WI</x:t>
        </x:is>
      </x:c>
      <x:c r="K662" s="527" t="inlineStr">
        <x:is>
          <x:t xml:space="preserve">OKCountyRecords official index, Roger Mills County (instrument 1971-003272); searched 06/11/2026</x:t>
        </x:is>
      </x:c>
      <x:c r="L662" s="565" t="n"/>
      <x:c r="M662" s="565" t="n"/>
      <x:c r="N662" s="565" t="n"/>
      <x:c r="O662" s="565" t="n"/>
      <x:c r="P662" s="565" t="n"/>
      <x:c r="Q662" s="565" t="n"/>
      <x:c r="R662" s="565" t="n"/>
      <x:c r="S662" s="613" t="n"/>
      <x:c r="T662" s="565" t="n"/>
      <x:c r="U662" s="613" t="n"/>
      <x:c r="V662" s="565" t="n"/>
      <x:c r="W662" s="565" t="n"/>
      <x:c r="X662" s="565" t="n"/>
      <x:c r="Y662" s="565" t="n"/>
      <x:c r="Z662" s="565" t="n"/>
    </x:row>
    <x:row r="663">
      <x:c r="A663" s="527" t="inlineStr">
        <x:is>
          <x:t xml:space="preserve">1971-003746</x:t>
        </x:is>
      </x:c>
      <x:c r="B663" s="527" t="n"/>
      <x:c r="C663" s="527" t="inlineStr">
        <x:is>
          <x:t xml:space="preserve">Assignment</x:t>
        </x:is>
      </x:c>
      <x:c r="D663" s="527" t="inlineStr">
        <x:is>
          <x:t xml:space="preserve">0128/0290</x:t>
        </x:is>
      </x:c>
      <x:c r="E663" s="529" t="inlineStr">
        <x:is>
          <x:t xml:space="preserve">10/25/1971</x:t>
        </x:is>
      </x:c>
      <x:c r="F663" s="529" t="n">
        <x:v>26231</x:v>
      </x:c>
      <x:c r="G663" s="527" t="inlineStr">
        <x:is>
          <x:t xml:space="preserve">Gasanadarko, Ltd.</x:t>
        </x:is>
      </x:c>
      <x:c r="H663" s="527" t="inlineStr">
        <x:is>
          <x:t xml:space="preserve">El Paso Natural Gas Co</x:t>
        </x:is>
      </x:c>
      <x:c r="I663" s="527" t="inlineStr">
        <x:is>
          <x:t xml:space="preserve">All of 31-12N-24W (AOL)</x:t>
        </x:is>
      </x:c>
      <x:c r="J663" s="527" t="inlineStr">
        <x:is>
          <x:t xml:space="preserve">Leasehold / WI</x:t>
        </x:is>
      </x:c>
      <x:c r="K663" s="527" t="inlineStr">
        <x:is>
          <x:t xml:space="preserve">OKCountyRecords official index, Roger Mills County (instrument 1971-003746); searched 06/11/2026</x:t>
        </x:is>
      </x:c>
      <x:c r="L663" s="565" t="n"/>
      <x:c r="M663" s="565" t="n"/>
      <x:c r="N663" s="565" t="n"/>
      <x:c r="O663" s="565" t="n"/>
      <x:c r="P663" s="565" t="n"/>
      <x:c r="Q663" s="565" t="n"/>
      <x:c r="R663" s="565" t="n"/>
      <x:c r="S663" s="613" t="n"/>
      <x:c r="T663" s="565" t="n"/>
      <x:c r="U663" s="613" t="n"/>
      <x:c r="V663" s="565" t="n"/>
      <x:c r="W663" s="565" t="n"/>
      <x:c r="X663" s="565" t="n"/>
      <x:c r="Y663" s="565" t="n"/>
      <x:c r="Z663" s="565" t="n"/>
    </x:row>
    <x:row r="664">
      <x:c r="A664" s="527" t="inlineStr">
        <x:is>
          <x:t xml:space="preserve">1971-004499</x:t>
        </x:is>
      </x:c>
      <x:c r="B664" s="527" t="n"/>
      <x:c r="C664" s="527" t="inlineStr">
        <x:is>
          <x:t xml:space="preserve">Assignment</x:t>
        </x:is>
      </x:c>
      <x:c r="D664" s="527" t="inlineStr">
        <x:is>
          <x:t xml:space="preserve">0130/0483</x:t>
        </x:is>
      </x:c>
      <x:c r="E664" s="529" t="inlineStr">
        <x:is>
          <x:t xml:space="preserve">12/20/1971</x:t>
        </x:is>
      </x:c>
      <x:c r="F664" s="529" t="n">
        <x:v>26287</x:v>
      </x:c>
      <x:c r="G664" s="527" t="inlineStr">
        <x:is>
          <x:t xml:space="preserve">Gasanadarko, Ltd.</x:t>
        </x:is>
      </x:c>
      <x:c r="H664" s="527" t="inlineStr">
        <x:is>
          <x:t xml:space="preserve">El Paso Natural Gas Co</x:t>
        </x:is>
      </x:c>
      <x:c r="I664" s="527" t="inlineStr">
        <x:is>
          <x:t xml:space="preserve">31-12N-24W (AOL)</x:t>
        </x:is>
      </x:c>
      <x:c r="J664" s="527" t="inlineStr">
        <x:is>
          <x:t xml:space="preserve">Leasehold / WI</x:t>
        </x:is>
      </x:c>
      <x:c r="K664" s="527" t="inlineStr">
        <x:is>
          <x:t xml:space="preserve">OKCountyRecords official index, Roger Mills County (instrument 1971-004499); searched 06/11/2026</x:t>
        </x:is>
      </x:c>
      <x:c r="L664" s="565" t="n"/>
      <x:c r="M664" s="565" t="n"/>
      <x:c r="N664" s="565" t="n"/>
      <x:c r="O664" s="565" t="n"/>
      <x:c r="P664" s="565" t="n"/>
      <x:c r="Q664" s="565" t="n"/>
      <x:c r="R664" s="565" t="n"/>
      <x:c r="S664" s="613" t="n"/>
      <x:c r="T664" s="565" t="n"/>
      <x:c r="U664" s="613" t="n"/>
      <x:c r="V664" s="565" t="n"/>
      <x:c r="W664" s="565" t="n"/>
      <x:c r="X664" s="565" t="n"/>
      <x:c r="Y664" s="565" t="n"/>
      <x:c r="Z664" s="565" t="n"/>
    </x:row>
    <x:row r="665">
      <x:c r="A665" s="527" t="inlineStr">
        <x:is>
          <x:t xml:space="preserve">1972-002543</x:t>
        </x:is>
      </x:c>
      <x:c r="B665" s="527" t="n"/>
      <x:c r="C665" s="527" t="inlineStr">
        <x:is>
          <x:t xml:space="preserve">Oil and Gas Lease</x:t>
        </x:is>
      </x:c>
      <x:c r="D665" s="527" t="inlineStr">
        <x:is>
          <x:t xml:space="preserve">0139/0036</x:t>
        </x:is>
      </x:c>
      <x:c r="E665" s="529" t="inlineStr">
        <x:is>
          <x:t xml:space="preserve">07/20/1972</x:t>
        </x:is>
      </x:c>
      <x:c r="F665" s="529" t="n">
        <x:v>26500</x:v>
      </x:c>
      <x:c r="G665" s="527" t="inlineStr">
        <x:is>
          <x:t xml:space="preserve">Gena (minor) Williams,
Gene G. Guardian Williams,
Marvin Mitchell (minor) Williams</x:t>
        </x:is>
      </x:c>
      <x:c r="H665" s="527" t="inlineStr">
        <x:is>
          <x:t xml:space="preserve">Chalfant Magee &amp; Hansen, Inc.</x:t>
        </x:is>
      </x:c>
      <x:c r="I665" s="527" t="inlineStr">
        <x:is>
          <x:t xml:space="preserve">31-12N-24W (AOL)</x:t>
        </x:is>
      </x:c>
      <x:c r="J665" s="527" t="inlineStr">
        <x:is>
          <x:t xml:space="preserve">Leasehold / WI</x:t>
        </x:is>
      </x:c>
      <x:c r="K665" s="527" t="inlineStr">
        <x:is>
          <x:t xml:space="preserve">OKCountyRecords official index, Roger Mills County (instrument 1972-002543); searched 06/11/2026</x:t>
        </x:is>
      </x:c>
      <x:c r="L665" s="565" t="n"/>
      <x:c r="M665" s="565" t="n"/>
      <x:c r="N665" s="565" t="n"/>
      <x:c r="O665" s="565" t="n"/>
      <x:c r="P665" s="565" t="n"/>
      <x:c r="Q665" s="565" t="n"/>
      <x:c r="R665" s="565" t="n"/>
      <x:c r="S665" s="613" t="n"/>
      <x:c r="T665" s="565" t="n"/>
      <x:c r="U665" s="613" t="n"/>
      <x:c r="V665" s="565" t="n"/>
      <x:c r="W665" s="565" t="n"/>
      <x:c r="X665" s="565" t="n"/>
      <x:c r="Y665" s="565" t="n"/>
      <x:c r="Z665" s="565" t="n"/>
    </x:row>
    <x:row r="666">
      <x:c r="A666" s="527" t="inlineStr">
        <x:is>
          <x:t xml:space="preserve">1972-002544</x:t>
        </x:is>
      </x:c>
      <x:c r="B666" s="527" t="n"/>
      <x:c r="C666" s="527" t="inlineStr">
        <x:is>
          <x:t xml:space="preserve">Assignment</x:t>
        </x:is>
      </x:c>
      <x:c r="D666" s="527" t="inlineStr">
        <x:is>
          <x:t xml:space="preserve">0139/0038</x:t>
        </x:is>
      </x:c>
      <x:c r="E666" s="529" t="inlineStr">
        <x:is>
          <x:t xml:space="preserve">07/20/1972</x:t>
        </x:is>
      </x:c>
      <x:c r="F666" s="529" t="n">
        <x:v>26500</x:v>
      </x:c>
      <x:c r="G666" s="527" t="inlineStr">
        <x:is>
          <x:t xml:space="preserve">Gena Williams,
Gene C. Guard Williams,
Marvin Mitchell Williams</x:t>
        </x:is>
      </x:c>
      <x:c r="H666" s="527" t="inlineStr">
        <x:is>
          <x:t xml:space="preserve">Chalfant Magee &amp; Hansen, Inc.</x:t>
        </x:is>
      </x:c>
      <x:c r="I666" s="527" t="inlineStr">
        <x:is>
          <x:t xml:space="preserve">31-12N-24W (AOL)</x:t>
        </x:is>
      </x:c>
      <x:c r="J666" s="527" t="inlineStr">
        <x:is>
          <x:t xml:space="preserve">Leasehold / WI</x:t>
        </x:is>
      </x:c>
      <x:c r="K666" s="527" t="inlineStr">
        <x:is>
          <x:t xml:space="preserve">OKCountyRecords official index, Roger Mills County (instrument 1972-002544); searched 06/11/2026</x:t>
        </x:is>
      </x:c>
      <x:c r="L666" s="565" t="n"/>
      <x:c r="M666" s="565" t="n"/>
      <x:c r="N666" s="565" t="n"/>
      <x:c r="O666" s="565" t="n"/>
      <x:c r="P666" s="565" t="n"/>
      <x:c r="Q666" s="565" t="n"/>
      <x:c r="R666" s="565" t="n"/>
      <x:c r="S666" s="613" t="n"/>
      <x:c r="T666" s="565" t="n"/>
      <x:c r="U666" s="613" t="n"/>
      <x:c r="V666" s="565" t="n"/>
      <x:c r="W666" s="565" t="n"/>
      <x:c r="X666" s="565" t="n"/>
      <x:c r="Y666" s="565" t="n"/>
      <x:c r="Z666" s="565" t="n"/>
    </x:row>
    <x:row r="667">
      <x:c r="A667" s="527" t="inlineStr">
        <x:is>
          <x:t xml:space="preserve">1972-002545</x:t>
        </x:is>
      </x:c>
      <x:c r="B667" s="527" t="n"/>
      <x:c r="C667" s="527" t="inlineStr">
        <x:is>
          <x:t xml:space="preserve">Miscellaneous</x:t>
        </x:is>
      </x:c>
      <x:c r="D667" s="527" t="inlineStr">
        <x:is>
          <x:t xml:space="preserve">0139/0039</x:t>
        </x:is>
      </x:c>
      <x:c r="E667" s="529" t="inlineStr">
        <x:is>
          <x:t xml:space="preserve">07/20/1972</x:t>
        </x:is>
      </x:c>
      <x:c r="F667" s="529" t="n">
        <x:v>26500</x:v>
      </x:c>
      <x:c r="G667" s="527" t="inlineStr">
        <x:is>
          <x:t xml:space="preserve">Gena Williams,
Marvin Mitchell Williams</x:t>
        </x:is>
      </x:c>
      <x:c r="H667" s="527" t="inlineStr">
        <x:is>
          <x:t xml:space="preserve">Gene G. Williams</x:t>
        </x:is>
      </x:c>
      <x:c r="I667" s="527" t="inlineStr">
        <x:is>
          <x:t xml:space="preserve">31-12N-24W (AOL)</x:t>
        </x:is>
      </x:c>
      <x:c r="J667" s="527" t="inlineStr">
        <x:is>
          <x:t xml:space="preserve">See instrument</x:t>
        </x:is>
      </x:c>
      <x:c r="K667" s="527" t="inlineStr">
        <x:is>
          <x:t xml:space="preserve">OKCountyRecords official index, Roger Mills County (instrument 1972-002545); searched 06/11/2026</x:t>
        </x:is>
      </x:c>
      <x:c r="L667" s="565" t="n"/>
      <x:c r="M667" s="565" t="n"/>
      <x:c r="N667" s="565" t="n"/>
      <x:c r="O667" s="565" t="n"/>
      <x:c r="P667" s="565" t="n"/>
      <x:c r="Q667" s="565" t="n"/>
      <x:c r="R667" s="565" t="n"/>
      <x:c r="S667" s="613" t="n"/>
      <x:c r="T667" s="565" t="n"/>
      <x:c r="U667" s="613" t="n"/>
      <x:c r="V667" s="565" t="n"/>
      <x:c r="W667" s="565" t="n"/>
      <x:c r="X667" s="565" t="n"/>
      <x:c r="Y667" s="565" t="n"/>
      <x:c r="Z667" s="565" t="n"/>
    </x:row>
    <x:row r="668">
      <x:c r="A668" s="527" t="inlineStr">
        <x:is>
          <x:t xml:space="preserve">1972-002561</x:t>
        </x:is>
      </x:c>
      <x:c r="B668" s="527" t="n"/>
      <x:c r="C668" s="527" t="inlineStr">
        <x:is>
          <x:t xml:space="preserve">Oil and Gas Lease</x:t>
        </x:is>
      </x:c>
      <x:c r="D668" s="527" t="inlineStr">
        <x:is>
          <x:t xml:space="preserve">0139/0070</x:t>
        </x:is>
      </x:c>
      <x:c r="E668" s="529" t="inlineStr">
        <x:is>
          <x:t xml:space="preserve">07/20/1972</x:t>
        </x:is>
      </x:c>
      <x:c r="F668" s="529" t="n">
        <x:v>26500</x:v>
      </x:c>
      <x:c r="G668" s="527" t="inlineStr">
        <x:is>
          <x:t xml:space="preserve">Carrie Leeann (minor) Mitchell,
John L. Guardian Mitchell,
Nancy Susan (minor) Mitchell</x:t>
        </x:is>
      </x:c>
      <x:c r="H668" s="527" t="inlineStr">
        <x:is>
          <x:t xml:space="preserve">Chalfant Magee &amp; Hansen, Inc.</x:t>
        </x:is>
      </x:c>
      <x:c r="I668" s="527" t="inlineStr">
        <x:is>
          <x:t xml:space="preserve">31-12N-24W (AOL)</x:t>
        </x:is>
      </x:c>
      <x:c r="J668" s="527" t="inlineStr">
        <x:is>
          <x:t xml:space="preserve">Leasehold / WI</x:t>
        </x:is>
      </x:c>
      <x:c r="K668" s="527" t="inlineStr">
        <x:is>
          <x:t xml:space="preserve">OKCountyRecords official index, Roger Mills County (instrument 1972-002561); searched 06/11/2026</x:t>
        </x:is>
      </x:c>
      <x:c r="L668" s="565" t="n"/>
      <x:c r="M668" s="565" t="n"/>
      <x:c r="N668" s="565" t="n"/>
      <x:c r="O668" s="565" t="n"/>
      <x:c r="P668" s="565" t="n"/>
      <x:c r="Q668" s="565" t="n"/>
      <x:c r="R668" s="565" t="n"/>
      <x:c r="S668" s="613" t="n"/>
      <x:c r="T668" s="565" t="n"/>
      <x:c r="U668" s="613" t="n"/>
      <x:c r="V668" s="565" t="n"/>
      <x:c r="W668" s="565" t="n"/>
      <x:c r="X668" s="565" t="n"/>
      <x:c r="Y668" s="565" t="n"/>
      <x:c r="Z668" s="565" t="n"/>
    </x:row>
    <x:row r="669">
      <x:c r="A669" s="527" t="inlineStr">
        <x:is>
          <x:t xml:space="preserve">1972-002562</x:t>
        </x:is>
      </x:c>
      <x:c r="B669" s="527" t="n"/>
      <x:c r="C669" s="527" t="inlineStr">
        <x:is>
          <x:t xml:space="preserve">Miscellaneous</x:t>
        </x:is>
      </x:c>
      <x:c r="D669" s="527" t="inlineStr">
        <x:is>
          <x:t xml:space="preserve">0139/0072</x:t>
        </x:is>
      </x:c>
      <x:c r="E669" s="529" t="inlineStr">
        <x:is>
          <x:t xml:space="preserve">07/20/1972</x:t>
        </x:is>
      </x:c>
      <x:c r="F669" s="529" t="n">
        <x:v>26500</x:v>
      </x:c>
      <x:c r="G669" s="527" t="inlineStr">
        <x:is>
          <x:t xml:space="preserve">Carrie Lee Ann Mitchell,
Nancy Susan Mitchell</x:t>
        </x:is>
      </x:c>
      <x:c r="H669" s="527" t="inlineStr">
        <x:is>
          <x:t xml:space="preserve">John L. Mitchell</x:t>
        </x:is>
      </x:c>
      <x:c r="I669" s="527" t="inlineStr">
        <x:is>
          <x:t xml:space="preserve">31-12N-24W (AOL)</x:t>
        </x:is>
      </x:c>
      <x:c r="J669" s="527" t="inlineStr">
        <x:is>
          <x:t xml:space="preserve">See instrument</x:t>
        </x:is>
      </x:c>
      <x:c r="K669" s="527" t="inlineStr">
        <x:is>
          <x:t xml:space="preserve">OKCountyRecords official index, Roger Mills County (instrument 1972-002562); searched 06/11/2026</x:t>
        </x:is>
      </x:c>
      <x:c r="L669" s="565" t="n"/>
      <x:c r="M669" s="565" t="n"/>
      <x:c r="N669" s="565" t="n"/>
      <x:c r="O669" s="565" t="n"/>
      <x:c r="P669" s="565" t="n"/>
      <x:c r="Q669" s="565" t="n"/>
      <x:c r="R669" s="565" t="n"/>
      <x:c r="S669" s="613" t="n"/>
      <x:c r="T669" s="565" t="n"/>
      <x:c r="U669" s="613" t="n"/>
      <x:c r="V669" s="565" t="n"/>
      <x:c r="W669" s="565" t="n"/>
      <x:c r="X669" s="565" t="n"/>
      <x:c r="Y669" s="565" t="n"/>
      <x:c r="Z669" s="565" t="n"/>
    </x:row>
    <x:row r="670">
      <x:c r="A670" s="527" t="inlineStr">
        <x:is>
          <x:t xml:space="preserve">1972-002563</x:t>
        </x:is>
      </x:c>
      <x:c r="B670" s="527" t="n"/>
      <x:c r="C670" s="527" t="inlineStr">
        <x:is>
          <x:t xml:space="preserve">Assignment</x:t>
        </x:is>
      </x:c>
      <x:c r="D670" s="527" t="inlineStr">
        <x:is>
          <x:t xml:space="preserve">0139/0073</x:t>
        </x:is>
      </x:c>
      <x:c r="E670" s="529" t="inlineStr">
        <x:is>
          <x:t xml:space="preserve">07/20/1972</x:t>
        </x:is>
      </x:c>
      <x:c r="F670" s="529" t="n">
        <x:v>26500</x:v>
      </x:c>
      <x:c r="G670" s="527" t="inlineStr">
        <x:is>
          <x:t xml:space="preserve">Carrie Leeann Mitchell,
John J. Guard Mitchell,
Nancy Susqn Mitchell</x:t>
        </x:is>
      </x:c>
      <x:c r="H670" s="527" t="inlineStr">
        <x:is>
          <x:t xml:space="preserve">Chalfant Magee &amp; Hansen, Inc.</x:t>
        </x:is>
      </x:c>
      <x:c r="I670" s="527" t="inlineStr">
        <x:is>
          <x:t xml:space="preserve">31-12N-24W (AOL)</x:t>
        </x:is>
      </x:c>
      <x:c r="J670" s="527" t="inlineStr">
        <x:is>
          <x:t xml:space="preserve">Leasehold / WI</x:t>
        </x:is>
      </x:c>
      <x:c r="K670" s="527" t="inlineStr">
        <x:is>
          <x:t xml:space="preserve">OKCountyRecords official index, Roger Mills County (instrument 1972-002563); searched 06/11/2026</x:t>
        </x:is>
      </x:c>
      <x:c r="L670" s="565" t="n"/>
      <x:c r="M670" s="565" t="n"/>
      <x:c r="N670" s="565" t="n"/>
      <x:c r="O670" s="565" t="n"/>
      <x:c r="P670" s="565" t="n"/>
      <x:c r="Q670" s="565" t="n"/>
      <x:c r="R670" s="565" t="n"/>
      <x:c r="S670" s="613" t="n"/>
      <x:c r="T670" s="565" t="n"/>
      <x:c r="U670" s="613" t="n"/>
      <x:c r="V670" s="565" t="n"/>
      <x:c r="W670" s="565" t="n"/>
      <x:c r="X670" s="565" t="n"/>
      <x:c r="Y670" s="565" t="n"/>
      <x:c r="Z670" s="565" t="n"/>
    </x:row>
    <x:row r="671">
      <x:c r="A671" s="527" t="inlineStr">
        <x:is>
          <x:t xml:space="preserve">1973-001367</x:t>
        </x:is>
      </x:c>
      <x:c r="B671" s="527" t="n"/>
      <x:c r="C671" s="527" t="inlineStr">
        <x:is>
          <x:t xml:space="preserve">Oil and Gas Lease</x:t>
        </x:is>
      </x:c>
      <x:c r="D671" s="527" t="inlineStr">
        <x:is>
          <x:t xml:space="preserve">0149/0559</x:t>
        </x:is>
      </x:c>
      <x:c r="E671" s="529" t="inlineStr">
        <x:is>
          <x:t xml:space="preserve">05/07/1973</x:t>
        </x:is>
      </x:c>
      <x:c r="F671" s="529" t="n">
        <x:v>26791</x:v>
      </x:c>
      <x:c r="G671" s="527" t="inlineStr">
        <x:is>
          <x:t xml:space="preserve">Oleta Florene Flanagan,
Oleta Florene Wylie</x:t>
        </x:is>
      </x:c>
      <x:c r="H671" s="527" t="inlineStr">
        <x:is>
          <x:t xml:space="preserve">El Paso Natural Gas Company</x:t>
        </x:is>
      </x:c>
      <x:c r="I671" s="527" t="inlineStr">
        <x:is>
          <x:t xml:space="preserve">31-12N-24W</x:t>
        </x:is>
      </x:c>
      <x:c r="J671" s="527" t="inlineStr">
        <x:is>
          <x:t xml:space="preserve">Leasehold / WI</x:t>
        </x:is>
      </x:c>
      <x:c r="K671" s="527" t="inlineStr">
        <x:is>
          <x:t xml:space="preserve">OKCountyRecords official index, Roger Mills County (instrument 1973-001367); searched 06/11/2026</x:t>
        </x:is>
      </x:c>
      <x:c r="L671" s="565" t="n"/>
      <x:c r="M671" s="565" t="n"/>
      <x:c r="N671" s="565" t="n"/>
      <x:c r="O671" s="565" t="n"/>
      <x:c r="P671" s="565" t="n"/>
      <x:c r="Q671" s="565" t="n"/>
      <x:c r="R671" s="565" t="n"/>
      <x:c r="S671" s="613" t="n"/>
      <x:c r="T671" s="565" t="n"/>
      <x:c r="U671" s="613" t="n"/>
      <x:c r="V671" s="565" t="n"/>
      <x:c r="W671" s="565" t="n"/>
      <x:c r="X671" s="565" t="n"/>
      <x:c r="Y671" s="565" t="n"/>
      <x:c r="Z671" s="565" t="n"/>
    </x:row>
    <x:row r="672">
      <x:c r="A672" s="527" t="inlineStr">
        <x:is>
          <x:t xml:space="preserve">1973-002502</x:t>
        </x:is>
      </x:c>
      <x:c r="B672" s="527" t="n"/>
      <x:c r="C672" s="527" t="inlineStr">
        <x:is>
          <x:t xml:space="preserve">Oil and Gas Lease</x:t>
        </x:is>
      </x:c>
      <x:c r="D672" s="527" t="inlineStr">
        <x:is>
          <x:t xml:space="preserve">0153/0344</x:t>
        </x:is>
      </x:c>
      <x:c r="E672" s="529" t="inlineStr">
        <x:is>
          <x:t xml:space="preserve">08/06/1973</x:t>
        </x:is>
      </x:c>
      <x:c r="F672" s="529" t="n">
        <x:v>26882</x:v>
      </x:c>
      <x:c r="G672" s="527" t="inlineStr">
        <x:is>
          <x:t xml:space="preserve">Glen D. Mitchel,
Hazel P. Mitchel</x:t>
        </x:is>
      </x:c>
      <x:c r="H672" s="527" t="inlineStr">
        <x:is>
          <x:t xml:space="preserve">El Paso Natural Gas Company</x:t>
        </x:is>
      </x:c>
      <x:c r="I672" s="527" t="inlineStr">
        <x:is>
          <x:t xml:space="preserve">31-12N-24W</x:t>
        </x:is>
      </x:c>
      <x:c r="J672" s="527" t="inlineStr">
        <x:is>
          <x:t xml:space="preserve">Leasehold / WI</x:t>
        </x:is>
      </x:c>
      <x:c r="K672" s="527" t="inlineStr">
        <x:is>
          <x:t xml:space="preserve">OKCountyRecords official index, Roger Mills County (instrument 1973-002502); searched 06/11/2026</x:t>
        </x:is>
      </x:c>
      <x:c r="L672" s="565" t="n"/>
      <x:c r="M672" s="565" t="n"/>
      <x:c r="N672" s="565" t="n"/>
      <x:c r="O672" s="565" t="n"/>
      <x:c r="P672" s="565" t="n"/>
      <x:c r="Q672" s="565" t="n"/>
      <x:c r="R672" s="565" t="n"/>
      <x:c r="S672" s="613" t="n"/>
      <x:c r="T672" s="565" t="n"/>
      <x:c r="U672" s="613" t="n"/>
      <x:c r="V672" s="565" t="n"/>
      <x:c r="W672" s="565" t="n"/>
      <x:c r="X672" s="565" t="n"/>
      <x:c r="Y672" s="565" t="n"/>
      <x:c r="Z672" s="565" t="n"/>
    </x:row>
    <x:row r="673">
      <x:c r="A673" s="527" t="inlineStr">
        <x:is>
          <x:t xml:space="preserve">1974-000130</x:t>
        </x:is>
      </x:c>
      <x:c r="B673" s="527" t="n"/>
      <x:c r="C673" s="527" t="inlineStr">
        <x:is>
          <x:t xml:space="preserve">Oil and Gas Lease</x:t>
        </x:is>
      </x:c>
      <x:c r="D673" s="527" t="inlineStr">
        <x:is>
          <x:t xml:space="preserve">0159/0001</x:t>
        </x:is>
      </x:c>
      <x:c r="E673" s="529" t="inlineStr">
        <x:is>
          <x:t xml:space="preserve">01/07/1974</x:t>
        </x:is>
      </x:c>
      <x:c r="F673" s="529" t="n">
        <x:v>27036</x:v>
      </x:c>
      <x:c r="G673" s="527" t="inlineStr">
        <x:is>
          <x:t xml:space="preserve">Annie E. Mitchel</x:t>
        </x:is>
      </x:c>
      <x:c r="H673" s="527" t="inlineStr">
        <x:is>
          <x:t xml:space="preserve">El Paso Natural Gas Company</x:t>
        </x:is>
      </x:c>
      <x:c r="I673" s="527" t="inlineStr">
        <x:is>
          <x:t xml:space="preserve">31-12N-24W (AOL)</x:t>
        </x:is>
      </x:c>
      <x:c r="J673" s="527" t="inlineStr">
        <x:is>
          <x:t xml:space="preserve">Leasehold / WI</x:t>
        </x:is>
      </x:c>
      <x:c r="K673" s="527" t="inlineStr">
        <x:is>
          <x:t xml:space="preserve">OKCountyRecords official index, Roger Mills County (instrument 1974-000130); searched 06/11/2026</x:t>
        </x:is>
      </x:c>
      <x:c r="L673" s="565" t="n"/>
      <x:c r="M673" s="565" t="n"/>
      <x:c r="N673" s="565" t="n"/>
      <x:c r="O673" s="565" t="n"/>
      <x:c r="P673" s="565" t="n"/>
      <x:c r="Q673" s="565" t="n"/>
      <x:c r="R673" s="565" t="n"/>
      <x:c r="S673" s="613" t="n"/>
      <x:c r="T673" s="565" t="n"/>
      <x:c r="U673" s="613" t="n"/>
      <x:c r="V673" s="565" t="n"/>
      <x:c r="W673" s="565" t="n"/>
      <x:c r="X673" s="565" t="n"/>
      <x:c r="Y673" s="565" t="n"/>
      <x:c r="Z673" s="565" t="n"/>
    </x:row>
    <x:row r="674">
      <x:c r="A674" s="527" t="inlineStr">
        <x:is>
          <x:t xml:space="preserve">1974-001152</x:t>
        </x:is>
      </x:c>
      <x:c r="B674" s="527" t="n"/>
      <x:c r="C674" s="527" t="inlineStr">
        <x:is>
          <x:t xml:space="preserve">Deed</x:t>
        </x:is>
      </x:c>
      <x:c r="D674" s="527" t="inlineStr">
        <x:is>
          <x:t xml:space="preserve">0162/0162</x:t>
        </x:is>
      </x:c>
      <x:c r="E674" s="529" t="inlineStr">
        <x:is>
          <x:t xml:space="preserve">04/02/1974</x:t>
        </x:is>
      </x:c>
      <x:c r="F674" s="529" t="n">
        <x:v>27121</x:v>
      </x:c>
      <x:c r="G674" s="527" t="inlineStr">
        <x:is>
          <x:t xml:space="preserve">J. B. Campbell,
Lillie A. Campbell</x:t>
        </x:is>
      </x:c>
      <x:c r="H674" s="527" t="inlineStr">
        <x:is>
          <x:t xml:space="preserve">Elmo W. Kirk,
Freeda Kirk</x:t>
        </x:is>
      </x:c>
      <x:c r="I674" s="527" t="inlineStr">
        <x:is>
          <x:t xml:space="preserve">31-12N-24W</x:t>
        </x:is>
      </x:c>
      <x:c r="J674" s="527" t="inlineStr">
        <x:is>
          <x:t xml:space="preserve">Fee / as stated</x:t>
        </x:is>
      </x:c>
      <x:c r="K674" s="527" t="inlineStr">
        <x:is>
          <x:t xml:space="preserve">OKCountyRecords official index, Roger Mills County (instrument 1974-001152); searched 06/11/2026</x:t>
        </x:is>
      </x:c>
      <x:c r="L674" s="565" t="n"/>
      <x:c r="M674" s="565" t="n"/>
      <x:c r="N674" s="565" t="n"/>
      <x:c r="O674" s="565" t="n"/>
      <x:c r="P674" s="565" t="n"/>
      <x:c r="Q674" s="565" t="n"/>
      <x:c r="R674" s="565" t="n"/>
      <x:c r="S674" s="613" t="n"/>
      <x:c r="T674" s="565" t="n"/>
      <x:c r="U674" s="613" t="n"/>
      <x:c r="V674" s="565" t="n"/>
      <x:c r="W674" s="565" t="n"/>
      <x:c r="X674" s="565" t="n"/>
      <x:c r="Y674" s="565" t="n"/>
      <x:c r="Z674" s="565" t="n"/>
    </x:row>
    <x:row r="675">
      <x:c r="A675" s="527" t="inlineStr">
        <x:is>
          <x:t xml:space="preserve">1974-001419</x:t>
        </x:is>
      </x:c>
      <x:c r="B675" s="527" t="n"/>
      <x:c r="C675" s="527" t="inlineStr">
        <x:is>
          <x:t xml:space="preserve">Oil and Gas Lease</x:t>
        </x:is>
      </x:c>
      <x:c r="D675" s="527" t="inlineStr">
        <x:is>
          <x:t xml:space="preserve">0163/0132</x:t>
        </x:is>
      </x:c>
      <x:c r="E675" s="529" t="inlineStr">
        <x:is>
          <x:t xml:space="preserve">04/29/1974</x:t>
        </x:is>
      </x:c>
      <x:c r="F675" s="529" t="n">
        <x:v>27148</x:v>
      </x:c>
      <x:c r="G675" s="527" t="inlineStr">
        <x:is>
          <x:t xml:space="preserve">R. O. Wilkin</x:t>
        </x:is>
      </x:c>
      <x:c r="H675" s="527" t="inlineStr">
        <x:is>
          <x:t xml:space="preserve">Exxon Corporation</x:t>
        </x:is>
      </x:c>
      <x:c r="I675" s="527" t="inlineStr">
        <x:is>
          <x:t xml:space="preserve">31-12N-24W (AOL)</x:t>
        </x:is>
      </x:c>
      <x:c r="J675" s="527" t="inlineStr">
        <x:is>
          <x:t xml:space="preserve">Leasehold / WI</x:t>
        </x:is>
      </x:c>
      <x:c r="K675" s="527" t="inlineStr">
        <x:is>
          <x:t xml:space="preserve">OKCountyRecords official index, Roger Mills County (instrument 1974-001419); searched 06/11/2026</x:t>
        </x:is>
      </x:c>
      <x:c r="L675" s="565" t="n"/>
      <x:c r="M675" s="565" t="n"/>
      <x:c r="N675" s="565" t="n"/>
      <x:c r="O675" s="565" t="n"/>
      <x:c r="P675" s="565" t="n"/>
      <x:c r="Q675" s="565" t="n"/>
      <x:c r="R675" s="565" t="n"/>
      <x:c r="S675" s="613" t="n"/>
      <x:c r="T675" s="565" t="n"/>
      <x:c r="U675" s="613" t="n"/>
      <x:c r="V675" s="565" t="n"/>
      <x:c r="W675" s="565" t="n"/>
      <x:c r="X675" s="565" t="n"/>
      <x:c r="Y675" s="565" t="n"/>
      <x:c r="Z675" s="565" t="n"/>
    </x:row>
    <x:row r="676">
      <x:c r="A676" s="527" t="inlineStr">
        <x:is>
          <x:t xml:space="preserve">1974-001639</x:t>
        </x:is>
      </x:c>
      <x:c r="B676" s="527" t="n"/>
      <x:c r="C676" s="527" t="inlineStr">
        <x:is>
          <x:t xml:space="preserve">Deed</x:t>
        </x:is>
      </x:c>
      <x:c r="D676" s="527" t="inlineStr">
        <x:is>
          <x:t xml:space="preserve">0163/0565</x:t>
        </x:is>
      </x:c>
      <x:c r="E676" s="529" t="inlineStr">
        <x:is>
          <x:t xml:space="preserve">05/14/1974</x:t>
        </x:is>
      </x:c>
      <x:c r="F676" s="529" t="n">
        <x:v>27163</x:v>
      </x:c>
      <x:c r="G676" s="527" t="inlineStr">
        <x:is>
          <x:t xml:space="preserve">L. E. Thurman,
Veronica Thurman</x:t>
        </x:is>
      </x:c>
      <x:c r="H676" s="527" t="inlineStr">
        <x:is>
          <x:t xml:space="preserve">Marie Lister</x:t>
        </x:is>
      </x:c>
      <x:c r="I676" s="527" t="inlineStr">
        <x:is>
          <x:t xml:space="preserve">31-12N-24W (AOL)</x:t>
        </x:is>
      </x:c>
      <x:c r="J676" s="527" t="inlineStr">
        <x:is>
          <x:t xml:space="preserve">Fee / as stated</x:t>
        </x:is>
      </x:c>
      <x:c r="K676" s="527" t="inlineStr">
        <x:is>
          <x:t xml:space="preserve">OKCountyRecords official index, Roger Mills County (instrument 1974-001639); searched 06/11/2026</x:t>
        </x:is>
      </x:c>
      <x:c r="L676" s="565" t="n"/>
      <x:c r="M676" s="565" t="n"/>
      <x:c r="N676" s="565" t="n"/>
      <x:c r="O676" s="565" t="n"/>
      <x:c r="P676" s="565" t="n"/>
      <x:c r="Q676" s="565" t="n"/>
      <x:c r="R676" s="565" t="n"/>
      <x:c r="S676" s="613" t="n"/>
      <x:c r="T676" s="565" t="n"/>
      <x:c r="U676" s="613" t="n"/>
      <x:c r="V676" s="565" t="n"/>
      <x:c r="W676" s="565" t="n"/>
      <x:c r="X676" s="565" t="n"/>
      <x:c r="Y676" s="565" t="n"/>
      <x:c r="Z676" s="565" t="n"/>
    </x:row>
    <x:row r="677">
      <x:c r="A677" s="527" t="inlineStr">
        <x:is>
          <x:t xml:space="preserve">1974-001700</x:t>
        </x:is>
      </x:c>
      <x:c r="B677" s="527" t="n"/>
      <x:c r="C677" s="527" t="inlineStr">
        <x:is>
          <x:t xml:space="preserve">Deed</x:t>
        </x:is>
      </x:c>
      <x:c r="D677" s="527" t="inlineStr">
        <x:is>
          <x:t xml:space="preserve">0164/0066</x:t>
        </x:is>
      </x:c>
      <x:c r="E677" s="529" t="inlineStr">
        <x:is>
          <x:t xml:space="preserve">05/22/1974</x:t>
        </x:is>
      </x:c>
      <x:c r="F677" s="529" t="n">
        <x:v>27171</x:v>
      </x:c>
      <x:c r="G677" s="527" t="inlineStr">
        <x:is>
          <x:t xml:space="preserve">Marie Lister</x:t>
        </x:is>
      </x:c>
      <x:c r="H677" s="527" t="inlineStr">
        <x:is>
          <x:t xml:space="preserve">W. H. Sorenson</x:t>
        </x:is>
      </x:c>
      <x:c r="I677" s="527" t="inlineStr">
        <x:is>
          <x:t xml:space="preserve">31-12N-24W (AOL)</x:t>
        </x:is>
      </x:c>
      <x:c r="J677" s="527" t="inlineStr">
        <x:is>
          <x:t xml:space="preserve">Fee / as stated</x:t>
        </x:is>
      </x:c>
      <x:c r="K677" s="527" t="inlineStr">
        <x:is>
          <x:t xml:space="preserve">OKCountyRecords official index, Roger Mills County (instrument 1974-001700); searched 06/11/2026</x:t>
        </x:is>
      </x:c>
      <x:c r="L677" s="565" t="n"/>
      <x:c r="M677" s="565" t="n"/>
      <x:c r="N677" s="565" t="n"/>
      <x:c r="O677" s="565" t="n"/>
      <x:c r="P677" s="565" t="n"/>
      <x:c r="Q677" s="565" t="n"/>
      <x:c r="R677" s="565" t="n"/>
      <x:c r="S677" s="613" t="n"/>
      <x:c r="T677" s="565" t="n"/>
      <x:c r="U677" s="613" t="n"/>
      <x:c r="V677" s="565" t="n"/>
      <x:c r="W677" s="565" t="n"/>
      <x:c r="X677" s="565" t="n"/>
      <x:c r="Y677" s="565" t="n"/>
      <x:c r="Z677" s="565" t="n"/>
    </x:row>
    <x:row r="678">
      <x:c r="A678" s="527" t="inlineStr">
        <x:is>
          <x:t xml:space="preserve">1974-002044</x:t>
        </x:is>
      </x:c>
      <x:c r="B678" s="527" t="n"/>
      <x:c r="C678" s="527" t="inlineStr">
        <x:is>
          <x:t xml:space="preserve">Deed</x:t>
        </x:is>
      </x:c>
      <x:c r="D678" s="527" t="inlineStr">
        <x:is>
          <x:t xml:space="preserve">0165/0087</x:t>
        </x:is>
      </x:c>
      <x:c r="E678" s="529" t="inlineStr">
        <x:is>
          <x:t xml:space="preserve">06/27/1974</x:t>
        </x:is>
      </x:c>
      <x:c r="F678" s="529" t="n">
        <x:v>27207</x:v>
      </x:c>
      <x:c r="G678" s="527" t="inlineStr">
        <x:is>
          <x:t xml:space="preserve">Marie Lister</x:t>
        </x:is>
      </x:c>
      <x:c r="H678" s="527" t="inlineStr">
        <x:is>
          <x:t xml:space="preserve">Mann Childrens Trust</x:t>
        </x:is>
      </x:c>
      <x:c r="I678" s="527" t="inlineStr">
        <x:is>
          <x:t xml:space="preserve">31-12N-24W (AOL)</x:t>
        </x:is>
      </x:c>
      <x:c r="J678" s="527" t="inlineStr">
        <x:is>
          <x:t xml:space="preserve">Fee / as stated</x:t>
        </x:is>
      </x:c>
      <x:c r="K678" s="527" t="inlineStr">
        <x:is>
          <x:t xml:space="preserve">OKCountyRecords official index, Roger Mills County (instrument 1974-002044); searched 06/11/2026</x:t>
        </x:is>
      </x:c>
      <x:c r="L678" s="565" t="n"/>
      <x:c r="M678" s="565" t="n"/>
      <x:c r="N678" s="565" t="n"/>
      <x:c r="O678" s="565" t="n"/>
      <x:c r="P678" s="565" t="n"/>
      <x:c r="Q678" s="565" t="n"/>
      <x:c r="R678" s="565" t="n"/>
      <x:c r="S678" s="613" t="n"/>
      <x:c r="T678" s="565" t="n"/>
      <x:c r="U678" s="613" t="n"/>
      <x:c r="V678" s="565" t="n"/>
      <x:c r="W678" s="565" t="n"/>
      <x:c r="X678" s="565" t="n"/>
      <x:c r="Y678" s="565" t="n"/>
      <x:c r="Z678" s="565" t="n"/>
    </x:row>
    <x:row r="679">
      <x:c r="A679" s="527" t="inlineStr">
        <x:is>
          <x:t xml:space="preserve">1975-000869</x:t>
        </x:is>
      </x:c>
      <x:c r="B679" s="527" t="n"/>
      <x:c r="C679" s="527" t="inlineStr">
        <x:is>
          <x:t xml:space="preserve">Deed</x:t>
        </x:is>
      </x:c>
      <x:c r="D679" s="527" t="inlineStr">
        <x:is>
          <x:t xml:space="preserve">0176/0144</x:t>
        </x:is>
      </x:c>
      <x:c r="E679" s="529" t="inlineStr">
        <x:is>
          <x:t xml:space="preserve">03/28/1975</x:t>
        </x:is>
      </x:c>
      <x:c r="F679" s="529" t="n">
        <x:v>27481</x:v>
      </x:c>
      <x:c r="G679" s="527" t="inlineStr">
        <x:is>
          <x:t xml:space="preserve">Marie Lister</x:t>
        </x:is>
      </x:c>
      <x:c r="H679" s="527" t="inlineStr">
        <x:is>
          <x:t xml:space="preserve">J. E. Barnett</x:t>
        </x:is>
      </x:c>
      <x:c r="I679" s="527" t="inlineStr">
        <x:is>
          <x:t xml:space="preserve">31-12N-24W (AOL)</x:t>
        </x:is>
      </x:c>
      <x:c r="J679" s="527" t="inlineStr">
        <x:is>
          <x:t xml:space="preserve">Fee / as stated</x:t>
        </x:is>
      </x:c>
      <x:c r="K679" s="527" t="inlineStr">
        <x:is>
          <x:t xml:space="preserve">OKCountyRecords official index, Roger Mills County (instrument 1975-000869); searched 06/11/2026</x:t>
        </x:is>
      </x:c>
      <x:c r="L679" s="565" t="n"/>
      <x:c r="M679" s="565" t="n"/>
      <x:c r="N679" s="565" t="n"/>
      <x:c r="O679" s="565" t="n"/>
      <x:c r="P679" s="565" t="n"/>
      <x:c r="Q679" s="565" t="n"/>
      <x:c r="R679" s="565" t="n"/>
      <x:c r="S679" s="613" t="n"/>
      <x:c r="T679" s="565" t="n"/>
      <x:c r="U679" s="613" t="n"/>
      <x:c r="V679" s="565" t="n"/>
      <x:c r="W679" s="565" t="n"/>
      <x:c r="X679" s="565" t="n"/>
      <x:c r="Y679" s="565" t="n"/>
      <x:c r="Z679" s="565" t="n"/>
    </x:row>
    <x:row r="680">
      <x:c r="A680" s="527" t="inlineStr">
        <x:is>
          <x:t xml:space="preserve">1976-001369</x:t>
        </x:is>
      </x:c>
      <x:c r="B680" s="527" t="n"/>
      <x:c r="C680" s="527" t="inlineStr">
        <x:is>
          <x:t xml:space="preserve">Oil and Gas Lease</x:t>
        </x:is>
      </x:c>
      <x:c r="D680" s="527" t="inlineStr">
        <x:is>
          <x:t xml:space="preserve">0190/0249</x:t>
        </x:is>
      </x:c>
      <x:c r="E680" s="529" t="inlineStr">
        <x:is>
          <x:t xml:space="preserve">04/12/1976</x:t>
        </x:is>
      </x:c>
      <x:c r="F680" s="529" t="n">
        <x:v>27862</x:v>
      </x:c>
      <x:c r="G680" s="527" t="inlineStr">
        <x:is>
          <x:t xml:space="preserve">Flag Redfern Oil Company</x:t>
        </x:is>
      </x:c>
      <x:c r="H680" s="527" t="inlineStr">
        <x:is>
          <x:t xml:space="preserve">Apexco, Inc.</x:t>
        </x:is>
      </x:c>
      <x:c r="I680" s="527" t="inlineStr">
        <x:is>
          <x:t xml:space="preserve">31-12N-24W</x:t>
        </x:is>
      </x:c>
      <x:c r="J680" s="527" t="inlineStr">
        <x:is>
          <x:t xml:space="preserve">Leasehold / WI</x:t>
        </x:is>
      </x:c>
      <x:c r="K680" s="527" t="inlineStr">
        <x:is>
          <x:t xml:space="preserve">OKCountyRecords official index, Roger Mills County (instrument 1976-001369); searched 06/11/2026</x:t>
        </x:is>
      </x:c>
      <x:c r="L680" s="565" t="n"/>
      <x:c r="M680" s="565" t="n"/>
      <x:c r="N680" s="565" t="n"/>
      <x:c r="O680" s="565" t="n"/>
      <x:c r="P680" s="565" t="n"/>
      <x:c r="Q680" s="565" t="n"/>
      <x:c r="R680" s="565" t="n"/>
      <x:c r="S680" s="613" t="n"/>
      <x:c r="T680" s="565" t="n"/>
      <x:c r="U680" s="613" t="n"/>
      <x:c r="V680" s="565" t="n"/>
      <x:c r="W680" s="565" t="n"/>
      <x:c r="X680" s="565" t="n"/>
      <x:c r="Y680" s="565" t="n"/>
      <x:c r="Z680" s="565" t="n"/>
    </x:row>
    <x:row r="681">
      <x:c r="A681" s="527" t="inlineStr">
        <x:is>
          <x:t xml:space="preserve">1976-003251</x:t>
        </x:is>
      </x:c>
      <x:c r="B681" s="527" t="n"/>
      <x:c r="C681" s="527" t="inlineStr">
        <x:is>
          <x:t xml:space="preserve">Deed</x:t>
        </x:is>
      </x:c>
      <x:c r="D681" s="527" t="inlineStr">
        <x:is>
          <x:t xml:space="preserve">0197/0116</x:t>
        </x:is>
      </x:c>
      <x:c r="E681" s="529" t="inlineStr">
        <x:is>
          <x:t xml:space="preserve">09/02/1976</x:t>
        </x:is>
      </x:c>
      <x:c r="F681" s="529" t="n">
        <x:v>28005</x:v>
      </x:c>
      <x:c r="G681" s="527" t="inlineStr">
        <x:is>
          <x:t xml:space="preserve">Elmo W. Kirk,
Freeda Kirk</x:t>
        </x:is>
      </x:c>
      <x:c r="H681" s="527" t="inlineStr">
        <x:is>
          <x:t xml:space="preserve">Margie Kirk</x:t>
        </x:is>
      </x:c>
      <x:c r="I681" s="527" t="inlineStr">
        <x:is>
          <x:t xml:space="preserve">31-12N-24W</x:t>
        </x:is>
      </x:c>
      <x:c r="J681" s="527" t="inlineStr">
        <x:is>
          <x:t xml:space="preserve">Fee / as stated</x:t>
        </x:is>
      </x:c>
      <x:c r="K681" s="527" t="inlineStr">
        <x:is>
          <x:t xml:space="preserve">OKCountyRecords official index, Roger Mills County (instrument 1976-003251); searched 06/11/2026</x:t>
        </x:is>
      </x:c>
      <x:c r="L681" s="565" t="n"/>
      <x:c r="M681" s="565" t="n"/>
      <x:c r="N681" s="565" t="n"/>
      <x:c r="O681" s="565" t="n"/>
      <x:c r="P681" s="565" t="n"/>
      <x:c r="Q681" s="565" t="n"/>
      <x:c r="R681" s="565" t="n"/>
      <x:c r="S681" s="613" t="n"/>
      <x:c r="T681" s="565" t="n"/>
      <x:c r="U681" s="613" t="n"/>
      <x:c r="V681" s="565" t="n"/>
      <x:c r="W681" s="565" t="n"/>
      <x:c r="X681" s="565" t="n"/>
      <x:c r="Y681" s="565" t="n"/>
      <x:c r="Z681" s="565" t="n"/>
    </x:row>
    <x:row r="682">
      <x:c r="A682" s="527" t="inlineStr">
        <x:is>
          <x:t xml:space="preserve">1976-003640</x:t>
        </x:is>
      </x:c>
      <x:c r="B682" s="527" t="n"/>
      <x:c r="C682" s="527" t="inlineStr">
        <x:is>
          <x:t xml:space="preserve">Assignment</x:t>
        </x:is>
      </x:c>
      <x:c r="D682" s="527" t="inlineStr">
        <x:is>
          <x:t xml:space="preserve">0198/0182</x:t>
        </x:is>
      </x:c>
      <x:c r="E682" s="529" t="inlineStr">
        <x:is>
          <x:t xml:space="preserve">09/23/1976</x:t>
        </x:is>
      </x:c>
      <x:c r="F682" s="529" t="n">
        <x:v>27964</x:v>
      </x:c>
      <x:c r="G682" s="527" t="inlineStr">
        <x:is>
          <x:t xml:space="preserve">Apexco, Inc.</x:t>
        </x:is>
      </x:c>
      <x:c r="H682" s="527" t="inlineStr">
        <x:is>
          <x:t xml:space="preserve">Entex Petroleum, Inc.</x:t>
        </x:is>
      </x:c>
      <x:c r="I682" s="527" t="inlineStr">
        <x:is>
          <x:t xml:space="preserve">W/2 NW/4, Lots 1 of 31-12N-24W (AOL)</x:t>
        </x:is>
      </x:c>
      <x:c r="J682" s="527" t="inlineStr">
        <x:is>
          <x:t xml:space="preserve">Leasehold / WI</x:t>
        </x:is>
      </x:c>
      <x:c r="K682" s="527" t="inlineStr">
        <x:is>
          <x:t xml:space="preserve">OKCountyRecords official index, Roger Mills County (instrument 1976-003640); searched 06/11/2026</x:t>
        </x:is>
      </x:c>
      <x:c r="L682" s="565" t="n"/>
      <x:c r="M682" s="565" t="n"/>
      <x:c r="N682" s="565" t="n"/>
      <x:c r="O682" s="565" t="n"/>
      <x:c r="P682" s="565" t="n"/>
      <x:c r="Q682" s="565" t="n"/>
      <x:c r="R682" s="565" t="n"/>
      <x:c r="S682" s="613" t="n"/>
      <x:c r="T682" s="565" t="n"/>
      <x:c r="U682" s="613" t="n"/>
      <x:c r="V682" s="565" t="n"/>
      <x:c r="W682" s="565" t="n"/>
      <x:c r="X682" s="565" t="n"/>
      <x:c r="Y682" s="565" t="n"/>
      <x:c r="Z682" s="565" t="n"/>
    </x:row>
    <x:row r="683">
      <x:c r="A683" s="527" t="inlineStr">
        <x:is>
          <x:t xml:space="preserve">1977-000812</x:t>
        </x:is>
      </x:c>
      <x:c r="B683" s="527" t="n"/>
      <x:c r="C683" s="527" t="inlineStr">
        <x:is>
          <x:t xml:space="preserve">Assignment</x:t>
        </x:is>
      </x:c>
      <x:c r="D683" s="527" t="inlineStr">
        <x:is>
          <x:t xml:space="preserve">0206/0038</x:t>
        </x:is>
      </x:c>
      <x:c r="E683" s="529" t="inlineStr">
        <x:is>
          <x:t xml:space="preserve">02/11/1977</x:t>
        </x:is>
      </x:c>
      <x:c r="F683" s="529" t="n">
        <x:v>27962</x:v>
      </x:c>
      <x:c r="G683" s="527" t="inlineStr">
        <x:is>
          <x:t xml:space="preserve">Apexco, Inc.</x:t>
        </x:is>
      </x:c>
      <x:c r="H683" s="527" t="inlineStr">
        <x:is>
          <x:t xml:space="preserve">El Paso Natural Gas Co</x:t>
        </x:is>
      </x:c>
      <x:c r="I683" s="527" t="inlineStr">
        <x:is>
          <x:t xml:space="preserve">W/2 NW/4, Lots 1 of 31-12N-24W (AOL)</x:t>
        </x:is>
      </x:c>
      <x:c r="J683" s="527" t="inlineStr">
        <x:is>
          <x:t xml:space="preserve">Leasehold / WI</x:t>
        </x:is>
      </x:c>
      <x:c r="K683" s="527" t="inlineStr">
        <x:is>
          <x:t xml:space="preserve">OKCountyRecords official index, Roger Mills County (instrument 1977-000812); searched 06/11/2026</x:t>
        </x:is>
      </x:c>
      <x:c r="L683" s="565" t="n"/>
      <x:c r="M683" s="565" t="n"/>
      <x:c r="N683" s="565" t="n"/>
      <x:c r="O683" s="565" t="n"/>
      <x:c r="P683" s="565" t="n"/>
      <x:c r="Q683" s="565" t="n"/>
      <x:c r="R683" s="565" t="n"/>
      <x:c r="S683" s="613" t="n"/>
      <x:c r="T683" s="565" t="n"/>
      <x:c r="U683" s="613" t="n"/>
      <x:c r="V683" s="565" t="n"/>
      <x:c r="W683" s="565" t="n"/>
      <x:c r="X683" s="565" t="n"/>
      <x:c r="Y683" s="565" t="n"/>
      <x:c r="Z683" s="565" t="n"/>
    </x:row>
    <x:row r="684">
      <x:c r="A684" s="527" t="inlineStr">
        <x:is>
          <x:t xml:space="preserve">1977-000821</x:t>
        </x:is>
      </x:c>
      <x:c r="B684" s="527" t="n"/>
      <x:c r="C684" s="527" t="inlineStr">
        <x:is>
          <x:t xml:space="preserve">Oil and Gas Lease</x:t>
        </x:is>
      </x:c>
      <x:c r="D684" s="527" t="inlineStr">
        <x:is>
          <x:t xml:space="preserve">0206/0058</x:t>
        </x:is>
      </x:c>
      <x:c r="E684" s="529" t="inlineStr">
        <x:is>
          <x:t xml:space="preserve">02/11/1977</x:t>
        </x:is>
      </x:c>
      <x:c r="F684" s="529" t="n">
        <x:v>28167</x:v>
      </x:c>
      <x:c r="G684" s="527" t="inlineStr">
        <x:is>
          <x:t xml:space="preserve">Albert Fields Beaty,
Lila Muriel Beaty</x:t>
        </x:is>
      </x:c>
      <x:c r="H684" s="527" t="inlineStr">
        <x:is>
          <x:t xml:space="preserve">Cities Service Company</x:t>
        </x:is>
      </x:c>
      <x:c r="I684" s="527" t="inlineStr">
        <x:is>
          <x:t xml:space="preserve">31-12N-24W (AOL)</x:t>
        </x:is>
      </x:c>
      <x:c r="J684" s="527" t="inlineStr">
        <x:is>
          <x:t xml:space="preserve">Leasehold / WI</x:t>
        </x:is>
      </x:c>
      <x:c r="K684" s="527" t="inlineStr">
        <x:is>
          <x:t xml:space="preserve">OKCountyRecords official index, Roger Mills County (instrument 1977-000821); searched 06/11/2026</x:t>
        </x:is>
      </x:c>
      <x:c r="L684" s="565" t="n"/>
      <x:c r="M684" s="565" t="n"/>
      <x:c r="N684" s="565" t="n"/>
      <x:c r="O684" s="565" t="n"/>
      <x:c r="P684" s="565" t="n"/>
      <x:c r="Q684" s="565" t="n"/>
      <x:c r="R684" s="565" t="n"/>
      <x:c r="S684" s="613" t="n"/>
      <x:c r="T684" s="565" t="n"/>
      <x:c r="U684" s="613" t="n"/>
      <x:c r="V684" s="565" t="n"/>
      <x:c r="W684" s="565" t="n"/>
      <x:c r="X684" s="565" t="n"/>
      <x:c r="Y684" s="565" t="n"/>
      <x:c r="Z684" s="565" t="n"/>
    </x:row>
    <x:row r="685">
      <x:c r="A685" s="527" t="inlineStr">
        <x:is>
          <x:t xml:space="preserve">1977-006651</x:t>
        </x:is>
      </x:c>
      <x:c r="B685" s="527" t="n"/>
      <x:c r="C685" s="527" t="inlineStr">
        <x:is>
          <x:t xml:space="preserve">Assignment</x:t>
        </x:is>
      </x:c>
      <x:c r="D685" s="527" t="inlineStr">
        <x:is>
          <x:t xml:space="preserve">0224/0379</x:t>
        </x:is>
      </x:c>
      <x:c r="E685" s="529" t="inlineStr">
        <x:is>
          <x:t xml:space="preserve">10/14/1977</x:t>
        </x:is>
      </x:c>
      <x:c r="F685" s="529" t="n">
        <x:v>28412</x:v>
      </x:c>
      <x:c r="G685" s="527" t="inlineStr">
        <x:is>
          <x:t xml:space="preserve">El Paso Natural Gas Co</x:t>
        </x:is>
      </x:c>
      <x:c r="H685" s="527" t="inlineStr">
        <x:is>
          <x:t xml:space="preserve">Apexco, Inc.</x:t>
        </x:is>
      </x:c>
      <x:c r="I685" s="527" t="inlineStr">
        <x:is>
          <x:t xml:space="preserve">31-12N-24W (AOL)</x:t>
        </x:is>
      </x:c>
      <x:c r="J685" s="527" t="inlineStr">
        <x:is>
          <x:t xml:space="preserve">Leasehold / WI</x:t>
        </x:is>
      </x:c>
      <x:c r="K685" s="527" t="inlineStr">
        <x:is>
          <x:t xml:space="preserve">OKCountyRecords official index, Roger Mills County (instrument 1977-006651); searched 06/11/2026</x:t>
        </x:is>
      </x:c>
      <x:c r="L685" s="565" t="n"/>
      <x:c r="M685" s="565" t="n"/>
      <x:c r="N685" s="565" t="n"/>
      <x:c r="O685" s="565" t="n"/>
      <x:c r="P685" s="565" t="n"/>
      <x:c r="Q685" s="565" t="n"/>
      <x:c r="R685" s="565" t="n"/>
      <x:c r="S685" s="613" t="n"/>
      <x:c r="T685" s="565" t="n"/>
      <x:c r="U685" s="613" t="n"/>
      <x:c r="V685" s="565" t="n"/>
      <x:c r="W685" s="565" t="n"/>
      <x:c r="X685" s="565" t="n"/>
      <x:c r="Y685" s="565" t="n"/>
      <x:c r="Z685" s="565" t="n"/>
    </x:row>
    <x:row r="686">
      <x:c r="A686" s="527" t="inlineStr">
        <x:is>
          <x:t xml:space="preserve">1977-007503</x:t>
        </x:is>
      </x:c>
      <x:c r="B686" s="527" t="n"/>
      <x:c r="C686" s="527" t="inlineStr">
        <x:is>
          <x:t xml:space="preserve">Deed</x:t>
        </x:is>
      </x:c>
      <x:c r="D686" s="527" t="inlineStr">
        <x:is>
          <x:t xml:space="preserve">0227/0089</x:t>
        </x:is>
      </x:c>
      <x:c r="E686" s="529" t="inlineStr">
        <x:is>
          <x:t xml:space="preserve">11/16/1977</x:t>
        </x:is>
      </x:c>
      <x:c r="F686" s="529" t="n">
        <x:v>28445</x:v>
      </x:c>
      <x:c r="G686" s="527" t="inlineStr">
        <x:is>
          <x:t xml:space="preserve">Margie Kirk</x:t>
        </x:is>
      </x:c>
      <x:c r="H686" s="527" t="inlineStr">
        <x:is>
          <x:t xml:space="preserve">Ella Pearl Kirk,
Gordon E. Kirk</x:t>
        </x:is>
      </x:c>
      <x:c r="I686" s="527" t="inlineStr">
        <x:is>
          <x:t xml:space="preserve">31-12N-24W</x:t>
        </x:is>
      </x:c>
      <x:c r="J686" s="527" t="inlineStr">
        <x:is>
          <x:t xml:space="preserve">Fee / as stated</x:t>
        </x:is>
      </x:c>
      <x:c r="K686" s="527" t="inlineStr">
        <x:is>
          <x:t xml:space="preserve">OKCountyRecords official index, Roger Mills County (instrument 1977-007503); searched 06/11/2026</x:t>
        </x:is>
      </x:c>
      <x:c r="L686" s="565" t="n"/>
      <x:c r="M686" s="565" t="n"/>
      <x:c r="N686" s="565" t="n"/>
      <x:c r="O686" s="565" t="n"/>
      <x:c r="P686" s="565" t="n"/>
      <x:c r="Q686" s="565" t="n"/>
      <x:c r="R686" s="565" t="n"/>
      <x:c r="S686" s="613" t="n"/>
      <x:c r="T686" s="565" t="n"/>
      <x:c r="U686" s="613" t="n"/>
      <x:c r="V686" s="565" t="n"/>
      <x:c r="W686" s="565" t="n"/>
      <x:c r="X686" s="565" t="n"/>
      <x:c r="Y686" s="565" t="n"/>
      <x:c r="Z686" s="565" t="n"/>
    </x:row>
    <x:row r="687">
      <x:c r="A687" s="527" t="inlineStr">
        <x:is>
          <x:t xml:space="preserve">1977-007639</x:t>
        </x:is>
      </x:c>
      <x:c r="B687" s="527" t="n"/>
      <x:c r="C687" s="527" t="inlineStr">
        <x:is>
          <x:t xml:space="preserve">Oil and Gas Lease</x:t>
        </x:is>
      </x:c>
      <x:c r="D687" s="527" t="inlineStr">
        <x:is>
          <x:t xml:space="preserve">0227/0330</x:t>
        </x:is>
      </x:c>
      <x:c r="E687" s="529" t="inlineStr">
        <x:is>
          <x:t xml:space="preserve">11/18/1977</x:t>
        </x:is>
      </x:c>
      <x:c r="F687" s="529" t="n">
        <x:v>28447</x:v>
      </x:c>
      <x:c r="G687" s="527" t="inlineStr">
        <x:is>
          <x:t xml:space="preserve">Lavona L. Maddux Dobry,
T. A. Dobry</x:t>
        </x:is>
      </x:c>
      <x:c r="H687" s="527" t="inlineStr">
        <x:is>
          <x:t xml:space="preserve">M. A. Elder</x:t>
        </x:is>
      </x:c>
      <x:c r="I687" s="527" t="inlineStr">
        <x:is>
          <x:t xml:space="preserve">31-12N-24W (AOL)</x:t>
        </x:is>
      </x:c>
      <x:c r="J687" s="527" t="inlineStr">
        <x:is>
          <x:t xml:space="preserve">Leasehold / WI</x:t>
        </x:is>
      </x:c>
      <x:c r="K687" s="527" t="inlineStr">
        <x:is>
          <x:t xml:space="preserve">OKCountyRecords official index, Roger Mills County (instrument 1977-007639); searched 06/11/2026</x:t>
        </x:is>
      </x:c>
      <x:c r="L687" s="565" t="n"/>
      <x:c r="M687" s="565" t="n"/>
      <x:c r="N687" s="565" t="n"/>
      <x:c r="O687" s="565" t="n"/>
      <x:c r="P687" s="565" t="n"/>
      <x:c r="Q687" s="565" t="n"/>
      <x:c r="R687" s="565" t="n"/>
      <x:c r="S687" s="613" t="n"/>
      <x:c r="T687" s="565" t="n"/>
      <x:c r="U687" s="613" t="n"/>
      <x:c r="V687" s="565" t="n"/>
      <x:c r="W687" s="565" t="n"/>
      <x:c r="X687" s="565" t="n"/>
      <x:c r="Y687" s="565" t="n"/>
      <x:c r="Z687" s="565" t="n"/>
    </x:row>
    <x:row r="688">
      <x:c r="A688" s="527" t="inlineStr">
        <x:is>
          <x:t xml:space="preserve">1978-002575</x:t>
        </x:is>
      </x:c>
      <x:c r="B688" s="527" t="n"/>
      <x:c r="C688" s="527" t="inlineStr">
        <x:is>
          <x:t xml:space="preserve">Oil and Gas Lease</x:t>
        </x:is>
      </x:c>
      <x:c r="D688" s="527" t="inlineStr">
        <x:is>
          <x:t xml:space="preserve">0237/0364</x:t>
        </x:is>
      </x:c>
      <x:c r="E688" s="529" t="inlineStr">
        <x:is>
          <x:t xml:space="preserve">04/03/1978</x:t>
        </x:is>
      </x:c>
      <x:c r="F688" s="529" t="n">
        <x:v>28583</x:v>
      </x:c>
      <x:c r="G688" s="527" t="inlineStr">
        <x:is>
          <x:t xml:space="preserve">Dunn, Cynthia Ann Present Interest Trust,
John W. Dunn, Trustee,
Fidelity Bank Trustee</x:t>
        </x:is>
      </x:c>
      <x:c r="H688" s="527" t="inlineStr">
        <x:is>
          <x:t xml:space="preserve">Tenneco Oil Company</x:t>
        </x:is>
      </x:c>
      <x:c r="I688" s="527" t="inlineStr">
        <x:is>
          <x:t xml:space="preserve">31-12N-24W</x:t>
        </x:is>
      </x:c>
      <x:c r="J688" s="527" t="inlineStr">
        <x:is>
          <x:t xml:space="preserve">Leasehold / WI</x:t>
        </x:is>
      </x:c>
      <x:c r="K688" s="527" t="inlineStr">
        <x:is>
          <x:t xml:space="preserve">OKCountyRecords official index, Roger Mills County (instrument 1978-002575); searched 06/11/2026</x:t>
        </x:is>
      </x:c>
      <x:c r="L688" s="565" t="n"/>
      <x:c r="M688" s="565" t="n"/>
      <x:c r="N688" s="565" t="n"/>
      <x:c r="O688" s="565" t="n"/>
      <x:c r="P688" s="565" t="n"/>
      <x:c r="Q688" s="565" t="n"/>
      <x:c r="R688" s="565" t="n"/>
      <x:c r="S688" s="613" t="n"/>
      <x:c r="T688" s="565" t="n"/>
      <x:c r="U688" s="613" t="n"/>
      <x:c r="V688" s="565" t="n"/>
      <x:c r="W688" s="565" t="n"/>
      <x:c r="X688" s="565" t="n"/>
      <x:c r="Y688" s="565" t="n"/>
      <x:c r="Z688" s="565" t="n"/>
    </x:row>
    <x:row r="689">
      <x:c r="A689" s="527" t="inlineStr">
        <x:is>
          <x:t xml:space="preserve">1978-002576</x:t>
        </x:is>
      </x:c>
      <x:c r="B689" s="527" t="n"/>
      <x:c r="C689" s="527" t="inlineStr">
        <x:is>
          <x:t xml:space="preserve">Deed</x:t>
        </x:is>
      </x:c>
      <x:c r="D689" s="527" t="inlineStr">
        <x:is>
          <x:t xml:space="preserve">0237/0367</x:t>
        </x:is>
      </x:c>
      <x:c r="E689" s="529" t="inlineStr">
        <x:is>
          <x:t xml:space="preserve">04/03/1978</x:t>
        </x:is>
      </x:c>
      <x:c r="F689" s="529" t="n">
        <x:v>28583</x:v>
      </x:c>
      <x:c r="G689" s="527" t="inlineStr">
        <x:is>
          <x:t xml:space="preserve">Eula Bain,
W. C. Bain,
William C. Bain,
W. M. Bain</x:t>
        </x:is>
      </x:c>
      <x:c r="H689" s="527" t="inlineStr">
        <x:is>
          <x:t xml:space="preserve">Hazel A. Hamilton</x:t>
        </x:is>
      </x:c>
      <x:c r="I689" s="527" t="inlineStr">
        <x:is>
          <x:t xml:space="preserve">31-12N-24W (AOL)</x:t>
        </x:is>
      </x:c>
      <x:c r="J689" s="527" t="inlineStr">
        <x:is>
          <x:t xml:space="preserve">Fee / as stated</x:t>
        </x:is>
      </x:c>
      <x:c r="K689" s="527" t="inlineStr">
        <x:is>
          <x:t xml:space="preserve">OKCountyRecords official index, Roger Mills County (instrument 1978-002576); searched 06/11/2026</x:t>
        </x:is>
      </x:c>
      <x:c r="L689" s="565" t="n"/>
      <x:c r="M689" s="565" t="n"/>
      <x:c r="N689" s="565" t="n"/>
      <x:c r="O689" s="565" t="n"/>
      <x:c r="P689" s="565" t="n"/>
      <x:c r="Q689" s="565" t="n"/>
      <x:c r="R689" s="565" t="n"/>
      <x:c r="S689" s="613" t="n"/>
      <x:c r="T689" s="565" t="n"/>
      <x:c r="U689" s="613" t="n"/>
      <x:c r="V689" s="565" t="n"/>
      <x:c r="W689" s="565" t="n"/>
      <x:c r="X689" s="565" t="n"/>
      <x:c r="Y689" s="565" t="n"/>
      <x:c r="Z689" s="565" t="n"/>
    </x:row>
    <x:row r="690">
      <x:c r="A690" s="527" t="inlineStr">
        <x:is>
          <x:t xml:space="preserve">1978-002579</x:t>
        </x:is>
      </x:c>
      <x:c r="B690" s="527" t="n"/>
      <x:c r="C690" s="527" t="inlineStr">
        <x:is>
          <x:t xml:space="preserve">Deed</x:t>
        </x:is>
      </x:c>
      <x:c r="D690" s="527" t="inlineStr">
        <x:is>
          <x:t xml:space="preserve">0237/0370</x:t>
        </x:is>
      </x:c>
      <x:c r="E690" s="529" t="inlineStr">
        <x:is>
          <x:t xml:space="preserve">04/03/1978</x:t>
        </x:is>
      </x:c>
      <x:c r="F690" s="529" t="n">
        <x:v>28583</x:v>
      </x:c>
      <x:c r="G690" s="527" t="inlineStr">
        <x:is>
          <x:t xml:space="preserve">Eula Bain,
W. C. Bain,
William C. Bain,
W. M. Bain</x:t>
        </x:is>
      </x:c>
      <x:c r="H690" s="527" t="inlineStr">
        <x:is>
          <x:t xml:space="preserve">Opal L. Fuchs</x:t>
        </x:is>
      </x:c>
      <x:c r="I690" s="527" t="inlineStr">
        <x:is>
          <x:t xml:space="preserve">31-12N-24W (AOL)</x:t>
        </x:is>
      </x:c>
      <x:c r="J690" s="527" t="inlineStr">
        <x:is>
          <x:t xml:space="preserve">Fee / as stated</x:t>
        </x:is>
      </x:c>
      <x:c r="K690" s="527" t="inlineStr">
        <x:is>
          <x:t xml:space="preserve">OKCountyRecords official index, Roger Mills County (instrument 1978-002579); searched 06/11/2026</x:t>
        </x:is>
      </x:c>
      <x:c r="L690" s="565" t="n"/>
      <x:c r="M690" s="565" t="n"/>
      <x:c r="N690" s="565" t="n"/>
      <x:c r="O690" s="565" t="n"/>
      <x:c r="P690" s="565" t="n"/>
      <x:c r="Q690" s="565" t="n"/>
      <x:c r="R690" s="565" t="n"/>
      <x:c r="S690" s="613" t="n"/>
      <x:c r="T690" s="565" t="n"/>
      <x:c r="U690" s="613" t="n"/>
      <x:c r="V690" s="565" t="n"/>
      <x:c r="W690" s="565" t="n"/>
      <x:c r="X690" s="565" t="n"/>
      <x:c r="Y690" s="565" t="n"/>
      <x:c r="Z690" s="565" t="n"/>
    </x:row>
    <x:row r="691">
      <x:c r="A691" s="527" t="inlineStr">
        <x:is>
          <x:t xml:space="preserve">1978-002580</x:t>
        </x:is>
      </x:c>
      <x:c r="B691" s="527" t="n"/>
      <x:c r="C691" s="527" t="inlineStr">
        <x:is>
          <x:t xml:space="preserve">Deed</x:t>
        </x:is>
      </x:c>
      <x:c r="D691" s="527" t="inlineStr">
        <x:is>
          <x:t xml:space="preserve">0237/0371</x:t>
        </x:is>
      </x:c>
      <x:c r="E691" s="529" t="inlineStr">
        <x:is>
          <x:t xml:space="preserve">04/03/1978</x:t>
        </x:is>
      </x:c>
      <x:c r="F691" s="529" t="n">
        <x:v>28583</x:v>
      </x:c>
      <x:c r="G691" s="527" t="inlineStr">
        <x:is>
          <x:t xml:space="preserve">Eula Bain,
W. C. Bain,
William C. Bain,
W. M. Bain</x:t>
        </x:is>
      </x:c>
      <x:c r="H691" s="527" t="inlineStr">
        <x:is>
          <x:t xml:space="preserve">Carl L. Bain</x:t>
        </x:is>
      </x:c>
      <x:c r="I691" s="527" t="inlineStr">
        <x:is>
          <x:t xml:space="preserve">31-12N-24W (AOL)</x:t>
        </x:is>
      </x:c>
      <x:c r="J691" s="527" t="inlineStr">
        <x:is>
          <x:t xml:space="preserve">Fee / as stated</x:t>
        </x:is>
      </x:c>
      <x:c r="K691" s="527" t="inlineStr">
        <x:is>
          <x:t xml:space="preserve">OKCountyRecords official index, Roger Mills County (instrument 1978-002580); searched 06/11/2026</x:t>
        </x:is>
      </x:c>
      <x:c r="L691" s="565" t="n"/>
      <x:c r="M691" s="565" t="n"/>
      <x:c r="N691" s="565" t="n"/>
      <x:c r="O691" s="565" t="n"/>
      <x:c r="P691" s="565" t="n"/>
      <x:c r="Q691" s="565" t="n"/>
      <x:c r="R691" s="565" t="n"/>
      <x:c r="S691" s="613" t="n"/>
      <x:c r="T691" s="565" t="n"/>
      <x:c r="U691" s="613" t="n"/>
      <x:c r="V691" s="565" t="n"/>
      <x:c r="W691" s="565" t="n"/>
      <x:c r="X691" s="565" t="n"/>
      <x:c r="Y691" s="565" t="n"/>
      <x:c r="Z691" s="565" t="n"/>
    </x:row>
    <x:row r="692">
      <x:c r="A692" s="527" t="inlineStr">
        <x:is>
          <x:t xml:space="preserve">1978-002581</x:t>
        </x:is>
      </x:c>
      <x:c r="B692" s="527" t="n"/>
      <x:c r="C692" s="527" t="inlineStr">
        <x:is>
          <x:t xml:space="preserve">Deed</x:t>
        </x:is>
      </x:c>
      <x:c r="D692" s="527" t="inlineStr">
        <x:is>
          <x:t xml:space="preserve">0237/0372</x:t>
        </x:is>
      </x:c>
      <x:c r="E692" s="529" t="inlineStr">
        <x:is>
          <x:t xml:space="preserve">04/03/1978</x:t>
        </x:is>
      </x:c>
      <x:c r="F692" s="529" t="n">
        <x:v>28583</x:v>
      </x:c>
      <x:c r="G692" s="527" t="inlineStr">
        <x:is>
          <x:t xml:space="preserve">Eula Bain,
W. C. Bain,
William C. Bain,
W. M. Bain</x:t>
        </x:is>
      </x:c>
      <x:c r="H692" s="527" t="inlineStr">
        <x:is>
          <x:t xml:space="preserve">Dow C. Bain</x:t>
        </x:is>
      </x:c>
      <x:c r="I692" s="527" t="inlineStr">
        <x:is>
          <x:t xml:space="preserve">31-12N-24W (AOL)</x:t>
        </x:is>
      </x:c>
      <x:c r="J692" s="527" t="inlineStr">
        <x:is>
          <x:t xml:space="preserve">Fee / as stated</x:t>
        </x:is>
      </x:c>
      <x:c r="K692" s="527" t="inlineStr">
        <x:is>
          <x:t xml:space="preserve">OKCountyRecords official index, Roger Mills County (instrument 1978-002581); searched 06/11/2026</x:t>
        </x:is>
      </x:c>
      <x:c r="L692" s="565" t="n"/>
      <x:c r="M692" s="565" t="n"/>
      <x:c r="N692" s="565" t="n"/>
      <x:c r="O692" s="565" t="n"/>
      <x:c r="P692" s="565" t="n"/>
      <x:c r="Q692" s="565" t="n"/>
      <x:c r="R692" s="565" t="n"/>
      <x:c r="S692" s="613" t="n"/>
      <x:c r="T692" s="565" t="n"/>
      <x:c r="U692" s="613" t="n"/>
      <x:c r="V692" s="565" t="n"/>
      <x:c r="W692" s="565" t="n"/>
      <x:c r="X692" s="565" t="n"/>
      <x:c r="Y692" s="565" t="n"/>
      <x:c r="Z692" s="565" t="n"/>
    </x:row>
    <x:row r="693">
      <x:c r="A693" s="527" t="inlineStr">
        <x:is>
          <x:t xml:space="preserve">1978-002582</x:t>
        </x:is>
      </x:c>
      <x:c r="B693" s="527" t="n"/>
      <x:c r="C693" s="527" t="inlineStr">
        <x:is>
          <x:t xml:space="preserve">Deed</x:t>
        </x:is>
      </x:c>
      <x:c r="D693" s="527" t="inlineStr">
        <x:is>
          <x:t xml:space="preserve">0237/0373</x:t>
        </x:is>
      </x:c>
      <x:c r="E693" s="529" t="inlineStr">
        <x:is>
          <x:t xml:space="preserve">04/03/1978</x:t>
        </x:is>
      </x:c>
      <x:c r="F693" s="529" t="n">
        <x:v>28583</x:v>
      </x:c>
      <x:c r="G693" s="527" t="inlineStr">
        <x:is>
          <x:t xml:space="preserve">Eula Bain,
W. C. Bain,
William C. Bain,
W. M. Bain</x:t>
        </x:is>
      </x:c>
      <x:c r="H693" s="527" t="inlineStr">
        <x:is>
          <x:t xml:space="preserve">Wilda E. Jensen</x:t>
        </x:is>
      </x:c>
      <x:c r="I693" s="527" t="inlineStr">
        <x:is>
          <x:t xml:space="preserve">31-12N-24W (AOL)</x:t>
        </x:is>
      </x:c>
      <x:c r="J693" s="527" t="inlineStr">
        <x:is>
          <x:t xml:space="preserve">Fee / as stated</x:t>
        </x:is>
      </x:c>
      <x:c r="K693" s="527" t="inlineStr">
        <x:is>
          <x:t xml:space="preserve">OKCountyRecords official index, Roger Mills County (instrument 1978-002582); searched 06/11/2026</x:t>
        </x:is>
      </x:c>
      <x:c r="L693" s="565" t="n"/>
      <x:c r="M693" s="565" t="n"/>
      <x:c r="N693" s="565" t="n"/>
      <x:c r="O693" s="565" t="n"/>
      <x:c r="P693" s="565" t="n"/>
      <x:c r="Q693" s="565" t="n"/>
      <x:c r="R693" s="565" t="n"/>
      <x:c r="S693" s="613" t="n"/>
      <x:c r="T693" s="565" t="n"/>
      <x:c r="U693" s="613" t="n"/>
      <x:c r="V693" s="565" t="n"/>
      <x:c r="W693" s="565" t="n"/>
      <x:c r="X693" s="565" t="n"/>
      <x:c r="Y693" s="565" t="n"/>
      <x:c r="Z693" s="565" t="n"/>
    </x:row>
    <x:row r="694">
      <x:c r="A694" s="527" t="inlineStr">
        <x:is>
          <x:t xml:space="preserve">1978-002583</x:t>
        </x:is>
      </x:c>
      <x:c r="B694" s="527" t="n"/>
      <x:c r="C694" s="527" t="inlineStr">
        <x:is>
          <x:t xml:space="preserve">Deed</x:t>
        </x:is>
      </x:c>
      <x:c r="D694" s="527" t="inlineStr">
        <x:is>
          <x:t xml:space="preserve">0237/0374</x:t>
        </x:is>
      </x:c>
      <x:c r="E694" s="529" t="inlineStr">
        <x:is>
          <x:t xml:space="preserve">04/03/1978</x:t>
        </x:is>
      </x:c>
      <x:c r="F694" s="529" t="n">
        <x:v>28583</x:v>
      </x:c>
      <x:c r="G694" s="527" t="inlineStr">
        <x:is>
          <x:t xml:space="preserve">Eula Bain,
W. C. Bain,
William C. Bain,
W. M. Bain</x:t>
        </x:is>
      </x:c>
      <x:c r="H694" s="527" t="inlineStr">
        <x:is>
          <x:t xml:space="preserve">William C. Bain Jr.</x:t>
        </x:is>
      </x:c>
      <x:c r="I694" s="527" t="inlineStr">
        <x:is>
          <x:t xml:space="preserve">31-12N-24W (AOL)</x:t>
        </x:is>
      </x:c>
      <x:c r="J694" s="527" t="inlineStr">
        <x:is>
          <x:t xml:space="preserve">Fee / as stated</x:t>
        </x:is>
      </x:c>
      <x:c r="K694" s="527" t="inlineStr">
        <x:is>
          <x:t xml:space="preserve">OKCountyRecords official index, Roger Mills County (instrument 1978-002583); searched 06/11/2026</x:t>
        </x:is>
      </x:c>
      <x:c r="L694" s="565" t="n"/>
      <x:c r="M694" s="565" t="n"/>
      <x:c r="N694" s="565" t="n"/>
      <x:c r="O694" s="565" t="n"/>
      <x:c r="P694" s="565" t="n"/>
      <x:c r="Q694" s="565" t="n"/>
      <x:c r="R694" s="565" t="n"/>
      <x:c r="S694" s="613" t="n"/>
      <x:c r="T694" s="565" t="n"/>
      <x:c r="U694" s="613" t="n"/>
      <x:c r="V694" s="565" t="n"/>
      <x:c r="W694" s="565" t="n"/>
      <x:c r="X694" s="565" t="n"/>
      <x:c r="Y694" s="565" t="n"/>
      <x:c r="Z694" s="565" t="n"/>
    </x:row>
    <x:row r="695">
      <x:c r="A695" s="527" t="inlineStr">
        <x:is>
          <x:t xml:space="preserve">1978-002585</x:t>
        </x:is>
      </x:c>
      <x:c r="B695" s="527" t="n"/>
      <x:c r="C695" s="527" t="inlineStr">
        <x:is>
          <x:t xml:space="preserve">Deed</x:t>
        </x:is>
      </x:c>
      <x:c r="D695" s="527" t="inlineStr">
        <x:is>
          <x:t xml:space="preserve">0237/0376</x:t>
        </x:is>
      </x:c>
      <x:c r="E695" s="529" t="inlineStr">
        <x:is>
          <x:t xml:space="preserve">04/03/1978</x:t>
        </x:is>
      </x:c>
      <x:c r="F695" s="529" t="n">
        <x:v>28583</x:v>
      </x:c>
      <x:c r="G695" s="527" t="inlineStr">
        <x:is>
          <x:t xml:space="preserve">Eula Bain,
W. C. Bain,
William C. Bain,
W. M. Bain</x:t>
        </x:is>
      </x:c>
      <x:c r="H695" s="527" t="inlineStr">
        <x:is>
          <x:t xml:space="preserve">Billy W. Bain</x:t>
        </x:is>
      </x:c>
      <x:c r="I695" s="527" t="inlineStr">
        <x:is>
          <x:t xml:space="preserve">31-12N-24W (AOL)</x:t>
        </x:is>
      </x:c>
      <x:c r="J695" s="527" t="inlineStr">
        <x:is>
          <x:t xml:space="preserve">Fee / as stated</x:t>
        </x:is>
      </x:c>
      <x:c r="K695" s="527" t="inlineStr">
        <x:is>
          <x:t xml:space="preserve">OKCountyRecords official index, Roger Mills County (instrument 1978-002585); searched 06/11/2026</x:t>
        </x:is>
      </x:c>
      <x:c r="L695" s="565" t="n"/>
      <x:c r="M695" s="565" t="n"/>
      <x:c r="N695" s="565" t="n"/>
      <x:c r="O695" s="565" t="n"/>
      <x:c r="P695" s="565" t="n"/>
      <x:c r="Q695" s="565" t="n"/>
      <x:c r="R695" s="565" t="n"/>
      <x:c r="S695" s="613" t="n"/>
      <x:c r="T695" s="565" t="n"/>
      <x:c r="U695" s="613" t="n"/>
      <x:c r="V695" s="565" t="n"/>
      <x:c r="W695" s="565" t="n"/>
      <x:c r="X695" s="565" t="n"/>
      <x:c r="Y695" s="565" t="n"/>
      <x:c r="Z695" s="565" t="n"/>
    </x:row>
    <x:row r="696">
      <x:c r="A696" s="527" t="inlineStr">
        <x:is>
          <x:t xml:space="preserve">1978-002589</x:t>
        </x:is>
      </x:c>
      <x:c r="B696" s="527" t="n"/>
      <x:c r="C696" s="527" t="inlineStr">
        <x:is>
          <x:t xml:space="preserve">Deed</x:t>
        </x:is>
      </x:c>
      <x:c r="D696" s="527" t="inlineStr">
        <x:is>
          <x:t xml:space="preserve">0237/0381</x:t>
        </x:is>
      </x:c>
      <x:c r="E696" s="529" t="inlineStr">
        <x:is>
          <x:t xml:space="preserve">04/03/1978</x:t>
        </x:is>
      </x:c>
      <x:c r="F696" s="529" t="n">
        <x:v>28583</x:v>
      </x:c>
      <x:c r="G696" s="527" t="inlineStr">
        <x:is>
          <x:t xml:space="preserve">Bliss Reeves,
Valiria Reeves</x:t>
        </x:is>
      </x:c>
      <x:c r="H696" s="527" t="inlineStr">
        <x:is>
          <x:t xml:space="preserve">Troy B. Reeves,
Vera June Reeves</x:t>
        </x:is>
      </x:c>
      <x:c r="I696" s="527" t="inlineStr">
        <x:is>
          <x:t xml:space="preserve">31-12N-24W (AOL)</x:t>
        </x:is>
      </x:c>
      <x:c r="J696" s="527" t="inlineStr">
        <x:is>
          <x:t xml:space="preserve">Fee / as stated</x:t>
        </x:is>
      </x:c>
      <x:c r="K696" s="527" t="inlineStr">
        <x:is>
          <x:t xml:space="preserve">OKCountyRecords official index, Roger Mills County (instrument 1978-002589); searched 06/11/2026</x:t>
        </x:is>
      </x:c>
      <x:c r="L696" s="565" t="n"/>
      <x:c r="M696" s="565" t="n"/>
      <x:c r="N696" s="565" t="n"/>
      <x:c r="O696" s="565" t="n"/>
      <x:c r="P696" s="565" t="n"/>
      <x:c r="Q696" s="565" t="n"/>
      <x:c r="R696" s="565" t="n"/>
      <x:c r="S696" s="613" t="n"/>
      <x:c r="T696" s="565" t="n"/>
      <x:c r="U696" s="613" t="n"/>
      <x:c r="V696" s="565" t="n"/>
      <x:c r="W696" s="565" t="n"/>
      <x:c r="X696" s="565" t="n"/>
      <x:c r="Y696" s="565" t="n"/>
      <x:c r="Z696" s="565" t="n"/>
    </x:row>
    <x:row r="697">
      <x:c r="A697" s="527" t="inlineStr">
        <x:is>
          <x:t xml:space="preserve">1978-002584</x:t>
        </x:is>
      </x:c>
      <x:c r="B697" s="527" t="n"/>
      <x:c r="C697" s="527" t="inlineStr">
        <x:is>
          <x:t xml:space="preserve">Mineral Deed</x:t>
        </x:is>
      </x:c>
      <x:c r="D697" s="527" t="inlineStr">
        <x:is>
          <x:t xml:space="preserve">0237/0375</x:t>
        </x:is>
      </x:c>
      <x:c r="E697" s="529" t="inlineStr">
        <x:is>
          <x:t xml:space="preserve">04/04/1978</x:t>
        </x:is>
      </x:c>
      <x:c r="F697" s="529" t="n">
        <x:v>28584</x:v>
      </x:c>
      <x:c r="G697" s="527" t="inlineStr">
        <x:is>
          <x:t xml:space="preserve">Eula Bain,
W. C. Bain,
William C. Bain,
W. M. Bain</x:t>
        </x:is>
      </x:c>
      <x:c r="H697" s="527" t="inlineStr">
        <x:is>
          <x:t xml:space="preserve">Juanita M. Wolff</x:t>
        </x:is>
      </x:c>
      <x:c r="I697" s="527" t="inlineStr">
        <x:is>
          <x:t xml:space="preserve">31-12N-24W (AOL)</x:t>
        </x:is>
      </x:c>
      <x:c r="J697" s="527" t="inlineStr">
        <x:is>
          <x:t xml:space="preserve">Mineral</x:t>
        </x:is>
      </x:c>
      <x:c r="K697" s="527" t="inlineStr">
        <x:is>
          <x:t xml:space="preserve">OKCountyRecords official index, Roger Mills County (instrument 1978-002584); searched 06/11/2026</x:t>
        </x:is>
      </x:c>
      <x:c r="L697" s="565" t="n"/>
      <x:c r="M697" s="565" t="n"/>
      <x:c r="N697" s="565" t="n"/>
      <x:c r="O697" s="565" t="n"/>
      <x:c r="P697" s="565" t="n"/>
      <x:c r="Q697" s="565" t="n"/>
      <x:c r="R697" s="565" t="n"/>
      <x:c r="S697" s="613" t="n"/>
      <x:c r="T697" s="565" t="n"/>
      <x:c r="U697" s="613" t="n"/>
      <x:c r="V697" s="565" t="n"/>
      <x:c r="W697" s="565" t="n"/>
      <x:c r="X697" s="565" t="n"/>
      <x:c r="Y697" s="565" t="n"/>
      <x:c r="Z697" s="565" t="n"/>
    </x:row>
    <x:row r="698">
      <x:c r="A698" s="527" t="inlineStr">
        <x:is>
          <x:t xml:space="preserve">1978-002892</x:t>
        </x:is>
      </x:c>
      <x:c r="B698" s="527" t="n"/>
      <x:c r="C698" s="527" t="inlineStr">
        <x:is>
          <x:t xml:space="preserve">Assignment</x:t>
        </x:is>
      </x:c>
      <x:c r="D698" s="527" t="inlineStr">
        <x:is>
          <x:t xml:space="preserve">0238/0336</x:t>
        </x:is>
      </x:c>
      <x:c r="E698" s="529" t="inlineStr">
        <x:is>
          <x:t xml:space="preserve">04/16/1978</x:t>
        </x:is>
      </x:c>
      <x:c r="F698" s="529" t="n">
        <x:v>28596</x:v>
      </x:c>
      <x:c r="G698" s="527" t="inlineStr">
        <x:is>
          <x:t xml:space="preserve">Natomas North America, Inc.</x:t>
        </x:is>
      </x:c>
      <x:c r="H698" s="527" t="inlineStr">
        <x:is>
          <x:t xml:space="preserve">Bovaird Supply Company</x:t>
        </x:is>
      </x:c>
      <x:c r="I698" s="527" t="inlineStr">
        <x:is>
          <x:t xml:space="preserve">31-12N-24W (AOL)</x:t>
        </x:is>
      </x:c>
      <x:c r="J698" s="527" t="inlineStr">
        <x:is>
          <x:t xml:space="preserve">Leasehold / WI</x:t>
        </x:is>
      </x:c>
      <x:c r="K698" s="527" t="inlineStr">
        <x:is>
          <x:t xml:space="preserve">OKCountyRecords official index, Roger Mills County (instrument 1978-002892); searched 06/11/2026</x:t>
        </x:is>
      </x:c>
      <x:c r="L698" s="565" t="n"/>
      <x:c r="M698" s="565" t="n"/>
      <x:c r="N698" s="565" t="n"/>
      <x:c r="O698" s="565" t="n"/>
      <x:c r="P698" s="565" t="n"/>
      <x:c r="Q698" s="565" t="n"/>
      <x:c r="R698" s="565" t="n"/>
      <x:c r="S698" s="613" t="n"/>
      <x:c r="T698" s="565" t="n"/>
      <x:c r="U698" s="613" t="n"/>
      <x:c r="V698" s="565" t="n"/>
      <x:c r="W698" s="565" t="n"/>
      <x:c r="X698" s="565" t="n"/>
      <x:c r="Y698" s="565" t="n"/>
      <x:c r="Z698" s="565" t="n"/>
    </x:row>
    <x:row r="699">
      <x:c r="A699" s="527" t="inlineStr">
        <x:is>
          <x:t xml:space="preserve">1978-003000</x:t>
        </x:is>
      </x:c>
      <x:c r="B699" s="527" t="n"/>
      <x:c r="C699" s="527" t="inlineStr">
        <x:is>
          <x:t xml:space="preserve">Oil and Gas Lease</x:t>
        </x:is>
      </x:c>
      <x:c r="D699" s="527" t="inlineStr">
        <x:is>
          <x:t xml:space="preserve">0238/0640</x:t>
        </x:is>
      </x:c>
      <x:c r="E699" s="529" t="inlineStr">
        <x:is>
          <x:t xml:space="preserve">04/19/1978</x:t>
        </x:is>
      </x:c>
      <x:c r="F699" s="529" t="n">
        <x:v>28599</x:v>
      </x:c>
      <x:c r="G699" s="527" t="inlineStr">
        <x:is>
          <x:t xml:space="preserve">Wilda E. Jensen</x:t>
        </x:is>
      </x:c>
      <x:c r="H699" s="527" t="inlineStr">
        <x:is>
          <x:t xml:space="preserve">Dale Folks</x:t>
        </x:is>
      </x:c>
      <x:c r="I699" s="527" t="inlineStr">
        <x:is>
          <x:t xml:space="preserve">31-12N-24W</x:t>
        </x:is>
      </x:c>
      <x:c r="J699" s="527" t="inlineStr">
        <x:is>
          <x:t xml:space="preserve">Leasehold / WI</x:t>
        </x:is>
      </x:c>
      <x:c r="K699" s="527" t="inlineStr">
        <x:is>
          <x:t xml:space="preserve">OKCountyRecords official index, Roger Mills County (instrument 1978-003000); searched 06/11/2026</x:t>
        </x:is>
      </x:c>
      <x:c r="L699" s="565" t="n"/>
      <x:c r="M699" s="565" t="n"/>
      <x:c r="N699" s="565" t="n"/>
      <x:c r="O699" s="565" t="n"/>
      <x:c r="P699" s="565" t="n"/>
      <x:c r="Q699" s="565" t="n"/>
      <x:c r="R699" s="565" t="n"/>
      <x:c r="S699" s="613" t="n"/>
      <x:c r="T699" s="565" t="n"/>
      <x:c r="U699" s="613" t="n"/>
      <x:c r="V699" s="565" t="n"/>
      <x:c r="W699" s="565" t="n"/>
      <x:c r="X699" s="565" t="n"/>
      <x:c r="Y699" s="565" t="n"/>
      <x:c r="Z699" s="565" t="n"/>
    </x:row>
    <x:row r="700">
      <x:c r="A700" s="527" t="inlineStr">
        <x:is>
          <x:t xml:space="preserve">1978-003002</x:t>
        </x:is>
      </x:c>
      <x:c r="B700" s="527" t="n"/>
      <x:c r="C700" s="527" t="inlineStr">
        <x:is>
          <x:t xml:space="preserve">Oil and Gas Lease</x:t>
        </x:is>
      </x:c>
      <x:c r="D700" s="527" t="inlineStr">
        <x:is>
          <x:t xml:space="preserve">0239/0001</x:t>
        </x:is>
      </x:c>
      <x:c r="E700" s="529" t="inlineStr">
        <x:is>
          <x:t xml:space="preserve">04/19/1978</x:t>
        </x:is>
      </x:c>
      <x:c r="F700" s="529" t="n">
        <x:v>28599</x:v>
      </x:c>
      <x:c r="G700" s="527" t="inlineStr">
        <x:is>
          <x:t xml:space="preserve">Clarence C. Bain</x:t>
        </x:is>
      </x:c>
      <x:c r="H700" s="527" t="inlineStr">
        <x:is>
          <x:t xml:space="preserve">Dale Folks</x:t>
        </x:is>
      </x:c>
      <x:c r="I700" s="527" t="inlineStr">
        <x:is>
          <x:t xml:space="preserve">31-12N-24W</x:t>
        </x:is>
      </x:c>
      <x:c r="J700" s="527" t="inlineStr">
        <x:is>
          <x:t xml:space="preserve">Leasehold / WI</x:t>
        </x:is>
      </x:c>
      <x:c r="K700" s="527" t="inlineStr">
        <x:is>
          <x:t xml:space="preserve">OKCountyRecords official index, Roger Mills County (instrument 1978-003002); searched 06/11/2026</x:t>
        </x:is>
      </x:c>
      <x:c r="L700" s="565" t="n"/>
      <x:c r="M700" s="565" t="n"/>
      <x:c r="N700" s="565" t="n"/>
      <x:c r="O700" s="565" t="n"/>
      <x:c r="P700" s="565" t="n"/>
      <x:c r="Q700" s="565" t="n"/>
      <x:c r="R700" s="565" t="n"/>
      <x:c r="S700" s="613" t="n"/>
      <x:c r="T700" s="565" t="n"/>
      <x:c r="U700" s="613" t="n"/>
      <x:c r="V700" s="565" t="n"/>
      <x:c r="W700" s="565" t="n"/>
      <x:c r="X700" s="565" t="n"/>
      <x:c r="Y700" s="565" t="n"/>
      <x:c r="Z700" s="565" t="n"/>
    </x:row>
    <x:row r="701">
      <x:c r="A701" s="527" t="inlineStr">
        <x:is>
          <x:t xml:space="preserve">1978-003003</x:t>
        </x:is>
      </x:c>
      <x:c r="B701" s="527" t="n"/>
      <x:c r="C701" s="527" t="inlineStr">
        <x:is>
          <x:t xml:space="preserve">Oil and Gas Lease</x:t>
        </x:is>
      </x:c>
      <x:c r="D701" s="527" t="inlineStr">
        <x:is>
          <x:t xml:space="preserve">0239/0003</x:t>
        </x:is>
      </x:c>
      <x:c r="E701" s="529" t="inlineStr">
        <x:is>
          <x:t xml:space="preserve">04/19/1978</x:t>
        </x:is>
      </x:c>
      <x:c r="F701" s="529" t="n">
        <x:v>28599</x:v>
      </x:c>
      <x:c r="G701" s="527" t="inlineStr">
        <x:is>
          <x:t xml:space="preserve">Opal L. Fuchs</x:t>
        </x:is>
      </x:c>
      <x:c r="H701" s="527" t="inlineStr">
        <x:is>
          <x:t xml:space="preserve">Dale Folks</x:t>
        </x:is>
      </x:c>
      <x:c r="I701" s="527" t="inlineStr">
        <x:is>
          <x:t xml:space="preserve">31-12N-24W</x:t>
        </x:is>
      </x:c>
      <x:c r="J701" s="527" t="inlineStr">
        <x:is>
          <x:t xml:space="preserve">Leasehold / WI</x:t>
        </x:is>
      </x:c>
      <x:c r="K701" s="527" t="inlineStr">
        <x:is>
          <x:t xml:space="preserve">OKCountyRecords official index, Roger Mills County (instrument 1978-003003); searched 06/11/2026</x:t>
        </x:is>
      </x:c>
      <x:c r="L701" s="565" t="n"/>
      <x:c r="M701" s="565" t="n"/>
      <x:c r="N701" s="565" t="n"/>
      <x:c r="O701" s="565" t="n"/>
      <x:c r="P701" s="565" t="n"/>
      <x:c r="Q701" s="565" t="n"/>
      <x:c r="R701" s="565" t="n"/>
      <x:c r="S701" s="613" t="n"/>
      <x:c r="T701" s="565" t="n"/>
      <x:c r="U701" s="613" t="n"/>
      <x:c r="V701" s="565" t="n"/>
      <x:c r="W701" s="565" t="n"/>
      <x:c r="X701" s="565" t="n"/>
      <x:c r="Y701" s="565" t="n"/>
      <x:c r="Z701" s="565" t="n"/>
    </x:row>
    <x:row r="702">
      <x:c r="A702" s="527" t="inlineStr">
        <x:is>
          <x:t xml:space="preserve">1978-003286</x:t>
        </x:is>
      </x:c>
      <x:c r="B702" s="527" t="n"/>
      <x:c r="C702" s="527" t="inlineStr">
        <x:is>
          <x:t xml:space="preserve">Oil and Gas Lease</x:t>
        </x:is>
      </x:c>
      <x:c r="D702" s="527" t="inlineStr">
        <x:is>
          <x:t xml:space="preserve">0239/0623</x:t>
        </x:is>
      </x:c>
      <x:c r="E702" s="529" t="inlineStr">
        <x:is>
          <x:t xml:space="preserve">04/27/1978</x:t>
        </x:is>
      </x:c>
      <x:c r="F702" s="529" t="n">
        <x:v>28607</x:v>
      </x:c>
      <x:c r="G702" s="527" t="inlineStr">
        <x:is>
          <x:t xml:space="preserve">Carl L. Bain</x:t>
        </x:is>
      </x:c>
      <x:c r="H702" s="527" t="inlineStr">
        <x:is>
          <x:t xml:space="preserve">Dale Folks</x:t>
        </x:is>
      </x:c>
      <x:c r="I702" s="527" t="inlineStr">
        <x:is>
          <x:t xml:space="preserve">31-12N-24W</x:t>
        </x:is>
      </x:c>
      <x:c r="J702" s="527" t="inlineStr">
        <x:is>
          <x:t xml:space="preserve">Leasehold / WI</x:t>
        </x:is>
      </x:c>
      <x:c r="K702" s="527" t="inlineStr">
        <x:is>
          <x:t xml:space="preserve">OKCountyRecords official index, Roger Mills County (instrument 1978-003286); searched 06/11/2026</x:t>
        </x:is>
      </x:c>
      <x:c r="L702" s="565" t="n"/>
      <x:c r="M702" s="565" t="n"/>
      <x:c r="N702" s="565" t="n"/>
      <x:c r="O702" s="565" t="n"/>
      <x:c r="P702" s="565" t="n"/>
      <x:c r="Q702" s="565" t="n"/>
      <x:c r="R702" s="565" t="n"/>
      <x:c r="S702" s="613" t="n"/>
      <x:c r="T702" s="565" t="n"/>
      <x:c r="U702" s="613" t="n"/>
      <x:c r="V702" s="565" t="n"/>
      <x:c r="W702" s="565" t="n"/>
      <x:c r="X702" s="565" t="n"/>
      <x:c r="Y702" s="565" t="n"/>
      <x:c r="Z702" s="565" t="n"/>
    </x:row>
    <x:row r="703">
      <x:c r="A703" s="527" t="inlineStr">
        <x:is>
          <x:t xml:space="preserve">1978-003289</x:t>
        </x:is>
      </x:c>
      <x:c r="B703" s="527" t="n"/>
      <x:c r="C703" s="527" t="inlineStr">
        <x:is>
          <x:t xml:space="preserve">Oil and Gas Lease</x:t>
        </x:is>
      </x:c>
      <x:c r="D703" s="527" t="inlineStr">
        <x:is>
          <x:t xml:space="preserve">0239/0629</x:t>
        </x:is>
      </x:c>
      <x:c r="E703" s="529" t="inlineStr">
        <x:is>
          <x:t xml:space="preserve">04/27/1978</x:t>
        </x:is>
      </x:c>
      <x:c r="F703" s="529" t="n">
        <x:v>28607</x:v>
      </x:c>
      <x:c r="G703" s="527" t="inlineStr">
        <x:is>
          <x:t xml:space="preserve">Dow C. Bain</x:t>
        </x:is>
      </x:c>
      <x:c r="H703" s="527" t="inlineStr">
        <x:is>
          <x:t xml:space="preserve">Dale Folks</x:t>
        </x:is>
      </x:c>
      <x:c r="I703" s="527" t="inlineStr">
        <x:is>
          <x:t xml:space="preserve">31-12N-24W</x:t>
        </x:is>
      </x:c>
      <x:c r="J703" s="527" t="inlineStr">
        <x:is>
          <x:t xml:space="preserve">Leasehold / WI</x:t>
        </x:is>
      </x:c>
      <x:c r="K703" s="527" t="inlineStr">
        <x:is>
          <x:t xml:space="preserve">OKCountyRecords official index, Roger Mills County (instrument 1978-003289); searched 06/11/2026</x:t>
        </x:is>
      </x:c>
      <x:c r="L703" s="565" t="n"/>
      <x:c r="M703" s="565" t="n"/>
      <x:c r="N703" s="565" t="n"/>
      <x:c r="O703" s="565" t="n"/>
      <x:c r="P703" s="565" t="n"/>
      <x:c r="Q703" s="565" t="n"/>
      <x:c r="R703" s="565" t="n"/>
      <x:c r="S703" s="613" t="n"/>
      <x:c r="T703" s="565" t="n"/>
      <x:c r="U703" s="613" t="n"/>
      <x:c r="V703" s="565" t="n"/>
      <x:c r="W703" s="565" t="n"/>
      <x:c r="X703" s="565" t="n"/>
      <x:c r="Y703" s="565" t="n"/>
      <x:c r="Z703" s="565" t="n"/>
    </x:row>
    <x:row r="704">
      <x:c r="A704" s="527" t="inlineStr">
        <x:is>
          <x:t xml:space="preserve">1978-003292</x:t>
        </x:is>
      </x:c>
      <x:c r="B704" s="527" t="n"/>
      <x:c r="C704" s="527" t="inlineStr">
        <x:is>
          <x:t xml:space="preserve">Oil and Gas Lease</x:t>
        </x:is>
      </x:c>
      <x:c r="D704" s="527" t="inlineStr">
        <x:is>
          <x:t xml:space="preserve">0239/0635</x:t>
        </x:is>
      </x:c>
      <x:c r="E704" s="529" t="inlineStr">
        <x:is>
          <x:t xml:space="preserve">04/27/1978</x:t>
        </x:is>
      </x:c>
      <x:c r="F704" s="529" t="n">
        <x:v>28607</x:v>
      </x:c>
      <x:c r="G704" s="527" t="inlineStr">
        <x:is>
          <x:t xml:space="preserve">Myrtle M. Gale</x:t>
        </x:is>
      </x:c>
      <x:c r="H704" s="527" t="inlineStr">
        <x:is>
          <x:t xml:space="preserve">Lee Oil Properties, Inc.</x:t>
        </x:is>
      </x:c>
      <x:c r="I704" s="527" t="inlineStr">
        <x:is>
          <x:t xml:space="preserve">31-12N-24W (AOL)</x:t>
        </x:is>
      </x:c>
      <x:c r="J704" s="527" t="inlineStr">
        <x:is>
          <x:t xml:space="preserve">Leasehold / WI</x:t>
        </x:is>
      </x:c>
      <x:c r="K704" s="527" t="inlineStr">
        <x:is>
          <x:t xml:space="preserve">OKCountyRecords official index, Roger Mills County (instrument 1978-003292); searched 06/11/2026</x:t>
        </x:is>
      </x:c>
      <x:c r="L704" s="565" t="n"/>
      <x:c r="M704" s="565" t="n"/>
      <x:c r="N704" s="565" t="n"/>
      <x:c r="O704" s="565" t="n"/>
      <x:c r="P704" s="565" t="n"/>
      <x:c r="Q704" s="565" t="n"/>
      <x:c r="R704" s="565" t="n"/>
      <x:c r="S704" s="613" t="n"/>
      <x:c r="T704" s="565" t="n"/>
      <x:c r="U704" s="613" t="n"/>
      <x:c r="V704" s="565" t="n"/>
      <x:c r="W704" s="565" t="n"/>
      <x:c r="X704" s="565" t="n"/>
      <x:c r="Y704" s="565" t="n"/>
      <x:c r="Z704" s="565" t="n"/>
    </x:row>
    <x:row r="705">
      <x:c r="A705" s="527" t="inlineStr">
        <x:is>
          <x:t xml:space="preserve">1978-003485</x:t>
        </x:is>
      </x:c>
      <x:c r="B705" s="527" t="n"/>
      <x:c r="C705" s="527" t="inlineStr">
        <x:is>
          <x:t xml:space="preserve">Release</x:t>
        </x:is>
      </x:c>
      <x:c r="D705" s="527" t="inlineStr">
        <x:is>
          <x:t xml:space="preserve">0240/0400</x:t>
        </x:is>
      </x:c>
      <x:c r="E705" s="529" t="inlineStr">
        <x:is>
          <x:t xml:space="preserve">05/08/1978</x:t>
        </x:is>
      </x:c>
      <x:c r="F705" s="529" t="n">
        <x:v>28618</x:v>
      </x:c>
      <x:c r="G705" s="527" t="inlineStr">
        <x:is>
          <x:t xml:space="preserve">Apexco, Inc.,
El Paso Natural Gas Company</x:t>
        </x:is>
      </x:c>
      <x:c r="H705" s="527" t="inlineStr">
        <x:is>
          <x:t xml:space="preserve">William C. Bain,
Hazel Louise Waitman,
George O. Walther</x:t>
        </x:is>
      </x:c>
      <x:c r="I705" s="527" t="inlineStr">
        <x:is>
          <x:t xml:space="preserve">31-12N-24W (AOL)</x:t>
        </x:is>
      </x:c>
      <x:c r="J705" s="527" t="inlineStr">
        <x:is>
          <x:t xml:space="preserve">Leasehold / WI</x:t>
        </x:is>
      </x:c>
      <x:c r="K705" s="527" t="inlineStr">
        <x:is>
          <x:t xml:space="preserve">OKCountyRecords official index, Roger Mills County (instrument 1978-003485); searched 06/11/2026</x:t>
        </x:is>
      </x:c>
      <x:c r="L705" s="565" t="n"/>
      <x:c r="M705" s="565" t="n"/>
      <x:c r="N705" s="565" t="n"/>
      <x:c r="O705" s="565" t="n"/>
      <x:c r="P705" s="565" t="n"/>
      <x:c r="Q705" s="565" t="n"/>
      <x:c r="R705" s="565" t="n"/>
      <x:c r="S705" s="613" t="n"/>
      <x:c r="T705" s="565" t="n"/>
      <x:c r="U705" s="613" t="n"/>
      <x:c r="V705" s="565" t="n"/>
      <x:c r="W705" s="565" t="n"/>
      <x:c r="X705" s="565" t="n"/>
      <x:c r="Y705" s="565" t="n"/>
      <x:c r="Z705" s="565" t="n"/>
    </x:row>
    <x:row r="706">
      <x:c r="A706" s="527" t="inlineStr">
        <x:is>
          <x:t xml:space="preserve">1978-003492</x:t>
        </x:is>
      </x:c>
      <x:c r="B706" s="527" t="n"/>
      <x:c r="C706" s="527" t="inlineStr">
        <x:is>
          <x:t xml:space="preserve">Oil and Gas Lease</x:t>
        </x:is>
      </x:c>
      <x:c r="D706" s="527" t="inlineStr">
        <x:is>
          <x:t xml:space="preserve">0240/0412</x:t>
        </x:is>
      </x:c>
      <x:c r="E706" s="529" t="inlineStr">
        <x:is>
          <x:t xml:space="preserve">05/08/1978</x:t>
        </x:is>
      </x:c>
      <x:c r="F706" s="529" t="n">
        <x:v>28618</x:v>
      </x:c>
      <x:c r="G706" s="527" t="inlineStr">
        <x:is>
          <x:t xml:space="preserve">Juanita M. Wolff</x:t>
        </x:is>
      </x:c>
      <x:c r="H706" s="527" t="inlineStr">
        <x:is>
          <x:t xml:space="preserve">Dale Folks</x:t>
        </x:is>
      </x:c>
      <x:c r="I706" s="527" t="inlineStr">
        <x:is>
          <x:t xml:space="preserve">31-12N-24W</x:t>
        </x:is>
      </x:c>
      <x:c r="J706" s="527" t="inlineStr">
        <x:is>
          <x:t xml:space="preserve">Leasehold / WI</x:t>
        </x:is>
      </x:c>
      <x:c r="K706" s="527" t="inlineStr">
        <x:is>
          <x:t xml:space="preserve">OKCountyRecords official index, Roger Mills County (instrument 1978-003492); searched 06/11/2026</x:t>
        </x:is>
      </x:c>
      <x:c r="L706" s="565" t="n"/>
      <x:c r="M706" s="565" t="n"/>
      <x:c r="N706" s="565" t="n"/>
      <x:c r="O706" s="565" t="n"/>
      <x:c r="P706" s="565" t="n"/>
      <x:c r="Q706" s="565" t="n"/>
      <x:c r="R706" s="565" t="n"/>
      <x:c r="S706" s="613" t="n"/>
      <x:c r="T706" s="565" t="n"/>
      <x:c r="U706" s="613" t="n"/>
      <x:c r="V706" s="565" t="n"/>
      <x:c r="W706" s="565" t="n"/>
      <x:c r="X706" s="565" t="n"/>
      <x:c r="Y706" s="565" t="n"/>
      <x:c r="Z706" s="565" t="n"/>
    </x:row>
    <x:row r="707">
      <x:c r="A707" s="527" t="inlineStr">
        <x:is>
          <x:t xml:space="preserve">1978-003493</x:t>
        </x:is>
      </x:c>
      <x:c r="B707" s="527" t="n"/>
      <x:c r="C707" s="527" t="inlineStr">
        <x:is>
          <x:t xml:space="preserve">Oil and Gas Lease</x:t>
        </x:is>
      </x:c>
      <x:c r="D707" s="527" t="inlineStr">
        <x:is>
          <x:t xml:space="preserve">0240/0414</x:t>
        </x:is>
      </x:c>
      <x:c r="E707" s="529" t="inlineStr">
        <x:is>
          <x:t xml:space="preserve">05/08/1978</x:t>
        </x:is>
      </x:c>
      <x:c r="F707" s="529" t="n">
        <x:v>28618</x:v>
      </x:c>
      <x:c r="G707" s="527" t="inlineStr">
        <x:is>
          <x:t xml:space="preserve">Crystal F. Pallo</x:t>
        </x:is>
      </x:c>
      <x:c r="H707" s="527" t="inlineStr">
        <x:is>
          <x:t xml:space="preserve">Dale Folks</x:t>
        </x:is>
      </x:c>
      <x:c r="I707" s="527" t="inlineStr">
        <x:is>
          <x:t xml:space="preserve">31-12N-24W</x:t>
        </x:is>
      </x:c>
      <x:c r="J707" s="527" t="inlineStr">
        <x:is>
          <x:t xml:space="preserve">Leasehold / WI</x:t>
        </x:is>
      </x:c>
      <x:c r="K707" s="527" t="inlineStr">
        <x:is>
          <x:t xml:space="preserve">OKCountyRecords official index, Roger Mills County (instrument 1978-003493); searched 06/11/2026</x:t>
        </x:is>
      </x:c>
      <x:c r="L707" s="565" t="n"/>
      <x:c r="M707" s="565" t="n"/>
      <x:c r="N707" s="565" t="n"/>
      <x:c r="O707" s="565" t="n"/>
      <x:c r="P707" s="565" t="n"/>
      <x:c r="Q707" s="565" t="n"/>
      <x:c r="R707" s="565" t="n"/>
      <x:c r="S707" s="613" t="n"/>
      <x:c r="T707" s="565" t="n"/>
      <x:c r="U707" s="613" t="n"/>
      <x:c r="V707" s="565" t="n"/>
      <x:c r="W707" s="565" t="n"/>
      <x:c r="X707" s="565" t="n"/>
      <x:c r="Y707" s="565" t="n"/>
      <x:c r="Z707" s="565" t="n"/>
    </x:row>
    <x:row r="708">
      <x:c r="A708" s="527" t="inlineStr">
        <x:is>
          <x:t xml:space="preserve">1978-003497</x:t>
        </x:is>
      </x:c>
      <x:c r="B708" s="527" t="n"/>
      <x:c r="C708" s="527" t="inlineStr">
        <x:is>
          <x:t xml:space="preserve">Oil and Gas Lease</x:t>
        </x:is>
      </x:c>
      <x:c r="D708" s="527" t="inlineStr">
        <x:is>
          <x:t xml:space="preserve">0240/0422</x:t>
        </x:is>
      </x:c>
      <x:c r="E708" s="529" t="inlineStr">
        <x:is>
          <x:t xml:space="preserve">05/08/1978</x:t>
        </x:is>
      </x:c>
      <x:c r="F708" s="529" t="n">
        <x:v>28618</x:v>
      </x:c>
      <x:c r="G708" s="527" t="inlineStr">
        <x:is>
          <x:t xml:space="preserve">Eula M. Bain,
William C. Bain</x:t>
        </x:is>
      </x:c>
      <x:c r="H708" s="527" t="inlineStr">
        <x:is>
          <x:t xml:space="preserve">Dale Folks</x:t>
        </x:is>
      </x:c>
      <x:c r="I708" s="527" t="inlineStr">
        <x:is>
          <x:t xml:space="preserve">31-12N-24W</x:t>
        </x:is>
      </x:c>
      <x:c r="J708" s="527" t="inlineStr">
        <x:is>
          <x:t xml:space="preserve">Leasehold / WI</x:t>
        </x:is>
      </x:c>
      <x:c r="K708" s="527" t="inlineStr">
        <x:is>
          <x:t xml:space="preserve">OKCountyRecords official index, Roger Mills County (instrument 1978-003497); searched 06/11/2026</x:t>
        </x:is>
      </x:c>
      <x:c r="L708" s="565" t="n"/>
      <x:c r="M708" s="565" t="n"/>
      <x:c r="N708" s="565" t="n"/>
      <x:c r="O708" s="565" t="n"/>
      <x:c r="P708" s="565" t="n"/>
      <x:c r="Q708" s="565" t="n"/>
      <x:c r="R708" s="565" t="n"/>
      <x:c r="S708" s="613" t="n"/>
      <x:c r="T708" s="565" t="n"/>
      <x:c r="U708" s="613" t="n"/>
      <x:c r="V708" s="565" t="n"/>
      <x:c r="W708" s="565" t="n"/>
      <x:c r="X708" s="565" t="n"/>
      <x:c r="Y708" s="565" t="n"/>
      <x:c r="Z708" s="565" t="n"/>
    </x:row>
    <x:row r="709">
      <x:c r="A709" s="527" t="inlineStr">
        <x:is>
          <x:t xml:space="preserve">1978-003561</x:t>
        </x:is>
      </x:c>
      <x:c r="B709" s="527" t="n"/>
      <x:c r="C709" s="527" t="inlineStr">
        <x:is>
          <x:t xml:space="preserve">Oil and Gas Lease</x:t>
        </x:is>
      </x:c>
      <x:c r="D709" s="527" t="inlineStr">
        <x:is>
          <x:t xml:space="preserve">0240/0522</x:t>
        </x:is>
      </x:c>
      <x:c r="E709" s="529" t="inlineStr">
        <x:is>
          <x:t xml:space="preserve">05/10/1978</x:t>
        </x:is>
      </x:c>
      <x:c r="F709" s="529" t="n">
        <x:v>28620</x:v>
      </x:c>
      <x:c r="G709" s="527" t="inlineStr">
        <x:is>
          <x:t xml:space="preserve">M. E. Moore</x:t>
        </x:is>
      </x:c>
      <x:c r="H709" s="527" t="inlineStr">
        <x:is>
          <x:t xml:space="preserve">Dale Folks</x:t>
        </x:is>
      </x:c>
      <x:c r="I709" s="527" t="inlineStr">
        <x:is>
          <x:t xml:space="preserve">31-12N-24W (AOL)</x:t>
        </x:is>
      </x:c>
      <x:c r="J709" s="527" t="inlineStr">
        <x:is>
          <x:t xml:space="preserve">Leasehold / WI</x:t>
        </x:is>
      </x:c>
      <x:c r="K709" s="527" t="inlineStr">
        <x:is>
          <x:t xml:space="preserve">OKCountyRecords official index, Roger Mills County (instrument 1978-003561); searched 06/11/2026</x:t>
        </x:is>
      </x:c>
      <x:c r="L709" s="565" t="n"/>
      <x:c r="M709" s="565" t="n"/>
      <x:c r="N709" s="565" t="n"/>
      <x:c r="O709" s="565" t="n"/>
      <x:c r="P709" s="565" t="n"/>
      <x:c r="Q709" s="565" t="n"/>
      <x:c r="R709" s="565" t="n"/>
      <x:c r="S709" s="613" t="n"/>
      <x:c r="T709" s="565" t="n"/>
      <x:c r="U709" s="613" t="n"/>
      <x:c r="V709" s="565" t="n"/>
      <x:c r="W709" s="565" t="n"/>
      <x:c r="X709" s="565" t="n"/>
      <x:c r="Y709" s="565" t="n"/>
      <x:c r="Z709" s="565" t="n"/>
    </x:row>
    <x:row r="710">
      <x:c r="A710" s="527" t="inlineStr">
        <x:is>
          <x:t xml:space="preserve">1978-004102</x:t>
        </x:is>
      </x:c>
      <x:c r="B710" s="527" t="n"/>
      <x:c r="C710" s="527" t="inlineStr">
        <x:is>
          <x:t xml:space="preserve">Oil and Gas Lease</x:t>
        </x:is>
      </x:c>
      <x:c r="D710" s="527" t="inlineStr">
        <x:is>
          <x:t xml:space="preserve">0242/0410</x:t>
        </x:is>
      </x:c>
      <x:c r="E710" s="529" t="inlineStr">
        <x:is>
          <x:t xml:space="preserve">05/30/1978</x:t>
        </x:is>
      </x:c>
      <x:c r="F710" s="529" t="n">
        <x:v>28640</x:v>
      </x:c>
      <x:c r="G710" s="527" t="inlineStr">
        <x:is>
          <x:t xml:space="preserve">Lillie A. Campbell,
Lillie A. Hambrook</x:t>
        </x:is>
      </x:c>
      <x:c r="H710" s="527" t="inlineStr">
        <x:is>
          <x:t xml:space="preserve">El Paso Natural Gas Company</x:t>
        </x:is>
      </x:c>
      <x:c r="I710" s="527" t="inlineStr">
        <x:is>
          <x:t xml:space="preserve">31-12N-24W</x:t>
        </x:is>
      </x:c>
      <x:c r="J710" s="527" t="inlineStr">
        <x:is>
          <x:t xml:space="preserve">Leasehold / WI</x:t>
        </x:is>
      </x:c>
      <x:c r="K710" s="527" t="inlineStr">
        <x:is>
          <x:t xml:space="preserve">OKCountyRecords official index, Roger Mills County (instrument 1978-004102); searched 06/11/2026</x:t>
        </x:is>
      </x:c>
      <x:c r="L710" s="565" t="n"/>
      <x:c r="M710" s="565" t="n"/>
      <x:c r="N710" s="565" t="n"/>
      <x:c r="O710" s="565" t="n"/>
      <x:c r="P710" s="565" t="n"/>
      <x:c r="Q710" s="565" t="n"/>
      <x:c r="R710" s="565" t="n"/>
      <x:c r="S710" s="613" t="n"/>
      <x:c r="T710" s="565" t="n"/>
      <x:c r="U710" s="613" t="n"/>
      <x:c r="V710" s="565" t="n"/>
      <x:c r="W710" s="565" t="n"/>
      <x:c r="X710" s="565" t="n"/>
      <x:c r="Y710" s="565" t="n"/>
      <x:c r="Z710" s="565" t="n"/>
    </x:row>
    <x:row r="711">
      <x:c r="A711" s="527" t="inlineStr">
        <x:is>
          <x:t xml:space="preserve">1978-004103</x:t>
        </x:is>
      </x:c>
      <x:c r="B711" s="527" t="n"/>
      <x:c r="C711" s="527" t="inlineStr">
        <x:is>
          <x:t xml:space="preserve">Oil and Gas Lease</x:t>
        </x:is>
      </x:c>
      <x:c r="D711" s="527" t="inlineStr">
        <x:is>
          <x:t xml:space="preserve">0242/0412</x:t>
        </x:is>
      </x:c>
      <x:c r="E711" s="529" t="inlineStr">
        <x:is>
          <x:t xml:space="preserve">05/30/1978</x:t>
        </x:is>
      </x:c>
      <x:c r="F711" s="529" t="n">
        <x:v>28640</x:v>
      </x:c>
      <x:c r="G711" s="527" t="inlineStr">
        <x:is>
          <x:t xml:space="preserve">Margie Ann Kirk</x:t>
        </x:is>
      </x:c>
      <x:c r="H711" s="527" t="inlineStr">
        <x:is>
          <x:t xml:space="preserve">El Paso Natural Gas Company</x:t>
        </x:is>
      </x:c>
      <x:c r="I711" s="527" t="inlineStr">
        <x:is>
          <x:t xml:space="preserve">31-12N-24W</x:t>
        </x:is>
      </x:c>
      <x:c r="J711" s="527" t="inlineStr">
        <x:is>
          <x:t xml:space="preserve">Leasehold / WI</x:t>
        </x:is>
      </x:c>
      <x:c r="K711" s="527" t="inlineStr">
        <x:is>
          <x:t xml:space="preserve">OKCountyRecords official index, Roger Mills County (instrument 1978-004103); searched 06/11/2026</x:t>
        </x:is>
      </x:c>
      <x:c r="L711" s="565" t="n"/>
      <x:c r="M711" s="565" t="n"/>
      <x:c r="N711" s="565" t="n"/>
      <x:c r="O711" s="565" t="n"/>
      <x:c r="P711" s="565" t="n"/>
      <x:c r="Q711" s="565" t="n"/>
      <x:c r="R711" s="565" t="n"/>
      <x:c r="S711" s="613" t="n"/>
      <x:c r="T711" s="565" t="n"/>
      <x:c r="U711" s="613" t="n"/>
      <x:c r="V711" s="565" t="n"/>
      <x:c r="W711" s="565" t="n"/>
      <x:c r="X711" s="565" t="n"/>
      <x:c r="Y711" s="565" t="n"/>
      <x:c r="Z711" s="565" t="n"/>
    </x:row>
    <x:row r="712">
      <x:c r="A712" s="527" t="inlineStr">
        <x:is>
          <x:t xml:space="preserve">1978-004315</x:t>
        </x:is>
      </x:c>
      <x:c r="B712" s="527" t="n"/>
      <x:c r="C712" s="527" t="inlineStr">
        <x:is>
          <x:t xml:space="preserve">Assignment</x:t>
        </x:is>
      </x:c>
      <x:c r="D712" s="527" t="inlineStr">
        <x:is>
          <x:t xml:space="preserve">0243/0141</x:t>
        </x:is>
      </x:c>
      <x:c r="E712" s="529" t="inlineStr">
        <x:is>
          <x:t xml:space="preserve">06/07/1978</x:t>
        </x:is>
      </x:c>
      <x:c r="F712" s="529" t="n">
        <x:v>28648</x:v>
      </x:c>
      <x:c r="G712" s="527" t="inlineStr">
        <x:is>
          <x:t xml:space="preserve">Natomas North America, Inc.</x:t>
        </x:is>
      </x:c>
      <x:c r="H712" s="527" t="inlineStr">
        <x:is>
          <x:t xml:space="preserve">Entex Petroleum, Inc.</x:t>
        </x:is>
      </x:c>
      <x:c r="I712" s="527" t="inlineStr">
        <x:is>
          <x:t xml:space="preserve">31-12N-24W (AOL)</x:t>
        </x:is>
      </x:c>
      <x:c r="J712" s="527" t="inlineStr">
        <x:is>
          <x:t xml:space="preserve">Leasehold / WI</x:t>
        </x:is>
      </x:c>
      <x:c r="K712" s="527" t="inlineStr">
        <x:is>
          <x:t xml:space="preserve">OKCountyRecords official index, Roger Mills County (instrument 1978-004315); searched 06/11/2026</x:t>
        </x:is>
      </x:c>
      <x:c r="L712" s="565" t="n"/>
      <x:c r="M712" s="565" t="n"/>
      <x:c r="N712" s="565" t="n"/>
      <x:c r="O712" s="565" t="n"/>
      <x:c r="P712" s="565" t="n"/>
      <x:c r="Q712" s="565" t="n"/>
      <x:c r="R712" s="565" t="n"/>
      <x:c r="S712" s="613" t="n"/>
      <x:c r="T712" s="565" t="n"/>
      <x:c r="U712" s="613" t="n"/>
      <x:c r="V712" s="565" t="n"/>
      <x:c r="W712" s="565" t="n"/>
      <x:c r="X712" s="565" t="n"/>
      <x:c r="Y712" s="565" t="n"/>
      <x:c r="Z712" s="565" t="n"/>
    </x:row>
    <x:row r="713">
      <x:c r="A713" s="527" t="inlineStr">
        <x:is>
          <x:t xml:space="preserve">1978-005128</x:t>
        </x:is>
      </x:c>
      <x:c r="B713" s="527" t="n"/>
      <x:c r="C713" s="527" t="inlineStr">
        <x:is>
          <x:t xml:space="preserve">Assignment</x:t>
        </x:is>
      </x:c>
      <x:c r="D713" s="527" t="inlineStr">
        <x:is>
          <x:t xml:space="preserve">0245/0472</x:t>
        </x:is>
      </x:c>
      <x:c r="E713" s="529" t="inlineStr">
        <x:is>
          <x:t xml:space="preserve">07/12/1978</x:t>
        </x:is>
      </x:c>
      <x:c r="F713" s="529" t="n">
        <x:v>28683</x:v>
      </x:c>
      <x:c r="G713" s="527" t="inlineStr">
        <x:is>
          <x:t xml:space="preserve">William C. Bain</x:t>
        </x:is>
      </x:c>
      <x:c r="H713" s="527" t="inlineStr">
        <x:is>
          <x:t xml:space="preserve">Exxon Corporation</x:t>
        </x:is>
      </x:c>
      <x:c r="I713" s="527" t="inlineStr">
        <x:is>
          <x:t xml:space="preserve">31-12N-24W</x:t>
        </x:is>
      </x:c>
      <x:c r="J713" s="527" t="inlineStr">
        <x:is>
          <x:t xml:space="preserve">Leasehold / WI</x:t>
        </x:is>
      </x:c>
      <x:c r="K713" s="527" t="inlineStr">
        <x:is>
          <x:t xml:space="preserve">OKCountyRecords official index, Roger Mills County (instrument 1978-005128); searched 06/11/2026</x:t>
        </x:is>
      </x:c>
      <x:c r="L713" s="565" t="n"/>
      <x:c r="M713" s="565" t="n"/>
      <x:c r="N713" s="565" t="n"/>
      <x:c r="O713" s="565" t="n"/>
      <x:c r="P713" s="565" t="n"/>
      <x:c r="Q713" s="565" t="n"/>
      <x:c r="R713" s="565" t="n"/>
      <x:c r="S713" s="613" t="n"/>
      <x:c r="T713" s="565" t="n"/>
      <x:c r="U713" s="613" t="n"/>
      <x:c r="V713" s="565" t="n"/>
      <x:c r="W713" s="565" t="n"/>
      <x:c r="X713" s="565" t="n"/>
      <x:c r="Y713" s="565" t="n"/>
      <x:c r="Z713" s="565" t="n"/>
    </x:row>
    <x:row r="714">
      <x:c r="A714" s="527" t="inlineStr">
        <x:is>
          <x:t xml:space="preserve">1978-005129</x:t>
        </x:is>
      </x:c>
      <x:c r="B714" s="527" t="n"/>
      <x:c r="C714" s="527" t="inlineStr">
        <x:is>
          <x:t xml:space="preserve">Assignment</x:t>
        </x:is>
      </x:c>
      <x:c r="D714" s="527" t="inlineStr">
        <x:is>
          <x:t xml:space="preserve">0245/0473</x:t>
        </x:is>
      </x:c>
      <x:c r="E714" s="529" t="inlineStr">
        <x:is>
          <x:t xml:space="preserve">07/12/1978</x:t>
        </x:is>
      </x:c>
      <x:c r="F714" s="529" t="n">
        <x:v>28683</x:v>
      </x:c>
      <x:c r="G714" s="527" t="inlineStr">
        <x:is>
          <x:t xml:space="preserve">Crystal F. Pallo</x:t>
        </x:is>
      </x:c>
      <x:c r="H714" s="527" t="inlineStr">
        <x:is>
          <x:t xml:space="preserve">Exxon Corporation</x:t>
        </x:is>
      </x:c>
      <x:c r="I714" s="527" t="inlineStr">
        <x:is>
          <x:t xml:space="preserve">31-12N-24W</x:t>
        </x:is>
      </x:c>
      <x:c r="J714" s="527" t="inlineStr">
        <x:is>
          <x:t xml:space="preserve">Leasehold / WI</x:t>
        </x:is>
      </x:c>
      <x:c r="K714" s="527" t="inlineStr">
        <x:is>
          <x:t xml:space="preserve">OKCountyRecords official index, Roger Mills County (instrument 1978-005129); searched 06/11/2026</x:t>
        </x:is>
      </x:c>
      <x:c r="L714" s="565" t="n"/>
      <x:c r="M714" s="565" t="n"/>
      <x:c r="N714" s="565" t="n"/>
      <x:c r="O714" s="565" t="n"/>
      <x:c r="P714" s="565" t="n"/>
      <x:c r="Q714" s="565" t="n"/>
      <x:c r="R714" s="565" t="n"/>
      <x:c r="S714" s="613" t="n"/>
      <x:c r="T714" s="565" t="n"/>
      <x:c r="U714" s="613" t="n"/>
      <x:c r="V714" s="565" t="n"/>
      <x:c r="W714" s="565" t="n"/>
      <x:c r="X714" s="565" t="n"/>
      <x:c r="Y714" s="565" t="n"/>
      <x:c r="Z714" s="565" t="n"/>
    </x:row>
    <x:row r="715">
      <x:c r="A715" s="527" t="inlineStr">
        <x:is>
          <x:t xml:space="preserve">1978-005130</x:t>
        </x:is>
      </x:c>
      <x:c r="B715" s="527" t="n"/>
      <x:c r="C715" s="527" t="inlineStr">
        <x:is>
          <x:t xml:space="preserve">Assignment</x:t>
        </x:is>
      </x:c>
      <x:c r="D715" s="527" t="inlineStr">
        <x:is>
          <x:t xml:space="preserve">0245/0474</x:t>
        </x:is>
      </x:c>
      <x:c r="E715" s="529" t="inlineStr">
        <x:is>
          <x:t xml:space="preserve">07/12/1978</x:t>
        </x:is>
      </x:c>
      <x:c r="F715" s="529" t="n">
        <x:v>28683</x:v>
      </x:c>
      <x:c r="G715" s="527" t="inlineStr">
        <x:is>
          <x:t xml:space="preserve">William C. Bain Jr.</x:t>
        </x:is>
      </x:c>
      <x:c r="H715" s="527" t="inlineStr">
        <x:is>
          <x:t xml:space="preserve">Exxon Corporation</x:t>
        </x:is>
      </x:c>
      <x:c r="I715" s="527" t="inlineStr">
        <x:is>
          <x:t xml:space="preserve">31-12N-24W</x:t>
        </x:is>
      </x:c>
      <x:c r="J715" s="527" t="inlineStr">
        <x:is>
          <x:t xml:space="preserve">Leasehold / WI</x:t>
        </x:is>
      </x:c>
      <x:c r="K715" s="527" t="inlineStr">
        <x:is>
          <x:t xml:space="preserve">OKCountyRecords official index, Roger Mills County (instrument 1978-005130); searched 06/11/2026</x:t>
        </x:is>
      </x:c>
      <x:c r="L715" s="565" t="n"/>
      <x:c r="M715" s="565" t="n"/>
      <x:c r="N715" s="565" t="n"/>
      <x:c r="O715" s="565" t="n"/>
      <x:c r="P715" s="565" t="n"/>
      <x:c r="Q715" s="565" t="n"/>
      <x:c r="R715" s="565" t="n"/>
      <x:c r="S715" s="613" t="n"/>
      <x:c r="T715" s="565" t="n"/>
      <x:c r="U715" s="613" t="n"/>
      <x:c r="V715" s="565" t="n"/>
      <x:c r="W715" s="565" t="n"/>
      <x:c r="X715" s="565" t="n"/>
      <x:c r="Y715" s="565" t="n"/>
      <x:c r="Z715" s="565" t="n"/>
    </x:row>
    <x:row r="716">
      <x:c r="A716" s="527" t="inlineStr">
        <x:is>
          <x:t xml:space="preserve">1978-005131</x:t>
        </x:is>
      </x:c>
      <x:c r="B716" s="527" t="n"/>
      <x:c r="C716" s="527" t="inlineStr">
        <x:is>
          <x:t xml:space="preserve">Assignment</x:t>
        </x:is>
      </x:c>
      <x:c r="D716" s="527" t="inlineStr">
        <x:is>
          <x:t xml:space="preserve">0245/0475</x:t>
        </x:is>
      </x:c>
      <x:c r="E716" s="529" t="inlineStr">
        <x:is>
          <x:t xml:space="preserve">07/12/1978</x:t>
        </x:is>
      </x:c>
      <x:c r="F716" s="529" t="n">
        <x:v>28683</x:v>
      </x:c>
      <x:c r="G716" s="527" t="inlineStr">
        <x:is>
          <x:t xml:space="preserve">Wilda E. Jensen</x:t>
        </x:is>
      </x:c>
      <x:c r="H716" s="527" t="inlineStr">
        <x:is>
          <x:t xml:space="preserve">Exxon Corporation</x:t>
        </x:is>
      </x:c>
      <x:c r="I716" s="527" t="inlineStr">
        <x:is>
          <x:t xml:space="preserve">31-12N-24W</x:t>
        </x:is>
      </x:c>
      <x:c r="J716" s="527" t="inlineStr">
        <x:is>
          <x:t xml:space="preserve">Leasehold / WI</x:t>
        </x:is>
      </x:c>
      <x:c r="K716" s="527" t="inlineStr">
        <x:is>
          <x:t xml:space="preserve">OKCountyRecords official index, Roger Mills County (instrument 1978-005131); searched 06/11/2026</x:t>
        </x:is>
      </x:c>
      <x:c r="L716" s="565" t="n"/>
      <x:c r="M716" s="565" t="n"/>
      <x:c r="N716" s="565" t="n"/>
      <x:c r="O716" s="565" t="n"/>
      <x:c r="P716" s="565" t="n"/>
      <x:c r="Q716" s="565" t="n"/>
      <x:c r="R716" s="565" t="n"/>
      <x:c r="S716" s="613" t="n"/>
      <x:c r="T716" s="565" t="n"/>
      <x:c r="U716" s="613" t="n"/>
      <x:c r="V716" s="565" t="n"/>
      <x:c r="W716" s="565" t="n"/>
      <x:c r="X716" s="565" t="n"/>
      <x:c r="Y716" s="565" t="n"/>
      <x:c r="Z716" s="565" t="n"/>
    </x:row>
    <x:row r="717">
      <x:c r="A717" s="527" t="inlineStr">
        <x:is>
          <x:t xml:space="preserve">1978-005132</x:t>
        </x:is>
      </x:c>
      <x:c r="B717" s="527" t="n"/>
      <x:c r="C717" s="527" t="inlineStr">
        <x:is>
          <x:t xml:space="preserve">Assignment</x:t>
        </x:is>
      </x:c>
      <x:c r="D717" s="527" t="inlineStr">
        <x:is>
          <x:t xml:space="preserve">0245/0476</x:t>
        </x:is>
      </x:c>
      <x:c r="E717" s="529" t="inlineStr">
        <x:is>
          <x:t xml:space="preserve">07/12/1978</x:t>
        </x:is>
      </x:c>
      <x:c r="F717" s="529" t="n">
        <x:v>28683</x:v>
      </x:c>
      <x:c r="G717" s="527" t="inlineStr">
        <x:is>
          <x:t xml:space="preserve">Dow C. Bain</x:t>
        </x:is>
      </x:c>
      <x:c r="H717" s="527" t="inlineStr">
        <x:is>
          <x:t xml:space="preserve">Exxon Corporation</x:t>
        </x:is>
      </x:c>
      <x:c r="I717" s="527" t="inlineStr">
        <x:is>
          <x:t xml:space="preserve">31-12N-24W</x:t>
        </x:is>
      </x:c>
      <x:c r="J717" s="527" t="inlineStr">
        <x:is>
          <x:t xml:space="preserve">Leasehold / WI</x:t>
        </x:is>
      </x:c>
      <x:c r="K717" s="527" t="inlineStr">
        <x:is>
          <x:t xml:space="preserve">OKCountyRecords official index, Roger Mills County (instrument 1978-005132); searched 06/11/2026</x:t>
        </x:is>
      </x:c>
      <x:c r="L717" s="565" t="n"/>
      <x:c r="M717" s="565" t="n"/>
      <x:c r="N717" s="565" t="n"/>
      <x:c r="O717" s="565" t="n"/>
      <x:c r="P717" s="565" t="n"/>
      <x:c r="Q717" s="565" t="n"/>
      <x:c r="R717" s="565" t="n"/>
      <x:c r="S717" s="613" t="n"/>
      <x:c r="T717" s="565" t="n"/>
      <x:c r="U717" s="613" t="n"/>
      <x:c r="V717" s="565" t="n"/>
      <x:c r="W717" s="565" t="n"/>
      <x:c r="X717" s="565" t="n"/>
      <x:c r="Y717" s="565" t="n"/>
      <x:c r="Z717" s="565" t="n"/>
    </x:row>
    <x:row r="718">
      <x:c r="A718" s="527" t="inlineStr">
        <x:is>
          <x:t xml:space="preserve">1978-005133</x:t>
        </x:is>
      </x:c>
      <x:c r="B718" s="527" t="n"/>
      <x:c r="C718" s="527" t="inlineStr">
        <x:is>
          <x:t xml:space="preserve">Assignment</x:t>
        </x:is>
      </x:c>
      <x:c r="D718" s="527" t="inlineStr">
        <x:is>
          <x:t xml:space="preserve">0245/0477</x:t>
        </x:is>
      </x:c>
      <x:c r="E718" s="529" t="inlineStr">
        <x:is>
          <x:t xml:space="preserve">07/12/1978</x:t>
        </x:is>
      </x:c>
      <x:c r="F718" s="529" t="n">
        <x:v>28683</x:v>
      </x:c>
      <x:c r="G718" s="527" t="inlineStr">
        <x:is>
          <x:t xml:space="preserve">Carl L. Bain</x:t>
        </x:is>
      </x:c>
      <x:c r="H718" s="527" t="inlineStr">
        <x:is>
          <x:t xml:space="preserve">Exxon Corporation</x:t>
        </x:is>
      </x:c>
      <x:c r="I718" s="527" t="inlineStr">
        <x:is>
          <x:t xml:space="preserve">31-12N-24W</x:t>
        </x:is>
      </x:c>
      <x:c r="J718" s="527" t="inlineStr">
        <x:is>
          <x:t xml:space="preserve">Leasehold / WI</x:t>
        </x:is>
      </x:c>
      <x:c r="K718" s="527" t="inlineStr">
        <x:is>
          <x:t xml:space="preserve">OKCountyRecords official index, Roger Mills County (instrument 1978-005133); searched 06/11/2026</x:t>
        </x:is>
      </x:c>
      <x:c r="L718" s="565" t="n"/>
      <x:c r="M718" s="565" t="n"/>
      <x:c r="N718" s="565" t="n"/>
      <x:c r="O718" s="565" t="n"/>
      <x:c r="P718" s="565" t="n"/>
      <x:c r="Q718" s="565" t="n"/>
      <x:c r="R718" s="565" t="n"/>
      <x:c r="S718" s="613" t="n"/>
      <x:c r="T718" s="565" t="n"/>
      <x:c r="U718" s="613" t="n"/>
      <x:c r="V718" s="565" t="n"/>
      <x:c r="W718" s="565" t="n"/>
      <x:c r="X718" s="565" t="n"/>
      <x:c r="Y718" s="565" t="n"/>
      <x:c r="Z718" s="565" t="n"/>
    </x:row>
    <x:row r="719">
      <x:c r="A719" s="527" t="inlineStr">
        <x:is>
          <x:t xml:space="preserve">1978-005134</x:t>
        </x:is>
      </x:c>
      <x:c r="B719" s="527" t="n"/>
      <x:c r="C719" s="527" t="inlineStr">
        <x:is>
          <x:t xml:space="preserve">Assignment</x:t>
        </x:is>
      </x:c>
      <x:c r="D719" s="527" t="inlineStr">
        <x:is>
          <x:t xml:space="preserve">0245/0478</x:t>
        </x:is>
      </x:c>
      <x:c r="E719" s="529" t="inlineStr">
        <x:is>
          <x:t xml:space="preserve">07/12/1978</x:t>
        </x:is>
      </x:c>
      <x:c r="F719" s="529" t="n">
        <x:v>28683</x:v>
      </x:c>
      <x:c r="G719" s="527" t="inlineStr">
        <x:is>
          <x:t xml:space="preserve">Clarence C. Bain</x:t>
        </x:is>
      </x:c>
      <x:c r="H719" s="527" t="inlineStr">
        <x:is>
          <x:t xml:space="preserve">Exxon Corporation</x:t>
        </x:is>
      </x:c>
      <x:c r="I719" s="527" t="inlineStr">
        <x:is>
          <x:t xml:space="preserve">31-12N-24W</x:t>
        </x:is>
      </x:c>
      <x:c r="J719" s="527" t="inlineStr">
        <x:is>
          <x:t xml:space="preserve">Leasehold / WI</x:t>
        </x:is>
      </x:c>
      <x:c r="K719" s="527" t="inlineStr">
        <x:is>
          <x:t xml:space="preserve">OKCountyRecords official index, Roger Mills County (instrument 1978-005134); searched 06/11/2026</x:t>
        </x:is>
      </x:c>
      <x:c r="L719" s="565" t="n"/>
      <x:c r="M719" s="565" t="n"/>
      <x:c r="N719" s="565" t="n"/>
      <x:c r="O719" s="565" t="n"/>
      <x:c r="P719" s="565" t="n"/>
      <x:c r="Q719" s="565" t="n"/>
      <x:c r="R719" s="565" t="n"/>
      <x:c r="S719" s="613" t="n"/>
      <x:c r="T719" s="565" t="n"/>
      <x:c r="U719" s="613" t="n"/>
      <x:c r="V719" s="565" t="n"/>
      <x:c r="W719" s="565" t="n"/>
      <x:c r="X719" s="565" t="n"/>
      <x:c r="Y719" s="565" t="n"/>
      <x:c r="Z719" s="565" t="n"/>
    </x:row>
    <x:row r="720">
      <x:c r="A720" s="527" t="inlineStr">
        <x:is>
          <x:t xml:space="preserve">1978-005135</x:t>
        </x:is>
      </x:c>
      <x:c r="B720" s="527" t="n"/>
      <x:c r="C720" s="527" t="inlineStr">
        <x:is>
          <x:t xml:space="preserve">Assignment</x:t>
        </x:is>
      </x:c>
      <x:c r="D720" s="527" t="inlineStr">
        <x:is>
          <x:t xml:space="preserve">0245/0479</x:t>
        </x:is>
      </x:c>
      <x:c r="E720" s="529" t="inlineStr">
        <x:is>
          <x:t xml:space="preserve">07/12/1978</x:t>
        </x:is>
      </x:c>
      <x:c r="F720" s="529" t="n">
        <x:v>28683</x:v>
      </x:c>
      <x:c r="G720" s="527" t="inlineStr">
        <x:is>
          <x:t xml:space="preserve">Opal L. Fuchs</x:t>
        </x:is>
      </x:c>
      <x:c r="H720" s="527" t="inlineStr">
        <x:is>
          <x:t xml:space="preserve">Exxon Corporation</x:t>
        </x:is>
      </x:c>
      <x:c r="I720" s="527" t="inlineStr">
        <x:is>
          <x:t xml:space="preserve">31-12N-24W</x:t>
        </x:is>
      </x:c>
      <x:c r="J720" s="527" t="inlineStr">
        <x:is>
          <x:t xml:space="preserve">Leasehold / WI</x:t>
        </x:is>
      </x:c>
      <x:c r="K720" s="527" t="inlineStr">
        <x:is>
          <x:t xml:space="preserve">OKCountyRecords official index, Roger Mills County (instrument 1978-005135); searched 06/11/2026</x:t>
        </x:is>
      </x:c>
      <x:c r="L720" s="565" t="n"/>
      <x:c r="M720" s="565" t="n"/>
      <x:c r="N720" s="565" t="n"/>
      <x:c r="O720" s="565" t="n"/>
      <x:c r="P720" s="565" t="n"/>
      <x:c r="Q720" s="565" t="n"/>
      <x:c r="R720" s="565" t="n"/>
      <x:c r="S720" s="613" t="n"/>
      <x:c r="T720" s="565" t="n"/>
      <x:c r="U720" s="613" t="n"/>
      <x:c r="V720" s="565" t="n"/>
      <x:c r="W720" s="565" t="n"/>
      <x:c r="X720" s="565" t="n"/>
      <x:c r="Y720" s="565" t="n"/>
      <x:c r="Z720" s="565" t="n"/>
    </x:row>
    <x:row r="721">
      <x:c r="A721" s="527" t="inlineStr">
        <x:is>
          <x:t xml:space="preserve">1978-005136</x:t>
        </x:is>
      </x:c>
      <x:c r="B721" s="527" t="n"/>
      <x:c r="C721" s="527" t="inlineStr">
        <x:is>
          <x:t xml:space="preserve">Assignment</x:t>
        </x:is>
      </x:c>
      <x:c r="D721" s="527" t="inlineStr">
        <x:is>
          <x:t xml:space="preserve">0245/0480</x:t>
        </x:is>
      </x:c>
      <x:c r="E721" s="529" t="inlineStr">
        <x:is>
          <x:t xml:space="preserve">07/12/1978</x:t>
        </x:is>
      </x:c>
      <x:c r="F721" s="529" t="n">
        <x:v>28683</x:v>
      </x:c>
      <x:c r="G721" s="527" t="inlineStr">
        <x:is>
          <x:t xml:space="preserve">Billy W. Bain</x:t>
        </x:is>
      </x:c>
      <x:c r="H721" s="527" t="inlineStr">
        <x:is>
          <x:t xml:space="preserve">Exxon Corporation</x:t>
        </x:is>
      </x:c>
      <x:c r="I721" s="527" t="inlineStr">
        <x:is>
          <x:t xml:space="preserve">31-12N-24W</x:t>
        </x:is>
      </x:c>
      <x:c r="J721" s="527" t="inlineStr">
        <x:is>
          <x:t xml:space="preserve">Leasehold / WI</x:t>
        </x:is>
      </x:c>
      <x:c r="K721" s="527" t="inlineStr">
        <x:is>
          <x:t xml:space="preserve">OKCountyRecords official index, Roger Mills County (instrument 1978-005136); searched 06/11/2026</x:t>
        </x:is>
      </x:c>
      <x:c r="L721" s="565" t="n"/>
      <x:c r="M721" s="565" t="n"/>
      <x:c r="N721" s="565" t="n"/>
      <x:c r="O721" s="565" t="n"/>
      <x:c r="P721" s="565" t="n"/>
      <x:c r="Q721" s="565" t="n"/>
      <x:c r="R721" s="565" t="n"/>
      <x:c r="S721" s="613" t="n"/>
      <x:c r="T721" s="565" t="n"/>
      <x:c r="U721" s="613" t="n"/>
      <x:c r="V721" s="565" t="n"/>
      <x:c r="W721" s="565" t="n"/>
      <x:c r="X721" s="565" t="n"/>
      <x:c r="Y721" s="565" t="n"/>
      <x:c r="Z721" s="565" t="n"/>
    </x:row>
    <x:row r="722">
      <x:c r="A722" s="527" t="inlineStr">
        <x:is>
          <x:t xml:space="preserve">1978-005137</x:t>
        </x:is>
      </x:c>
      <x:c r="B722" s="527" t="n"/>
      <x:c r="C722" s="527" t="inlineStr">
        <x:is>
          <x:t xml:space="preserve">Assignment</x:t>
        </x:is>
      </x:c>
      <x:c r="D722" s="527" t="inlineStr">
        <x:is>
          <x:t xml:space="preserve">0245/0481</x:t>
        </x:is>
      </x:c>
      <x:c r="E722" s="529" t="inlineStr">
        <x:is>
          <x:t xml:space="preserve">07/12/1978</x:t>
        </x:is>
      </x:c>
      <x:c r="F722" s="529" t="n">
        <x:v>28683</x:v>
      </x:c>
      <x:c r="G722" s="527" t="inlineStr">
        <x:is>
          <x:t xml:space="preserve">Juanita M. Wolfe</x:t>
        </x:is>
      </x:c>
      <x:c r="H722" s="527" t="inlineStr">
        <x:is>
          <x:t xml:space="preserve">Exxon Corporation</x:t>
        </x:is>
      </x:c>
      <x:c r="I722" s="527" t="inlineStr">
        <x:is>
          <x:t xml:space="preserve">31-12N-24W</x:t>
        </x:is>
      </x:c>
      <x:c r="J722" s="527" t="inlineStr">
        <x:is>
          <x:t xml:space="preserve">Leasehold / WI</x:t>
        </x:is>
      </x:c>
      <x:c r="K722" s="527" t="inlineStr">
        <x:is>
          <x:t xml:space="preserve">OKCountyRecords official index, Roger Mills County (instrument 1978-005137); searched 06/11/2026</x:t>
        </x:is>
      </x:c>
      <x:c r="L722" s="565" t="n"/>
      <x:c r="M722" s="565" t="n"/>
      <x:c r="N722" s="565" t="n"/>
      <x:c r="O722" s="565" t="n"/>
      <x:c r="P722" s="565" t="n"/>
      <x:c r="Q722" s="565" t="n"/>
      <x:c r="R722" s="565" t="n"/>
      <x:c r="S722" s="613" t="n"/>
      <x:c r="T722" s="565" t="n"/>
      <x:c r="U722" s="613" t="n"/>
      <x:c r="V722" s="565" t="n"/>
      <x:c r="W722" s="565" t="n"/>
      <x:c r="X722" s="565" t="n"/>
      <x:c r="Y722" s="565" t="n"/>
      <x:c r="Z722" s="565" t="n"/>
    </x:row>
    <x:row r="723">
      <x:c r="A723" s="527" t="inlineStr">
        <x:is>
          <x:t xml:space="preserve">1978-005257</x:t>
        </x:is>
      </x:c>
      <x:c r="B723" s="527" t="n"/>
      <x:c r="C723" s="527" t="inlineStr">
        <x:is>
          <x:t xml:space="preserve">Assignment</x:t>
        </x:is>
      </x:c>
      <x:c r="D723" s="527" t="inlineStr">
        <x:is>
          <x:t xml:space="preserve">0246/0151</x:t>
        </x:is>
      </x:c>
      <x:c r="E723" s="529" t="inlineStr">
        <x:is>
          <x:t xml:space="preserve">07/17/1978</x:t>
        </x:is>
      </x:c>
      <x:c r="F723" s="529" t="n">
        <x:v>28688</x:v>
      </x:c>
      <x:c r="G723" s="527" t="inlineStr">
        <x:is>
          <x:t xml:space="preserve">Hazel A. Hamilton</x:t>
        </x:is>
      </x:c>
      <x:c r="H723" s="527" t="inlineStr">
        <x:is>
          <x:t xml:space="preserve">Exxon Corporation</x:t>
        </x:is>
      </x:c>
      <x:c r="I723" s="527" t="inlineStr">
        <x:is>
          <x:t xml:space="preserve">31-12N-24W</x:t>
        </x:is>
      </x:c>
      <x:c r="J723" s="527" t="inlineStr">
        <x:is>
          <x:t xml:space="preserve">Leasehold / WI</x:t>
        </x:is>
      </x:c>
      <x:c r="K723" s="527" t="inlineStr">
        <x:is>
          <x:t xml:space="preserve">OKCountyRecords official index, Roger Mills County (instrument 1978-005257); searched 06/11/2026</x:t>
        </x:is>
      </x:c>
      <x:c r="L723" s="565" t="n"/>
      <x:c r="M723" s="565" t="n"/>
      <x:c r="N723" s="565" t="n"/>
      <x:c r="O723" s="565" t="n"/>
      <x:c r="P723" s="565" t="n"/>
      <x:c r="Q723" s="565" t="n"/>
      <x:c r="R723" s="565" t="n"/>
      <x:c r="S723" s="613" t="n"/>
      <x:c r="T723" s="565" t="n"/>
      <x:c r="U723" s="613" t="n"/>
      <x:c r="V723" s="565" t="n"/>
      <x:c r="W723" s="565" t="n"/>
      <x:c r="X723" s="565" t="n"/>
      <x:c r="Y723" s="565" t="n"/>
      <x:c r="Z723" s="565" t="n"/>
    </x:row>
    <x:row r="724">
      <x:c r="A724" s="527" t="inlineStr">
        <x:is>
          <x:t xml:space="preserve">1978-005310</x:t>
        </x:is>
      </x:c>
      <x:c r="B724" s="527" t="n"/>
      <x:c r="C724" s="527" t="inlineStr">
        <x:is>
          <x:t xml:space="preserve">Oil and Gas Lease</x:t>
        </x:is>
      </x:c>
      <x:c r="D724" s="527" t="inlineStr">
        <x:is>
          <x:t xml:space="preserve">0246/0233</x:t>
        </x:is>
      </x:c>
      <x:c r="E724" s="529" t="inlineStr">
        <x:is>
          <x:t xml:space="preserve">07/18/1978</x:t>
        </x:is>
      </x:c>
      <x:c r="F724" s="529" t="n">
        <x:v>28689</x:v>
      </x:c>
      <x:c r="G724" s="527" t="inlineStr">
        <x:is>
          <x:t xml:space="preserve">Panhandle Cooperative Royalty Company</x:t>
        </x:is>
      </x:c>
      <x:c r="H724" s="527" t="inlineStr">
        <x:is>
          <x:t xml:space="preserve">C. W. Dobbins &amp; Sons, Inc.</x:t>
        </x:is>
      </x:c>
      <x:c r="I724" s="527" t="inlineStr">
        <x:is>
          <x:t xml:space="preserve">31-12N-24W</x:t>
        </x:is>
      </x:c>
      <x:c r="J724" s="527" t="inlineStr">
        <x:is>
          <x:t xml:space="preserve">Leasehold / WI</x:t>
        </x:is>
      </x:c>
      <x:c r="K724" s="527" t="inlineStr">
        <x:is>
          <x:t xml:space="preserve">OKCountyRecords official index, Roger Mills County (instrument 1978-005310); searched 06/11/2026</x:t>
        </x:is>
      </x:c>
      <x:c r="L724" s="565" t="n"/>
      <x:c r="M724" s="565" t="n"/>
      <x:c r="N724" s="565" t="n"/>
      <x:c r="O724" s="565" t="n"/>
      <x:c r="P724" s="565" t="n"/>
      <x:c r="Q724" s="565" t="n"/>
      <x:c r="R724" s="565" t="n"/>
      <x:c r="S724" s="613" t="n"/>
      <x:c r="T724" s="565" t="n"/>
      <x:c r="U724" s="613" t="n"/>
      <x:c r="V724" s="565" t="n"/>
      <x:c r="W724" s="565" t="n"/>
      <x:c r="X724" s="565" t="n"/>
      <x:c r="Y724" s="565" t="n"/>
      <x:c r="Z724" s="565" t="n"/>
    </x:row>
    <x:row r="725">
      <x:c r="A725" s="527" t="inlineStr">
        <x:is>
          <x:t xml:space="preserve">1978-005884</x:t>
        </x:is>
      </x:c>
      <x:c r="B725" s="527" t="n"/>
      <x:c r="C725" s="527" t="inlineStr">
        <x:is>
          <x:t xml:space="preserve">Assignment</x:t>
        </x:is>
      </x:c>
      <x:c r="D725" s="527" t="inlineStr">
        <x:is>
          <x:t xml:space="preserve">0248/0236</x:t>
        </x:is>
      </x:c>
      <x:c r="E725" s="529" t="inlineStr">
        <x:is>
          <x:t xml:space="preserve">08/09/1978</x:t>
        </x:is>
      </x:c>
      <x:c r="F725" s="529" t="n">
        <x:v>28691</x:v>
      </x:c>
      <x:c r="G725" s="527" t="inlineStr">
        <x:is>
          <x:t xml:space="preserve">C. W. Dobbins &amp; Sons, Inc.</x:t>
        </x:is>
      </x:c>
      <x:c r="H725" s="527" t="inlineStr">
        <x:is>
          <x:t xml:space="preserve">Cities Service Company</x:t>
        </x:is>
      </x:c>
      <x:c r="I725" s="527" t="inlineStr">
        <x:is>
          <x:t xml:space="preserve">NW/4 NE/4 of 31-12N-24W (AOL)</x:t>
        </x:is>
      </x:c>
      <x:c r="J725" s="527" t="inlineStr">
        <x:is>
          <x:t xml:space="preserve">Leasehold / WI</x:t>
        </x:is>
      </x:c>
      <x:c r="K725" s="527" t="inlineStr">
        <x:is>
          <x:t xml:space="preserve">OKCountyRecords official index, Roger Mills County (instrument 1978-005884); searched 06/11/2026</x:t>
        </x:is>
      </x:c>
      <x:c r="L725" s="565" t="n"/>
      <x:c r="M725" s="565" t="n"/>
      <x:c r="N725" s="565" t="n"/>
      <x:c r="O725" s="565" t="n"/>
      <x:c r="P725" s="565" t="n"/>
      <x:c r="Q725" s="565" t="n"/>
      <x:c r="R725" s="565" t="n"/>
      <x:c r="S725" s="613" t="n"/>
      <x:c r="T725" s="565" t="n"/>
      <x:c r="U725" s="613" t="n"/>
      <x:c r="V725" s="565" t="n"/>
      <x:c r="W725" s="565" t="n"/>
      <x:c r="X725" s="565" t="n"/>
      <x:c r="Y725" s="565" t="n"/>
      <x:c r="Z725" s="565" t="n"/>
    </x:row>
    <x:row r="726">
      <x:c r="A726" s="527" t="inlineStr">
        <x:is>
          <x:t xml:space="preserve">1978-005886</x:t>
        </x:is>
      </x:c>
      <x:c r="B726" s="527" t="n"/>
      <x:c r="C726" s="527" t="inlineStr">
        <x:is>
          <x:t xml:space="preserve">Rental Division Order</x:t>
        </x:is>
      </x:c>
      <x:c r="D726" s="527" t="inlineStr">
        <x:is>
          <x:t xml:space="preserve">0248/0240</x:t>
        </x:is>
      </x:c>
      <x:c r="E726" s="529" t="inlineStr">
        <x:is>
          <x:t xml:space="preserve">08/09/1978</x:t>
        </x:is>
      </x:c>
      <x:c r="F726" s="529" t="n">
        <x:v>28711</x:v>
      </x:c>
      <x:c r="G726" s="527" t="inlineStr">
        <x:is>
          <x:t xml:space="preserve">Panhandle Cooperative Royalty Company</x:t>
        </x:is>
      </x:c>
      <x:c r="H726" s="527" t="inlineStr">
        <x:is>
          <x:t xml:space="preserve">C. W. Dobbins &amp; Sons, Inc.</x:t>
        </x:is>
      </x:c>
      <x:c r="I726" s="527" t="inlineStr">
        <x:is>
          <x:t xml:space="preserve">31-12N-24W</x:t>
        </x:is>
      </x:c>
      <x:c r="J726" s="527" t="inlineStr">
        <x:is>
          <x:t xml:space="preserve">Leasehold / WI</x:t>
        </x:is>
      </x:c>
      <x:c r="K726" s="527" t="inlineStr">
        <x:is>
          <x:t xml:space="preserve">OKCountyRecords official index, Roger Mills County (instrument 1978-005886); searched 06/11/2026</x:t>
        </x:is>
      </x:c>
      <x:c r="L726" s="565" t="n"/>
      <x:c r="M726" s="565" t="n"/>
      <x:c r="N726" s="565" t="n"/>
      <x:c r="O726" s="565" t="n"/>
      <x:c r="P726" s="565" t="n"/>
      <x:c r="Q726" s="565" t="n"/>
      <x:c r="R726" s="565" t="n"/>
      <x:c r="S726" s="613" t="n"/>
      <x:c r="T726" s="565" t="n"/>
      <x:c r="U726" s="613" t="n"/>
      <x:c r="V726" s="565" t="n"/>
      <x:c r="W726" s="565" t="n"/>
      <x:c r="X726" s="565" t="n"/>
      <x:c r="Y726" s="565" t="n"/>
      <x:c r="Z726" s="565" t="n"/>
    </x:row>
    <x:row r="727">
      <x:c r="A727" s="527" t="inlineStr">
        <x:is>
          <x:t xml:space="preserve">1978-007974</x:t>
        </x:is>
      </x:c>
      <x:c r="B727" s="527" t="n"/>
      <x:c r="C727" s="527" t="inlineStr">
        <x:is>
          <x:t xml:space="preserve">Assignment</x:t>
        </x:is>
      </x:c>
      <x:c r="D727" s="527" t="inlineStr">
        <x:is>
          <x:t xml:space="preserve">0254/0555</x:t>
        </x:is>
      </x:c>
      <x:c r="E727" s="529" t="inlineStr">
        <x:is>
          <x:t xml:space="preserve">11/20/1978</x:t>
        </x:is>
      </x:c>
      <x:c r="F727" s="529" t="n">
        <x:v>28814</x:v>
      </x:c>
      <x:c r="G727" s="527" t="inlineStr">
        <x:is>
          <x:t xml:space="preserve">El Paso Natural Gas Co</x:t>
        </x:is>
      </x:c>
      <x:c r="H727" s="527" t="inlineStr">
        <x:is>
          <x:t xml:space="preserve">Natomas North America, Inc.</x:t>
        </x:is>
      </x:c>
      <x:c r="I727" s="527" t="inlineStr">
        <x:is>
          <x:t xml:space="preserve">31-12N-24W (AOL)</x:t>
        </x:is>
      </x:c>
      <x:c r="J727" s="527" t="inlineStr">
        <x:is>
          <x:t xml:space="preserve">Leasehold / WI</x:t>
        </x:is>
      </x:c>
      <x:c r="K727" s="527" t="inlineStr">
        <x:is>
          <x:t xml:space="preserve">OKCountyRecords official index, Roger Mills County (instrument 1978-007974); searched 06/11/2026</x:t>
        </x:is>
      </x:c>
      <x:c r="L727" s="565" t="n"/>
      <x:c r="M727" s="565" t="n"/>
      <x:c r="N727" s="565" t="n"/>
      <x:c r="O727" s="565" t="n"/>
      <x:c r="P727" s="565" t="n"/>
      <x:c r="Q727" s="565" t="n"/>
      <x:c r="R727" s="565" t="n"/>
      <x:c r="S727" s="613" t="n"/>
      <x:c r="T727" s="565" t="n"/>
      <x:c r="U727" s="613" t="n"/>
      <x:c r="V727" s="565" t="n"/>
      <x:c r="W727" s="565" t="n"/>
      <x:c r="X727" s="565" t="n"/>
      <x:c r="Y727" s="565" t="n"/>
      <x:c r="Z727" s="565" t="n"/>
    </x:row>
    <x:row r="728">
      <x:c r="A728" s="527" t="inlineStr">
        <x:is>
          <x:t xml:space="preserve">1979-001572</x:t>
        </x:is>
      </x:c>
      <x:c r="B728" s="527" t="n"/>
      <x:c r="C728" s="527" t="inlineStr">
        <x:is>
          <x:t xml:space="preserve">Deed</x:t>
        </x:is>
      </x:c>
      <x:c r="D728" s="527" t="inlineStr">
        <x:is>
          <x:t xml:space="preserve">0262/0460</x:t>
        </x:is>
      </x:c>
      <x:c r="E728" s="529" t="inlineStr">
        <x:is>
          <x:t xml:space="preserve">03/09/1979</x:t>
        </x:is>
      </x:c>
      <x:c r="F728" s="529" t="n">
        <x:v>28923</x:v>
      </x:c>
      <x:c r="G728" s="527" t="inlineStr">
        <x:is>
          <x:t xml:space="preserve">Freeda Kirk</x:t>
        </x:is>
      </x:c>
      <x:c r="H728" s="527" t="inlineStr">
        <x:is>
          <x:t xml:space="preserve">Rod Kirk</x:t>
        </x:is>
      </x:c>
      <x:c r="I728" s="527" t="inlineStr">
        <x:is>
          <x:t xml:space="preserve">31-12N-24W</x:t>
        </x:is>
      </x:c>
      <x:c r="J728" s="527" t="inlineStr">
        <x:is>
          <x:t xml:space="preserve">Fee / as stated</x:t>
        </x:is>
      </x:c>
      <x:c r="K728" s="527" t="inlineStr">
        <x:is>
          <x:t xml:space="preserve">OKCountyRecords official index, Roger Mills County (instrument 1979-001572); searched 06/11/2026</x:t>
        </x:is>
      </x:c>
      <x:c r="L728" s="565" t="n"/>
      <x:c r="M728" s="565" t="n"/>
      <x:c r="N728" s="565" t="n"/>
      <x:c r="O728" s="565" t="n"/>
      <x:c r="P728" s="565" t="n"/>
      <x:c r="Q728" s="565" t="n"/>
      <x:c r="R728" s="565" t="n"/>
      <x:c r="S728" s="613" t="n"/>
      <x:c r="T728" s="565" t="n"/>
      <x:c r="U728" s="613" t="n"/>
      <x:c r="V728" s="565" t="n"/>
      <x:c r="W728" s="565" t="n"/>
      <x:c r="X728" s="565" t="n"/>
      <x:c r="Y728" s="565" t="n"/>
      <x:c r="Z728" s="565" t="n"/>
    </x:row>
    <x:row r="729">
      <x:c r="A729" s="527" t="inlineStr">
        <x:is>
          <x:t xml:space="preserve">1979-002206</x:t>
        </x:is>
      </x:c>
      <x:c r="B729" s="527" t="n"/>
      <x:c r="C729" s="527" t="inlineStr">
        <x:is>
          <x:t xml:space="preserve">Final Decree</x:t>
        </x:is>
      </x:c>
      <x:c r="D729" s="527" t="inlineStr">
        <x:is>
          <x:t xml:space="preserve">0264/0428</x:t>
        </x:is>
      </x:c>
      <x:c r="E729" s="529" t="inlineStr">
        <x:is>
          <x:t xml:space="preserve">04/16/1979</x:t>
        </x:is>
      </x:c>
      <x:c r="F729" s="529" t="n">
        <x:v>28961</x:v>
      </x:c>
      <x:c r="G729" s="527" t="inlineStr">
        <x:is>
          <x:t xml:space="preserve">Lillie Campbell</x:t>
        </x:is>
      </x:c>
      <x:c r="H729" s="527" t="inlineStr">
        <x:is>
          <x:t xml:space="preserve">Letty Atha,
Virgil Hambrook,
The Public</x:t>
        </x:is>
      </x:c>
      <x:c r="I729" s="527" t="inlineStr">
        <x:is>
          <x:t xml:space="preserve">31-12N-24W (AOL)</x:t>
        </x:is>
      </x:c>
      <x:c r="J729" s="527" t="inlineStr">
        <x:is>
          <x:t xml:space="preserve">Fee / as stated</x:t>
        </x:is>
      </x:c>
      <x:c r="K729" s="527" t="inlineStr">
        <x:is>
          <x:t xml:space="preserve">OKCountyRecords official index, Roger Mills County (instrument 1979-002206); searched 06/11/2026</x:t>
        </x:is>
      </x:c>
      <x:c r="L729" s="565" t="n"/>
      <x:c r="M729" s="565" t="n"/>
      <x:c r="N729" s="565" t="n"/>
      <x:c r="O729" s="565" t="n"/>
      <x:c r="P729" s="565" t="n"/>
      <x:c r="Q729" s="565" t="n"/>
      <x:c r="R729" s="565" t="n"/>
      <x:c r="S729" s="613" t="n"/>
      <x:c r="T729" s="565" t="n"/>
      <x:c r="U729" s="613" t="n"/>
      <x:c r="V729" s="565" t="n"/>
      <x:c r="W729" s="565" t="n"/>
      <x:c r="X729" s="565" t="n"/>
      <x:c r="Y729" s="565" t="n"/>
      <x:c r="Z729" s="565" t="n"/>
    </x:row>
    <x:row r="730">
      <x:c r="A730" s="527" t="inlineStr">
        <x:is>
          <x:t xml:space="preserve">1979-002207</x:t>
        </x:is>
      </x:c>
      <x:c r="B730" s="527" t="n"/>
      <x:c r="C730" s="527" t="inlineStr">
        <x:is>
          <x:t xml:space="preserve">Miscellaneous</x:t>
        </x:is>
      </x:c>
      <x:c r="D730" s="527" t="inlineStr">
        <x:is>
          <x:t xml:space="preserve">0264/0432</x:t>
        </x:is>
      </x:c>
      <x:c r="E730" s="529" t="inlineStr">
        <x:is>
          <x:t xml:space="preserve">04/16/1979</x:t>
        </x:is>
      </x:c>
      <x:c r="F730" s="529" t="n">
        <x:v>28961</x:v>
      </x:c>
      <x:c r="G730" s="527" t="inlineStr">
        <x:is>
          <x:t xml:space="preserve">Oklahoma Tax Commission</x:t>
        </x:is>
      </x:c>
      <x:c r="H730" s="527" t="inlineStr">
        <x:is>
          <x:t xml:space="preserve">Estate of Lillie Mae Campbell</x:t>
        </x:is>
      </x:c>
      <x:c r="I730" s="527" t="inlineStr">
        <x:is>
          <x:t xml:space="preserve">31-12N-24W (AOL)</x:t>
        </x:is>
      </x:c>
      <x:c r="J730" s="527" t="inlineStr">
        <x:is>
          <x:t xml:space="preserve">See instrument</x:t>
        </x:is>
      </x:c>
      <x:c r="K730" s="527" t="inlineStr">
        <x:is>
          <x:t xml:space="preserve">OKCountyRecords official index, Roger Mills County (instrument 1979-002207); searched 06/11/2026</x:t>
        </x:is>
      </x:c>
      <x:c r="L730" s="565" t="n"/>
      <x:c r="M730" s="565" t="n"/>
      <x:c r="N730" s="565" t="n"/>
      <x:c r="O730" s="565" t="n"/>
      <x:c r="P730" s="565" t="n"/>
      <x:c r="Q730" s="565" t="n"/>
      <x:c r="R730" s="565" t="n"/>
      <x:c r="S730" s="613" t="n"/>
      <x:c r="T730" s="565" t="n"/>
      <x:c r="U730" s="613" t="n"/>
      <x:c r="V730" s="565" t="n"/>
      <x:c r="W730" s="565" t="n"/>
      <x:c r="X730" s="565" t="n"/>
      <x:c r="Y730" s="565" t="n"/>
      <x:c r="Z730" s="565" t="n"/>
    </x:row>
    <x:row r="731">
      <x:c r="A731" s="527" t="inlineStr">
        <x:is>
          <x:t xml:space="preserve">1979-002364</x:t>
        </x:is>
      </x:c>
      <x:c r="B731" s="527" t="n"/>
      <x:c r="C731" s="527" t="inlineStr">
        <x:is>
          <x:t xml:space="preserve">Assignment</x:t>
        </x:is>
      </x:c>
      <x:c r="D731" s="527" t="inlineStr">
        <x:is>
          <x:t xml:space="preserve">0265/0081</x:t>
        </x:is>
      </x:c>
      <x:c r="E731" s="529" t="inlineStr">
        <x:is>
          <x:t xml:space="preserve">04/25/1979</x:t>
        </x:is>
      </x:c>
      <x:c r="F731" s="529" t="n">
        <x:v>28970</x:v>
      </x:c>
      <x:c r="G731" s="527" t="inlineStr">
        <x:is>
          <x:t xml:space="preserve">El Paso Natural Gas Co</x:t>
        </x:is>
      </x:c>
      <x:c r="H731" s="527" t="inlineStr">
        <x:is>
          <x:t xml:space="preserve">Natomas North America, Inc.</x:t>
        </x:is>
      </x:c>
      <x:c r="I731" s="527" t="inlineStr">
        <x:is>
          <x:t xml:space="preserve">31-12N-24W</x:t>
        </x:is>
      </x:c>
      <x:c r="J731" s="527" t="inlineStr">
        <x:is>
          <x:t xml:space="preserve">Leasehold / WI</x:t>
        </x:is>
      </x:c>
      <x:c r="K731" s="527" t="inlineStr">
        <x:is>
          <x:t xml:space="preserve">OKCountyRecords official index, Roger Mills County (instrument 1979-002364); searched 06/11/2026</x:t>
        </x:is>
      </x:c>
      <x:c r="L731" s="565" t="n"/>
      <x:c r="M731" s="565" t="n"/>
      <x:c r="N731" s="565" t="n"/>
      <x:c r="O731" s="565" t="n"/>
      <x:c r="P731" s="565" t="n"/>
      <x:c r="Q731" s="565" t="n"/>
      <x:c r="R731" s="565" t="n"/>
      <x:c r="S731" s="613" t="n"/>
      <x:c r="T731" s="565" t="n"/>
      <x:c r="U731" s="613" t="n"/>
      <x:c r="V731" s="565" t="n"/>
      <x:c r="W731" s="565" t="n"/>
      <x:c r="X731" s="565" t="n"/>
      <x:c r="Y731" s="565" t="n"/>
      <x:c r="Z731" s="565" t="n"/>
    </x:row>
    <x:row r="732">
      <x:c r="A732" s="527" t="inlineStr">
        <x:is>
          <x:t xml:space="preserve">1979-003905</x:t>
        </x:is>
      </x:c>
      <x:c r="B732" s="527" t="n"/>
      <x:c r="C732" s="527" t="inlineStr">
        <x:is>
          <x:t xml:space="preserve">Release</x:t>
        </x:is>
      </x:c>
      <x:c r="D732" s="527" t="inlineStr">
        <x:is>
          <x:t xml:space="preserve">0271/0443</x:t>
        </x:is>
      </x:c>
      <x:c r="E732" s="529" t="inlineStr">
        <x:is>
          <x:t xml:space="preserve">07/11/1979</x:t>
        </x:is>
      </x:c>
      <x:c r="F732" s="529" t="n">
        <x:v>29047</x:v>
      </x:c>
      <x:c r="G732" s="527" t="inlineStr">
        <x:is>
          <x:t xml:space="preserve">Letty Atha,
Virgil Hambrook</x:t>
        </x:is>
      </x:c>
      <x:c r="H732" s="527" t="inlineStr">
        <x:is>
          <x:t xml:space="preserve">Elmo W. Kirk,
Freeda Kirk</x:t>
        </x:is>
      </x:c>
      <x:c r="I732" s="527" t="inlineStr">
        <x:is>
          <x:t xml:space="preserve">31-12N-24W</x:t>
        </x:is>
      </x:c>
      <x:c r="J732" s="527" t="inlineStr">
        <x:is>
          <x:t xml:space="preserve">Leasehold / WI</x:t>
        </x:is>
      </x:c>
      <x:c r="K732" s="527" t="inlineStr">
        <x:is>
          <x:t xml:space="preserve">OKCountyRecords official index, Roger Mills County (instrument 1979-003905); searched 06/11/2026</x:t>
        </x:is>
      </x:c>
      <x:c r="L732" s="565" t="n"/>
      <x:c r="M732" s="565" t="n"/>
      <x:c r="N732" s="565" t="n"/>
      <x:c r="O732" s="565" t="n"/>
      <x:c r="P732" s="565" t="n"/>
      <x:c r="Q732" s="565" t="n"/>
      <x:c r="R732" s="565" t="n"/>
      <x:c r="S732" s="613" t="n"/>
      <x:c r="T732" s="565" t="n"/>
      <x:c r="U732" s="613" t="n"/>
      <x:c r="V732" s="565" t="n"/>
      <x:c r="W732" s="565" t="n"/>
      <x:c r="X732" s="565" t="n"/>
      <x:c r="Y732" s="565" t="n"/>
      <x:c r="Z732" s="565" t="n"/>
    </x:row>
    <x:row r="733">
      <x:c r="A733" s="527" t="inlineStr">
        <x:is>
          <x:t xml:space="preserve">1979-004016</x:t>
        </x:is>
      </x:c>
      <x:c r="B733" s="527" t="n"/>
      <x:c r="C733" s="527" t="inlineStr">
        <x:is>
          <x:t xml:space="preserve">Final Decree</x:t>
        </x:is>
      </x:c>
      <x:c r="D733" s="527" t="inlineStr">
        <x:is>
          <x:t xml:space="preserve">0272/0042</x:t>
        </x:is>
      </x:c>
      <x:c r="E733" s="529" t="inlineStr">
        <x:is>
          <x:t xml:space="preserve">07/13/1979</x:t>
        </x:is>
      </x:c>
      <x:c r="F733" s="529" t="n">
        <x:v>29049</x:v>
      </x:c>
      <x:c r="G733" s="527" t="inlineStr">
        <x:is>
          <x:t xml:space="preserve">Elmo W. Kirk</x:t>
        </x:is>
      </x:c>
      <x:c r="H733" s="527" t="inlineStr">
        <x:is>
          <x:t xml:space="preserve">Freeda Kirk,
The Public</x:t>
        </x:is>
      </x:c>
      <x:c r="I733" s="527" t="inlineStr">
        <x:is>
          <x:t xml:space="preserve">31-12N-24W</x:t>
        </x:is>
      </x:c>
      <x:c r="J733" s="527" t="inlineStr">
        <x:is>
          <x:t xml:space="preserve">Fee / as stated</x:t>
        </x:is>
      </x:c>
      <x:c r="K733" s="527" t="inlineStr">
        <x:is>
          <x:t xml:space="preserve">OKCountyRecords official index, Roger Mills County (instrument 1979-004016); searched 06/11/2026</x:t>
        </x:is>
      </x:c>
      <x:c r="L733" s="565" t="n"/>
      <x:c r="M733" s="565" t="n"/>
      <x:c r="N733" s="565" t="n"/>
      <x:c r="O733" s="565" t="n"/>
      <x:c r="P733" s="565" t="n"/>
      <x:c r="Q733" s="565" t="n"/>
      <x:c r="R733" s="565" t="n"/>
      <x:c r="S733" s="613" t="n"/>
      <x:c r="T733" s="565" t="n"/>
      <x:c r="U733" s="613" t="n"/>
      <x:c r="V733" s="565" t="n"/>
      <x:c r="W733" s="565" t="n"/>
      <x:c r="X733" s="565" t="n"/>
      <x:c r="Y733" s="565" t="n"/>
      <x:c r="Z733" s="565" t="n"/>
    </x:row>
    <x:row r="734">
      <x:c r="A734" s="527" t="inlineStr">
        <x:is>
          <x:t xml:space="preserve">1979-004021</x:t>
        </x:is>
      </x:c>
      <x:c r="B734" s="527" t="n"/>
      <x:c r="C734" s="527" t="inlineStr">
        <x:is>
          <x:t xml:space="preserve">Deed</x:t>
        </x:is>
      </x:c>
      <x:c r="D734" s="527" t="inlineStr">
        <x:is>
          <x:t xml:space="preserve">0272/0051</x:t>
        </x:is>
      </x:c>
      <x:c r="E734" s="529" t="inlineStr">
        <x:is>
          <x:t xml:space="preserve">07/13/1979</x:t>
        </x:is>
      </x:c>
      <x:c r="F734" s="529" t="n">
        <x:v>29049</x:v>
      </x:c>
      <x:c r="G734" s="527" t="inlineStr">
        <x:is>
          <x:t xml:space="preserve">Rod Kirk</x:t>
        </x:is>
      </x:c>
      <x:c r="H734" s="527" t="inlineStr">
        <x:is>
          <x:t xml:space="preserve">Herman M. Sidees,
Laury C. Sidees</x:t>
        </x:is>
      </x:c>
      <x:c r="I734" s="527" t="inlineStr">
        <x:is>
          <x:t xml:space="preserve">31-12N-24W</x:t>
        </x:is>
      </x:c>
      <x:c r="J734" s="527" t="inlineStr">
        <x:is>
          <x:t xml:space="preserve">Fee / as stated</x:t>
        </x:is>
      </x:c>
      <x:c r="K734" s="527" t="inlineStr">
        <x:is>
          <x:t xml:space="preserve">OKCountyRecords official index, Roger Mills County (instrument 1979-004021); searched 06/11/2026</x:t>
        </x:is>
      </x:c>
      <x:c r="L734" s="565" t="n"/>
      <x:c r="M734" s="565" t="n"/>
      <x:c r="N734" s="565" t="n"/>
      <x:c r="O734" s="565" t="n"/>
      <x:c r="P734" s="565" t="n"/>
      <x:c r="Q734" s="565" t="n"/>
      <x:c r="R734" s="565" t="n"/>
      <x:c r="S734" s="613" t="n"/>
      <x:c r="T734" s="565" t="n"/>
      <x:c r="U734" s="613" t="n"/>
      <x:c r="V734" s="565" t="n"/>
      <x:c r="W734" s="565" t="n"/>
      <x:c r="X734" s="565" t="n"/>
      <x:c r="Y734" s="565" t="n"/>
      <x:c r="Z734" s="565" t="n"/>
    </x:row>
    <x:row r="735">
      <x:c r="A735" s="527" t="inlineStr">
        <x:is>
          <x:t xml:space="preserve">1979-004050</x:t>
        </x:is>
      </x:c>
      <x:c r="B735" s="527" t="n"/>
      <x:c r="C735" s="527" t="inlineStr">
        <x:is>
          <x:t xml:space="preserve">Assignment</x:t>
        </x:is>
      </x:c>
      <x:c r="D735" s="527" t="inlineStr">
        <x:is>
          <x:t xml:space="preserve">0272/0124</x:t>
        </x:is>
      </x:c>
      <x:c r="E735" s="529" t="inlineStr">
        <x:is>
          <x:t xml:space="preserve">07/16/1979</x:t>
        </x:is>
      </x:c>
      <x:c r="F735" s="529" t="n">
        <x:v>29052</x:v>
      </x:c>
      <x:c r="G735" s="527" t="inlineStr">
        <x:is>
          <x:t xml:space="preserve">Natomas North America, Inc.</x:t>
        </x:is>
      </x:c>
      <x:c r="H735" s="527" t="inlineStr">
        <x:is>
          <x:t xml:space="preserve">Apache Corp</x:t>
        </x:is>
      </x:c>
      <x:c r="I735" s="527" t="inlineStr">
        <x:is>
          <x:t xml:space="preserve">31-12N-24W (AOL)</x:t>
        </x:is>
      </x:c>
      <x:c r="J735" s="527" t="inlineStr">
        <x:is>
          <x:t xml:space="preserve">Leasehold / WI</x:t>
        </x:is>
      </x:c>
      <x:c r="K735" s="527" t="inlineStr">
        <x:is>
          <x:t xml:space="preserve">OKCountyRecords official index, Roger Mills County (instrument 1979-004050); searched 06/11/2026</x:t>
        </x:is>
      </x:c>
      <x:c r="L735" s="565" t="n"/>
      <x:c r="M735" s="565" t="n"/>
      <x:c r="N735" s="565" t="n"/>
      <x:c r="O735" s="565" t="n"/>
      <x:c r="P735" s="565" t="n"/>
      <x:c r="Q735" s="565" t="n"/>
      <x:c r="R735" s="565" t="n"/>
      <x:c r="S735" s="613" t="n"/>
      <x:c r="T735" s="565" t="n"/>
      <x:c r="U735" s="613" t="n"/>
      <x:c r="V735" s="565" t="n"/>
      <x:c r="W735" s="565" t="n"/>
      <x:c r="X735" s="565" t="n"/>
      <x:c r="Y735" s="565" t="n"/>
      <x:c r="Z735" s="565" t="n"/>
    </x:row>
    <x:row r="736">
      <x:c r="A736" s="527" t="inlineStr">
        <x:is>
          <x:t xml:space="preserve">1979-004258</x:t>
        </x:is>
      </x:c>
      <x:c r="B736" s="527" t="n"/>
      <x:c r="C736" s="527" t="inlineStr">
        <x:is>
          <x:t xml:space="preserve">Deed</x:t>
        </x:is>
      </x:c>
      <x:c r="D736" s="527" t="inlineStr">
        <x:is>
          <x:t xml:space="preserve">0273/0010</x:t>
        </x:is>
      </x:c>
      <x:c r="E736" s="529" t="inlineStr">
        <x:is>
          <x:t xml:space="preserve">07/27/1979</x:t>
        </x:is>
      </x:c>
      <x:c r="F736" s="529" t="n">
        <x:v>29063</x:v>
      </x:c>
      <x:c r="G736" s="527" t="inlineStr">
        <x:is>
          <x:t xml:space="preserve">Rod Kirk</x:t>
        </x:is>
      </x:c>
      <x:c r="H736" s="527" t="inlineStr">
        <x:is>
          <x:t xml:space="preserve">Herman M. Sides,
Laury C. Sides</x:t>
        </x:is>
      </x:c>
      <x:c r="I736" s="527" t="inlineStr">
        <x:is>
          <x:t xml:space="preserve">31-12N-24W</x:t>
        </x:is>
      </x:c>
      <x:c r="J736" s="527" t="inlineStr">
        <x:is>
          <x:t xml:space="preserve">Fee / as stated</x:t>
        </x:is>
      </x:c>
      <x:c r="K736" s="527" t="inlineStr">
        <x:is>
          <x:t xml:space="preserve">OKCountyRecords official index, Roger Mills County (instrument 1979-004258); searched 06/11/2026</x:t>
        </x:is>
      </x:c>
      <x:c r="L736" s="565" t="n"/>
      <x:c r="M736" s="565" t="n"/>
      <x:c r="N736" s="565" t="n"/>
      <x:c r="O736" s="565" t="n"/>
      <x:c r="P736" s="565" t="n"/>
      <x:c r="Q736" s="565" t="n"/>
      <x:c r="R736" s="565" t="n"/>
      <x:c r="S736" s="613" t="n"/>
      <x:c r="T736" s="565" t="n"/>
      <x:c r="U736" s="613" t="n"/>
      <x:c r="V736" s="565" t="n"/>
      <x:c r="W736" s="565" t="n"/>
      <x:c r="X736" s="565" t="n"/>
      <x:c r="Y736" s="565" t="n"/>
      <x:c r="Z736" s="565" t="n"/>
    </x:row>
    <x:row r="737">
      <x:c r="A737" s="527" t="inlineStr">
        <x:is>
          <x:t xml:space="preserve">1979-004881</x:t>
        </x:is>
      </x:c>
      <x:c r="B737" s="527" t="n"/>
      <x:c r="C737" s="527" t="inlineStr">
        <x:is>
          <x:t xml:space="preserve">Mineral Deed</x:t>
        </x:is>
      </x:c>
      <x:c r="D737" s="527" t="inlineStr">
        <x:is>
          <x:t xml:space="preserve">0274/0566</x:t>
        </x:is>
      </x:c>
      <x:c r="E737" s="529" t="inlineStr">
        <x:is>
          <x:t xml:space="preserve">08/27/1979</x:t>
        </x:is>
      </x:c>
      <x:c r="F737" s="529" t="n">
        <x:v>29094</x:v>
      </x:c>
      <x:c r="G737" s="527" t="inlineStr">
        <x:is>
          <x:t xml:space="preserve">Juanita M. Wolff</x:t>
        </x:is>
      </x:c>
      <x:c r="H737" s="527" t="inlineStr">
        <x:is>
          <x:t xml:space="preserve">Alpine Oil &amp; Royalty Company Incorporated</x:t>
        </x:is>
      </x:c>
      <x:c r="I737" s="527" t="inlineStr">
        <x:is>
          <x:t xml:space="preserve">31-12N-24W (AOL)</x:t>
        </x:is>
      </x:c>
      <x:c r="J737" s="527" t="inlineStr">
        <x:is>
          <x:t xml:space="preserve">Mineral</x:t>
        </x:is>
      </x:c>
      <x:c r="K737" s="527" t="inlineStr">
        <x:is>
          <x:t xml:space="preserve">OKCountyRecords official index, Roger Mills County (instrument 1979-004881); searched 06/11/2026</x:t>
        </x:is>
      </x:c>
      <x:c r="L737" s="565" t="n"/>
      <x:c r="M737" s="565" t="n"/>
      <x:c r="N737" s="565" t="n"/>
      <x:c r="O737" s="565" t="n"/>
      <x:c r="P737" s="565" t="n"/>
      <x:c r="Q737" s="565" t="n"/>
      <x:c r="R737" s="565" t="n"/>
      <x:c r="S737" s="613" t="n"/>
      <x:c r="T737" s="565" t="n"/>
      <x:c r="U737" s="613" t="n"/>
      <x:c r="V737" s="565" t="n"/>
      <x:c r="W737" s="565" t="n"/>
      <x:c r="X737" s="565" t="n"/>
      <x:c r="Y737" s="565" t="n"/>
      <x:c r="Z737" s="565" t="n"/>
    </x:row>
    <x:row r="738">
      <x:c r="A738" s="527" t="inlineStr">
        <x:is>
          <x:t xml:space="preserve">1979-005006</x:t>
        </x:is>
      </x:c>
      <x:c r="B738" s="527" t="n"/>
      <x:c r="C738" s="527" t="inlineStr">
        <x:is>
          <x:t xml:space="preserve">Rental Division Order</x:t>
        </x:is>
      </x:c>
      <x:c r="D738" s="527" t="inlineStr">
        <x:is>
          <x:t xml:space="preserve">0275/0168</x:t>
        </x:is>
      </x:c>
      <x:c r="E738" s="529" t="inlineStr">
        <x:is>
          <x:t xml:space="preserve">09/04/1979</x:t>
        </x:is>
      </x:c>
      <x:c r="F738" s="529" t="n">
        <x:v>29102</x:v>
      </x:c>
      <x:c r="G738" s="527" t="inlineStr">
        <x:is>
          <x:t xml:space="preserve">L. E. Thurman</x:t>
        </x:is>
      </x:c>
      <x:c r="H738" s="527" t="inlineStr">
        <x:is>
          <x:t xml:space="preserve">Ghk Corporation</x:t>
        </x:is>
      </x:c>
      <x:c r="I738" s="527" t="inlineStr">
        <x:is>
          <x:t xml:space="preserve">31-12N-24W (AOL)</x:t>
        </x:is>
      </x:c>
      <x:c r="J738" s="527" t="inlineStr">
        <x:is>
          <x:t xml:space="preserve">Leasehold / WI</x:t>
        </x:is>
      </x:c>
      <x:c r="K738" s="527" t="inlineStr">
        <x:is>
          <x:t xml:space="preserve">OKCountyRecords official index, Roger Mills County (instrument 1979-005006); searched 06/11/2026</x:t>
        </x:is>
      </x:c>
      <x:c r="L738" s="565" t="n"/>
      <x:c r="M738" s="565" t="n"/>
      <x:c r="N738" s="565" t="n"/>
      <x:c r="O738" s="565" t="n"/>
      <x:c r="P738" s="565" t="n"/>
      <x:c r="Q738" s="565" t="n"/>
      <x:c r="R738" s="565" t="n"/>
      <x:c r="S738" s="613" t="n"/>
      <x:c r="T738" s="565" t="n"/>
      <x:c r="U738" s="613" t="n"/>
      <x:c r="V738" s="565" t="n"/>
      <x:c r="W738" s="565" t="n"/>
      <x:c r="X738" s="565" t="n"/>
      <x:c r="Y738" s="565" t="n"/>
      <x:c r="Z738" s="565" t="n"/>
    </x:row>
    <x:row r="739">
      <x:c r="A739" s="527" t="inlineStr">
        <x:is>
          <x:t xml:space="preserve">1979-005007</x:t>
        </x:is>
      </x:c>
      <x:c r="B739" s="527" t="n"/>
      <x:c r="C739" s="527" t="inlineStr">
        <x:is>
          <x:t xml:space="preserve">Rental Division Order</x:t>
        </x:is>
      </x:c>
      <x:c r="D739" s="527" t="inlineStr">
        <x:is>
          <x:t xml:space="preserve">0275/0170</x:t>
        </x:is>
      </x:c>
      <x:c r="E739" s="529" t="inlineStr">
        <x:is>
          <x:t xml:space="preserve">09/04/1979</x:t>
        </x:is>
      </x:c>
      <x:c r="F739" s="529" t="n">
        <x:v>29102</x:v>
      </x:c>
      <x:c r="G739" s="527" t="inlineStr">
        <x:is>
          <x:t xml:space="preserve">L. E. Thurman</x:t>
        </x:is>
      </x:c>
      <x:c r="H739" s="527" t="inlineStr">
        <x:is>
          <x:t xml:space="preserve">Ghk Corporation</x:t>
        </x:is>
      </x:c>
      <x:c r="I739" s="527" t="inlineStr">
        <x:is>
          <x:t xml:space="preserve">31-12N-24W (AOL)</x:t>
        </x:is>
      </x:c>
      <x:c r="J739" s="527" t="inlineStr">
        <x:is>
          <x:t xml:space="preserve">Leasehold / WI</x:t>
        </x:is>
      </x:c>
      <x:c r="K739" s="527" t="inlineStr">
        <x:is>
          <x:t xml:space="preserve">OKCountyRecords official index, Roger Mills County (instrument 1979-005007); searched 06/11/2026</x:t>
        </x:is>
      </x:c>
      <x:c r="L739" s="565" t="n"/>
      <x:c r="M739" s="565" t="n"/>
      <x:c r="N739" s="565" t="n"/>
      <x:c r="O739" s="565" t="n"/>
      <x:c r="P739" s="565" t="n"/>
      <x:c r="Q739" s="565" t="n"/>
      <x:c r="R739" s="565" t="n"/>
      <x:c r="S739" s="613" t="n"/>
      <x:c r="T739" s="565" t="n"/>
      <x:c r="U739" s="613" t="n"/>
      <x:c r="V739" s="565" t="n"/>
      <x:c r="W739" s="565" t="n"/>
      <x:c r="X739" s="565" t="n"/>
      <x:c r="Y739" s="565" t="n"/>
      <x:c r="Z739" s="565" t="n"/>
    </x:row>
    <x:row r="740">
      <x:c r="A740" s="527" t="inlineStr">
        <x:is>
          <x:t xml:space="preserve">1979-005655</x:t>
        </x:is>
      </x:c>
      <x:c r="B740" s="527" t="n"/>
      <x:c r="C740" s="527" t="inlineStr">
        <x:is>
          <x:t xml:space="preserve">Mineral Deed</x:t>
        </x:is>
      </x:c>
      <x:c r="D740" s="527" t="inlineStr">
        <x:is>
          <x:t xml:space="preserve">0277/0064</x:t>
        </x:is>
      </x:c>
      <x:c r="E740" s="529" t="inlineStr">
        <x:is>
          <x:t xml:space="preserve">10/04/1979</x:t>
        </x:is>
      </x:c>
      <x:c r="F740" s="529" t="n">
        <x:v>29126</x:v>
      </x:c>
      <x:c r="G740" s="527" t="inlineStr">
        <x:is>
          <x:t xml:space="preserve">Panhandle Cooperative Royalty Co</x:t>
        </x:is>
      </x:c>
      <x:c r="H740" s="527" t="inlineStr">
        <x:is>
          <x:t xml:space="preserve">Panhandle Royalty Co</x:t>
        </x:is>
      </x:c>
      <x:c r="I740" s="527" t="inlineStr">
        <x:is>
          <x:t xml:space="preserve">All of 31-12N-24W (AOL)</x:t>
        </x:is>
      </x:c>
      <x:c r="J740" s="527" t="inlineStr">
        <x:is>
          <x:t xml:space="preserve">Mineral</x:t>
        </x:is>
      </x:c>
      <x:c r="K740" s="527" t="inlineStr">
        <x:is>
          <x:t xml:space="preserve">OKCountyRecords official index, Roger Mills County (instrument 1979-005655); searched 06/11/2026</x:t>
        </x:is>
      </x:c>
      <x:c r="L740" s="565" t="n"/>
      <x:c r="M740" s="565" t="n"/>
      <x:c r="N740" s="565" t="n"/>
      <x:c r="O740" s="565" t="n"/>
      <x:c r="P740" s="565" t="n"/>
      <x:c r="Q740" s="565" t="n"/>
      <x:c r="R740" s="565" t="n"/>
      <x:c r="S740" s="613" t="n"/>
      <x:c r="T740" s="565" t="n"/>
      <x:c r="U740" s="613" t="n"/>
      <x:c r="V740" s="565" t="n"/>
      <x:c r="W740" s="565" t="n"/>
      <x:c r="X740" s="565" t="n"/>
      <x:c r="Y740" s="565" t="n"/>
      <x:c r="Z740" s="565" t="n"/>
    </x:row>
    <x:row r="741">
      <x:c r="A741" s="527" t="inlineStr">
        <x:is>
          <x:t xml:space="preserve">1979-006593</x:t>
        </x:is>
      </x:c>
      <x:c r="B741" s="527" t="n"/>
      <x:c r="C741" s="527" t="inlineStr">
        <x:is>
          <x:t xml:space="preserve">Agreement</x:t>
        </x:is>
      </x:c>
      <x:c r="D741" s="527" t="inlineStr">
        <x:is>
          <x:t xml:space="preserve">0280/0042</x:t>
        </x:is>
      </x:c>
      <x:c r="E741" s="529" t="inlineStr">
        <x:is>
          <x:t xml:space="preserve">11/13/1979</x:t>
        </x:is>
      </x:c>
      <x:c r="F741" s="529" t="n">
        <x:v>29172</x:v>
      </x:c>
      <x:c r="G741" s="527" t="inlineStr">
        <x:is>
          <x:t xml:space="preserve">Crystal F. Pallo</x:t>
        </x:is>
      </x:c>
      <x:c r="H741" s="527" t="inlineStr">
        <x:is>
          <x:t xml:space="preserve">W. C. Bain Jr.</x:t>
        </x:is>
      </x:c>
      <x:c r="I741" s="527" t="inlineStr">
        <x:is>
          <x:t xml:space="preserve">31-12N-24W</x:t>
        </x:is>
      </x:c>
      <x:c r="J741" s="527" t="inlineStr">
        <x:is>
          <x:t xml:space="preserve">See instrument</x:t>
        </x:is>
      </x:c>
      <x:c r="K741" s="527" t="inlineStr">
        <x:is>
          <x:t xml:space="preserve">OKCountyRecords official index, Roger Mills County (instrument 1979-006593); searched 06/11/2026</x:t>
        </x:is>
      </x:c>
      <x:c r="L741" s="565" t="n"/>
      <x:c r="M741" s="565" t="n"/>
      <x:c r="N741" s="565" t="n"/>
      <x:c r="O741" s="565" t="n"/>
      <x:c r="P741" s="565" t="n"/>
      <x:c r="Q741" s="565" t="n"/>
      <x:c r="R741" s="565" t="n"/>
      <x:c r="S741" s="613" t="n"/>
      <x:c r="T741" s="565" t="n"/>
      <x:c r="U741" s="613" t="n"/>
      <x:c r="V741" s="565" t="n"/>
      <x:c r="W741" s="565" t="n"/>
      <x:c r="X741" s="565" t="n"/>
      <x:c r="Y741" s="565" t="n"/>
      <x:c r="Z741" s="565" t="n"/>
    </x:row>
    <x:row r="742">
      <x:c r="A742" s="527" t="inlineStr">
        <x:is>
          <x:t xml:space="preserve">1979-006913</x:t>
        </x:is>
      </x:c>
      <x:c r="B742" s="527" t="n"/>
      <x:c r="C742" s="527" t="inlineStr">
        <x:is>
          <x:t xml:space="preserve">Assignment</x:t>
        </x:is>
      </x:c>
      <x:c r="D742" s="527" t="inlineStr">
        <x:is>
          <x:t xml:space="preserve">0281/0126</x:t>
        </x:is>
      </x:c>
      <x:c r="E742" s="529" t="inlineStr">
        <x:is>
          <x:t xml:space="preserve">11/30/1979</x:t>
        </x:is>
      </x:c>
      <x:c r="F742" s="529" t="n">
        <x:v>29189</x:v>
      </x:c>
      <x:c r="G742" s="527" t="inlineStr">
        <x:is>
          <x:t xml:space="preserve">Natomas North America, Inc.</x:t>
        </x:is>
      </x:c>
      <x:c r="H742" s="527" t="inlineStr">
        <x:is>
          <x:t xml:space="preserve">Apexco, Inc.</x:t>
        </x:is>
      </x:c>
      <x:c r="I742" s="527" t="inlineStr">
        <x:is>
          <x:t xml:space="preserve">31-12N-24W (AOL)</x:t>
        </x:is>
      </x:c>
      <x:c r="J742" s="527" t="inlineStr">
        <x:is>
          <x:t xml:space="preserve">Leasehold / WI</x:t>
        </x:is>
      </x:c>
      <x:c r="K742" s="527" t="inlineStr">
        <x:is>
          <x:t xml:space="preserve">OKCountyRecords official index, Roger Mills County (instrument 1979-006913); searched 06/11/2026</x:t>
        </x:is>
      </x:c>
      <x:c r="L742" s="565" t="n"/>
      <x:c r="M742" s="565" t="n"/>
      <x:c r="N742" s="565" t="n"/>
      <x:c r="O742" s="565" t="n"/>
      <x:c r="P742" s="565" t="n"/>
      <x:c r="Q742" s="565" t="n"/>
      <x:c r="R742" s="565" t="n"/>
      <x:c r="S742" s="613" t="n"/>
      <x:c r="T742" s="565" t="n"/>
      <x:c r="U742" s="613" t="n"/>
      <x:c r="V742" s="565" t="n"/>
      <x:c r="W742" s="565" t="n"/>
      <x:c r="X742" s="565" t="n"/>
      <x:c r="Y742" s="565" t="n"/>
      <x:c r="Z742" s="565" t="n"/>
    </x:row>
    <x:row r="743">
      <x:c r="A743" s="527" t="inlineStr">
        <x:is>
          <x:t xml:space="preserve">1980-002071</x:t>
        </x:is>
      </x:c>
      <x:c r="B743" s="527" t="n"/>
      <x:c r="C743" s="527" t="inlineStr">
        <x:is>
          <x:t xml:space="preserve">Oil and Gas Lease</x:t>
        </x:is>
      </x:c>
      <x:c r="D743" s="527" t="inlineStr">
        <x:is>
          <x:t xml:space="preserve">0290/0078</x:t>
        </x:is>
      </x:c>
      <x:c r="E743" s="529" t="inlineStr">
        <x:is>
          <x:t xml:space="preserve">03/19/1980</x:t>
        </x:is>
      </x:c>
      <x:c r="F743" s="529" t="n">
        <x:v>29299</x:v>
      </x:c>
      <x:c r="G743" s="527" t="inlineStr">
        <x:is>
          <x:t xml:space="preserve">Panhandle Royalty Company</x:t>
        </x:is>
      </x:c>
      <x:c r="H743" s="527" t="inlineStr">
        <x:is>
          <x:t xml:space="preserve">Sooner Energy Services, Inc.</x:t>
        </x:is>
      </x:c>
      <x:c r="I743" s="527" t="inlineStr">
        <x:is>
          <x:t xml:space="preserve">31-12N-24W</x:t>
        </x:is>
      </x:c>
      <x:c r="J743" s="527" t="inlineStr">
        <x:is>
          <x:t xml:space="preserve">Leasehold / WI</x:t>
        </x:is>
      </x:c>
      <x:c r="K743" s="527" t="inlineStr">
        <x:is>
          <x:t xml:space="preserve">OKCountyRecords official index, Roger Mills County (instrument 1980-002071); searched 06/11/2026</x:t>
        </x:is>
      </x:c>
      <x:c r="L743" s="565" t="n"/>
      <x:c r="M743" s="565" t="n"/>
      <x:c r="N743" s="565" t="n"/>
      <x:c r="O743" s="565" t="n"/>
      <x:c r="P743" s="565" t="n"/>
      <x:c r="Q743" s="565" t="n"/>
      <x:c r="R743" s="565" t="n"/>
      <x:c r="S743" s="613" t="n"/>
      <x:c r="T743" s="565" t="n"/>
      <x:c r="U743" s="613" t="n"/>
      <x:c r="V743" s="565" t="n"/>
      <x:c r="W743" s="565" t="n"/>
      <x:c r="X743" s="565" t="n"/>
      <x:c r="Y743" s="565" t="n"/>
      <x:c r="Z743" s="565" t="n"/>
    </x:row>
    <x:row r="744">
      <x:c r="A744" s="527" t="inlineStr">
        <x:is>
          <x:t xml:space="preserve">1980-002413</x:t>
        </x:is>
      </x:c>
      <x:c r="B744" s="527" t="n"/>
      <x:c r="C744" s="527" t="inlineStr">
        <x:is>
          <x:t xml:space="preserve">Assignment</x:t>
        </x:is>
      </x:c>
      <x:c r="D744" s="527" t="inlineStr">
        <x:is>
          <x:t xml:space="preserve">0291/0149</x:t>
        </x:is>
      </x:c>
      <x:c r="E744" s="529" t="inlineStr">
        <x:is>
          <x:t xml:space="preserve">04/01/1980</x:t>
        </x:is>
      </x:c>
      <x:c r="F744" s="529" t="n">
        <x:v>29312</x:v>
      </x:c>
      <x:c r="G744" s="527" t="inlineStr">
        <x:is>
          <x:t xml:space="preserve">Sooner Energy Services, Inc.</x:t>
        </x:is>
      </x:c>
      <x:c r="H744" s="527" t="inlineStr">
        <x:is>
          <x:t xml:space="preserve">Amarex, Inc.</x:t>
        </x:is>
      </x:c>
      <x:c r="I744" s="527" t="inlineStr">
        <x:is>
          <x:t xml:space="preserve">31-12N-24W</x:t>
        </x:is>
      </x:c>
      <x:c r="J744" s="527" t="inlineStr">
        <x:is>
          <x:t xml:space="preserve">Leasehold / WI</x:t>
        </x:is>
      </x:c>
      <x:c r="K744" s="527" t="inlineStr">
        <x:is>
          <x:t xml:space="preserve">OKCountyRecords official index, Roger Mills County (instrument 1980-002413); searched 06/11/2026</x:t>
        </x:is>
      </x:c>
      <x:c r="L744" s="565" t="n"/>
      <x:c r="M744" s="565" t="n"/>
      <x:c r="N744" s="565" t="n"/>
      <x:c r="O744" s="565" t="n"/>
      <x:c r="P744" s="565" t="n"/>
      <x:c r="Q744" s="565" t="n"/>
      <x:c r="R744" s="565" t="n"/>
      <x:c r="S744" s="613" t="n"/>
      <x:c r="T744" s="565" t="n"/>
      <x:c r="U744" s="613" t="n"/>
      <x:c r="V744" s="565" t="n"/>
      <x:c r="W744" s="565" t="n"/>
      <x:c r="X744" s="565" t="n"/>
      <x:c r="Y744" s="565" t="n"/>
      <x:c r="Z744" s="565" t="n"/>
    </x:row>
    <x:row r="745">
      <x:c r="A745" s="527" t="inlineStr">
        <x:is>
          <x:t xml:space="preserve">1980-004149</x:t>
        </x:is>
      </x:c>
      <x:c r="B745" s="527" t="n"/>
      <x:c r="C745" s="527" t="inlineStr">
        <x:is>
          <x:t xml:space="preserve">Release</x:t>
        </x:is>
      </x:c>
      <x:c r="D745" s="527" t="inlineStr">
        <x:is>
          <x:t xml:space="preserve">0296/0585</x:t>
        </x:is>
      </x:c>
      <x:c r="E745" s="529" t="inlineStr">
        <x:is>
          <x:t xml:space="preserve">05/28/1980</x:t>
        </x:is>
      </x:c>
      <x:c r="F745" s="529" t="n">
        <x:v>29369</x:v>
      </x:c>
      <x:c r="G745" s="527" t="inlineStr">
        <x:is>
          <x:t xml:space="preserve">Natomas North America, Inc.</x:t>
        </x:is>
      </x:c>
      <x:c r="H745" s="527" t="inlineStr">
        <x:is>
          <x:t xml:space="preserve">Flag-redfern Oil Company</x:t>
        </x:is>
      </x:c>
      <x:c r="I745" s="527" t="inlineStr">
        <x:is>
          <x:t xml:space="preserve">31-12N-24W</x:t>
        </x:is>
      </x:c>
      <x:c r="J745" s="527" t="inlineStr">
        <x:is>
          <x:t xml:space="preserve">Leasehold / WI</x:t>
        </x:is>
      </x:c>
      <x:c r="K745" s="527" t="inlineStr">
        <x:is>
          <x:t xml:space="preserve">OKCountyRecords official index, Roger Mills County (instrument 1980-004149); searched 06/11/2026</x:t>
        </x:is>
      </x:c>
      <x:c r="L745" s="565" t="n"/>
      <x:c r="M745" s="565" t="n"/>
      <x:c r="N745" s="565" t="n"/>
      <x:c r="O745" s="565" t="n"/>
      <x:c r="P745" s="565" t="n"/>
      <x:c r="Q745" s="565" t="n"/>
      <x:c r="R745" s="565" t="n"/>
      <x:c r="S745" s="613" t="n"/>
      <x:c r="T745" s="565" t="n"/>
      <x:c r="U745" s="613" t="n"/>
      <x:c r="V745" s="565" t="n"/>
      <x:c r="W745" s="565" t="n"/>
      <x:c r="X745" s="565" t="n"/>
      <x:c r="Y745" s="565" t="n"/>
      <x:c r="Z745" s="565" t="n"/>
    </x:row>
    <x:row r="746">
      <x:c r="A746" s="527" t="inlineStr">
        <x:is>
          <x:t xml:space="preserve">1980-004634</x:t>
        </x:is>
      </x:c>
      <x:c r="B746" s="527" t="n"/>
      <x:c r="C746" s="527" t="inlineStr">
        <x:is>
          <x:t xml:space="preserve">Assignment</x:t>
        </x:is>
      </x:c>
      <x:c r="D746" s="527" t="inlineStr">
        <x:is>
          <x:t xml:space="preserve">0298/0320</x:t>
        </x:is>
      </x:c>
      <x:c r="E746" s="529" t="inlineStr">
        <x:is>
          <x:t xml:space="preserve">06/16/1980</x:t>
        </x:is>
      </x:c>
      <x:c r="F746" s="529" t="n">
        <x:v>27964</x:v>
      </x:c>
      <x:c r="G746" s="527" t="inlineStr">
        <x:is>
          <x:t xml:space="preserve">Apexco, Inc.</x:t>
        </x:is>
      </x:c>
      <x:c r="H746" s="527" t="inlineStr">
        <x:is>
          <x:t xml:space="preserve">Bovaird Supply Co</x:t>
        </x:is>
      </x:c>
      <x:c r="I746" s="527" t="inlineStr">
        <x:is>
          <x:t xml:space="preserve">W/2 NW/4, Lots 1 of 31-12N-24W (AOL)</x:t>
        </x:is>
      </x:c>
      <x:c r="J746" s="527" t="inlineStr">
        <x:is>
          <x:t xml:space="preserve">Leasehold / WI</x:t>
        </x:is>
      </x:c>
      <x:c r="K746" s="527" t="inlineStr">
        <x:is>
          <x:t xml:space="preserve">OKCountyRecords official index, Roger Mills County (instrument 1980-004634); searched 06/11/2026</x:t>
        </x:is>
      </x:c>
      <x:c r="L746" s="565" t="n"/>
      <x:c r="M746" s="565" t="n"/>
      <x:c r="N746" s="565" t="n"/>
      <x:c r="O746" s="565" t="n"/>
      <x:c r="P746" s="565" t="n"/>
      <x:c r="Q746" s="565" t="n"/>
      <x:c r="R746" s="565" t="n"/>
      <x:c r="S746" s="613" t="n"/>
      <x:c r="T746" s="565" t="n"/>
      <x:c r="U746" s="613" t="n"/>
      <x:c r="V746" s="565" t="n"/>
      <x:c r="W746" s="565" t="n"/>
      <x:c r="X746" s="565" t="n"/>
      <x:c r="Y746" s="565" t="n"/>
      <x:c r="Z746" s="565" t="n"/>
    </x:row>
    <x:row r="747">
      <x:c r="A747" s="527" t="inlineStr">
        <x:is>
          <x:t xml:space="preserve">1980-006290</x:t>
        </x:is>
      </x:c>
      <x:c r="B747" s="527" t="n"/>
      <x:c r="C747" s="527" t="inlineStr">
        <x:is>
          <x:t xml:space="preserve">Deed</x:t>
        </x:is>
      </x:c>
      <x:c r="D747" s="527" t="inlineStr">
        <x:is>
          <x:t xml:space="preserve">0303/0363</x:t>
        </x:is>
      </x:c>
      <x:c r="E747" s="529" t="inlineStr">
        <x:is>
          <x:t xml:space="preserve">08/05/1980</x:t>
        </x:is>
      </x:c>
      <x:c r="F747" s="529" t="n">
        <x:v>29438</x:v>
      </x:c>
      <x:c r="G747" s="527" t="inlineStr">
        <x:is>
          <x:t xml:space="preserve">Rodney L. Kirk</x:t>
        </x:is>
      </x:c>
      <x:c r="H747" s="527" t="inlineStr">
        <x:is>
          <x:t xml:space="preserve">Freeda Kirk</x:t>
        </x:is>
      </x:c>
      <x:c r="I747" s="527" t="inlineStr">
        <x:is>
          <x:t xml:space="preserve">31-12N-24W</x:t>
        </x:is>
      </x:c>
      <x:c r="J747" s="527" t="inlineStr">
        <x:is>
          <x:t xml:space="preserve">Fee / as stated</x:t>
        </x:is>
      </x:c>
      <x:c r="K747" s="527" t="inlineStr">
        <x:is>
          <x:t xml:space="preserve">OKCountyRecords official index, Roger Mills County (instrument 1980-006290); searched 06/11/2026</x:t>
        </x:is>
      </x:c>
      <x:c r="L747" s="565" t="n"/>
      <x:c r="M747" s="565" t="n"/>
      <x:c r="N747" s="565" t="n"/>
      <x:c r="O747" s="565" t="n"/>
      <x:c r="P747" s="565" t="n"/>
      <x:c r="Q747" s="565" t="n"/>
      <x:c r="R747" s="565" t="n"/>
      <x:c r="S747" s="613" t="n"/>
      <x:c r="T747" s="565" t="n"/>
      <x:c r="U747" s="613" t="n"/>
      <x:c r="V747" s="565" t="n"/>
      <x:c r="W747" s="565" t="n"/>
      <x:c r="X747" s="565" t="n"/>
      <x:c r="Y747" s="565" t="n"/>
      <x:c r="Z747" s="565" t="n"/>
    </x:row>
    <x:row r="748">
      <x:c r="A748" s="527" t="inlineStr">
        <x:is>
          <x:t xml:space="preserve">1980-006291</x:t>
        </x:is>
      </x:c>
      <x:c r="B748" s="527" t="n"/>
      <x:c r="C748" s="527" t="inlineStr">
        <x:is>
          <x:t xml:space="preserve">Deed</x:t>
        </x:is>
      </x:c>
      <x:c r="D748" s="527" t="inlineStr">
        <x:is>
          <x:t xml:space="preserve">0303/0364</x:t>
        </x:is>
      </x:c>
      <x:c r="E748" s="529" t="inlineStr">
        <x:is>
          <x:t xml:space="preserve">08/05/1980</x:t>
        </x:is>
      </x:c>
      <x:c r="F748" s="529" t="n">
        <x:v>29438</x:v>
      </x:c>
      <x:c r="G748" s="527" t="inlineStr">
        <x:is>
          <x:t xml:space="preserve">Freeda Kirk</x:t>
        </x:is>
      </x:c>
      <x:c r="H748" s="527" t="inlineStr">
        <x:is>
          <x:t xml:space="preserve">Margie Kirk</x:t>
        </x:is>
      </x:c>
      <x:c r="I748" s="527" t="inlineStr">
        <x:is>
          <x:t xml:space="preserve">31-12N-24W</x:t>
        </x:is>
      </x:c>
      <x:c r="J748" s="527" t="inlineStr">
        <x:is>
          <x:t xml:space="preserve">Fee / as stated</x:t>
        </x:is>
      </x:c>
      <x:c r="K748" s="527" t="inlineStr">
        <x:is>
          <x:t xml:space="preserve">OKCountyRecords official index, Roger Mills County (instrument 1980-006291); searched 06/11/2026</x:t>
        </x:is>
      </x:c>
      <x:c r="L748" s="565" t="n"/>
      <x:c r="M748" s="565" t="n"/>
      <x:c r="N748" s="565" t="n"/>
      <x:c r="O748" s="565" t="n"/>
      <x:c r="P748" s="565" t="n"/>
      <x:c r="Q748" s="565" t="n"/>
      <x:c r="R748" s="565" t="n"/>
      <x:c r="S748" s="613" t="n"/>
      <x:c r="T748" s="565" t="n"/>
      <x:c r="U748" s="613" t="n"/>
      <x:c r="V748" s="565" t="n"/>
      <x:c r="W748" s="565" t="n"/>
      <x:c r="X748" s="565" t="n"/>
      <x:c r="Y748" s="565" t="n"/>
      <x:c r="Z748" s="565" t="n"/>
    </x:row>
    <x:row r="749">
      <x:c r="A749" s="527" t="inlineStr">
        <x:is>
          <x:t xml:space="preserve">1980-006466</x:t>
        </x:is>
      </x:c>
      <x:c r="B749" s="527" t="n"/>
      <x:c r="C749" s="527" t="inlineStr">
        <x:is>
          <x:t xml:space="preserve">Assignment</x:t>
        </x:is>
      </x:c>
      <x:c r="D749" s="527" t="inlineStr">
        <x:is>
          <x:t xml:space="preserve">0304/0035</x:t>
        </x:is>
      </x:c>
      <x:c r="E749" s="529" t="inlineStr">
        <x:is>
          <x:t xml:space="preserve">08/11/1980</x:t>
        </x:is>
      </x:c>
      <x:c r="F749" s="529" t="n">
        <x:v>29444</x:v>
      </x:c>
      <x:c r="G749" s="527" t="inlineStr">
        <x:is>
          <x:t xml:space="preserve">Natomas North America, Inc.</x:t>
        </x:is>
      </x:c>
      <x:c r="H749" s="527" t="inlineStr">
        <x:is>
          <x:t xml:space="preserve">Apexco, Inc.</x:t>
        </x:is>
      </x:c>
      <x:c r="I749" s="527" t="inlineStr">
        <x:is>
          <x:t xml:space="preserve">31-12N-24W (AOL)</x:t>
        </x:is>
      </x:c>
      <x:c r="J749" s="527" t="inlineStr">
        <x:is>
          <x:t xml:space="preserve">Leasehold / WI</x:t>
        </x:is>
      </x:c>
      <x:c r="K749" s="527" t="inlineStr">
        <x:is>
          <x:t xml:space="preserve">OKCountyRecords official index, Roger Mills County (instrument 1980-006466); searched 06/11/2026</x:t>
        </x:is>
      </x:c>
      <x:c r="L749" s="565" t="n"/>
      <x:c r="M749" s="565" t="n"/>
      <x:c r="N749" s="565" t="n"/>
      <x:c r="O749" s="565" t="n"/>
      <x:c r="P749" s="565" t="n"/>
      <x:c r="Q749" s="565" t="n"/>
      <x:c r="R749" s="565" t="n"/>
      <x:c r="S749" s="613" t="n"/>
      <x:c r="T749" s="565" t="n"/>
      <x:c r="U749" s="613" t="n"/>
      <x:c r="V749" s="565" t="n"/>
      <x:c r="W749" s="565" t="n"/>
      <x:c r="X749" s="565" t="n"/>
      <x:c r="Y749" s="565" t="n"/>
      <x:c r="Z749" s="565" t="n"/>
    </x:row>
    <x:row r="750">
      <x:c r="A750" s="527" t="inlineStr">
        <x:is>
          <x:t xml:space="preserve">1981-003167</x:t>
        </x:is>
      </x:c>
      <x:c r="B750" s="527" t="n"/>
      <x:c r="C750" s="527" t="inlineStr">
        <x:is>
          <x:t xml:space="preserve">Oil and Gas Lease</x:t>
        </x:is>
      </x:c>
      <x:c r="D750" s="527" t="inlineStr">
        <x:is>
          <x:t xml:space="preserve">0331/0011</x:t>
        </x:is>
      </x:c>
      <x:c r="E750" s="529" t="inlineStr">
        <x:is>
          <x:t xml:space="preserve">03/24/1981</x:t>
        </x:is>
      </x:c>
      <x:c r="F750" s="529" t="n">
        <x:v>29669</x:v>
      </x:c>
      <x:c r="G750" s="527" t="inlineStr">
        <x:is>
          <x:t xml:space="preserve">A. C. Campbell,
Fern Campbell</x:t>
        </x:is>
      </x:c>
      <x:c r="H750" s="527" t="inlineStr">
        <x:is>
          <x:t xml:space="preserve">Moore Stansberry, Inc.</x:t>
        </x:is>
      </x:c>
      <x:c r="I750" s="527" t="inlineStr">
        <x:is>
          <x:t xml:space="preserve">31-12N-24W (AOL)</x:t>
        </x:is>
      </x:c>
      <x:c r="J750" s="527" t="inlineStr">
        <x:is>
          <x:t xml:space="preserve">Leasehold / WI</x:t>
        </x:is>
      </x:c>
      <x:c r="K750" s="527" t="inlineStr">
        <x:is>
          <x:t xml:space="preserve">OKCountyRecords official index, Roger Mills County (instrument 1981-003167); searched 06/11/2026</x:t>
        </x:is>
      </x:c>
      <x:c r="L750" s="565" t="n"/>
      <x:c r="M750" s="565" t="n"/>
      <x:c r="N750" s="565" t="n"/>
      <x:c r="O750" s="565" t="n"/>
      <x:c r="P750" s="565" t="n"/>
      <x:c r="Q750" s="565" t="n"/>
      <x:c r="R750" s="565" t="n"/>
      <x:c r="S750" s="613" t="n"/>
      <x:c r="T750" s="565" t="n"/>
      <x:c r="U750" s="613" t="n"/>
      <x:c r="V750" s="565" t="n"/>
      <x:c r="W750" s="565" t="n"/>
      <x:c r="X750" s="565" t="n"/>
      <x:c r="Y750" s="565" t="n"/>
      <x:c r="Z750" s="565" t="n"/>
    </x:row>
    <x:row r="751">
      <x:c r="A751" s="527" t="inlineStr">
        <x:is>
          <x:t xml:space="preserve">1981-003445</x:t>
        </x:is>
      </x:c>
      <x:c r="B751" s="527" t="n"/>
      <x:c r="C751" s="527" t="inlineStr">
        <x:is>
          <x:t xml:space="preserve">Deed</x:t>
        </x:is>
      </x:c>
      <x:c r="D751" s="527" t="inlineStr">
        <x:is>
          <x:t xml:space="preserve">0332/0238</x:t>
        </x:is>
      </x:c>
      <x:c r="E751" s="529" t="inlineStr">
        <x:is>
          <x:t xml:space="preserve">03/30/1981</x:t>
        </x:is>
      </x:c>
      <x:c r="F751" s="529" t="n">
        <x:v>29675</x:v>
      </x:c>
      <x:c r="G751" s="527" t="inlineStr">
        <x:is>
          <x:t xml:space="preserve">L. E. Thurman</x:t>
        </x:is>
      </x:c>
      <x:c r="H751" s="527" t="inlineStr">
        <x:is>
          <x:t xml:space="preserve">Moore-stansberry, Inc.</x:t>
        </x:is>
      </x:c>
      <x:c r="I751" s="527" t="inlineStr">
        <x:is>
          <x:t xml:space="preserve">31-12N-24W</x:t>
        </x:is>
      </x:c>
      <x:c r="J751" s="527" t="inlineStr">
        <x:is>
          <x:t xml:space="preserve">Fee / as stated</x:t>
        </x:is>
      </x:c>
      <x:c r="K751" s="527" t="inlineStr">
        <x:is>
          <x:t xml:space="preserve">OKCountyRecords official index, Roger Mills County (instrument 1981-003445); searched 06/11/2026</x:t>
        </x:is>
      </x:c>
      <x:c r="L751" s="565" t="n"/>
      <x:c r="M751" s="565" t="n"/>
      <x:c r="N751" s="565" t="n"/>
      <x:c r="O751" s="565" t="n"/>
      <x:c r="P751" s="565" t="n"/>
      <x:c r="Q751" s="565" t="n"/>
      <x:c r="R751" s="565" t="n"/>
      <x:c r="S751" s="613" t="n"/>
      <x:c r="T751" s="565" t="n"/>
      <x:c r="U751" s="613" t="n"/>
      <x:c r="V751" s="565" t="n"/>
      <x:c r="W751" s="565" t="n"/>
      <x:c r="X751" s="565" t="n"/>
      <x:c r="Y751" s="565" t="n"/>
      <x:c r="Z751" s="565" t="n"/>
    </x:row>
    <x:row r="752">
      <x:c r="A752" s="527" t="inlineStr">
        <x:is>
          <x:t xml:space="preserve">1981-005180</x:t>
        </x:is>
      </x:c>
      <x:c r="B752" s="527" t="n"/>
      <x:c r="C752" s="527" t="inlineStr">
        <x:is>
          <x:t xml:space="preserve">Deed</x:t>
        </x:is>
      </x:c>
      <x:c r="D752" s="527" t="inlineStr">
        <x:is>
          <x:t xml:space="preserve">0341/0154</x:t>
        </x:is>
      </x:c>
      <x:c r="E752" s="529" t="inlineStr">
        <x:is>
          <x:t xml:space="preserve">05/08/1981</x:t>
        </x:is>
      </x:c>
      <x:c r="F752" s="529" t="n">
        <x:v>29714</x:v>
      </x:c>
      <x:c r="G752" s="527" t="inlineStr">
        <x:is>
          <x:t xml:space="preserve">Glenn D. Mitchel,
Hazel P. Mitchel</x:t>
        </x:is>
      </x:c>
      <x:c r="H752" s="527" t="inlineStr">
        <x:is>
          <x:t xml:space="preserve">Nolan E. Britton, Inc.</x:t>
        </x:is>
      </x:c>
      <x:c r="I752" s="527" t="inlineStr">
        <x:is>
          <x:t xml:space="preserve">31-12N-24W (AOL)</x:t>
        </x:is>
      </x:c>
      <x:c r="J752" s="527" t="inlineStr">
        <x:is>
          <x:t xml:space="preserve">Fee / as stated</x:t>
        </x:is>
      </x:c>
      <x:c r="K752" s="527" t="inlineStr">
        <x:is>
          <x:t xml:space="preserve">OKCountyRecords official index, Roger Mills County (instrument 1981-005180); searched 06/11/2026</x:t>
        </x:is>
      </x:c>
      <x:c r="L752" s="565" t="n"/>
      <x:c r="M752" s="565" t="n"/>
      <x:c r="N752" s="565" t="n"/>
      <x:c r="O752" s="565" t="n"/>
      <x:c r="P752" s="565" t="n"/>
      <x:c r="Q752" s="565" t="n"/>
      <x:c r="R752" s="565" t="n"/>
      <x:c r="S752" s="613" t="n"/>
      <x:c r="T752" s="565" t="n"/>
      <x:c r="U752" s="613" t="n"/>
      <x:c r="V752" s="565" t="n"/>
      <x:c r="W752" s="565" t="n"/>
      <x:c r="X752" s="565" t="n"/>
      <x:c r="Y752" s="565" t="n"/>
      <x:c r="Z752" s="565" t="n"/>
    </x:row>
    <x:row r="753">
      <x:c r="A753" s="527" t="inlineStr">
        <x:is>
          <x:t xml:space="preserve">1981-005181</x:t>
        </x:is>
      </x:c>
      <x:c r="B753" s="527" t="n"/>
      <x:c r="C753" s="527" t="inlineStr">
        <x:is>
          <x:t xml:space="preserve">Deed</x:t>
        </x:is>
      </x:c>
      <x:c r="D753" s="527" t="inlineStr">
        <x:is>
          <x:t xml:space="preserve">0341/0155</x:t>
        </x:is>
      </x:c>
      <x:c r="E753" s="529" t="inlineStr">
        <x:is>
          <x:t xml:space="preserve">05/08/1981</x:t>
        </x:is>
      </x:c>
      <x:c r="F753" s="529" t="n">
        <x:v>29714</x:v>
      </x:c>
      <x:c r="G753" s="527" t="inlineStr">
        <x:is>
          <x:t xml:space="preserve">Nolan E. Britton, Inc.</x:t>
        </x:is>
      </x:c>
      <x:c r="H753" s="527" t="inlineStr">
        <x:is>
          <x:t xml:space="preserve">Chinook Resources, Inc.</x:t>
        </x:is>
      </x:c>
      <x:c r="I753" s="527" t="inlineStr">
        <x:is>
          <x:t xml:space="preserve">31-12N-24W (AOL)</x:t>
        </x:is>
      </x:c>
      <x:c r="J753" s="527" t="inlineStr">
        <x:is>
          <x:t xml:space="preserve">Fee / as stated</x:t>
        </x:is>
      </x:c>
      <x:c r="K753" s="527" t="inlineStr">
        <x:is>
          <x:t xml:space="preserve">OKCountyRecords official index, Roger Mills County (instrument 1981-005181); searched 06/11/2026</x:t>
        </x:is>
      </x:c>
      <x:c r="L753" s="565" t="n"/>
      <x:c r="M753" s="565" t="n"/>
      <x:c r="N753" s="565" t="n"/>
      <x:c r="O753" s="565" t="n"/>
      <x:c r="P753" s="565" t="n"/>
      <x:c r="Q753" s="565" t="n"/>
      <x:c r="R753" s="565" t="n"/>
      <x:c r="S753" s="613" t="n"/>
      <x:c r="T753" s="565" t="n"/>
      <x:c r="U753" s="613" t="n"/>
      <x:c r="V753" s="565" t="n"/>
      <x:c r="W753" s="565" t="n"/>
      <x:c r="X753" s="565" t="n"/>
      <x:c r="Y753" s="565" t="n"/>
      <x:c r="Z753" s="565" t="n"/>
    </x:row>
    <x:row r="754">
      <x:c r="A754" s="527" t="inlineStr">
        <x:is>
          <x:t xml:space="preserve">1981-007481</x:t>
        </x:is>
      </x:c>
      <x:c r="B754" s="527" t="n"/>
      <x:c r="C754" s="527" t="inlineStr">
        <x:is>
          <x:t xml:space="preserve">Deed</x:t>
        </x:is>
      </x:c>
      <x:c r="D754" s="527" t="inlineStr">
        <x:is>
          <x:t xml:space="preserve">0355/0341</x:t>
        </x:is>
      </x:c>
      <x:c r="E754" s="529" t="inlineStr">
        <x:is>
          <x:t xml:space="preserve">06/30/1981</x:t>
        </x:is>
      </x:c>
      <x:c r="F754" s="529" t="n">
        <x:v>29767</x:v>
      </x:c>
      <x:c r="G754" s="527" t="inlineStr">
        <x:is>
          <x:t xml:space="preserve">Moore-stansberry, Inc.</x:t>
        </x:is>
      </x:c>
      <x:c r="H754" s="527" t="inlineStr">
        <x:is>
          <x:t xml:space="preserve">Leede Exploration</x:t>
        </x:is>
      </x:c>
      <x:c r="I754" s="527" t="inlineStr">
        <x:is>
          <x:t xml:space="preserve">31-12N-24W</x:t>
        </x:is>
      </x:c>
      <x:c r="J754" s="527" t="inlineStr">
        <x:is>
          <x:t xml:space="preserve">Fee / as stated</x:t>
        </x:is>
      </x:c>
      <x:c r="K754" s="527" t="inlineStr">
        <x:is>
          <x:t xml:space="preserve">OKCountyRecords official index, Roger Mills County (instrument 1981-007481); searched 06/11/2026</x:t>
        </x:is>
      </x:c>
      <x:c r="L754" s="565" t="n"/>
      <x:c r="M754" s="565" t="n"/>
      <x:c r="N754" s="565" t="n"/>
      <x:c r="O754" s="565" t="n"/>
      <x:c r="P754" s="565" t="n"/>
      <x:c r="Q754" s="565" t="n"/>
      <x:c r="R754" s="565" t="n"/>
      <x:c r="S754" s="613" t="n"/>
      <x:c r="T754" s="565" t="n"/>
      <x:c r="U754" s="613" t="n"/>
      <x:c r="V754" s="565" t="n"/>
      <x:c r="W754" s="565" t="n"/>
      <x:c r="X754" s="565" t="n"/>
      <x:c r="Y754" s="565" t="n"/>
      <x:c r="Z754" s="565" t="n"/>
    </x:row>
    <x:row r="755">
      <x:c r="A755" s="527" t="inlineStr">
        <x:is>
          <x:t xml:space="preserve">1981-009501</x:t>
        </x:is>
      </x:c>
      <x:c r="B755" s="527" t="n"/>
      <x:c r="C755" s="527" t="inlineStr">
        <x:is>
          <x:t xml:space="preserve">Deed</x:t>
        </x:is>
      </x:c>
      <x:c r="D755" s="527" t="inlineStr">
        <x:is>
          <x:t xml:space="preserve">0368/0272</x:t>
        </x:is>
      </x:c>
      <x:c r="E755" s="529" t="inlineStr">
        <x:is>
          <x:t xml:space="preserve">08/14/1981</x:t>
        </x:is>
      </x:c>
      <x:c r="F755" s="529" t="n">
        <x:v>29812</x:v>
      </x:c>
      <x:c r="G755" s="527" t="inlineStr">
        <x:is>
          <x:t xml:space="preserve">Moore-stansberry, Inc.</x:t>
        </x:is>
      </x:c>
      <x:c r="H755" s="527" t="inlineStr">
        <x:is>
          <x:t xml:space="preserve">Brent L. Schooley</x:t>
        </x:is>
      </x:c>
      <x:c r="I755" s="527" t="inlineStr">
        <x:is>
          <x:t xml:space="preserve">31-12N-24W</x:t>
        </x:is>
      </x:c>
      <x:c r="J755" s="527" t="inlineStr">
        <x:is>
          <x:t xml:space="preserve">Fee / as stated</x:t>
        </x:is>
      </x:c>
      <x:c r="K755" s="527" t="inlineStr">
        <x:is>
          <x:t xml:space="preserve">OKCountyRecords official index, Roger Mills County (instrument 1981-009501); searched 06/11/2026</x:t>
        </x:is>
      </x:c>
      <x:c r="L755" s="565" t="n"/>
      <x:c r="M755" s="565" t="n"/>
      <x:c r="N755" s="565" t="n"/>
      <x:c r="O755" s="565" t="n"/>
      <x:c r="P755" s="565" t="n"/>
      <x:c r="Q755" s="565" t="n"/>
      <x:c r="R755" s="565" t="n"/>
      <x:c r="S755" s="613" t="n"/>
      <x:c r="T755" s="565" t="n"/>
      <x:c r="U755" s="613" t="n"/>
      <x:c r="V755" s="565" t="n"/>
      <x:c r="W755" s="565" t="n"/>
      <x:c r="X755" s="565" t="n"/>
      <x:c r="Y755" s="565" t="n"/>
      <x:c r="Z755" s="565" t="n"/>
    </x:row>
    <x:row r="756">
      <x:c r="A756" s="527" t="inlineStr">
        <x:is>
          <x:t xml:space="preserve">1981-011348</x:t>
        </x:is>
      </x:c>
      <x:c r="B756" s="527" t="n"/>
      <x:c r="C756" s="527" t="inlineStr">
        <x:is>
          <x:t xml:space="preserve">Assignment</x:t>
        </x:is>
      </x:c>
      <x:c r="D756" s="527" t="inlineStr">
        <x:is>
          <x:t xml:space="preserve">0380/0104</x:t>
        </x:is>
      </x:c>
      <x:c r="E756" s="529" t="inlineStr">
        <x:is>
          <x:t xml:space="preserve">09/28/1981</x:t>
        </x:is>
      </x:c>
      <x:c r="F756" s="529" t="n">
        <x:v>29857</x:v>
      </x:c>
      <x:c r="G756" s="527" t="inlineStr">
        <x:is>
          <x:t xml:space="preserve">Moore Stansberry, Inc.</x:t>
        </x:is>
      </x:c>
      <x:c r="H756" s="527" t="inlineStr">
        <x:is>
          <x:t xml:space="preserve">Leede Exploration</x:t>
        </x:is>
      </x:c>
      <x:c r="I756" s="527" t="inlineStr">
        <x:is>
          <x:t xml:space="preserve">31-12N-24W</x:t>
        </x:is>
      </x:c>
      <x:c r="J756" s="527" t="inlineStr">
        <x:is>
          <x:t xml:space="preserve">Leasehold / WI</x:t>
        </x:is>
      </x:c>
      <x:c r="K756" s="527" t="inlineStr">
        <x:is>
          <x:t xml:space="preserve">OKCountyRecords official index, Roger Mills County (instrument 1981-011348); searched 06/11/2026</x:t>
        </x:is>
      </x:c>
      <x:c r="L756" s="565" t="n"/>
      <x:c r="M756" s="565" t="n"/>
      <x:c r="N756" s="565" t="n"/>
      <x:c r="O756" s="565" t="n"/>
      <x:c r="P756" s="565" t="n"/>
      <x:c r="Q756" s="565" t="n"/>
      <x:c r="R756" s="565" t="n"/>
      <x:c r="S756" s="613" t="n"/>
      <x:c r="T756" s="565" t="n"/>
      <x:c r="U756" s="613" t="n"/>
      <x:c r="V756" s="565" t="n"/>
      <x:c r="W756" s="565" t="n"/>
      <x:c r="X756" s="565" t="n"/>
      <x:c r="Y756" s="565" t="n"/>
      <x:c r="Z756" s="565" t="n"/>
    </x:row>
    <x:row r="757">
      <x:c r="A757" s="527" t="inlineStr">
        <x:is>
          <x:t xml:space="preserve">1981-011365</x:t>
        </x:is>
      </x:c>
      <x:c r="B757" s="527" t="n"/>
      <x:c r="C757" s="527" t="inlineStr">
        <x:is>
          <x:t xml:space="preserve">Assignment</x:t>
        </x:is>
      </x:c>
      <x:c r="D757" s="527" t="inlineStr">
        <x:is>
          <x:t xml:space="preserve">0380/0121</x:t>
        </x:is>
      </x:c>
      <x:c r="E757" s="529" t="inlineStr">
        <x:is>
          <x:t xml:space="preserve">09/28/1981</x:t>
        </x:is>
      </x:c>
      <x:c r="F757" s="529" t="n">
        <x:v>29857</x:v>
      </x:c>
      <x:c r="G757" s="527" t="inlineStr">
        <x:is>
          <x:t xml:space="preserve">Moore Stansberry, Inc.</x:t>
        </x:is>
      </x:c>
      <x:c r="H757" s="527" t="inlineStr">
        <x:is>
          <x:t xml:space="preserve">Brent L. Schooley</x:t>
        </x:is>
      </x:c>
      <x:c r="I757" s="527" t="inlineStr">
        <x:is>
          <x:t xml:space="preserve">31-12N-24W</x:t>
        </x:is>
      </x:c>
      <x:c r="J757" s="527" t="inlineStr">
        <x:is>
          <x:t xml:space="preserve">Leasehold / WI</x:t>
        </x:is>
      </x:c>
      <x:c r="K757" s="527" t="inlineStr">
        <x:is>
          <x:t xml:space="preserve">OKCountyRecords official index, Roger Mills County (instrument 1981-011365); searched 06/11/2026</x:t>
        </x:is>
      </x:c>
      <x:c r="L757" s="565" t="n"/>
      <x:c r="M757" s="565" t="n"/>
      <x:c r="N757" s="565" t="n"/>
      <x:c r="O757" s="565" t="n"/>
      <x:c r="P757" s="565" t="n"/>
      <x:c r="Q757" s="565" t="n"/>
      <x:c r="R757" s="565" t="n"/>
      <x:c r="S757" s="613" t="n"/>
      <x:c r="T757" s="565" t="n"/>
      <x:c r="U757" s="613" t="n"/>
      <x:c r="V757" s="565" t="n"/>
      <x:c r="W757" s="565" t="n"/>
      <x:c r="X757" s="565" t="n"/>
      <x:c r="Y757" s="565" t="n"/>
      <x:c r="Z757" s="565" t="n"/>
    </x:row>
    <x:row r="758">
      <x:c r="A758" s="527" t="inlineStr">
        <x:is>
          <x:t xml:space="preserve">1981-011564</x:t>
        </x:is>
      </x:c>
      <x:c r="B758" s="527" t="n"/>
      <x:c r="C758" s="527" t="inlineStr">
        <x:is>
          <x:t xml:space="preserve">Oil and Gas Lease</x:t>
        </x:is>
      </x:c>
      <x:c r="D758" s="527" t="inlineStr">
        <x:is>
          <x:t xml:space="preserve">0381/0171</x:t>
        </x:is>
      </x:c>
      <x:c r="E758" s="529" t="inlineStr">
        <x:is>
          <x:t xml:space="preserve">10/02/1981</x:t>
        </x:is>
      </x:c>
      <x:c r="F758" s="529" t="n">
        <x:v>29861</x:v>
      </x:c>
      <x:c r="G758" s="527" t="inlineStr">
        <x:is>
          <x:t xml:space="preserve">Margie Ann Kirk</x:t>
        </x:is>
      </x:c>
      <x:c r="H758" s="527" t="inlineStr">
        <x:is>
          <x:t xml:space="preserve">Exxon Corporation</x:t>
        </x:is>
      </x:c>
      <x:c r="I758" s="527" t="inlineStr">
        <x:is>
          <x:t xml:space="preserve">31-12N-24W</x:t>
        </x:is>
      </x:c>
      <x:c r="J758" s="527" t="inlineStr">
        <x:is>
          <x:t xml:space="preserve">Leasehold / WI</x:t>
        </x:is>
      </x:c>
      <x:c r="K758" s="527" t="inlineStr">
        <x:is>
          <x:t xml:space="preserve">OKCountyRecords official index, Roger Mills County (instrument 1981-011564); searched 06/11/2026</x:t>
        </x:is>
      </x:c>
      <x:c r="L758" s="565" t="n"/>
      <x:c r="M758" s="565" t="n"/>
      <x:c r="N758" s="565" t="n"/>
      <x:c r="O758" s="565" t="n"/>
      <x:c r="P758" s="565" t="n"/>
      <x:c r="Q758" s="565" t="n"/>
      <x:c r="R758" s="565" t="n"/>
      <x:c r="S758" s="613" t="n"/>
      <x:c r="T758" s="565" t="n"/>
      <x:c r="U758" s="613" t="n"/>
      <x:c r="V758" s="565" t="n"/>
      <x:c r="W758" s="565" t="n"/>
      <x:c r="X758" s="565" t="n"/>
      <x:c r="Y758" s="565" t="n"/>
      <x:c r="Z758" s="565" t="n"/>
    </x:row>
    <x:row r="759">
      <x:c r="A759" s="527" t="inlineStr">
        <x:is>
          <x:t xml:space="preserve">1981-011846</x:t>
        </x:is>
      </x:c>
      <x:c r="B759" s="527" t="n"/>
      <x:c r="C759" s="527" t="inlineStr">
        <x:is>
          <x:t xml:space="preserve">Assignment</x:t>
        </x:is>
      </x:c>
      <x:c r="D759" s="527" t="inlineStr">
        <x:is>
          <x:t xml:space="preserve">0383/0001</x:t>
        </x:is>
      </x:c>
      <x:c r="E759" s="529" t="inlineStr">
        <x:is>
          <x:t xml:space="preserve">10/08/1981</x:t>
        </x:is>
      </x:c>
      <x:c r="F759" s="529" t="n">
        <x:v>29844</x:v>
      </x:c>
      <x:c r="G759" s="527" t="inlineStr">
        <x:is>
          <x:t xml:space="preserve">El Paso Natural Gas Co</x:t>
        </x:is>
      </x:c>
      <x:c r="H759" s="527" t="inlineStr">
        <x:is>
          <x:t xml:space="preserve">El Paso Exploration Co</x:t>
        </x:is>
      </x:c>
      <x:c r="I759" s="527" t="inlineStr">
        <x:is>
          <x:t xml:space="preserve">All of 31-12N-24W (AOL)</x:t>
        </x:is>
      </x:c>
      <x:c r="J759" s="527" t="inlineStr">
        <x:is>
          <x:t xml:space="preserve">Leasehold / WI</x:t>
        </x:is>
      </x:c>
      <x:c r="K759" s="527" t="inlineStr">
        <x:is>
          <x:t xml:space="preserve">OKCountyRecords official index, Roger Mills County (instrument 1981-011846); searched 06/11/2026</x:t>
        </x:is>
      </x:c>
      <x:c r="L759" s="565" t="n"/>
      <x:c r="M759" s="565" t="n"/>
      <x:c r="N759" s="565" t="n"/>
      <x:c r="O759" s="565" t="n"/>
      <x:c r="P759" s="565" t="n"/>
      <x:c r="Q759" s="565" t="n"/>
      <x:c r="R759" s="565" t="n"/>
      <x:c r="S759" s="613" t="n"/>
      <x:c r="T759" s="565" t="n"/>
      <x:c r="U759" s="613" t="n"/>
      <x:c r="V759" s="565" t="n"/>
      <x:c r="W759" s="565" t="n"/>
      <x:c r="X759" s="565" t="n"/>
      <x:c r="Y759" s="565" t="n"/>
      <x:c r="Z759" s="565" t="n"/>
    </x:row>
    <x:row r="760">
      <x:c r="A760" s="527" t="inlineStr">
        <x:is>
          <x:t xml:space="preserve">1981-013847</x:t>
        </x:is>
      </x:c>
      <x:c r="B760" s="527" t="n"/>
      <x:c r="C760" s="527" t="inlineStr">
        <x:is>
          <x:t xml:space="preserve">Oil and Gas Lease</x:t>
        </x:is>
      </x:c>
      <x:c r="D760" s="527" t="inlineStr">
        <x:is>
          <x:t xml:space="preserve">0398/0176</x:t>
        </x:is>
      </x:c>
      <x:c r="E760" s="529" t="inlineStr">
        <x:is>
          <x:t xml:space="preserve">11/25/1981</x:t>
        </x:is>
      </x:c>
      <x:c r="F760" s="529" t="n">
        <x:v>29915</x:v>
      </x:c>
      <x:c r="G760" s="527" t="inlineStr">
        <x:is>
          <x:t xml:space="preserve">Ella Pearl Kirk,
Gordon E. Kirk</x:t>
        </x:is>
      </x:c>
      <x:c r="H760" s="527" t="inlineStr">
        <x:is>
          <x:t xml:space="preserve">Universal Resources Corporation</x:t>
        </x:is>
      </x:c>
      <x:c r="I760" s="527" t="inlineStr">
        <x:is>
          <x:t xml:space="preserve">31-12N-24W</x:t>
        </x:is>
      </x:c>
      <x:c r="J760" s="527" t="inlineStr">
        <x:is>
          <x:t xml:space="preserve">Leasehold / WI</x:t>
        </x:is>
      </x:c>
      <x:c r="K760" s="527" t="inlineStr">
        <x:is>
          <x:t xml:space="preserve">OKCountyRecords official index, Roger Mills County (instrument 1981-013847); searched 06/11/2026</x:t>
        </x:is>
      </x:c>
      <x:c r="L760" s="565" t="n"/>
      <x:c r="M760" s="565" t="n"/>
      <x:c r="N760" s="565" t="n"/>
      <x:c r="O760" s="565" t="n"/>
      <x:c r="P760" s="565" t="n"/>
      <x:c r="Q760" s="565" t="n"/>
      <x:c r="R760" s="565" t="n"/>
      <x:c r="S760" s="613" t="n"/>
      <x:c r="T760" s="565" t="n"/>
      <x:c r="U760" s="613" t="n"/>
      <x:c r="V760" s="565" t="n"/>
      <x:c r="W760" s="565" t="n"/>
      <x:c r="X760" s="565" t="n"/>
      <x:c r="Y760" s="565" t="n"/>
      <x:c r="Z760" s="565" t="n"/>
    </x:row>
    <x:row r="761">
      <x:c r="A761" s="527" t="inlineStr">
        <x:is>
          <x:t xml:space="preserve">1982-000608</x:t>
        </x:is>
      </x:c>
      <x:c r="B761" s="527" t="n"/>
      <x:c r="C761" s="527" t="inlineStr">
        <x:is>
          <x:t xml:space="preserve">Oil and Gas Lease</x:t>
        </x:is>
      </x:c>
      <x:c r="D761" s="527" t="inlineStr">
        <x:is>
          <x:t xml:space="preserve">0410/0076</x:t>
        </x:is>
      </x:c>
      <x:c r="E761" s="529" t="inlineStr">
        <x:is>
          <x:t xml:space="preserve">01/18/1982</x:t>
        </x:is>
      </x:c>
      <x:c r="F761" s="529" t="n">
        <x:v>29969</x:v>
      </x:c>
      <x:c r="G761" s="527" t="inlineStr">
        <x:is>
          <x:t xml:space="preserve">John W. Klopfenstein,
Ruby M. Klopfenstein</x:t>
        </x:is>
      </x:c>
      <x:c r="H761" s="527" t="inlineStr">
        <x:is>
          <x:t xml:space="preserve">Richland Resources Corporation</x:t>
        </x:is>
      </x:c>
      <x:c r="I761" s="527" t="inlineStr">
        <x:is>
          <x:t xml:space="preserve">31-12N-24W</x:t>
        </x:is>
      </x:c>
      <x:c r="J761" s="527" t="inlineStr">
        <x:is>
          <x:t xml:space="preserve">Leasehold / WI</x:t>
        </x:is>
      </x:c>
      <x:c r="K761" s="527" t="inlineStr">
        <x:is>
          <x:t xml:space="preserve">OKCountyRecords official index, Roger Mills County (instrument 1982-000608); searched 06/11/2026</x:t>
        </x:is>
      </x:c>
      <x:c r="L761" s="565" t="n"/>
      <x:c r="M761" s="565" t="n"/>
      <x:c r="N761" s="565" t="n"/>
      <x:c r="O761" s="565" t="n"/>
      <x:c r="P761" s="565" t="n"/>
      <x:c r="Q761" s="565" t="n"/>
      <x:c r="R761" s="565" t="n"/>
      <x:c r="S761" s="613" t="n"/>
      <x:c r="T761" s="565" t="n"/>
      <x:c r="U761" s="613" t="n"/>
      <x:c r="V761" s="565" t="n"/>
      <x:c r="W761" s="565" t="n"/>
      <x:c r="X761" s="565" t="n"/>
      <x:c r="Y761" s="565" t="n"/>
      <x:c r="Z761" s="565" t="n"/>
    </x:row>
    <x:row r="762">
      <x:c r="A762" s="527" t="inlineStr">
        <x:is>
          <x:t xml:space="preserve">1982-001029</x:t>
        </x:is>
      </x:c>
      <x:c r="B762" s="527" t="n"/>
      <x:c r="C762" s="527" t="inlineStr">
        <x:is>
          <x:t xml:space="preserve">Assignment</x:t>
        </x:is>
      </x:c>
      <x:c r="D762" s="527" t="inlineStr">
        <x:is>
          <x:t xml:space="preserve">0412/0282</x:t>
        </x:is>
      </x:c>
      <x:c r="E762" s="529" t="inlineStr">
        <x:is>
          <x:t xml:space="preserve">01/26/1982</x:t>
        </x:is>
      </x:c>
      <x:c r="F762" s="529" t="n">
        <x:v>29977</x:v>
      </x:c>
      <x:c r="G762" s="527" t="inlineStr">
        <x:is>
          <x:t xml:space="preserve">Brent L. Schooley</x:t>
        </x:is>
      </x:c>
      <x:c r="H762" s="527" t="inlineStr">
        <x:is>
          <x:t xml:space="preserve">Moore Stansberry, Inc.</x:t>
        </x:is>
      </x:c>
      <x:c r="I762" s="527" t="inlineStr">
        <x:is>
          <x:t xml:space="preserve">31-12N-24W</x:t>
        </x:is>
      </x:c>
      <x:c r="J762" s="527" t="inlineStr">
        <x:is>
          <x:t xml:space="preserve">Leasehold / WI</x:t>
        </x:is>
      </x:c>
      <x:c r="K762" s="527" t="inlineStr">
        <x:is>
          <x:t xml:space="preserve">OKCountyRecords official index, Roger Mills County (instrument 1982-001029); searched 06/11/2026</x:t>
        </x:is>
      </x:c>
      <x:c r="L762" s="565" t="n"/>
      <x:c r="M762" s="565" t="n"/>
      <x:c r="N762" s="565" t="n"/>
      <x:c r="O762" s="565" t="n"/>
      <x:c r="P762" s="565" t="n"/>
      <x:c r="Q762" s="565" t="n"/>
      <x:c r="R762" s="565" t="n"/>
      <x:c r="S762" s="613" t="n"/>
      <x:c r="T762" s="565" t="n"/>
      <x:c r="U762" s="613" t="n"/>
      <x:c r="V762" s="565" t="n"/>
      <x:c r="W762" s="565" t="n"/>
      <x:c r="X762" s="565" t="n"/>
      <x:c r="Y762" s="565" t="n"/>
      <x:c r="Z762" s="565" t="n"/>
    </x:row>
    <x:row r="763">
      <x:c r="A763" s="527" t="inlineStr">
        <x:is>
          <x:t xml:space="preserve">1982-001703</x:t>
        </x:is>
      </x:c>
      <x:c r="B763" s="527" t="n"/>
      <x:c r="C763" s="527" t="inlineStr">
        <x:is>
          <x:t xml:space="preserve">Oil and Gas Lease</x:t>
        </x:is>
      </x:c>
      <x:c r="D763" s="527" t="inlineStr">
        <x:is>
          <x:t xml:space="preserve">0417/0121</x:t>
        </x:is>
      </x:c>
      <x:c r="E763" s="529" t="inlineStr">
        <x:is>
          <x:t xml:space="preserve">02/10/1982</x:t>
        </x:is>
      </x:c>
      <x:c r="F763" s="529" t="n">
        <x:v>29992</x:v>
      </x:c>
      <x:c r="G763" s="527" t="inlineStr">
        <x:is>
          <x:t xml:space="preserve">L. E. Thurman</x:t>
        </x:is>
      </x:c>
      <x:c r="H763" s="527" t="inlineStr">
        <x:is>
          <x:t xml:space="preserve">Adams-litle, Inc.</x:t>
        </x:is>
      </x:c>
      <x:c r="I763" s="527" t="inlineStr">
        <x:is>
          <x:t xml:space="preserve">31-12N-24W</x:t>
        </x:is>
      </x:c>
      <x:c r="J763" s="527" t="inlineStr">
        <x:is>
          <x:t xml:space="preserve">Leasehold / WI</x:t>
        </x:is>
      </x:c>
      <x:c r="K763" s="527" t="inlineStr">
        <x:is>
          <x:t xml:space="preserve">OKCountyRecords official index, Roger Mills County (instrument 1982-001703); searched 06/11/2026</x:t>
        </x:is>
      </x:c>
      <x:c r="L763" s="565" t="n"/>
      <x:c r="M763" s="565" t="n"/>
      <x:c r="N763" s="565" t="n"/>
      <x:c r="O763" s="565" t="n"/>
      <x:c r="P763" s="565" t="n"/>
      <x:c r="Q763" s="565" t="n"/>
      <x:c r="R763" s="565" t="n"/>
      <x:c r="S763" s="613" t="n"/>
      <x:c r="T763" s="565" t="n"/>
      <x:c r="U763" s="613" t="n"/>
      <x:c r="V763" s="565" t="n"/>
      <x:c r="W763" s="565" t="n"/>
      <x:c r="X763" s="565" t="n"/>
      <x:c r="Y763" s="565" t="n"/>
      <x:c r="Z763" s="565" t="n"/>
    </x:row>
    <x:row r="764">
      <x:c r="A764" s="527" t="inlineStr">
        <x:is>
          <x:t xml:space="preserve">1982-002776</x:t>
        </x:is>
      </x:c>
      <x:c r="B764" s="527" t="n"/>
      <x:c r="C764" s="527" t="inlineStr">
        <x:is>
          <x:t xml:space="preserve">Deed</x:t>
        </x:is>
      </x:c>
      <x:c r="D764" s="527" t="inlineStr">
        <x:is>
          <x:t xml:space="preserve">0423/0078</x:t>
        </x:is>
      </x:c>
      <x:c r="E764" s="529" t="inlineStr">
        <x:is>
          <x:t xml:space="preserve">03/05/1982</x:t>
        </x:is>
      </x:c>
      <x:c r="F764" s="529" t="n">
        <x:v>30015</x:v>
      </x:c>
      <x:c r="G764" s="527" t="inlineStr">
        <x:is>
          <x:t xml:space="preserve">Margie Kirk</x:t>
        </x:is>
      </x:c>
      <x:c r="H764" s="527" t="inlineStr">
        <x:is>
          <x:t xml:space="preserve">Ella Pearl Kirk,
Gordon E. Kirk</x:t>
        </x:is>
      </x:c>
      <x:c r="I764" s="527" t="inlineStr">
        <x:is>
          <x:t xml:space="preserve">31-12N-24W</x:t>
        </x:is>
      </x:c>
      <x:c r="J764" s="527" t="inlineStr">
        <x:is>
          <x:t xml:space="preserve">Fee / as stated</x:t>
        </x:is>
      </x:c>
      <x:c r="K764" s="527" t="inlineStr">
        <x:is>
          <x:t xml:space="preserve">OKCountyRecords official index, Roger Mills County (instrument 1982-002776); searched 06/11/2026</x:t>
        </x:is>
      </x:c>
      <x:c r="L764" s="565" t="n"/>
      <x:c r="M764" s="565" t="n"/>
      <x:c r="N764" s="565" t="n"/>
      <x:c r="O764" s="565" t="n"/>
      <x:c r="P764" s="565" t="n"/>
      <x:c r="Q764" s="565" t="n"/>
      <x:c r="R764" s="565" t="n"/>
      <x:c r="S764" s="613" t="n"/>
      <x:c r="T764" s="565" t="n"/>
      <x:c r="U764" s="613" t="n"/>
      <x:c r="V764" s="565" t="n"/>
      <x:c r="W764" s="565" t="n"/>
      <x:c r="X764" s="565" t="n"/>
      <x:c r="Y764" s="565" t="n"/>
      <x:c r="Z764" s="565" t="n"/>
    </x:row>
    <x:row r="765">
      <x:c r="A765" s="527" t="inlineStr">
        <x:is>
          <x:t xml:space="preserve">1982-003363</x:t>
        </x:is>
      </x:c>
      <x:c r="B765" s="527" t="n"/>
      <x:c r="C765" s="527" t="inlineStr">
        <x:is>
          <x:t xml:space="preserve">Oil and Gas Lease</x:t>
        </x:is>
      </x:c>
      <x:c r="D765" s="527" t="inlineStr">
        <x:is>
          <x:t xml:space="preserve">0426/0103</x:t>
        </x:is>
      </x:c>
      <x:c r="E765" s="529" t="inlineStr">
        <x:is>
          <x:t xml:space="preserve">03/18/1982</x:t>
        </x:is>
      </x:c>
      <x:c r="F765" s="529" t="n">
        <x:v>30028</x:v>
      </x:c>
      <x:c r="G765" s="527" t="inlineStr">
        <x:is>
          <x:t xml:space="preserve">J. E. Barnett</x:t>
        </x:is>
      </x:c>
      <x:c r="H765" s="527" t="inlineStr">
        <x:is>
          <x:t xml:space="preserve">Adams-litle, Inc.</x:t>
        </x:is>
      </x:c>
      <x:c r="I765" s="527" t="inlineStr">
        <x:is>
          <x:t xml:space="preserve">31-12N-24W</x:t>
        </x:is>
      </x:c>
      <x:c r="J765" s="527" t="inlineStr">
        <x:is>
          <x:t xml:space="preserve">Leasehold / WI</x:t>
        </x:is>
      </x:c>
      <x:c r="K765" s="527" t="inlineStr">
        <x:is>
          <x:t xml:space="preserve">OKCountyRecords official index, Roger Mills County (instrument 1982-003363); searched 06/11/2026</x:t>
        </x:is>
      </x:c>
      <x:c r="L765" s="565" t="n"/>
      <x:c r="M765" s="565" t="n"/>
      <x:c r="N765" s="565" t="n"/>
      <x:c r="O765" s="565" t="n"/>
      <x:c r="P765" s="565" t="n"/>
      <x:c r="Q765" s="565" t="n"/>
      <x:c r="R765" s="565" t="n"/>
      <x:c r="S765" s="613" t="n"/>
      <x:c r="T765" s="565" t="n"/>
      <x:c r="U765" s="613" t="n"/>
      <x:c r="V765" s="565" t="n"/>
      <x:c r="W765" s="565" t="n"/>
      <x:c r="X765" s="565" t="n"/>
      <x:c r="Y765" s="565" t="n"/>
      <x:c r="Z765" s="565" t="n"/>
    </x:row>
    <x:row r="766">
      <x:c r="A766" s="527" t="inlineStr">
        <x:is>
          <x:t xml:space="preserve">1982-003751</x:t>
        </x:is>
      </x:c>
      <x:c r="B766" s="527" t="n"/>
      <x:c r="C766" s="527" t="inlineStr">
        <x:is>
          <x:t xml:space="preserve">Oil and Gas Lease</x:t>
        </x:is>
      </x:c>
      <x:c r="D766" s="527" t="inlineStr">
        <x:is>
          <x:t xml:space="preserve">0428/0243</x:t>
        </x:is>
      </x:c>
      <x:c r="E766" s="529" t="inlineStr">
        <x:is>
          <x:t xml:space="preserve">03/29/1982</x:t>
        </x:is>
      </x:c>
      <x:c r="F766" s="529" t="n">
        <x:v>30039</x:v>
      </x:c>
      <x:c r="G766" s="527" t="inlineStr">
        <x:is>
          <x:t xml:space="preserve">Mann Childrens Trust,
Walter J. Rusek, Trustee</x:t>
        </x:is>
      </x:c>
      <x:c r="H766" s="527" t="inlineStr">
        <x:is>
          <x:t xml:space="preserve">Adams-litle, Inc.</x:t>
        </x:is>
      </x:c>
      <x:c r="I766" s="527" t="inlineStr">
        <x:is>
          <x:t xml:space="preserve">31-12N-24W</x:t>
        </x:is>
      </x:c>
      <x:c r="J766" s="527" t="inlineStr">
        <x:is>
          <x:t xml:space="preserve">Leasehold / WI</x:t>
        </x:is>
      </x:c>
      <x:c r="K766" s="527" t="inlineStr">
        <x:is>
          <x:t xml:space="preserve">OKCountyRecords official index, Roger Mills County (instrument 1982-003751); searched 06/11/2026</x:t>
        </x:is>
      </x:c>
      <x:c r="L766" s="565" t="n"/>
      <x:c r="M766" s="565" t="n"/>
      <x:c r="N766" s="565" t="n"/>
      <x:c r="O766" s="565" t="n"/>
      <x:c r="P766" s="565" t="n"/>
      <x:c r="Q766" s="565" t="n"/>
      <x:c r="R766" s="565" t="n"/>
      <x:c r="S766" s="613" t="n"/>
      <x:c r="T766" s="565" t="n"/>
      <x:c r="U766" s="613" t="n"/>
      <x:c r="V766" s="565" t="n"/>
      <x:c r="W766" s="565" t="n"/>
      <x:c r="X766" s="565" t="n"/>
      <x:c r="Y766" s="565" t="n"/>
      <x:c r="Z766" s="565" t="n"/>
    </x:row>
    <x:row r="767">
      <x:c r="A767" s="527" t="inlineStr">
        <x:is>
          <x:t xml:space="preserve">1982-004342</x:t>
        </x:is>
      </x:c>
      <x:c r="B767" s="527" t="n"/>
      <x:c r="C767" s="527" t="inlineStr">
        <x:is>
          <x:t xml:space="preserve">Deed</x:t>
        </x:is>
      </x:c>
      <x:c r="D767" s="527" t="inlineStr">
        <x:is>
          <x:t xml:space="preserve">0432/0110</x:t>
        </x:is>
      </x:c>
      <x:c r="E767" s="529" t="inlineStr">
        <x:is>
          <x:t xml:space="preserve">04/13/1982</x:t>
        </x:is>
      </x:c>
      <x:c r="F767" s="529" t="n">
        <x:v>30054</x:v>
      </x:c>
      <x:c r="G767" s="527" t="inlineStr">
        <x:is>
          <x:t xml:space="preserve">W. H. Sorenson</x:t>
        </x:is>
      </x:c>
      <x:c r="H767" s="527" t="inlineStr">
        <x:is>
          <x:t xml:space="preserve">Michelle Sorenson Johnson, Trustee,
Sorenson Oil &amp; Gas Trust,
Marchelle Sorenson Uaigle, Trustee</x:t>
        </x:is>
      </x:c>
      <x:c r="I767" s="527" t="inlineStr">
        <x:is>
          <x:t xml:space="preserve">31-12N-24W</x:t>
        </x:is>
      </x:c>
      <x:c r="J767" s="527" t="inlineStr">
        <x:is>
          <x:t xml:space="preserve">Fee / as stated</x:t>
        </x:is>
      </x:c>
      <x:c r="K767" s="527" t="inlineStr">
        <x:is>
          <x:t xml:space="preserve">OKCountyRecords official index, Roger Mills County (instrument 1982-004342); searched 06/11/2026</x:t>
        </x:is>
      </x:c>
      <x:c r="L767" s="565" t="n"/>
      <x:c r="M767" s="565" t="n"/>
      <x:c r="N767" s="565" t="n"/>
      <x:c r="O767" s="565" t="n"/>
      <x:c r="P767" s="565" t="n"/>
      <x:c r="Q767" s="565" t="n"/>
      <x:c r="R767" s="565" t="n"/>
      <x:c r="S767" s="613" t="n"/>
      <x:c r="T767" s="565" t="n"/>
      <x:c r="U767" s="613" t="n"/>
      <x:c r="V767" s="565" t="n"/>
      <x:c r="W767" s="565" t="n"/>
      <x:c r="X767" s="565" t="n"/>
      <x:c r="Y767" s="565" t="n"/>
      <x:c r="Z767" s="565" t="n"/>
    </x:row>
    <x:row r="768">
      <x:c r="A768" s="527" t="inlineStr">
        <x:is>
          <x:t xml:space="preserve">1982-004658</x:t>
        </x:is>
      </x:c>
      <x:c r="B768" s="527" t="n"/>
      <x:c r="C768" s="527" t="inlineStr">
        <x:is>
          <x:t xml:space="preserve">Miscellaneous</x:t>
        </x:is>
      </x:c>
      <x:c r="D768" s="527" t="inlineStr">
        <x:is>
          <x:t xml:space="preserve">0434/0163</x:t>
        </x:is>
      </x:c>
      <x:c r="E768" s="529" t="inlineStr">
        <x:is>
          <x:t xml:space="preserve">04/20/1982</x:t>
        </x:is>
      </x:c>
      <x:c r="F768" s="529" t="n">
        <x:v>30061</x:v>
      </x:c>
      <x:c r="G768" s="527" t="inlineStr">
        <x:is>
          <x:t xml:space="preserve">Farmers Home Administration</x:t>
        </x:is>
      </x:c>
      <x:c r="H768" s="527" t="inlineStr">
        <x:is>
          <x:t xml:space="preserve">Clara Mae Bryan,
George M. Bryan</x:t>
        </x:is>
      </x:c>
      <x:c r="I768" s="527" t="inlineStr">
        <x:is>
          <x:t xml:space="preserve">31-12N-24W (AOL)</x:t>
        </x:is>
      </x:c>
      <x:c r="J768" s="527" t="inlineStr">
        <x:is>
          <x:t xml:space="preserve">See instrument</x:t>
        </x:is>
      </x:c>
      <x:c r="K768" s="527" t="inlineStr">
        <x:is>
          <x:t xml:space="preserve">OKCountyRecords official index, Roger Mills County (instrument 1982-004658); searched 06/11/2026</x:t>
        </x:is>
      </x:c>
      <x:c r="L768" s="565" t="n"/>
      <x:c r="M768" s="565" t="n"/>
      <x:c r="N768" s="565" t="n"/>
      <x:c r="O768" s="565" t="n"/>
      <x:c r="P768" s="565" t="n"/>
      <x:c r="Q768" s="565" t="n"/>
      <x:c r="R768" s="565" t="n"/>
      <x:c r="S768" s="613" t="n"/>
      <x:c r="T768" s="565" t="n"/>
      <x:c r="U768" s="613" t="n"/>
      <x:c r="V768" s="565" t="n"/>
      <x:c r="W768" s="565" t="n"/>
      <x:c r="X768" s="565" t="n"/>
      <x:c r="Y768" s="565" t="n"/>
      <x:c r="Z768" s="565" t="n"/>
    </x:row>
    <x:row r="769">
      <x:c r="A769" s="527" t="inlineStr">
        <x:is>
          <x:t xml:space="preserve">1982-005195</x:t>
        </x:is>
      </x:c>
      <x:c r="B769" s="527" t="n"/>
      <x:c r="C769" s="527" t="inlineStr">
        <x:is>
          <x:t xml:space="preserve">Release</x:t>
        </x:is>
      </x:c>
      <x:c r="D769" s="527" t="inlineStr">
        <x:is>
          <x:t xml:space="preserve">0437/0206</x:t>
        </x:is>
      </x:c>
      <x:c r="E769" s="529" t="inlineStr">
        <x:is>
          <x:t xml:space="preserve">05/05/1982</x:t>
        </x:is>
      </x:c>
      <x:c r="F769" s="529" t="n">
        <x:v>30076</x:v>
      </x:c>
      <x:c r="G769" s="527" t="inlineStr">
        <x:is>
          <x:t xml:space="preserve">United States of America</x:t>
        </x:is>
      </x:c>
      <x:c r="H769" s="527" t="inlineStr">
        <x:is>
          <x:t xml:space="preserve">Ella Pearl Kirk,
Gordon H. Kirk</x:t>
        </x:is>
      </x:c>
      <x:c r="I769" s="527" t="inlineStr">
        <x:is>
          <x:t xml:space="preserve">31-12N-24W</x:t>
        </x:is>
      </x:c>
      <x:c r="J769" s="527" t="inlineStr">
        <x:is>
          <x:t xml:space="preserve">Leasehold / WI</x:t>
        </x:is>
      </x:c>
      <x:c r="K769" s="527" t="inlineStr">
        <x:is>
          <x:t xml:space="preserve">OKCountyRecords official index, Roger Mills County (instrument 1982-005195); searched 06/11/2026</x:t>
        </x:is>
      </x:c>
      <x:c r="L769" s="565" t="n"/>
      <x:c r="M769" s="565" t="n"/>
      <x:c r="N769" s="565" t="n"/>
      <x:c r="O769" s="565" t="n"/>
      <x:c r="P769" s="565" t="n"/>
      <x:c r="Q769" s="565" t="n"/>
      <x:c r="R769" s="565" t="n"/>
      <x:c r="S769" s="613" t="n"/>
      <x:c r="T769" s="565" t="n"/>
      <x:c r="U769" s="613" t="n"/>
      <x:c r="V769" s="565" t="n"/>
      <x:c r="W769" s="565" t="n"/>
      <x:c r="X769" s="565" t="n"/>
      <x:c r="Y769" s="565" t="n"/>
      <x:c r="Z769" s="565" t="n"/>
    </x:row>
    <x:row r="770">
      <x:c r="A770" s="527" t="inlineStr">
        <x:is>
          <x:t xml:space="preserve">1982-005352</x:t>
        </x:is>
      </x:c>
      <x:c r="B770" s="527" t="n"/>
      <x:c r="C770" s="527" t="inlineStr">
        <x:is>
          <x:t xml:space="preserve">Deed</x:t>
        </x:is>
      </x:c>
      <x:c r="D770" s="527" t="inlineStr">
        <x:is>
          <x:t xml:space="preserve">0438/0128</x:t>
        </x:is>
      </x:c>
      <x:c r="E770" s="529" t="inlineStr">
        <x:is>
          <x:t xml:space="preserve">05/10/1982</x:t>
        </x:is>
      </x:c>
      <x:c r="F770" s="529" t="n">
        <x:v>30081</x:v>
      </x:c>
      <x:c r="G770" s="527" t="inlineStr">
        <x:is>
          <x:t xml:space="preserve">Moore Stansberry, Inc.</x:t>
        </x:is>
      </x:c>
      <x:c r="H770" s="527" t="inlineStr">
        <x:is>
          <x:t xml:space="preserve">Leede Exploration</x:t>
        </x:is>
      </x:c>
      <x:c r="I770" s="527" t="inlineStr">
        <x:is>
          <x:t xml:space="preserve">31-12N-24W</x:t>
        </x:is>
      </x:c>
      <x:c r="J770" s="527" t="inlineStr">
        <x:is>
          <x:t xml:space="preserve">Fee / as stated</x:t>
        </x:is>
      </x:c>
      <x:c r="K770" s="527" t="inlineStr">
        <x:is>
          <x:t xml:space="preserve">OKCountyRecords official index, Roger Mills County (instrument 1982-005352); searched 06/11/2026</x:t>
        </x:is>
      </x:c>
      <x:c r="L770" s="565" t="n"/>
      <x:c r="M770" s="565" t="n"/>
      <x:c r="N770" s="565" t="n"/>
      <x:c r="O770" s="565" t="n"/>
      <x:c r="P770" s="565" t="n"/>
      <x:c r="Q770" s="565" t="n"/>
      <x:c r="R770" s="565" t="n"/>
      <x:c r="S770" s="613" t="n"/>
      <x:c r="T770" s="565" t="n"/>
      <x:c r="U770" s="613" t="n"/>
      <x:c r="V770" s="565" t="n"/>
      <x:c r="W770" s="565" t="n"/>
      <x:c r="X770" s="565" t="n"/>
      <x:c r="Y770" s="565" t="n"/>
      <x:c r="Z770" s="565" t="n"/>
    </x:row>
    <x:row r="771">
      <x:c r="A771" s="527" t="inlineStr">
        <x:is>
          <x:t xml:space="preserve">1982-005357</x:t>
        </x:is>
      </x:c>
      <x:c r="B771" s="527" t="n"/>
      <x:c r="C771" s="527" t="inlineStr">
        <x:is>
          <x:t xml:space="preserve">Assignment</x:t>
        </x:is>
      </x:c>
      <x:c r="D771" s="527" t="inlineStr">
        <x:is>
          <x:t xml:space="preserve">0438/0133</x:t>
        </x:is>
      </x:c>
      <x:c r="E771" s="529" t="inlineStr">
        <x:is>
          <x:t xml:space="preserve">05/10/1982</x:t>
        </x:is>
      </x:c>
      <x:c r="F771" s="529" t="n">
        <x:v>30081</x:v>
      </x:c>
      <x:c r="G771" s="527" t="inlineStr">
        <x:is>
          <x:t xml:space="preserve">Moore Stansberry, Inc.</x:t>
        </x:is>
      </x:c>
      <x:c r="H771" s="527" t="inlineStr">
        <x:is>
          <x:t xml:space="preserve">Leede Exploration</x:t>
        </x:is>
      </x:c>
      <x:c r="I771" s="527" t="inlineStr">
        <x:is>
          <x:t xml:space="preserve">31-12N-24W</x:t>
        </x:is>
      </x:c>
      <x:c r="J771" s="527" t="inlineStr">
        <x:is>
          <x:t xml:space="preserve">Leasehold / WI</x:t>
        </x:is>
      </x:c>
      <x:c r="K771" s="527" t="inlineStr">
        <x:is>
          <x:t xml:space="preserve">OKCountyRecords official index, Roger Mills County (instrument 1982-005357); searched 06/11/2026</x:t>
        </x:is>
      </x:c>
      <x:c r="L771" s="565" t="n"/>
      <x:c r="M771" s="565" t="n"/>
      <x:c r="N771" s="565" t="n"/>
      <x:c r="O771" s="565" t="n"/>
      <x:c r="P771" s="565" t="n"/>
      <x:c r="Q771" s="565" t="n"/>
      <x:c r="R771" s="565" t="n"/>
      <x:c r="S771" s="613" t="n"/>
      <x:c r="T771" s="565" t="n"/>
      <x:c r="U771" s="613" t="n"/>
      <x:c r="V771" s="565" t="n"/>
      <x:c r="W771" s="565" t="n"/>
      <x:c r="X771" s="565" t="n"/>
      <x:c r="Y771" s="565" t="n"/>
      <x:c r="Z771" s="565" t="n"/>
    </x:row>
    <x:row r="772">
      <x:c r="A772" s="527" t="inlineStr">
        <x:is>
          <x:t xml:space="preserve">1982-005721</x:t>
        </x:is>
      </x:c>
      <x:c r="B772" s="527" t="n"/>
      <x:c r="C772" s="527" t="inlineStr">
        <x:is>
          <x:t xml:space="preserve">Deed</x:t>
        </x:is>
      </x:c>
      <x:c r="D772" s="527" t="inlineStr">
        <x:is>
          <x:t xml:space="preserve">0440/0099</x:t>
        </x:is>
      </x:c>
      <x:c r="E772" s="529" t="inlineStr">
        <x:is>
          <x:t xml:space="preserve">05/17/1982</x:t>
        </x:is>
      </x:c>
      <x:c r="F772" s="529" t="n">
        <x:v>30088</x:v>
      </x:c>
      <x:c r="G772" s="527" t="inlineStr">
        <x:is>
          <x:t xml:space="preserve">Ella Pearl Kirk,
Gordon E. Kirk</x:t>
        </x:is>
      </x:c>
      <x:c r="H772" s="527" t="inlineStr">
        <x:is>
          <x:t xml:space="preserve">Eula Cross</x:t>
        </x:is>
      </x:c>
      <x:c r="I772" s="527" t="inlineStr">
        <x:is>
          <x:t xml:space="preserve">31-12N-24W</x:t>
        </x:is>
      </x:c>
      <x:c r="J772" s="527" t="inlineStr">
        <x:is>
          <x:t xml:space="preserve">Fee / as stated</x:t>
        </x:is>
      </x:c>
      <x:c r="K772" s="527" t="inlineStr">
        <x:is>
          <x:t xml:space="preserve">OKCountyRecords official index, Roger Mills County (instrument 1982-005721); searched 06/11/2026</x:t>
        </x:is>
      </x:c>
      <x:c r="L772" s="565" t="n"/>
      <x:c r="M772" s="565" t="n"/>
      <x:c r="N772" s="565" t="n"/>
      <x:c r="O772" s="565" t="n"/>
      <x:c r="P772" s="565" t="n"/>
      <x:c r="Q772" s="565" t="n"/>
      <x:c r="R772" s="565" t="n"/>
      <x:c r="S772" s="613" t="n"/>
      <x:c r="T772" s="565" t="n"/>
      <x:c r="U772" s="613" t="n"/>
      <x:c r="V772" s="565" t="n"/>
      <x:c r="W772" s="565" t="n"/>
      <x:c r="X772" s="565" t="n"/>
      <x:c r="Y772" s="565" t="n"/>
      <x:c r="Z772" s="565" t="n"/>
    </x:row>
    <x:row r="773">
      <x:c r="A773" s="527" t="inlineStr">
        <x:is>
          <x:t xml:space="preserve">1982-005993</x:t>
        </x:is>
      </x:c>
      <x:c r="B773" s="527" t="n"/>
      <x:c r="C773" s="527" t="inlineStr">
        <x:is>
          <x:t xml:space="preserve">Oil and Gas Lease</x:t>
        </x:is>
      </x:c>
      <x:c r="D773" s="527" t="inlineStr">
        <x:is>
          <x:t xml:space="preserve">0442/0105</x:t>
        </x:is>
      </x:c>
      <x:c r="E773" s="529" t="inlineStr">
        <x:is>
          <x:t xml:space="preserve">05/24/1982</x:t>
        </x:is>
      </x:c>
      <x:c r="F773" s="529" t="n">
        <x:v>30095</x:v>
      </x:c>
      <x:c r="G773" s="527" t="inlineStr">
        <x:is>
          <x:t xml:space="preserve">Marchelle Sorenson Daigle, Trustee,
Michelle Sorenson Johnson,
Sorenson Oil &amp; Gas Trust</x:t>
        </x:is>
      </x:c>
      <x:c r="H773" s="527" t="inlineStr">
        <x:is>
          <x:t xml:space="preserve">Adams-litle, Inc.</x:t>
        </x:is>
      </x:c>
      <x:c r="I773" s="527" t="inlineStr">
        <x:is>
          <x:t xml:space="preserve">31-12N-24W</x:t>
        </x:is>
      </x:c>
      <x:c r="J773" s="527" t="inlineStr">
        <x:is>
          <x:t xml:space="preserve">Leasehold / WI</x:t>
        </x:is>
      </x:c>
      <x:c r="K773" s="527" t="inlineStr">
        <x:is>
          <x:t xml:space="preserve">OKCountyRecords official index, Roger Mills County (instrument 1982-005993); searched 06/11/2026</x:t>
        </x:is>
      </x:c>
      <x:c r="L773" s="565" t="n"/>
      <x:c r="M773" s="565" t="n"/>
      <x:c r="N773" s="565" t="n"/>
      <x:c r="O773" s="565" t="n"/>
      <x:c r="P773" s="565" t="n"/>
      <x:c r="Q773" s="565" t="n"/>
      <x:c r="R773" s="565" t="n"/>
      <x:c r="S773" s="613" t="n"/>
      <x:c r="T773" s="565" t="n"/>
      <x:c r="U773" s="613" t="n"/>
      <x:c r="V773" s="565" t="n"/>
      <x:c r="W773" s="565" t="n"/>
      <x:c r="X773" s="565" t="n"/>
      <x:c r="Y773" s="565" t="n"/>
      <x:c r="Z773" s="565" t="n"/>
    </x:row>
    <x:row r="774">
      <x:c r="A774" s="527" t="inlineStr">
        <x:is>
          <x:t xml:space="preserve">1982-005994</x:t>
        </x:is>
      </x:c>
      <x:c r="B774" s="527" t="n"/>
      <x:c r="C774" s="527" t="inlineStr">
        <x:is>
          <x:t xml:space="preserve">Assignment</x:t>
        </x:is>
      </x:c>
      <x:c r="D774" s="527" t="inlineStr">
        <x:is>
          <x:t xml:space="preserve">0442/0107</x:t>
        </x:is>
      </x:c>
      <x:c r="E774" s="529" t="inlineStr">
        <x:is>
          <x:t xml:space="preserve">05/24/1982</x:t>
        </x:is>
      </x:c>
      <x:c r="F774" s="529" t="n">
        <x:v>30095</x:v>
      </x:c>
      <x:c r="G774" s="527" t="inlineStr">
        <x:is>
          <x:t xml:space="preserve">Adams Litle, Inc.</x:t>
        </x:is>
      </x:c>
      <x:c r="H774" s="527" t="inlineStr">
        <x:is>
          <x:t xml:space="preserve">Energy Reserves Group, Inc.</x:t>
        </x:is>
      </x:c>
      <x:c r="I774" s="527" t="inlineStr">
        <x:is>
          <x:t xml:space="preserve">31-12N-24W</x:t>
        </x:is>
      </x:c>
      <x:c r="J774" s="527" t="inlineStr">
        <x:is>
          <x:t xml:space="preserve">Leasehold / WI</x:t>
        </x:is>
      </x:c>
      <x:c r="K774" s="527" t="inlineStr">
        <x:is>
          <x:t xml:space="preserve">OKCountyRecords official index, Roger Mills County (instrument 1982-005994); searched 06/11/2026</x:t>
        </x:is>
      </x:c>
      <x:c r="L774" s="565" t="n"/>
      <x:c r="M774" s="565" t="n"/>
      <x:c r="N774" s="565" t="n"/>
      <x:c r="O774" s="565" t="n"/>
      <x:c r="P774" s="565" t="n"/>
      <x:c r="Q774" s="565" t="n"/>
      <x:c r="R774" s="565" t="n"/>
      <x:c r="S774" s="613" t="n"/>
      <x:c r="T774" s="565" t="n"/>
      <x:c r="U774" s="613" t="n"/>
      <x:c r="V774" s="565" t="n"/>
      <x:c r="W774" s="565" t="n"/>
      <x:c r="X774" s="565" t="n"/>
      <x:c r="Y774" s="565" t="n"/>
      <x:c r="Z774" s="565" t="n"/>
    </x:row>
    <x:row r="775">
      <x:c r="A775" s="527" t="inlineStr">
        <x:is>
          <x:t xml:space="preserve">1982-005996</x:t>
        </x:is>
      </x:c>
      <x:c r="B775" s="527" t="n"/>
      <x:c r="C775" s="527" t="inlineStr">
        <x:is>
          <x:t xml:space="preserve">Assignment</x:t>
        </x:is>
      </x:c>
      <x:c r="D775" s="527" t="inlineStr">
        <x:is>
          <x:t xml:space="preserve">0442/0109</x:t>
        </x:is>
      </x:c>
      <x:c r="E775" s="529" t="inlineStr">
        <x:is>
          <x:t xml:space="preserve">05/24/1982</x:t>
        </x:is>
      </x:c>
      <x:c r="F775" s="529" t="n">
        <x:v>30095</x:v>
      </x:c>
      <x:c r="G775" s="527" t="inlineStr">
        <x:is>
          <x:t xml:space="preserve">Adams Litle, Inc.</x:t>
        </x:is>
      </x:c>
      <x:c r="H775" s="527" t="inlineStr">
        <x:is>
          <x:t xml:space="preserve">Energy Reserves Group, Inc.</x:t>
        </x:is>
      </x:c>
      <x:c r="I775" s="527" t="inlineStr">
        <x:is>
          <x:t xml:space="preserve">31-12N-24W</x:t>
        </x:is>
      </x:c>
      <x:c r="J775" s="527" t="inlineStr">
        <x:is>
          <x:t xml:space="preserve">Leasehold / WI</x:t>
        </x:is>
      </x:c>
      <x:c r="K775" s="527" t="inlineStr">
        <x:is>
          <x:t xml:space="preserve">OKCountyRecords official index, Roger Mills County (instrument 1982-005996); searched 06/11/2026</x:t>
        </x:is>
      </x:c>
      <x:c r="L775" s="565" t="n"/>
      <x:c r="M775" s="565" t="n"/>
      <x:c r="N775" s="565" t="n"/>
      <x:c r="O775" s="565" t="n"/>
      <x:c r="P775" s="565" t="n"/>
      <x:c r="Q775" s="565" t="n"/>
      <x:c r="R775" s="565" t="n"/>
      <x:c r="S775" s="613" t="n"/>
      <x:c r="T775" s="565" t="n"/>
      <x:c r="U775" s="613" t="n"/>
      <x:c r="V775" s="565" t="n"/>
      <x:c r="W775" s="565" t="n"/>
      <x:c r="X775" s="565" t="n"/>
      <x:c r="Y775" s="565" t="n"/>
      <x:c r="Z775" s="565" t="n"/>
    </x:row>
    <x:row r="776">
      <x:c r="A776" s="527" t="inlineStr">
        <x:is>
          <x:t xml:space="preserve">1982-005997</x:t>
        </x:is>
      </x:c>
      <x:c r="B776" s="527" t="n"/>
      <x:c r="C776" s="527" t="inlineStr">
        <x:is>
          <x:t xml:space="preserve">Assignment</x:t>
        </x:is>
      </x:c>
      <x:c r="D776" s="527" t="inlineStr">
        <x:is>
          <x:t xml:space="preserve">0442/0110</x:t>
        </x:is>
      </x:c>
      <x:c r="E776" s="529" t="inlineStr">
        <x:is>
          <x:t xml:space="preserve">05/24/1982</x:t>
        </x:is>
      </x:c>
      <x:c r="F776" s="529" t="n">
        <x:v>30095</x:v>
      </x:c>
      <x:c r="G776" s="527" t="inlineStr">
        <x:is>
          <x:t xml:space="preserve">Adams Litle, Inc.</x:t>
        </x:is>
      </x:c>
      <x:c r="H776" s="527" t="inlineStr">
        <x:is>
          <x:t xml:space="preserve">Energy Reserves Group, Inc.</x:t>
        </x:is>
      </x:c>
      <x:c r="I776" s="527" t="inlineStr">
        <x:is>
          <x:t xml:space="preserve">31-12N-24W</x:t>
        </x:is>
      </x:c>
      <x:c r="J776" s="527" t="inlineStr">
        <x:is>
          <x:t xml:space="preserve">Leasehold / WI</x:t>
        </x:is>
      </x:c>
      <x:c r="K776" s="527" t="inlineStr">
        <x:is>
          <x:t xml:space="preserve">OKCountyRecords official index, Roger Mills County (instrument 1982-005997); searched 06/11/2026</x:t>
        </x:is>
      </x:c>
      <x:c r="L776" s="565" t="n"/>
      <x:c r="M776" s="565" t="n"/>
      <x:c r="N776" s="565" t="n"/>
      <x:c r="O776" s="565" t="n"/>
      <x:c r="P776" s="565" t="n"/>
      <x:c r="Q776" s="565" t="n"/>
      <x:c r="R776" s="565" t="n"/>
      <x:c r="S776" s="613" t="n"/>
      <x:c r="T776" s="565" t="n"/>
      <x:c r="U776" s="613" t="n"/>
      <x:c r="V776" s="565" t="n"/>
      <x:c r="W776" s="565" t="n"/>
      <x:c r="X776" s="565" t="n"/>
      <x:c r="Y776" s="565" t="n"/>
      <x:c r="Z776" s="565" t="n"/>
    </x:row>
    <x:row r="777">
      <x:c r="A777" s="527" t="inlineStr">
        <x:is>
          <x:t xml:space="preserve">1982-006217</x:t>
        </x:is>
      </x:c>
      <x:c r="B777" s="527" t="n"/>
      <x:c r="C777" s="527" t="inlineStr">
        <x:is>
          <x:t xml:space="preserve">Certificate</x:t>
        </x:is>
      </x:c>
      <x:c r="D777" s="527" t="inlineStr">
        <x:is>
          <x:t xml:space="preserve">0443/0310</x:t>
        </x:is>
      </x:c>
      <x:c r="E777" s="529" t="inlineStr">
        <x:is>
          <x:t xml:space="preserve">05/28/1982</x:t>
        </x:is>
      </x:c>
      <x:c r="F777" s="529" t="n">
        <x:v>30099</x:v>
      </x:c>
      <x:c r="G777" s="527" t="inlineStr">
        <x:is>
          <x:t xml:space="preserve">Baker Logsdon &amp; Phelps,
Harold Logsdon</x:t>
        </x:is>
      </x:c>
      <x:c r="H777" s="527" t="inlineStr">
        <x:is>
          <x:t xml:space="preserve">The Public</x:t>
        </x:is>
      </x:c>
      <x:c r="I777" s="527" t="inlineStr">
        <x:is>
          <x:t xml:space="preserve">31-12N-24W</x:t>
        </x:is>
      </x:c>
      <x:c r="J777" s="527" t="inlineStr">
        <x:is>
          <x:t xml:space="preserve">See instrument</x:t>
        </x:is>
      </x:c>
      <x:c r="K777" s="527" t="inlineStr">
        <x:is>
          <x:t xml:space="preserve">OKCountyRecords official index, Roger Mills County (instrument 1982-006217); searched 06/11/2026</x:t>
        </x:is>
      </x:c>
      <x:c r="L777" s="565" t="n"/>
      <x:c r="M777" s="565" t="n"/>
      <x:c r="N777" s="565" t="n"/>
      <x:c r="O777" s="565" t="n"/>
      <x:c r="P777" s="565" t="n"/>
      <x:c r="Q777" s="565" t="n"/>
      <x:c r="R777" s="565" t="n"/>
      <x:c r="S777" s="613" t="n"/>
      <x:c r="T777" s="565" t="n"/>
      <x:c r="U777" s="613" t="n"/>
      <x:c r="V777" s="565" t="n"/>
      <x:c r="W777" s="565" t="n"/>
      <x:c r="X777" s="565" t="n"/>
      <x:c r="Y777" s="565" t="n"/>
      <x:c r="Z777" s="565" t="n"/>
    </x:row>
    <x:row r="778">
      <x:c r="A778" s="527" t="inlineStr">
        <x:is>
          <x:t xml:space="preserve">1982-006218</x:t>
        </x:is>
      </x:c>
      <x:c r="B778" s="527" t="n"/>
      <x:c r="C778" s="527" t="inlineStr">
        <x:is>
          <x:t xml:space="preserve">Certificate</x:t>
        </x:is>
      </x:c>
      <x:c r="D778" s="527" t="inlineStr">
        <x:is>
          <x:t xml:space="preserve">0443/0311</x:t>
        </x:is>
      </x:c>
      <x:c r="E778" s="529" t="inlineStr">
        <x:is>
          <x:t xml:space="preserve">05/28/1982</x:t>
        </x:is>
      </x:c>
      <x:c r="F778" s="529" t="n">
        <x:v>30099</x:v>
      </x:c>
      <x:c r="G778" s="527" t="inlineStr">
        <x:is>
          <x:t xml:space="preserve">Baker Logsdon &amp; Phelps,
Harold Logsdon</x:t>
        </x:is>
      </x:c>
      <x:c r="H778" s="527" t="inlineStr">
        <x:is>
          <x:t xml:space="preserve">The Public</x:t>
        </x:is>
      </x:c>
      <x:c r="I778" s="527" t="inlineStr">
        <x:is>
          <x:t xml:space="preserve">31-12N-24W</x:t>
        </x:is>
      </x:c>
      <x:c r="J778" s="527" t="inlineStr">
        <x:is>
          <x:t xml:space="preserve">See instrument</x:t>
        </x:is>
      </x:c>
      <x:c r="K778" s="527" t="inlineStr">
        <x:is>
          <x:t xml:space="preserve">OKCountyRecords official index, Roger Mills County (instrument 1982-006218); searched 06/11/2026</x:t>
        </x:is>
      </x:c>
      <x:c r="L778" s="565" t="n"/>
      <x:c r="M778" s="565" t="n"/>
      <x:c r="N778" s="565" t="n"/>
      <x:c r="O778" s="565" t="n"/>
      <x:c r="P778" s="565" t="n"/>
      <x:c r="Q778" s="565" t="n"/>
      <x:c r="R778" s="565" t="n"/>
      <x:c r="S778" s="613" t="n"/>
      <x:c r="T778" s="565" t="n"/>
      <x:c r="U778" s="613" t="n"/>
      <x:c r="V778" s="565" t="n"/>
      <x:c r="W778" s="565" t="n"/>
      <x:c r="X778" s="565" t="n"/>
      <x:c r="Y778" s="565" t="n"/>
      <x:c r="Z778" s="565" t="n"/>
    </x:row>
    <x:row r="779">
      <x:c r="A779" s="527" t="inlineStr">
        <x:is>
          <x:t xml:space="preserve">1982-007158</x:t>
        </x:is>
      </x:c>
      <x:c r="B779" s="527" t="n"/>
      <x:c r="C779" s="527" t="inlineStr">
        <x:is>
          <x:t xml:space="preserve">Deed</x:t>
        </x:is>
      </x:c>
      <x:c r="D779" s="527" t="inlineStr">
        <x:is>
          <x:t xml:space="preserve">0451/0176</x:t>
        </x:is>
      </x:c>
      <x:c r="E779" s="529" t="inlineStr">
        <x:is>
          <x:t xml:space="preserve">06/22/1982</x:t>
        </x:is>
      </x:c>
      <x:c r="F779" s="529" t="n">
        <x:v>30124</x:v>
      </x:c>
      <x:c r="G779" s="527" t="inlineStr">
        <x:is>
          <x:t xml:space="preserve">Margie Ann Kirk</x:t>
        </x:is>
      </x:c>
      <x:c r="H779" s="527" t="inlineStr">
        <x:is>
          <x:t xml:space="preserve">Eddie Tom Lakey</x:t>
        </x:is>
      </x:c>
      <x:c r="I779" s="527" t="inlineStr">
        <x:is>
          <x:t xml:space="preserve">31-12N-24W</x:t>
        </x:is>
      </x:c>
      <x:c r="J779" s="527" t="inlineStr">
        <x:is>
          <x:t xml:space="preserve">Fee / as stated</x:t>
        </x:is>
      </x:c>
      <x:c r="K779" s="527" t="inlineStr">
        <x:is>
          <x:t xml:space="preserve">OKCountyRecords official index, Roger Mills County (instrument 1982-007158); searched 06/11/2026</x:t>
        </x:is>
      </x:c>
      <x:c r="L779" s="565" t="n"/>
      <x:c r="M779" s="565" t="n"/>
      <x:c r="N779" s="565" t="n"/>
      <x:c r="O779" s="565" t="n"/>
      <x:c r="P779" s="565" t="n"/>
      <x:c r="Q779" s="565" t="n"/>
      <x:c r="R779" s="565" t="n"/>
      <x:c r="S779" s="613" t="n"/>
      <x:c r="T779" s="565" t="n"/>
      <x:c r="U779" s="613" t="n"/>
      <x:c r="V779" s="565" t="n"/>
      <x:c r="W779" s="565" t="n"/>
      <x:c r="X779" s="565" t="n"/>
      <x:c r="Y779" s="565" t="n"/>
      <x:c r="Z779" s="565" t="n"/>
    </x:row>
    <x:row r="780">
      <x:c r="A780" s="527" t="inlineStr">
        <x:is>
          <x:t xml:space="preserve">1982-007341</x:t>
        </x:is>
      </x:c>
      <x:c r="B780" s="527" t="n"/>
      <x:c r="C780" s="527" t="inlineStr">
        <x:is>
          <x:t xml:space="preserve">Assignment</x:t>
        </x:is>
      </x:c>
      <x:c r="D780" s="527" t="inlineStr">
        <x:is>
          <x:t xml:space="preserve">0452/0212</x:t>
        </x:is>
      </x:c>
      <x:c r="E780" s="529" t="inlineStr">
        <x:is>
          <x:t xml:space="preserve">06/28/1982</x:t>
        </x:is>
      </x:c>
      <x:c r="F780" s="529" t="n">
        <x:v>30130</x:v>
      </x:c>
      <x:c r="G780" s="527" t="inlineStr">
        <x:is>
          <x:t xml:space="preserve">Adams Litle, Inc.</x:t>
        </x:is>
      </x:c>
      <x:c r="H780" s="527" t="inlineStr">
        <x:is>
          <x:t xml:space="preserve">Energy Reserves Group, Inc.</x:t>
        </x:is>
      </x:c>
      <x:c r="I780" s="527" t="inlineStr">
        <x:is>
          <x:t xml:space="preserve">31-12N-24W</x:t>
        </x:is>
      </x:c>
      <x:c r="J780" s="527" t="inlineStr">
        <x:is>
          <x:t xml:space="preserve">Leasehold / WI</x:t>
        </x:is>
      </x:c>
      <x:c r="K780" s="527" t="inlineStr">
        <x:is>
          <x:t xml:space="preserve">OKCountyRecords official index, Roger Mills County (instrument 1982-007341); searched 06/11/2026</x:t>
        </x:is>
      </x:c>
      <x:c r="L780" s="565" t="n"/>
      <x:c r="M780" s="565" t="n"/>
      <x:c r="N780" s="565" t="n"/>
      <x:c r="O780" s="565" t="n"/>
      <x:c r="P780" s="565" t="n"/>
      <x:c r="Q780" s="565" t="n"/>
      <x:c r="R780" s="565" t="n"/>
      <x:c r="S780" s="613" t="n"/>
      <x:c r="T780" s="565" t="n"/>
      <x:c r="U780" s="613" t="n"/>
      <x:c r="V780" s="565" t="n"/>
      <x:c r="W780" s="565" t="n"/>
      <x:c r="X780" s="565" t="n"/>
      <x:c r="Y780" s="565" t="n"/>
      <x:c r="Z780" s="565" t="n"/>
    </x:row>
    <x:row r="781">
      <x:c r="A781" s="527" t="inlineStr">
        <x:is>
          <x:t xml:space="preserve">1982-008742</x:t>
        </x:is>
      </x:c>
      <x:c r="B781" s="527" t="n"/>
      <x:c r="C781" s="527" t="inlineStr">
        <x:is>
          <x:t xml:space="preserve">Assignment</x:t>
        </x:is>
      </x:c>
      <x:c r="D781" s="527" t="inlineStr">
        <x:is>
          <x:t xml:space="preserve">0462/0216</x:t>
        </x:is>
      </x:c>
      <x:c r="E781" s="529" t="inlineStr">
        <x:is>
          <x:t xml:space="preserve">08/10/1982</x:t>
        </x:is>
      </x:c>
      <x:c r="F781" s="529" t="n">
        <x:v>30173</x:v>
      </x:c>
      <x:c r="G781" s="527" t="inlineStr">
        <x:is>
          <x:t xml:space="preserve">Michigan Wisconsin Pipe Line Co</x:t>
        </x:is>
      </x:c>
      <x:c r="H781" s="527" t="inlineStr">
        <x:is>
          <x:t xml:space="preserve">Ann Production Co,
Forest Oil Corp</x:t>
        </x:is>
      </x:c>
      <x:c r="I781" s="527" t="inlineStr">
        <x:is>
          <x:t xml:space="preserve">31-12N-24W (AOL)</x:t>
        </x:is>
      </x:c>
      <x:c r="J781" s="527" t="inlineStr">
        <x:is>
          <x:t xml:space="preserve">Leasehold / WI</x:t>
        </x:is>
      </x:c>
      <x:c r="K781" s="527" t="inlineStr">
        <x:is>
          <x:t xml:space="preserve">OKCountyRecords official index, Roger Mills County (instrument 1982-008742); searched 06/11/2026</x:t>
        </x:is>
      </x:c>
      <x:c r="L781" s="565" t="n"/>
      <x:c r="M781" s="565" t="n"/>
      <x:c r="N781" s="565" t="n"/>
      <x:c r="O781" s="565" t="n"/>
      <x:c r="P781" s="565" t="n"/>
      <x:c r="Q781" s="565" t="n"/>
      <x:c r="R781" s="565" t="n"/>
      <x:c r="S781" s="613" t="n"/>
      <x:c r="T781" s="565" t="n"/>
      <x:c r="U781" s="613" t="n"/>
      <x:c r="V781" s="565" t="n"/>
      <x:c r="W781" s="565" t="n"/>
      <x:c r="X781" s="565" t="n"/>
      <x:c r="Y781" s="565" t="n"/>
      <x:c r="Z781" s="565" t="n"/>
    </x:row>
    <x:row r="782">
      <x:c r="A782" s="527" t="inlineStr">
        <x:is>
          <x:t xml:space="preserve">1982-010547</x:t>
        </x:is>
      </x:c>
      <x:c r="B782" s="527" t="n"/>
      <x:c r="C782" s="527" t="inlineStr">
        <x:is>
          <x:t xml:space="preserve">Assignment</x:t>
        </x:is>
      </x:c>
      <x:c r="D782" s="527" t="inlineStr">
        <x:is>
          <x:t xml:space="preserve">0475/0235</x:t>
        </x:is>
      </x:c>
      <x:c r="E782" s="529" t="inlineStr">
        <x:is>
          <x:t xml:space="preserve">10/06/1982</x:t>
        </x:is>
      </x:c>
      <x:c r="F782" s="529" t="n">
        <x:v>30230</x:v>
      </x:c>
      <x:c r="G782" s="527" t="inlineStr">
        <x:is>
          <x:t xml:space="preserve">Richland Resources Corp</x:t>
        </x:is>
      </x:c>
      <x:c r="H782" s="527" t="inlineStr">
        <x:is>
          <x:t xml:space="preserve">J. Walter Duncan Jr.</x:t>
        </x:is>
      </x:c>
      <x:c r="I782" s="527" t="inlineStr">
        <x:is>
          <x:t xml:space="preserve">31-12N-24W</x:t>
        </x:is>
      </x:c>
      <x:c r="J782" s="527" t="inlineStr">
        <x:is>
          <x:t xml:space="preserve">Leasehold / WI</x:t>
        </x:is>
      </x:c>
      <x:c r="K782" s="527" t="inlineStr">
        <x:is>
          <x:t xml:space="preserve">OKCountyRecords official index, Roger Mills County (instrument 1982-010547); searched 06/11/2026</x:t>
        </x:is>
      </x:c>
      <x:c r="L782" s="565" t="n"/>
      <x:c r="M782" s="565" t="n"/>
      <x:c r="N782" s="565" t="n"/>
      <x:c r="O782" s="565" t="n"/>
      <x:c r="P782" s="565" t="n"/>
      <x:c r="Q782" s="565" t="n"/>
      <x:c r="R782" s="565" t="n"/>
      <x:c r="S782" s="613" t="n"/>
      <x:c r="T782" s="565" t="n"/>
      <x:c r="U782" s="613" t="n"/>
      <x:c r="V782" s="565" t="n"/>
      <x:c r="W782" s="565" t="n"/>
      <x:c r="X782" s="565" t="n"/>
      <x:c r="Y782" s="565" t="n"/>
      <x:c r="Z782" s="565" t="n"/>
    </x:row>
    <x:row r="783">
      <x:c r="A783" s="527" t="inlineStr">
        <x:is>
          <x:t xml:space="preserve">1982-011142</x:t>
        </x:is>
      </x:c>
      <x:c r="B783" s="527" t="n"/>
      <x:c r="C783" s="527" t="inlineStr">
        <x:is>
          <x:t xml:space="preserve">Deed</x:t>
        </x:is>
      </x:c>
      <x:c r="D783" s="527" t="inlineStr">
        <x:is>
          <x:t xml:space="preserve">0480/0070</x:t>
        </x:is>
      </x:c>
      <x:c r="E783" s="529" t="inlineStr">
        <x:is>
          <x:t xml:space="preserve">10/26/1982</x:t>
        </x:is>
      </x:c>
      <x:c r="F783" s="529" t="n">
        <x:v>30250</x:v>
      </x:c>
      <x:c r="G783" s="527" t="inlineStr">
        <x:is>
          <x:t xml:space="preserve">Barbara J. Bain,
Billy W. Bain</x:t>
        </x:is>
      </x:c>
      <x:c r="H783" s="527" t="inlineStr">
        <x:is>
          <x:t xml:space="preserve">Myron V. Slobin</x:t>
        </x:is>
      </x:c>
      <x:c r="I783" s="527" t="inlineStr">
        <x:is>
          <x:t xml:space="preserve">31-12N-24W (AOL)</x:t>
        </x:is>
      </x:c>
      <x:c r="J783" s="527" t="inlineStr">
        <x:is>
          <x:t xml:space="preserve">Fee / as stated</x:t>
        </x:is>
      </x:c>
      <x:c r="K783" s="527" t="inlineStr">
        <x:is>
          <x:t xml:space="preserve">OKCountyRecords official index, Roger Mills County (instrument 1982-011142); searched 06/11/2026</x:t>
        </x:is>
      </x:c>
      <x:c r="L783" s="565" t="n"/>
      <x:c r="M783" s="565" t="n"/>
      <x:c r="N783" s="565" t="n"/>
      <x:c r="O783" s="565" t="n"/>
      <x:c r="P783" s="565" t="n"/>
      <x:c r="Q783" s="565" t="n"/>
      <x:c r="R783" s="565" t="n"/>
      <x:c r="S783" s="613" t="n"/>
      <x:c r="T783" s="565" t="n"/>
      <x:c r="U783" s="613" t="n"/>
      <x:c r="V783" s="565" t="n"/>
      <x:c r="W783" s="565" t="n"/>
      <x:c r="X783" s="565" t="n"/>
      <x:c r="Y783" s="565" t="n"/>
      <x:c r="Z783" s="565" t="n"/>
    </x:row>
    <x:row r="784">
      <x:c r="A784" s="527" t="inlineStr">
        <x:is>
          <x:t xml:space="preserve">1982-011143</x:t>
        </x:is>
      </x:c>
      <x:c r="B784" s="527" t="n"/>
      <x:c r="C784" s="527" t="inlineStr">
        <x:is>
          <x:t xml:space="preserve">Deed</x:t>
        </x:is>
      </x:c>
      <x:c r="D784" s="527" t="inlineStr">
        <x:is>
          <x:t xml:space="preserve">0480/0071</x:t>
        </x:is>
      </x:c>
      <x:c r="E784" s="529" t="inlineStr">
        <x:is>
          <x:t xml:space="preserve">10/26/1982</x:t>
        </x:is>
      </x:c>
      <x:c r="F784" s="529" t="n">
        <x:v>30250</x:v>
      </x:c>
      <x:c r="G784" s="527" t="inlineStr">
        <x:is>
          <x:t xml:space="preserve">Barbara J. Bain,
Billy W. Bain</x:t>
        </x:is>
      </x:c>
      <x:c r="H784" s="527" t="inlineStr">
        <x:is>
          <x:t xml:space="preserve">Gregory J. Winneke</x:t>
        </x:is>
      </x:c>
      <x:c r="I784" s="527" t="inlineStr">
        <x:is>
          <x:t xml:space="preserve">31-12N-24W (AOL)</x:t>
        </x:is>
      </x:c>
      <x:c r="J784" s="527" t="inlineStr">
        <x:is>
          <x:t xml:space="preserve">Fee / as stated</x:t>
        </x:is>
      </x:c>
      <x:c r="K784" s="527" t="inlineStr">
        <x:is>
          <x:t xml:space="preserve">OKCountyRecords official index, Roger Mills County (instrument 1982-011143); searched 06/11/2026</x:t>
        </x:is>
      </x:c>
      <x:c r="L784" s="565" t="n"/>
      <x:c r="M784" s="565" t="n"/>
      <x:c r="N784" s="565" t="n"/>
      <x:c r="O784" s="565" t="n"/>
      <x:c r="P784" s="565" t="n"/>
      <x:c r="Q784" s="565" t="n"/>
      <x:c r="R784" s="565" t="n"/>
      <x:c r="S784" s="613" t="n"/>
      <x:c r="T784" s="565" t="n"/>
      <x:c r="U784" s="613" t="n"/>
      <x:c r="V784" s="565" t="n"/>
      <x:c r="W784" s="565" t="n"/>
      <x:c r="X784" s="565" t="n"/>
      <x:c r="Y784" s="565" t="n"/>
      <x:c r="Z784" s="565" t="n"/>
    </x:row>
    <x:row r="785">
      <x:c r="A785" s="527" t="inlineStr">
        <x:is>
          <x:t xml:space="preserve">1982-011144</x:t>
        </x:is>
      </x:c>
      <x:c r="B785" s="527" t="n"/>
      <x:c r="C785" s="527" t="inlineStr">
        <x:is>
          <x:t xml:space="preserve">Deed</x:t>
        </x:is>
      </x:c>
      <x:c r="D785" s="527" t="inlineStr">
        <x:is>
          <x:t xml:space="preserve">0480/0072</x:t>
        </x:is>
      </x:c>
      <x:c r="E785" s="529" t="inlineStr">
        <x:is>
          <x:t xml:space="preserve">10/26/1982</x:t>
        </x:is>
      </x:c>
      <x:c r="F785" s="529" t="n">
        <x:v>30250</x:v>
      </x:c>
      <x:c r="G785" s="527" t="inlineStr">
        <x:is>
          <x:t xml:space="preserve">Barbara J. Bain,
Billy W. Bain</x:t>
        </x:is>
      </x:c>
      <x:c r="H785" s="527" t="inlineStr">
        <x:is>
          <x:t xml:space="preserve">Lyle T. Ibeling</x:t>
        </x:is>
      </x:c>
      <x:c r="I785" s="527" t="inlineStr">
        <x:is>
          <x:t xml:space="preserve">31-12N-24W (AOL)</x:t>
        </x:is>
      </x:c>
      <x:c r="J785" s="527" t="inlineStr">
        <x:is>
          <x:t xml:space="preserve">Fee / as stated</x:t>
        </x:is>
      </x:c>
      <x:c r="K785" s="527" t="inlineStr">
        <x:is>
          <x:t xml:space="preserve">OKCountyRecords official index, Roger Mills County (instrument 1982-011144); searched 06/11/2026</x:t>
        </x:is>
      </x:c>
      <x:c r="L785" s="565" t="n"/>
      <x:c r="M785" s="565" t="n"/>
      <x:c r="N785" s="565" t="n"/>
      <x:c r="O785" s="565" t="n"/>
      <x:c r="P785" s="565" t="n"/>
      <x:c r="Q785" s="565" t="n"/>
      <x:c r="R785" s="565" t="n"/>
      <x:c r="S785" s="613" t="n"/>
      <x:c r="T785" s="565" t="n"/>
      <x:c r="U785" s="613" t="n"/>
      <x:c r="V785" s="565" t="n"/>
      <x:c r="W785" s="565" t="n"/>
      <x:c r="X785" s="565" t="n"/>
      <x:c r="Y785" s="565" t="n"/>
      <x:c r="Z785" s="565" t="n"/>
    </x:row>
    <x:row r="786">
      <x:c r="A786" s="527" t="inlineStr">
        <x:is>
          <x:t xml:space="preserve">1983-001668</x:t>
        </x:is>
      </x:c>
      <x:c r="B786" s="527" t="n"/>
      <x:c r="C786" s="527" t="inlineStr">
        <x:is>
          <x:t xml:space="preserve">Miscellaneous</x:t>
        </x:is>
      </x:c>
      <x:c r="D786" s="527" t="inlineStr">
        <x:is>
          <x:t xml:space="preserve">0512/0061</x:t>
        </x:is>
      </x:c>
      <x:c r="E786" s="529" t="inlineStr">
        <x:is>
          <x:t xml:space="preserve">02/22/1983</x:t>
        </x:is>
      </x:c>
      <x:c r="F786" s="529" t="n">
        <x:v>30369</x:v>
      </x:c>
      <x:c r="G786" s="527" t="inlineStr">
        <x:is>
          <x:t xml:space="preserve">Hazel A. Hamilton</x:t>
        </x:is>
      </x:c>
      <x:c r="H786" s="527" t="inlineStr">
        <x:is>
          <x:t xml:space="preserve">Billy Wayne Bain</x:t>
        </x:is>
      </x:c>
      <x:c r="I786" s="527" t="inlineStr">
        <x:is>
          <x:t xml:space="preserve">31-12N-24W (AOL)</x:t>
        </x:is>
      </x:c>
      <x:c r="J786" s="527" t="inlineStr">
        <x:is>
          <x:t xml:space="preserve">See instrument</x:t>
        </x:is>
      </x:c>
      <x:c r="K786" s="527" t="inlineStr">
        <x:is>
          <x:t xml:space="preserve">OKCountyRecords official index, Roger Mills County (instrument 1983-001668); searched 06/11/2026</x:t>
        </x:is>
      </x:c>
      <x:c r="L786" s="565" t="n"/>
      <x:c r="M786" s="565" t="n"/>
      <x:c r="N786" s="565" t="n"/>
      <x:c r="O786" s="565" t="n"/>
      <x:c r="P786" s="565" t="n"/>
      <x:c r="Q786" s="565" t="n"/>
      <x:c r="R786" s="565" t="n"/>
      <x:c r="S786" s="613" t="n"/>
      <x:c r="T786" s="565" t="n"/>
      <x:c r="U786" s="613" t="n"/>
      <x:c r="V786" s="565" t="n"/>
      <x:c r="W786" s="565" t="n"/>
      <x:c r="X786" s="565" t="n"/>
      <x:c r="Y786" s="565" t="n"/>
      <x:c r="Z786" s="565" t="n"/>
    </x:row>
    <x:row r="787">
      <x:c r="A787" s="527" t="inlineStr">
        <x:is>
          <x:t xml:space="preserve">1983-001669</x:t>
        </x:is>
      </x:c>
      <x:c r="B787" s="527" t="n"/>
      <x:c r="C787" s="527" t="inlineStr">
        <x:is>
          <x:t xml:space="preserve">Deed</x:t>
        </x:is>
      </x:c>
      <x:c r="D787" s="527" t="inlineStr">
        <x:is>
          <x:t xml:space="preserve">0512/0065</x:t>
        </x:is>
      </x:c>
      <x:c r="E787" s="529" t="inlineStr">
        <x:is>
          <x:t xml:space="preserve">02/22/1983</x:t>
        </x:is>
      </x:c>
      <x:c r="F787" s="529" t="n">
        <x:v>30369</x:v>
      </x:c>
      <x:c r="G787" s="527" t="inlineStr">
        <x:is>
          <x:t xml:space="preserve">Billy Wayne Bain, Trustee,
Hamilton, Hazel A. Trust</x:t>
        </x:is>
      </x:c>
      <x:c r="H787" s="527" t="inlineStr">
        <x:is>
          <x:t xml:space="preserve">O. K. Oil Venture</x:t>
        </x:is>
      </x:c>
      <x:c r="I787" s="527" t="inlineStr">
        <x:is>
          <x:t xml:space="preserve">31-12N-24W (AOL)</x:t>
        </x:is>
      </x:c>
      <x:c r="J787" s="527" t="inlineStr">
        <x:is>
          <x:t xml:space="preserve">Fee / as stated</x:t>
        </x:is>
      </x:c>
      <x:c r="K787" s="527" t="inlineStr">
        <x:is>
          <x:t xml:space="preserve">OKCountyRecords official index, Roger Mills County (instrument 1983-001669); searched 06/11/2026</x:t>
        </x:is>
      </x:c>
      <x:c r="L787" s="565" t="n"/>
      <x:c r="M787" s="565" t="n"/>
      <x:c r="N787" s="565" t="n"/>
      <x:c r="O787" s="565" t="n"/>
      <x:c r="P787" s="565" t="n"/>
      <x:c r="Q787" s="565" t="n"/>
      <x:c r="R787" s="565" t="n"/>
      <x:c r="S787" s="613" t="n"/>
      <x:c r="T787" s="565" t="n"/>
      <x:c r="U787" s="613" t="n"/>
      <x:c r="V787" s="565" t="n"/>
      <x:c r="W787" s="565" t="n"/>
      <x:c r="X787" s="565" t="n"/>
      <x:c r="Y787" s="565" t="n"/>
      <x:c r="Z787" s="565" t="n"/>
    </x:row>
    <x:row r="788">
      <x:c r="A788" s="527" t="inlineStr">
        <x:is>
          <x:t xml:space="preserve">1983-001671</x:t>
        </x:is>
      </x:c>
      <x:c r="B788" s="527" t="n"/>
      <x:c r="C788" s="527" t="inlineStr">
        <x:is>
          <x:t xml:space="preserve">Final Decree</x:t>
        </x:is>
      </x:c>
      <x:c r="D788" s="527" t="inlineStr">
        <x:is>
          <x:t xml:space="preserve">0512/0067</x:t>
        </x:is>
      </x:c>
      <x:c r="E788" s="529" t="inlineStr">
        <x:is>
          <x:t xml:space="preserve">02/22/1983</x:t>
        </x:is>
      </x:c>
      <x:c r="F788" s="529" t="n">
        <x:v>30369</x:v>
      </x:c>
      <x:c r="G788" s="527" t="inlineStr">
        <x:is>
          <x:t xml:space="preserve">Jesse G. French</x:t>
        </x:is>
      </x:c>
      <x:c r="H788" s="527" t="inlineStr">
        <x:is>
          <x:t xml:space="preserve">Lois B. French,
The Public</x:t>
        </x:is>
      </x:c>
      <x:c r="I788" s="527" t="inlineStr">
        <x:is>
          <x:t xml:space="preserve">31-12N-24W (AOL)</x:t>
        </x:is>
      </x:c>
      <x:c r="J788" s="527" t="inlineStr">
        <x:is>
          <x:t xml:space="preserve">Fee / as stated</x:t>
        </x:is>
      </x:c>
      <x:c r="K788" s="527" t="inlineStr">
        <x:is>
          <x:t xml:space="preserve">OKCountyRecords official index, Roger Mills County (instrument 1983-001671); searched 06/11/2026</x:t>
        </x:is>
      </x:c>
      <x:c r="L788" s="565" t="n"/>
      <x:c r="M788" s="565" t="n"/>
      <x:c r="N788" s="565" t="n"/>
      <x:c r="O788" s="565" t="n"/>
      <x:c r="P788" s="565" t="n"/>
      <x:c r="Q788" s="565" t="n"/>
      <x:c r="R788" s="565" t="n"/>
      <x:c r="S788" s="613" t="n"/>
      <x:c r="T788" s="565" t="n"/>
      <x:c r="U788" s="613" t="n"/>
      <x:c r="V788" s="565" t="n"/>
      <x:c r="W788" s="565" t="n"/>
      <x:c r="X788" s="565" t="n"/>
      <x:c r="Y788" s="565" t="n"/>
      <x:c r="Z788" s="565" t="n"/>
    </x:row>
    <x:row r="789">
      <x:c r="A789" s="527" t="inlineStr">
        <x:is>
          <x:t xml:space="preserve">1983-001869</x:t>
        </x:is>
      </x:c>
      <x:c r="B789" s="527" t="n"/>
      <x:c r="C789" s="527" t="inlineStr">
        <x:is>
          <x:t xml:space="preserve">Miscellaneous</x:t>
        </x:is>
      </x:c>
      <x:c r="D789" s="527" t="inlineStr">
        <x:is>
          <x:t xml:space="preserve">0513/0101</x:t>
        </x:is>
      </x:c>
      <x:c r="E789" s="529" t="inlineStr">
        <x:is>
          <x:t xml:space="preserve">02/28/1983</x:t>
        </x:is>
      </x:c>
      <x:c r="F789" s="529" t="n">
        <x:v>30375</x:v>
      </x:c>
      <x:c r="G789" s="527" t="inlineStr">
        <x:is>
          <x:t xml:space="preserve">Clara Mae Bryan,
George M. Bryan</x:t>
        </x:is>
      </x:c>
      <x:c r="H789" s="527" t="inlineStr">
        <x:is>
          <x:t xml:space="preserve">Eula Cross</x:t>
        </x:is>
      </x:c>
      <x:c r="I789" s="527" t="inlineStr">
        <x:is>
          <x:t xml:space="preserve">31-12N-24W (AOL)</x:t>
        </x:is>
      </x:c>
      <x:c r="J789" s="527" t="inlineStr">
        <x:is>
          <x:t xml:space="preserve">See instrument</x:t>
        </x:is>
      </x:c>
      <x:c r="K789" s="527" t="inlineStr">
        <x:is>
          <x:t xml:space="preserve">OKCountyRecords official index, Roger Mills County (instrument 1983-001869); searched 06/11/2026</x:t>
        </x:is>
      </x:c>
      <x:c r="L789" s="565" t="n"/>
      <x:c r="M789" s="565" t="n"/>
      <x:c r="N789" s="565" t="n"/>
      <x:c r="O789" s="565" t="n"/>
      <x:c r="P789" s="565" t="n"/>
      <x:c r="Q789" s="565" t="n"/>
      <x:c r="R789" s="565" t="n"/>
      <x:c r="S789" s="613" t="n"/>
      <x:c r="T789" s="565" t="n"/>
      <x:c r="U789" s="613" t="n"/>
      <x:c r="V789" s="565" t="n"/>
      <x:c r="W789" s="565" t="n"/>
      <x:c r="X789" s="565" t="n"/>
      <x:c r="Y789" s="565" t="n"/>
      <x:c r="Z789" s="565" t="n"/>
    </x:row>
    <x:row r="790">
      <x:c r="A790" s="527" t="inlineStr">
        <x:is>
          <x:t xml:space="preserve">1983-002348</x:t>
        </x:is>
      </x:c>
      <x:c r="B790" s="527" t="n"/>
      <x:c r="C790" s="527" t="inlineStr">
        <x:is>
          <x:t xml:space="preserve">Deed</x:t>
        </x:is>
      </x:c>
      <x:c r="D790" s="527" t="inlineStr">
        <x:is>
          <x:t xml:space="preserve">0517/0134</x:t>
        </x:is>
      </x:c>
      <x:c r="E790" s="529" t="inlineStr">
        <x:is>
          <x:t xml:space="preserve">03/13/1983</x:t>
        </x:is>
      </x:c>
      <x:c r="F790" s="529" t="n">
        <x:v>30388</x:v>
      </x:c>
      <x:c r="G790" s="527" t="inlineStr">
        <x:is>
          <x:t xml:space="preserve">O. K. Oil Venture</x:t>
        </x:is>
      </x:c>
      <x:c r="H790" s="527" t="inlineStr">
        <x:is>
          <x:t xml:space="preserve">Jonathan E. Jensen</x:t>
        </x:is>
      </x:c>
      <x:c r="I790" s="527" t="inlineStr">
        <x:is>
          <x:t xml:space="preserve">31-12N-24W (AOL)</x:t>
        </x:is>
      </x:c>
      <x:c r="J790" s="527" t="inlineStr">
        <x:is>
          <x:t xml:space="preserve">Fee / as stated</x:t>
        </x:is>
      </x:c>
      <x:c r="K790" s="527" t="inlineStr">
        <x:is>
          <x:t xml:space="preserve">OKCountyRecords official index, Roger Mills County (instrument 1983-002348); searched 06/11/2026</x:t>
        </x:is>
      </x:c>
      <x:c r="L790" s="565" t="n"/>
      <x:c r="M790" s="565" t="n"/>
      <x:c r="N790" s="565" t="n"/>
      <x:c r="O790" s="565" t="n"/>
      <x:c r="P790" s="565" t="n"/>
      <x:c r="Q790" s="565" t="n"/>
      <x:c r="R790" s="565" t="n"/>
      <x:c r="S790" s="613" t="n"/>
      <x:c r="T790" s="565" t="n"/>
      <x:c r="U790" s="613" t="n"/>
      <x:c r="V790" s="565" t="n"/>
      <x:c r="W790" s="565" t="n"/>
      <x:c r="X790" s="565" t="n"/>
      <x:c r="Y790" s="565" t="n"/>
      <x:c r="Z790" s="565" t="n"/>
    </x:row>
    <x:row r="791">
      <x:c r="A791" s="527" t="inlineStr">
        <x:is>
          <x:t xml:space="preserve">1983-002349</x:t>
        </x:is>
      </x:c>
      <x:c r="B791" s="527" t="n"/>
      <x:c r="C791" s="527" t="inlineStr">
        <x:is>
          <x:t xml:space="preserve">Deed</x:t>
        </x:is>
      </x:c>
      <x:c r="D791" s="527" t="inlineStr">
        <x:is>
          <x:t xml:space="preserve">0517/0135</x:t>
        </x:is>
      </x:c>
      <x:c r="E791" s="529" t="inlineStr">
        <x:is>
          <x:t xml:space="preserve">03/13/1983</x:t>
        </x:is>
      </x:c>
      <x:c r="F791" s="529" t="n">
        <x:v>30388</x:v>
      </x:c>
      <x:c r="G791" s="527" t="inlineStr">
        <x:is>
          <x:t xml:space="preserve">O. K. Oil Venture</x:t>
        </x:is>
      </x:c>
      <x:c r="H791" s="527" t="inlineStr">
        <x:is>
          <x:t xml:space="preserve">John R. Bringle</x:t>
        </x:is>
      </x:c>
      <x:c r="I791" s="527" t="inlineStr">
        <x:is>
          <x:t xml:space="preserve">31-12N-24W (AOL)</x:t>
        </x:is>
      </x:c>
      <x:c r="J791" s="527" t="inlineStr">
        <x:is>
          <x:t xml:space="preserve">Fee / as stated</x:t>
        </x:is>
      </x:c>
      <x:c r="K791" s="527" t="inlineStr">
        <x:is>
          <x:t xml:space="preserve">OKCountyRecords official index, Roger Mills County (instrument 1983-002349); searched 06/11/2026</x:t>
        </x:is>
      </x:c>
      <x:c r="L791" s="565" t="n"/>
      <x:c r="M791" s="565" t="n"/>
      <x:c r="N791" s="565" t="n"/>
      <x:c r="O791" s="565" t="n"/>
      <x:c r="P791" s="565" t="n"/>
      <x:c r="Q791" s="565" t="n"/>
      <x:c r="R791" s="565" t="n"/>
      <x:c r="S791" s="613" t="n"/>
      <x:c r="T791" s="565" t="n"/>
      <x:c r="U791" s="613" t="n"/>
      <x:c r="V791" s="565" t="n"/>
      <x:c r="W791" s="565" t="n"/>
      <x:c r="X791" s="565" t="n"/>
      <x:c r="Y791" s="565" t="n"/>
      <x:c r="Z791" s="565" t="n"/>
    </x:row>
    <x:row r="792">
      <x:c r="A792" s="527" t="inlineStr">
        <x:is>
          <x:t xml:space="preserve">1983-002350</x:t>
        </x:is>
      </x:c>
      <x:c r="B792" s="527" t="n"/>
      <x:c r="C792" s="527" t="inlineStr">
        <x:is>
          <x:t xml:space="preserve">Deed</x:t>
        </x:is>
      </x:c>
      <x:c r="D792" s="527" t="inlineStr">
        <x:is>
          <x:t xml:space="preserve">0517/0136</x:t>
        </x:is>
      </x:c>
      <x:c r="E792" s="529" t="inlineStr">
        <x:is>
          <x:t xml:space="preserve">03/13/1983</x:t>
        </x:is>
      </x:c>
      <x:c r="F792" s="529" t="n">
        <x:v>30388</x:v>
      </x:c>
      <x:c r="G792" s="527" t="inlineStr">
        <x:is>
          <x:t xml:space="preserve">O. K. Oil Venture</x:t>
        </x:is>
      </x:c>
      <x:c r="H792" s="527" t="inlineStr">
        <x:is>
          <x:t xml:space="preserve">James F. Menehan</x:t>
        </x:is>
      </x:c>
      <x:c r="I792" s="527" t="inlineStr">
        <x:is>
          <x:t xml:space="preserve">31-12N-24W (AOL)</x:t>
        </x:is>
      </x:c>
      <x:c r="J792" s="527" t="inlineStr">
        <x:is>
          <x:t xml:space="preserve">Fee / as stated</x:t>
        </x:is>
      </x:c>
      <x:c r="K792" s="527" t="inlineStr">
        <x:is>
          <x:t xml:space="preserve">OKCountyRecords official index, Roger Mills County (instrument 1983-002350); searched 06/11/2026</x:t>
        </x:is>
      </x:c>
      <x:c r="L792" s="565" t="n"/>
      <x:c r="M792" s="565" t="n"/>
      <x:c r="N792" s="565" t="n"/>
      <x:c r="O792" s="565" t="n"/>
      <x:c r="P792" s="565" t="n"/>
      <x:c r="Q792" s="565" t="n"/>
      <x:c r="R792" s="565" t="n"/>
      <x:c r="S792" s="613" t="n"/>
      <x:c r="T792" s="565" t="n"/>
      <x:c r="U792" s="613" t="n"/>
      <x:c r="V792" s="565" t="n"/>
      <x:c r="W792" s="565" t="n"/>
      <x:c r="X792" s="565" t="n"/>
      <x:c r="Y792" s="565" t="n"/>
      <x:c r="Z792" s="565" t="n"/>
    </x:row>
    <x:row r="793">
      <x:c r="A793" s="527" t="inlineStr">
        <x:is>
          <x:t xml:space="preserve">1983-002351</x:t>
        </x:is>
      </x:c>
      <x:c r="B793" s="527" t="n"/>
      <x:c r="C793" s="527" t="inlineStr">
        <x:is>
          <x:t xml:space="preserve">Deed</x:t>
        </x:is>
      </x:c>
      <x:c r="D793" s="527" t="inlineStr">
        <x:is>
          <x:t xml:space="preserve">0517/0137</x:t>
        </x:is>
      </x:c>
      <x:c r="E793" s="529" t="inlineStr">
        <x:is>
          <x:t xml:space="preserve">03/13/1983</x:t>
        </x:is>
      </x:c>
      <x:c r="F793" s="529" t="n">
        <x:v>30388</x:v>
      </x:c>
      <x:c r="G793" s="527" t="inlineStr">
        <x:is>
          <x:t xml:space="preserve">O. K. Oil Venture</x:t>
        </x:is>
      </x:c>
      <x:c r="H793" s="527" t="inlineStr">
        <x:is>
          <x:t xml:space="preserve">L. A. Persicke</x:t>
        </x:is>
      </x:c>
      <x:c r="I793" s="527" t="inlineStr">
        <x:is>
          <x:t xml:space="preserve">31-12N-24W (AOL)</x:t>
        </x:is>
      </x:c>
      <x:c r="J793" s="527" t="inlineStr">
        <x:is>
          <x:t xml:space="preserve">Fee / as stated</x:t>
        </x:is>
      </x:c>
      <x:c r="K793" s="527" t="inlineStr">
        <x:is>
          <x:t xml:space="preserve">OKCountyRecords official index, Roger Mills County (instrument 1983-002351); searched 06/11/2026</x:t>
        </x:is>
      </x:c>
      <x:c r="L793" s="565" t="n"/>
      <x:c r="M793" s="565" t="n"/>
      <x:c r="N793" s="565" t="n"/>
      <x:c r="O793" s="565" t="n"/>
      <x:c r="P793" s="565" t="n"/>
      <x:c r="Q793" s="565" t="n"/>
      <x:c r="R793" s="565" t="n"/>
      <x:c r="S793" s="613" t="n"/>
      <x:c r="T793" s="565" t="n"/>
      <x:c r="U793" s="613" t="n"/>
      <x:c r="V793" s="565" t="n"/>
      <x:c r="W793" s="565" t="n"/>
      <x:c r="X793" s="565" t="n"/>
      <x:c r="Y793" s="565" t="n"/>
      <x:c r="Z793" s="565" t="n"/>
    </x:row>
    <x:row r="794">
      <x:c r="A794" s="527" t="inlineStr">
        <x:is>
          <x:t xml:space="preserve">1983-002352</x:t>
        </x:is>
      </x:c>
      <x:c r="B794" s="527" t="n"/>
      <x:c r="C794" s="527" t="inlineStr">
        <x:is>
          <x:t xml:space="preserve">Deed</x:t>
        </x:is>
      </x:c>
      <x:c r="D794" s="527" t="inlineStr">
        <x:is>
          <x:t xml:space="preserve">0517/0138</x:t>
        </x:is>
      </x:c>
      <x:c r="E794" s="529" t="inlineStr">
        <x:is>
          <x:t xml:space="preserve">03/13/1983</x:t>
        </x:is>
      </x:c>
      <x:c r="F794" s="529" t="n">
        <x:v>30388</x:v>
      </x:c>
      <x:c r="G794" s="527" t="inlineStr">
        <x:is>
          <x:t xml:space="preserve">O. K. Oil Venture</x:t>
        </x:is>
      </x:c>
      <x:c r="H794" s="527" t="inlineStr">
        <x:is>
          <x:t xml:space="preserve">Richard M. Heins</x:t>
        </x:is>
      </x:c>
      <x:c r="I794" s="527" t="inlineStr">
        <x:is>
          <x:t xml:space="preserve">31-12N-24W (AOL)</x:t>
        </x:is>
      </x:c>
      <x:c r="J794" s="527" t="inlineStr">
        <x:is>
          <x:t xml:space="preserve">Fee / as stated</x:t>
        </x:is>
      </x:c>
      <x:c r="K794" s="527" t="inlineStr">
        <x:is>
          <x:t xml:space="preserve">OKCountyRecords official index, Roger Mills County (instrument 1983-002352); searched 06/11/2026</x:t>
        </x:is>
      </x:c>
      <x:c r="L794" s="565" t="n"/>
      <x:c r="M794" s="565" t="n"/>
      <x:c r="N794" s="565" t="n"/>
      <x:c r="O794" s="565" t="n"/>
      <x:c r="P794" s="565" t="n"/>
      <x:c r="Q794" s="565" t="n"/>
      <x:c r="R794" s="565" t="n"/>
      <x:c r="S794" s="613" t="n"/>
      <x:c r="T794" s="565" t="n"/>
      <x:c r="U794" s="613" t="n"/>
      <x:c r="V794" s="565" t="n"/>
      <x:c r="W794" s="565" t="n"/>
      <x:c r="X794" s="565" t="n"/>
      <x:c r="Y794" s="565" t="n"/>
      <x:c r="Z794" s="565" t="n"/>
    </x:row>
    <x:row r="795">
      <x:c r="A795" s="527" t="inlineStr">
        <x:is>
          <x:t xml:space="preserve">1983-002495</x:t>
        </x:is>
      </x:c>
      <x:c r="B795" s="527" t="n"/>
      <x:c r="C795" s="527" t="inlineStr">
        <x:is>
          <x:t xml:space="preserve">Oil and Gas Lease</x:t>
        </x:is>
      </x:c>
      <x:c r="D795" s="527" t="inlineStr">
        <x:is>
          <x:t xml:space="preserve">0519/0208</x:t>
        </x:is>
      </x:c>
      <x:c r="E795" s="529" t="inlineStr">
        <x:is>
          <x:t xml:space="preserve">03/16/1983</x:t>
        </x:is>
      </x:c>
      <x:c r="F795" s="529" t="n">
        <x:v>30391</x:v>
      </x:c>
      <x:c r="G795" s="527" t="inlineStr">
        <x:is>
          <x:t xml:space="preserve">Panhandle Royalty Company</x:t>
        </x:is>
      </x:c>
      <x:c r="H795" s="527" t="inlineStr">
        <x:is>
          <x:t xml:space="preserve">Exxon Corporation</x:t>
        </x:is>
      </x:c>
      <x:c r="I795" s="527" t="inlineStr">
        <x:is>
          <x:t xml:space="preserve">31-12N-24W</x:t>
        </x:is>
      </x:c>
      <x:c r="J795" s="527" t="inlineStr">
        <x:is>
          <x:t xml:space="preserve">Leasehold / WI</x:t>
        </x:is>
      </x:c>
      <x:c r="K795" s="527" t="inlineStr">
        <x:is>
          <x:t xml:space="preserve">OKCountyRecords official index, Roger Mills County (instrument 1983-002495); searched 06/11/2026</x:t>
        </x:is>
      </x:c>
      <x:c r="L795" s="565" t="n"/>
      <x:c r="M795" s="565" t="n"/>
      <x:c r="N795" s="565" t="n"/>
      <x:c r="O795" s="565" t="n"/>
      <x:c r="P795" s="565" t="n"/>
      <x:c r="Q795" s="565" t="n"/>
      <x:c r="R795" s="565" t="n"/>
      <x:c r="S795" s="613" t="n"/>
      <x:c r="T795" s="565" t="n"/>
      <x:c r="U795" s="613" t="n"/>
      <x:c r="V795" s="565" t="n"/>
      <x:c r="W795" s="565" t="n"/>
      <x:c r="X795" s="565" t="n"/>
      <x:c r="Y795" s="565" t="n"/>
      <x:c r="Z795" s="565" t="n"/>
    </x:row>
    <x:row r="796">
      <x:c r="A796" s="527" t="inlineStr">
        <x:is>
          <x:t xml:space="preserve">1983-002623</x:t>
        </x:is>
      </x:c>
      <x:c r="B796" s="527" t="n"/>
      <x:c r="C796" s="527" t="inlineStr">
        <x:is>
          <x:t xml:space="preserve">Oil and Gas Lease</x:t>
        </x:is>
      </x:c>
      <x:c r="D796" s="527" t="inlineStr">
        <x:is>
          <x:t xml:space="preserve">0520/0232</x:t>
        </x:is>
      </x:c>
      <x:c r="E796" s="529" t="inlineStr">
        <x:is>
          <x:t xml:space="preserve">03/21/1983</x:t>
        </x:is>
      </x:c>
      <x:c r="F796" s="529" t="n">
        <x:v>30396</x:v>
      </x:c>
      <x:c r="G796" s="527" t="inlineStr">
        <x:is>
          <x:t xml:space="preserve">Panhandle Royalty Company</x:t>
        </x:is>
      </x:c>
      <x:c r="H796" s="527" t="inlineStr">
        <x:is>
          <x:t xml:space="preserve">Exxon Corporation</x:t>
        </x:is>
      </x:c>
      <x:c r="I796" s="527" t="inlineStr">
        <x:is>
          <x:t xml:space="preserve">31-12N-24W</x:t>
        </x:is>
      </x:c>
      <x:c r="J796" s="527" t="inlineStr">
        <x:is>
          <x:t xml:space="preserve">Leasehold / WI</x:t>
        </x:is>
      </x:c>
      <x:c r="K796" s="527" t="inlineStr">
        <x:is>
          <x:t xml:space="preserve">OKCountyRecords official index, Roger Mills County (instrument 1983-002623); searched 06/11/2026</x:t>
        </x:is>
      </x:c>
      <x:c r="L796" s="565" t="n"/>
      <x:c r="M796" s="565" t="n"/>
      <x:c r="N796" s="565" t="n"/>
      <x:c r="O796" s="565" t="n"/>
      <x:c r="P796" s="565" t="n"/>
      <x:c r="Q796" s="565" t="n"/>
      <x:c r="R796" s="565" t="n"/>
      <x:c r="S796" s="613" t="n"/>
      <x:c r="T796" s="565" t="n"/>
      <x:c r="U796" s="613" t="n"/>
      <x:c r="V796" s="565" t="n"/>
      <x:c r="W796" s="565" t="n"/>
      <x:c r="X796" s="565" t="n"/>
      <x:c r="Y796" s="565" t="n"/>
      <x:c r="Z796" s="565" t="n"/>
    </x:row>
    <x:row r="797">
      <x:c r="A797" s="527" t="inlineStr">
        <x:is>
          <x:t xml:space="preserve">1983-003111</x:t>
        </x:is>
      </x:c>
      <x:c r="B797" s="527" t="n"/>
      <x:c r="C797" s="527" t="inlineStr">
        <x:is>
          <x:t xml:space="preserve">Assignment</x:t>
        </x:is>
      </x:c>
      <x:c r="D797" s="527" t="inlineStr">
        <x:is>
          <x:t xml:space="preserve">0526/0273</x:t>
        </x:is>
      </x:c>
      <x:c r="E797" s="529" t="inlineStr">
        <x:is>
          <x:t xml:space="preserve">04/05/1983</x:t>
        </x:is>
      </x:c>
      <x:c r="F797" s="529" t="n">
        <x:v>30411</x:v>
      </x:c>
      <x:c r="G797" s="527" t="inlineStr">
        <x:is>
          <x:t xml:space="preserve">El Paso Exploration Co,
El Paso Natural Gas Co</x:t>
        </x:is>
      </x:c>
      <x:c r="H797" s="527" t="inlineStr">
        <x:is>
          <x:t xml:space="preserve">Forest Oil Corp</x:t>
        </x:is>
      </x:c>
      <x:c r="I797" s="527" t="inlineStr">
        <x:is>
          <x:t xml:space="preserve">31-12N-24W (AOL)</x:t>
        </x:is>
      </x:c>
      <x:c r="J797" s="527" t="inlineStr">
        <x:is>
          <x:t xml:space="preserve">Leasehold / WI</x:t>
        </x:is>
      </x:c>
      <x:c r="K797" s="527" t="inlineStr">
        <x:is>
          <x:t xml:space="preserve">OKCountyRecords official index, Roger Mills County (instrument 1983-003111); searched 06/11/2026</x:t>
        </x:is>
      </x:c>
      <x:c r="L797" s="565" t="n"/>
      <x:c r="M797" s="565" t="n"/>
      <x:c r="N797" s="565" t="n"/>
      <x:c r="O797" s="565" t="n"/>
      <x:c r="P797" s="565" t="n"/>
      <x:c r="Q797" s="565" t="n"/>
      <x:c r="R797" s="565" t="n"/>
      <x:c r="S797" s="613" t="n"/>
      <x:c r="T797" s="565" t="n"/>
      <x:c r="U797" s="613" t="n"/>
      <x:c r="V797" s="565" t="n"/>
      <x:c r="W797" s="565" t="n"/>
      <x:c r="X797" s="565" t="n"/>
      <x:c r="Y797" s="565" t="n"/>
      <x:c r="Z797" s="565" t="n"/>
    </x:row>
    <x:row r="798">
      <x:c r="A798" s="527" t="inlineStr">
        <x:is>
          <x:t xml:space="preserve">1983-003752</x:t>
        </x:is>
      </x:c>
      <x:c r="B798" s="527" t="n"/>
      <x:c r="C798" s="527" t="inlineStr">
        <x:is>
          <x:t xml:space="preserve">Assignment</x:t>
        </x:is>
      </x:c>
      <x:c r="D798" s="527" t="inlineStr">
        <x:is>
          <x:t xml:space="preserve">0532/0106</x:t>
        </x:is>
      </x:c>
      <x:c r="E798" s="529" t="inlineStr">
        <x:is>
          <x:t xml:space="preserve">04/27/1983</x:t>
        </x:is>
      </x:c>
      <x:c r="F798" s="529" t="n">
        <x:v>30433</x:v>
      </x:c>
      <x:c r="G798" s="527" t="inlineStr">
        <x:is>
          <x:t xml:space="preserve">Cities Service Co</x:t>
        </x:is>
      </x:c>
      <x:c r="H798" s="527" t="inlineStr">
        <x:is>
          <x:t xml:space="preserve">Cities Service Oil &amp; Gas Corp</x:t>
        </x:is>
      </x:c>
      <x:c r="I798" s="527" t="inlineStr">
        <x:is>
          <x:t xml:space="preserve">All of 31-12N-24W (AOL)</x:t>
        </x:is>
      </x:c>
      <x:c r="J798" s="527" t="inlineStr">
        <x:is>
          <x:t xml:space="preserve">Leasehold / WI</x:t>
        </x:is>
      </x:c>
      <x:c r="K798" s="527" t="inlineStr">
        <x:is>
          <x:t xml:space="preserve">OKCountyRecords official index, Roger Mills County (instrument 1983-003752); searched 06/11/2026</x:t>
        </x:is>
      </x:c>
      <x:c r="L798" s="565" t="n"/>
      <x:c r="M798" s="565" t="n"/>
      <x:c r="N798" s="565" t="n"/>
      <x:c r="O798" s="565" t="n"/>
      <x:c r="P798" s="565" t="n"/>
      <x:c r="Q798" s="565" t="n"/>
      <x:c r="R798" s="565" t="n"/>
      <x:c r="S798" s="613" t="n"/>
      <x:c r="T798" s="565" t="n"/>
      <x:c r="U798" s="613" t="n"/>
      <x:c r="V798" s="565" t="n"/>
      <x:c r="W798" s="565" t="n"/>
      <x:c r="X798" s="565" t="n"/>
      <x:c r="Y798" s="565" t="n"/>
      <x:c r="Z798" s="565" t="n"/>
    </x:row>
    <x:row r="799">
      <x:c r="A799" s="527" t="inlineStr">
        <x:is>
          <x:t xml:space="preserve">1983-003792</x:t>
        </x:is>
      </x:c>
      <x:c r="B799" s="527" t="n"/>
      <x:c r="C799" s="527" t="inlineStr">
        <x:is>
          <x:t xml:space="preserve">Oil and Gas Lease</x:t>
        </x:is>
      </x:c>
      <x:c r="D799" s="527" t="inlineStr">
        <x:is>
          <x:t xml:space="preserve">0532/0231</x:t>
        </x:is>
      </x:c>
      <x:c r="E799" s="529" t="inlineStr">
        <x:is>
          <x:t xml:space="preserve">05/02/1983</x:t>
        </x:is>
      </x:c>
      <x:c r="F799" s="529" t="n">
        <x:v>30438</x:v>
      </x:c>
      <x:c r="G799" s="527" t="inlineStr">
        <x:is>
          <x:t xml:space="preserve">Margaret Gray,
Murrell Gray</x:t>
        </x:is>
      </x:c>
      <x:c r="H799" s="527" t="inlineStr">
        <x:is>
          <x:t xml:space="preserve">El Paso Exploration Company</x:t>
        </x:is>
      </x:c>
      <x:c r="I799" s="527" t="inlineStr">
        <x:is>
          <x:t xml:space="preserve">31-12N-24W (AOL)</x:t>
        </x:is>
      </x:c>
      <x:c r="J799" s="527" t="inlineStr">
        <x:is>
          <x:t xml:space="preserve">Leasehold / WI</x:t>
        </x:is>
      </x:c>
      <x:c r="K799" s="527" t="inlineStr">
        <x:is>
          <x:t xml:space="preserve">OKCountyRecords official index, Roger Mills County (instrument 1983-003792); searched 06/11/2026</x:t>
        </x:is>
      </x:c>
      <x:c r="L799" s="565" t="n"/>
      <x:c r="M799" s="565" t="n"/>
      <x:c r="N799" s="565" t="n"/>
      <x:c r="O799" s="565" t="n"/>
      <x:c r="P799" s="565" t="n"/>
      <x:c r="Q799" s="565" t="n"/>
      <x:c r="R799" s="565" t="n"/>
      <x:c r="S799" s="613" t="n"/>
      <x:c r="T799" s="565" t="n"/>
      <x:c r="U799" s="613" t="n"/>
      <x:c r="V799" s="565" t="n"/>
      <x:c r="W799" s="565" t="n"/>
      <x:c r="X799" s="565" t="n"/>
      <x:c r="Y799" s="565" t="n"/>
      <x:c r="Z799" s="565" t="n"/>
    </x:row>
    <x:row r="800">
      <x:c r="A800" s="527" t="inlineStr">
        <x:is>
          <x:t xml:space="preserve">1983-003793</x:t>
        </x:is>
      </x:c>
      <x:c r="B800" s="527" t="n"/>
      <x:c r="C800" s="527" t="inlineStr">
        <x:is>
          <x:t xml:space="preserve">Oil and Gas Lease</x:t>
        </x:is>
      </x:c>
      <x:c r="D800" s="527" t="inlineStr">
        <x:is>
          <x:t xml:space="preserve">0532/0233</x:t>
        </x:is>
      </x:c>
      <x:c r="E800" s="529" t="inlineStr">
        <x:is>
          <x:t xml:space="preserve">05/02/1983</x:t>
        </x:is>
      </x:c>
      <x:c r="F800" s="529" t="n">
        <x:v>30438</x:v>
      </x:c>
      <x:c r="G800" s="527" t="inlineStr">
        <x:is>
          <x:t xml:space="preserve">Gladys Priest</x:t>
        </x:is>
      </x:c>
      <x:c r="H800" s="527" t="inlineStr">
        <x:is>
          <x:t xml:space="preserve">El Paso Exploration Company</x:t>
        </x:is>
      </x:c>
      <x:c r="I800" s="527" t="inlineStr">
        <x:is>
          <x:t xml:space="preserve">31-12N-24W</x:t>
        </x:is>
      </x:c>
      <x:c r="J800" s="527" t="inlineStr">
        <x:is>
          <x:t xml:space="preserve">Leasehold / WI</x:t>
        </x:is>
      </x:c>
      <x:c r="K800" s="527" t="inlineStr">
        <x:is>
          <x:t xml:space="preserve">OKCountyRecords official index, Roger Mills County (instrument 1983-003793); searched 06/11/2026</x:t>
        </x:is>
      </x:c>
      <x:c r="L800" s="565" t="n"/>
      <x:c r="M800" s="565" t="n"/>
      <x:c r="N800" s="565" t="n"/>
      <x:c r="O800" s="565" t="n"/>
      <x:c r="P800" s="565" t="n"/>
      <x:c r="Q800" s="565" t="n"/>
      <x:c r="R800" s="565" t="n"/>
      <x:c r="S800" s="613" t="n"/>
      <x:c r="T800" s="565" t="n"/>
      <x:c r="U800" s="613" t="n"/>
      <x:c r="V800" s="565" t="n"/>
      <x:c r="W800" s="565" t="n"/>
      <x:c r="X800" s="565" t="n"/>
      <x:c r="Y800" s="565" t="n"/>
      <x:c r="Z800" s="565" t="n"/>
    </x:row>
    <x:row r="801">
      <x:c r="A801" s="527" t="inlineStr">
        <x:is>
          <x:t xml:space="preserve">1983-003961</x:t>
        </x:is>
      </x:c>
      <x:c r="B801" s="527" t="n"/>
      <x:c r="C801" s="527" t="inlineStr">
        <x:is>
          <x:t xml:space="preserve">Oil and Gas Lease</x:t>
        </x:is>
      </x:c>
      <x:c r="D801" s="527" t="inlineStr">
        <x:is>
          <x:t xml:space="preserve">0534/0053</x:t>
        </x:is>
      </x:c>
      <x:c r="E801" s="529" t="inlineStr">
        <x:is>
          <x:t xml:space="preserve">05/09/1983</x:t>
        </x:is>
      </x:c>
      <x:c r="F801" s="529" t="n">
        <x:v>30445</x:v>
      </x:c>
      <x:c r="G801" s="527" t="inlineStr">
        <x:is>
          <x:t xml:space="preserve">Joseph Devenas,
Mary Margaret Devenas</x:t>
        </x:is>
      </x:c>
      <x:c r="H801" s="527" t="inlineStr">
        <x:is>
          <x:t xml:space="preserve">El Paso Exploration Company</x:t>
        </x:is>
      </x:c>
      <x:c r="I801" s="527" t="inlineStr">
        <x:is>
          <x:t xml:space="preserve">31-12N-24W</x:t>
        </x:is>
      </x:c>
      <x:c r="J801" s="527" t="inlineStr">
        <x:is>
          <x:t xml:space="preserve">Leasehold / WI</x:t>
        </x:is>
      </x:c>
      <x:c r="K801" s="527" t="inlineStr">
        <x:is>
          <x:t xml:space="preserve">OKCountyRecords official index, Roger Mills County (instrument 1983-003961); searched 06/11/2026</x:t>
        </x:is>
      </x:c>
      <x:c r="L801" s="565" t="n"/>
      <x:c r="M801" s="565" t="n"/>
      <x:c r="N801" s="565" t="n"/>
      <x:c r="O801" s="565" t="n"/>
      <x:c r="P801" s="565" t="n"/>
      <x:c r="Q801" s="565" t="n"/>
      <x:c r="R801" s="565" t="n"/>
      <x:c r="S801" s="613" t="n"/>
      <x:c r="T801" s="565" t="n"/>
      <x:c r="U801" s="613" t="n"/>
      <x:c r="V801" s="565" t="n"/>
      <x:c r="W801" s="565" t="n"/>
      <x:c r="X801" s="565" t="n"/>
      <x:c r="Y801" s="565" t="n"/>
      <x:c r="Z801" s="565" t="n"/>
    </x:row>
    <x:row r="802">
      <x:c r="A802" s="527" t="inlineStr">
        <x:is>
          <x:t xml:space="preserve">1983-003962</x:t>
        </x:is>
      </x:c>
      <x:c r="B802" s="527" t="n"/>
      <x:c r="C802" s="527" t="inlineStr">
        <x:is>
          <x:t xml:space="preserve">Oil and Gas Lease</x:t>
        </x:is>
      </x:c>
      <x:c r="D802" s="527" t="inlineStr">
        <x:is>
          <x:t xml:space="preserve">0534/0055</x:t>
        </x:is>
      </x:c>
      <x:c r="E802" s="529" t="inlineStr">
        <x:is>
          <x:t xml:space="preserve">05/09/1983</x:t>
        </x:is>
      </x:c>
      <x:c r="F802" s="529" t="n">
        <x:v>30445</x:v>
      </x:c>
      <x:c r="G802" s="527" t="inlineStr">
        <x:is>
          <x:t xml:space="preserve">Oleta Florene Wylie</x:t>
        </x:is>
      </x:c>
      <x:c r="H802" s="527" t="inlineStr">
        <x:is>
          <x:t xml:space="preserve">El Paso Exploration Company</x:t>
        </x:is>
      </x:c>
      <x:c r="I802" s="527" t="inlineStr">
        <x:is>
          <x:t xml:space="preserve">31-12N-24W</x:t>
        </x:is>
      </x:c>
      <x:c r="J802" s="527" t="inlineStr">
        <x:is>
          <x:t xml:space="preserve">Leasehold / WI</x:t>
        </x:is>
      </x:c>
      <x:c r="K802" s="527" t="inlineStr">
        <x:is>
          <x:t xml:space="preserve">OKCountyRecords official index, Roger Mills County (instrument 1983-003962); searched 06/11/2026</x:t>
        </x:is>
      </x:c>
      <x:c r="L802" s="565" t="n"/>
      <x:c r="M802" s="565" t="n"/>
      <x:c r="N802" s="565" t="n"/>
      <x:c r="O802" s="565" t="n"/>
      <x:c r="P802" s="565" t="n"/>
      <x:c r="Q802" s="565" t="n"/>
      <x:c r="R802" s="565" t="n"/>
      <x:c r="S802" s="613" t="n"/>
      <x:c r="T802" s="565" t="n"/>
      <x:c r="U802" s="613" t="n"/>
      <x:c r="V802" s="565" t="n"/>
      <x:c r="W802" s="565" t="n"/>
      <x:c r="X802" s="565" t="n"/>
      <x:c r="Y802" s="565" t="n"/>
      <x:c r="Z802" s="565" t="n"/>
    </x:row>
    <x:row r="803">
      <x:c r="A803" s="527" t="inlineStr">
        <x:is>
          <x:t xml:space="preserve">1983-005001</x:t>
        </x:is>
      </x:c>
      <x:c r="B803" s="527" t="n"/>
      <x:c r="C803" s="527" t="inlineStr">
        <x:is>
          <x:t xml:space="preserve">Assignment</x:t>
        </x:is>
      </x:c>
      <x:c r="D803" s="527" t="inlineStr">
        <x:is>
          <x:t xml:space="preserve">0544/0221</x:t>
        </x:is>
      </x:c>
      <x:c r="E803" s="529" t="inlineStr">
        <x:is>
          <x:t xml:space="preserve">06/23/1983</x:t>
        </x:is>
      </x:c>
      <x:c r="F803" s="529" t="n">
        <x:v>30490</x:v>
      </x:c>
      <x:c r="G803" s="527" t="inlineStr">
        <x:is>
          <x:t xml:space="preserve">J. Wlater Duncan Jr.</x:t>
        </x:is>
      </x:c>
      <x:c r="H803" s="527" t="inlineStr">
        <x:is>
          <x:t xml:space="preserve">Louis McKee Ford,
Ford, Louis McKee Living Trust</x:t>
        </x:is>
      </x:c>
      <x:c r="I803" s="527" t="inlineStr">
        <x:is>
          <x:t xml:space="preserve">31-12N-24W</x:t>
        </x:is>
      </x:c>
      <x:c r="J803" s="527" t="inlineStr">
        <x:is>
          <x:t xml:space="preserve">Leasehold / WI</x:t>
        </x:is>
      </x:c>
      <x:c r="K803" s="527" t="inlineStr">
        <x:is>
          <x:t xml:space="preserve">OKCountyRecords official index, Roger Mills County (instrument 1983-005001); searched 06/11/2026</x:t>
        </x:is>
      </x:c>
      <x:c r="L803" s="565" t="n"/>
      <x:c r="M803" s="565" t="n"/>
      <x:c r="N803" s="565" t="n"/>
      <x:c r="O803" s="565" t="n"/>
      <x:c r="P803" s="565" t="n"/>
      <x:c r="Q803" s="565" t="n"/>
      <x:c r="R803" s="565" t="n"/>
      <x:c r="S803" s="613" t="n"/>
      <x:c r="T803" s="565" t="n"/>
      <x:c r="U803" s="613" t="n"/>
      <x:c r="V803" s="565" t="n"/>
      <x:c r="W803" s="565" t="n"/>
      <x:c r="X803" s="565" t="n"/>
      <x:c r="Y803" s="565" t="n"/>
      <x:c r="Z803" s="565" t="n"/>
    </x:row>
    <x:row r="804">
      <x:c r="A804" s="527" t="inlineStr">
        <x:is>
          <x:t xml:space="preserve">1983-005956</x:t>
        </x:is>
      </x:c>
      <x:c r="B804" s="527" t="n"/>
      <x:c r="C804" s="527" t="inlineStr">
        <x:is>
          <x:t xml:space="preserve">Oil and Gas Lease</x:t>
        </x:is>
      </x:c>
      <x:c r="D804" s="527" t="inlineStr">
        <x:is>
          <x:t xml:space="preserve">0552/0190</x:t>
        </x:is>
      </x:c>
      <x:c r="E804" s="529" t="inlineStr">
        <x:is>
          <x:t xml:space="preserve">08/08/1983</x:t>
        </x:is>
      </x:c>
      <x:c r="F804" s="529" t="n">
        <x:v>30536</x:v>
      </x:c>
      <x:c r="G804" s="527" t="inlineStr">
        <x:is>
          <x:t xml:space="preserve">Jan Hambrook,
Virgil Mark Hambrook</x:t>
        </x:is>
      </x:c>
      <x:c r="H804" s="527" t="inlineStr">
        <x:is>
          <x:t xml:space="preserve">Joseph A. Dominguez</x:t>
        </x:is>
      </x:c>
      <x:c r="I804" s="527" t="inlineStr">
        <x:is>
          <x:t xml:space="preserve">31-12N-24W</x:t>
        </x:is>
      </x:c>
      <x:c r="J804" s="527" t="inlineStr">
        <x:is>
          <x:t xml:space="preserve">Leasehold / WI</x:t>
        </x:is>
      </x:c>
      <x:c r="K804" s="527" t="inlineStr">
        <x:is>
          <x:t xml:space="preserve">OKCountyRecords official index, Roger Mills County (instrument 1983-005956); searched 06/11/2026</x:t>
        </x:is>
      </x:c>
      <x:c r="L804" s="565" t="n"/>
      <x:c r="M804" s="565" t="n"/>
      <x:c r="N804" s="565" t="n"/>
      <x:c r="O804" s="565" t="n"/>
      <x:c r="P804" s="565" t="n"/>
      <x:c r="Q804" s="565" t="n"/>
      <x:c r="R804" s="565" t="n"/>
      <x:c r="S804" s="613" t="n"/>
      <x:c r="T804" s="565" t="n"/>
      <x:c r="U804" s="613" t="n"/>
      <x:c r="V804" s="565" t="n"/>
      <x:c r="W804" s="565" t="n"/>
      <x:c r="X804" s="565" t="n"/>
      <x:c r="Y804" s="565" t="n"/>
      <x:c r="Z804" s="565" t="n"/>
    </x:row>
    <x:row r="805">
      <x:c r="A805" s="527" t="inlineStr">
        <x:is>
          <x:t xml:space="preserve">1983-005957</x:t>
        </x:is>
      </x:c>
      <x:c r="B805" s="527" t="n"/>
      <x:c r="C805" s="527" t="inlineStr">
        <x:is>
          <x:t xml:space="preserve">Assignment</x:t>
        </x:is>
      </x:c>
      <x:c r="D805" s="527" t="inlineStr">
        <x:is>
          <x:t xml:space="preserve">0552/0192</x:t>
        </x:is>
      </x:c>
      <x:c r="E805" s="529" t="inlineStr">
        <x:is>
          <x:t xml:space="preserve">08/08/1983</x:t>
        </x:is>
      </x:c>
      <x:c r="F805" s="529" t="n">
        <x:v>30536</x:v>
      </x:c>
      <x:c r="G805" s="527" t="inlineStr">
        <x:is>
          <x:t xml:space="preserve">Joseph A. Doninguez</x:t>
        </x:is>
      </x:c>
      <x:c r="H805" s="527" t="inlineStr">
        <x:is>
          <x:t xml:space="preserve">El Paso Exploration Co</x:t>
        </x:is>
      </x:c>
      <x:c r="I805" s="527" t="inlineStr">
        <x:is>
          <x:t xml:space="preserve">31-12N-24W</x:t>
        </x:is>
      </x:c>
      <x:c r="J805" s="527" t="inlineStr">
        <x:is>
          <x:t xml:space="preserve">Leasehold / WI</x:t>
        </x:is>
      </x:c>
      <x:c r="K805" s="527" t="inlineStr">
        <x:is>
          <x:t xml:space="preserve">OKCountyRecords official index, Roger Mills County (instrument 1983-005957); searched 06/11/2026</x:t>
        </x:is>
      </x:c>
      <x:c r="L805" s="565" t="n"/>
      <x:c r="M805" s="565" t="n"/>
      <x:c r="N805" s="565" t="n"/>
      <x:c r="O805" s="565" t="n"/>
      <x:c r="P805" s="565" t="n"/>
      <x:c r="Q805" s="565" t="n"/>
      <x:c r="R805" s="565" t="n"/>
      <x:c r="S805" s="613" t="n"/>
      <x:c r="T805" s="565" t="n"/>
      <x:c r="U805" s="613" t="n"/>
      <x:c r="V805" s="565" t="n"/>
      <x:c r="W805" s="565" t="n"/>
      <x:c r="X805" s="565" t="n"/>
      <x:c r="Y805" s="565" t="n"/>
      <x:c r="Z805" s="565" t="n"/>
    </x:row>
    <x:row r="806">
      <x:c r="A806" s="527" t="inlineStr">
        <x:is>
          <x:t xml:space="preserve">1983-005958</x:t>
        </x:is>
      </x:c>
      <x:c r="B806" s="527" t="n"/>
      <x:c r="C806" s="527" t="inlineStr">
        <x:is>
          <x:t xml:space="preserve">Oil and Gas Lease</x:t>
        </x:is>
      </x:c>
      <x:c r="D806" s="527" t="inlineStr">
        <x:is>
          <x:t xml:space="preserve">0552/0193</x:t>
        </x:is>
      </x:c>
      <x:c r="E806" s="529" t="inlineStr">
        <x:is>
          <x:t xml:space="preserve">08/08/1983</x:t>
        </x:is>
      </x:c>
      <x:c r="F806" s="529" t="n">
        <x:v>30536</x:v>
      </x:c>
      <x:c r="G806" s="527" t="inlineStr">
        <x:is>
          <x:t xml:space="preserve">Charles Rex Atha,
Letty Atha</x:t>
        </x:is>
      </x:c>
      <x:c r="H806" s="527" t="inlineStr">
        <x:is>
          <x:t xml:space="preserve">Joseph A. Dominguez</x:t>
        </x:is>
      </x:c>
      <x:c r="I806" s="527" t="inlineStr">
        <x:is>
          <x:t xml:space="preserve">31-12N-24W</x:t>
        </x:is>
      </x:c>
      <x:c r="J806" s="527" t="inlineStr">
        <x:is>
          <x:t xml:space="preserve">Leasehold / WI</x:t>
        </x:is>
      </x:c>
      <x:c r="K806" s="527" t="inlineStr">
        <x:is>
          <x:t xml:space="preserve">OKCountyRecords official index, Roger Mills County (instrument 1983-005958); searched 06/11/2026</x:t>
        </x:is>
      </x:c>
      <x:c r="L806" s="565" t="n"/>
      <x:c r="M806" s="565" t="n"/>
      <x:c r="N806" s="565" t="n"/>
      <x:c r="O806" s="565" t="n"/>
      <x:c r="P806" s="565" t="n"/>
      <x:c r="Q806" s="565" t="n"/>
      <x:c r="R806" s="565" t="n"/>
      <x:c r="S806" s="613" t="n"/>
      <x:c r="T806" s="565" t="n"/>
      <x:c r="U806" s="613" t="n"/>
      <x:c r="V806" s="565" t="n"/>
      <x:c r="W806" s="565" t="n"/>
      <x:c r="X806" s="565" t="n"/>
      <x:c r="Y806" s="565" t="n"/>
      <x:c r="Z806" s="565" t="n"/>
    </x:row>
    <x:row r="807">
      <x:c r="A807" s="527" t="inlineStr">
        <x:is>
          <x:t xml:space="preserve">1983-005959</x:t>
        </x:is>
      </x:c>
      <x:c r="B807" s="527" t="n"/>
      <x:c r="C807" s="527" t="inlineStr">
        <x:is>
          <x:t xml:space="preserve">Assignment</x:t>
        </x:is>
      </x:c>
      <x:c r="D807" s="527" t="inlineStr">
        <x:is>
          <x:t xml:space="preserve">0552/0195</x:t>
        </x:is>
      </x:c>
      <x:c r="E807" s="529" t="inlineStr">
        <x:is>
          <x:t xml:space="preserve">08/08/1983</x:t>
        </x:is>
      </x:c>
      <x:c r="F807" s="529" t="n">
        <x:v>30536</x:v>
      </x:c>
      <x:c r="G807" s="527" t="inlineStr">
        <x:is>
          <x:t xml:space="preserve">Joseph A. Doninguez</x:t>
        </x:is>
      </x:c>
      <x:c r="H807" s="527" t="inlineStr">
        <x:is>
          <x:t xml:space="preserve">El Paso Exploration Co</x:t>
        </x:is>
      </x:c>
      <x:c r="I807" s="527" t="inlineStr">
        <x:is>
          <x:t xml:space="preserve">31-12N-24W</x:t>
        </x:is>
      </x:c>
      <x:c r="J807" s="527" t="inlineStr">
        <x:is>
          <x:t xml:space="preserve">Leasehold / WI</x:t>
        </x:is>
      </x:c>
      <x:c r="K807" s="527" t="inlineStr">
        <x:is>
          <x:t xml:space="preserve">OKCountyRecords official index, Roger Mills County (instrument 1983-005959); searched 06/11/2026</x:t>
        </x:is>
      </x:c>
      <x:c r="L807" s="565" t="n"/>
      <x:c r="M807" s="565" t="n"/>
      <x:c r="N807" s="565" t="n"/>
      <x:c r="O807" s="565" t="n"/>
      <x:c r="P807" s="565" t="n"/>
      <x:c r="Q807" s="565" t="n"/>
      <x:c r="R807" s="565" t="n"/>
      <x:c r="S807" s="613" t="n"/>
      <x:c r="T807" s="565" t="n"/>
      <x:c r="U807" s="613" t="n"/>
      <x:c r="V807" s="565" t="n"/>
      <x:c r="W807" s="565" t="n"/>
      <x:c r="X807" s="565" t="n"/>
      <x:c r="Y807" s="565" t="n"/>
      <x:c r="Z807" s="565" t="n"/>
    </x:row>
    <x:row r="808">
      <x:c r="A808" s="527" t="inlineStr">
        <x:is>
          <x:t xml:space="preserve">1983-006435</x:t>
        </x:is>
      </x:c>
      <x:c r="B808" s="527" t="n"/>
      <x:c r="C808" s="527" t="inlineStr">
        <x:is>
          <x:t xml:space="preserve">Release</x:t>
        </x:is>
      </x:c>
      <x:c r="D808" s="527" t="inlineStr">
        <x:is>
          <x:t xml:space="preserve">0556/0272</x:t>
        </x:is>
      </x:c>
      <x:c r="E808" s="529" t="inlineStr">
        <x:is>
          <x:t xml:space="preserve">08/29/1983</x:t>
        </x:is>
      </x:c>
      <x:c r="F808" s="529" t="n">
        <x:v>30557</x:v>
      </x:c>
      <x:c r="G808" s="527" t="inlineStr">
        <x:is>
          <x:t xml:space="preserve">Cities Service Company,
Dyco Petroleum Corporation</x:t>
        </x:is>
      </x:c>
      <x:c r="H808" s="527" t="inlineStr">
        <x:is>
          <x:t xml:space="preserve">Federal Land Bank of Wichita,
Panhandle Cooperative Royalty Co</x:t>
        </x:is>
      </x:c>
      <x:c r="I808" s="527" t="inlineStr">
        <x:is>
          <x:t xml:space="preserve">NW/4 NE/4 of 31-12N-24W (AOL)</x:t>
        </x:is>
      </x:c>
      <x:c r="J808" s="527" t="inlineStr">
        <x:is>
          <x:t xml:space="preserve">Leasehold / WI</x:t>
        </x:is>
      </x:c>
      <x:c r="K808" s="527" t="inlineStr">
        <x:is>
          <x:t xml:space="preserve">OKCountyRecords official index, Roger Mills County (instrument 1983-006435); searched 06/11/2026</x:t>
        </x:is>
      </x:c>
      <x:c r="L808" s="565" t="n"/>
      <x:c r="M808" s="565" t="n"/>
      <x:c r="N808" s="565" t="n"/>
      <x:c r="O808" s="565" t="n"/>
      <x:c r="P808" s="565" t="n"/>
      <x:c r="Q808" s="565" t="n"/>
      <x:c r="R808" s="565" t="n"/>
      <x:c r="S808" s="613" t="n"/>
      <x:c r="T808" s="565" t="n"/>
      <x:c r="U808" s="613" t="n"/>
      <x:c r="V808" s="565" t="n"/>
      <x:c r="W808" s="565" t="n"/>
      <x:c r="X808" s="565" t="n"/>
      <x:c r="Y808" s="565" t="n"/>
      <x:c r="Z808" s="565" t="n"/>
    </x:row>
    <x:row r="809">
      <x:c r="A809" s="527" t="inlineStr">
        <x:is>
          <x:t xml:space="preserve">1983-009092</x:t>
        </x:is>
      </x:c>
      <x:c r="B809" s="527" t="n"/>
      <x:c r="C809" s="527" t="inlineStr">
        <x:is>
          <x:t xml:space="preserve">Oil and Gas Lease</x:t>
        </x:is>
      </x:c>
      <x:c r="D809" s="527" t="inlineStr">
        <x:is>
          <x:t xml:space="preserve">0579/0284</x:t>
        </x:is>
      </x:c>
      <x:c r="E809" s="529" t="inlineStr">
        <x:is>
          <x:t xml:space="preserve">12/06/1983</x:t>
        </x:is>
      </x:c>
      <x:c r="F809" s="529" t="n">
        <x:v>30656</x:v>
      </x:c>
      <x:c r="G809" s="527" t="inlineStr">
        <x:is>
          <x:t xml:space="preserve">Eddie Tom Lakey</x:t>
        </x:is>
      </x:c>
      <x:c r="H809" s="527" t="inlineStr">
        <x:is>
          <x:t xml:space="preserve">Exxon Corporation</x:t>
        </x:is>
      </x:c>
      <x:c r="I809" s="527" t="inlineStr">
        <x:is>
          <x:t xml:space="preserve">31-12N-24W</x:t>
        </x:is>
      </x:c>
      <x:c r="J809" s="527" t="inlineStr">
        <x:is>
          <x:t xml:space="preserve">Leasehold / WI</x:t>
        </x:is>
      </x:c>
      <x:c r="K809" s="527" t="inlineStr">
        <x:is>
          <x:t xml:space="preserve">OKCountyRecords official index, Roger Mills County (instrument 1983-009092); searched 06/11/2026</x:t>
        </x:is>
      </x:c>
      <x:c r="L809" s="565" t="n"/>
      <x:c r="M809" s="565" t="n"/>
      <x:c r="N809" s="565" t="n"/>
      <x:c r="O809" s="565" t="n"/>
      <x:c r="P809" s="565" t="n"/>
      <x:c r="Q809" s="565" t="n"/>
      <x:c r="R809" s="565" t="n"/>
      <x:c r="S809" s="613" t="n"/>
      <x:c r="T809" s="565" t="n"/>
      <x:c r="U809" s="613" t="n"/>
      <x:c r="V809" s="565" t="n"/>
      <x:c r="W809" s="565" t="n"/>
      <x:c r="X809" s="565" t="n"/>
      <x:c r="Y809" s="565" t="n"/>
      <x:c r="Z809" s="565" t="n"/>
    </x:row>
    <x:row r="810">
      <x:c r="A810" s="527" t="inlineStr">
        <x:is>
          <x:t xml:space="preserve">1983-009093</x:t>
        </x:is>
      </x:c>
      <x:c r="B810" s="527" t="n"/>
      <x:c r="C810" s="527" t="inlineStr">
        <x:is>
          <x:t xml:space="preserve">Oil and Gas Lease</x:t>
        </x:is>
      </x:c>
      <x:c r="D810" s="527" t="inlineStr">
        <x:is>
          <x:t xml:space="preserve">0579/0286</x:t>
        </x:is>
      </x:c>
      <x:c r="E810" s="529" t="inlineStr">
        <x:is>
          <x:t xml:space="preserve">12/06/1983</x:t>
        </x:is>
      </x:c>
      <x:c r="F810" s="529" t="n">
        <x:v>30656</x:v>
      </x:c>
      <x:c r="G810" s="527" t="inlineStr">
        <x:is>
          <x:t xml:space="preserve">Margie Ann Kirk</x:t>
        </x:is>
      </x:c>
      <x:c r="H810" s="527" t="inlineStr">
        <x:is>
          <x:t xml:space="preserve">Exxon Corporation</x:t>
        </x:is>
      </x:c>
      <x:c r="I810" s="527" t="inlineStr">
        <x:is>
          <x:t xml:space="preserve">31-12N-24W</x:t>
        </x:is>
      </x:c>
      <x:c r="J810" s="527" t="inlineStr">
        <x:is>
          <x:t xml:space="preserve">Leasehold / WI</x:t>
        </x:is>
      </x:c>
      <x:c r="K810" s="527" t="inlineStr">
        <x:is>
          <x:t xml:space="preserve">OKCountyRecords official index, Roger Mills County (instrument 1983-009093); searched 06/11/2026</x:t>
        </x:is>
      </x:c>
      <x:c r="L810" s="565" t="n"/>
      <x:c r="M810" s="565" t="n"/>
      <x:c r="N810" s="565" t="n"/>
      <x:c r="O810" s="565" t="n"/>
      <x:c r="P810" s="565" t="n"/>
      <x:c r="Q810" s="565" t="n"/>
      <x:c r="R810" s="565" t="n"/>
      <x:c r="S810" s="613" t="n"/>
      <x:c r="T810" s="565" t="n"/>
      <x:c r="U810" s="613" t="n"/>
      <x:c r="V810" s="565" t="n"/>
      <x:c r="W810" s="565" t="n"/>
      <x:c r="X810" s="565" t="n"/>
      <x:c r="Y810" s="565" t="n"/>
      <x:c r="Z810" s="565" t="n"/>
    </x:row>
    <x:row r="811">
      <x:c r="A811" s="527" t="inlineStr">
        <x:is>
          <x:t xml:space="preserve">1983-009331</x:t>
        </x:is>
      </x:c>
      <x:c r="B811" s="527" t="n"/>
      <x:c r="C811" s="527" t="inlineStr">
        <x:is>
          <x:t xml:space="preserve">Certificate</x:t>
        </x:is>
      </x:c>
      <x:c r="D811" s="527" t="inlineStr">
        <x:is>
          <x:t xml:space="preserve">0581/0225</x:t>
        </x:is>
      </x:c>
      <x:c r="E811" s="529" t="inlineStr">
        <x:is>
          <x:t xml:space="preserve">12/16/1983</x:t>
        </x:is>
      </x:c>
      <x:c r="F811" s="529" t="n">
        <x:v>30666</x:v>
      </x:c>
      <x:c r="G811" s="527" t="inlineStr">
        <x:is>
          <x:t xml:space="preserve">Paul Hughes</x:t>
        </x:is>
      </x:c>
      <x:c r="H811" s="527" t="inlineStr">
        <x:is>
          <x:t xml:space="preserve">The Public</x:t>
        </x:is>
      </x:c>
      <x:c r="I811" s="527" t="inlineStr">
        <x:is>
          <x:t xml:space="preserve">31-12N-24W</x:t>
        </x:is>
      </x:c>
      <x:c r="J811" s="527" t="inlineStr">
        <x:is>
          <x:t xml:space="preserve">See instrument</x:t>
        </x:is>
      </x:c>
      <x:c r="K811" s="527" t="inlineStr">
        <x:is>
          <x:t xml:space="preserve">OKCountyRecords official index, Roger Mills County (instrument 1983-009331); searched 06/11/2026</x:t>
        </x:is>
      </x:c>
      <x:c r="L811" s="565" t="n"/>
      <x:c r="M811" s="565" t="n"/>
      <x:c r="N811" s="565" t="n"/>
      <x:c r="O811" s="565" t="n"/>
      <x:c r="P811" s="565" t="n"/>
      <x:c r="Q811" s="565" t="n"/>
      <x:c r="R811" s="565" t="n"/>
      <x:c r="S811" s="613" t="n"/>
      <x:c r="T811" s="565" t="n"/>
      <x:c r="U811" s="613" t="n"/>
      <x:c r="V811" s="565" t="n"/>
      <x:c r="W811" s="565" t="n"/>
      <x:c r="X811" s="565" t="n"/>
      <x:c r="Y811" s="565" t="n"/>
      <x:c r="Z811" s="565" t="n"/>
    </x:row>
    <x:row r="812">
      <x:c r="A812" s="527" t="inlineStr">
        <x:is>
          <x:t xml:space="preserve">1984-001299</x:t>
        </x:is>
      </x:c>
      <x:c r="B812" s="527" t="n"/>
      <x:c r="C812" s="527" t="inlineStr">
        <x:is>
          <x:t xml:space="preserve">Oil and Gas Lease</x:t>
        </x:is>
      </x:c>
      <x:c r="D812" s="527" t="inlineStr">
        <x:is>
          <x:t xml:space="preserve">0593/0177</x:t>
        </x:is>
      </x:c>
      <x:c r="E812" s="529" t="inlineStr">
        <x:is>
          <x:t xml:space="preserve">02/14/1984</x:t>
        </x:is>
      </x:c>
      <x:c r="F812" s="529" t="n">
        <x:v>30726</x:v>
      </x:c>
      <x:c r="G812" s="527" t="inlineStr">
        <x:is>
          <x:t xml:space="preserve">Alpine Oil &amp; Royalty, Inc.</x:t>
        </x:is>
      </x:c>
      <x:c r="H812" s="527" t="inlineStr">
        <x:is>
          <x:t xml:space="preserve">Exxon Corporation</x:t>
        </x:is>
      </x:c>
      <x:c r="I812" s="527" t="inlineStr">
        <x:is>
          <x:t xml:space="preserve">31-12N-24W</x:t>
        </x:is>
      </x:c>
      <x:c r="J812" s="527" t="inlineStr">
        <x:is>
          <x:t xml:space="preserve">Leasehold / WI</x:t>
        </x:is>
      </x:c>
      <x:c r="K812" s="527" t="inlineStr">
        <x:is>
          <x:t xml:space="preserve">OKCountyRecords official index, Roger Mills County (instrument 1984-001299); searched 06/11/2026</x:t>
        </x:is>
      </x:c>
      <x:c r="L812" s="565" t="n"/>
      <x:c r="M812" s="565" t="n"/>
      <x:c r="N812" s="565" t="n"/>
      <x:c r="O812" s="565" t="n"/>
      <x:c r="P812" s="565" t="n"/>
      <x:c r="Q812" s="565" t="n"/>
      <x:c r="R812" s="565" t="n"/>
      <x:c r="S812" s="613" t="n"/>
      <x:c r="T812" s="565" t="n"/>
      <x:c r="U812" s="613" t="n"/>
      <x:c r="V812" s="565" t="n"/>
      <x:c r="W812" s="565" t="n"/>
      <x:c r="X812" s="565" t="n"/>
      <x:c r="Y812" s="565" t="n"/>
      <x:c r="Z812" s="565" t="n"/>
    </x:row>
    <x:row r="813">
      <x:c r="A813" s="527" t="inlineStr">
        <x:is>
          <x:t xml:space="preserve">1984-001346</x:t>
        </x:is>
      </x:c>
      <x:c r="B813" s="527" t="n"/>
      <x:c r="C813" s="527" t="inlineStr">
        <x:is>
          <x:t xml:space="preserve">Oil and Gas Lease</x:t>
        </x:is>
      </x:c>
      <x:c r="D813" s="527" t="inlineStr">
        <x:is>
          <x:t xml:space="preserve">0593/0301</x:t>
        </x:is>
      </x:c>
      <x:c r="E813" s="529" t="inlineStr">
        <x:is>
          <x:t xml:space="preserve">02/16/1984</x:t>
        </x:is>
      </x:c>
      <x:c r="F813" s="529" t="n">
        <x:v>30728</x:v>
      </x:c>
      <x:c r="G813" s="527" t="inlineStr">
        <x:is>
          <x:t xml:space="preserve">Belinda B. Aka Schroeder,
Belinda B. Carpenter Sullivan,
Mark Sullivan</x:t>
        </x:is>
      </x:c>
      <x:c r="H813" s="527" t="inlineStr">
        <x:is>
          <x:t xml:space="preserve">L. O. Warren</x:t>
        </x:is>
      </x:c>
      <x:c r="I813" s="527" t="inlineStr">
        <x:is>
          <x:t xml:space="preserve">31-12N-24W (AOL)</x:t>
        </x:is>
      </x:c>
      <x:c r="J813" s="527" t="inlineStr">
        <x:is>
          <x:t xml:space="preserve">Leasehold / WI</x:t>
        </x:is>
      </x:c>
      <x:c r="K813" s="527" t="inlineStr">
        <x:is>
          <x:t xml:space="preserve">OKCountyRecords official index, Roger Mills County (instrument 1984-001346); searched 06/11/2026</x:t>
        </x:is>
      </x:c>
      <x:c r="L813" s="565" t="n"/>
      <x:c r="M813" s="565" t="n"/>
      <x:c r="N813" s="565" t="n"/>
      <x:c r="O813" s="565" t="n"/>
      <x:c r="P813" s="565" t="n"/>
      <x:c r="Q813" s="565" t="n"/>
      <x:c r="R813" s="565" t="n"/>
      <x:c r="S813" s="613" t="n"/>
      <x:c r="T813" s="565" t="n"/>
      <x:c r="U813" s="613" t="n"/>
      <x:c r="V813" s="565" t="n"/>
      <x:c r="W813" s="565" t="n"/>
      <x:c r="X813" s="565" t="n"/>
      <x:c r="Y813" s="565" t="n"/>
      <x:c r="Z813" s="565" t="n"/>
    </x:row>
    <x:row r="814">
      <x:c r="A814" s="527" t="inlineStr">
        <x:is>
          <x:t xml:space="preserve">1984-001673</x:t>
        </x:is>
      </x:c>
      <x:c r="B814" s="527" t="n"/>
      <x:c r="C814" s="527" t="inlineStr">
        <x:is>
          <x:t xml:space="preserve">Oil and Gas Lease</x:t>
        </x:is>
      </x:c>
      <x:c r="D814" s="527" t="inlineStr">
        <x:is>
          <x:t xml:space="preserve">0595/0247</x:t>
        </x:is>
      </x:c>
      <x:c r="E814" s="529" t="inlineStr">
        <x:is>
          <x:t xml:space="preserve">02/24/1984</x:t>
        </x:is>
      </x:c>
      <x:c r="F814" s="529" t="n">
        <x:v>30736</x:v>
      </x:c>
      <x:c r="G814" s="527" t="inlineStr">
        <x:is>
          <x:t xml:space="preserve">L. A. Persicke</x:t>
        </x:is>
      </x:c>
      <x:c r="H814" s="527" t="inlineStr">
        <x:is>
          <x:t xml:space="preserve">Exxon Corporation</x:t>
        </x:is>
      </x:c>
      <x:c r="I814" s="527" t="inlineStr">
        <x:is>
          <x:t xml:space="preserve">31-12N-24W</x:t>
        </x:is>
      </x:c>
      <x:c r="J814" s="527" t="inlineStr">
        <x:is>
          <x:t xml:space="preserve">Leasehold / WI</x:t>
        </x:is>
      </x:c>
      <x:c r="K814" s="527" t="inlineStr">
        <x:is>
          <x:t xml:space="preserve">OKCountyRecords official index, Roger Mills County (instrument 1984-001673); searched 06/11/2026</x:t>
        </x:is>
      </x:c>
      <x:c r="L814" s="565" t="n"/>
      <x:c r="M814" s="565" t="n"/>
      <x:c r="N814" s="565" t="n"/>
      <x:c r="O814" s="565" t="n"/>
      <x:c r="P814" s="565" t="n"/>
      <x:c r="Q814" s="565" t="n"/>
      <x:c r="R814" s="565" t="n"/>
      <x:c r="S814" s="613" t="n"/>
      <x:c r="T814" s="565" t="n"/>
      <x:c r="U814" s="613" t="n"/>
      <x:c r="V814" s="565" t="n"/>
      <x:c r="W814" s="565" t="n"/>
      <x:c r="X814" s="565" t="n"/>
      <x:c r="Y814" s="565" t="n"/>
      <x:c r="Z814" s="565" t="n"/>
    </x:row>
    <x:row r="815">
      <x:c r="A815" s="527" t="inlineStr">
        <x:is>
          <x:t xml:space="preserve">1984-001674</x:t>
        </x:is>
      </x:c>
      <x:c r="B815" s="527" t="n"/>
      <x:c r="C815" s="527" t="inlineStr">
        <x:is>
          <x:t xml:space="preserve">Oil and Gas Lease</x:t>
        </x:is>
      </x:c>
      <x:c r="D815" s="527" t="inlineStr">
        <x:is>
          <x:t xml:space="preserve">0595/0249</x:t>
        </x:is>
      </x:c>
      <x:c r="E815" s="529" t="inlineStr">
        <x:is>
          <x:t xml:space="preserve">02/24/1984</x:t>
        </x:is>
      </x:c>
      <x:c r="F815" s="529" t="n">
        <x:v>30736</x:v>
      </x:c>
      <x:c r="G815" s="527" t="inlineStr">
        <x:is>
          <x:t xml:space="preserve">John R. Pringle</x:t>
        </x:is>
      </x:c>
      <x:c r="H815" s="527" t="inlineStr">
        <x:is>
          <x:t xml:space="preserve">Exxon Corporation</x:t>
        </x:is>
      </x:c>
      <x:c r="I815" s="527" t="inlineStr">
        <x:is>
          <x:t xml:space="preserve">31-12N-24W</x:t>
        </x:is>
      </x:c>
      <x:c r="J815" s="527" t="inlineStr">
        <x:is>
          <x:t xml:space="preserve">Leasehold / WI</x:t>
        </x:is>
      </x:c>
      <x:c r="K815" s="527" t="inlineStr">
        <x:is>
          <x:t xml:space="preserve">OKCountyRecords official index, Roger Mills County (instrument 1984-001674); searched 06/11/2026</x:t>
        </x:is>
      </x:c>
      <x:c r="L815" s="565" t="n"/>
      <x:c r="M815" s="565" t="n"/>
      <x:c r="N815" s="565" t="n"/>
      <x:c r="O815" s="565" t="n"/>
      <x:c r="P815" s="565" t="n"/>
      <x:c r="Q815" s="565" t="n"/>
      <x:c r="R815" s="565" t="n"/>
      <x:c r="S815" s="613" t="n"/>
      <x:c r="T815" s="565" t="n"/>
      <x:c r="U815" s="613" t="n"/>
      <x:c r="V815" s="565" t="n"/>
      <x:c r="W815" s="565" t="n"/>
      <x:c r="X815" s="565" t="n"/>
      <x:c r="Y815" s="565" t="n"/>
      <x:c r="Z815" s="565" t="n"/>
    </x:row>
    <x:row r="816">
      <x:c r="A816" s="527" t="inlineStr">
        <x:is>
          <x:t xml:space="preserve">1984-001675</x:t>
        </x:is>
      </x:c>
      <x:c r="B816" s="527" t="n"/>
      <x:c r="C816" s="527" t="inlineStr">
        <x:is>
          <x:t xml:space="preserve">Oil and Gas Lease</x:t>
        </x:is>
      </x:c>
      <x:c r="D816" s="527" t="inlineStr">
        <x:is>
          <x:t xml:space="preserve">0595/0251</x:t>
        </x:is>
      </x:c>
      <x:c r="E816" s="529" t="inlineStr">
        <x:is>
          <x:t xml:space="preserve">02/24/1984</x:t>
        </x:is>
      </x:c>
      <x:c r="F816" s="529" t="n">
        <x:v>30736</x:v>
      </x:c>
      <x:c r="G816" s="527" t="inlineStr">
        <x:is>
          <x:t xml:space="preserve">James F. Menehan</x:t>
        </x:is>
      </x:c>
      <x:c r="H816" s="527" t="inlineStr">
        <x:is>
          <x:t xml:space="preserve">Exxon Corporation</x:t>
        </x:is>
      </x:c>
      <x:c r="I816" s="527" t="inlineStr">
        <x:is>
          <x:t xml:space="preserve">31-12N-24W</x:t>
        </x:is>
      </x:c>
      <x:c r="J816" s="527" t="inlineStr">
        <x:is>
          <x:t xml:space="preserve">Leasehold / WI</x:t>
        </x:is>
      </x:c>
      <x:c r="K816" s="527" t="inlineStr">
        <x:is>
          <x:t xml:space="preserve">OKCountyRecords official index, Roger Mills County (instrument 1984-001675); searched 06/11/2026</x:t>
        </x:is>
      </x:c>
      <x:c r="L816" s="565" t="n"/>
      <x:c r="M816" s="565" t="n"/>
      <x:c r="N816" s="565" t="n"/>
      <x:c r="O816" s="565" t="n"/>
      <x:c r="P816" s="565" t="n"/>
      <x:c r="Q816" s="565" t="n"/>
      <x:c r="R816" s="565" t="n"/>
      <x:c r="S816" s="613" t="n"/>
      <x:c r="T816" s="565" t="n"/>
      <x:c r="U816" s="613" t="n"/>
      <x:c r="V816" s="565" t="n"/>
      <x:c r="W816" s="565" t="n"/>
      <x:c r="X816" s="565" t="n"/>
      <x:c r="Y816" s="565" t="n"/>
      <x:c r="Z816" s="565" t="n"/>
    </x:row>
    <x:row r="817">
      <x:c r="A817" s="527" t="inlineStr">
        <x:is>
          <x:t xml:space="preserve">1984-001676</x:t>
        </x:is>
      </x:c>
      <x:c r="B817" s="527" t="n"/>
      <x:c r="C817" s="527" t="inlineStr">
        <x:is>
          <x:t xml:space="preserve">Oil and Gas Lease</x:t>
        </x:is>
      </x:c>
      <x:c r="D817" s="527" t="inlineStr">
        <x:is>
          <x:t xml:space="preserve">0595/0253</x:t>
        </x:is>
      </x:c>
      <x:c r="E817" s="529" t="inlineStr">
        <x:is>
          <x:t xml:space="preserve">02/24/1984</x:t>
        </x:is>
      </x:c>
      <x:c r="F817" s="529" t="n">
        <x:v>30736</x:v>
      </x:c>
      <x:c r="G817" s="527" t="inlineStr">
        <x:is>
          <x:t xml:space="preserve">Lyle T. Ibeling</x:t>
        </x:is>
      </x:c>
      <x:c r="H817" s="527" t="inlineStr">
        <x:is>
          <x:t xml:space="preserve">Exxon Corporation</x:t>
        </x:is>
      </x:c>
      <x:c r="I817" s="527" t="inlineStr">
        <x:is>
          <x:t xml:space="preserve">31-12N-24W</x:t>
        </x:is>
      </x:c>
      <x:c r="J817" s="527" t="inlineStr">
        <x:is>
          <x:t xml:space="preserve">Leasehold / WI</x:t>
        </x:is>
      </x:c>
      <x:c r="K817" s="527" t="inlineStr">
        <x:is>
          <x:t xml:space="preserve">OKCountyRecords official index, Roger Mills County (instrument 1984-001676); searched 06/11/2026</x:t>
        </x:is>
      </x:c>
      <x:c r="L817" s="565" t="n"/>
      <x:c r="M817" s="565" t="n"/>
      <x:c r="N817" s="565" t="n"/>
      <x:c r="O817" s="565" t="n"/>
      <x:c r="P817" s="565" t="n"/>
      <x:c r="Q817" s="565" t="n"/>
      <x:c r="R817" s="565" t="n"/>
      <x:c r="S817" s="613" t="n"/>
      <x:c r="T817" s="565" t="n"/>
      <x:c r="U817" s="613" t="n"/>
      <x:c r="V817" s="565" t="n"/>
      <x:c r="W817" s="565" t="n"/>
      <x:c r="X817" s="565" t="n"/>
      <x:c r="Y817" s="565" t="n"/>
      <x:c r="Z817" s="565" t="n"/>
    </x:row>
    <x:row r="818">
      <x:c r="A818" s="527" t="inlineStr">
        <x:is>
          <x:t xml:space="preserve">1984-001677</x:t>
        </x:is>
      </x:c>
      <x:c r="B818" s="527" t="n"/>
      <x:c r="C818" s="527" t="inlineStr">
        <x:is>
          <x:t xml:space="preserve">Oil and Gas Lease</x:t>
        </x:is>
      </x:c>
      <x:c r="D818" s="527" t="inlineStr">
        <x:is>
          <x:t xml:space="preserve">0595/0255</x:t>
        </x:is>
      </x:c>
      <x:c r="E818" s="529" t="inlineStr">
        <x:is>
          <x:t xml:space="preserve">02/24/1984</x:t>
        </x:is>
      </x:c>
      <x:c r="F818" s="529" t="n">
        <x:v>30736</x:v>
      </x:c>
      <x:c r="G818" s="527" t="inlineStr">
        <x:is>
          <x:t xml:space="preserve">Gregory J. Winneke</x:t>
        </x:is>
      </x:c>
      <x:c r="H818" s="527" t="inlineStr">
        <x:is>
          <x:t xml:space="preserve">Exxon Corporation</x:t>
        </x:is>
      </x:c>
      <x:c r="I818" s="527" t="inlineStr">
        <x:is>
          <x:t xml:space="preserve">31-12N-24W</x:t>
        </x:is>
      </x:c>
      <x:c r="J818" s="527" t="inlineStr">
        <x:is>
          <x:t xml:space="preserve">Leasehold / WI</x:t>
        </x:is>
      </x:c>
      <x:c r="K818" s="527" t="inlineStr">
        <x:is>
          <x:t xml:space="preserve">OKCountyRecords official index, Roger Mills County (instrument 1984-001677); searched 06/11/2026</x:t>
        </x:is>
      </x:c>
      <x:c r="L818" s="565" t="n"/>
      <x:c r="M818" s="565" t="n"/>
      <x:c r="N818" s="565" t="n"/>
      <x:c r="O818" s="565" t="n"/>
      <x:c r="P818" s="565" t="n"/>
      <x:c r="Q818" s="565" t="n"/>
      <x:c r="R818" s="565" t="n"/>
      <x:c r="S818" s="613" t="n"/>
      <x:c r="T818" s="565" t="n"/>
      <x:c r="U818" s="613" t="n"/>
      <x:c r="V818" s="565" t="n"/>
      <x:c r="W818" s="565" t="n"/>
      <x:c r="X818" s="565" t="n"/>
      <x:c r="Y818" s="565" t="n"/>
      <x:c r="Z818" s="565" t="n"/>
    </x:row>
    <x:row r="819">
      <x:c r="A819" s="527" t="inlineStr">
        <x:is>
          <x:t xml:space="preserve">1984-001679</x:t>
        </x:is>
      </x:c>
      <x:c r="B819" s="527" t="n"/>
      <x:c r="C819" s="527" t="inlineStr">
        <x:is>
          <x:t xml:space="preserve">Oil and Gas Lease</x:t>
        </x:is>
      </x:c>
      <x:c r="D819" s="527" t="inlineStr">
        <x:is>
          <x:t xml:space="preserve">0595/0259</x:t>
        </x:is>
      </x:c>
      <x:c r="E819" s="529" t="inlineStr">
        <x:is>
          <x:t xml:space="preserve">02/24/1984</x:t>
        </x:is>
      </x:c>
      <x:c r="F819" s="529" t="n">
        <x:v>30736</x:v>
      </x:c>
      <x:c r="G819" s="527" t="inlineStr">
        <x:is>
          <x:t xml:space="preserve">Clarence C. Bain</x:t>
        </x:is>
      </x:c>
      <x:c r="H819" s="527" t="inlineStr">
        <x:is>
          <x:t xml:space="preserve">Exxon Corporation</x:t>
        </x:is>
      </x:c>
      <x:c r="I819" s="527" t="inlineStr">
        <x:is>
          <x:t xml:space="preserve">31-12N-24W</x:t>
        </x:is>
      </x:c>
      <x:c r="J819" s="527" t="inlineStr">
        <x:is>
          <x:t xml:space="preserve">Leasehold / WI</x:t>
        </x:is>
      </x:c>
      <x:c r="K819" s="527" t="inlineStr">
        <x:is>
          <x:t xml:space="preserve">OKCountyRecords official index, Roger Mills County (instrument 1984-001679); searched 06/11/2026</x:t>
        </x:is>
      </x:c>
      <x:c r="L819" s="565" t="n"/>
      <x:c r="M819" s="565" t="n"/>
      <x:c r="N819" s="565" t="n"/>
      <x:c r="O819" s="565" t="n"/>
      <x:c r="P819" s="565" t="n"/>
      <x:c r="Q819" s="565" t="n"/>
      <x:c r="R819" s="565" t="n"/>
      <x:c r="S819" s="613" t="n"/>
      <x:c r="T819" s="565" t="n"/>
      <x:c r="U819" s="613" t="n"/>
      <x:c r="V819" s="565" t="n"/>
      <x:c r="W819" s="565" t="n"/>
      <x:c r="X819" s="565" t="n"/>
      <x:c r="Y819" s="565" t="n"/>
      <x:c r="Z819" s="565" t="n"/>
    </x:row>
    <x:row r="820">
      <x:c r="A820" s="527" t="inlineStr">
        <x:is>
          <x:t xml:space="preserve">1984-001680</x:t>
        </x:is>
      </x:c>
      <x:c r="B820" s="527" t="n"/>
      <x:c r="C820" s="527" t="inlineStr">
        <x:is>
          <x:t xml:space="preserve">Oil and Gas Lease</x:t>
        </x:is>
      </x:c>
      <x:c r="D820" s="527" t="inlineStr">
        <x:is>
          <x:t xml:space="preserve">0595/0261</x:t>
        </x:is>
      </x:c>
      <x:c r="E820" s="529" t="inlineStr">
        <x:is>
          <x:t xml:space="preserve">02/24/1984</x:t>
        </x:is>
      </x:c>
      <x:c r="F820" s="529" t="n">
        <x:v>30736</x:v>
      </x:c>
      <x:c r="G820" s="527" t="inlineStr">
        <x:is>
          <x:t xml:space="preserve">Carl L. Bain</x:t>
        </x:is>
      </x:c>
      <x:c r="H820" s="527" t="inlineStr">
        <x:is>
          <x:t xml:space="preserve">Exxon Corporation</x:t>
        </x:is>
      </x:c>
      <x:c r="I820" s="527" t="inlineStr">
        <x:is>
          <x:t xml:space="preserve">31-12N-24W</x:t>
        </x:is>
      </x:c>
      <x:c r="J820" s="527" t="inlineStr">
        <x:is>
          <x:t xml:space="preserve">Leasehold / WI</x:t>
        </x:is>
      </x:c>
      <x:c r="K820" s="527" t="inlineStr">
        <x:is>
          <x:t xml:space="preserve">OKCountyRecords official index, Roger Mills County (instrument 1984-001680); searched 06/11/2026</x:t>
        </x:is>
      </x:c>
      <x:c r="L820" s="565" t="n"/>
      <x:c r="M820" s="565" t="n"/>
      <x:c r="N820" s="565" t="n"/>
      <x:c r="O820" s="565" t="n"/>
      <x:c r="P820" s="565" t="n"/>
      <x:c r="Q820" s="565" t="n"/>
      <x:c r="R820" s="565" t="n"/>
      <x:c r="S820" s="613" t="n"/>
      <x:c r="T820" s="565" t="n"/>
      <x:c r="U820" s="613" t="n"/>
      <x:c r="V820" s="565" t="n"/>
      <x:c r="W820" s="565" t="n"/>
      <x:c r="X820" s="565" t="n"/>
      <x:c r="Y820" s="565" t="n"/>
      <x:c r="Z820" s="565" t="n"/>
    </x:row>
    <x:row r="821">
      <x:c r="A821" s="527" t="inlineStr">
        <x:is>
          <x:t xml:space="preserve">1984-001681</x:t>
        </x:is>
      </x:c>
      <x:c r="B821" s="527" t="n"/>
      <x:c r="C821" s="527" t="inlineStr">
        <x:is>
          <x:t xml:space="preserve">Oil and Gas Lease</x:t>
        </x:is>
      </x:c>
      <x:c r="D821" s="527" t="inlineStr">
        <x:is>
          <x:t xml:space="preserve">0595/0263</x:t>
        </x:is>
      </x:c>
      <x:c r="E821" s="529" t="inlineStr">
        <x:is>
          <x:t xml:space="preserve">02/24/1984</x:t>
        </x:is>
      </x:c>
      <x:c r="F821" s="529" t="n">
        <x:v>30736</x:v>
      </x:c>
      <x:c r="G821" s="527" t="inlineStr">
        <x:is>
          <x:t xml:space="preserve">Dow C. Bain</x:t>
        </x:is>
      </x:c>
      <x:c r="H821" s="527" t="inlineStr">
        <x:is>
          <x:t xml:space="preserve">Exxon Corporation</x:t>
        </x:is>
      </x:c>
      <x:c r="I821" s="527" t="inlineStr">
        <x:is>
          <x:t xml:space="preserve">31-12N-24W</x:t>
        </x:is>
      </x:c>
      <x:c r="J821" s="527" t="inlineStr">
        <x:is>
          <x:t xml:space="preserve">Leasehold / WI</x:t>
        </x:is>
      </x:c>
      <x:c r="K821" s="527" t="inlineStr">
        <x:is>
          <x:t xml:space="preserve">OKCountyRecords official index, Roger Mills County (instrument 1984-001681); searched 06/11/2026</x:t>
        </x:is>
      </x:c>
      <x:c r="L821" s="565" t="n"/>
      <x:c r="M821" s="565" t="n"/>
      <x:c r="N821" s="565" t="n"/>
      <x:c r="O821" s="565" t="n"/>
      <x:c r="P821" s="565" t="n"/>
      <x:c r="Q821" s="565" t="n"/>
      <x:c r="R821" s="565" t="n"/>
      <x:c r="S821" s="613" t="n"/>
      <x:c r="T821" s="565" t="n"/>
      <x:c r="U821" s="613" t="n"/>
      <x:c r="V821" s="565" t="n"/>
      <x:c r="W821" s="565" t="n"/>
      <x:c r="X821" s="565" t="n"/>
      <x:c r="Y821" s="565" t="n"/>
      <x:c r="Z821" s="565" t="n"/>
    </x:row>
    <x:row r="822">
      <x:c r="A822" s="527" t="inlineStr">
        <x:is>
          <x:t xml:space="preserve">1984-001682</x:t>
        </x:is>
      </x:c>
      <x:c r="B822" s="527" t="n"/>
      <x:c r="C822" s="527" t="inlineStr">
        <x:is>
          <x:t xml:space="preserve">Oil and Gas Lease</x:t>
        </x:is>
      </x:c>
      <x:c r="D822" s="527" t="inlineStr">
        <x:is>
          <x:t xml:space="preserve">0595/0265</x:t>
        </x:is>
      </x:c>
      <x:c r="E822" s="529" t="inlineStr">
        <x:is>
          <x:t xml:space="preserve">02/24/1984</x:t>
        </x:is>
      </x:c>
      <x:c r="F822" s="529" t="n">
        <x:v>30736</x:v>
      </x:c>
      <x:c r="G822" s="527" t="inlineStr">
        <x:is>
          <x:t xml:space="preserve">William Cobal Bain Jr.</x:t>
        </x:is>
      </x:c>
      <x:c r="H822" s="527" t="inlineStr">
        <x:is>
          <x:t xml:space="preserve">Exxon Corporation</x:t>
        </x:is>
      </x:c>
      <x:c r="I822" s="527" t="inlineStr">
        <x:is>
          <x:t xml:space="preserve">31-12N-24W</x:t>
        </x:is>
      </x:c>
      <x:c r="J822" s="527" t="inlineStr">
        <x:is>
          <x:t xml:space="preserve">Leasehold / WI</x:t>
        </x:is>
      </x:c>
      <x:c r="K822" s="527" t="inlineStr">
        <x:is>
          <x:t xml:space="preserve">OKCountyRecords official index, Roger Mills County (instrument 1984-001682); searched 06/11/2026</x:t>
        </x:is>
      </x:c>
      <x:c r="L822" s="565" t="n"/>
      <x:c r="M822" s="565" t="n"/>
      <x:c r="N822" s="565" t="n"/>
      <x:c r="O822" s="565" t="n"/>
      <x:c r="P822" s="565" t="n"/>
      <x:c r="Q822" s="565" t="n"/>
      <x:c r="R822" s="565" t="n"/>
      <x:c r="S822" s="613" t="n"/>
      <x:c r="T822" s="565" t="n"/>
      <x:c r="U822" s="613" t="n"/>
      <x:c r="V822" s="565" t="n"/>
      <x:c r="W822" s="565" t="n"/>
      <x:c r="X822" s="565" t="n"/>
      <x:c r="Y822" s="565" t="n"/>
      <x:c r="Z822" s="565" t="n"/>
    </x:row>
    <x:row r="823">
      <x:c r="A823" s="527" t="inlineStr">
        <x:is>
          <x:t xml:space="preserve">1984-001683</x:t>
        </x:is>
      </x:c>
      <x:c r="B823" s="527" t="n"/>
      <x:c r="C823" s="527" t="inlineStr">
        <x:is>
          <x:t xml:space="preserve">Oil and Gas Lease</x:t>
        </x:is>
      </x:c>
      <x:c r="D823" s="527" t="inlineStr">
        <x:is>
          <x:t xml:space="preserve">0595/0267</x:t>
        </x:is>
      </x:c>
      <x:c r="E823" s="529" t="inlineStr">
        <x:is>
          <x:t xml:space="preserve">02/24/1984</x:t>
        </x:is>
      </x:c>
      <x:c r="F823" s="529" t="n">
        <x:v>30736</x:v>
      </x:c>
      <x:c r="G823" s="527" t="inlineStr">
        <x:is>
          <x:t xml:space="preserve">Billy Wayne Bain, Trustee,
William Cobal Bain Jr., Trustee,
Bain, William C. Trust</x:t>
        </x:is>
      </x:c>
      <x:c r="H823" s="527" t="inlineStr">
        <x:is>
          <x:t xml:space="preserve">Exxon Corporation</x:t>
        </x:is>
      </x:c>
      <x:c r="I823" s="527" t="inlineStr">
        <x:is>
          <x:t xml:space="preserve">31-12N-24W</x:t>
        </x:is>
      </x:c>
      <x:c r="J823" s="527" t="inlineStr">
        <x:is>
          <x:t xml:space="preserve">Leasehold / WI</x:t>
        </x:is>
      </x:c>
      <x:c r="K823" s="527" t="inlineStr">
        <x:is>
          <x:t xml:space="preserve">OKCountyRecords official index, Roger Mills County (instrument 1984-001683); searched 06/11/2026</x:t>
        </x:is>
      </x:c>
      <x:c r="L823" s="565" t="n"/>
      <x:c r="M823" s="565" t="n"/>
      <x:c r="N823" s="565" t="n"/>
      <x:c r="O823" s="565" t="n"/>
      <x:c r="P823" s="565" t="n"/>
      <x:c r="Q823" s="565" t="n"/>
      <x:c r="R823" s="565" t="n"/>
      <x:c r="S823" s="613" t="n"/>
      <x:c r="T823" s="565" t="n"/>
      <x:c r="U823" s="613" t="n"/>
      <x:c r="V823" s="565" t="n"/>
      <x:c r="W823" s="565" t="n"/>
      <x:c r="X823" s="565" t="n"/>
      <x:c r="Y823" s="565" t="n"/>
      <x:c r="Z823" s="565" t="n"/>
    </x:row>
    <x:row r="824">
      <x:c r="A824" s="527" t="inlineStr">
        <x:is>
          <x:t xml:space="preserve">1984-001750</x:t>
        </x:is>
      </x:c>
      <x:c r="B824" s="527" t="n"/>
      <x:c r="C824" s="527" t="inlineStr">
        <x:is>
          <x:t xml:space="preserve">Oil and Gas Lease</x:t>
        </x:is>
      </x:c>
      <x:c r="D824" s="527" t="inlineStr">
        <x:is>
          <x:t xml:space="preserve">0596/0104</x:t>
        </x:is>
      </x:c>
      <x:c r="E824" s="529" t="inlineStr">
        <x:is>
          <x:t xml:space="preserve">02/27/1984</x:t>
        </x:is>
      </x:c>
      <x:c r="F824" s="529" t="n">
        <x:v>30739</x:v>
      </x:c>
      <x:c r="G824" s="527" t="inlineStr">
        <x:is>
          <x:t xml:space="preserve">William Cobal Bain Jr., Trustee</x:t>
        </x:is>
      </x:c>
      <x:c r="H824" s="527" t="inlineStr">
        <x:is>
          <x:t xml:space="preserve">Exxon Corporation</x:t>
        </x:is>
      </x:c>
      <x:c r="I824" s="527" t="inlineStr">
        <x:is>
          <x:t xml:space="preserve">31-12N-24W</x:t>
        </x:is>
      </x:c>
      <x:c r="J824" s="527" t="inlineStr">
        <x:is>
          <x:t xml:space="preserve">Leasehold / WI</x:t>
        </x:is>
      </x:c>
      <x:c r="K824" s="527" t="inlineStr">
        <x:is>
          <x:t xml:space="preserve">OKCountyRecords official index, Roger Mills County (instrument 1984-001750); searched 06/11/2026</x:t>
        </x:is>
      </x:c>
      <x:c r="L824" s="565" t="n"/>
      <x:c r="M824" s="565" t="n"/>
      <x:c r="N824" s="565" t="n"/>
      <x:c r="O824" s="565" t="n"/>
      <x:c r="P824" s="565" t="n"/>
      <x:c r="Q824" s="565" t="n"/>
      <x:c r="R824" s="565" t="n"/>
      <x:c r="S824" s="613" t="n"/>
      <x:c r="T824" s="565" t="n"/>
      <x:c r="U824" s="613" t="n"/>
      <x:c r="V824" s="565" t="n"/>
      <x:c r="W824" s="565" t="n"/>
      <x:c r="X824" s="565" t="n"/>
      <x:c r="Y824" s="565" t="n"/>
      <x:c r="Z824" s="565" t="n"/>
    </x:row>
    <x:row r="825">
      <x:c r="A825" s="527" t="inlineStr">
        <x:is>
          <x:t xml:space="preserve">1984-001751</x:t>
        </x:is>
      </x:c>
      <x:c r="B825" s="527" t="n"/>
      <x:c r="C825" s="527" t="inlineStr">
        <x:is>
          <x:t xml:space="preserve">Oil and Gas Lease</x:t>
        </x:is>
      </x:c>
      <x:c r="D825" s="527" t="inlineStr">
        <x:is>
          <x:t xml:space="preserve">0596/0106</x:t>
        </x:is>
      </x:c>
      <x:c r="E825" s="529" t="inlineStr">
        <x:is>
          <x:t xml:space="preserve">02/27/1984</x:t>
        </x:is>
      </x:c>
      <x:c r="F825" s="529" t="n">
        <x:v>30739</x:v>
      </x:c>
      <x:c r="G825" s="527" t="inlineStr">
        <x:is>
          <x:t xml:space="preserve">Wilda E. Jensen</x:t>
        </x:is>
      </x:c>
      <x:c r="H825" s="527" t="inlineStr">
        <x:is>
          <x:t xml:space="preserve">Exxon Corporation</x:t>
        </x:is>
      </x:c>
      <x:c r="I825" s="527" t="inlineStr">
        <x:is>
          <x:t xml:space="preserve">31-12N-24W</x:t>
        </x:is>
      </x:c>
      <x:c r="J825" s="527" t="inlineStr">
        <x:is>
          <x:t xml:space="preserve">Leasehold / WI</x:t>
        </x:is>
      </x:c>
      <x:c r="K825" s="527" t="inlineStr">
        <x:is>
          <x:t xml:space="preserve">OKCountyRecords official index, Roger Mills County (instrument 1984-001751); searched 06/11/2026</x:t>
        </x:is>
      </x:c>
      <x:c r="L825" s="565" t="n"/>
      <x:c r="M825" s="565" t="n"/>
      <x:c r="N825" s="565" t="n"/>
      <x:c r="O825" s="565" t="n"/>
      <x:c r="P825" s="565" t="n"/>
      <x:c r="Q825" s="565" t="n"/>
      <x:c r="R825" s="565" t="n"/>
      <x:c r="S825" s="613" t="n"/>
      <x:c r="T825" s="565" t="n"/>
      <x:c r="U825" s="613" t="n"/>
      <x:c r="V825" s="565" t="n"/>
      <x:c r="W825" s="565" t="n"/>
      <x:c r="X825" s="565" t="n"/>
      <x:c r="Y825" s="565" t="n"/>
      <x:c r="Z825" s="565" t="n"/>
    </x:row>
    <x:row r="826">
      <x:c r="A826" s="527" t="inlineStr">
        <x:is>
          <x:t xml:space="preserve">1984-001752</x:t>
        </x:is>
      </x:c>
      <x:c r="B826" s="527" t="n"/>
      <x:c r="C826" s="527" t="inlineStr">
        <x:is>
          <x:t xml:space="preserve">Oil and Gas Lease</x:t>
        </x:is>
      </x:c>
      <x:c r="D826" s="527" t="inlineStr">
        <x:is>
          <x:t xml:space="preserve">0596/0108</x:t>
        </x:is>
      </x:c>
      <x:c r="E826" s="529" t="inlineStr">
        <x:is>
          <x:t xml:space="preserve">02/27/1984</x:t>
        </x:is>
      </x:c>
      <x:c r="F826" s="529" t="n">
        <x:v>30739</x:v>
      </x:c>
      <x:c r="G826" s="527" t="inlineStr">
        <x:is>
          <x:t xml:space="preserve">Billy Wayne Bain, Trustee,
Hamilton, Hazel A. Trust</x:t>
        </x:is>
      </x:c>
      <x:c r="H826" s="527" t="inlineStr">
        <x:is>
          <x:t xml:space="preserve">Exxon Corporation</x:t>
        </x:is>
      </x:c>
      <x:c r="I826" s="527" t="inlineStr">
        <x:is>
          <x:t xml:space="preserve">31-12N-24W</x:t>
        </x:is>
      </x:c>
      <x:c r="J826" s="527" t="inlineStr">
        <x:is>
          <x:t xml:space="preserve">Leasehold / WI</x:t>
        </x:is>
      </x:c>
      <x:c r="K826" s="527" t="inlineStr">
        <x:is>
          <x:t xml:space="preserve">OKCountyRecords official index, Roger Mills County (instrument 1984-001752); searched 06/11/2026</x:t>
        </x:is>
      </x:c>
      <x:c r="L826" s="565" t="n"/>
      <x:c r="M826" s="565" t="n"/>
      <x:c r="N826" s="565" t="n"/>
      <x:c r="O826" s="565" t="n"/>
      <x:c r="P826" s="565" t="n"/>
      <x:c r="Q826" s="565" t="n"/>
      <x:c r="R826" s="565" t="n"/>
      <x:c r="S826" s="613" t="n"/>
      <x:c r="T826" s="565" t="n"/>
      <x:c r="U826" s="613" t="n"/>
      <x:c r="V826" s="565" t="n"/>
      <x:c r="W826" s="565" t="n"/>
      <x:c r="X826" s="565" t="n"/>
      <x:c r="Y826" s="565" t="n"/>
      <x:c r="Z826" s="565" t="n"/>
    </x:row>
    <x:row r="827">
      <x:c r="A827" s="527" t="inlineStr">
        <x:is>
          <x:t xml:space="preserve">1984-001753</x:t>
        </x:is>
      </x:c>
      <x:c r="B827" s="527" t="n"/>
      <x:c r="C827" s="527" t="inlineStr">
        <x:is>
          <x:t xml:space="preserve">Oil and Gas Lease</x:t>
        </x:is>
      </x:c>
      <x:c r="D827" s="527" t="inlineStr">
        <x:is>
          <x:t xml:space="preserve">0596/0110</x:t>
        </x:is>
      </x:c>
      <x:c r="E827" s="529" t="inlineStr">
        <x:is>
          <x:t xml:space="preserve">02/27/1984</x:t>
        </x:is>
      </x:c>
      <x:c r="F827" s="529" t="n">
        <x:v>30739</x:v>
      </x:c>
      <x:c r="G827" s="527" t="inlineStr">
        <x:is>
          <x:t xml:space="preserve">Billy Wayne Bain</x:t>
        </x:is>
      </x:c>
      <x:c r="H827" s="527" t="inlineStr">
        <x:is>
          <x:t xml:space="preserve">Exxon Corporation</x:t>
        </x:is>
      </x:c>
      <x:c r="I827" s="527" t="inlineStr">
        <x:is>
          <x:t xml:space="preserve">31-12N-24W</x:t>
        </x:is>
      </x:c>
      <x:c r="J827" s="527" t="inlineStr">
        <x:is>
          <x:t xml:space="preserve">Leasehold / WI</x:t>
        </x:is>
      </x:c>
      <x:c r="K827" s="527" t="inlineStr">
        <x:is>
          <x:t xml:space="preserve">OKCountyRecords official index, Roger Mills County (instrument 1984-001753); searched 06/11/2026</x:t>
        </x:is>
      </x:c>
      <x:c r="L827" s="565" t="n"/>
      <x:c r="M827" s="565" t="n"/>
      <x:c r="N827" s="565" t="n"/>
      <x:c r="O827" s="565" t="n"/>
      <x:c r="P827" s="565" t="n"/>
      <x:c r="Q827" s="565" t="n"/>
      <x:c r="R827" s="565" t="n"/>
      <x:c r="S827" s="613" t="n"/>
      <x:c r="T827" s="565" t="n"/>
      <x:c r="U827" s="613" t="n"/>
      <x:c r="V827" s="565" t="n"/>
      <x:c r="W827" s="565" t="n"/>
      <x:c r="X827" s="565" t="n"/>
      <x:c r="Y827" s="565" t="n"/>
      <x:c r="Z827" s="565" t="n"/>
    </x:row>
    <x:row r="828">
      <x:c r="A828" s="527" t="inlineStr">
        <x:is>
          <x:t xml:space="preserve">1984-001867</x:t>
        </x:is>
      </x:c>
      <x:c r="B828" s="527" t="n"/>
      <x:c r="C828" s="527" t="inlineStr">
        <x:is>
          <x:t xml:space="preserve">Oil and Gas Lease</x:t>
        </x:is>
      </x:c>
      <x:c r="D828" s="527" t="inlineStr">
        <x:is>
          <x:t xml:space="preserve">0597/0018</x:t>
        </x:is>
      </x:c>
      <x:c r="E828" s="529" t="inlineStr">
        <x:is>
          <x:t xml:space="preserve">02/29/1984</x:t>
        </x:is>
      </x:c>
      <x:c r="F828" s="529" t="n">
        <x:v>30741</x:v>
      </x:c>
      <x:c r="G828" s="527" t="inlineStr">
        <x:is>
          <x:t xml:space="preserve">Juanita M. Wolff</x:t>
        </x:is>
      </x:c>
      <x:c r="H828" s="527" t="inlineStr">
        <x:is>
          <x:t xml:space="preserve">Exxon Corporation</x:t>
        </x:is>
      </x:c>
      <x:c r="I828" s="527" t="inlineStr">
        <x:is>
          <x:t xml:space="preserve">31-12N-24W</x:t>
        </x:is>
      </x:c>
      <x:c r="J828" s="527" t="inlineStr">
        <x:is>
          <x:t xml:space="preserve">Leasehold / WI</x:t>
        </x:is>
      </x:c>
      <x:c r="K828" s="527" t="inlineStr">
        <x:is>
          <x:t xml:space="preserve">OKCountyRecords official index, Roger Mills County (instrument 1984-001867); searched 06/11/2026</x:t>
        </x:is>
      </x:c>
      <x:c r="L828" s="565" t="n"/>
      <x:c r="M828" s="565" t="n"/>
      <x:c r="N828" s="565" t="n"/>
      <x:c r="O828" s="565" t="n"/>
      <x:c r="P828" s="565" t="n"/>
      <x:c r="Q828" s="565" t="n"/>
      <x:c r="R828" s="565" t="n"/>
      <x:c r="S828" s="613" t="n"/>
      <x:c r="T828" s="565" t="n"/>
      <x:c r="U828" s="613" t="n"/>
      <x:c r="V828" s="565" t="n"/>
      <x:c r="W828" s="565" t="n"/>
      <x:c r="X828" s="565" t="n"/>
      <x:c r="Y828" s="565" t="n"/>
      <x:c r="Z828" s="565" t="n"/>
    </x:row>
    <x:row r="829">
      <x:c r="A829" s="527" t="inlineStr">
        <x:is>
          <x:t xml:space="preserve">1984-001901</x:t>
        </x:is>
      </x:c>
      <x:c r="B829" s="527" t="n"/>
      <x:c r="C829" s="527" t="inlineStr">
        <x:is>
          <x:t xml:space="preserve">Oil and Gas Lease</x:t>
        </x:is>
      </x:c>
      <x:c r="D829" s="527" t="inlineStr">
        <x:is>
          <x:t xml:space="preserve">0597/0113</x:t>
        </x:is>
      </x:c>
      <x:c r="E829" s="529" t="inlineStr">
        <x:is>
          <x:t xml:space="preserve">03/01/1984</x:t>
        </x:is>
      </x:c>
      <x:c r="F829" s="529" t="n">
        <x:v>30742</x:v>
      </x:c>
      <x:c r="G829" s="527" t="inlineStr">
        <x:is>
          <x:t xml:space="preserve">Deborah A. Deutsch,
Paul R. Deutsch</x:t>
        </x:is>
      </x:c>
      <x:c r="H829" s="527" t="inlineStr">
        <x:is>
          <x:t xml:space="preserve">Exxon Corporation</x:t>
        </x:is>
      </x:c>
      <x:c r="I829" s="527" t="inlineStr">
        <x:is>
          <x:t xml:space="preserve">31-12N-24W</x:t>
        </x:is>
      </x:c>
      <x:c r="J829" s="527" t="inlineStr">
        <x:is>
          <x:t xml:space="preserve">Leasehold / WI</x:t>
        </x:is>
      </x:c>
      <x:c r="K829" s="527" t="inlineStr">
        <x:is>
          <x:t xml:space="preserve">OKCountyRecords official index, Roger Mills County (instrument 1984-001901); searched 06/11/2026</x:t>
        </x:is>
      </x:c>
      <x:c r="L829" s="565" t="n"/>
      <x:c r="M829" s="565" t="n"/>
      <x:c r="N829" s="565" t="n"/>
      <x:c r="O829" s="565" t="n"/>
      <x:c r="P829" s="565" t="n"/>
      <x:c r="Q829" s="565" t="n"/>
      <x:c r="R829" s="565" t="n"/>
      <x:c r="S829" s="613" t="n"/>
      <x:c r="T829" s="565" t="n"/>
      <x:c r="U829" s="613" t="n"/>
      <x:c r="V829" s="565" t="n"/>
      <x:c r="W829" s="565" t="n"/>
      <x:c r="X829" s="565" t="n"/>
      <x:c r="Y829" s="565" t="n"/>
      <x:c r="Z829" s="565" t="n"/>
    </x:row>
    <x:row r="830">
      <x:c r="A830" s="527" t="inlineStr">
        <x:is>
          <x:t xml:space="preserve">1984-002100</x:t>
        </x:is>
      </x:c>
      <x:c r="B830" s="527" t="n"/>
      <x:c r="C830" s="527" t="inlineStr">
        <x:is>
          <x:t xml:space="preserve">Oil and Gas Lease</x:t>
        </x:is>
      </x:c>
      <x:c r="D830" s="527" t="inlineStr">
        <x:is>
          <x:t xml:space="preserve">0598/0258</x:t>
        </x:is>
      </x:c>
      <x:c r="E830" s="529" t="inlineStr">
        <x:is>
          <x:t xml:space="preserve">03/07/1984</x:t>
        </x:is>
      </x:c>
      <x:c r="F830" s="529" t="n">
        <x:v>30748</x:v>
      </x:c>
      <x:c r="G830" s="527" t="inlineStr">
        <x:is>
          <x:t xml:space="preserve">Laura L. Snyder</x:t>
        </x:is>
      </x:c>
      <x:c r="H830" s="527" t="inlineStr">
        <x:is>
          <x:t xml:space="preserve">Exxon Corporation</x:t>
        </x:is>
      </x:c>
      <x:c r="I830" s="527" t="inlineStr">
        <x:is>
          <x:t xml:space="preserve">31-12N-24W</x:t>
        </x:is>
      </x:c>
      <x:c r="J830" s="527" t="inlineStr">
        <x:is>
          <x:t xml:space="preserve">Leasehold / WI</x:t>
        </x:is>
      </x:c>
      <x:c r="K830" s="527" t="inlineStr">
        <x:is>
          <x:t xml:space="preserve">OKCountyRecords official index, Roger Mills County (instrument 1984-002100); searched 06/11/2026</x:t>
        </x:is>
      </x:c>
      <x:c r="L830" s="565" t="n"/>
      <x:c r="M830" s="565" t="n"/>
      <x:c r="N830" s="565" t="n"/>
      <x:c r="O830" s="565" t="n"/>
      <x:c r="P830" s="565" t="n"/>
      <x:c r="Q830" s="565" t="n"/>
      <x:c r="R830" s="565" t="n"/>
      <x:c r="S830" s="613" t="n"/>
      <x:c r="T830" s="565" t="n"/>
      <x:c r="U830" s="613" t="n"/>
      <x:c r="V830" s="565" t="n"/>
      <x:c r="W830" s="565" t="n"/>
      <x:c r="X830" s="565" t="n"/>
      <x:c r="Y830" s="565" t="n"/>
      <x:c r="Z830" s="565" t="n"/>
    </x:row>
    <x:row r="831">
      <x:c r="A831" s="527" t="inlineStr">
        <x:is>
          <x:t xml:space="preserve">1984-002212</x:t>
        </x:is>
      </x:c>
      <x:c r="B831" s="527" t="n"/>
      <x:c r="C831" s="527" t="inlineStr">
        <x:is>
          <x:t xml:space="preserve">Oil and Gas Lease</x:t>
        </x:is>
      </x:c>
      <x:c r="D831" s="527" t="inlineStr">
        <x:is>
          <x:t xml:space="preserve">0599/0167</x:t>
        </x:is>
      </x:c>
      <x:c r="E831" s="529" t="inlineStr">
        <x:is>
          <x:t xml:space="preserve">03/08/1984</x:t>
        </x:is>
      </x:c>
      <x:c r="F831" s="529" t="n">
        <x:v>30749</x:v>
      </x:c>
      <x:c r="G831" s="527" t="inlineStr">
        <x:is>
          <x:t xml:space="preserve">Eula Cross</x:t>
        </x:is>
      </x:c>
      <x:c r="H831" s="527" t="inlineStr">
        <x:is>
          <x:t xml:space="preserve">Exxon Corporation</x:t>
        </x:is>
      </x:c>
      <x:c r="I831" s="527" t="inlineStr">
        <x:is>
          <x:t xml:space="preserve">31-12N-24W</x:t>
        </x:is>
      </x:c>
      <x:c r="J831" s="527" t="inlineStr">
        <x:is>
          <x:t xml:space="preserve">Leasehold / WI</x:t>
        </x:is>
      </x:c>
      <x:c r="K831" s="527" t="inlineStr">
        <x:is>
          <x:t xml:space="preserve">OKCountyRecords official index, Roger Mills County (instrument 1984-002212); searched 06/11/2026</x:t>
        </x:is>
      </x:c>
      <x:c r="L831" s="565" t="n"/>
      <x:c r="M831" s="565" t="n"/>
      <x:c r="N831" s="565" t="n"/>
      <x:c r="O831" s="565" t="n"/>
      <x:c r="P831" s="565" t="n"/>
      <x:c r="Q831" s="565" t="n"/>
      <x:c r="R831" s="565" t="n"/>
      <x:c r="S831" s="613" t="n"/>
      <x:c r="T831" s="565" t="n"/>
      <x:c r="U831" s="613" t="n"/>
      <x:c r="V831" s="565" t="n"/>
      <x:c r="W831" s="565" t="n"/>
      <x:c r="X831" s="565" t="n"/>
      <x:c r="Y831" s="565" t="n"/>
      <x:c r="Z831" s="565" t="n"/>
    </x:row>
    <x:row r="832">
      <x:c r="A832" s="527" t="inlineStr">
        <x:is>
          <x:t xml:space="preserve">1984-002528</x:t>
        </x:is>
      </x:c>
      <x:c r="B832" s="527" t="n"/>
      <x:c r="C832" s="527" t="inlineStr">
        <x:is>
          <x:t xml:space="preserve">Oil and Gas Lease</x:t>
        </x:is>
      </x:c>
      <x:c r="D832" s="527" t="inlineStr">
        <x:is>
          <x:t xml:space="preserve">0601/0252</x:t>
        </x:is>
      </x:c>
      <x:c r="E832" s="529" t="inlineStr">
        <x:is>
          <x:t xml:space="preserve">03/15/1984</x:t>
        </x:is>
      </x:c>
      <x:c r="F832" s="529" t="n">
        <x:v>30756</x:v>
      </x:c>
      <x:c r="G832" s="527" t="inlineStr">
        <x:is>
          <x:t xml:space="preserve">Richard M. Heins</x:t>
        </x:is>
      </x:c>
      <x:c r="H832" s="527" t="inlineStr">
        <x:is>
          <x:t xml:space="preserve">Exxon Corporation</x:t>
        </x:is>
      </x:c>
      <x:c r="I832" s="527" t="inlineStr">
        <x:is>
          <x:t xml:space="preserve">31-12N-24W</x:t>
        </x:is>
      </x:c>
      <x:c r="J832" s="527" t="inlineStr">
        <x:is>
          <x:t xml:space="preserve">Leasehold / WI</x:t>
        </x:is>
      </x:c>
      <x:c r="K832" s="527" t="inlineStr">
        <x:is>
          <x:t xml:space="preserve">OKCountyRecords official index, Roger Mills County (instrument 1984-002528); searched 06/11/2026</x:t>
        </x:is>
      </x:c>
      <x:c r="L832" s="565" t="n"/>
      <x:c r="M832" s="565" t="n"/>
      <x:c r="N832" s="565" t="n"/>
      <x:c r="O832" s="565" t="n"/>
      <x:c r="P832" s="565" t="n"/>
      <x:c r="Q832" s="565" t="n"/>
      <x:c r="R832" s="565" t="n"/>
      <x:c r="S832" s="613" t="n"/>
      <x:c r="T832" s="565" t="n"/>
      <x:c r="U832" s="613" t="n"/>
      <x:c r="V832" s="565" t="n"/>
      <x:c r="W832" s="565" t="n"/>
      <x:c r="X832" s="565" t="n"/>
      <x:c r="Y832" s="565" t="n"/>
      <x:c r="Z832" s="565" t="n"/>
    </x:row>
    <x:row r="833">
      <x:c r="A833" s="527" t="inlineStr">
        <x:is>
          <x:t xml:space="preserve">1984-002529</x:t>
        </x:is>
      </x:c>
      <x:c r="B833" s="527" t="n"/>
      <x:c r="C833" s="527" t="inlineStr">
        <x:is>
          <x:t xml:space="preserve">Oil and Gas Lease</x:t>
        </x:is>
      </x:c>
      <x:c r="D833" s="527" t="inlineStr">
        <x:is>
          <x:t xml:space="preserve">0601/0254</x:t>
        </x:is>
      </x:c>
      <x:c r="E833" s="529" t="inlineStr">
        <x:is>
          <x:t xml:space="preserve">03/15/1984</x:t>
        </x:is>
      </x:c>
      <x:c r="F833" s="529" t="n">
        <x:v>30756</x:v>
      </x:c>
      <x:c r="G833" s="527" t="inlineStr">
        <x:is>
          <x:t xml:space="preserve">Jonathan E. Jensen</x:t>
        </x:is>
      </x:c>
      <x:c r="H833" s="527" t="inlineStr">
        <x:is>
          <x:t xml:space="preserve">Exxon Corporation</x:t>
        </x:is>
      </x:c>
      <x:c r="I833" s="527" t="inlineStr">
        <x:is>
          <x:t xml:space="preserve">31-12N-24W</x:t>
        </x:is>
      </x:c>
      <x:c r="J833" s="527" t="inlineStr">
        <x:is>
          <x:t xml:space="preserve">Leasehold / WI</x:t>
        </x:is>
      </x:c>
      <x:c r="K833" s="527" t="inlineStr">
        <x:is>
          <x:t xml:space="preserve">OKCountyRecords official index, Roger Mills County (instrument 1984-002529); searched 06/11/2026</x:t>
        </x:is>
      </x:c>
      <x:c r="L833" s="565" t="n"/>
      <x:c r="M833" s="565" t="n"/>
      <x:c r="N833" s="565" t="n"/>
      <x:c r="O833" s="565" t="n"/>
      <x:c r="P833" s="565" t="n"/>
      <x:c r="Q833" s="565" t="n"/>
      <x:c r="R833" s="565" t="n"/>
      <x:c r="S833" s="613" t="n"/>
      <x:c r="T833" s="565" t="n"/>
      <x:c r="U833" s="613" t="n"/>
      <x:c r="V833" s="565" t="n"/>
      <x:c r="W833" s="565" t="n"/>
      <x:c r="X833" s="565" t="n"/>
      <x:c r="Y833" s="565" t="n"/>
      <x:c r="Z833" s="565" t="n"/>
    </x:row>
    <x:row r="834">
      <x:c r="A834" s="527" t="inlineStr">
        <x:is>
          <x:t xml:space="preserve">1984-002532</x:t>
        </x:is>
      </x:c>
      <x:c r="B834" s="527" t="n"/>
      <x:c r="C834" s="527" t="inlineStr">
        <x:is>
          <x:t xml:space="preserve">Oil and Gas Lease</x:t>
        </x:is>
      </x:c>
      <x:c r="D834" s="527" t="inlineStr">
        <x:is>
          <x:t xml:space="preserve">0601/0260</x:t>
        </x:is>
      </x:c>
      <x:c r="E834" s="529" t="inlineStr">
        <x:is>
          <x:t xml:space="preserve">03/15/1984</x:t>
        </x:is>
      </x:c>
      <x:c r="F834" s="529" t="n">
        <x:v>30756</x:v>
      </x:c>
      <x:c r="G834" s="527" t="inlineStr">
        <x:is>
          <x:t xml:space="preserve">Myron V. Slobin</x:t>
        </x:is>
      </x:c>
      <x:c r="H834" s="527" t="inlineStr">
        <x:is>
          <x:t xml:space="preserve">Exxon Corporation</x:t>
        </x:is>
      </x:c>
      <x:c r="I834" s="527" t="inlineStr">
        <x:is>
          <x:t xml:space="preserve">31-12N-24W</x:t>
        </x:is>
      </x:c>
      <x:c r="J834" s="527" t="inlineStr">
        <x:is>
          <x:t xml:space="preserve">Leasehold / WI</x:t>
        </x:is>
      </x:c>
      <x:c r="K834" s="527" t="inlineStr">
        <x:is>
          <x:t xml:space="preserve">OKCountyRecords official index, Roger Mills County (instrument 1984-002532); searched 06/11/2026</x:t>
        </x:is>
      </x:c>
      <x:c r="L834" s="565" t="n"/>
      <x:c r="M834" s="565" t="n"/>
      <x:c r="N834" s="565" t="n"/>
      <x:c r="O834" s="565" t="n"/>
      <x:c r="P834" s="565" t="n"/>
      <x:c r="Q834" s="565" t="n"/>
      <x:c r="R834" s="565" t="n"/>
      <x:c r="S834" s="613" t="n"/>
      <x:c r="T834" s="565" t="n"/>
      <x:c r="U834" s="613" t="n"/>
      <x:c r="V834" s="565" t="n"/>
      <x:c r="W834" s="565" t="n"/>
      <x:c r="X834" s="565" t="n"/>
      <x:c r="Y834" s="565" t="n"/>
      <x:c r="Z834" s="565" t="n"/>
    </x:row>
    <x:row r="835">
      <x:c r="A835" s="527" t="inlineStr">
        <x:is>
          <x:t xml:space="preserve">1984-002563</x:t>
        </x:is>
      </x:c>
      <x:c r="B835" s="527" t="n"/>
      <x:c r="C835" s="527" t="inlineStr">
        <x:is>
          <x:t xml:space="preserve">Assignment</x:t>
        </x:is>
      </x:c>
      <x:c r="D835" s="527" t="inlineStr">
        <x:is>
          <x:t xml:space="preserve">0602/0021</x:t>
        </x:is>
      </x:c>
      <x:c r="E835" s="529" t="inlineStr">
        <x:is>
          <x:t xml:space="preserve">03/16/1984</x:t>
        </x:is>
      </x:c>
      <x:c r="F835" s="529" t="n">
        <x:v>30757</x:v>
      </x:c>
      <x:c r="G835" s="527" t="inlineStr">
        <x:is>
          <x:t xml:space="preserve">Natomas North America, Inc.</x:t>
        </x:is>
      </x:c>
      <x:c r="H835" s="527" t="inlineStr">
        <x:is>
          <x:t xml:space="preserve">Apc Operating Partnership</x:t>
        </x:is>
      </x:c>
      <x:c r="I835" s="527" t="inlineStr">
        <x:is>
          <x:t xml:space="preserve">All of 31-12N-24W (AOL)</x:t>
        </x:is>
      </x:c>
      <x:c r="J835" s="527" t="inlineStr">
        <x:is>
          <x:t xml:space="preserve">Leasehold / WI</x:t>
        </x:is>
      </x:c>
      <x:c r="K835" s="527" t="inlineStr">
        <x:is>
          <x:t xml:space="preserve">OKCountyRecords official index, Roger Mills County (instrument 1984-002563); searched 06/11/2026</x:t>
        </x:is>
      </x:c>
      <x:c r="L835" s="565" t="n"/>
      <x:c r="M835" s="565" t="n"/>
      <x:c r="N835" s="565" t="n"/>
      <x:c r="O835" s="565" t="n"/>
      <x:c r="P835" s="565" t="n"/>
      <x:c r="Q835" s="565" t="n"/>
      <x:c r="R835" s="565" t="n"/>
      <x:c r="S835" s="613" t="n"/>
      <x:c r="T835" s="565" t="n"/>
      <x:c r="U835" s="613" t="n"/>
      <x:c r="V835" s="565" t="n"/>
      <x:c r="W835" s="565" t="n"/>
      <x:c r="X835" s="565" t="n"/>
      <x:c r="Y835" s="565" t="n"/>
      <x:c r="Z835" s="565" t="n"/>
    </x:row>
    <x:row r="836">
      <x:c r="A836" s="527" t="inlineStr">
        <x:is>
          <x:t xml:space="preserve">1984-002940</x:t>
        </x:is>
      </x:c>
      <x:c r="B836" s="527" t="n"/>
      <x:c r="C836" s="527" t="inlineStr">
        <x:is>
          <x:t xml:space="preserve">Release</x:t>
        </x:is>
      </x:c>
      <x:c r="D836" s="527" t="inlineStr">
        <x:is>
          <x:t xml:space="preserve">0604/0330</x:t>
        </x:is>
      </x:c>
      <x:c r="E836" s="529" t="inlineStr">
        <x:is>
          <x:t xml:space="preserve">03/28/1984</x:t>
        </x:is>
      </x:c>
      <x:c r="F836" s="529" t="n">
        <x:v>30769</x:v>
      </x:c>
      <x:c r="G836" s="527" t="inlineStr">
        <x:is>
          <x:t xml:space="preserve">Commissioners of the Land Office</x:t>
        </x:is>
      </x:c>
      <x:c r="H836" s="527" t="inlineStr">
        <x:is>
          <x:t xml:space="preserve">Linda L. Baker,
Phillip R. Baker,
Shirley J. Baker,
Wallace E. Baker</x:t>
        </x:is>
      </x:c>
      <x:c r="I836" s="527" t="inlineStr">
        <x:is>
          <x:t xml:space="preserve">31-12N-24W</x:t>
        </x:is>
      </x:c>
      <x:c r="J836" s="527" t="inlineStr">
        <x:is>
          <x:t xml:space="preserve">Leasehold / WI</x:t>
        </x:is>
      </x:c>
      <x:c r="K836" s="527" t="inlineStr">
        <x:is>
          <x:t xml:space="preserve">OKCountyRecords official index, Roger Mills County (instrument 1984-002940); searched 06/11/2026</x:t>
        </x:is>
      </x:c>
      <x:c r="L836" s="565" t="n"/>
      <x:c r="M836" s="565" t="n"/>
      <x:c r="N836" s="565" t="n"/>
      <x:c r="O836" s="565" t="n"/>
      <x:c r="P836" s="565" t="n"/>
      <x:c r="Q836" s="565" t="n"/>
      <x:c r="R836" s="565" t="n"/>
      <x:c r="S836" s="613" t="n"/>
      <x:c r="T836" s="565" t="n"/>
      <x:c r="U836" s="613" t="n"/>
      <x:c r="V836" s="565" t="n"/>
      <x:c r="W836" s="565" t="n"/>
      <x:c r="X836" s="565" t="n"/>
      <x:c r="Y836" s="565" t="n"/>
      <x:c r="Z836" s="565" t="n"/>
    </x:row>
    <x:row r="837">
      <x:c r="A837" s="527" t="inlineStr">
        <x:is>
          <x:t xml:space="preserve">1984-002941</x:t>
        </x:is>
      </x:c>
      <x:c r="B837" s="527" t="n"/>
      <x:c r="C837" s="527" t="inlineStr">
        <x:is>
          <x:t xml:space="preserve">Assignment</x:t>
        </x:is>
      </x:c>
      <x:c r="D837" s="527" t="inlineStr">
        <x:is>
          <x:t xml:space="preserve">0604/0331</x:t>
        </x:is>
      </x:c>
      <x:c r="E837" s="529" t="inlineStr">
        <x:is>
          <x:t xml:space="preserve">03/28/1984</x:t>
        </x:is>
      </x:c>
      <x:c r="F837" s="529" t="n">
        <x:v>30769</x:v>
      </x:c>
      <x:c r="G837" s="527" t="inlineStr">
        <x:is>
          <x:t xml:space="preserve">Leede Exploration</x:t>
        </x:is>
      </x:c>
      <x:c r="H837" s="527" t="inlineStr">
        <x:is>
          <x:t xml:space="preserve">O. I. L. Energy, Inc.</x:t>
        </x:is>
      </x:c>
      <x:c r="I837" s="527" t="inlineStr">
        <x:is>
          <x:t xml:space="preserve">31-12N-24W (AOL)</x:t>
        </x:is>
      </x:c>
      <x:c r="J837" s="527" t="inlineStr">
        <x:is>
          <x:t xml:space="preserve">Leasehold / WI</x:t>
        </x:is>
      </x:c>
      <x:c r="K837" s="527" t="inlineStr">
        <x:is>
          <x:t xml:space="preserve">OKCountyRecords official index, Roger Mills County (instrument 1984-002941); searched 06/11/2026</x:t>
        </x:is>
      </x:c>
      <x:c r="L837" s="565" t="n"/>
      <x:c r="M837" s="565" t="n"/>
      <x:c r="N837" s="565" t="n"/>
      <x:c r="O837" s="565" t="n"/>
      <x:c r="P837" s="565" t="n"/>
      <x:c r="Q837" s="565" t="n"/>
      <x:c r="R837" s="565" t="n"/>
      <x:c r="S837" s="613" t="n"/>
      <x:c r="T837" s="565" t="n"/>
      <x:c r="U837" s="613" t="n"/>
      <x:c r="V837" s="565" t="n"/>
      <x:c r="W837" s="565" t="n"/>
      <x:c r="X837" s="565" t="n"/>
      <x:c r="Y837" s="565" t="n"/>
      <x:c r="Z837" s="565" t="n"/>
    </x:row>
    <x:row r="838">
      <x:c r="A838" s="527" t="inlineStr">
        <x:is>
          <x:t xml:space="preserve">1984-002943</x:t>
        </x:is>
      </x:c>
      <x:c r="B838" s="527" t="n"/>
      <x:c r="C838" s="527" t="inlineStr">
        <x:is>
          <x:t xml:space="preserve">Mineral Deed</x:t>
        </x:is>
      </x:c>
      <x:c r="D838" s="527" t="inlineStr">
        <x:is>
          <x:t xml:space="preserve">0604/0350</x:t>
        </x:is>
      </x:c>
      <x:c r="E838" s="529" t="inlineStr">
        <x:is>
          <x:t xml:space="preserve">03/29/1984</x:t>
        </x:is>
      </x:c>
      <x:c r="F838" s="529" t="n">
        <x:v>30741</x:v>
      </x:c>
      <x:c r="G838" s="527" t="inlineStr">
        <x:is>
          <x:t xml:space="preserve">Leede Exploration</x:t>
        </x:is>
      </x:c>
      <x:c r="H838" s="527" t="inlineStr">
        <x:is>
          <x:t xml:space="preserve">O. I. L. Energy, Inc.</x:t>
        </x:is>
      </x:c>
      <x:c r="I838" s="527" t="inlineStr">
        <x:is>
          <x:t xml:space="preserve">E/2 NW/4 of 31-12N-24W (AOL)</x:t>
        </x:is>
      </x:c>
      <x:c r="J838" s="527" t="inlineStr">
        <x:is>
          <x:t xml:space="preserve">Mineral</x:t>
        </x:is>
      </x:c>
      <x:c r="K838" s="527" t="inlineStr">
        <x:is>
          <x:t xml:space="preserve">OKCountyRecords official index, Roger Mills County (instrument 1984-002943); searched 06/11/2026</x:t>
        </x:is>
      </x:c>
      <x:c r="L838" s="565" t="n"/>
      <x:c r="M838" s="565" t="n"/>
      <x:c r="N838" s="565" t="n"/>
      <x:c r="O838" s="565" t="n"/>
      <x:c r="P838" s="565" t="n"/>
      <x:c r="Q838" s="565" t="n"/>
      <x:c r="R838" s="565" t="n"/>
      <x:c r="S838" s="613" t="n"/>
      <x:c r="T838" s="565" t="n"/>
      <x:c r="U838" s="613" t="n"/>
      <x:c r="V838" s="565" t="n"/>
      <x:c r="W838" s="565" t="n"/>
      <x:c r="X838" s="565" t="n"/>
      <x:c r="Y838" s="565" t="n"/>
      <x:c r="Z838" s="565" t="n"/>
    </x:row>
    <x:row r="839">
      <x:c r="A839" s="527" t="inlineStr">
        <x:is>
          <x:t xml:space="preserve">1984-002948</x:t>
        </x:is>
      </x:c>
      <x:c r="B839" s="527" t="n"/>
      <x:c r="C839" s="527" t="inlineStr">
        <x:is>
          <x:t xml:space="preserve">Mineral Deed</x:t>
        </x:is>
      </x:c>
      <x:c r="D839" s="527" t="inlineStr">
        <x:is>
          <x:t xml:space="preserve">0605/0027</x:t>
        </x:is>
      </x:c>
      <x:c r="E839" s="529" t="inlineStr">
        <x:is>
          <x:t xml:space="preserve">03/29/1984</x:t>
        </x:is>
      </x:c>
      <x:c r="F839" s="529" t="n">
        <x:v>30770</x:v>
      </x:c>
      <x:c r="G839" s="527" t="inlineStr">
        <x:is>
          <x:t xml:space="preserve">Leede Exploration</x:t>
        </x:is>
      </x:c>
      <x:c r="H839" s="527" t="inlineStr">
        <x:is>
          <x:t xml:space="preserve">Robert H. Frazier,
Clyde A. Pine,
Charles D. Ray</x:t>
        </x:is>
      </x:c>
      <x:c r="I839" s="527" t="inlineStr">
        <x:is>
          <x:t xml:space="preserve">E/2 NW/4 of 31-12N-24W (AOL)</x:t>
        </x:is>
      </x:c>
      <x:c r="J839" s="527" t="inlineStr">
        <x:is>
          <x:t xml:space="preserve">Mineral</x:t>
        </x:is>
      </x:c>
      <x:c r="K839" s="527" t="inlineStr">
        <x:is>
          <x:t xml:space="preserve">OKCountyRecords official index, Roger Mills County (instrument 1984-002948); searched 06/11/2026</x:t>
        </x:is>
      </x:c>
      <x:c r="L839" s="565" t="n"/>
      <x:c r="M839" s="565" t="n"/>
      <x:c r="N839" s="565" t="n"/>
      <x:c r="O839" s="565" t="n"/>
      <x:c r="P839" s="565" t="n"/>
      <x:c r="Q839" s="565" t="n"/>
      <x:c r="R839" s="565" t="n"/>
      <x:c r="S839" s="613" t="n"/>
      <x:c r="T839" s="565" t="n"/>
      <x:c r="U839" s="613" t="n"/>
      <x:c r="V839" s="565" t="n"/>
      <x:c r="W839" s="565" t="n"/>
      <x:c r="X839" s="565" t="n"/>
      <x:c r="Y839" s="565" t="n"/>
      <x:c r="Z839" s="565" t="n"/>
    </x:row>
    <x:row r="840">
      <x:c r="A840" s="527" t="inlineStr">
        <x:is>
          <x:t xml:space="preserve">1984-003786</x:t>
        </x:is>
      </x:c>
      <x:c r="B840" s="527" t="n"/>
      <x:c r="C840" s="527" t="inlineStr">
        <x:is>
          <x:t xml:space="preserve">Mineral Deed</x:t>
        </x:is>
      </x:c>
      <x:c r="D840" s="527" t="inlineStr">
        <x:is>
          <x:t xml:space="preserve">0611/0058</x:t>
        </x:is>
      </x:c>
      <x:c r="E840" s="529" t="inlineStr">
        <x:is>
          <x:t xml:space="preserve">04/19/1984</x:t>
        </x:is>
      </x:c>
      <x:c r="F840" s="529" t="n">
        <x:v>30791</x:v>
      </x:c>
      <x:c r="G840" s="527" t="inlineStr">
        <x:is>
          <x:t xml:space="preserve">Juanita M. Wolff</x:t>
        </x:is>
      </x:c>
      <x:c r="H840" s="527" t="inlineStr">
        <x:is>
          <x:t xml:space="preserve">David S. Silverberry</x:t>
        </x:is>
      </x:c>
      <x:c r="I840" s="527" t="inlineStr">
        <x:is>
          <x:t xml:space="preserve">31-12N-24W (AOL)</x:t>
        </x:is>
      </x:c>
      <x:c r="J840" s="527" t="inlineStr">
        <x:is>
          <x:t xml:space="preserve">Mineral</x:t>
        </x:is>
      </x:c>
      <x:c r="K840" s="527" t="inlineStr">
        <x:is>
          <x:t xml:space="preserve">OKCountyRecords official index, Roger Mills County (instrument 1984-003786); searched 06/11/2026</x:t>
        </x:is>
      </x:c>
      <x:c r="L840" s="565" t="n"/>
      <x:c r="M840" s="565" t="n"/>
      <x:c r="N840" s="565" t="n"/>
      <x:c r="O840" s="565" t="n"/>
      <x:c r="P840" s="565" t="n"/>
      <x:c r="Q840" s="565" t="n"/>
      <x:c r="R840" s="565" t="n"/>
      <x:c r="S840" s="613" t="n"/>
      <x:c r="T840" s="565" t="n"/>
      <x:c r="U840" s="613" t="n"/>
      <x:c r="V840" s="565" t="n"/>
      <x:c r="W840" s="565" t="n"/>
      <x:c r="X840" s="565" t="n"/>
      <x:c r="Y840" s="565" t="n"/>
      <x:c r="Z840" s="565" t="n"/>
    </x:row>
    <x:row r="841">
      <x:c r="A841" s="527" t="inlineStr">
        <x:is>
          <x:t xml:space="preserve">1984-009002</x:t>
        </x:is>
      </x:c>
      <x:c r="B841" s="527" t="n"/>
      <x:c r="C841" s="527" t="inlineStr">
        <x:is>
          <x:t xml:space="preserve">Assignment</x:t>
        </x:is>
      </x:c>
      <x:c r="D841" s="527" t="inlineStr">
        <x:is>
          <x:t xml:space="preserve">0650/0145</x:t>
        </x:is>
      </x:c>
      <x:c r="E841" s="529" t="inlineStr">
        <x:is>
          <x:t xml:space="preserve">09/12/1984</x:t>
        </x:is>
      </x:c>
      <x:c r="F841" s="529" t="n">
        <x:v>30937</x:v>
      </x:c>
      <x:c r="G841" s="527" t="inlineStr">
        <x:is>
          <x:t xml:space="preserve">Entex Petroleum, Inc.</x:t>
        </x:is>
      </x:c>
      <x:c r="H841" s="527" t="inlineStr">
        <x:is>
          <x:t xml:space="preserve">Entex Energy Operating, Ltd.</x:t>
        </x:is>
      </x:c>
      <x:c r="I841" s="527" t="inlineStr">
        <x:is>
          <x:t xml:space="preserve">All of 31-12N-24W (AOL)</x:t>
        </x:is>
      </x:c>
      <x:c r="J841" s="527" t="inlineStr">
        <x:is>
          <x:t xml:space="preserve">Leasehold / WI</x:t>
        </x:is>
      </x:c>
      <x:c r="K841" s="527" t="inlineStr">
        <x:is>
          <x:t xml:space="preserve">OKCountyRecords official index, Roger Mills County (instrument 1984-009002); searched 06/11/2026</x:t>
        </x:is>
      </x:c>
      <x:c r="L841" s="565" t="n"/>
      <x:c r="M841" s="565" t="n"/>
      <x:c r="N841" s="565" t="n"/>
      <x:c r="O841" s="565" t="n"/>
      <x:c r="P841" s="565" t="n"/>
      <x:c r="Q841" s="565" t="n"/>
      <x:c r="R841" s="565" t="n"/>
      <x:c r="S841" s="613" t="n"/>
      <x:c r="T841" s="565" t="n"/>
      <x:c r="U841" s="613" t="n"/>
      <x:c r="V841" s="565" t="n"/>
      <x:c r="W841" s="565" t="n"/>
      <x:c r="X841" s="565" t="n"/>
      <x:c r="Y841" s="565" t="n"/>
      <x:c r="Z841" s="565" t="n"/>
    </x:row>
    <x:row r="842">
      <x:c r="A842" s="527" t="inlineStr">
        <x:is>
          <x:t xml:space="preserve">1984-009873</x:t>
        </x:is>
      </x:c>
      <x:c r="B842" s="527" t="n"/>
      <x:c r="C842" s="527" t="inlineStr">
        <x:is>
          <x:t xml:space="preserve">Miscellaneous</x:t>
        </x:is>
      </x:c>
      <x:c r="D842" s="527" t="inlineStr">
        <x:is>
          <x:t xml:space="preserve">0658/0241</x:t>
        </x:is>
      </x:c>
      <x:c r="E842" s="529" t="inlineStr">
        <x:is>
          <x:t xml:space="preserve">10/12/1984</x:t>
        </x:is>
      </x:c>
      <x:c r="F842" s="529" t="n">
        <x:v>30967</x:v>
      </x:c>
      <x:c r="G842" s="527" t="inlineStr">
        <x:is>
          <x:t xml:space="preserve">Mary Margaret Devenas,
Mary Margaret Wilson</x:t>
        </x:is>
      </x:c>
      <x:c r="H842" s="527" t="inlineStr">
        <x:is>
          <x:t xml:space="preserve">The Public</x:t>
        </x:is>
      </x:c>
      <x:c r="I842" s="527" t="inlineStr">
        <x:is>
          <x:t xml:space="preserve">31-12N-24W (AOL)</x:t>
        </x:is>
      </x:c>
      <x:c r="J842" s="527" t="inlineStr">
        <x:is>
          <x:t xml:space="preserve">See instrument</x:t>
        </x:is>
      </x:c>
      <x:c r="K842" s="527" t="inlineStr">
        <x:is>
          <x:t xml:space="preserve">OKCountyRecords official index, Roger Mills County (instrument 1984-009873); searched 06/11/2026</x:t>
        </x:is>
      </x:c>
      <x:c r="L842" s="565" t="n"/>
      <x:c r="M842" s="565" t="n"/>
      <x:c r="N842" s="565" t="n"/>
      <x:c r="O842" s="565" t="n"/>
      <x:c r="P842" s="565" t="n"/>
      <x:c r="Q842" s="565" t="n"/>
      <x:c r="R842" s="565" t="n"/>
      <x:c r="S842" s="613" t="n"/>
      <x:c r="T842" s="565" t="n"/>
      <x:c r="U842" s="613" t="n"/>
      <x:c r="V842" s="565" t="n"/>
      <x:c r="W842" s="565" t="n"/>
      <x:c r="X842" s="565" t="n"/>
      <x:c r="Y842" s="565" t="n"/>
      <x:c r="Z842" s="565" t="n"/>
    </x:row>
    <x:row r="843">
      <x:c r="A843" s="527" t="inlineStr">
        <x:is>
          <x:t xml:space="preserve">1984-010210</x:t>
        </x:is>
      </x:c>
      <x:c r="B843" s="527" t="n"/>
      <x:c r="C843" s="527" t="inlineStr">
        <x:is>
          <x:t xml:space="preserve">Assignment</x:t>
        </x:is>
      </x:c>
      <x:c r="D843" s="527" t="inlineStr">
        <x:is>
          <x:t xml:space="preserve">0662/0034</x:t>
        </x:is>
      </x:c>
      <x:c r="E843" s="529" t="inlineStr">
        <x:is>
          <x:t xml:space="preserve">10/24/1984</x:t>
        </x:is>
      </x:c>
      <x:c r="F843" s="529" t="n">
        <x:v>30979</x:v>
      </x:c>
      <x:c r="G843" s="527" t="inlineStr">
        <x:is>
          <x:t xml:space="preserve">Bovaird Supply Co</x:t>
        </x:is>
      </x:c>
      <x:c r="H843" s="527" t="inlineStr">
        <x:is>
          <x:t xml:space="preserve">Sohio Petroleum Co</x:t>
        </x:is>
      </x:c>
      <x:c r="I843" s="527" t="inlineStr">
        <x:is>
          <x:t xml:space="preserve">31-12N-24W</x:t>
        </x:is>
      </x:c>
      <x:c r="J843" s="527" t="inlineStr">
        <x:is>
          <x:t xml:space="preserve">Leasehold / WI</x:t>
        </x:is>
      </x:c>
      <x:c r="K843" s="527" t="inlineStr">
        <x:is>
          <x:t xml:space="preserve">OKCountyRecords official index, Roger Mills County (instrument 1984-010210); searched 06/11/2026</x:t>
        </x:is>
      </x:c>
      <x:c r="L843" s="565" t="n"/>
      <x:c r="M843" s="565" t="n"/>
      <x:c r="N843" s="565" t="n"/>
      <x:c r="O843" s="565" t="n"/>
      <x:c r="P843" s="565" t="n"/>
      <x:c r="Q843" s="565" t="n"/>
      <x:c r="R843" s="565" t="n"/>
      <x:c r="S843" s="613" t="n"/>
      <x:c r="T843" s="565" t="n"/>
      <x:c r="U843" s="613" t="n"/>
      <x:c r="V843" s="565" t="n"/>
      <x:c r="W843" s="565" t="n"/>
      <x:c r="X843" s="565" t="n"/>
      <x:c r="Y843" s="565" t="n"/>
      <x:c r="Z843" s="565" t="n"/>
    </x:row>
    <x:row r="844">
      <x:c r="A844" s="527" t="inlineStr">
        <x:is>
          <x:t xml:space="preserve">1985-000160</x:t>
        </x:is>
      </x:c>
      <x:c r="B844" s="527" t="n"/>
      <x:c r="C844" s="527" t="inlineStr">
        <x:is>
          <x:t xml:space="preserve">Oil and Gas Lease</x:t>
        </x:is>
      </x:c>
      <x:c r="D844" s="527" t="inlineStr">
        <x:is>
          <x:t xml:space="preserve">0684/0127</x:t>
        </x:is>
      </x:c>
      <x:c r="E844" s="529" t="inlineStr">
        <x:is>
          <x:t xml:space="preserve">01/04/1985</x:t>
        </x:is>
      </x:c>
      <x:c r="F844" s="529" t="n">
        <x:v>31051</x:v>
      </x:c>
      <x:c r="G844" s="527" t="inlineStr">
        <x:is>
          <x:t xml:space="preserve">John W. Klopfenstein,
Ruby W. Klopfenstein</x:t>
        </x:is>
      </x:c>
      <x:c r="H844" s="527" t="inlineStr">
        <x:is>
          <x:t xml:space="preserve">Yale Oil Association, Inc.</x:t>
        </x:is>
      </x:c>
      <x:c r="I844" s="527" t="inlineStr">
        <x:is>
          <x:t xml:space="preserve">31-12N-24W</x:t>
        </x:is>
      </x:c>
      <x:c r="J844" s="527" t="inlineStr">
        <x:is>
          <x:t xml:space="preserve">Leasehold / WI</x:t>
        </x:is>
      </x:c>
      <x:c r="K844" s="527" t="inlineStr">
        <x:is>
          <x:t xml:space="preserve">OKCountyRecords official index, Roger Mills County (instrument 1985-000160); searched 06/11/2026</x:t>
        </x:is>
      </x:c>
      <x:c r="L844" s="565" t="n"/>
      <x:c r="M844" s="565" t="n"/>
      <x:c r="N844" s="565" t="n"/>
      <x:c r="O844" s="565" t="n"/>
      <x:c r="P844" s="565" t="n"/>
      <x:c r="Q844" s="565" t="n"/>
      <x:c r="R844" s="565" t="n"/>
      <x:c r="S844" s="613" t="n"/>
      <x:c r="T844" s="565" t="n"/>
      <x:c r="U844" s="613" t="n"/>
      <x:c r="V844" s="565" t="n"/>
      <x:c r="W844" s="565" t="n"/>
      <x:c r="X844" s="565" t="n"/>
      <x:c r="Y844" s="565" t="n"/>
      <x:c r="Z844" s="565" t="n"/>
    </x:row>
    <x:row r="845">
      <x:c r="A845" s="527" t="inlineStr">
        <x:is>
          <x:t xml:space="preserve">1985-000800</x:t>
        </x:is>
      </x:c>
      <x:c r="B845" s="527" t="n"/>
      <x:c r="C845" s="527" t="inlineStr">
        <x:is>
          <x:t xml:space="preserve">Release</x:t>
        </x:is>
      </x:c>
      <x:c r="D845" s="527" t="inlineStr">
        <x:is>
          <x:t xml:space="preserve">0692/0030</x:t>
        </x:is>
      </x:c>
      <x:c r="E845" s="529" t="inlineStr">
        <x:is>
          <x:t xml:space="preserve">02/01/1985</x:t>
        </x:is>
      </x:c>
      <x:c r="F845" s="529" t="n">
        <x:v>31079</x:v>
      </x:c>
      <x:c r="G845" s="527" t="inlineStr">
        <x:is>
          <x:t xml:space="preserve">Universal Resources Corporation</x:t>
        </x:is>
      </x:c>
      <x:c r="H845" s="527" t="inlineStr">
        <x:is>
          <x:t xml:space="preserve">Ella Pearl Kirk,
Gordon E. Kirk</x:t>
        </x:is>
      </x:c>
      <x:c r="I845" s="527" t="inlineStr">
        <x:is>
          <x:t xml:space="preserve">31-12N-24W</x:t>
        </x:is>
      </x:c>
      <x:c r="J845" s="527" t="inlineStr">
        <x:is>
          <x:t xml:space="preserve">Leasehold / WI</x:t>
        </x:is>
      </x:c>
      <x:c r="K845" s="527" t="inlineStr">
        <x:is>
          <x:t xml:space="preserve">OKCountyRecords official index, Roger Mills County (instrument 1985-000800); searched 06/11/2026</x:t>
        </x:is>
      </x:c>
      <x:c r="L845" s="565" t="n"/>
      <x:c r="M845" s="565" t="n"/>
      <x:c r="N845" s="565" t="n"/>
      <x:c r="O845" s="565" t="n"/>
      <x:c r="P845" s="565" t="n"/>
      <x:c r="Q845" s="565" t="n"/>
      <x:c r="R845" s="565" t="n"/>
      <x:c r="S845" s="613" t="n"/>
      <x:c r="T845" s="565" t="n"/>
      <x:c r="U845" s="613" t="n"/>
      <x:c r="V845" s="565" t="n"/>
      <x:c r="W845" s="565" t="n"/>
      <x:c r="X845" s="565" t="n"/>
      <x:c r="Y845" s="565" t="n"/>
      <x:c r="Z845" s="565" t="n"/>
    </x:row>
    <x:row r="846">
      <x:c r="A846" s="527" t="inlineStr">
        <x:is>
          <x:t xml:space="preserve">1985-001211</x:t>
        </x:is>
      </x:c>
      <x:c r="B846" s="527" t="n"/>
      <x:c r="C846" s="527" t="inlineStr">
        <x:is>
          <x:t xml:space="preserve">Deed</x:t>
        </x:is>
      </x:c>
      <x:c r="D846" s="527" t="inlineStr">
        <x:is>
          <x:t xml:space="preserve">0696/0139</x:t>
        </x:is>
      </x:c>
      <x:c r="E846" s="529" t="inlineStr">
        <x:is>
          <x:t xml:space="preserve">02/22/1985</x:t>
        </x:is>
      </x:c>
      <x:c r="F846" s="529" t="n">
        <x:v>31100</x:v>
      </x:c>
      <x:c r="G846" s="527" t="inlineStr">
        <x:is>
          <x:t xml:space="preserve">Energy Reserves Group, Inc.</x:t>
        </x:is>
      </x:c>
      <x:c r="H846" s="527" t="inlineStr">
        <x:is>
          <x:t xml:space="preserve">Commonwealth Royalties, Inc.</x:t>
        </x:is>
      </x:c>
      <x:c r="I846" s="527" t="inlineStr">
        <x:is>
          <x:t xml:space="preserve">31-12N-24W</x:t>
        </x:is>
      </x:c>
      <x:c r="J846" s="527" t="inlineStr">
        <x:is>
          <x:t xml:space="preserve">Fee / as stated</x:t>
        </x:is>
      </x:c>
      <x:c r="K846" s="527" t="inlineStr">
        <x:is>
          <x:t xml:space="preserve">OKCountyRecords official index, Roger Mills County (instrument 1985-001211); searched 06/11/2026</x:t>
        </x:is>
      </x:c>
      <x:c r="L846" s="565" t="n"/>
      <x:c r="M846" s="565" t="n"/>
      <x:c r="N846" s="565" t="n"/>
      <x:c r="O846" s="565" t="n"/>
      <x:c r="P846" s="565" t="n"/>
      <x:c r="Q846" s="565" t="n"/>
      <x:c r="R846" s="565" t="n"/>
      <x:c r="S846" s="613" t="n"/>
      <x:c r="T846" s="565" t="n"/>
      <x:c r="U846" s="613" t="n"/>
      <x:c r="V846" s="565" t="n"/>
      <x:c r="W846" s="565" t="n"/>
      <x:c r="X846" s="565" t="n"/>
      <x:c r="Y846" s="565" t="n"/>
      <x:c r="Z846" s="565" t="n"/>
    </x:row>
    <x:row r="847">
      <x:c r="A847" s="527" t="inlineStr">
        <x:is>
          <x:t xml:space="preserve">1985-002380</x:t>
        </x:is>
      </x:c>
      <x:c r="B847" s="527" t="n"/>
      <x:c r="C847" s="527" t="inlineStr">
        <x:is>
          <x:t xml:space="preserve">Assignment</x:t>
        </x:is>
      </x:c>
      <x:c r="D847" s="527" t="inlineStr">
        <x:is>
          <x:t xml:space="preserve">0708/0015</x:t>
        </x:is>
      </x:c>
      <x:c r="E847" s="529" t="inlineStr">
        <x:is>
          <x:t xml:space="preserve">04/10/1985</x:t>
        </x:is>
      </x:c>
      <x:c r="F847" s="529" t="n">
        <x:v>31147</x:v>
      </x:c>
      <x:c r="G847" s="527" t="inlineStr">
        <x:is>
          <x:t xml:space="preserve">Yale Oil Association, Inc.</x:t>
        </x:is>
      </x:c>
      <x:c r="H847" s="527" t="inlineStr">
        <x:is>
          <x:t xml:space="preserve">Sendero Corp</x:t>
        </x:is>
      </x:c>
      <x:c r="I847" s="527" t="inlineStr">
        <x:is>
          <x:t xml:space="preserve">31-12N-24W (AOL)</x:t>
        </x:is>
      </x:c>
      <x:c r="J847" s="527" t="inlineStr">
        <x:is>
          <x:t xml:space="preserve">Leasehold / WI</x:t>
        </x:is>
      </x:c>
      <x:c r="K847" s="527" t="inlineStr">
        <x:is>
          <x:t xml:space="preserve">OKCountyRecords official index, Roger Mills County (instrument 1985-002380); searched 06/11/2026</x:t>
        </x:is>
      </x:c>
      <x:c r="L847" s="565" t="n"/>
      <x:c r="M847" s="565" t="n"/>
      <x:c r="N847" s="565" t="n"/>
      <x:c r="O847" s="565" t="n"/>
      <x:c r="P847" s="565" t="n"/>
      <x:c r="Q847" s="565" t="n"/>
      <x:c r="R847" s="565" t="n"/>
      <x:c r="S847" s="613" t="n"/>
      <x:c r="T847" s="565" t="n"/>
      <x:c r="U847" s="613" t="n"/>
      <x:c r="V847" s="565" t="n"/>
      <x:c r="W847" s="565" t="n"/>
      <x:c r="X847" s="565" t="n"/>
      <x:c r="Y847" s="565" t="n"/>
      <x:c r="Z847" s="565" t="n"/>
    </x:row>
    <x:row r="848">
      <x:c r="A848" s="527" t="inlineStr">
        <x:is>
          <x:t xml:space="preserve">1985-002388</x:t>
        </x:is>
      </x:c>
      <x:c r="B848" s="527" t="n"/>
      <x:c r="C848" s="527" t="inlineStr">
        <x:is>
          <x:t xml:space="preserve">Oil and Gas Lease</x:t>
        </x:is>
      </x:c>
      <x:c r="D848" s="527" t="inlineStr">
        <x:is>
          <x:t xml:space="preserve">0708/0033</x:t>
        </x:is>
      </x:c>
      <x:c r="E848" s="529" t="inlineStr">
        <x:is>
          <x:t xml:space="preserve">04/10/1985</x:t>
        </x:is>
      </x:c>
      <x:c r="F848" s="529" t="n">
        <x:v>31147</x:v>
      </x:c>
      <x:c r="G848" s="527" t="inlineStr">
        <x:is>
          <x:t xml:space="preserve">Wilda E. Jensen</x:t>
        </x:is>
      </x:c>
      <x:c r="H848" s="527" t="inlineStr">
        <x:is>
          <x:t xml:space="preserve">Exxon Corporation</x:t>
        </x:is>
      </x:c>
      <x:c r="I848" s="527" t="inlineStr">
        <x:is>
          <x:t xml:space="preserve">31-12N-24W</x:t>
        </x:is>
      </x:c>
      <x:c r="J848" s="527" t="inlineStr">
        <x:is>
          <x:t xml:space="preserve">Leasehold / WI</x:t>
        </x:is>
      </x:c>
      <x:c r="K848" s="527" t="inlineStr">
        <x:is>
          <x:t xml:space="preserve">OKCountyRecords official index, Roger Mills County (instrument 1985-002388); searched 06/11/2026</x:t>
        </x:is>
      </x:c>
      <x:c r="L848" s="565" t="n"/>
      <x:c r="M848" s="565" t="n"/>
      <x:c r="N848" s="565" t="n"/>
      <x:c r="O848" s="565" t="n"/>
      <x:c r="P848" s="565" t="n"/>
      <x:c r="Q848" s="565" t="n"/>
      <x:c r="R848" s="565" t="n"/>
      <x:c r="S848" s="613" t="n"/>
      <x:c r="T848" s="565" t="n"/>
      <x:c r="U848" s="613" t="n"/>
      <x:c r="V848" s="565" t="n"/>
      <x:c r="W848" s="565" t="n"/>
      <x:c r="X848" s="565" t="n"/>
      <x:c r="Y848" s="565" t="n"/>
      <x:c r="Z848" s="565" t="n"/>
    </x:row>
    <x:row r="849">
      <x:c r="A849" s="527" t="inlineStr">
        <x:is>
          <x:t xml:space="preserve">1985-002391</x:t>
        </x:is>
      </x:c>
      <x:c r="B849" s="527" t="n"/>
      <x:c r="C849" s="527" t="inlineStr">
        <x:is>
          <x:t xml:space="preserve">Oil and Gas Lease</x:t>
        </x:is>
      </x:c>
      <x:c r="D849" s="527" t="inlineStr">
        <x:is>
          <x:t xml:space="preserve">0708/0039</x:t>
        </x:is>
      </x:c>
      <x:c r="E849" s="529" t="inlineStr">
        <x:is>
          <x:t xml:space="preserve">04/10/1985</x:t>
        </x:is>
      </x:c>
      <x:c r="F849" s="529" t="n">
        <x:v>31147</x:v>
      </x:c>
      <x:c r="G849" s="527" t="inlineStr">
        <x:is>
          <x:t xml:space="preserve">Clarence C. Bain</x:t>
        </x:is>
      </x:c>
      <x:c r="H849" s="527" t="inlineStr">
        <x:is>
          <x:t xml:space="preserve">Exxon Corporation</x:t>
        </x:is>
      </x:c>
      <x:c r="I849" s="527" t="inlineStr">
        <x:is>
          <x:t xml:space="preserve">31-12N-24W</x:t>
        </x:is>
      </x:c>
      <x:c r="J849" s="527" t="inlineStr">
        <x:is>
          <x:t xml:space="preserve">Leasehold / WI</x:t>
        </x:is>
      </x:c>
      <x:c r="K849" s="527" t="inlineStr">
        <x:is>
          <x:t xml:space="preserve">OKCountyRecords official index, Roger Mills County (instrument 1985-002391); searched 06/11/2026</x:t>
        </x:is>
      </x:c>
      <x:c r="L849" s="565" t="n"/>
      <x:c r="M849" s="565" t="n"/>
      <x:c r="N849" s="565" t="n"/>
      <x:c r="O849" s="565" t="n"/>
      <x:c r="P849" s="565" t="n"/>
      <x:c r="Q849" s="565" t="n"/>
      <x:c r="R849" s="565" t="n"/>
      <x:c r="S849" s="613" t="n"/>
      <x:c r="T849" s="565" t="n"/>
      <x:c r="U849" s="613" t="n"/>
      <x:c r="V849" s="565" t="n"/>
      <x:c r="W849" s="565" t="n"/>
      <x:c r="X849" s="565" t="n"/>
      <x:c r="Y849" s="565" t="n"/>
      <x:c r="Z849" s="565" t="n"/>
    </x:row>
    <x:row r="850">
      <x:c r="A850" s="527" t="inlineStr">
        <x:is>
          <x:t xml:space="preserve">1985-002392</x:t>
        </x:is>
      </x:c>
      <x:c r="B850" s="527" t="n"/>
      <x:c r="C850" s="527" t="inlineStr">
        <x:is>
          <x:t xml:space="preserve">Oil and Gas Lease</x:t>
        </x:is>
      </x:c>
      <x:c r="D850" s="527" t="inlineStr">
        <x:is>
          <x:t xml:space="preserve">0708/0041</x:t>
        </x:is>
      </x:c>
      <x:c r="E850" s="529" t="inlineStr">
        <x:is>
          <x:t xml:space="preserve">04/10/1985</x:t>
        </x:is>
      </x:c>
      <x:c r="F850" s="529" t="n">
        <x:v>31147</x:v>
      </x:c>
      <x:c r="G850" s="527" t="inlineStr">
        <x:is>
          <x:t xml:space="preserve">Carl L. Bain</x:t>
        </x:is>
      </x:c>
      <x:c r="H850" s="527" t="inlineStr">
        <x:is>
          <x:t xml:space="preserve">Exxon Corporation</x:t>
        </x:is>
      </x:c>
      <x:c r="I850" s="527" t="inlineStr">
        <x:is>
          <x:t xml:space="preserve">31-12N-24W</x:t>
        </x:is>
      </x:c>
      <x:c r="J850" s="527" t="inlineStr">
        <x:is>
          <x:t xml:space="preserve">Leasehold / WI</x:t>
        </x:is>
      </x:c>
      <x:c r="K850" s="527" t="inlineStr">
        <x:is>
          <x:t xml:space="preserve">OKCountyRecords official index, Roger Mills County (instrument 1985-002392); searched 06/11/2026</x:t>
        </x:is>
      </x:c>
      <x:c r="L850" s="565" t="n"/>
      <x:c r="M850" s="565" t="n"/>
      <x:c r="N850" s="565" t="n"/>
      <x:c r="O850" s="565" t="n"/>
      <x:c r="P850" s="565" t="n"/>
      <x:c r="Q850" s="565" t="n"/>
      <x:c r="R850" s="565" t="n"/>
      <x:c r="S850" s="613" t="n"/>
      <x:c r="T850" s="565" t="n"/>
      <x:c r="U850" s="613" t="n"/>
      <x:c r="V850" s="565" t="n"/>
      <x:c r="W850" s="565" t="n"/>
      <x:c r="X850" s="565" t="n"/>
      <x:c r="Y850" s="565" t="n"/>
      <x:c r="Z850" s="565" t="n"/>
    </x:row>
    <x:row r="851">
      <x:c r="A851" s="527" t="inlineStr">
        <x:is>
          <x:t xml:space="preserve">1985-002393</x:t>
        </x:is>
      </x:c>
      <x:c r="B851" s="527" t="n"/>
      <x:c r="C851" s="527" t="inlineStr">
        <x:is>
          <x:t xml:space="preserve">Oil and Gas Lease</x:t>
        </x:is>
      </x:c>
      <x:c r="D851" s="527" t="inlineStr">
        <x:is>
          <x:t xml:space="preserve">0708/0043</x:t>
        </x:is>
      </x:c>
      <x:c r="E851" s="529" t="inlineStr">
        <x:is>
          <x:t xml:space="preserve">04/10/1985</x:t>
        </x:is>
      </x:c>
      <x:c r="F851" s="529" t="n">
        <x:v>31147</x:v>
      </x:c>
      <x:c r="G851" s="527" t="inlineStr">
        <x:is>
          <x:t xml:space="preserve">Billy Wayne Bain, Trustee,
Hazel A. Hamilton</x:t>
        </x:is>
      </x:c>
      <x:c r="H851" s="527" t="inlineStr">
        <x:is>
          <x:t xml:space="preserve">Exxon Corporation</x:t>
        </x:is>
      </x:c>
      <x:c r="I851" s="527" t="inlineStr">
        <x:is>
          <x:t xml:space="preserve">31-12N-24W</x:t>
        </x:is>
      </x:c>
      <x:c r="J851" s="527" t="inlineStr">
        <x:is>
          <x:t xml:space="preserve">Leasehold / WI</x:t>
        </x:is>
      </x:c>
      <x:c r="K851" s="527" t="inlineStr">
        <x:is>
          <x:t xml:space="preserve">OKCountyRecords official index, Roger Mills County (instrument 1985-002393); searched 06/11/2026</x:t>
        </x:is>
      </x:c>
      <x:c r="L851" s="565" t="n"/>
      <x:c r="M851" s="565" t="n"/>
      <x:c r="N851" s="565" t="n"/>
      <x:c r="O851" s="565" t="n"/>
      <x:c r="P851" s="565" t="n"/>
      <x:c r="Q851" s="565" t="n"/>
      <x:c r="R851" s="565" t="n"/>
      <x:c r="S851" s="613" t="n"/>
      <x:c r="T851" s="565" t="n"/>
      <x:c r="U851" s="613" t="n"/>
      <x:c r="V851" s="565" t="n"/>
      <x:c r="W851" s="565" t="n"/>
      <x:c r="X851" s="565" t="n"/>
      <x:c r="Y851" s="565" t="n"/>
      <x:c r="Z851" s="565" t="n"/>
    </x:row>
    <x:row r="852">
      <x:c r="A852" s="527" t="inlineStr">
        <x:is>
          <x:t xml:space="preserve">1985-002394</x:t>
        </x:is>
      </x:c>
      <x:c r="B852" s="527" t="n"/>
      <x:c r="C852" s="527" t="inlineStr">
        <x:is>
          <x:t xml:space="preserve">Oil and Gas Lease</x:t>
        </x:is>
      </x:c>
      <x:c r="D852" s="527" t="inlineStr">
        <x:is>
          <x:t xml:space="preserve">0708/0045</x:t>
        </x:is>
      </x:c>
      <x:c r="E852" s="529" t="inlineStr">
        <x:is>
          <x:t xml:space="preserve">04/10/1985</x:t>
        </x:is>
      </x:c>
      <x:c r="F852" s="529" t="n">
        <x:v>31147</x:v>
      </x:c>
      <x:c r="G852" s="527" t="inlineStr">
        <x:is>
          <x:t xml:space="preserve">Billy Wayne Bain</x:t>
        </x:is>
      </x:c>
      <x:c r="H852" s="527" t="inlineStr">
        <x:is>
          <x:t xml:space="preserve">Exxon Corporation</x:t>
        </x:is>
      </x:c>
      <x:c r="I852" s="527" t="inlineStr">
        <x:is>
          <x:t xml:space="preserve">31-12N-24W</x:t>
        </x:is>
      </x:c>
      <x:c r="J852" s="527" t="inlineStr">
        <x:is>
          <x:t xml:space="preserve">Leasehold / WI</x:t>
        </x:is>
      </x:c>
      <x:c r="K852" s="527" t="inlineStr">
        <x:is>
          <x:t xml:space="preserve">OKCountyRecords official index, Roger Mills County (instrument 1985-002394); searched 06/11/2026</x:t>
        </x:is>
      </x:c>
      <x:c r="L852" s="565" t="n"/>
      <x:c r="M852" s="565" t="n"/>
      <x:c r="N852" s="565" t="n"/>
      <x:c r="O852" s="565" t="n"/>
      <x:c r="P852" s="565" t="n"/>
      <x:c r="Q852" s="565" t="n"/>
      <x:c r="R852" s="565" t="n"/>
      <x:c r="S852" s="613" t="n"/>
      <x:c r="T852" s="565" t="n"/>
      <x:c r="U852" s="613" t="n"/>
      <x:c r="V852" s="565" t="n"/>
      <x:c r="W852" s="565" t="n"/>
      <x:c r="X852" s="565" t="n"/>
      <x:c r="Y852" s="565" t="n"/>
      <x:c r="Z852" s="565" t="n"/>
    </x:row>
    <x:row r="853">
      <x:c r="A853" s="527" t="inlineStr">
        <x:is>
          <x:t xml:space="preserve">1985-002398</x:t>
        </x:is>
      </x:c>
      <x:c r="B853" s="527" t="n"/>
      <x:c r="C853" s="527" t="inlineStr">
        <x:is>
          <x:t xml:space="preserve">Oil and Gas Lease</x:t>
        </x:is>
      </x:c>
      <x:c r="D853" s="527" t="inlineStr">
        <x:is>
          <x:t xml:space="preserve">0708/0053</x:t>
        </x:is>
      </x:c>
      <x:c r="E853" s="529" t="inlineStr">
        <x:is>
          <x:t xml:space="preserve">04/10/1985</x:t>
        </x:is>
      </x:c>
      <x:c r="F853" s="529" t="n">
        <x:v>31147</x:v>
      </x:c>
      <x:c r="G853" s="527" t="inlineStr">
        <x:is>
          <x:t xml:space="preserve">Dow C. Bain</x:t>
        </x:is>
      </x:c>
      <x:c r="H853" s="527" t="inlineStr">
        <x:is>
          <x:t xml:space="preserve">Exxon Corporation</x:t>
        </x:is>
      </x:c>
      <x:c r="I853" s="527" t="inlineStr">
        <x:is>
          <x:t xml:space="preserve">31-12N-24W</x:t>
        </x:is>
      </x:c>
      <x:c r="J853" s="527" t="inlineStr">
        <x:is>
          <x:t xml:space="preserve">Leasehold / WI</x:t>
        </x:is>
      </x:c>
      <x:c r="K853" s="527" t="inlineStr">
        <x:is>
          <x:t xml:space="preserve">OKCountyRecords official index, Roger Mills County (instrument 1985-002398); searched 06/11/2026</x:t>
        </x:is>
      </x:c>
      <x:c r="L853" s="565" t="n"/>
      <x:c r="M853" s="565" t="n"/>
      <x:c r="N853" s="565" t="n"/>
      <x:c r="O853" s="565" t="n"/>
      <x:c r="P853" s="565" t="n"/>
      <x:c r="Q853" s="565" t="n"/>
      <x:c r="R853" s="565" t="n"/>
      <x:c r="S853" s="613" t="n"/>
      <x:c r="T853" s="565" t="n"/>
      <x:c r="U853" s="613" t="n"/>
      <x:c r="V853" s="565" t="n"/>
      <x:c r="W853" s="565" t="n"/>
      <x:c r="X853" s="565" t="n"/>
      <x:c r="Y853" s="565" t="n"/>
      <x:c r="Z853" s="565" t="n"/>
    </x:row>
    <x:row r="854">
      <x:c r="A854" s="527" t="inlineStr">
        <x:is>
          <x:t xml:space="preserve">1985-002403</x:t>
        </x:is>
      </x:c>
      <x:c r="B854" s="527" t="n"/>
      <x:c r="C854" s="527" t="inlineStr">
        <x:is>
          <x:t xml:space="preserve">Oil and Gas Lease</x:t>
        </x:is>
      </x:c>
      <x:c r="D854" s="527" t="inlineStr">
        <x:is>
          <x:t xml:space="preserve">0708/0063</x:t>
        </x:is>
      </x:c>
      <x:c r="E854" s="529" t="inlineStr">
        <x:is>
          <x:t xml:space="preserve">04/10/1985</x:t>
        </x:is>
      </x:c>
      <x:c r="F854" s="529" t="n">
        <x:v>31147</x:v>
      </x:c>
      <x:c r="G854" s="527" t="inlineStr">
        <x:is>
          <x:t xml:space="preserve">Opal L. Fuchs</x:t>
        </x:is>
      </x:c>
      <x:c r="H854" s="527" t="inlineStr">
        <x:is>
          <x:t xml:space="preserve">Exxon Corporation</x:t>
        </x:is>
      </x:c>
      <x:c r="I854" s="527" t="inlineStr">
        <x:is>
          <x:t xml:space="preserve">31-12N-24W</x:t>
        </x:is>
      </x:c>
      <x:c r="J854" s="527" t="inlineStr">
        <x:is>
          <x:t xml:space="preserve">Leasehold / WI</x:t>
        </x:is>
      </x:c>
      <x:c r="K854" s="527" t="inlineStr">
        <x:is>
          <x:t xml:space="preserve">OKCountyRecords official index, Roger Mills County (instrument 1985-002403); searched 06/11/2026</x:t>
        </x:is>
      </x:c>
      <x:c r="L854" s="565" t="n"/>
      <x:c r="M854" s="565" t="n"/>
      <x:c r="N854" s="565" t="n"/>
      <x:c r="O854" s="565" t="n"/>
      <x:c r="P854" s="565" t="n"/>
      <x:c r="Q854" s="565" t="n"/>
      <x:c r="R854" s="565" t="n"/>
      <x:c r="S854" s="613" t="n"/>
      <x:c r="T854" s="565" t="n"/>
      <x:c r="U854" s="613" t="n"/>
      <x:c r="V854" s="565" t="n"/>
      <x:c r="W854" s="565" t="n"/>
      <x:c r="X854" s="565" t="n"/>
      <x:c r="Y854" s="565" t="n"/>
      <x:c r="Z854" s="565" t="n"/>
    </x:row>
    <x:row r="855">
      <x:c r="A855" s="527" t="inlineStr">
        <x:is>
          <x:t xml:space="preserve">1985-002405</x:t>
        </x:is>
      </x:c>
      <x:c r="B855" s="527" t="n"/>
      <x:c r="C855" s="527" t="inlineStr">
        <x:is>
          <x:t xml:space="preserve">Oil and Gas Lease</x:t>
        </x:is>
      </x:c>
      <x:c r="D855" s="527" t="inlineStr">
        <x:is>
          <x:t xml:space="preserve">0708/0067</x:t>
        </x:is>
      </x:c>
      <x:c r="E855" s="529" t="inlineStr">
        <x:is>
          <x:t xml:space="preserve">04/10/1985</x:t>
        </x:is>
      </x:c>
      <x:c r="F855" s="529" t="n">
        <x:v>31147</x:v>
      </x:c>
      <x:c r="G855" s="527" t="inlineStr">
        <x:is>
          <x:t xml:space="preserve">William Cobal Bain Jr.</x:t>
        </x:is>
      </x:c>
      <x:c r="H855" s="527" t="inlineStr">
        <x:is>
          <x:t xml:space="preserve">Exxon Corporation</x:t>
        </x:is>
      </x:c>
      <x:c r="I855" s="527" t="inlineStr">
        <x:is>
          <x:t xml:space="preserve">31-12N-24W</x:t>
        </x:is>
      </x:c>
      <x:c r="J855" s="527" t="inlineStr">
        <x:is>
          <x:t xml:space="preserve">Leasehold / WI</x:t>
        </x:is>
      </x:c>
      <x:c r="K855" s="527" t="inlineStr">
        <x:is>
          <x:t xml:space="preserve">OKCountyRecords official index, Roger Mills County (instrument 1985-002405); searched 06/11/2026</x:t>
        </x:is>
      </x:c>
      <x:c r="L855" s="565" t="n"/>
      <x:c r="M855" s="565" t="n"/>
      <x:c r="N855" s="565" t="n"/>
      <x:c r="O855" s="565" t="n"/>
      <x:c r="P855" s="565" t="n"/>
      <x:c r="Q855" s="565" t="n"/>
      <x:c r="R855" s="565" t="n"/>
      <x:c r="S855" s="613" t="n"/>
      <x:c r="T855" s="565" t="n"/>
      <x:c r="U855" s="613" t="n"/>
      <x:c r="V855" s="565" t="n"/>
      <x:c r="W855" s="565" t="n"/>
      <x:c r="X855" s="565" t="n"/>
      <x:c r="Y855" s="565" t="n"/>
      <x:c r="Z855" s="565" t="n"/>
    </x:row>
    <x:row r="856">
      <x:c r="A856" s="527" t="inlineStr">
        <x:is>
          <x:t xml:space="preserve">1985-002406</x:t>
        </x:is>
      </x:c>
      <x:c r="B856" s="527" t="n"/>
      <x:c r="C856" s="527" t="inlineStr">
        <x:is>
          <x:t xml:space="preserve">Oil and Gas Lease</x:t>
        </x:is>
      </x:c>
      <x:c r="D856" s="527" t="inlineStr">
        <x:is>
          <x:t xml:space="preserve">0708/0069</x:t>
        </x:is>
      </x:c>
      <x:c r="E856" s="529" t="inlineStr">
        <x:is>
          <x:t xml:space="preserve">04/10/1985</x:t>
        </x:is>
      </x:c>
      <x:c r="F856" s="529" t="n">
        <x:v>31147</x:v>
      </x:c>
      <x:c r="G856" s="527" t="inlineStr">
        <x:is>
          <x:t xml:space="preserve">William Cobal Bain Jr., Trustee,
Crystal F. Pallo</x:t>
        </x:is>
      </x:c>
      <x:c r="H856" s="527" t="inlineStr">
        <x:is>
          <x:t xml:space="preserve">Exxon Corporation</x:t>
        </x:is>
      </x:c>
      <x:c r="I856" s="527" t="inlineStr">
        <x:is>
          <x:t xml:space="preserve">31-12N-24W</x:t>
        </x:is>
      </x:c>
      <x:c r="J856" s="527" t="inlineStr">
        <x:is>
          <x:t xml:space="preserve">Leasehold / WI</x:t>
        </x:is>
      </x:c>
      <x:c r="K856" s="527" t="inlineStr">
        <x:is>
          <x:t xml:space="preserve">OKCountyRecords official index, Roger Mills County (instrument 1985-002406); searched 06/11/2026</x:t>
        </x:is>
      </x:c>
      <x:c r="L856" s="565" t="n"/>
      <x:c r="M856" s="565" t="n"/>
      <x:c r="N856" s="565" t="n"/>
      <x:c r="O856" s="565" t="n"/>
      <x:c r="P856" s="565" t="n"/>
      <x:c r="Q856" s="565" t="n"/>
      <x:c r="R856" s="565" t="n"/>
      <x:c r="S856" s="613" t="n"/>
      <x:c r="T856" s="565" t="n"/>
      <x:c r="U856" s="613" t="n"/>
      <x:c r="V856" s="565" t="n"/>
      <x:c r="W856" s="565" t="n"/>
      <x:c r="X856" s="565" t="n"/>
      <x:c r="Y856" s="565" t="n"/>
      <x:c r="Z856" s="565" t="n"/>
    </x:row>
    <x:row r="857">
      <x:c r="A857" s="527" t="inlineStr">
        <x:is>
          <x:t xml:space="preserve">1985-002407</x:t>
        </x:is>
      </x:c>
      <x:c r="B857" s="527" t="n"/>
      <x:c r="C857" s="527" t="inlineStr">
        <x:is>
          <x:t xml:space="preserve">Oil and Gas Lease</x:t>
        </x:is>
      </x:c>
      <x:c r="D857" s="527" t="inlineStr">
        <x:is>
          <x:t xml:space="preserve">0708/0071</x:t>
        </x:is>
      </x:c>
      <x:c r="E857" s="529" t="inlineStr">
        <x:is>
          <x:t xml:space="preserve">04/10/1985</x:t>
        </x:is>
      </x:c>
      <x:c r="F857" s="529" t="n">
        <x:v>31147</x:v>
      </x:c>
      <x:c r="G857" s="527" t="inlineStr">
        <x:is>
          <x:t xml:space="preserve">Billy Wayne Bain, Trustee,
William C. Dcd Bain,
William Cobal Bain Jr., Trustee,
Bain, William C. Trust</x:t>
        </x:is>
      </x:c>
      <x:c r="H857" s="527" t="inlineStr">
        <x:is>
          <x:t xml:space="preserve">Exxon Corporation</x:t>
        </x:is>
      </x:c>
      <x:c r="I857" s="527" t="inlineStr">
        <x:is>
          <x:t xml:space="preserve">31-12N-24W</x:t>
        </x:is>
      </x:c>
      <x:c r="J857" s="527" t="inlineStr">
        <x:is>
          <x:t xml:space="preserve">Leasehold / WI</x:t>
        </x:is>
      </x:c>
      <x:c r="K857" s="527" t="inlineStr">
        <x:is>
          <x:t xml:space="preserve">OKCountyRecords official index, Roger Mills County (instrument 1985-002407); searched 06/11/2026</x:t>
        </x:is>
      </x:c>
      <x:c r="L857" s="565" t="n"/>
      <x:c r="M857" s="565" t="n"/>
      <x:c r="N857" s="565" t="n"/>
      <x:c r="O857" s="565" t="n"/>
      <x:c r="P857" s="565" t="n"/>
      <x:c r="Q857" s="565" t="n"/>
      <x:c r="R857" s="565" t="n"/>
      <x:c r="S857" s="613" t="n"/>
      <x:c r="T857" s="565" t="n"/>
      <x:c r="U857" s="613" t="n"/>
      <x:c r="V857" s="565" t="n"/>
      <x:c r="W857" s="565" t="n"/>
      <x:c r="X857" s="565" t="n"/>
      <x:c r="Y857" s="565" t="n"/>
      <x:c r="Z857" s="565" t="n"/>
    </x:row>
    <x:row r="858">
      <x:c r="A858" s="527" t="inlineStr">
        <x:is>
          <x:t xml:space="preserve">1985-002650</x:t>
        </x:is>
      </x:c>
      <x:c r="B858" s="527" t="n"/>
      <x:c r="C858" s="527" t="inlineStr">
        <x:is>
          <x:t xml:space="preserve">Deed</x:t>
        </x:is>
      </x:c>
      <x:c r="D858" s="527" t="inlineStr">
        <x:is>
          <x:t xml:space="preserve">0710/0034</x:t>
        </x:is>
      </x:c>
      <x:c r="E858" s="529" t="inlineStr">
        <x:is>
          <x:t xml:space="preserve">04/21/1985</x:t>
        </x:is>
      </x:c>
      <x:c r="F858" s="529" t="n">
        <x:v>31158</x:v>
      </x:c>
      <x:c r="G858" s="527" t="inlineStr">
        <x:is>
          <x:t xml:space="preserve">Chinook Resources, Inc.</x:t>
        </x:is>
      </x:c>
      <x:c r="H858" s="527" t="inlineStr">
        <x:is>
          <x:t xml:space="preserve">Continental Illinois Energy Development Corp</x:t>
        </x:is>
      </x:c>
      <x:c r="I858" s="527" t="inlineStr">
        <x:is>
          <x:t xml:space="preserve">31-12N-24W (AOL)</x:t>
        </x:is>
      </x:c>
      <x:c r="J858" s="527" t="inlineStr">
        <x:is>
          <x:t xml:space="preserve">Fee / as stated</x:t>
        </x:is>
      </x:c>
      <x:c r="K858" s="527" t="inlineStr">
        <x:is>
          <x:t xml:space="preserve">OKCountyRecords official index, Roger Mills County (instrument 1985-002650); searched 06/11/2026</x:t>
        </x:is>
      </x:c>
      <x:c r="L858" s="565" t="n"/>
      <x:c r="M858" s="565" t="n"/>
      <x:c r="N858" s="565" t="n"/>
      <x:c r="O858" s="565" t="n"/>
      <x:c r="P858" s="565" t="n"/>
      <x:c r="Q858" s="565" t="n"/>
      <x:c r="R858" s="565" t="n"/>
      <x:c r="S858" s="613" t="n"/>
      <x:c r="T858" s="565" t="n"/>
      <x:c r="U858" s="613" t="n"/>
      <x:c r="V858" s="565" t="n"/>
      <x:c r="W858" s="565" t="n"/>
      <x:c r="X858" s="565" t="n"/>
      <x:c r="Y858" s="565" t="n"/>
      <x:c r="Z858" s="565" t="n"/>
    </x:row>
    <x:row r="859">
      <x:c r="A859" s="527" t="inlineStr">
        <x:is>
          <x:t xml:space="preserve">1985-002660</x:t>
        </x:is>
      </x:c>
      <x:c r="B859" s="527" t="n"/>
      <x:c r="C859" s="527" t="inlineStr">
        <x:is>
          <x:t xml:space="preserve">Oil and Gas Lease</x:t>
        </x:is>
      </x:c>
      <x:c r="D859" s="527" t="inlineStr">
        <x:is>
          <x:t xml:space="preserve">0710/0069</x:t>
        </x:is>
      </x:c>
      <x:c r="E859" s="529" t="inlineStr">
        <x:is>
          <x:t xml:space="preserve">04/21/1985</x:t>
        </x:is>
      </x:c>
      <x:c r="F859" s="529" t="n">
        <x:v>31158</x:v>
      </x:c>
      <x:c r="G859" s="527" t="inlineStr">
        <x:is>
          <x:t xml:space="preserve">Deborah A. Deutsch,
Paul R. Deutsch</x:t>
        </x:is>
      </x:c>
      <x:c r="H859" s="527" t="inlineStr">
        <x:is>
          <x:t xml:space="preserve">Exxon Corporation</x:t>
        </x:is>
      </x:c>
      <x:c r="I859" s="527" t="inlineStr">
        <x:is>
          <x:t xml:space="preserve">31-12N-24W</x:t>
        </x:is>
      </x:c>
      <x:c r="J859" s="527" t="inlineStr">
        <x:is>
          <x:t xml:space="preserve">Leasehold / WI</x:t>
        </x:is>
      </x:c>
      <x:c r="K859" s="527" t="inlineStr">
        <x:is>
          <x:t xml:space="preserve">OKCountyRecords official index, Roger Mills County (instrument 1985-002660); searched 06/11/2026</x:t>
        </x:is>
      </x:c>
      <x:c r="L859" s="565" t="n"/>
      <x:c r="M859" s="565" t="n"/>
      <x:c r="N859" s="565" t="n"/>
      <x:c r="O859" s="565" t="n"/>
      <x:c r="P859" s="565" t="n"/>
      <x:c r="Q859" s="565" t="n"/>
      <x:c r="R859" s="565" t="n"/>
      <x:c r="S859" s="613" t="n"/>
      <x:c r="T859" s="565" t="n"/>
      <x:c r="U859" s="613" t="n"/>
      <x:c r="V859" s="565" t="n"/>
      <x:c r="W859" s="565" t="n"/>
      <x:c r="X859" s="565" t="n"/>
      <x:c r="Y859" s="565" t="n"/>
      <x:c r="Z859" s="565" t="n"/>
    </x:row>
    <x:row r="860">
      <x:c r="A860" s="527" t="inlineStr">
        <x:is>
          <x:t xml:space="preserve">1985-002661</x:t>
        </x:is>
      </x:c>
      <x:c r="B860" s="527" t="n"/>
      <x:c r="C860" s="527" t="inlineStr">
        <x:is>
          <x:t xml:space="preserve">Oil and Gas Lease</x:t>
        </x:is>
      </x:c>
      <x:c r="D860" s="527" t="inlineStr">
        <x:is>
          <x:t xml:space="preserve">0710/0071</x:t>
        </x:is>
      </x:c>
      <x:c r="E860" s="529" t="inlineStr">
        <x:is>
          <x:t xml:space="preserve">04/21/1985</x:t>
        </x:is>
      </x:c>
      <x:c r="F860" s="529" t="n">
        <x:v>31158</x:v>
      </x:c>
      <x:c r="G860" s="527" t="inlineStr">
        <x:is>
          <x:t xml:space="preserve">Juanita M. Wolff</x:t>
        </x:is>
      </x:c>
      <x:c r="H860" s="527" t="inlineStr">
        <x:is>
          <x:t xml:space="preserve">Exxon Corporation</x:t>
        </x:is>
      </x:c>
      <x:c r="I860" s="527" t="inlineStr">
        <x:is>
          <x:t xml:space="preserve">31-12N-24W (AOL)</x:t>
        </x:is>
      </x:c>
      <x:c r="J860" s="527" t="inlineStr">
        <x:is>
          <x:t xml:space="preserve">Leasehold / WI</x:t>
        </x:is>
      </x:c>
      <x:c r="K860" s="527" t="inlineStr">
        <x:is>
          <x:t xml:space="preserve">OKCountyRecords official index, Roger Mills County (instrument 1985-002661); searched 06/11/2026</x:t>
        </x:is>
      </x:c>
      <x:c r="L860" s="565" t="n"/>
      <x:c r="M860" s="565" t="n"/>
      <x:c r="N860" s="565" t="n"/>
      <x:c r="O860" s="565" t="n"/>
      <x:c r="P860" s="565" t="n"/>
      <x:c r="Q860" s="565" t="n"/>
      <x:c r="R860" s="565" t="n"/>
      <x:c r="S860" s="613" t="n"/>
      <x:c r="T860" s="565" t="n"/>
      <x:c r="U860" s="613" t="n"/>
      <x:c r="V860" s="565" t="n"/>
      <x:c r="W860" s="565" t="n"/>
      <x:c r="X860" s="565" t="n"/>
      <x:c r="Y860" s="565" t="n"/>
      <x:c r="Z860" s="565" t="n"/>
    </x:row>
    <x:row r="861">
      <x:c r="A861" s="527" t="inlineStr">
        <x:is>
          <x:t xml:space="preserve">1985-002819</x:t>
        </x:is>
      </x:c>
      <x:c r="B861" s="527" t="n"/>
      <x:c r="C861" s="527" t="inlineStr">
        <x:is>
          <x:t xml:space="preserve">Oil and Gas Lease</x:t>
        </x:is>
      </x:c>
      <x:c r="D861" s="527" t="inlineStr">
        <x:is>
          <x:t xml:space="preserve">0711/0247</x:t>
        </x:is>
      </x:c>
      <x:c r="E861" s="529" t="inlineStr">
        <x:is>
          <x:t xml:space="preserve">04/29/1985</x:t>
        </x:is>
      </x:c>
      <x:c r="F861" s="529" t="n">
        <x:v>31166</x:v>
      </x:c>
      <x:c r="G861" s="527" t="inlineStr">
        <x:is>
          <x:t xml:space="preserve">David S. Silverberg</x:t>
        </x:is>
      </x:c>
      <x:c r="H861" s="527" t="inlineStr">
        <x:is>
          <x:t xml:space="preserve">Exxon Corporation</x:t>
        </x:is>
      </x:c>
      <x:c r="I861" s="527" t="inlineStr">
        <x:is>
          <x:t xml:space="preserve">31-12N-24W</x:t>
        </x:is>
      </x:c>
      <x:c r="J861" s="527" t="inlineStr">
        <x:is>
          <x:t xml:space="preserve">Leasehold / WI</x:t>
        </x:is>
      </x:c>
      <x:c r="K861" s="527" t="inlineStr">
        <x:is>
          <x:t xml:space="preserve">OKCountyRecords official index, Roger Mills County (instrument 1985-002819); searched 06/11/2026</x:t>
        </x:is>
      </x:c>
      <x:c r="L861" s="565" t="n"/>
      <x:c r="M861" s="565" t="n"/>
      <x:c r="N861" s="565" t="n"/>
      <x:c r="O861" s="565" t="n"/>
      <x:c r="P861" s="565" t="n"/>
      <x:c r="Q861" s="565" t="n"/>
      <x:c r="R861" s="565" t="n"/>
      <x:c r="S861" s="613" t="n"/>
      <x:c r="T861" s="565" t="n"/>
      <x:c r="U861" s="613" t="n"/>
      <x:c r="V861" s="565" t="n"/>
      <x:c r="W861" s="565" t="n"/>
      <x:c r="X861" s="565" t="n"/>
      <x:c r="Y861" s="565" t="n"/>
      <x:c r="Z861" s="565" t="n"/>
    </x:row>
    <x:row r="862">
      <x:c r="A862" s="527" t="inlineStr">
        <x:is>
          <x:t xml:space="preserve">1985-003205</x:t>
        </x:is>
      </x:c>
      <x:c r="B862" s="527" t="n"/>
      <x:c r="C862" s="527" t="inlineStr">
        <x:is>
          <x:t xml:space="preserve">Release</x:t>
        </x:is>
      </x:c>
      <x:c r="D862" s="527" t="inlineStr">
        <x:is>
          <x:t xml:space="preserve">0716/0054</x:t>
        </x:is>
      </x:c>
      <x:c r="E862" s="529" t="inlineStr">
        <x:is>
          <x:t xml:space="preserve">05/13/1985</x:t>
        </x:is>
      </x:c>
      <x:c r="F862" s="529" t="n">
        <x:v>31036</x:v>
      </x:c>
      <x:c r="G862" s="527" t="inlineStr">
        <x:is>
          <x:t xml:space="preserve">Kidde, Inc.</x:t>
        </x:is>
      </x:c>
      <x:c r="H862" s="527" t="inlineStr">
        <x:is>
          <x:t xml:space="preserve">O. I. L. Energy, Inc.</x:t>
        </x:is>
      </x:c>
      <x:c r="I862" s="527" t="inlineStr">
        <x:is>
          <x:t xml:space="preserve">All of 31-12N-24W (AOL)</x:t>
        </x:is>
      </x:c>
      <x:c r="J862" s="527" t="inlineStr">
        <x:is>
          <x:t xml:space="preserve">Leasehold / WI</x:t>
        </x:is>
      </x:c>
      <x:c r="K862" s="527" t="inlineStr">
        <x:is>
          <x:t xml:space="preserve">OKCountyRecords official index, Roger Mills County (instrument 1985-003205); searched 06/11/2026</x:t>
        </x:is>
      </x:c>
      <x:c r="L862" s="565" t="n"/>
      <x:c r="M862" s="565" t="n"/>
      <x:c r="N862" s="565" t="n"/>
      <x:c r="O862" s="565" t="n"/>
      <x:c r="P862" s="565" t="n"/>
      <x:c r="Q862" s="565" t="n"/>
      <x:c r="R862" s="565" t="n"/>
      <x:c r="S862" s="613" t="n"/>
      <x:c r="T862" s="565" t="n"/>
      <x:c r="U862" s="613" t="n"/>
      <x:c r="V862" s="565" t="n"/>
      <x:c r="W862" s="565" t="n"/>
      <x:c r="X862" s="565" t="n"/>
      <x:c r="Y862" s="565" t="n"/>
      <x:c r="Z862" s="565" t="n"/>
    </x:row>
    <x:row r="863">
      <x:c r="A863" s="527" t="inlineStr">
        <x:is>
          <x:t xml:space="preserve">1985-004439</x:t>
        </x:is>
      </x:c>
      <x:c r="B863" s="527" t="n"/>
      <x:c r="C863" s="527" t="inlineStr">
        <x:is>
          <x:t xml:space="preserve">Oil and Gas Lease</x:t>
        </x:is>
      </x:c>
      <x:c r="D863" s="527" t="inlineStr">
        <x:is>
          <x:t xml:space="preserve">0729/0188</x:t>
        </x:is>
      </x:c>
      <x:c r="E863" s="529" t="inlineStr">
        <x:is>
          <x:t xml:space="preserve">06/28/1985</x:t>
        </x:is>
      </x:c>
      <x:c r="F863" s="529" t="n">
        <x:v>31226</x:v>
      </x:c>
      <x:c r="G863" s="527" t="inlineStr">
        <x:is>
          <x:t xml:space="preserve">Laura L. Snyder</x:t>
        </x:is>
      </x:c>
      <x:c r="H863" s="527" t="inlineStr">
        <x:is>
          <x:t xml:space="preserve">Exxon Corporation</x:t>
        </x:is>
      </x:c>
      <x:c r="I863" s="527" t="inlineStr">
        <x:is>
          <x:t xml:space="preserve">31-12N-24W</x:t>
        </x:is>
      </x:c>
      <x:c r="J863" s="527" t="inlineStr">
        <x:is>
          <x:t xml:space="preserve">Leasehold / WI</x:t>
        </x:is>
      </x:c>
      <x:c r="K863" s="527" t="inlineStr">
        <x:is>
          <x:t xml:space="preserve">OKCountyRecords official index, Roger Mills County (instrument 1985-004439); searched 06/11/2026</x:t>
        </x:is>
      </x:c>
      <x:c r="L863" s="565" t="n"/>
      <x:c r="M863" s="565" t="n"/>
      <x:c r="N863" s="565" t="n"/>
      <x:c r="O863" s="565" t="n"/>
      <x:c r="P863" s="565" t="n"/>
      <x:c r="Q863" s="565" t="n"/>
      <x:c r="R863" s="565" t="n"/>
      <x:c r="S863" s="613" t="n"/>
      <x:c r="T863" s="565" t="n"/>
      <x:c r="U863" s="613" t="n"/>
      <x:c r="V863" s="565" t="n"/>
      <x:c r="W863" s="565" t="n"/>
      <x:c r="X863" s="565" t="n"/>
      <x:c r="Y863" s="565" t="n"/>
      <x:c r="Z863" s="565" t="n"/>
    </x:row>
    <x:row r="864">
      <x:c r="A864" s="527" t="inlineStr">
        <x:is>
          <x:t xml:space="preserve">1985-005702</x:t>
        </x:is>
      </x:c>
      <x:c r="B864" s="527" t="n"/>
      <x:c r="C864" s="527" t="inlineStr">
        <x:is>
          <x:t xml:space="preserve">Release</x:t>
        </x:is>
      </x:c>
      <x:c r="D864" s="527" t="inlineStr">
        <x:is>
          <x:t xml:space="preserve">0743/0245</x:t>
        </x:is>
      </x:c>
      <x:c r="E864" s="529" t="inlineStr">
        <x:is>
          <x:t xml:space="preserve">08/19/1985</x:t>
        </x:is>
      </x:c>
      <x:c r="F864" s="529" t="n">
        <x:v>31278</x:v>
      </x:c>
      <x:c r="G864" s="527" t="inlineStr">
        <x:is>
          <x:t xml:space="preserve">Kidde, Inc.</x:t>
        </x:is>
      </x:c>
      <x:c r="H864" s="527" t="inlineStr">
        <x:is>
          <x:t xml:space="preserve">O. I. L. Energy, Inc.</x:t>
        </x:is>
      </x:c>
      <x:c r="I864" s="527" t="inlineStr">
        <x:is>
          <x:t xml:space="preserve">All of 31-12N-24W (AOL)</x:t>
        </x:is>
      </x:c>
      <x:c r="J864" s="527" t="inlineStr">
        <x:is>
          <x:t xml:space="preserve">Leasehold / WI</x:t>
        </x:is>
      </x:c>
      <x:c r="K864" s="527" t="inlineStr">
        <x:is>
          <x:t xml:space="preserve">OKCountyRecords official index, Roger Mills County (instrument 1985-005702); searched 06/11/2026</x:t>
        </x:is>
      </x:c>
      <x:c r="L864" s="565" t="n"/>
      <x:c r="M864" s="565" t="n"/>
      <x:c r="N864" s="565" t="n"/>
      <x:c r="O864" s="565" t="n"/>
      <x:c r="P864" s="565" t="n"/>
      <x:c r="Q864" s="565" t="n"/>
      <x:c r="R864" s="565" t="n"/>
      <x:c r="S864" s="613" t="n"/>
      <x:c r="T864" s="565" t="n"/>
      <x:c r="U864" s="613" t="n"/>
      <x:c r="V864" s="565" t="n"/>
      <x:c r="W864" s="565" t="n"/>
      <x:c r="X864" s="565" t="n"/>
      <x:c r="Y864" s="565" t="n"/>
      <x:c r="Z864" s="565" t="n"/>
    </x:row>
    <x:row r="865">
      <x:c r="A865" s="527" t="inlineStr">
        <x:is>
          <x:t xml:space="preserve">1985-005895</x:t>
        </x:is>
      </x:c>
      <x:c r="B865" s="527" t="n"/>
      <x:c r="C865" s="527" t="inlineStr">
        <x:is>
          <x:t xml:space="preserve">Deed</x:t>
        </x:is>
      </x:c>
      <x:c r="D865" s="527" t="inlineStr">
        <x:is>
          <x:t xml:space="preserve">0745/0075</x:t>
        </x:is>
      </x:c>
      <x:c r="E865" s="529" t="inlineStr">
        <x:is>
          <x:t xml:space="preserve">08/20/1985</x:t>
        </x:is>
      </x:c>
      <x:c r="F865" s="529" t="n">
        <x:v>31279</x:v>
      </x:c>
      <x:c r="G865" s="527" t="inlineStr">
        <x:is>
          <x:t xml:space="preserve">Roger Mills County Sheriff</x:t>
        </x:is>
      </x:c>
      <x:c r="H865" s="527" t="inlineStr">
        <x:is>
          <x:t xml:space="preserve">City National Bank of Sayre</x:t>
        </x:is>
      </x:c>
      <x:c r="I865" s="527" t="inlineStr">
        <x:is>
          <x:t xml:space="preserve">31-12N-24W</x:t>
        </x:is>
      </x:c>
      <x:c r="J865" s="527" t="inlineStr">
        <x:is>
          <x:t xml:space="preserve">Fee / as stated</x:t>
        </x:is>
      </x:c>
      <x:c r="K865" s="527" t="inlineStr">
        <x:is>
          <x:t xml:space="preserve">OKCountyRecords official index, Roger Mills County (instrument 1985-005895); searched 06/11/2026</x:t>
        </x:is>
      </x:c>
      <x:c r="L865" s="565" t="n"/>
      <x:c r="M865" s="565" t="n"/>
      <x:c r="N865" s="565" t="n"/>
      <x:c r="O865" s="565" t="n"/>
      <x:c r="P865" s="565" t="n"/>
      <x:c r="Q865" s="565" t="n"/>
      <x:c r="R865" s="565" t="n"/>
      <x:c r="S865" s="613" t="n"/>
      <x:c r="T865" s="565" t="n"/>
      <x:c r="U865" s="613" t="n"/>
      <x:c r="V865" s="565" t="n"/>
      <x:c r="W865" s="565" t="n"/>
      <x:c r="X865" s="565" t="n"/>
      <x:c r="Y865" s="565" t="n"/>
      <x:c r="Z865" s="565" t="n"/>
    </x:row>
    <x:row r="866">
      <x:c r="A866" s="527" t="inlineStr">
        <x:is>
          <x:t xml:space="preserve">1985-006556</x:t>
        </x:is>
      </x:c>
      <x:c r="B866" s="527" t="n"/>
      <x:c r="C866" s="527" t="inlineStr">
        <x:is>
          <x:t xml:space="preserve">Deed</x:t>
        </x:is>
      </x:c>
      <x:c r="D866" s="527" t="inlineStr">
        <x:is>
          <x:t xml:space="preserve">0751/0068</x:t>
        </x:is>
      </x:c>
      <x:c r="E866" s="529" t="inlineStr">
        <x:is>
          <x:t xml:space="preserve">09/18/1985</x:t>
        </x:is>
      </x:c>
      <x:c r="F866" s="529" t="n">
        <x:v>31308</x:v>
      </x:c>
      <x:c r="G866" s="527" t="inlineStr">
        <x:is>
          <x:t xml:space="preserve">Billy W. Bain</x:t>
        </x:is>
      </x:c>
      <x:c r="H866" s="527" t="inlineStr">
        <x:is>
          <x:t xml:space="preserve">David S. Silverberg</x:t>
        </x:is>
      </x:c>
      <x:c r="I866" s="527" t="inlineStr">
        <x:is>
          <x:t xml:space="preserve">31-12N-24W (AOL)</x:t>
        </x:is>
      </x:c>
      <x:c r="J866" s="527" t="inlineStr">
        <x:is>
          <x:t xml:space="preserve">Fee / as stated</x:t>
        </x:is>
      </x:c>
      <x:c r="K866" s="527" t="inlineStr">
        <x:is>
          <x:t xml:space="preserve">OKCountyRecords official index, Roger Mills County (instrument 1985-006556); searched 06/11/2026</x:t>
        </x:is>
      </x:c>
      <x:c r="L866" s="565" t="n"/>
      <x:c r="M866" s="565" t="n"/>
      <x:c r="N866" s="565" t="n"/>
      <x:c r="O866" s="565" t="n"/>
      <x:c r="P866" s="565" t="n"/>
      <x:c r="Q866" s="565" t="n"/>
      <x:c r="R866" s="565" t="n"/>
      <x:c r="S866" s="613" t="n"/>
      <x:c r="T866" s="565" t="n"/>
      <x:c r="U866" s="613" t="n"/>
      <x:c r="V866" s="565" t="n"/>
      <x:c r="W866" s="565" t="n"/>
      <x:c r="X866" s="565" t="n"/>
      <x:c r="Y866" s="565" t="n"/>
      <x:c r="Z866" s="565" t="n"/>
    </x:row>
    <x:row r="867">
      <x:c r="A867" s="527" t="inlineStr">
        <x:is>
          <x:t xml:space="preserve">1985-007068</x:t>
        </x:is>
      </x:c>
      <x:c r="B867" s="527" t="n"/>
      <x:c r="C867" s="527" t="inlineStr">
        <x:is>
          <x:t xml:space="preserve">Deed</x:t>
        </x:is>
      </x:c>
      <x:c r="D867" s="527" t="inlineStr">
        <x:is>
          <x:t xml:space="preserve">0756/0016</x:t>
        </x:is>
      </x:c>
      <x:c r="E867" s="529" t="inlineStr">
        <x:is>
          <x:t xml:space="preserve">10/09/1985</x:t>
        </x:is>
      </x:c>
      <x:c r="F867" s="529" t="n">
        <x:v>31329</x:v>
      </x:c>
      <x:c r="G867" s="527" t="inlineStr">
        <x:is>
          <x:t xml:space="preserve">C. W. Dcd Hall,
Liberty National Bank &amp; Trust Company Trustee</x:t>
        </x:is>
      </x:c>
      <x:c r="H867" s="527" t="inlineStr">
        <x:is>
          <x:t xml:space="preserve">Darlene Hall Cox,
Sunya Lee Westkaemper</x:t>
        </x:is>
      </x:c>
      <x:c r="I867" s="527" t="inlineStr">
        <x:is>
          <x:t xml:space="preserve">31-12N-24W (AOL)</x:t>
        </x:is>
      </x:c>
      <x:c r="J867" s="527" t="inlineStr">
        <x:is>
          <x:t xml:space="preserve">Fee / as stated</x:t>
        </x:is>
      </x:c>
      <x:c r="K867" s="527" t="inlineStr">
        <x:is>
          <x:t xml:space="preserve">OKCountyRecords official index, Roger Mills County (instrument 1985-007068); searched 06/11/2026</x:t>
        </x:is>
      </x:c>
      <x:c r="L867" s="565" t="n"/>
      <x:c r="M867" s="565" t="n"/>
      <x:c r="N867" s="565" t="n"/>
      <x:c r="O867" s="565" t="n"/>
      <x:c r="P867" s="565" t="n"/>
      <x:c r="Q867" s="565" t="n"/>
      <x:c r="R867" s="565" t="n"/>
      <x:c r="S867" s="613" t="n"/>
      <x:c r="T867" s="565" t="n"/>
      <x:c r="U867" s="613" t="n"/>
      <x:c r="V867" s="565" t="n"/>
      <x:c r="W867" s="565" t="n"/>
      <x:c r="X867" s="565" t="n"/>
      <x:c r="Y867" s="565" t="n"/>
      <x:c r="Z867" s="565" t="n"/>
    </x:row>
    <x:row r="868">
      <x:c r="A868" s="527" t="inlineStr">
        <x:is>
          <x:t xml:space="preserve">1985-007096</x:t>
        </x:is>
      </x:c>
      <x:c r="B868" s="527" t="n"/>
      <x:c r="C868" s="527" t="inlineStr">
        <x:is>
          <x:t xml:space="preserve">Deed</x:t>
        </x:is>
      </x:c>
      <x:c r="D868" s="527" t="inlineStr">
        <x:is>
          <x:t xml:space="preserve">0756/0079</x:t>
        </x:is>
      </x:c>
      <x:c r="E868" s="529" t="inlineStr">
        <x:is>
          <x:t xml:space="preserve">10/10/1985</x:t>
        </x:is>
      </x:c>
      <x:c r="F868" s="529" t="n">
        <x:v>31330</x:v>
      </x:c>
      <x:c r="G868" s="527" t="inlineStr">
        <x:is>
          <x:t xml:space="preserve">Margie Kirk</x:t>
        </x:is>
      </x:c>
      <x:c r="H868" s="527" t="inlineStr">
        <x:is>
          <x:t xml:space="preserve">Herman M. Sides,
Laury C. Sides</x:t>
        </x:is>
      </x:c>
      <x:c r="I868" s="527" t="inlineStr">
        <x:is>
          <x:t xml:space="preserve">31-12N-24W (AOL)</x:t>
        </x:is>
      </x:c>
      <x:c r="J868" s="527" t="inlineStr">
        <x:is>
          <x:t xml:space="preserve">Fee / as stated</x:t>
        </x:is>
      </x:c>
      <x:c r="K868" s="527" t="inlineStr">
        <x:is>
          <x:t xml:space="preserve">OKCountyRecords official index, Roger Mills County (instrument 1985-007096); searched 06/11/2026</x:t>
        </x:is>
      </x:c>
      <x:c r="L868" s="565" t="n"/>
      <x:c r="M868" s="565" t="n"/>
      <x:c r="N868" s="565" t="n"/>
      <x:c r="O868" s="565" t="n"/>
      <x:c r="P868" s="565" t="n"/>
      <x:c r="Q868" s="565" t="n"/>
      <x:c r="R868" s="565" t="n"/>
      <x:c r="S868" s="613" t="n"/>
      <x:c r="T868" s="565" t="n"/>
      <x:c r="U868" s="613" t="n"/>
      <x:c r="V868" s="565" t="n"/>
      <x:c r="W868" s="565" t="n"/>
      <x:c r="X868" s="565" t="n"/>
      <x:c r="Y868" s="565" t="n"/>
      <x:c r="Z868" s="565" t="n"/>
    </x:row>
    <x:row r="869">
      <x:c r="A869" s="527" t="inlineStr">
        <x:is>
          <x:t xml:space="preserve">1985-007545</x:t>
        </x:is>
      </x:c>
      <x:c r="B869" s="527" t="n"/>
      <x:c r="C869" s="527" t="inlineStr">
        <x:is>
          <x:t xml:space="preserve">Oil and Gas Lease</x:t>
        </x:is>
      </x:c>
      <x:c r="D869" s="527" t="inlineStr">
        <x:is>
          <x:t xml:space="preserve">0760/0202</x:t>
        </x:is>
      </x:c>
      <x:c r="E869" s="529" t="inlineStr">
        <x:is>
          <x:t xml:space="preserve">10/27/1985</x:t>
        </x:is>
      </x:c>
      <x:c r="F869" s="529" t="n">
        <x:v>31347</x:v>
      </x:c>
      <x:c r="G869" s="527" t="inlineStr">
        <x:is>
          <x:t xml:space="preserve">Panhandle Royalty Company</x:t>
        </x:is>
      </x:c>
      <x:c r="H869" s="527" t="inlineStr">
        <x:is>
          <x:t xml:space="preserve">Exxon Corporation</x:t>
        </x:is>
      </x:c>
      <x:c r="I869" s="527" t="inlineStr">
        <x:is>
          <x:t xml:space="preserve">31-12N-24W</x:t>
        </x:is>
      </x:c>
      <x:c r="J869" s="527" t="inlineStr">
        <x:is>
          <x:t xml:space="preserve">Leasehold / WI</x:t>
        </x:is>
      </x:c>
      <x:c r="K869" s="527" t="inlineStr">
        <x:is>
          <x:t xml:space="preserve">OKCountyRecords official index, Roger Mills County (instrument 1985-007545); searched 06/11/2026</x:t>
        </x:is>
      </x:c>
      <x:c r="L869" s="565" t="n"/>
      <x:c r="M869" s="565" t="n"/>
      <x:c r="N869" s="565" t="n"/>
      <x:c r="O869" s="565" t="n"/>
      <x:c r="P869" s="565" t="n"/>
      <x:c r="Q869" s="565" t="n"/>
      <x:c r="R869" s="565" t="n"/>
      <x:c r="S869" s="613" t="n"/>
      <x:c r="T869" s="565" t="n"/>
      <x:c r="U869" s="613" t="n"/>
      <x:c r="V869" s="565" t="n"/>
      <x:c r="W869" s="565" t="n"/>
      <x:c r="X869" s="565" t="n"/>
      <x:c r="Y869" s="565" t="n"/>
      <x:c r="Z869" s="565" t="n"/>
    </x:row>
    <x:row r="870">
      <x:c r="A870" s="527" t="inlineStr">
        <x:is>
          <x:t xml:space="preserve">1985-000060</x:t>
        </x:is>
      </x:c>
      <x:c r="B870" s="527" t="n"/>
      <x:c r="C870" s="527" t="inlineStr">
        <x:is>
          <x:t xml:space="preserve">Mineral Deed</x:t>
        </x:is>
      </x:c>
      <x:c r="D870" s="527" t="inlineStr">
        <x:is>
          <x:t xml:space="preserve">0583/0234</x:t>
        </x:is>
      </x:c>
      <x:c r="E870" s="529" t="inlineStr">
        <x:is>
          <x:t xml:space="preserve">12/27/1985</x:t>
        </x:is>
      </x:c>
      <x:c r="F870" s="529" t="n">
        <x:v>31408</x:v>
      </x:c>
      <x:c r="G870" s="527" t="inlineStr">
        <x:is>
          <x:t xml:space="preserve">Juanita M. Wolff</x:t>
        </x:is>
      </x:c>
      <x:c r="H870" s="527" t="inlineStr">
        <x:is>
          <x:t xml:space="preserve">Laura L. Snyder</x:t>
        </x:is>
      </x:c>
      <x:c r="I870" s="527" t="inlineStr">
        <x:is>
          <x:t xml:space="preserve">31-12N-24W (AOL)</x:t>
        </x:is>
      </x:c>
      <x:c r="J870" s="527" t="inlineStr">
        <x:is>
          <x:t xml:space="preserve">Mineral</x:t>
        </x:is>
      </x:c>
      <x:c r="K870" s="527" t="inlineStr">
        <x:is>
          <x:t xml:space="preserve">OKCountyRecords official index, Roger Mills County (instrument 1985-000060); searched 06/11/2026</x:t>
        </x:is>
      </x:c>
      <x:c r="L870" s="565" t="n"/>
      <x:c r="M870" s="565" t="n"/>
      <x:c r="N870" s="565" t="n"/>
      <x:c r="O870" s="565" t="n"/>
      <x:c r="P870" s="565" t="n"/>
      <x:c r="Q870" s="565" t="n"/>
      <x:c r="R870" s="565" t="n"/>
      <x:c r="S870" s="613" t="n"/>
      <x:c r="T870" s="565" t="n"/>
      <x:c r="U870" s="613" t="n"/>
      <x:c r="V870" s="565" t="n"/>
      <x:c r="W870" s="565" t="n"/>
      <x:c r="X870" s="565" t="n"/>
      <x:c r="Y870" s="565" t="n"/>
      <x:c r="Z870" s="565" t="n"/>
    </x:row>
    <x:row r="871">
      <x:c r="A871" s="527" t="inlineStr">
        <x:is>
          <x:t xml:space="preserve">1985-000061</x:t>
        </x:is>
      </x:c>
      <x:c r="B871" s="527" t="n"/>
      <x:c r="C871" s="527" t="inlineStr">
        <x:is>
          <x:t xml:space="preserve">Mineral Deed</x:t>
        </x:is>
      </x:c>
      <x:c r="D871" s="527" t="inlineStr">
        <x:is>
          <x:t xml:space="preserve">0583/0236</x:t>
        </x:is>
      </x:c>
      <x:c r="E871" s="529" t="inlineStr">
        <x:is>
          <x:t xml:space="preserve">12/27/1985</x:t>
        </x:is>
      </x:c>
      <x:c r="F871" s="529" t="n">
        <x:v>31408</x:v>
      </x:c>
      <x:c r="G871" s="527" t="inlineStr">
        <x:is>
          <x:t xml:space="preserve">Juanita M. Wolff</x:t>
        </x:is>
      </x:c>
      <x:c r="H871" s="527" t="inlineStr">
        <x:is>
          <x:t xml:space="preserve">Deborah A. Deutsch,
Paul R. Deutsch</x:t>
        </x:is>
      </x:c>
      <x:c r="I871" s="527" t="inlineStr">
        <x:is>
          <x:t xml:space="preserve">31-12N-24W (AOL)</x:t>
        </x:is>
      </x:c>
      <x:c r="J871" s="527" t="inlineStr">
        <x:is>
          <x:t xml:space="preserve">Mineral</x:t>
        </x:is>
      </x:c>
      <x:c r="K871" s="527" t="inlineStr">
        <x:is>
          <x:t xml:space="preserve">OKCountyRecords official index, Roger Mills County (instrument 1985-000061); searched 06/11/2026</x:t>
        </x:is>
      </x:c>
      <x:c r="L871" s="565" t="n"/>
      <x:c r="M871" s="565" t="n"/>
      <x:c r="N871" s="565" t="n"/>
      <x:c r="O871" s="565" t="n"/>
      <x:c r="P871" s="565" t="n"/>
      <x:c r="Q871" s="565" t="n"/>
      <x:c r="R871" s="565" t="n"/>
      <x:c r="S871" s="613" t="n"/>
      <x:c r="T871" s="565" t="n"/>
      <x:c r="U871" s="613" t="n"/>
      <x:c r="V871" s="565" t="n"/>
      <x:c r="W871" s="565" t="n"/>
      <x:c r="X871" s="565" t="n"/>
      <x:c r="Y871" s="565" t="n"/>
      <x:c r="Z871" s="565" t="n"/>
    </x:row>
    <x:row r="872">
      <x:c r="A872" s="527" t="inlineStr">
        <x:is>
          <x:t xml:space="preserve">1986-000268</x:t>
        </x:is>
      </x:c>
      <x:c r="B872" s="527" t="n"/>
      <x:c r="C872" s="527" t="inlineStr">
        <x:is>
          <x:t xml:space="preserve">Deed</x:t>
        </x:is>
      </x:c>
      <x:c r="D872" s="527" t="inlineStr">
        <x:is>
          <x:t xml:space="preserve">0781/0183</x:t>
        </x:is>
      </x:c>
      <x:c r="E872" s="529" t="inlineStr">
        <x:is>
          <x:t xml:space="preserve">01/06/1986</x:t>
        </x:is>
      </x:c>
      <x:c r="F872" s="529" t="n">
        <x:v>31418</x:v>
      </x:c>
      <x:c r="G872" s="527" t="inlineStr">
        <x:is>
          <x:t xml:space="preserve">Mann Childrens Trust,
Walter J. Rusek, Trustee</x:t>
        </x:is>
      </x:c>
      <x:c r="H872" s="527" t="inlineStr">
        <x:is>
          <x:t xml:space="preserve">Mann Group Investment Company</x:t>
        </x:is>
      </x:c>
      <x:c r="I872" s="527" t="inlineStr">
        <x:is>
          <x:t xml:space="preserve">31-12N-24W (AOL)</x:t>
        </x:is>
      </x:c>
      <x:c r="J872" s="527" t="inlineStr">
        <x:is>
          <x:t xml:space="preserve">Fee / as stated</x:t>
        </x:is>
      </x:c>
      <x:c r="K872" s="527" t="inlineStr">
        <x:is>
          <x:t xml:space="preserve">OKCountyRecords official index, Roger Mills County (instrument 1986-000268); searched 06/11/2026</x:t>
        </x:is>
      </x:c>
      <x:c r="L872" s="565" t="n"/>
      <x:c r="M872" s="565" t="n"/>
      <x:c r="N872" s="565" t="n"/>
      <x:c r="O872" s="565" t="n"/>
      <x:c r="P872" s="565" t="n"/>
      <x:c r="Q872" s="565" t="n"/>
      <x:c r="R872" s="565" t="n"/>
      <x:c r="S872" s="613" t="n"/>
      <x:c r="T872" s="565" t="n"/>
      <x:c r="U872" s="613" t="n"/>
      <x:c r="V872" s="565" t="n"/>
      <x:c r="W872" s="565" t="n"/>
      <x:c r="X872" s="565" t="n"/>
      <x:c r="Y872" s="565" t="n"/>
      <x:c r="Z872" s="565" t="n"/>
    </x:row>
    <x:row r="873">
      <x:c r="A873" s="527" t="inlineStr">
        <x:is>
          <x:t xml:space="preserve">1986-000656</x:t>
        </x:is>
      </x:c>
      <x:c r="B873" s="527" t="n"/>
      <x:c r="C873" s="527" t="inlineStr">
        <x:is>
          <x:t xml:space="preserve">Deed</x:t>
        </x:is>
      </x:c>
      <x:c r="D873" s="527" t="inlineStr">
        <x:is>
          <x:t xml:space="preserve">0786/0270</x:t>
        </x:is>
      </x:c>
      <x:c r="E873" s="529" t="inlineStr">
        <x:is>
          <x:t xml:space="preserve">01/22/1986</x:t>
        </x:is>
      </x:c>
      <x:c r="F873" s="529" t="n">
        <x:v>31434</x:v>
      </x:c>
      <x:c r="G873" s="527" t="inlineStr">
        <x:is>
          <x:t xml:space="preserve">O. I. L. Energy, Inc.</x:t>
        </x:is>
      </x:c>
      <x:c r="H873" s="527" t="inlineStr">
        <x:is>
          <x:t xml:space="preserve">Black Hawk Oil Company</x:t>
        </x:is>
      </x:c>
      <x:c r="I873" s="527" t="inlineStr">
        <x:is>
          <x:t xml:space="preserve">31-12N-24W</x:t>
        </x:is>
      </x:c>
      <x:c r="J873" s="527" t="inlineStr">
        <x:is>
          <x:t xml:space="preserve">Fee / as stated</x:t>
        </x:is>
      </x:c>
      <x:c r="K873" s="527" t="inlineStr">
        <x:is>
          <x:t xml:space="preserve">OKCountyRecords official index, Roger Mills County (instrument 1986-000656); searched 06/11/2026</x:t>
        </x:is>
      </x:c>
      <x:c r="L873" s="565" t="n"/>
      <x:c r="M873" s="565" t="n"/>
      <x:c r="N873" s="565" t="n"/>
      <x:c r="O873" s="565" t="n"/>
      <x:c r="P873" s="565" t="n"/>
      <x:c r="Q873" s="565" t="n"/>
      <x:c r="R873" s="565" t="n"/>
      <x:c r="S873" s="613" t="n"/>
      <x:c r="T873" s="565" t="n"/>
      <x:c r="U873" s="613" t="n"/>
      <x:c r="V873" s="565" t="n"/>
      <x:c r="W873" s="565" t="n"/>
      <x:c r="X873" s="565" t="n"/>
      <x:c r="Y873" s="565" t="n"/>
      <x:c r="Z873" s="565" t="n"/>
    </x:row>
    <x:row r="874">
      <x:c r="A874" s="527" t="inlineStr">
        <x:is>
          <x:t xml:space="preserve">1986-003428</x:t>
        </x:is>
      </x:c>
      <x:c r="B874" s="527" t="n"/>
      <x:c r="C874" s="527" t="inlineStr">
        <x:is>
          <x:t xml:space="preserve">Deed</x:t>
        </x:is>
      </x:c>
      <x:c r="D874" s="527" t="inlineStr">
        <x:is>
          <x:t xml:space="preserve">0815/0191</x:t>
        </x:is>
      </x:c>
      <x:c r="E874" s="529" t="inlineStr">
        <x:is>
          <x:t xml:space="preserve">06/19/1986</x:t>
        </x:is>
      </x:c>
      <x:c r="F874" s="529" t="n">
        <x:v>31582</x:v>
      </x:c>
      <x:c r="G874" s="527" t="inlineStr">
        <x:is>
          <x:t xml:space="preserve">Billy W. Bain</x:t>
        </x:is>
      </x:c>
      <x:c r="H874" s="527" t="inlineStr">
        <x:is>
          <x:t xml:space="preserve">Deborah A. Deutsch,
Paul R. Deutsch</x:t>
        </x:is>
      </x:c>
      <x:c r="I874" s="527" t="inlineStr">
        <x:is>
          <x:t xml:space="preserve">31-12N-24W (AOL)</x:t>
        </x:is>
      </x:c>
      <x:c r="J874" s="527" t="inlineStr">
        <x:is>
          <x:t xml:space="preserve">Fee / as stated</x:t>
        </x:is>
      </x:c>
      <x:c r="K874" s="527" t="inlineStr">
        <x:is>
          <x:t xml:space="preserve">OKCountyRecords official index, Roger Mills County (instrument 1986-003428); searched 06/11/2026</x:t>
        </x:is>
      </x:c>
      <x:c r="L874" s="565" t="n"/>
      <x:c r="M874" s="565" t="n"/>
      <x:c r="N874" s="565" t="n"/>
      <x:c r="O874" s="565" t="n"/>
      <x:c r="P874" s="565" t="n"/>
      <x:c r="Q874" s="565" t="n"/>
      <x:c r="R874" s="565" t="n"/>
      <x:c r="S874" s="613" t="n"/>
      <x:c r="T874" s="565" t="n"/>
      <x:c r="U874" s="613" t="n"/>
      <x:c r="V874" s="565" t="n"/>
      <x:c r="W874" s="565" t="n"/>
      <x:c r="X874" s="565" t="n"/>
      <x:c r="Y874" s="565" t="n"/>
      <x:c r="Z874" s="565" t="n"/>
    </x:row>
    <x:row r="875">
      <x:c r="A875" s="527" t="inlineStr">
        <x:is>
          <x:t xml:space="preserve">1986-004245</x:t>
        </x:is>
      </x:c>
      <x:c r="B875" s="527" t="n"/>
      <x:c r="C875" s="527" t="inlineStr">
        <x:is>
          <x:t xml:space="preserve">Release</x:t>
        </x:is>
      </x:c>
      <x:c r="D875" s="527" t="inlineStr">
        <x:is>
          <x:t xml:space="preserve">0825/0181</x:t>
        </x:is>
      </x:c>
      <x:c r="E875" s="529" t="inlineStr">
        <x:is>
          <x:t xml:space="preserve">08/13/1986</x:t>
        </x:is>
      </x:c>
      <x:c r="F875" s="529" t="n">
        <x:v>31637</x:v>
      </x:c>
      <x:c r="G875" s="527" t="inlineStr">
        <x:is>
          <x:t xml:space="preserve">Continental Illinois National Bank &amp; Trust Co,
Teresa Rothbauer, Trustee,
L. R. Winslow, Trustee</x:t>
        </x:is>
      </x:c>
      <x:c r="H875" s="527" t="inlineStr">
        <x:is>
          <x:t xml:space="preserve">Nolan E. Britton, Inc.,
Edwin L. Sanve,
Ilena Sanve</x:t>
        </x:is>
      </x:c>
      <x:c r="I875" s="527" t="inlineStr">
        <x:is>
          <x:t xml:space="preserve">31-12N-24W (AOL)</x:t>
        </x:is>
      </x:c>
      <x:c r="J875" s="527" t="inlineStr">
        <x:is>
          <x:t xml:space="preserve">Leasehold / WI</x:t>
        </x:is>
      </x:c>
      <x:c r="K875" s="527" t="inlineStr">
        <x:is>
          <x:t xml:space="preserve">OKCountyRecords official index, Roger Mills County (instrument 1986-004245); searched 06/11/2026</x:t>
        </x:is>
      </x:c>
      <x:c r="L875" s="565" t="n"/>
      <x:c r="M875" s="565" t="n"/>
      <x:c r="N875" s="565" t="n"/>
      <x:c r="O875" s="565" t="n"/>
      <x:c r="P875" s="565" t="n"/>
      <x:c r="Q875" s="565" t="n"/>
      <x:c r="R875" s="565" t="n"/>
      <x:c r="S875" s="613" t="n"/>
      <x:c r="T875" s="565" t="n"/>
      <x:c r="U875" s="613" t="n"/>
      <x:c r="V875" s="565" t="n"/>
      <x:c r="W875" s="565" t="n"/>
      <x:c r="X875" s="565" t="n"/>
      <x:c r="Y875" s="565" t="n"/>
      <x:c r="Z875" s="565" t="n"/>
    </x:row>
    <x:row r="876">
      <x:c r="A876" s="527" t="inlineStr">
        <x:is>
          <x:t xml:space="preserve">1986-004476</x:t>
        </x:is>
      </x:c>
      <x:c r="B876" s="527" t="n"/>
      <x:c r="C876" s="527" t="inlineStr">
        <x:is>
          <x:t xml:space="preserve">Deed</x:t>
        </x:is>
      </x:c>
      <x:c r="D876" s="527" t="inlineStr">
        <x:is>
          <x:t xml:space="preserve">0829/0007</x:t>
        </x:is>
      </x:c>
      <x:c r="E876" s="529" t="inlineStr">
        <x:is>
          <x:t xml:space="preserve">09/02/1986</x:t>
        </x:is>
      </x:c>
      <x:c r="F876" s="529" t="n">
        <x:v>31657</x:v>
      </x:c>
      <x:c r="G876" s="527" t="inlineStr">
        <x:is>
          <x:t xml:space="preserve">Billy W. Bain</x:t>
        </x:is>
      </x:c>
      <x:c r="H876" s="527" t="inlineStr">
        <x:is>
          <x:t xml:space="preserve">Clarence C. Bain</x:t>
        </x:is>
      </x:c>
      <x:c r="I876" s="527" t="inlineStr">
        <x:is>
          <x:t xml:space="preserve">31-12N-24W (AOL)</x:t>
        </x:is>
      </x:c>
      <x:c r="J876" s="527" t="inlineStr">
        <x:is>
          <x:t xml:space="preserve">Fee / as stated</x:t>
        </x:is>
      </x:c>
      <x:c r="K876" s="527" t="inlineStr">
        <x:is>
          <x:t xml:space="preserve">OKCountyRecords official index, Roger Mills County (instrument 1986-004476); searched 06/11/2026</x:t>
        </x:is>
      </x:c>
      <x:c r="L876" s="565" t="n"/>
      <x:c r="M876" s="565" t="n"/>
      <x:c r="N876" s="565" t="n"/>
      <x:c r="O876" s="565" t="n"/>
      <x:c r="P876" s="565" t="n"/>
      <x:c r="Q876" s="565" t="n"/>
      <x:c r="R876" s="565" t="n"/>
      <x:c r="S876" s="613" t="n"/>
      <x:c r="T876" s="565" t="n"/>
      <x:c r="U876" s="613" t="n"/>
      <x:c r="V876" s="565" t="n"/>
      <x:c r="W876" s="565" t="n"/>
      <x:c r="X876" s="565" t="n"/>
      <x:c r="Y876" s="565" t="n"/>
      <x:c r="Z876" s="565" t="n"/>
    </x:row>
    <x:row r="877">
      <x:c r="A877" s="527" t="inlineStr">
        <x:is>
          <x:t xml:space="preserve">1986-005223</x:t>
        </x:is>
      </x:c>
      <x:c r="B877" s="527" t="n"/>
      <x:c r="C877" s="527" t="inlineStr">
        <x:is>
          <x:t xml:space="preserve">Deed</x:t>
        </x:is>
      </x:c>
      <x:c r="D877" s="527" t="inlineStr">
        <x:is>
          <x:t xml:space="preserve">0837/0199</x:t>
        </x:is>
      </x:c>
      <x:c r="E877" s="529" t="inlineStr">
        <x:is>
          <x:t xml:space="preserve">09/29/1986</x:t>
        </x:is>
      </x:c>
      <x:c r="F877" s="529" t="n">
        <x:v>31684</x:v>
      </x:c>
      <x:c r="G877" s="527" t="inlineStr">
        <x:is>
          <x:t xml:space="preserve">Billy Wayne Bain</x:t>
        </x:is>
      </x:c>
      <x:c r="H877" s="527" t="inlineStr">
        <x:is>
          <x:t xml:space="preserve">Ted L. Herbold</x:t>
        </x:is>
      </x:c>
      <x:c r="I877" s="527" t="inlineStr">
        <x:is>
          <x:t xml:space="preserve">31-12N-24W (AOL)</x:t>
        </x:is>
      </x:c>
      <x:c r="J877" s="527" t="inlineStr">
        <x:is>
          <x:t xml:space="preserve">Fee / as stated</x:t>
        </x:is>
      </x:c>
      <x:c r="K877" s="527" t="inlineStr">
        <x:is>
          <x:t xml:space="preserve">OKCountyRecords official index, Roger Mills County (instrument 1986-005223); searched 06/11/2026</x:t>
        </x:is>
      </x:c>
      <x:c r="L877" s="565" t="n"/>
      <x:c r="M877" s="565" t="n"/>
      <x:c r="N877" s="565" t="n"/>
      <x:c r="O877" s="565" t="n"/>
      <x:c r="P877" s="565" t="n"/>
      <x:c r="Q877" s="565" t="n"/>
      <x:c r="R877" s="565" t="n"/>
      <x:c r="S877" s="613" t="n"/>
      <x:c r="T877" s="565" t="n"/>
      <x:c r="U877" s="613" t="n"/>
      <x:c r="V877" s="565" t="n"/>
      <x:c r="W877" s="565" t="n"/>
      <x:c r="X877" s="565" t="n"/>
      <x:c r="Y877" s="565" t="n"/>
      <x:c r="Z877" s="565" t="n"/>
    </x:row>
    <x:row r="878">
      <x:c r="A878" s="527" t="inlineStr">
        <x:is>
          <x:t xml:space="preserve">1986-005341</x:t>
        </x:is>
      </x:c>
      <x:c r="B878" s="527" t="n"/>
      <x:c r="C878" s="527" t="inlineStr">
        <x:is>
          <x:t xml:space="preserve">Deed</x:t>
        </x:is>
      </x:c>
      <x:c r="D878" s="527" t="inlineStr">
        <x:is>
          <x:t xml:space="preserve">0839/0100</x:t>
        </x:is>
      </x:c>
      <x:c r="E878" s="529" t="inlineStr">
        <x:is>
          <x:t xml:space="preserve">11/07/1986</x:t>
        </x:is>
      </x:c>
      <x:c r="F878" s="529" t="n">
        <x:v>31723</x:v>
      </x:c>
      <x:c r="G878" s="527" t="inlineStr">
        <x:is>
          <x:t xml:space="preserve">Black Hawk Oil Company</x:t>
        </x:is>
      </x:c>
      <x:c r="H878" s="527" t="inlineStr">
        <x:is>
          <x:t xml:space="preserve">Proven Properties, Inc.</x:t>
        </x:is>
      </x:c>
      <x:c r="I878" s="527" t="inlineStr">
        <x:is>
          <x:t xml:space="preserve">31-12N-24W</x:t>
        </x:is>
      </x:c>
      <x:c r="J878" s="527" t="inlineStr">
        <x:is>
          <x:t xml:space="preserve">Fee / as stated</x:t>
        </x:is>
      </x:c>
      <x:c r="K878" s="527" t="inlineStr">
        <x:is>
          <x:t xml:space="preserve">OKCountyRecords official index, Roger Mills County (instrument 1986-005341); searched 06/11/2026</x:t>
        </x:is>
      </x:c>
      <x:c r="L878" s="565" t="n"/>
      <x:c r="M878" s="565" t="n"/>
      <x:c r="N878" s="565" t="n"/>
      <x:c r="O878" s="565" t="n"/>
      <x:c r="P878" s="565" t="n"/>
      <x:c r="Q878" s="565" t="n"/>
      <x:c r="R878" s="565" t="n"/>
      <x:c r="S878" s="613" t="n"/>
      <x:c r="T878" s="565" t="n"/>
      <x:c r="U878" s="613" t="n"/>
      <x:c r="V878" s="565" t="n"/>
      <x:c r="W878" s="565" t="n"/>
      <x:c r="X878" s="565" t="n"/>
      <x:c r="Y878" s="565" t="n"/>
      <x:c r="Z878" s="565" t="n"/>
    </x:row>
    <x:row r="879">
      <x:c r="A879" s="527" t="inlineStr">
        <x:is>
          <x:t xml:space="preserve">1986-005971</x:t>
        </x:is>
      </x:c>
      <x:c r="B879" s="527" t="n"/>
      <x:c r="C879" s="527" t="inlineStr">
        <x:is>
          <x:t xml:space="preserve">Oil and Gas Lease</x:t>
        </x:is>
      </x:c>
      <x:c r="D879" s="527" t="inlineStr">
        <x:is>
          <x:t xml:space="preserve">0846/0236</x:t>
        </x:is>
      </x:c>
      <x:c r="E879" s="529" t="inlineStr">
        <x:is>
          <x:t xml:space="preserve">12/09/1986</x:t>
        </x:is>
      </x:c>
      <x:c r="F879" s="529" t="n">
        <x:v>31755</x:v>
      </x:c>
      <x:c r="G879" s="527" t="inlineStr">
        <x:is>
          <x:t xml:space="preserve">Ella Pearl Kirk,
Gordon E. Kirk</x:t>
        </x:is>
      </x:c>
      <x:c r="H879" s="527" t="inlineStr">
        <x:is>
          <x:t xml:space="preserve">Ford Exploration</x:t>
        </x:is>
      </x:c>
      <x:c r="I879" s="527" t="inlineStr">
        <x:is>
          <x:t xml:space="preserve">31-12N-24W</x:t>
        </x:is>
      </x:c>
      <x:c r="J879" s="527" t="inlineStr">
        <x:is>
          <x:t xml:space="preserve">Leasehold / WI</x:t>
        </x:is>
      </x:c>
      <x:c r="K879" s="527" t="inlineStr">
        <x:is>
          <x:t xml:space="preserve">OKCountyRecords official index, Roger Mills County (instrument 1986-005971); searched 06/11/2026</x:t>
        </x:is>
      </x:c>
      <x:c r="L879" s="565" t="n"/>
      <x:c r="M879" s="565" t="n"/>
      <x:c r="N879" s="565" t="n"/>
      <x:c r="O879" s="565" t="n"/>
      <x:c r="P879" s="565" t="n"/>
      <x:c r="Q879" s="565" t="n"/>
      <x:c r="R879" s="565" t="n"/>
      <x:c r="S879" s="613" t="n"/>
      <x:c r="T879" s="565" t="n"/>
      <x:c r="U879" s="613" t="n"/>
      <x:c r="V879" s="565" t="n"/>
      <x:c r="W879" s="565" t="n"/>
      <x:c r="X879" s="565" t="n"/>
      <x:c r="Y879" s="565" t="n"/>
      <x:c r="Z879" s="565" t="n"/>
    </x:row>
    <x:row r="880">
      <x:c r="A880" s="527" t="inlineStr">
        <x:is>
          <x:t xml:space="preserve">1987-000496</x:t>
        </x:is>
      </x:c>
      <x:c r="B880" s="527" t="n"/>
      <x:c r="C880" s="527" t="inlineStr">
        <x:is>
          <x:t xml:space="preserve">Miscellaneous</x:t>
        </x:is>
      </x:c>
      <x:c r="D880" s="527" t="inlineStr">
        <x:is>
          <x:t xml:space="preserve">0858/0277</x:t>
        </x:is>
      </x:c>
      <x:c r="E880" s="529" t="inlineStr">
        <x:is>
          <x:t xml:space="preserve">01/26/1987</x:t>
        </x:is>
      </x:c>
      <x:c r="F880" s="529" t="n">
        <x:v>31803</x:v>
      </x:c>
      <x:c r="G880" s="527" t="inlineStr">
        <x:is>
          <x:t xml:space="preserve">Dow C. Bain,
Edris O. Bain</x:t>
        </x:is>
      </x:c>
      <x:c r="H880" s="527" t="inlineStr">
        <x:is>
          <x:t xml:space="preserve">The Public</x:t>
        </x:is>
      </x:c>
      <x:c r="I880" s="527" t="inlineStr">
        <x:is>
          <x:t xml:space="preserve">31-12N-24W (AOL)</x:t>
        </x:is>
      </x:c>
      <x:c r="J880" s="527" t="inlineStr">
        <x:is>
          <x:t xml:space="preserve">See instrument</x:t>
        </x:is>
      </x:c>
      <x:c r="K880" s="527" t="inlineStr">
        <x:is>
          <x:t xml:space="preserve">OKCountyRecords official index, Roger Mills County (instrument 1987-000496); searched 06/11/2026</x:t>
        </x:is>
      </x:c>
      <x:c r="L880" s="565" t="n"/>
      <x:c r="M880" s="565" t="n"/>
      <x:c r="N880" s="565" t="n"/>
      <x:c r="O880" s="565" t="n"/>
      <x:c r="P880" s="565" t="n"/>
      <x:c r="Q880" s="565" t="n"/>
      <x:c r="R880" s="565" t="n"/>
      <x:c r="S880" s="613" t="n"/>
      <x:c r="T880" s="565" t="n"/>
      <x:c r="U880" s="613" t="n"/>
      <x:c r="V880" s="565" t="n"/>
      <x:c r="W880" s="565" t="n"/>
      <x:c r="X880" s="565" t="n"/>
      <x:c r="Y880" s="565" t="n"/>
      <x:c r="Z880" s="565" t="n"/>
    </x:row>
    <x:row r="881">
      <x:c r="A881" s="527" t="inlineStr">
        <x:is>
          <x:t xml:space="preserve">1987-002610</x:t>
        </x:is>
      </x:c>
      <x:c r="B881" s="527" t="n"/>
      <x:c r="C881" s="527" t="inlineStr">
        <x:is>
          <x:t xml:space="preserve">Deed</x:t>
        </x:is>
      </x:c>
      <x:c r="D881" s="527" t="inlineStr">
        <x:is>
          <x:t xml:space="preserve">0883/0168</x:t>
        </x:is>
      </x:c>
      <x:c r="E881" s="529" t="inlineStr">
        <x:is>
          <x:t xml:space="preserve">05/20/1987</x:t>
        </x:is>
      </x:c>
      <x:c r="F881" s="529" t="n">
        <x:v>31917</x:v>
      </x:c>
      <x:c r="G881" s="527" t="inlineStr">
        <x:is>
          <x:t xml:space="preserve">Billy W. Bain</x:t>
        </x:is>
      </x:c>
      <x:c r="H881" s="527" t="inlineStr">
        <x:is>
          <x:t xml:space="preserve">Theodore L. Herbold</x:t>
        </x:is>
      </x:c>
      <x:c r="I881" s="527" t="inlineStr">
        <x:is>
          <x:t xml:space="preserve">31-12N-24W (AOL)</x:t>
        </x:is>
      </x:c>
      <x:c r="J881" s="527" t="inlineStr">
        <x:is>
          <x:t xml:space="preserve">Fee / as stated</x:t>
        </x:is>
      </x:c>
      <x:c r="K881" s="527" t="inlineStr">
        <x:is>
          <x:t xml:space="preserve">OKCountyRecords official index, Roger Mills County (instrument 1987-002610); searched 06/11/2026</x:t>
        </x:is>
      </x:c>
      <x:c r="L881" s="565" t="n"/>
      <x:c r="M881" s="565" t="n"/>
      <x:c r="N881" s="565" t="n"/>
      <x:c r="O881" s="565" t="n"/>
      <x:c r="P881" s="565" t="n"/>
      <x:c r="Q881" s="565" t="n"/>
      <x:c r="R881" s="565" t="n"/>
      <x:c r="S881" s="613" t="n"/>
      <x:c r="T881" s="565" t="n"/>
      <x:c r="U881" s="613" t="n"/>
      <x:c r="V881" s="565" t="n"/>
      <x:c r="W881" s="565" t="n"/>
      <x:c r="X881" s="565" t="n"/>
      <x:c r="Y881" s="565" t="n"/>
      <x:c r="Z881" s="565" t="n"/>
    </x:row>
    <x:row r="882">
      <x:c r="A882" s="527" t="inlineStr">
        <x:is>
          <x:t xml:space="preserve">1987-003826</x:t>
        </x:is>
      </x:c>
      <x:c r="B882" s="527" t="n"/>
      <x:c r="C882" s="527" t="inlineStr">
        <x:is>
          <x:t xml:space="preserve">Assignment</x:t>
        </x:is>
      </x:c>
      <x:c r="D882" s="527" t="inlineStr">
        <x:is>
          <x:t xml:space="preserve">0897/0244</x:t>
        </x:is>
      </x:c>
      <x:c r="E882" s="529" t="inlineStr">
        <x:is>
          <x:t xml:space="preserve">07/06/1987</x:t>
        </x:is>
      </x:c>
      <x:c r="F882" s="529" t="n">
        <x:v>31964</x:v>
      </x:c>
      <x:c r="G882" s="527" t="inlineStr">
        <x:is>
          <x:t xml:space="preserve">Continental Illinois Energy Development Corp</x:t>
        </x:is>
      </x:c>
      <x:c r="H882" s="527" t="inlineStr">
        <x:is>
          <x:t xml:space="preserve">Cimarron Mineral Corp</x:t>
        </x:is>
      </x:c>
      <x:c r="I882" s="527" t="inlineStr">
        <x:is>
          <x:t xml:space="preserve">31-12N-24W (AOL)</x:t>
        </x:is>
      </x:c>
      <x:c r="J882" s="527" t="inlineStr">
        <x:is>
          <x:t xml:space="preserve">Leasehold / WI</x:t>
        </x:is>
      </x:c>
      <x:c r="K882" s="527" t="inlineStr">
        <x:is>
          <x:t xml:space="preserve">OKCountyRecords official index, Roger Mills County (instrument 1987-003826); searched 06/11/2026</x:t>
        </x:is>
      </x:c>
      <x:c r="L882" s="565" t="n"/>
      <x:c r="M882" s="565" t="n"/>
      <x:c r="N882" s="565" t="n"/>
      <x:c r="O882" s="565" t="n"/>
      <x:c r="P882" s="565" t="n"/>
      <x:c r="Q882" s="565" t="n"/>
      <x:c r="R882" s="565" t="n"/>
      <x:c r="S882" s="613" t="n"/>
      <x:c r="T882" s="565" t="n"/>
      <x:c r="U882" s="613" t="n"/>
      <x:c r="V882" s="565" t="n"/>
      <x:c r="W882" s="565" t="n"/>
      <x:c r="X882" s="565" t="n"/>
      <x:c r="Y882" s="565" t="n"/>
      <x:c r="Z882" s="565" t="n"/>
    </x:row>
    <x:row r="883">
      <x:c r="A883" s="527" t="inlineStr">
        <x:is>
          <x:t xml:space="preserve">1987-003977</x:t>
        </x:is>
      </x:c>
      <x:c r="B883" s="527" t="n"/>
      <x:c r="C883" s="527" t="inlineStr">
        <x:is>
          <x:t xml:space="preserve">Oil and Gas Lease</x:t>
        </x:is>
      </x:c>
      <x:c r="D883" s="527" t="inlineStr">
        <x:is>
          <x:t xml:space="preserve">0898/0285</x:t>
        </x:is>
      </x:c>
      <x:c r="E883" s="529" t="inlineStr">
        <x:is>
          <x:t xml:space="preserve">07/13/1987</x:t>
        </x:is>
      </x:c>
      <x:c r="F883" s="529" t="n">
        <x:v>31971</x:v>
      </x:c>
      <x:c r="G883" s="527" t="inlineStr">
        <x:is>
          <x:t xml:space="preserve">Eula Cross</x:t>
        </x:is>
      </x:c>
      <x:c r="H883" s="527" t="inlineStr">
        <x:is>
          <x:t xml:space="preserve">David M. Warren</x:t>
        </x:is>
      </x:c>
      <x:c r="I883" s="527" t="inlineStr">
        <x:is>
          <x:t xml:space="preserve">31-12N-24W</x:t>
        </x:is>
      </x:c>
      <x:c r="J883" s="527" t="inlineStr">
        <x:is>
          <x:t xml:space="preserve">Leasehold / WI</x:t>
        </x:is>
      </x:c>
      <x:c r="K883" s="527" t="inlineStr">
        <x:is>
          <x:t xml:space="preserve">OKCountyRecords official index, Roger Mills County (instrument 1987-003977); searched 06/11/2026</x:t>
        </x:is>
      </x:c>
      <x:c r="L883" s="565" t="n"/>
      <x:c r="M883" s="565" t="n"/>
      <x:c r="N883" s="565" t="n"/>
      <x:c r="O883" s="565" t="n"/>
      <x:c r="P883" s="565" t="n"/>
      <x:c r="Q883" s="565" t="n"/>
      <x:c r="R883" s="565" t="n"/>
      <x:c r="S883" s="613" t="n"/>
      <x:c r="T883" s="565" t="n"/>
      <x:c r="U883" s="613" t="n"/>
      <x:c r="V883" s="565" t="n"/>
      <x:c r="W883" s="565" t="n"/>
      <x:c r="X883" s="565" t="n"/>
      <x:c r="Y883" s="565" t="n"/>
      <x:c r="Z883" s="565" t="n"/>
    </x:row>
    <x:row r="884">
      <x:c r="A884" s="527" t="inlineStr">
        <x:is>
          <x:t xml:space="preserve">1987-003978</x:t>
        </x:is>
      </x:c>
      <x:c r="B884" s="527" t="n"/>
      <x:c r="C884" s="527" t="inlineStr">
        <x:is>
          <x:t xml:space="preserve">Oil and Gas Lease</x:t>
        </x:is>
      </x:c>
      <x:c r="D884" s="527" t="inlineStr">
        <x:is>
          <x:t xml:space="preserve">0898/0287</x:t>
        </x:is>
      </x:c>
      <x:c r="E884" s="529" t="inlineStr">
        <x:is>
          <x:t xml:space="preserve">07/13/1987</x:t>
        </x:is>
      </x:c>
      <x:c r="F884" s="529" t="n">
        <x:v>31971</x:v>
      </x:c>
      <x:c r="G884" s="527" t="inlineStr">
        <x:is>
          <x:t xml:space="preserve">A. C. Campbell</x:t>
        </x:is>
      </x:c>
      <x:c r="H884" s="527" t="inlineStr">
        <x:is>
          <x:t xml:space="preserve">David M. Warren</x:t>
        </x:is>
      </x:c>
      <x:c r="I884" s="527" t="inlineStr">
        <x:is>
          <x:t xml:space="preserve">31-12N-24W</x:t>
        </x:is>
      </x:c>
      <x:c r="J884" s="527" t="inlineStr">
        <x:is>
          <x:t xml:space="preserve">Leasehold / WI</x:t>
        </x:is>
      </x:c>
      <x:c r="K884" s="527" t="inlineStr">
        <x:is>
          <x:t xml:space="preserve">OKCountyRecords official index, Roger Mills County (instrument 1987-003978); searched 06/11/2026</x:t>
        </x:is>
      </x:c>
      <x:c r="L884" s="565" t="n"/>
      <x:c r="M884" s="565" t="n"/>
      <x:c r="N884" s="565" t="n"/>
      <x:c r="O884" s="565" t="n"/>
      <x:c r="P884" s="565" t="n"/>
      <x:c r="Q884" s="565" t="n"/>
      <x:c r="R884" s="565" t="n"/>
      <x:c r="S884" s="613" t="n"/>
      <x:c r="T884" s="565" t="n"/>
      <x:c r="U884" s="613" t="n"/>
      <x:c r="V884" s="565" t="n"/>
      <x:c r="W884" s="565" t="n"/>
      <x:c r="X884" s="565" t="n"/>
      <x:c r="Y884" s="565" t="n"/>
      <x:c r="Z884" s="565" t="n"/>
    </x:row>
    <x:row r="885">
      <x:c r="A885" s="527" t="inlineStr">
        <x:is>
          <x:t xml:space="preserve">1987-004839</x:t>
        </x:is>
      </x:c>
      <x:c r="B885" s="527" t="n"/>
      <x:c r="C885" s="527" t="inlineStr">
        <x:is>
          <x:t xml:space="preserve">Oil and Gas Lease</x:t>
        </x:is>
      </x:c>
      <x:c r="D885" s="527" t="inlineStr">
        <x:is>
          <x:t xml:space="preserve">0906/0204</x:t>
        </x:is>
      </x:c>
      <x:c r="E885" s="529" t="inlineStr">
        <x:is>
          <x:t xml:space="preserve">08/13/1987</x:t>
        </x:is>
      </x:c>
      <x:c r="F885" s="529" t="n">
        <x:v>32002</x:v>
      </x:c>
      <x:c r="G885" s="527" t="inlineStr">
        <x:is>
          <x:t xml:space="preserve">Panhandle Royalty Company</x:t>
        </x:is>
      </x:c>
      <x:c r="H885" s="527" t="inlineStr">
        <x:is>
          <x:t xml:space="preserve">Anson Company</x:t>
        </x:is>
      </x:c>
      <x:c r="I885" s="527" t="inlineStr">
        <x:is>
          <x:t xml:space="preserve">31-12N-24W</x:t>
        </x:is>
      </x:c>
      <x:c r="J885" s="527" t="inlineStr">
        <x:is>
          <x:t xml:space="preserve">Leasehold / WI</x:t>
        </x:is>
      </x:c>
      <x:c r="K885" s="527" t="inlineStr">
        <x:is>
          <x:t xml:space="preserve">OKCountyRecords official index, Roger Mills County (instrument 1987-004839); searched 06/11/2026</x:t>
        </x:is>
      </x:c>
      <x:c r="L885" s="565" t="n"/>
      <x:c r="M885" s="565" t="n"/>
      <x:c r="N885" s="565" t="n"/>
      <x:c r="O885" s="565" t="n"/>
      <x:c r="P885" s="565" t="n"/>
      <x:c r="Q885" s="565" t="n"/>
      <x:c r="R885" s="565" t="n"/>
      <x:c r="S885" s="613" t="n"/>
      <x:c r="T885" s="565" t="n"/>
      <x:c r="U885" s="613" t="n"/>
      <x:c r="V885" s="565" t="n"/>
      <x:c r="W885" s="565" t="n"/>
      <x:c r="X885" s="565" t="n"/>
      <x:c r="Y885" s="565" t="n"/>
      <x:c r="Z885" s="565" t="n"/>
    </x:row>
    <x:row r="886">
      <x:c r="A886" s="527" t="inlineStr">
        <x:is>
          <x:t xml:space="preserve">1987-005035</x:t>
        </x:is>
      </x:c>
      <x:c r="B886" s="527" t="n"/>
      <x:c r="C886" s="527" t="inlineStr">
        <x:is>
          <x:t xml:space="preserve">Assignment</x:t>
        </x:is>
      </x:c>
      <x:c r="D886" s="527" t="inlineStr">
        <x:is>
          <x:t xml:space="preserve">0908/0162</x:t>
        </x:is>
      </x:c>
      <x:c r="E886" s="529" t="inlineStr">
        <x:is>
          <x:t xml:space="preserve">08/20/1987</x:t>
        </x:is>
      </x:c>
      <x:c r="F886" s="529" t="n">
        <x:v>32009</x:v>
      </x:c>
      <x:c r="G886" s="527" t="inlineStr">
        <x:is>
          <x:t xml:space="preserve">David M. Warren</x:t>
        </x:is>
      </x:c>
      <x:c r="H886" s="527" t="inlineStr">
        <x:is>
          <x:t xml:space="preserve">Anson Co</x:t>
        </x:is>
      </x:c>
      <x:c r="I886" s="527" t="inlineStr">
        <x:is>
          <x:t xml:space="preserve">31-12N-24W</x:t>
        </x:is>
      </x:c>
      <x:c r="J886" s="527" t="inlineStr">
        <x:is>
          <x:t xml:space="preserve">Leasehold / WI</x:t>
        </x:is>
      </x:c>
      <x:c r="K886" s="527" t="inlineStr">
        <x:is>
          <x:t xml:space="preserve">OKCountyRecords official index, Roger Mills County (instrument 1987-005035); searched 06/11/2026</x:t>
        </x:is>
      </x:c>
      <x:c r="L886" s="565" t="n"/>
      <x:c r="M886" s="565" t="n"/>
      <x:c r="N886" s="565" t="n"/>
      <x:c r="O886" s="565" t="n"/>
      <x:c r="P886" s="565" t="n"/>
      <x:c r="Q886" s="565" t="n"/>
      <x:c r="R886" s="565" t="n"/>
      <x:c r="S886" s="613" t="n"/>
      <x:c r="T886" s="565" t="n"/>
      <x:c r="U886" s="613" t="n"/>
      <x:c r="V886" s="565" t="n"/>
      <x:c r="W886" s="565" t="n"/>
      <x:c r="X886" s="565" t="n"/>
      <x:c r="Y886" s="565" t="n"/>
      <x:c r="Z886" s="565" t="n"/>
    </x:row>
    <x:row r="887">
      <x:c r="A887" s="527" t="inlineStr">
        <x:is>
          <x:t xml:space="preserve">1987-005036</x:t>
        </x:is>
      </x:c>
      <x:c r="B887" s="527" t="n"/>
      <x:c r="C887" s="527" t="inlineStr">
        <x:is>
          <x:t xml:space="preserve">Assignment</x:t>
        </x:is>
      </x:c>
      <x:c r="D887" s="527" t="inlineStr">
        <x:is>
          <x:t xml:space="preserve">0908/0163</x:t>
        </x:is>
      </x:c>
      <x:c r="E887" s="529" t="inlineStr">
        <x:is>
          <x:t xml:space="preserve">08/20/1987</x:t>
        </x:is>
      </x:c>
      <x:c r="F887" s="529" t="n">
        <x:v>32009</x:v>
      </x:c>
      <x:c r="G887" s="527" t="inlineStr">
        <x:is>
          <x:t xml:space="preserve">David M. Warren</x:t>
        </x:is>
      </x:c>
      <x:c r="H887" s="527" t="inlineStr">
        <x:is>
          <x:t xml:space="preserve">Anson Co</x:t>
        </x:is>
      </x:c>
      <x:c r="I887" s="527" t="inlineStr">
        <x:is>
          <x:t xml:space="preserve">31-12N-24W</x:t>
        </x:is>
      </x:c>
      <x:c r="J887" s="527" t="inlineStr">
        <x:is>
          <x:t xml:space="preserve">Leasehold / WI</x:t>
        </x:is>
      </x:c>
      <x:c r="K887" s="527" t="inlineStr">
        <x:is>
          <x:t xml:space="preserve">OKCountyRecords official index, Roger Mills County (instrument 1987-005036); searched 06/11/2026</x:t>
        </x:is>
      </x:c>
      <x:c r="L887" s="565" t="n"/>
      <x:c r="M887" s="565" t="n"/>
      <x:c r="N887" s="565" t="n"/>
      <x:c r="O887" s="565" t="n"/>
      <x:c r="P887" s="565" t="n"/>
      <x:c r="Q887" s="565" t="n"/>
      <x:c r="R887" s="565" t="n"/>
      <x:c r="S887" s="613" t="n"/>
      <x:c r="T887" s="565" t="n"/>
      <x:c r="U887" s="613" t="n"/>
      <x:c r="V887" s="565" t="n"/>
      <x:c r="W887" s="565" t="n"/>
      <x:c r="X887" s="565" t="n"/>
      <x:c r="Y887" s="565" t="n"/>
      <x:c r="Z887" s="565" t="n"/>
    </x:row>
    <x:row r="888">
      <x:c r="A888" s="527" t="inlineStr">
        <x:is>
          <x:t xml:space="preserve">1987-005038</x:t>
        </x:is>
      </x:c>
      <x:c r="B888" s="527" t="n"/>
      <x:c r="C888" s="527" t="inlineStr">
        <x:is>
          <x:t xml:space="preserve">Oil and Gas Lease</x:t>
        </x:is>
      </x:c>
      <x:c r="D888" s="527" t="inlineStr">
        <x:is>
          <x:t xml:space="preserve">0908/0166</x:t>
        </x:is>
      </x:c>
      <x:c r="E888" s="529" t="inlineStr">
        <x:is>
          <x:t xml:space="preserve">08/21/1987</x:t>
        </x:is>
      </x:c>
      <x:c r="F888" s="529" t="n">
        <x:v>32010</x:v>
      </x:c>
      <x:c r="G888" s="527" t="inlineStr">
        <x:is>
          <x:t xml:space="preserve">A. C. Campbell</x:t>
        </x:is>
      </x:c>
      <x:c r="H888" s="527" t="inlineStr">
        <x:is>
          <x:t xml:space="preserve">Anson Company</x:t>
        </x:is>
      </x:c>
      <x:c r="I888" s="527" t="inlineStr">
        <x:is>
          <x:t xml:space="preserve">31-12N-24W</x:t>
        </x:is>
      </x:c>
      <x:c r="J888" s="527" t="inlineStr">
        <x:is>
          <x:t xml:space="preserve">Leasehold / WI</x:t>
        </x:is>
      </x:c>
      <x:c r="K888" s="527" t="inlineStr">
        <x:is>
          <x:t xml:space="preserve">OKCountyRecords official index, Roger Mills County (instrument 1987-005038); searched 06/11/2026</x:t>
        </x:is>
      </x:c>
      <x:c r="L888" s="565" t="n"/>
      <x:c r="M888" s="565" t="n"/>
      <x:c r="N888" s="565" t="n"/>
      <x:c r="O888" s="565" t="n"/>
      <x:c r="P888" s="565" t="n"/>
      <x:c r="Q888" s="565" t="n"/>
      <x:c r="R888" s="565" t="n"/>
      <x:c r="S888" s="613" t="n"/>
      <x:c r="T888" s="565" t="n"/>
      <x:c r="U888" s="613" t="n"/>
      <x:c r="V888" s="565" t="n"/>
      <x:c r="W888" s="565" t="n"/>
      <x:c r="X888" s="565" t="n"/>
      <x:c r="Y888" s="565" t="n"/>
      <x:c r="Z888" s="565" t="n"/>
    </x:row>
    <x:row r="889">
      <x:c r="A889" s="527" t="inlineStr">
        <x:is>
          <x:t xml:space="preserve">1987-005625</x:t>
        </x:is>
      </x:c>
      <x:c r="B889" s="527" t="n"/>
      <x:c r="C889" s="527" t="inlineStr">
        <x:is>
          <x:t xml:space="preserve">Deed</x:t>
        </x:is>
      </x:c>
      <x:c r="D889" s="527" t="inlineStr">
        <x:is>
          <x:t xml:space="preserve">0913/0261</x:t>
        </x:is>
      </x:c>
      <x:c r="E889" s="529" t="inlineStr">
        <x:is>
          <x:t xml:space="preserve">09/11/1987</x:t>
        </x:is>
      </x:c>
      <x:c r="F889" s="529" t="n">
        <x:v>32031</x:v>
      </x:c>
      <x:c r="G889" s="527" t="inlineStr">
        <x:is>
          <x:t xml:space="preserve">Billy N. Bein</x:t>
        </x:is>
      </x:c>
      <x:c r="H889" s="527" t="inlineStr">
        <x:is>
          <x:t xml:space="preserve">Bary Ellen Sitzman</x:t>
        </x:is>
      </x:c>
      <x:c r="I889" s="527" t="inlineStr">
        <x:is>
          <x:t xml:space="preserve">31-12N-24W (AOL)</x:t>
        </x:is>
      </x:c>
      <x:c r="J889" s="527" t="inlineStr">
        <x:is>
          <x:t xml:space="preserve">Fee / as stated</x:t>
        </x:is>
      </x:c>
      <x:c r="K889" s="527" t="inlineStr">
        <x:is>
          <x:t xml:space="preserve">OKCountyRecords official index, Roger Mills County (instrument 1987-005625); searched 06/11/2026</x:t>
        </x:is>
      </x:c>
      <x:c r="L889" s="565" t="n"/>
      <x:c r="M889" s="565" t="n"/>
      <x:c r="N889" s="565" t="n"/>
      <x:c r="O889" s="565" t="n"/>
      <x:c r="P889" s="565" t="n"/>
      <x:c r="Q889" s="565" t="n"/>
      <x:c r="R889" s="565" t="n"/>
      <x:c r="S889" s="613" t="n"/>
      <x:c r="T889" s="565" t="n"/>
      <x:c r="U889" s="613" t="n"/>
      <x:c r="V889" s="565" t="n"/>
      <x:c r="W889" s="565" t="n"/>
      <x:c r="X889" s="565" t="n"/>
      <x:c r="Y889" s="565" t="n"/>
      <x:c r="Z889" s="565" t="n"/>
    </x:row>
    <x:row r="890">
      <x:c r="A890" s="527" t="inlineStr">
        <x:is>
          <x:t xml:space="preserve">1987-006730</x:t>
        </x:is>
      </x:c>
      <x:c r="B890" s="527" t="n"/>
      <x:c r="C890" s="527" t="inlineStr">
        <x:is>
          <x:t xml:space="preserve">Affidavit</x:t>
        </x:is>
      </x:c>
      <x:c r="D890" s="527" t="inlineStr">
        <x:is>
          <x:t xml:space="preserve">0924/0136</x:t>
        </x:is>
      </x:c>
      <x:c r="E890" s="529" t="inlineStr">
        <x:is>
          <x:t xml:space="preserve">10/22/1987</x:t>
        </x:is>
      </x:c>
      <x:c r="F890" s="529" t="n">
        <x:v>32072</x:v>
      </x:c>
      <x:c r="G890" s="527" t="inlineStr">
        <x:is>
          <x:t xml:space="preserve">Paul S. Taylor</x:t>
        </x:is>
      </x:c>
      <x:c r="H890" s="527" t="inlineStr">
        <x:is>
          <x:t xml:space="preserve">The Public</x:t>
        </x:is>
      </x:c>
      <x:c r="I890" s="527" t="inlineStr">
        <x:is>
          <x:t xml:space="preserve">31-12N-24W (AOL)</x:t>
        </x:is>
      </x:c>
      <x:c r="J890" s="527" t="inlineStr">
        <x:is>
          <x:t xml:space="preserve">See instrument</x:t>
        </x:is>
      </x:c>
      <x:c r="K890" s="527" t="inlineStr">
        <x:is>
          <x:t xml:space="preserve">OKCountyRecords official index, Roger Mills County (instrument 1987-006730); searched 06/11/2026</x:t>
        </x:is>
      </x:c>
      <x:c r="L890" s="565" t="n"/>
      <x:c r="M890" s="565" t="n"/>
      <x:c r="N890" s="565" t="n"/>
      <x:c r="O890" s="565" t="n"/>
      <x:c r="P890" s="565" t="n"/>
      <x:c r="Q890" s="565" t="n"/>
      <x:c r="R890" s="565" t="n"/>
      <x:c r="S890" s="613" t="n"/>
      <x:c r="T890" s="565" t="n"/>
      <x:c r="U890" s="613" t="n"/>
      <x:c r="V890" s="565" t="n"/>
      <x:c r="W890" s="565" t="n"/>
      <x:c r="X890" s="565" t="n"/>
      <x:c r="Y890" s="565" t="n"/>
      <x:c r="Z890" s="565" t="n"/>
    </x:row>
    <x:row r="891">
      <x:c r="A891" s="527" t="inlineStr">
        <x:is>
          <x:t xml:space="preserve">1987-006731</x:t>
        </x:is>
      </x:c>
      <x:c r="B891" s="527" t="n"/>
      <x:c r="C891" s="527" t="inlineStr">
        <x:is>
          <x:t xml:space="preserve">Deed</x:t>
        </x:is>
      </x:c>
      <x:c r="D891" s="527" t="inlineStr">
        <x:is>
          <x:t xml:space="preserve">0924/0138</x:t>
        </x:is>
      </x:c>
      <x:c r="E891" s="529" t="inlineStr">
        <x:is>
          <x:t xml:space="preserve">10/22/1987</x:t>
        </x:is>
      </x:c>
      <x:c r="F891" s="529" t="n">
        <x:v>32072</x:v>
      </x:c>
      <x:c r="G891" s="527" t="inlineStr">
        <x:is>
          <x:t xml:space="preserve">Myron V. Slobin</x:t>
        </x:is>
      </x:c>
      <x:c r="H891" s="527" t="inlineStr">
        <x:is>
          <x:t xml:space="preserve">David Slobin</x:t>
        </x:is>
      </x:c>
      <x:c r="I891" s="527" t="inlineStr">
        <x:is>
          <x:t xml:space="preserve">31-12N-24W (AOL)</x:t>
        </x:is>
      </x:c>
      <x:c r="J891" s="527" t="inlineStr">
        <x:is>
          <x:t xml:space="preserve">Fee / as stated</x:t>
        </x:is>
      </x:c>
      <x:c r="K891" s="527" t="inlineStr">
        <x:is>
          <x:t xml:space="preserve">OKCountyRecords official index, Roger Mills County (instrument 1987-006731); searched 06/11/2026</x:t>
        </x:is>
      </x:c>
      <x:c r="L891" s="565" t="n"/>
      <x:c r="M891" s="565" t="n"/>
      <x:c r="N891" s="565" t="n"/>
      <x:c r="O891" s="565" t="n"/>
      <x:c r="P891" s="565" t="n"/>
      <x:c r="Q891" s="565" t="n"/>
      <x:c r="R891" s="565" t="n"/>
      <x:c r="S891" s="613" t="n"/>
      <x:c r="T891" s="565" t="n"/>
      <x:c r="U891" s="613" t="n"/>
      <x:c r="V891" s="565" t="n"/>
      <x:c r="W891" s="565" t="n"/>
      <x:c r="X891" s="565" t="n"/>
      <x:c r="Y891" s="565" t="n"/>
      <x:c r="Z891" s="565" t="n"/>
    </x:row>
    <x:row r="892">
      <x:c r="A892" s="527" t="inlineStr">
        <x:is>
          <x:t xml:space="preserve">1987-006732</x:t>
        </x:is>
      </x:c>
      <x:c r="B892" s="527" t="n"/>
      <x:c r="C892" s="527" t="inlineStr">
        <x:is>
          <x:t xml:space="preserve">Deed</x:t>
        </x:is>
      </x:c>
      <x:c r="D892" s="527" t="inlineStr">
        <x:is>
          <x:t xml:space="preserve">0924/0139</x:t>
        </x:is>
      </x:c>
      <x:c r="E892" s="529" t="inlineStr">
        <x:is>
          <x:t xml:space="preserve">10/22/1987</x:t>
        </x:is>
      </x:c>
      <x:c r="F892" s="529" t="n">
        <x:v>32072</x:v>
      </x:c>
      <x:c r="G892" s="527" t="inlineStr">
        <x:is>
          <x:t xml:space="preserve">Myron V. Slobin</x:t>
        </x:is>
      </x:c>
      <x:c r="H892" s="527" t="inlineStr">
        <x:is>
          <x:t xml:space="preserve">David Slobin</x:t>
        </x:is>
      </x:c>
      <x:c r="I892" s="527" t="inlineStr">
        <x:is>
          <x:t xml:space="preserve">31-12N-24W (AOL)</x:t>
        </x:is>
      </x:c>
      <x:c r="J892" s="527" t="inlineStr">
        <x:is>
          <x:t xml:space="preserve">Fee / as stated</x:t>
        </x:is>
      </x:c>
      <x:c r="K892" s="527" t="inlineStr">
        <x:is>
          <x:t xml:space="preserve">OKCountyRecords official index, Roger Mills County (instrument 1987-006732); searched 06/11/2026</x:t>
        </x:is>
      </x:c>
      <x:c r="L892" s="565" t="n"/>
      <x:c r="M892" s="565" t="n"/>
      <x:c r="N892" s="565" t="n"/>
      <x:c r="O892" s="565" t="n"/>
      <x:c r="P892" s="565" t="n"/>
      <x:c r="Q892" s="565" t="n"/>
      <x:c r="R892" s="565" t="n"/>
      <x:c r="S892" s="613" t="n"/>
      <x:c r="T892" s="565" t="n"/>
      <x:c r="U892" s="613" t="n"/>
      <x:c r="V892" s="565" t="n"/>
      <x:c r="W892" s="565" t="n"/>
      <x:c r="X892" s="565" t="n"/>
      <x:c r="Y892" s="565" t="n"/>
      <x:c r="Z892" s="565" t="n"/>
    </x:row>
    <x:row r="893">
      <x:c r="A893" s="527" t="inlineStr">
        <x:is>
          <x:t xml:space="preserve">1987-007491</x:t>
        </x:is>
      </x:c>
      <x:c r="B893" s="527" t="n"/>
      <x:c r="C893" s="527" t="inlineStr">
        <x:is>
          <x:t xml:space="preserve">Assignment</x:t>
        </x:is>
      </x:c>
      <x:c r="D893" s="527" t="inlineStr">
        <x:is>
          <x:t xml:space="preserve">0932/0008</x:t>
        </x:is>
      </x:c>
      <x:c r="E893" s="529" t="inlineStr">
        <x:is>
          <x:t xml:space="preserve">11/25/1987</x:t>
        </x:is>
      </x:c>
      <x:c r="F893" s="529" t="n">
        <x:v>32106</x:v>
      </x:c>
      <x:c r="G893" s="527" t="inlineStr">
        <x:is>
          <x:t xml:space="preserve">Anson Co</x:t>
        </x:is>
      </x:c>
      <x:c r="H893" s="527" t="inlineStr">
        <x:is>
          <x:t xml:space="preserve">Park Avenue Exploration Corp</x:t>
        </x:is>
      </x:c>
      <x:c r="I893" s="527" t="inlineStr">
        <x:is>
          <x:t xml:space="preserve">31-12N-24W</x:t>
        </x:is>
      </x:c>
      <x:c r="J893" s="527" t="inlineStr">
        <x:is>
          <x:t xml:space="preserve">Leasehold / WI</x:t>
        </x:is>
      </x:c>
      <x:c r="K893" s="527" t="inlineStr">
        <x:is>
          <x:t xml:space="preserve">OKCountyRecords official index, Roger Mills County (instrument 1987-007491); searched 06/11/2026</x:t>
        </x:is>
      </x:c>
      <x:c r="L893" s="565" t="n"/>
      <x:c r="M893" s="565" t="n"/>
      <x:c r="N893" s="565" t="n"/>
      <x:c r="O893" s="565" t="n"/>
      <x:c r="P893" s="565" t="n"/>
      <x:c r="Q893" s="565" t="n"/>
      <x:c r="R893" s="565" t="n"/>
      <x:c r="S893" s="613" t="n"/>
      <x:c r="T893" s="565" t="n"/>
      <x:c r="U893" s="613" t="n"/>
      <x:c r="V893" s="565" t="n"/>
      <x:c r="W893" s="565" t="n"/>
      <x:c r="X893" s="565" t="n"/>
      <x:c r="Y893" s="565" t="n"/>
      <x:c r="Z893" s="565" t="n"/>
    </x:row>
    <x:row r="894">
      <x:c r="A894" s="527" t="inlineStr">
        <x:is>
          <x:t xml:space="preserve">1987-007492</x:t>
        </x:is>
      </x:c>
      <x:c r="B894" s="527" t="n"/>
      <x:c r="C894" s="527" t="inlineStr">
        <x:is>
          <x:t xml:space="preserve">Assignment</x:t>
        </x:is>
      </x:c>
      <x:c r="D894" s="527" t="inlineStr">
        <x:is>
          <x:t xml:space="preserve">0932/0011</x:t>
        </x:is>
      </x:c>
      <x:c r="E894" s="529" t="inlineStr">
        <x:is>
          <x:t xml:space="preserve">11/25/1987</x:t>
        </x:is>
      </x:c>
      <x:c r="F894" s="529" t="n">
        <x:v>32106</x:v>
      </x:c>
      <x:c r="G894" s="527" t="inlineStr">
        <x:is>
          <x:t xml:space="preserve">Anson Co</x:t>
        </x:is>
      </x:c>
      <x:c r="H894" s="527" t="inlineStr">
        <x:is>
          <x:t xml:space="preserve">Park Avenue Exploration Corp</x:t>
        </x:is>
      </x:c>
      <x:c r="I894" s="527" t="inlineStr">
        <x:is>
          <x:t xml:space="preserve">31-12N-24W</x:t>
        </x:is>
      </x:c>
      <x:c r="J894" s="527" t="inlineStr">
        <x:is>
          <x:t xml:space="preserve">Leasehold / WI</x:t>
        </x:is>
      </x:c>
      <x:c r="K894" s="527" t="inlineStr">
        <x:is>
          <x:t xml:space="preserve">OKCountyRecords official index, Roger Mills County (instrument 1987-007492); searched 06/11/2026</x:t>
        </x:is>
      </x:c>
      <x:c r="L894" s="565" t="n"/>
      <x:c r="M894" s="565" t="n"/>
      <x:c r="N894" s="565" t="n"/>
      <x:c r="O894" s="565" t="n"/>
      <x:c r="P894" s="565" t="n"/>
      <x:c r="Q894" s="565" t="n"/>
      <x:c r="R894" s="565" t="n"/>
      <x:c r="S894" s="613" t="n"/>
      <x:c r="T894" s="565" t="n"/>
      <x:c r="U894" s="613" t="n"/>
      <x:c r="V894" s="565" t="n"/>
      <x:c r="W894" s="565" t="n"/>
      <x:c r="X894" s="565" t="n"/>
      <x:c r="Y894" s="565" t="n"/>
      <x:c r="Z894" s="565" t="n"/>
    </x:row>
    <x:row r="895">
      <x:c r="A895" s="527" t="inlineStr">
        <x:is>
          <x:t xml:space="preserve">1987-007493</x:t>
        </x:is>
      </x:c>
      <x:c r="B895" s="527" t="n"/>
      <x:c r="C895" s="527" t="inlineStr">
        <x:is>
          <x:t xml:space="preserve">Assignment</x:t>
        </x:is>
      </x:c>
      <x:c r="D895" s="527" t="inlineStr">
        <x:is>
          <x:t xml:space="preserve">0932/0014</x:t>
        </x:is>
      </x:c>
      <x:c r="E895" s="529" t="inlineStr">
        <x:is>
          <x:t xml:space="preserve">11/25/1987</x:t>
        </x:is>
      </x:c>
      <x:c r="F895" s="529" t="n">
        <x:v>32106</x:v>
      </x:c>
      <x:c r="G895" s="527" t="inlineStr">
        <x:is>
          <x:t xml:space="preserve">Park Avenue Exploration Corp</x:t>
        </x:is>
      </x:c>
      <x:c r="H895" s="527" t="inlineStr">
        <x:is>
          <x:t xml:space="preserve">J. &amp; M. Investment Co</x:t>
        </x:is>
      </x:c>
      <x:c r="I895" s="527" t="inlineStr">
        <x:is>
          <x:t xml:space="preserve">31-12N-24W</x:t>
        </x:is>
      </x:c>
      <x:c r="J895" s="527" t="inlineStr">
        <x:is>
          <x:t xml:space="preserve">Leasehold / WI</x:t>
        </x:is>
      </x:c>
      <x:c r="K895" s="527" t="inlineStr">
        <x:is>
          <x:t xml:space="preserve">OKCountyRecords official index, Roger Mills County (instrument 1987-007493); searched 06/11/2026</x:t>
        </x:is>
      </x:c>
      <x:c r="L895" s="565" t="n"/>
      <x:c r="M895" s="565" t="n"/>
      <x:c r="N895" s="565" t="n"/>
      <x:c r="O895" s="565" t="n"/>
      <x:c r="P895" s="565" t="n"/>
      <x:c r="Q895" s="565" t="n"/>
      <x:c r="R895" s="565" t="n"/>
      <x:c r="S895" s="613" t="n"/>
      <x:c r="T895" s="565" t="n"/>
      <x:c r="U895" s="613" t="n"/>
      <x:c r="V895" s="565" t="n"/>
      <x:c r="W895" s="565" t="n"/>
      <x:c r="X895" s="565" t="n"/>
      <x:c r="Y895" s="565" t="n"/>
      <x:c r="Z895" s="565" t="n"/>
    </x:row>
    <x:row r="896">
      <x:c r="A896" s="527" t="inlineStr">
        <x:is>
          <x:t xml:space="preserve">1987-007680</x:t>
        </x:is>
      </x:c>
      <x:c r="B896" s="527" t="n"/>
      <x:c r="C896" s="527" t="inlineStr">
        <x:is>
          <x:t xml:space="preserve">Deed</x:t>
        </x:is>
      </x:c>
      <x:c r="D896" s="527" t="inlineStr">
        <x:is>
          <x:t xml:space="preserve">0933/0226</x:t>
        </x:is>
      </x:c>
      <x:c r="E896" s="529" t="inlineStr">
        <x:is>
          <x:t xml:space="preserve">12/07/1987</x:t>
        </x:is>
      </x:c>
      <x:c r="F896" s="529" t="n">
        <x:v>32118</x:v>
      </x:c>
      <x:c r="G896" s="527" t="inlineStr">
        <x:is>
          <x:t xml:space="preserve">Clarence C. Bain</x:t>
        </x:is>
      </x:c>
      <x:c r="H896" s="527" t="inlineStr">
        <x:is>
          <x:t xml:space="preserve">Billy Wayne Bain</x:t>
        </x:is>
      </x:c>
      <x:c r="I896" s="527" t="inlineStr">
        <x:is>
          <x:t xml:space="preserve">31-12N-24W (AOL)</x:t>
        </x:is>
      </x:c>
      <x:c r="J896" s="527" t="inlineStr">
        <x:is>
          <x:t xml:space="preserve">Fee / as stated</x:t>
        </x:is>
      </x:c>
      <x:c r="K896" s="527" t="inlineStr">
        <x:is>
          <x:t xml:space="preserve">OKCountyRecords official index, Roger Mills County (instrument 1987-007680); searched 06/11/2026</x:t>
        </x:is>
      </x:c>
      <x:c r="L896" s="565" t="n"/>
      <x:c r="M896" s="565" t="n"/>
      <x:c r="N896" s="565" t="n"/>
      <x:c r="O896" s="565" t="n"/>
      <x:c r="P896" s="565" t="n"/>
      <x:c r="Q896" s="565" t="n"/>
      <x:c r="R896" s="565" t="n"/>
      <x:c r="S896" s="613" t="n"/>
      <x:c r="T896" s="565" t="n"/>
      <x:c r="U896" s="613" t="n"/>
      <x:c r="V896" s="565" t="n"/>
      <x:c r="W896" s="565" t="n"/>
      <x:c r="X896" s="565" t="n"/>
      <x:c r="Y896" s="565" t="n"/>
      <x:c r="Z896" s="565" t="n"/>
    </x:row>
    <x:row r="897">
      <x:c r="A897" s="527" t="inlineStr">
        <x:is>
          <x:t xml:space="preserve">1987-007920</x:t>
        </x:is>
      </x:c>
      <x:c r="B897" s="527" t="n"/>
      <x:c r="C897" s="527" t="inlineStr">
        <x:is>
          <x:t xml:space="preserve">Oil and Gas Lease</x:t>
        </x:is>
      </x:c>
      <x:c r="D897" s="527" t="inlineStr">
        <x:is>
          <x:t xml:space="preserve">0935/0274</x:t>
        </x:is>
      </x:c>
      <x:c r="E897" s="529" t="inlineStr">
        <x:is>
          <x:t xml:space="preserve">12/18/1987</x:t>
        </x:is>
      </x:c>
      <x:c r="F897" s="529" t="n">
        <x:v>32129</x:v>
      </x:c>
      <x:c r="G897" s="527" t="inlineStr">
        <x:is>
          <x:t xml:space="preserve">A. C. Campbell</x:t>
        </x:is>
      </x:c>
      <x:c r="H897" s="527" t="inlineStr">
        <x:is>
          <x:t xml:space="preserve">David M. Warren</x:t>
        </x:is>
      </x:c>
      <x:c r="I897" s="527" t="inlineStr">
        <x:is>
          <x:t xml:space="preserve">31-12N-24W</x:t>
        </x:is>
      </x:c>
      <x:c r="J897" s="527" t="inlineStr">
        <x:is>
          <x:t xml:space="preserve">Leasehold / WI</x:t>
        </x:is>
      </x:c>
      <x:c r="K897" s="527" t="inlineStr">
        <x:is>
          <x:t xml:space="preserve">OKCountyRecords official index, Roger Mills County (instrument 1987-007920); searched 06/11/2026</x:t>
        </x:is>
      </x:c>
      <x:c r="L897" s="565" t="n"/>
      <x:c r="M897" s="565" t="n"/>
      <x:c r="N897" s="565" t="n"/>
      <x:c r="O897" s="565" t="n"/>
      <x:c r="P897" s="565" t="n"/>
      <x:c r="Q897" s="565" t="n"/>
      <x:c r="R897" s="565" t="n"/>
      <x:c r="S897" s="613" t="n"/>
      <x:c r="T897" s="565" t="n"/>
      <x:c r="U897" s="613" t="n"/>
      <x:c r="V897" s="565" t="n"/>
      <x:c r="W897" s="565" t="n"/>
      <x:c r="X897" s="565" t="n"/>
      <x:c r="Y897" s="565" t="n"/>
      <x:c r="Z897" s="565" t="n"/>
    </x:row>
    <x:row r="898">
      <x:c r="A898" s="527" t="inlineStr">
        <x:is>
          <x:t xml:space="preserve">1988-000257</x:t>
        </x:is>
      </x:c>
      <x:c r="B898" s="527" t="n"/>
      <x:c r="C898" s="527" t="inlineStr">
        <x:is>
          <x:t xml:space="preserve">Oil and Gas Lease</x:t>
        </x:is>
      </x:c>
      <x:c r="D898" s="527" t="inlineStr">
        <x:is>
          <x:t xml:space="preserve">0941/0004</x:t>
        </x:is>
      </x:c>
      <x:c r="E898" s="529" t="inlineStr">
        <x:is>
          <x:t xml:space="preserve">01/13/1988</x:t>
        </x:is>
      </x:c>
      <x:c r="F898" s="529" t="n">
        <x:v>32155</x:v>
      </x:c>
      <x:c r="G898" s="527" t="inlineStr">
        <x:is>
          <x:t xml:space="preserve">John W. Klopfenstein,
Ruby M. Klopfenstein</x:t>
        </x:is>
      </x:c>
      <x:c r="H898" s="527" t="inlineStr">
        <x:is>
          <x:t xml:space="preserve">Lloyd Smith</x:t>
        </x:is>
      </x:c>
      <x:c r="I898" s="527" t="inlineStr">
        <x:is>
          <x:t xml:space="preserve">31-12N-24W</x:t>
        </x:is>
      </x:c>
      <x:c r="J898" s="527" t="inlineStr">
        <x:is>
          <x:t xml:space="preserve">Leasehold / WI</x:t>
        </x:is>
      </x:c>
      <x:c r="K898" s="527" t="inlineStr">
        <x:is>
          <x:t xml:space="preserve">OKCountyRecords official index, Roger Mills County (instrument 1988-000257); searched 06/11/2026</x:t>
        </x:is>
      </x:c>
      <x:c r="L898" s="565" t="n"/>
      <x:c r="M898" s="565" t="n"/>
      <x:c r="N898" s="565" t="n"/>
      <x:c r="O898" s="565" t="n"/>
      <x:c r="P898" s="565" t="n"/>
      <x:c r="Q898" s="565" t="n"/>
      <x:c r="R898" s="565" t="n"/>
      <x:c r="S898" s="613" t="n"/>
      <x:c r="T898" s="565" t="n"/>
      <x:c r="U898" s="613" t="n"/>
      <x:c r="V898" s="565" t="n"/>
      <x:c r="W898" s="565" t="n"/>
      <x:c r="X898" s="565" t="n"/>
      <x:c r="Y898" s="565" t="n"/>
      <x:c r="Z898" s="565" t="n"/>
    </x:row>
    <x:row r="899">
      <x:c r="A899" s="527" t="inlineStr">
        <x:is>
          <x:t xml:space="preserve">1988-000762</x:t>
        </x:is>
      </x:c>
      <x:c r="B899" s="527" t="n"/>
      <x:c r="C899" s="527" t="inlineStr">
        <x:is>
          <x:t xml:space="preserve">Deed</x:t>
        </x:is>
      </x:c>
      <x:c r="D899" s="527" t="inlineStr">
        <x:is>
          <x:t xml:space="preserve">0946/0223</x:t>
        </x:is>
      </x:c>
      <x:c r="E899" s="529" t="inlineStr">
        <x:is>
          <x:t xml:space="preserve">02/04/1988</x:t>
        </x:is>
      </x:c>
      <x:c r="F899" s="529" t="n">
        <x:v>32177</x:v>
      </x:c>
      <x:c r="G899" s="527" t="inlineStr">
        <x:is>
          <x:t xml:space="preserve">Brent L. Schooley</x:t>
        </x:is>
      </x:c>
      <x:c r="H899" s="527" t="inlineStr">
        <x:is>
          <x:t xml:space="preserve">Kaiser Francis Oil Co</x:t>
        </x:is>
      </x:c>
      <x:c r="I899" s="527" t="inlineStr">
        <x:is>
          <x:t xml:space="preserve">31-12N-24W (AOL)</x:t>
        </x:is>
      </x:c>
      <x:c r="J899" s="527" t="inlineStr">
        <x:is>
          <x:t xml:space="preserve">Fee / as stated</x:t>
        </x:is>
      </x:c>
      <x:c r="K899" s="527" t="inlineStr">
        <x:is>
          <x:t xml:space="preserve">OKCountyRecords official index, Roger Mills County (instrument 1988-000762); searched 06/11/2026</x:t>
        </x:is>
      </x:c>
      <x:c r="L899" s="565" t="n"/>
      <x:c r="M899" s="565" t="n"/>
      <x:c r="N899" s="565" t="n"/>
      <x:c r="O899" s="565" t="n"/>
      <x:c r="P899" s="565" t="n"/>
      <x:c r="Q899" s="565" t="n"/>
      <x:c r="R899" s="565" t="n"/>
      <x:c r="S899" s="613" t="n"/>
      <x:c r="T899" s="565" t="n"/>
      <x:c r="U899" s="613" t="n"/>
      <x:c r="V899" s="565" t="n"/>
      <x:c r="W899" s="565" t="n"/>
      <x:c r="X899" s="565" t="n"/>
      <x:c r="Y899" s="565" t="n"/>
      <x:c r="Z899" s="565" t="n"/>
    </x:row>
    <x:row r="900">
      <x:c r="A900" s="527" t="inlineStr">
        <x:is>
          <x:t xml:space="preserve">1988-002747</x:t>
        </x:is>
      </x:c>
      <x:c r="B900" s="527" t="n"/>
      <x:c r="C900" s="527" t="inlineStr">
        <x:is>
          <x:t xml:space="preserve">Deed</x:t>
        </x:is>
      </x:c>
      <x:c r="D900" s="527" t="inlineStr">
        <x:is>
          <x:t xml:space="preserve">0966/0090</x:t>
        </x:is>
      </x:c>
      <x:c r="E900" s="529" t="inlineStr">
        <x:is>
          <x:t xml:space="preserve">04/22/1988</x:t>
        </x:is>
      </x:c>
      <x:c r="F900" s="529" t="n">
        <x:v>32255</x:v>
      </x:c>
      <x:c r="G900" s="527" t="inlineStr">
        <x:is>
          <x:t xml:space="preserve">Clara Mae Bryan,
George M. Bryan</x:t>
        </x:is>
      </x:c>
      <x:c r="H900" s="527" t="inlineStr">
        <x:is>
          <x:t xml:space="preserve">Eula Cross</x:t>
        </x:is>
      </x:c>
      <x:c r="I900" s="527" t="inlineStr">
        <x:is>
          <x:t xml:space="preserve">31-12N-24W (AOL)</x:t>
        </x:is>
      </x:c>
      <x:c r="J900" s="527" t="inlineStr">
        <x:is>
          <x:t xml:space="preserve">Fee / as stated</x:t>
        </x:is>
      </x:c>
      <x:c r="K900" s="527" t="inlineStr">
        <x:is>
          <x:t xml:space="preserve">OKCountyRecords official index, Roger Mills County (instrument 1988-002747); searched 06/11/2026</x:t>
        </x:is>
      </x:c>
      <x:c r="L900" s="565" t="n"/>
      <x:c r="M900" s="565" t="n"/>
      <x:c r="N900" s="565" t="n"/>
      <x:c r="O900" s="565" t="n"/>
      <x:c r="P900" s="565" t="n"/>
      <x:c r="Q900" s="565" t="n"/>
      <x:c r="R900" s="565" t="n"/>
      <x:c r="S900" s="613" t="n"/>
      <x:c r="T900" s="565" t="n"/>
      <x:c r="U900" s="613" t="n"/>
      <x:c r="V900" s="565" t="n"/>
      <x:c r="W900" s="565" t="n"/>
      <x:c r="X900" s="565" t="n"/>
      <x:c r="Y900" s="565" t="n"/>
      <x:c r="Z900" s="565" t="n"/>
    </x:row>
    <x:row r="901">
      <x:c r="A901" s="527" t="inlineStr">
        <x:is>
          <x:t xml:space="preserve">1988-004185</x:t>
        </x:is>
      </x:c>
      <x:c r="B901" s="527" t="n"/>
      <x:c r="C901" s="527" t="inlineStr">
        <x:is>
          <x:t xml:space="preserve">Deed</x:t>
        </x:is>
      </x:c>
      <x:c r="D901" s="527" t="inlineStr">
        <x:is>
          <x:t xml:space="preserve">0981/0002</x:t>
        </x:is>
      </x:c>
      <x:c r="E901" s="529" t="inlineStr">
        <x:is>
          <x:t xml:space="preserve">07/05/1988</x:t>
        </x:is>
      </x:c>
      <x:c r="F901" s="529" t="n">
        <x:v>32216</x:v>
      </x:c>
      <x:c r="G901" s="527" t="inlineStr">
        <x:is>
          <x:t xml:space="preserve">Flag-redfern Oil Company</x:t>
        </x:is>
      </x:c>
      <x:c r="H901" s="527" t="inlineStr">
        <x:is>
          <x:t xml:space="preserve">Eta-flag Royalty Trust,
First City National Bank of Midland Trustee</x:t>
        </x:is>
      </x:c>
      <x:c r="I901" s="527" t="inlineStr">
        <x:is>
          <x:t xml:space="preserve">N/2 NE/4, W/2 NW/4 of 31-12N-24W (AOL)</x:t>
        </x:is>
      </x:c>
      <x:c r="J901" s="527" t="inlineStr">
        <x:is>
          <x:t xml:space="preserve">Fee / as stated</x:t>
        </x:is>
      </x:c>
      <x:c r="K901" s="527" t="inlineStr">
        <x:is>
          <x:t xml:space="preserve">OKCountyRecords official index, Roger Mills County (instrument 1988-004185); searched 06/11/2026</x:t>
        </x:is>
      </x:c>
      <x:c r="L901" s="565" t="n"/>
      <x:c r="M901" s="565" t="n"/>
      <x:c r="N901" s="565" t="n"/>
      <x:c r="O901" s="565" t="n"/>
      <x:c r="P901" s="565" t="n"/>
      <x:c r="Q901" s="565" t="n"/>
      <x:c r="R901" s="565" t="n"/>
      <x:c r="S901" s="613" t="n"/>
      <x:c r="T901" s="565" t="n"/>
      <x:c r="U901" s="613" t="n"/>
      <x:c r="V901" s="565" t="n"/>
      <x:c r="W901" s="565" t="n"/>
      <x:c r="X901" s="565" t="n"/>
      <x:c r="Y901" s="565" t="n"/>
      <x:c r="Z901" s="565" t="n"/>
    </x:row>
    <x:row r="902">
      <x:c r="A902" s="527" t="inlineStr">
        <x:is>
          <x:t xml:space="preserve">1988-004266</x:t>
        </x:is>
      </x:c>
      <x:c r="B902" s="527" t="n"/>
      <x:c r="C902" s="527" t="inlineStr">
        <x:is>
          <x:t xml:space="preserve">Oil and Gas Lease</x:t>
        </x:is>
      </x:c>
      <x:c r="D902" s="527" t="inlineStr">
        <x:is>
          <x:t xml:space="preserve">0981/0285</x:t>
        </x:is>
      </x:c>
      <x:c r="E902" s="529" t="inlineStr">
        <x:is>
          <x:t xml:space="preserve">07/11/1988</x:t>
        </x:is>
      </x:c>
      <x:c r="F902" s="529" t="n">
        <x:v>32335</x:v>
      </x:c>
      <x:c r="G902" s="527" t="inlineStr">
        <x:is>
          <x:t xml:space="preserve">Oleta Florene Wylie</x:t>
        </x:is>
      </x:c>
      <x:c r="H902" s="527" t="inlineStr">
        <x:is>
          <x:t xml:space="preserve">Seven W. Resources, Inc.</x:t>
        </x:is>
      </x:c>
      <x:c r="I902" s="527" t="inlineStr">
        <x:is>
          <x:t xml:space="preserve">31-12N-24W</x:t>
        </x:is>
      </x:c>
      <x:c r="J902" s="527" t="inlineStr">
        <x:is>
          <x:t xml:space="preserve">Leasehold / WI</x:t>
        </x:is>
      </x:c>
      <x:c r="K902" s="527" t="inlineStr">
        <x:is>
          <x:t xml:space="preserve">OKCountyRecords official index, Roger Mills County (instrument 1988-004266); searched 06/11/2026</x:t>
        </x:is>
      </x:c>
      <x:c r="L902" s="565" t="n"/>
      <x:c r="M902" s="565" t="n"/>
      <x:c r="N902" s="565" t="n"/>
      <x:c r="O902" s="565" t="n"/>
      <x:c r="P902" s="565" t="n"/>
      <x:c r="Q902" s="565" t="n"/>
      <x:c r="R902" s="565" t="n"/>
      <x:c r="S902" s="613" t="n"/>
      <x:c r="T902" s="565" t="n"/>
      <x:c r="U902" s="613" t="n"/>
      <x:c r="V902" s="565" t="n"/>
      <x:c r="W902" s="565" t="n"/>
      <x:c r="X902" s="565" t="n"/>
      <x:c r="Y902" s="565" t="n"/>
      <x:c r="Z902" s="565" t="n"/>
    </x:row>
    <x:row r="903">
      <x:c r="A903" s="527" t="inlineStr">
        <x:is>
          <x:t xml:space="preserve">1988-004268</x:t>
        </x:is>
      </x:c>
      <x:c r="B903" s="527" t="n"/>
      <x:c r="C903" s="527" t="inlineStr">
        <x:is>
          <x:t xml:space="preserve">Oil and Gas Lease</x:t>
        </x:is>
      </x:c>
      <x:c r="D903" s="527" t="inlineStr">
        <x:is>
          <x:t xml:space="preserve">0981/0289</x:t>
        </x:is>
      </x:c>
      <x:c r="E903" s="529" t="inlineStr">
        <x:is>
          <x:t xml:space="preserve">07/11/1988</x:t>
        </x:is>
      </x:c>
      <x:c r="F903" s="529" t="n">
        <x:v>32335</x:v>
      </x:c>
      <x:c r="G903" s="527" t="inlineStr">
        <x:is>
          <x:t xml:space="preserve">Mary Margaret Devenas</x:t>
        </x:is>
      </x:c>
      <x:c r="H903" s="527" t="inlineStr">
        <x:is>
          <x:t xml:space="preserve">Williams Properties, Inc.</x:t>
        </x:is>
      </x:c>
      <x:c r="I903" s="527" t="inlineStr">
        <x:is>
          <x:t xml:space="preserve">31-12N-24W</x:t>
        </x:is>
      </x:c>
      <x:c r="J903" s="527" t="inlineStr">
        <x:is>
          <x:t xml:space="preserve">Leasehold / WI</x:t>
        </x:is>
      </x:c>
      <x:c r="K903" s="527" t="inlineStr">
        <x:is>
          <x:t xml:space="preserve">OKCountyRecords official index, Roger Mills County (instrument 1988-004268); searched 06/11/2026</x:t>
        </x:is>
      </x:c>
      <x:c r="L903" s="565" t="n"/>
      <x:c r="M903" s="565" t="n"/>
      <x:c r="N903" s="565" t="n"/>
      <x:c r="O903" s="565" t="n"/>
      <x:c r="P903" s="565" t="n"/>
      <x:c r="Q903" s="565" t="n"/>
      <x:c r="R903" s="565" t="n"/>
      <x:c r="S903" s="613" t="n"/>
      <x:c r="T903" s="565" t="n"/>
      <x:c r="U903" s="613" t="n"/>
      <x:c r="V903" s="565" t="n"/>
      <x:c r="W903" s="565" t="n"/>
      <x:c r="X903" s="565" t="n"/>
      <x:c r="Y903" s="565" t="n"/>
      <x:c r="Z903" s="565" t="n"/>
    </x:row>
    <x:row r="904">
      <x:c r="A904" s="527" t="inlineStr">
        <x:is>
          <x:t xml:space="preserve">1988-004401</x:t>
        </x:is>
      </x:c>
      <x:c r="B904" s="527" t="n"/>
      <x:c r="C904" s="527" t="inlineStr">
        <x:is>
          <x:t xml:space="preserve">Oil and Gas Lease</x:t>
        </x:is>
      </x:c>
      <x:c r="D904" s="527" t="inlineStr">
        <x:is>
          <x:t xml:space="preserve">0983/0128</x:t>
        </x:is>
      </x:c>
      <x:c r="E904" s="529" t="inlineStr">
        <x:is>
          <x:t xml:space="preserve">07/18/1988</x:t>
        </x:is>
      </x:c>
      <x:c r="F904" s="529" t="n">
        <x:v>32342</x:v>
      </x:c>
      <x:c r="G904" s="527" t="inlineStr">
        <x:is>
          <x:t xml:space="preserve">Estate of Maragaret Standiford Gray,
Fred A. Standiford Jr.</x:t>
        </x:is>
      </x:c>
      <x:c r="H904" s="527" t="inlineStr">
        <x:is>
          <x:t xml:space="preserve">Williams Properties, Inc.</x:t>
        </x:is>
      </x:c>
      <x:c r="I904" s="527" t="inlineStr">
        <x:is>
          <x:t xml:space="preserve">31-12N-24W</x:t>
        </x:is>
      </x:c>
      <x:c r="J904" s="527" t="inlineStr">
        <x:is>
          <x:t xml:space="preserve">Leasehold / WI</x:t>
        </x:is>
      </x:c>
      <x:c r="K904" s="527" t="inlineStr">
        <x:is>
          <x:t xml:space="preserve">OKCountyRecords official index, Roger Mills County (instrument 1988-004401); searched 06/11/2026</x:t>
        </x:is>
      </x:c>
      <x:c r="L904" s="565" t="n"/>
      <x:c r="M904" s="565" t="n"/>
      <x:c r="N904" s="565" t="n"/>
      <x:c r="O904" s="565" t="n"/>
      <x:c r="P904" s="565" t="n"/>
      <x:c r="Q904" s="565" t="n"/>
      <x:c r="R904" s="565" t="n"/>
      <x:c r="S904" s="613" t="n"/>
      <x:c r="T904" s="565" t="n"/>
      <x:c r="U904" s="613" t="n"/>
      <x:c r="V904" s="565" t="n"/>
      <x:c r="W904" s="565" t="n"/>
      <x:c r="X904" s="565" t="n"/>
      <x:c r="Y904" s="565" t="n"/>
      <x:c r="Z904" s="565" t="n"/>
    </x:row>
    <x:row r="905">
      <x:c r="A905" s="527" t="inlineStr">
        <x:is>
          <x:t xml:space="preserve">1988-004480</x:t>
        </x:is>
      </x:c>
      <x:c r="B905" s="527" t="n"/>
      <x:c r="C905" s="527" t="inlineStr">
        <x:is>
          <x:t xml:space="preserve">Deed</x:t>
        </x:is>
      </x:c>
      <x:c r="D905" s="527" t="inlineStr">
        <x:is>
          <x:t xml:space="preserve">0984/0181</x:t>
        </x:is>
      </x:c>
      <x:c r="E905" s="529" t="inlineStr">
        <x:is>
          <x:t xml:space="preserve">07/20/1988</x:t>
        </x:is>
      </x:c>
      <x:c r="F905" s="529" t="n">
        <x:v>32344</x:v>
      </x:c>
      <x:c r="G905" s="527" t="inlineStr">
        <x:is>
          <x:t xml:space="preserve">Clarence C. Bain</x:t>
        </x:is>
      </x:c>
      <x:c r="H905" s="527" t="inlineStr">
        <x:is>
          <x:t xml:space="preserve">William Clifton Bain</x:t>
        </x:is>
      </x:c>
      <x:c r="I905" s="527" t="inlineStr">
        <x:is>
          <x:t xml:space="preserve">31-12N-24W (AOL)</x:t>
        </x:is>
      </x:c>
      <x:c r="J905" s="527" t="inlineStr">
        <x:is>
          <x:t xml:space="preserve">Fee / as stated</x:t>
        </x:is>
      </x:c>
      <x:c r="K905" s="527" t="inlineStr">
        <x:is>
          <x:t xml:space="preserve">OKCountyRecords official index, Roger Mills County (instrument 1988-004480); searched 06/11/2026</x:t>
        </x:is>
      </x:c>
      <x:c r="L905" s="565" t="n"/>
      <x:c r="M905" s="565" t="n"/>
      <x:c r="N905" s="565" t="n"/>
      <x:c r="O905" s="565" t="n"/>
      <x:c r="P905" s="565" t="n"/>
      <x:c r="Q905" s="565" t="n"/>
      <x:c r="R905" s="565" t="n"/>
      <x:c r="S905" s="613" t="n"/>
      <x:c r="T905" s="565" t="n"/>
      <x:c r="U905" s="613" t="n"/>
      <x:c r="V905" s="565" t="n"/>
      <x:c r="W905" s="565" t="n"/>
      <x:c r="X905" s="565" t="n"/>
      <x:c r="Y905" s="565" t="n"/>
      <x:c r="Z905" s="565" t="n"/>
    </x:row>
    <x:row r="906">
      <x:c r="A906" s="527" t="inlineStr">
        <x:is>
          <x:t xml:space="preserve">1988-004481</x:t>
        </x:is>
      </x:c>
      <x:c r="B906" s="527" t="n"/>
      <x:c r="C906" s="527" t="inlineStr">
        <x:is>
          <x:t xml:space="preserve">Deed</x:t>
        </x:is>
      </x:c>
      <x:c r="D906" s="527" t="inlineStr">
        <x:is>
          <x:t xml:space="preserve">0984/0183</x:t>
        </x:is>
      </x:c>
      <x:c r="E906" s="529" t="inlineStr">
        <x:is>
          <x:t xml:space="preserve">07/20/1988</x:t>
        </x:is>
      </x:c>
      <x:c r="F906" s="529" t="n">
        <x:v>32344</x:v>
      </x:c>
      <x:c r="G906" s="527" t="inlineStr">
        <x:is>
          <x:t xml:space="preserve">Clarence C. Bain</x:t>
        </x:is>
      </x:c>
      <x:c r="H906" s="527" t="inlineStr">
        <x:is>
          <x:t xml:space="preserve">Michael Lee Bain</x:t>
        </x:is>
      </x:c>
      <x:c r="I906" s="527" t="inlineStr">
        <x:is>
          <x:t xml:space="preserve">31-12N-24W (AOL)</x:t>
        </x:is>
      </x:c>
      <x:c r="J906" s="527" t="inlineStr">
        <x:is>
          <x:t xml:space="preserve">Fee / as stated</x:t>
        </x:is>
      </x:c>
      <x:c r="K906" s="527" t="inlineStr">
        <x:is>
          <x:t xml:space="preserve">OKCountyRecords official index, Roger Mills County (instrument 1988-004481); searched 06/11/2026</x:t>
        </x:is>
      </x:c>
      <x:c r="L906" s="565" t="n"/>
      <x:c r="M906" s="565" t="n"/>
      <x:c r="N906" s="565" t="n"/>
      <x:c r="O906" s="565" t="n"/>
      <x:c r="P906" s="565" t="n"/>
      <x:c r="Q906" s="565" t="n"/>
      <x:c r="R906" s="565" t="n"/>
      <x:c r="S906" s="613" t="n"/>
      <x:c r="T906" s="565" t="n"/>
      <x:c r="U906" s="613" t="n"/>
      <x:c r="V906" s="565" t="n"/>
      <x:c r="W906" s="565" t="n"/>
      <x:c r="X906" s="565" t="n"/>
      <x:c r="Y906" s="565" t="n"/>
      <x:c r="Z906" s="565" t="n"/>
    </x:row>
    <x:row r="907">
      <x:c r="A907" s="527" t="inlineStr">
        <x:is>
          <x:t xml:space="preserve">1988-004482</x:t>
        </x:is>
      </x:c>
      <x:c r="B907" s="527" t="n"/>
      <x:c r="C907" s="527" t="inlineStr">
        <x:is>
          <x:t xml:space="preserve">Deed</x:t>
        </x:is>
      </x:c>
      <x:c r="D907" s="527" t="inlineStr">
        <x:is>
          <x:t xml:space="preserve">0984/0185</x:t>
        </x:is>
      </x:c>
      <x:c r="E907" s="529" t="inlineStr">
        <x:is>
          <x:t xml:space="preserve">07/20/1988</x:t>
        </x:is>
      </x:c>
      <x:c r="F907" s="529" t="n">
        <x:v>32344</x:v>
      </x:c>
      <x:c r="G907" s="527" t="inlineStr">
        <x:is>
          <x:t xml:space="preserve">Clarence C. Bain</x:t>
        </x:is>
      </x:c>
      <x:c r="H907" s="527" t="inlineStr">
        <x:is>
          <x:t xml:space="preserve">Paul Milton Bain</x:t>
        </x:is>
      </x:c>
      <x:c r="I907" s="527" t="inlineStr">
        <x:is>
          <x:t xml:space="preserve">31-12N-24W (AOL)</x:t>
        </x:is>
      </x:c>
      <x:c r="J907" s="527" t="inlineStr">
        <x:is>
          <x:t xml:space="preserve">Fee / as stated</x:t>
        </x:is>
      </x:c>
      <x:c r="K907" s="527" t="inlineStr">
        <x:is>
          <x:t xml:space="preserve">OKCountyRecords official index, Roger Mills County (instrument 1988-004482); searched 06/11/2026</x:t>
        </x:is>
      </x:c>
      <x:c r="L907" s="565" t="n"/>
      <x:c r="M907" s="565" t="n"/>
      <x:c r="N907" s="565" t="n"/>
      <x:c r="O907" s="565" t="n"/>
      <x:c r="P907" s="565" t="n"/>
      <x:c r="Q907" s="565" t="n"/>
      <x:c r="R907" s="565" t="n"/>
      <x:c r="S907" s="613" t="n"/>
      <x:c r="T907" s="565" t="n"/>
      <x:c r="U907" s="613" t="n"/>
      <x:c r="V907" s="565" t="n"/>
      <x:c r="W907" s="565" t="n"/>
      <x:c r="X907" s="565" t="n"/>
      <x:c r="Y907" s="565" t="n"/>
      <x:c r="Z907" s="565" t="n"/>
    </x:row>
    <x:row r="908">
      <x:c r="A908" s="527" t="inlineStr">
        <x:is>
          <x:t xml:space="preserve">1988-004483</x:t>
        </x:is>
      </x:c>
      <x:c r="B908" s="527" t="n"/>
      <x:c r="C908" s="527" t="inlineStr">
        <x:is>
          <x:t xml:space="preserve">Deed</x:t>
        </x:is>
      </x:c>
      <x:c r="D908" s="527" t="inlineStr">
        <x:is>
          <x:t xml:space="preserve">0984/0187</x:t>
        </x:is>
      </x:c>
      <x:c r="E908" s="529" t="inlineStr">
        <x:is>
          <x:t xml:space="preserve">07/20/1988</x:t>
        </x:is>
      </x:c>
      <x:c r="F908" s="529" t="n">
        <x:v>32344</x:v>
      </x:c>
      <x:c r="G908" s="527" t="inlineStr">
        <x:is>
          <x:t xml:space="preserve">Clarence C. Bain</x:t>
        </x:is>
      </x:c>
      <x:c r="H908" s="527" t="inlineStr">
        <x:is>
          <x:t xml:space="preserve">Ronald Dean Bain</x:t>
        </x:is>
      </x:c>
      <x:c r="I908" s="527" t="inlineStr">
        <x:is>
          <x:t xml:space="preserve">31-12N-24W (AOL)</x:t>
        </x:is>
      </x:c>
      <x:c r="J908" s="527" t="inlineStr">
        <x:is>
          <x:t xml:space="preserve">Fee / as stated</x:t>
        </x:is>
      </x:c>
      <x:c r="K908" s="527" t="inlineStr">
        <x:is>
          <x:t xml:space="preserve">OKCountyRecords official index, Roger Mills County (instrument 1988-004483); searched 06/11/2026</x:t>
        </x:is>
      </x:c>
      <x:c r="L908" s="565" t="n"/>
      <x:c r="M908" s="565" t="n"/>
      <x:c r="N908" s="565" t="n"/>
      <x:c r="O908" s="565" t="n"/>
      <x:c r="P908" s="565" t="n"/>
      <x:c r="Q908" s="565" t="n"/>
      <x:c r="R908" s="565" t="n"/>
      <x:c r="S908" s="613" t="n"/>
      <x:c r="T908" s="565" t="n"/>
      <x:c r="U908" s="613" t="n"/>
      <x:c r="V908" s="565" t="n"/>
      <x:c r="W908" s="565" t="n"/>
      <x:c r="X908" s="565" t="n"/>
      <x:c r="Y908" s="565" t="n"/>
      <x:c r="Z908" s="565" t="n"/>
    </x:row>
    <x:row r="909">
      <x:c r="A909" s="527" t="inlineStr">
        <x:is>
          <x:t xml:space="preserve">1988-004635</x:t>
        </x:is>
      </x:c>
      <x:c r="B909" s="527" t="n"/>
      <x:c r="C909" s="527" t="inlineStr">
        <x:is>
          <x:t xml:space="preserve">Final Decree</x:t>
        </x:is>
      </x:c>
      <x:c r="D909" s="527" t="inlineStr">
        <x:is>
          <x:t xml:space="preserve">0986/0185</x:t>
        </x:is>
      </x:c>
      <x:c r="E909" s="529" t="inlineStr">
        <x:is>
          <x:t xml:space="preserve">07/26/1988</x:t>
        </x:is>
      </x:c>
      <x:c r="F909" s="529" t="n">
        <x:v>32350</x:v>
      </x:c>
      <x:c r="G909" s="527" t="inlineStr">
        <x:is>
          <x:t xml:space="preserve">Margaret Gray</x:t>
        </x:is>
      </x:c>
      <x:c r="H909" s="527" t="inlineStr">
        <x:is>
          <x:t xml:space="preserve">The Public,
Fred A. Standiford Jr.</x:t>
        </x:is>
      </x:c>
      <x:c r="I909" s="527" t="inlineStr">
        <x:is>
          <x:t xml:space="preserve">31-12N-24W (AOL)</x:t>
        </x:is>
      </x:c>
      <x:c r="J909" s="527" t="inlineStr">
        <x:is>
          <x:t xml:space="preserve">Fee / as stated</x:t>
        </x:is>
      </x:c>
      <x:c r="K909" s="527" t="inlineStr">
        <x:is>
          <x:t xml:space="preserve">OKCountyRecords official index, Roger Mills County (instrument 1988-004635); searched 06/11/2026</x:t>
        </x:is>
      </x:c>
      <x:c r="L909" s="565" t="n"/>
      <x:c r="M909" s="565" t="n"/>
      <x:c r="N909" s="565" t="n"/>
      <x:c r="O909" s="565" t="n"/>
      <x:c r="P909" s="565" t="n"/>
      <x:c r="Q909" s="565" t="n"/>
      <x:c r="R909" s="565" t="n"/>
      <x:c r="S909" s="613" t="n"/>
      <x:c r="T909" s="565" t="n"/>
      <x:c r="U909" s="613" t="n"/>
      <x:c r="V909" s="565" t="n"/>
      <x:c r="W909" s="565" t="n"/>
      <x:c r="X909" s="565" t="n"/>
      <x:c r="Y909" s="565" t="n"/>
      <x:c r="Z909" s="565" t="n"/>
    </x:row>
    <x:row r="910">
      <x:c r="A910" s="527" t="inlineStr">
        <x:is>
          <x:t xml:space="preserve">1988-004637</x:t>
        </x:is>
      </x:c>
      <x:c r="B910" s="527" t="n"/>
      <x:c r="C910" s="527" t="inlineStr">
        <x:is>
          <x:t xml:space="preserve">Release</x:t>
        </x:is>
      </x:c>
      <x:c r="D910" s="527" t="inlineStr">
        <x:is>
          <x:t xml:space="preserve">0986/0196</x:t>
        </x:is>
      </x:c>
      <x:c r="E910" s="529" t="inlineStr">
        <x:is>
          <x:t xml:space="preserve">07/26/1988</x:t>
        </x:is>
      </x:c>
      <x:c r="F910" s="529" t="n">
        <x:v>32350</x:v>
      </x:c>
      <x:c r="G910" s="527" t="inlineStr">
        <x:is>
          <x:t xml:space="preserve">Powell Interiors, Inc.</x:t>
        </x:is>
      </x:c>
      <x:c r="H910" s="527" t="inlineStr">
        <x:is>
          <x:t xml:space="preserve">Estate of Margaret Dcd Gray</x:t>
        </x:is>
      </x:c>
      <x:c r="I910" s="527" t="inlineStr">
        <x:is>
          <x:t xml:space="preserve">31-12N-24W (AOL)</x:t>
        </x:is>
      </x:c>
      <x:c r="J910" s="527" t="inlineStr">
        <x:is>
          <x:t xml:space="preserve">Leasehold / WI</x:t>
        </x:is>
      </x:c>
      <x:c r="K910" s="527" t="inlineStr">
        <x:is>
          <x:t xml:space="preserve">OKCountyRecords official index, Roger Mills County (instrument 1988-004637); searched 06/11/2026</x:t>
        </x:is>
      </x:c>
      <x:c r="L910" s="565" t="n"/>
      <x:c r="M910" s="565" t="n"/>
      <x:c r="N910" s="565" t="n"/>
      <x:c r="O910" s="565" t="n"/>
      <x:c r="P910" s="565" t="n"/>
      <x:c r="Q910" s="565" t="n"/>
      <x:c r="R910" s="565" t="n"/>
      <x:c r="S910" s="613" t="n"/>
      <x:c r="T910" s="565" t="n"/>
      <x:c r="U910" s="613" t="n"/>
      <x:c r="V910" s="565" t="n"/>
      <x:c r="W910" s="565" t="n"/>
      <x:c r="X910" s="565" t="n"/>
      <x:c r="Y910" s="565" t="n"/>
      <x:c r="Z910" s="565" t="n"/>
    </x:row>
    <x:row r="911">
      <x:c r="A911" s="527" t="inlineStr">
        <x:is>
          <x:t xml:space="preserve">1988-005491</x:t>
        </x:is>
      </x:c>
      <x:c r="B911" s="527" t="n"/>
      <x:c r="C911" s="527" t="inlineStr">
        <x:is>
          <x:t xml:space="preserve">Release</x:t>
        </x:is>
      </x:c>
      <x:c r="D911" s="527" t="inlineStr">
        <x:is>
          <x:t xml:space="preserve">0996/0106</x:t>
        </x:is>
      </x:c>
      <x:c r="E911" s="529" t="inlineStr">
        <x:is>
          <x:t xml:space="preserve">09/12/1988</x:t>
        </x:is>
      </x:c>
      <x:c r="F911" s="529" t="n">
        <x:v>32398</x:v>
      </x:c>
      <x:c r="G911" s="527" t="inlineStr">
        <x:is>
          <x:t xml:space="preserve">Exxon Corporation</x:t>
        </x:is>
      </x:c>
      <x:c r="H911" s="527" t="inlineStr">
        <x:is>
          <x:t xml:space="preserve">Panhandle Royalty Company</x:t>
        </x:is>
      </x:c>
      <x:c r="I911" s="527" t="inlineStr">
        <x:is>
          <x:t xml:space="preserve">31-12N-24W (AOL)</x:t>
        </x:is>
      </x:c>
      <x:c r="J911" s="527" t="inlineStr">
        <x:is>
          <x:t xml:space="preserve">Leasehold / WI</x:t>
        </x:is>
      </x:c>
      <x:c r="K911" s="527" t="inlineStr">
        <x:is>
          <x:t xml:space="preserve">OKCountyRecords official index, Roger Mills County (instrument 1988-005491); searched 06/11/2026</x:t>
        </x:is>
      </x:c>
      <x:c r="L911" s="565" t="n"/>
      <x:c r="M911" s="565" t="n"/>
      <x:c r="N911" s="565" t="n"/>
      <x:c r="O911" s="565" t="n"/>
      <x:c r="P911" s="565" t="n"/>
      <x:c r="Q911" s="565" t="n"/>
      <x:c r="R911" s="565" t="n"/>
      <x:c r="S911" s="613" t="n"/>
      <x:c r="T911" s="565" t="n"/>
      <x:c r="U911" s="613" t="n"/>
      <x:c r="V911" s="565" t="n"/>
      <x:c r="W911" s="565" t="n"/>
      <x:c r="X911" s="565" t="n"/>
      <x:c r="Y911" s="565" t="n"/>
      <x:c r="Z911" s="565" t="n"/>
    </x:row>
    <x:row r="912">
      <x:c r="A912" s="527" t="inlineStr">
        <x:is>
          <x:t xml:space="preserve">1988-005620</x:t>
        </x:is>
      </x:c>
      <x:c r="B912" s="527" t="n"/>
      <x:c r="C912" s="527" t="inlineStr">
        <x:is>
          <x:t xml:space="preserve">Deed</x:t>
        </x:is>
      </x:c>
      <x:c r="D912" s="527" t="inlineStr">
        <x:is>
          <x:t xml:space="preserve">0998/0204</x:t>
        </x:is>
      </x:c>
      <x:c r="E912" s="529" t="inlineStr">
        <x:is>
          <x:t xml:space="preserve">09/19/1988</x:t>
        </x:is>
      </x:c>
      <x:c r="F912" s="529" t="n">
        <x:v>32405</x:v>
      </x:c>
      <x:c r="G912" s="527" t="inlineStr">
        <x:is>
          <x:t xml:space="preserve">Cimarron Mineral Corporation</x:t>
        </x:is>
      </x:c>
      <x:c r="H912" s="527" t="inlineStr">
        <x:is>
          <x:t xml:space="preserve">Inter-american Corporation</x:t>
        </x:is>
      </x:c>
      <x:c r="I912" s="527" t="inlineStr">
        <x:is>
          <x:t xml:space="preserve">31-12N-24W (AOL)</x:t>
        </x:is>
      </x:c>
      <x:c r="J912" s="527" t="inlineStr">
        <x:is>
          <x:t xml:space="preserve">Fee / as stated</x:t>
        </x:is>
      </x:c>
      <x:c r="K912" s="527" t="inlineStr">
        <x:is>
          <x:t xml:space="preserve">OKCountyRecords official index, Roger Mills County (instrument 1988-005620); searched 06/11/2026</x:t>
        </x:is>
      </x:c>
      <x:c r="L912" s="565" t="n"/>
      <x:c r="M912" s="565" t="n"/>
      <x:c r="N912" s="565" t="n"/>
      <x:c r="O912" s="565" t="n"/>
      <x:c r="P912" s="565" t="n"/>
      <x:c r="Q912" s="565" t="n"/>
      <x:c r="R912" s="565" t="n"/>
      <x:c r="S912" s="613" t="n"/>
      <x:c r="T912" s="565" t="n"/>
      <x:c r="U912" s="613" t="n"/>
      <x:c r="V912" s="565" t="n"/>
      <x:c r="W912" s="565" t="n"/>
      <x:c r="X912" s="565" t="n"/>
      <x:c r="Y912" s="565" t="n"/>
      <x:c r="Z912" s="565" t="n"/>
    </x:row>
    <x:row r="913">
      <x:c r="A913" s="527" t="inlineStr">
        <x:is>
          <x:t xml:space="preserve">1988-006565</x:t>
        </x:is>
      </x:c>
      <x:c r="B913" s="527" t="n"/>
      <x:c r="C913" s="527" t="inlineStr">
        <x:is>
          <x:t xml:space="preserve">Deed</x:t>
        </x:is>
      </x:c>
      <x:c r="D913" s="527" t="inlineStr">
        <x:is>
          <x:t xml:space="preserve">1009/0025</x:t>
        </x:is>
      </x:c>
      <x:c r="E913" s="529" t="inlineStr">
        <x:is>
          <x:t xml:space="preserve">11/02/1988</x:t>
        </x:is>
      </x:c>
      <x:c r="F913" s="529" t="n">
        <x:v>32449</x:v>
      </x:c>
      <x:c r="G913" s="527" t="inlineStr">
        <x:is>
          <x:t xml:space="preserve">Dow C. Bain</x:t>
        </x:is>
      </x:c>
      <x:c r="H913" s="527" t="inlineStr">
        <x:is>
          <x:t xml:space="preserve">Dow C. Bain,
Edris O. Bain</x:t>
        </x:is>
      </x:c>
      <x:c r="I913" s="527" t="inlineStr">
        <x:is>
          <x:t xml:space="preserve">31-12N-24W (AOL)</x:t>
        </x:is>
      </x:c>
      <x:c r="J913" s="527" t="inlineStr">
        <x:is>
          <x:t xml:space="preserve">Fee / as stated</x:t>
        </x:is>
      </x:c>
      <x:c r="K913" s="527" t="inlineStr">
        <x:is>
          <x:t xml:space="preserve">OKCountyRecords official index, Roger Mills County (instrument 1988-006565); searched 06/11/2026</x:t>
        </x:is>
      </x:c>
      <x:c r="L913" s="565" t="n"/>
      <x:c r="M913" s="565" t="n"/>
      <x:c r="N913" s="565" t="n"/>
      <x:c r="O913" s="565" t="n"/>
      <x:c r="P913" s="565" t="n"/>
      <x:c r="Q913" s="565" t="n"/>
      <x:c r="R913" s="565" t="n"/>
      <x:c r="S913" s="613" t="n"/>
      <x:c r="T913" s="565" t="n"/>
      <x:c r="U913" s="613" t="n"/>
      <x:c r="V913" s="565" t="n"/>
      <x:c r="W913" s="565" t="n"/>
      <x:c r="X913" s="565" t="n"/>
      <x:c r="Y913" s="565" t="n"/>
      <x:c r="Z913" s="565" t="n"/>
    </x:row>
    <x:row r="914">
      <x:c r="A914" s="527" t="inlineStr">
        <x:is>
          <x:t xml:space="preserve">1989-000319</x:t>
        </x:is>
      </x:c>
      <x:c r="B914" s="527" t="n"/>
      <x:c r="C914" s="527" t="inlineStr">
        <x:is>
          <x:t xml:space="preserve">Oil and Gas Lease</x:t>
        </x:is>
      </x:c>
      <x:c r="D914" s="527" t="inlineStr">
        <x:is>
          <x:t xml:space="preserve">1028/0163</x:t>
        </x:is>
      </x:c>
      <x:c r="E914" s="529" t="inlineStr">
        <x:is>
          <x:t xml:space="preserve">01/17/1989</x:t>
        </x:is>
      </x:c>
      <x:c r="F914" s="529" t="n">
        <x:v>32525</x:v>
      </x:c>
      <x:c r="G914" s="527" t="inlineStr">
        <x:is>
          <x:t xml:space="preserve">Letty Atha</x:t>
        </x:is>
      </x:c>
      <x:c r="H914" s="527" t="inlineStr">
        <x:is>
          <x:t xml:space="preserve">Santa Fe Energy Operating Partners</x:t>
        </x:is>
      </x:c>
      <x:c r="I914" s="527" t="inlineStr">
        <x:is>
          <x:t xml:space="preserve">31-12N-24W</x:t>
        </x:is>
      </x:c>
      <x:c r="J914" s="527" t="inlineStr">
        <x:is>
          <x:t xml:space="preserve">Leasehold / WI</x:t>
        </x:is>
      </x:c>
      <x:c r="K914" s="527" t="inlineStr">
        <x:is>
          <x:t xml:space="preserve">OKCountyRecords official index, Roger Mills County (instrument 1989-000319); searched 06/11/2026</x:t>
        </x:is>
      </x:c>
      <x:c r="L914" s="565" t="n"/>
      <x:c r="M914" s="565" t="n"/>
      <x:c r="N914" s="565" t="n"/>
      <x:c r="O914" s="565" t="n"/>
      <x:c r="P914" s="565" t="n"/>
      <x:c r="Q914" s="565" t="n"/>
      <x:c r="R914" s="565" t="n"/>
      <x:c r="S914" s="613" t="n"/>
      <x:c r="T914" s="565" t="n"/>
      <x:c r="U914" s="613" t="n"/>
      <x:c r="V914" s="565" t="n"/>
      <x:c r="W914" s="565" t="n"/>
      <x:c r="X914" s="565" t="n"/>
      <x:c r="Y914" s="565" t="n"/>
      <x:c r="Z914" s="565" t="n"/>
    </x:row>
    <x:row r="915">
      <x:c r="A915" s="527" t="inlineStr">
        <x:is>
          <x:t xml:space="preserve">1989-000320</x:t>
        </x:is>
      </x:c>
      <x:c r="B915" s="527" t="n"/>
      <x:c r="C915" s="527" t="inlineStr">
        <x:is>
          <x:t xml:space="preserve">Oil and Gas Lease</x:t>
        </x:is>
      </x:c>
      <x:c r="D915" s="527" t="inlineStr">
        <x:is>
          <x:t xml:space="preserve">1028/0165</x:t>
        </x:is>
      </x:c>
      <x:c r="E915" s="529" t="inlineStr">
        <x:is>
          <x:t xml:space="preserve">01/17/1989</x:t>
        </x:is>
      </x:c>
      <x:c r="F915" s="529" t="n">
        <x:v>32525</x:v>
      </x:c>
      <x:c r="G915" s="527" t="inlineStr">
        <x:is>
          <x:t xml:space="preserve">William Cobal Bain Jr.</x:t>
        </x:is>
      </x:c>
      <x:c r="H915" s="527" t="inlineStr">
        <x:is>
          <x:t xml:space="preserve">Santa Fe Energy Operating Partners</x:t>
        </x:is>
      </x:c>
      <x:c r="I915" s="527" t="inlineStr">
        <x:is>
          <x:t xml:space="preserve">31-12N-24W</x:t>
        </x:is>
      </x:c>
      <x:c r="J915" s="527" t="inlineStr">
        <x:is>
          <x:t xml:space="preserve">Leasehold / WI</x:t>
        </x:is>
      </x:c>
      <x:c r="K915" s="527" t="inlineStr">
        <x:is>
          <x:t xml:space="preserve">OKCountyRecords official index, Roger Mills County (instrument 1989-000320); searched 06/11/2026</x:t>
        </x:is>
      </x:c>
      <x:c r="L915" s="565" t="n"/>
      <x:c r="M915" s="565" t="n"/>
      <x:c r="N915" s="565" t="n"/>
      <x:c r="O915" s="565" t="n"/>
      <x:c r="P915" s="565" t="n"/>
      <x:c r="Q915" s="565" t="n"/>
      <x:c r="R915" s="565" t="n"/>
      <x:c r="S915" s="613" t="n"/>
      <x:c r="T915" s="565" t="n"/>
      <x:c r="U915" s="613" t="n"/>
      <x:c r="V915" s="565" t="n"/>
      <x:c r="W915" s="565" t="n"/>
      <x:c r="X915" s="565" t="n"/>
      <x:c r="Y915" s="565" t="n"/>
      <x:c r="Z915" s="565" t="n"/>
    </x:row>
    <x:row r="916">
      <x:c r="A916" s="527" t="inlineStr">
        <x:is>
          <x:t xml:space="preserve">1989-000321</x:t>
        </x:is>
      </x:c>
      <x:c r="B916" s="527" t="n"/>
      <x:c r="C916" s="527" t="inlineStr">
        <x:is>
          <x:t xml:space="preserve">Oil and Gas Lease</x:t>
        </x:is>
      </x:c>
      <x:c r="D916" s="527" t="inlineStr">
        <x:is>
          <x:t xml:space="preserve">1028/0169</x:t>
        </x:is>
      </x:c>
      <x:c r="E916" s="529" t="inlineStr">
        <x:is>
          <x:t xml:space="preserve">01/17/1989</x:t>
        </x:is>
      </x:c>
      <x:c r="F916" s="529" t="n">
        <x:v>32525</x:v>
      </x:c>
      <x:c r="G916" s="527" t="inlineStr">
        <x:is>
          <x:t xml:space="preserve">William Cobal Bain Jr.</x:t>
        </x:is>
      </x:c>
      <x:c r="H916" s="527" t="inlineStr">
        <x:is>
          <x:t xml:space="preserve">Santa Fe Energy Operating Partners</x:t>
        </x:is>
      </x:c>
      <x:c r="I916" s="527" t="inlineStr">
        <x:is>
          <x:t xml:space="preserve">31-12N-24W</x:t>
        </x:is>
      </x:c>
      <x:c r="J916" s="527" t="inlineStr">
        <x:is>
          <x:t xml:space="preserve">Leasehold / WI</x:t>
        </x:is>
      </x:c>
      <x:c r="K916" s="527" t="inlineStr">
        <x:is>
          <x:t xml:space="preserve">OKCountyRecords official index, Roger Mills County (instrument 1989-000321); searched 06/11/2026</x:t>
        </x:is>
      </x:c>
      <x:c r="L916" s="565" t="n"/>
      <x:c r="M916" s="565" t="n"/>
      <x:c r="N916" s="565" t="n"/>
      <x:c r="O916" s="565" t="n"/>
      <x:c r="P916" s="565" t="n"/>
      <x:c r="Q916" s="565" t="n"/>
      <x:c r="R916" s="565" t="n"/>
      <x:c r="S916" s="613" t="n"/>
      <x:c r="T916" s="565" t="n"/>
      <x:c r="U916" s="613" t="n"/>
      <x:c r="V916" s="565" t="n"/>
      <x:c r="W916" s="565" t="n"/>
      <x:c r="X916" s="565" t="n"/>
      <x:c r="Y916" s="565" t="n"/>
      <x:c r="Z916" s="565" t="n"/>
    </x:row>
    <x:row r="917">
      <x:c r="A917" s="527" t="inlineStr">
        <x:is>
          <x:t xml:space="preserve">1989-000322</x:t>
        </x:is>
      </x:c>
      <x:c r="B917" s="527" t="n"/>
      <x:c r="C917" s="527" t="inlineStr">
        <x:is>
          <x:t xml:space="preserve">Oil and Gas Lease</x:t>
        </x:is>
      </x:c>
      <x:c r="D917" s="527" t="inlineStr">
        <x:is>
          <x:t xml:space="preserve">1028/0173</x:t>
        </x:is>
      </x:c>
      <x:c r="E917" s="529" t="inlineStr">
        <x:is>
          <x:t xml:space="preserve">01/17/1989</x:t>
        </x:is>
      </x:c>
      <x:c r="F917" s="529" t="n">
        <x:v>32525</x:v>
      </x:c>
      <x:c r="G917" s="527" t="inlineStr">
        <x:is>
          <x:t xml:space="preserve">Opal L. Fuchs</x:t>
        </x:is>
      </x:c>
      <x:c r="H917" s="527" t="inlineStr">
        <x:is>
          <x:t xml:space="preserve">Santa Fe Energy Operating Partners</x:t>
        </x:is>
      </x:c>
      <x:c r="I917" s="527" t="inlineStr">
        <x:is>
          <x:t xml:space="preserve">31-12N-24W</x:t>
        </x:is>
      </x:c>
      <x:c r="J917" s="527" t="inlineStr">
        <x:is>
          <x:t xml:space="preserve">Leasehold / WI</x:t>
        </x:is>
      </x:c>
      <x:c r="K917" s="527" t="inlineStr">
        <x:is>
          <x:t xml:space="preserve">OKCountyRecords official index, Roger Mills County (instrument 1989-000322); searched 06/11/2026</x:t>
        </x:is>
      </x:c>
      <x:c r="L917" s="565" t="n"/>
      <x:c r="M917" s="565" t="n"/>
      <x:c r="N917" s="565" t="n"/>
      <x:c r="O917" s="565" t="n"/>
      <x:c r="P917" s="565" t="n"/>
      <x:c r="Q917" s="565" t="n"/>
      <x:c r="R917" s="565" t="n"/>
      <x:c r="S917" s="613" t="n"/>
      <x:c r="T917" s="565" t="n"/>
      <x:c r="U917" s="613" t="n"/>
      <x:c r="V917" s="565" t="n"/>
      <x:c r="W917" s="565" t="n"/>
      <x:c r="X917" s="565" t="n"/>
      <x:c r="Y917" s="565" t="n"/>
      <x:c r="Z917" s="565" t="n"/>
    </x:row>
    <x:row r="918">
      <x:c r="A918" s="527" t="inlineStr">
        <x:is>
          <x:t xml:space="preserve">1989-000323</x:t>
        </x:is>
      </x:c>
      <x:c r="B918" s="527" t="n"/>
      <x:c r="C918" s="527" t="inlineStr">
        <x:is>
          <x:t xml:space="preserve">Oil and Gas Lease</x:t>
        </x:is>
      </x:c>
      <x:c r="D918" s="527" t="inlineStr">
        <x:is>
          <x:t xml:space="preserve">1028/0177</x:t>
        </x:is>
      </x:c>
      <x:c r="E918" s="529" t="inlineStr">
        <x:is>
          <x:t xml:space="preserve">01/17/1989</x:t>
        </x:is>
      </x:c>
      <x:c r="F918" s="529" t="n">
        <x:v>32525</x:v>
      </x:c>
      <x:c r="G918" s="527" t="inlineStr">
        <x:is>
          <x:t xml:space="preserve">Virgil Hambrook</x:t>
        </x:is>
      </x:c>
      <x:c r="H918" s="527" t="inlineStr">
        <x:is>
          <x:t xml:space="preserve">Santa Fe Energy Operating Partners</x:t>
        </x:is>
      </x:c>
      <x:c r="I918" s="527" t="inlineStr">
        <x:is>
          <x:t xml:space="preserve">31-12N-24W</x:t>
        </x:is>
      </x:c>
      <x:c r="J918" s="527" t="inlineStr">
        <x:is>
          <x:t xml:space="preserve">Leasehold / WI</x:t>
        </x:is>
      </x:c>
      <x:c r="K918" s="527" t="inlineStr">
        <x:is>
          <x:t xml:space="preserve">OKCountyRecords official index, Roger Mills County (instrument 1989-000323); searched 06/11/2026</x:t>
        </x:is>
      </x:c>
      <x:c r="L918" s="565" t="n"/>
      <x:c r="M918" s="565" t="n"/>
      <x:c r="N918" s="565" t="n"/>
      <x:c r="O918" s="565" t="n"/>
      <x:c r="P918" s="565" t="n"/>
      <x:c r="Q918" s="565" t="n"/>
      <x:c r="R918" s="565" t="n"/>
      <x:c r="S918" s="613" t="n"/>
      <x:c r="T918" s="565" t="n"/>
      <x:c r="U918" s="613" t="n"/>
      <x:c r="V918" s="565" t="n"/>
      <x:c r="W918" s="565" t="n"/>
      <x:c r="X918" s="565" t="n"/>
      <x:c r="Y918" s="565" t="n"/>
      <x:c r="Z918" s="565" t="n"/>
    </x:row>
    <x:row r="919">
      <x:c r="A919" s="527" t="inlineStr">
        <x:is>
          <x:t xml:space="preserve">1989-000424</x:t>
        </x:is>
      </x:c>
      <x:c r="B919" s="527" t="n"/>
      <x:c r="C919" s="527" t="inlineStr">
        <x:is>
          <x:t xml:space="preserve">Miscellaneous</x:t>
        </x:is>
      </x:c>
      <x:c r="D919" s="527" t="inlineStr">
        <x:is>
          <x:t xml:space="preserve">1030/0176</x:t>
        </x:is>
      </x:c>
      <x:c r="E919" s="529" t="inlineStr">
        <x:is>
          <x:t xml:space="preserve">01/23/1989</x:t>
        </x:is>
      </x:c>
      <x:c r="F919" s="529" t="n">
        <x:v>32531</x:v>
      </x:c>
      <x:c r="G919" s="527" t="inlineStr">
        <x:is>
          <x:t xml:space="preserve">Bank of Western Oklahoma</x:t>
        </x:is>
      </x:c>
      <x:c r="H919" s="527" t="inlineStr">
        <x:is>
          <x:t xml:space="preserve">The Public</x:t>
        </x:is>
      </x:c>
      <x:c r="I919" s="527" t="inlineStr">
        <x:is>
          <x:t xml:space="preserve">31-12N-24W (AOL)</x:t>
        </x:is>
      </x:c>
      <x:c r="J919" s="527" t="inlineStr">
        <x:is>
          <x:t xml:space="preserve">See instrument</x:t>
        </x:is>
      </x:c>
      <x:c r="K919" s="527" t="inlineStr">
        <x:is>
          <x:t xml:space="preserve">OKCountyRecords official index, Roger Mills County (instrument 1989-000424); searched 06/11/2026</x:t>
        </x:is>
      </x:c>
      <x:c r="L919" s="565" t="n"/>
      <x:c r="M919" s="565" t="n"/>
      <x:c r="N919" s="565" t="n"/>
      <x:c r="O919" s="565" t="n"/>
      <x:c r="P919" s="565" t="n"/>
      <x:c r="Q919" s="565" t="n"/>
      <x:c r="R919" s="565" t="n"/>
      <x:c r="S919" s="613" t="n"/>
      <x:c r="T919" s="565" t="n"/>
      <x:c r="U919" s="613" t="n"/>
      <x:c r="V919" s="565" t="n"/>
      <x:c r="W919" s="565" t="n"/>
      <x:c r="X919" s="565" t="n"/>
      <x:c r="Y919" s="565" t="n"/>
      <x:c r="Z919" s="565" t="n"/>
    </x:row>
    <x:row r="920">
      <x:c r="A920" s="527" t="inlineStr">
        <x:is>
          <x:t xml:space="preserve">1989-001061</x:t>
        </x:is>
      </x:c>
      <x:c r="B920" s="527" t="n"/>
      <x:c r="C920" s="527" t="inlineStr">
        <x:is>
          <x:t xml:space="preserve">Oil and Gas Lease</x:t>
        </x:is>
      </x:c>
      <x:c r="D920" s="527" t="inlineStr">
        <x:is>
          <x:t xml:space="preserve">1037/0064</x:t>
        </x:is>
      </x:c>
      <x:c r="E920" s="529" t="inlineStr">
        <x:is>
          <x:t xml:space="preserve">02/21/1989</x:t>
        </x:is>
      </x:c>
      <x:c r="F920" s="529" t="n">
        <x:v>32560</x:v>
      </x:c>
      <x:c r="G920" s="527" t="inlineStr">
        <x:is>
          <x:t xml:space="preserve">Wilda E. Jensen</x:t>
        </x:is>
      </x:c>
      <x:c r="H920" s="527" t="inlineStr">
        <x:is>
          <x:t xml:space="preserve">Santa Fe Energy Operating Partners</x:t>
        </x:is>
      </x:c>
      <x:c r="I920" s="527" t="inlineStr">
        <x:is>
          <x:t xml:space="preserve">31-12N-24W</x:t>
        </x:is>
      </x:c>
      <x:c r="J920" s="527" t="inlineStr">
        <x:is>
          <x:t xml:space="preserve">Leasehold / WI</x:t>
        </x:is>
      </x:c>
      <x:c r="K920" s="527" t="inlineStr">
        <x:is>
          <x:t xml:space="preserve">OKCountyRecords official index, Roger Mills County (instrument 1989-001061); searched 06/11/2026</x:t>
        </x:is>
      </x:c>
      <x:c r="L920" s="565" t="n"/>
      <x:c r="M920" s="565" t="n"/>
      <x:c r="N920" s="565" t="n"/>
      <x:c r="O920" s="565" t="n"/>
      <x:c r="P920" s="565" t="n"/>
      <x:c r="Q920" s="565" t="n"/>
      <x:c r="R920" s="565" t="n"/>
      <x:c r="S920" s="613" t="n"/>
      <x:c r="T920" s="565" t="n"/>
      <x:c r="U920" s="613" t="n"/>
      <x:c r="V920" s="565" t="n"/>
      <x:c r="W920" s="565" t="n"/>
      <x:c r="X920" s="565" t="n"/>
      <x:c r="Y920" s="565" t="n"/>
      <x:c r="Z920" s="565" t="n"/>
    </x:row>
    <x:row r="921">
      <x:c r="A921" s="527" t="inlineStr">
        <x:is>
          <x:t xml:space="preserve">1989-001220</x:t>
        </x:is>
      </x:c>
      <x:c r="B921" s="527" t="n"/>
      <x:c r="C921" s="527" t="inlineStr">
        <x:is>
          <x:t xml:space="preserve">Deed</x:t>
        </x:is>
      </x:c>
      <x:c r="D921" s="527" t="inlineStr">
        <x:is>
          <x:t xml:space="preserve">1038/0219</x:t>
        </x:is>
      </x:c>
      <x:c r="E921" s="529" t="inlineStr">
        <x:is>
          <x:t xml:space="preserve">02/27/1989</x:t>
        </x:is>
      </x:c>
      <x:c r="F921" s="529" t="n">
        <x:v>32566</x:v>
      </x:c>
      <x:c r="G921" s="527" t="inlineStr">
        <x:is>
          <x:t xml:space="preserve">Alfred William Standiford</x:t>
        </x:is>
      </x:c>
      <x:c r="H921" s="527" t="inlineStr">
        <x:is>
          <x:t xml:space="preserve">Shaun S. Walters</x:t>
        </x:is>
      </x:c>
      <x:c r="I921" s="527" t="inlineStr">
        <x:is>
          <x:t xml:space="preserve">31-12N-24W (AOL)</x:t>
        </x:is>
      </x:c>
      <x:c r="J921" s="527" t="inlineStr">
        <x:is>
          <x:t xml:space="preserve">Fee / as stated</x:t>
        </x:is>
      </x:c>
      <x:c r="K921" s="527" t="inlineStr">
        <x:is>
          <x:t xml:space="preserve">OKCountyRecords official index, Roger Mills County (instrument 1989-001220); searched 06/11/2026</x:t>
        </x:is>
      </x:c>
      <x:c r="L921" s="565" t="n"/>
      <x:c r="M921" s="565" t="n"/>
      <x:c r="N921" s="565" t="n"/>
      <x:c r="O921" s="565" t="n"/>
      <x:c r="P921" s="565" t="n"/>
      <x:c r="Q921" s="565" t="n"/>
      <x:c r="R921" s="565" t="n"/>
      <x:c r="S921" s="613" t="n"/>
      <x:c r="T921" s="565" t="n"/>
      <x:c r="U921" s="613" t="n"/>
      <x:c r="V921" s="565" t="n"/>
      <x:c r="W921" s="565" t="n"/>
      <x:c r="X921" s="565" t="n"/>
      <x:c r="Y921" s="565" t="n"/>
      <x:c r="Z921" s="565" t="n"/>
    </x:row>
    <x:row r="922">
      <x:c r="A922" s="527" t="inlineStr">
        <x:is>
          <x:t xml:space="preserve">1989-001559</x:t>
        </x:is>
      </x:c>
      <x:c r="B922" s="527" t="n"/>
      <x:c r="C922" s="527" t="inlineStr">
        <x:is>
          <x:t xml:space="preserve">Final Decree</x:t>
        </x:is>
      </x:c>
      <x:c r="D922" s="527" t="inlineStr">
        <x:is>
          <x:t xml:space="preserve">1042/0126</x:t>
        </x:is>
      </x:c>
      <x:c r="E922" s="529" t="inlineStr">
        <x:is>
          <x:t xml:space="preserve">03/12/1989</x:t>
        </x:is>
      </x:c>
      <x:c r="F922" s="529" t="n">
        <x:v>32579</x:v>
      </x:c>
      <x:c r="G922" s="527" t="inlineStr">
        <x:is>
          <x:t xml:space="preserve">Murrell A. Gray</x:t>
        </x:is>
      </x:c>
      <x:c r="H922" s="527" t="inlineStr">
        <x:is>
          <x:t xml:space="preserve">Allen Gray,
The Public</x:t>
        </x:is>
      </x:c>
      <x:c r="I922" s="527" t="inlineStr">
        <x:is>
          <x:t xml:space="preserve">31-12N-24W (AOL)</x:t>
        </x:is>
      </x:c>
      <x:c r="J922" s="527" t="inlineStr">
        <x:is>
          <x:t xml:space="preserve">Fee / as stated</x:t>
        </x:is>
      </x:c>
      <x:c r="K922" s="527" t="inlineStr">
        <x:is>
          <x:t xml:space="preserve">OKCountyRecords official index, Roger Mills County (instrument 1989-001559); searched 06/11/2026</x:t>
        </x:is>
      </x:c>
      <x:c r="L922" s="565" t="n"/>
      <x:c r="M922" s="565" t="n"/>
      <x:c r="N922" s="565" t="n"/>
      <x:c r="O922" s="565" t="n"/>
      <x:c r="P922" s="565" t="n"/>
      <x:c r="Q922" s="565" t="n"/>
      <x:c r="R922" s="565" t="n"/>
      <x:c r="S922" s="613" t="n"/>
      <x:c r="T922" s="565" t="n"/>
      <x:c r="U922" s="613" t="n"/>
      <x:c r="V922" s="565" t="n"/>
      <x:c r="W922" s="565" t="n"/>
      <x:c r="X922" s="565" t="n"/>
      <x:c r="Y922" s="565" t="n"/>
      <x:c r="Z922" s="565" t="n"/>
    </x:row>
    <x:row r="923">
      <x:c r="A923" s="527" t="inlineStr">
        <x:is>
          <x:t xml:space="preserve">1989-001842</x:t>
        </x:is>
      </x:c>
      <x:c r="B923" s="527" t="n"/>
      <x:c r="C923" s="527" t="inlineStr">
        <x:is>
          <x:t xml:space="preserve">Release</x:t>
        </x:is>
      </x:c>
      <x:c r="D923" s="527" t="inlineStr">
        <x:is>
          <x:t xml:space="preserve">1045/0006</x:t>
        </x:is>
      </x:c>
      <x:c r="E923" s="529" t="inlineStr">
        <x:is>
          <x:t xml:space="preserve">03/23/1989</x:t>
        </x:is>
      </x:c>
      <x:c r="F923" s="529" t="n">
        <x:v>32590</x:v>
      </x:c>
      <x:c r="G923" s="527" t="inlineStr">
        <x:is>
          <x:t xml:space="preserve">Alan W. Noyos</x:t>
        </x:is>
      </x:c>
      <x:c r="H923" s="527" t="inlineStr">
        <x:is>
          <x:t xml:space="preserve">Mark S. Britton,
Nelson E. Britton,
Jericho-britton,
Nolan E. Britton, Inc.,
Txo Production Corporation,
Valero Producing Company</x:t>
        </x:is>
      </x:c>
      <x:c r="I923" s="527" t="inlineStr">
        <x:is>
          <x:t xml:space="preserve">31-12N-24W (AOL)</x:t>
        </x:is>
      </x:c>
      <x:c r="J923" s="527" t="inlineStr">
        <x:is>
          <x:t xml:space="preserve">Leasehold / WI</x:t>
        </x:is>
      </x:c>
      <x:c r="K923" s="527" t="inlineStr">
        <x:is>
          <x:t xml:space="preserve">OKCountyRecords official index, Roger Mills County (instrument 1989-001842); searched 06/11/2026</x:t>
        </x:is>
      </x:c>
      <x:c r="L923" s="565" t="n"/>
      <x:c r="M923" s="565" t="n"/>
      <x:c r="N923" s="565" t="n"/>
      <x:c r="O923" s="565" t="n"/>
      <x:c r="P923" s="565" t="n"/>
      <x:c r="Q923" s="565" t="n"/>
      <x:c r="R923" s="565" t="n"/>
      <x:c r="S923" s="613" t="n"/>
      <x:c r="T923" s="565" t="n"/>
      <x:c r="U923" s="613" t="n"/>
      <x:c r="V923" s="565" t="n"/>
      <x:c r="W923" s="565" t="n"/>
      <x:c r="X923" s="565" t="n"/>
      <x:c r="Y923" s="565" t="n"/>
      <x:c r="Z923" s="565" t="n"/>
    </x:row>
    <x:row r="924">
      <x:c r="A924" s="527" t="inlineStr">
        <x:is>
          <x:t xml:space="preserve">1989-002065</x:t>
        </x:is>
      </x:c>
      <x:c r="B924" s="527" t="n"/>
      <x:c r="C924" s="527" t="inlineStr">
        <x:is>
          <x:t xml:space="preserve">Affidavit</x:t>
        </x:is>
      </x:c>
      <x:c r="D924" s="527" t="inlineStr">
        <x:is>
          <x:t xml:space="preserve">1047/0068</x:t>
        </x:is>
      </x:c>
      <x:c r="E924" s="529" t="inlineStr">
        <x:is>
          <x:t xml:space="preserve">04/03/1989</x:t>
        </x:is>
      </x:c>
      <x:c r="F924" s="529" t="n">
        <x:v>32531</x:v>
      </x:c>
      <x:c r="G924" s="527" t="inlineStr">
        <x:is>
          <x:t xml:space="preserve">Black Hawk Holding Company,
Roland E. Sledge</x:t>
        </x:is>
      </x:c>
      <x:c r="H924" s="527" t="inlineStr">
        <x:is>
          <x:t xml:space="preserve">The Public</x:t>
        </x:is>
      </x:c>
      <x:c r="I924" s="527" t="inlineStr">
        <x:is>
          <x:t xml:space="preserve">All of 31-12N-24W (AOL)</x:t>
        </x:is>
      </x:c>
      <x:c r="J924" s="527" t="inlineStr">
        <x:is>
          <x:t xml:space="preserve">See instrument</x:t>
        </x:is>
      </x:c>
      <x:c r="K924" s="527" t="inlineStr">
        <x:is>
          <x:t xml:space="preserve">OKCountyRecords official index, Roger Mills County (instrument 1989-002065); searched 06/11/2026</x:t>
        </x:is>
      </x:c>
      <x:c r="L924" s="565" t="n"/>
      <x:c r="M924" s="565" t="n"/>
      <x:c r="N924" s="565" t="n"/>
      <x:c r="O924" s="565" t="n"/>
      <x:c r="P924" s="565" t="n"/>
      <x:c r="Q924" s="565" t="n"/>
      <x:c r="R924" s="565" t="n"/>
      <x:c r="S924" s="613" t="n"/>
      <x:c r="T924" s="565" t="n"/>
      <x:c r="U924" s="613" t="n"/>
      <x:c r="V924" s="565" t="n"/>
      <x:c r="W924" s="565" t="n"/>
      <x:c r="X924" s="565" t="n"/>
      <x:c r="Y924" s="565" t="n"/>
      <x:c r="Z924" s="565" t="n"/>
    </x:row>
    <x:row r="925">
      <x:c r="A925" s="527" t="inlineStr">
        <x:is>
          <x:t xml:space="preserve">1989-002320</x:t>
        </x:is>
      </x:c>
      <x:c r="B925" s="527" t="n"/>
      <x:c r="C925" s="527" t="inlineStr">
        <x:is>
          <x:t xml:space="preserve">Deed</x:t>
        </x:is>
      </x:c>
      <x:c r="D925" s="527" t="inlineStr">
        <x:is>
          <x:t xml:space="preserve">1049/0289</x:t>
        </x:is>
      </x:c>
      <x:c r="E925" s="529" t="inlineStr">
        <x:is>
          <x:t xml:space="preserve">04/14/1989</x:t>
        </x:is>
      </x:c>
      <x:c r="F925" s="529" t="n">
        <x:v>32612</x:v>
      </x:c>
      <x:c r="G925" s="527" t="inlineStr">
        <x:is>
          <x:t xml:space="preserve">Clarence C. Bain</x:t>
        </x:is>
      </x:c>
      <x:c r="H925" s="527" t="inlineStr">
        <x:is>
          <x:t xml:space="preserve">William Clifton Bain</x:t>
        </x:is>
      </x:c>
      <x:c r="I925" s="527" t="inlineStr">
        <x:is>
          <x:t xml:space="preserve">31-12N-24W (AOL)</x:t>
        </x:is>
      </x:c>
      <x:c r="J925" s="527" t="inlineStr">
        <x:is>
          <x:t xml:space="preserve">Fee / as stated</x:t>
        </x:is>
      </x:c>
      <x:c r="K925" s="527" t="inlineStr">
        <x:is>
          <x:t xml:space="preserve">OKCountyRecords official index, Roger Mills County (instrument 1989-002320); searched 06/11/2026</x:t>
        </x:is>
      </x:c>
      <x:c r="L925" s="565" t="n"/>
      <x:c r="M925" s="565" t="n"/>
      <x:c r="N925" s="565" t="n"/>
      <x:c r="O925" s="565" t="n"/>
      <x:c r="P925" s="565" t="n"/>
      <x:c r="Q925" s="565" t="n"/>
      <x:c r="R925" s="565" t="n"/>
      <x:c r="S925" s="613" t="n"/>
      <x:c r="T925" s="565" t="n"/>
      <x:c r="U925" s="613" t="n"/>
      <x:c r="V925" s="565" t="n"/>
      <x:c r="W925" s="565" t="n"/>
      <x:c r="X925" s="565" t="n"/>
      <x:c r="Y925" s="565" t="n"/>
      <x:c r="Z925" s="565" t="n"/>
    </x:row>
    <x:row r="926">
      <x:c r="A926" s="527" t="inlineStr">
        <x:is>
          <x:t xml:space="preserve">1989-002321</x:t>
        </x:is>
      </x:c>
      <x:c r="B926" s="527" t="n"/>
      <x:c r="C926" s="527" t="inlineStr">
        <x:is>
          <x:t xml:space="preserve">Deed</x:t>
        </x:is>
      </x:c>
      <x:c r="D926" s="527" t="inlineStr">
        <x:is>
          <x:t xml:space="preserve">1049/0291</x:t>
        </x:is>
      </x:c>
      <x:c r="E926" s="529" t="inlineStr">
        <x:is>
          <x:t xml:space="preserve">04/14/1989</x:t>
        </x:is>
      </x:c>
      <x:c r="F926" s="529" t="n">
        <x:v>32612</x:v>
      </x:c>
      <x:c r="G926" s="527" t="inlineStr">
        <x:is>
          <x:t xml:space="preserve">Clarence C. Bain</x:t>
        </x:is>
      </x:c>
      <x:c r="H926" s="527" t="inlineStr">
        <x:is>
          <x:t xml:space="preserve">Paul Milton Bain</x:t>
        </x:is>
      </x:c>
      <x:c r="I926" s="527" t="inlineStr">
        <x:is>
          <x:t xml:space="preserve">31-12N-24W (AOL)</x:t>
        </x:is>
      </x:c>
      <x:c r="J926" s="527" t="inlineStr">
        <x:is>
          <x:t xml:space="preserve">Fee / as stated</x:t>
        </x:is>
      </x:c>
      <x:c r="K926" s="527" t="inlineStr">
        <x:is>
          <x:t xml:space="preserve">OKCountyRecords official index, Roger Mills County (instrument 1989-002321); searched 06/11/2026</x:t>
        </x:is>
      </x:c>
      <x:c r="L926" s="565" t="n"/>
      <x:c r="M926" s="565" t="n"/>
      <x:c r="N926" s="565" t="n"/>
      <x:c r="O926" s="565" t="n"/>
      <x:c r="P926" s="565" t="n"/>
      <x:c r="Q926" s="565" t="n"/>
      <x:c r="R926" s="565" t="n"/>
      <x:c r="S926" s="613" t="n"/>
      <x:c r="T926" s="565" t="n"/>
      <x:c r="U926" s="613" t="n"/>
      <x:c r="V926" s="565" t="n"/>
      <x:c r="W926" s="565" t="n"/>
      <x:c r="X926" s="565" t="n"/>
      <x:c r="Y926" s="565" t="n"/>
      <x:c r="Z926" s="565" t="n"/>
    </x:row>
    <x:row r="927">
      <x:c r="A927" s="527" t="inlineStr">
        <x:is>
          <x:t xml:space="preserve">1989-002322</x:t>
        </x:is>
      </x:c>
      <x:c r="B927" s="527" t="n"/>
      <x:c r="C927" s="527" t="inlineStr">
        <x:is>
          <x:t xml:space="preserve">Deed</x:t>
        </x:is>
      </x:c>
      <x:c r="D927" s="527" t="inlineStr">
        <x:is>
          <x:t xml:space="preserve">1049/0293</x:t>
        </x:is>
      </x:c>
      <x:c r="E927" s="529" t="inlineStr">
        <x:is>
          <x:t xml:space="preserve">04/14/1989</x:t>
        </x:is>
      </x:c>
      <x:c r="F927" s="529" t="n">
        <x:v>32612</x:v>
      </x:c>
      <x:c r="G927" s="527" t="inlineStr">
        <x:is>
          <x:t xml:space="preserve">Clarence C. Bain</x:t>
        </x:is>
      </x:c>
      <x:c r="H927" s="527" t="inlineStr">
        <x:is>
          <x:t xml:space="preserve">Michael Lee Bain</x:t>
        </x:is>
      </x:c>
      <x:c r="I927" s="527" t="inlineStr">
        <x:is>
          <x:t xml:space="preserve">31-12N-24W (AOL)</x:t>
        </x:is>
      </x:c>
      <x:c r="J927" s="527" t="inlineStr">
        <x:is>
          <x:t xml:space="preserve">Fee / as stated</x:t>
        </x:is>
      </x:c>
      <x:c r="K927" s="527" t="inlineStr">
        <x:is>
          <x:t xml:space="preserve">OKCountyRecords official index, Roger Mills County (instrument 1989-002322); searched 06/11/2026</x:t>
        </x:is>
      </x:c>
      <x:c r="L927" s="565" t="n"/>
      <x:c r="M927" s="565" t="n"/>
      <x:c r="N927" s="565" t="n"/>
      <x:c r="O927" s="565" t="n"/>
      <x:c r="P927" s="565" t="n"/>
      <x:c r="Q927" s="565" t="n"/>
      <x:c r="R927" s="565" t="n"/>
      <x:c r="S927" s="613" t="n"/>
      <x:c r="T927" s="565" t="n"/>
      <x:c r="U927" s="613" t="n"/>
      <x:c r="V927" s="565" t="n"/>
      <x:c r="W927" s="565" t="n"/>
      <x:c r="X927" s="565" t="n"/>
      <x:c r="Y927" s="565" t="n"/>
      <x:c r="Z927" s="565" t="n"/>
    </x:row>
    <x:row r="928">
      <x:c r="A928" s="527" t="inlineStr">
        <x:is>
          <x:t xml:space="preserve">1989-002323</x:t>
        </x:is>
      </x:c>
      <x:c r="B928" s="527" t="n"/>
      <x:c r="C928" s="527" t="inlineStr">
        <x:is>
          <x:t xml:space="preserve">Deed</x:t>
        </x:is>
      </x:c>
      <x:c r="D928" s="527" t="inlineStr">
        <x:is>
          <x:t xml:space="preserve">1049/0295</x:t>
        </x:is>
      </x:c>
      <x:c r="E928" s="529" t="inlineStr">
        <x:is>
          <x:t xml:space="preserve">04/14/1989</x:t>
        </x:is>
      </x:c>
      <x:c r="F928" s="529" t="n">
        <x:v>32612</x:v>
      </x:c>
      <x:c r="G928" s="527" t="inlineStr">
        <x:is>
          <x:t xml:space="preserve">Clarence C. Bain</x:t>
        </x:is>
      </x:c>
      <x:c r="H928" s="527" t="inlineStr">
        <x:is>
          <x:t xml:space="preserve">Ronald Dean Bain</x:t>
        </x:is>
      </x:c>
      <x:c r="I928" s="527" t="inlineStr">
        <x:is>
          <x:t xml:space="preserve">31-12N-24W (AOL)</x:t>
        </x:is>
      </x:c>
      <x:c r="J928" s="527" t="inlineStr">
        <x:is>
          <x:t xml:space="preserve">Fee / as stated</x:t>
        </x:is>
      </x:c>
      <x:c r="K928" s="527" t="inlineStr">
        <x:is>
          <x:t xml:space="preserve">OKCountyRecords official index, Roger Mills County (instrument 1989-002323); searched 06/11/2026</x:t>
        </x:is>
      </x:c>
      <x:c r="L928" s="565" t="n"/>
      <x:c r="M928" s="565" t="n"/>
      <x:c r="N928" s="565" t="n"/>
      <x:c r="O928" s="565" t="n"/>
      <x:c r="P928" s="565" t="n"/>
      <x:c r="Q928" s="565" t="n"/>
      <x:c r="R928" s="565" t="n"/>
      <x:c r="S928" s="613" t="n"/>
      <x:c r="T928" s="565" t="n"/>
      <x:c r="U928" s="613" t="n"/>
      <x:c r="V928" s="565" t="n"/>
      <x:c r="W928" s="565" t="n"/>
      <x:c r="X928" s="565" t="n"/>
      <x:c r="Y928" s="565" t="n"/>
      <x:c r="Z928" s="565" t="n"/>
    </x:row>
    <x:row r="929">
      <x:c r="A929" s="527" t="inlineStr">
        <x:is>
          <x:t xml:space="preserve">1989-002559</x:t>
        </x:is>
      </x:c>
      <x:c r="B929" s="527" t="n"/>
      <x:c r="C929" s="527" t="inlineStr">
        <x:is>
          <x:t xml:space="preserve">Release</x:t>
        </x:is>
      </x:c>
      <x:c r="D929" s="527" t="inlineStr">
        <x:is>
          <x:t xml:space="preserve">1052/0154</x:t>
        </x:is>
      </x:c>
      <x:c r="E929" s="529" t="inlineStr">
        <x:is>
          <x:t xml:space="preserve">04/24/1989</x:t>
        </x:is>
      </x:c>
      <x:c r="F929" s="529" t="n">
        <x:v>32622</x:v>
      </x:c>
      <x:c r="G929" s="527" t="inlineStr">
        <x:is>
          <x:t xml:space="preserve">Exxon Corporation</x:t>
        </x:is>
      </x:c>
      <x:c r="H929" s="527" t="inlineStr">
        <x:is>
          <x:t xml:space="preserve">Panhandle Royalty Company</x:t>
        </x:is>
      </x:c>
      <x:c r="I929" s="527" t="inlineStr">
        <x:is>
          <x:t xml:space="preserve">31-12N-24W</x:t>
        </x:is>
      </x:c>
      <x:c r="J929" s="527" t="inlineStr">
        <x:is>
          <x:t xml:space="preserve">Leasehold / WI</x:t>
        </x:is>
      </x:c>
      <x:c r="K929" s="527" t="inlineStr">
        <x:is>
          <x:t xml:space="preserve">OKCountyRecords official index, Roger Mills County (instrument 1989-002559); searched 06/11/2026</x:t>
        </x:is>
      </x:c>
      <x:c r="L929" s="565" t="n"/>
      <x:c r="M929" s="565" t="n"/>
      <x:c r="N929" s="565" t="n"/>
      <x:c r="O929" s="565" t="n"/>
      <x:c r="P929" s="565" t="n"/>
      <x:c r="Q929" s="565" t="n"/>
      <x:c r="R929" s="565" t="n"/>
      <x:c r="S929" s="613" t="n"/>
      <x:c r="T929" s="565" t="n"/>
      <x:c r="U929" s="613" t="n"/>
      <x:c r="V929" s="565" t="n"/>
      <x:c r="W929" s="565" t="n"/>
      <x:c r="X929" s="565" t="n"/>
      <x:c r="Y929" s="565" t="n"/>
      <x:c r="Z929" s="565" t="n"/>
    </x:row>
    <x:row r="930">
      <x:c r="A930" s="527" t="inlineStr">
        <x:is>
          <x:t xml:space="preserve">1989-003258</x:t>
        </x:is>
      </x:c>
      <x:c r="B930" s="527" t="n"/>
      <x:c r="C930" s="527" t="inlineStr">
        <x:is>
          <x:t xml:space="preserve">Oil and Gas Lease</x:t>
        </x:is>
      </x:c>
      <x:c r="D930" s="527" t="inlineStr">
        <x:is>
          <x:t xml:space="preserve">1059/0241</x:t>
        </x:is>
      </x:c>
      <x:c r="E930" s="529" t="inlineStr">
        <x:is>
          <x:t xml:space="preserve">05/25/1989</x:t>
        </x:is>
      </x:c>
      <x:c r="F930" s="529" t="n">
        <x:v>32653</x:v>
      </x:c>
      <x:c r="G930" s="527" t="inlineStr">
        <x:is>
          <x:t xml:space="preserve">Dow C. Bain,
Edris O. Bain</x:t>
        </x:is>
      </x:c>
      <x:c r="H930" s="527" t="inlineStr">
        <x:is>
          <x:t xml:space="preserve">Santa Fe Energy Operating Partners</x:t>
        </x:is>
      </x:c>
      <x:c r="I930" s="527" t="inlineStr">
        <x:is>
          <x:t xml:space="preserve">31-12N-24W</x:t>
        </x:is>
      </x:c>
      <x:c r="J930" s="527" t="inlineStr">
        <x:is>
          <x:t xml:space="preserve">Leasehold / WI</x:t>
        </x:is>
      </x:c>
      <x:c r="K930" s="527" t="inlineStr">
        <x:is>
          <x:t xml:space="preserve">OKCountyRecords official index, Roger Mills County (instrument 1989-003258); searched 06/11/2026</x:t>
        </x:is>
      </x:c>
      <x:c r="L930" s="565" t="n"/>
      <x:c r="M930" s="565" t="n"/>
      <x:c r="N930" s="565" t="n"/>
      <x:c r="O930" s="565" t="n"/>
      <x:c r="P930" s="565" t="n"/>
      <x:c r="Q930" s="565" t="n"/>
      <x:c r="R930" s="565" t="n"/>
      <x:c r="S930" s="613" t="n"/>
      <x:c r="T930" s="565" t="n"/>
      <x:c r="U930" s="613" t="n"/>
      <x:c r="V930" s="565" t="n"/>
      <x:c r="W930" s="565" t="n"/>
      <x:c r="X930" s="565" t="n"/>
      <x:c r="Y930" s="565" t="n"/>
      <x:c r="Z930" s="565" t="n"/>
    </x:row>
    <x:row r="931">
      <x:c r="A931" s="527" t="inlineStr">
        <x:is>
          <x:t xml:space="preserve">1989-003645</x:t>
        </x:is>
      </x:c>
      <x:c r="B931" s="527" t="n"/>
      <x:c r="C931" s="527" t="inlineStr">
        <x:is>
          <x:t xml:space="preserve">Assignment</x:t>
        </x:is>
      </x:c>
      <x:c r="D931" s="527" t="inlineStr">
        <x:is>
          <x:t xml:space="preserve">1063/0212</x:t>
        </x:is>
      </x:c>
      <x:c r="E931" s="529" t="inlineStr">
        <x:is>
          <x:t xml:space="preserve">06/15/1989</x:t>
        </x:is>
      </x:c>
      <x:c r="F931" s="529" t="n">
        <x:v>32674</x:v>
      </x:c>
      <x:c r="G931" s="527" t="inlineStr">
        <x:is>
          <x:t xml:space="preserve">Nolan E. Britton, Inc.</x:t>
        </x:is>
      </x:c>
      <x:c r="H931" s="527" t="inlineStr">
        <x:is>
          <x:t xml:space="preserve">City National Bank</x:t>
        </x:is>
      </x:c>
      <x:c r="I931" s="527" t="inlineStr">
        <x:is>
          <x:t xml:space="preserve">31-12N-24W (AOL)</x:t>
        </x:is>
      </x:c>
      <x:c r="J931" s="527" t="inlineStr">
        <x:is>
          <x:t xml:space="preserve">Leasehold / WI</x:t>
        </x:is>
      </x:c>
      <x:c r="K931" s="527" t="inlineStr">
        <x:is>
          <x:t xml:space="preserve">OKCountyRecords official index, Roger Mills County (instrument 1989-003645); searched 06/11/2026</x:t>
        </x:is>
      </x:c>
      <x:c r="L931" s="565" t="n"/>
      <x:c r="M931" s="565" t="n"/>
      <x:c r="N931" s="565" t="n"/>
      <x:c r="O931" s="565" t="n"/>
      <x:c r="P931" s="565" t="n"/>
      <x:c r="Q931" s="565" t="n"/>
      <x:c r="R931" s="565" t="n"/>
      <x:c r="S931" s="613" t="n"/>
      <x:c r="T931" s="565" t="n"/>
      <x:c r="U931" s="613" t="n"/>
      <x:c r="V931" s="565" t="n"/>
      <x:c r="W931" s="565" t="n"/>
      <x:c r="X931" s="565" t="n"/>
      <x:c r="Y931" s="565" t="n"/>
      <x:c r="Z931" s="565" t="n"/>
    </x:row>
    <x:row r="932">
      <x:c r="A932" s="527" t="inlineStr">
        <x:is>
          <x:t xml:space="preserve">1989-003715</x:t>
        </x:is>
      </x:c>
      <x:c r="B932" s="527" t="n"/>
      <x:c r="C932" s="527" t="inlineStr">
        <x:is>
          <x:t xml:space="preserve">Oil and Gas Lease</x:t>
        </x:is>
      </x:c>
      <x:c r="D932" s="527" t="inlineStr">
        <x:is>
          <x:t xml:space="preserve">1064/0168</x:t>
        </x:is>
      </x:c>
      <x:c r="E932" s="529" t="inlineStr">
        <x:is>
          <x:t xml:space="preserve">06/19/1989</x:t>
        </x:is>
      </x:c>
      <x:c r="F932" s="529" t="n">
        <x:v>32678</x:v>
      </x:c>
      <x:c r="G932" s="527" t="inlineStr">
        <x:is>
          <x:t xml:space="preserve">Alfred William Standiford</x:t>
        </x:is>
      </x:c>
      <x:c r="H932" s="527" t="inlineStr">
        <x:is>
          <x:t xml:space="preserve">J. R. Nicholson</x:t>
        </x:is>
      </x:c>
      <x:c r="I932" s="527" t="inlineStr">
        <x:is>
          <x:t xml:space="preserve">31-12N-24W (AOL)</x:t>
        </x:is>
      </x:c>
      <x:c r="J932" s="527" t="inlineStr">
        <x:is>
          <x:t xml:space="preserve">Leasehold / WI</x:t>
        </x:is>
      </x:c>
      <x:c r="K932" s="527" t="inlineStr">
        <x:is>
          <x:t xml:space="preserve">OKCountyRecords official index, Roger Mills County (instrument 1989-003715); searched 06/11/2026</x:t>
        </x:is>
      </x:c>
      <x:c r="L932" s="565" t="n"/>
      <x:c r="M932" s="565" t="n"/>
      <x:c r="N932" s="565" t="n"/>
      <x:c r="O932" s="565" t="n"/>
      <x:c r="P932" s="565" t="n"/>
      <x:c r="Q932" s="565" t="n"/>
      <x:c r="R932" s="565" t="n"/>
      <x:c r="S932" s="613" t="n"/>
      <x:c r="T932" s="565" t="n"/>
      <x:c r="U932" s="613" t="n"/>
      <x:c r="V932" s="565" t="n"/>
      <x:c r="W932" s="565" t="n"/>
      <x:c r="X932" s="565" t="n"/>
      <x:c r="Y932" s="565" t="n"/>
      <x:c r="Z932" s="565" t="n"/>
    </x:row>
    <x:row r="933">
      <x:c r="A933" s="527" t="inlineStr">
        <x:is>
          <x:t xml:space="preserve">1989-004252</x:t>
        </x:is>
      </x:c>
      <x:c r="B933" s="527" t="n"/>
      <x:c r="C933" s="527" t="inlineStr">
        <x:is>
          <x:t xml:space="preserve">Mineral Deed</x:t>
        </x:is>
      </x:c>
      <x:c r="D933" s="527" t="inlineStr">
        <x:is>
          <x:t xml:space="preserve">1070/0194</x:t>
        </x:is>
      </x:c>
      <x:c r="E933" s="529" t="inlineStr">
        <x:is>
          <x:t xml:space="preserve">07/17/1989</x:t>
        </x:is>
      </x:c>
      <x:c r="F933" s="529" t="n">
        <x:v>32706</x:v>
      </x:c>
      <x:c r="G933" s="527" t="inlineStr">
        <x:is>
          <x:t xml:space="preserve">Billy Wayne Bain, Trustee,
William Cobal Bain Jr.,
Bain, William C. Trust</x:t>
        </x:is>
      </x:c>
      <x:c r="H933" s="527" t="inlineStr">
        <x:is>
          <x:t xml:space="preserve">Juanita Wolff</x:t>
        </x:is>
      </x:c>
      <x:c r="I933" s="527" t="inlineStr">
        <x:is>
          <x:t xml:space="preserve">31-12N-24W (AOL)</x:t>
        </x:is>
      </x:c>
      <x:c r="J933" s="527" t="inlineStr">
        <x:is>
          <x:t xml:space="preserve">Mineral</x:t>
        </x:is>
      </x:c>
      <x:c r="K933" s="527" t="inlineStr">
        <x:is>
          <x:t xml:space="preserve">OKCountyRecords official index, Roger Mills County (instrument 1989-004252); searched 06/11/2026</x:t>
        </x:is>
      </x:c>
      <x:c r="L933" s="565" t="n"/>
      <x:c r="M933" s="565" t="n"/>
      <x:c r="N933" s="565" t="n"/>
      <x:c r="O933" s="565" t="n"/>
      <x:c r="P933" s="565" t="n"/>
      <x:c r="Q933" s="565" t="n"/>
      <x:c r="R933" s="565" t="n"/>
      <x:c r="S933" s="613" t="n"/>
      <x:c r="T933" s="565" t="n"/>
      <x:c r="U933" s="613" t="n"/>
      <x:c r="V933" s="565" t="n"/>
      <x:c r="W933" s="565" t="n"/>
      <x:c r="X933" s="565" t="n"/>
      <x:c r="Y933" s="565" t="n"/>
      <x:c r="Z933" s="565" t="n"/>
    </x:row>
    <x:row r="934">
      <x:c r="A934" s="527" t="inlineStr">
        <x:is>
          <x:t xml:space="preserve">1989-004248</x:t>
        </x:is>
      </x:c>
      <x:c r="B934" s="527" t="n"/>
      <x:c r="C934" s="527" t="inlineStr">
        <x:is>
          <x:t xml:space="preserve">Deed</x:t>
        </x:is>
      </x:c>
      <x:c r="D934" s="527" t="inlineStr">
        <x:is>
          <x:t xml:space="preserve">1070/0182</x:t>
        </x:is>
      </x:c>
      <x:c r="E934" s="529" t="inlineStr">
        <x:is>
          <x:t xml:space="preserve">07/17/1989</x:t>
        </x:is>
      </x:c>
      <x:c r="F934" s="529" t="n">
        <x:v>32706</x:v>
      </x:c>
      <x:c r="G934" s="527" t="inlineStr">
        <x:is>
          <x:t xml:space="preserve">Billy Wayne Bain, Trustee,
Bain, Willaim C. Trust,
William Cobal Bain Jr.</x:t>
        </x:is>
      </x:c>
      <x:c r="H934" s="527" t="inlineStr">
        <x:is>
          <x:t xml:space="preserve">Billy Wayne Bain</x:t>
        </x:is>
      </x:c>
      <x:c r="I934" s="527" t="inlineStr">
        <x:is>
          <x:t xml:space="preserve">31-12N-24W (AOL)</x:t>
        </x:is>
      </x:c>
      <x:c r="J934" s="527" t="inlineStr">
        <x:is>
          <x:t xml:space="preserve">Fee / as stated</x:t>
        </x:is>
      </x:c>
      <x:c r="K934" s="527" t="inlineStr">
        <x:is>
          <x:t xml:space="preserve">OKCountyRecords official index, Roger Mills County (instrument 1989-004248); searched 06/11/2026</x:t>
        </x:is>
      </x:c>
      <x:c r="L934" s="565" t="n"/>
      <x:c r="M934" s="565" t="n"/>
      <x:c r="N934" s="565" t="n"/>
      <x:c r="O934" s="565" t="n"/>
      <x:c r="P934" s="565" t="n"/>
      <x:c r="Q934" s="565" t="n"/>
      <x:c r="R934" s="565" t="n"/>
      <x:c r="S934" s="613" t="n"/>
      <x:c r="T934" s="565" t="n"/>
      <x:c r="U934" s="613" t="n"/>
      <x:c r="V934" s="565" t="n"/>
      <x:c r="W934" s="565" t="n"/>
      <x:c r="X934" s="565" t="n"/>
      <x:c r="Y934" s="565" t="n"/>
      <x:c r="Z934" s="565" t="n"/>
    </x:row>
    <x:row r="935">
      <x:c r="A935" s="527" t="inlineStr">
        <x:is>
          <x:t xml:space="preserve">1989-004249</x:t>
        </x:is>
      </x:c>
      <x:c r="B935" s="527" t="n"/>
      <x:c r="C935" s="527" t="inlineStr">
        <x:is>
          <x:t xml:space="preserve">Deed</x:t>
        </x:is>
      </x:c>
      <x:c r="D935" s="527" t="inlineStr">
        <x:is>
          <x:t xml:space="preserve">1070/0185</x:t>
        </x:is>
      </x:c>
      <x:c r="E935" s="529" t="inlineStr">
        <x:is>
          <x:t xml:space="preserve">07/17/1989</x:t>
        </x:is>
      </x:c>
      <x:c r="F935" s="529" t="n">
        <x:v>32706</x:v>
      </x:c>
      <x:c r="G935" s="527" t="inlineStr">
        <x:is>
          <x:t xml:space="preserve">Billy Wayne Bain, Trustee,
William Cobal Bain Jr.,
Bain, William C. Trust</x:t>
        </x:is>
      </x:c>
      <x:c r="H935" s="527" t="inlineStr">
        <x:is>
          <x:t xml:space="preserve">Clarence Bain</x:t>
        </x:is>
      </x:c>
      <x:c r="I935" s="527" t="inlineStr">
        <x:is>
          <x:t xml:space="preserve">31-12N-24W (AOL)</x:t>
        </x:is>
      </x:c>
      <x:c r="J935" s="527" t="inlineStr">
        <x:is>
          <x:t xml:space="preserve">Fee / as stated</x:t>
        </x:is>
      </x:c>
      <x:c r="K935" s="527" t="inlineStr">
        <x:is>
          <x:t xml:space="preserve">OKCountyRecords official index, Roger Mills County (instrument 1989-004249); searched 06/11/2026</x:t>
        </x:is>
      </x:c>
      <x:c r="L935" s="565" t="n"/>
      <x:c r="M935" s="565" t="n"/>
      <x:c r="N935" s="565" t="n"/>
      <x:c r="O935" s="565" t="n"/>
      <x:c r="P935" s="565" t="n"/>
      <x:c r="Q935" s="565" t="n"/>
      <x:c r="R935" s="565" t="n"/>
      <x:c r="S935" s="613" t="n"/>
      <x:c r="T935" s="565" t="n"/>
      <x:c r="U935" s="613" t="n"/>
      <x:c r="V935" s="565" t="n"/>
      <x:c r="W935" s="565" t="n"/>
      <x:c r="X935" s="565" t="n"/>
      <x:c r="Y935" s="565" t="n"/>
      <x:c r="Z935" s="565" t="n"/>
    </x:row>
    <x:row r="936">
      <x:c r="A936" s="527" t="inlineStr">
        <x:is>
          <x:t xml:space="preserve">1989-004250</x:t>
        </x:is>
      </x:c>
      <x:c r="B936" s="527" t="n"/>
      <x:c r="C936" s="527" t="inlineStr">
        <x:is>
          <x:t xml:space="preserve">Deed</x:t>
        </x:is>
      </x:c>
      <x:c r="D936" s="527" t="inlineStr">
        <x:is>
          <x:t xml:space="preserve">1070/0188</x:t>
        </x:is>
      </x:c>
      <x:c r="E936" s="529" t="inlineStr">
        <x:is>
          <x:t xml:space="preserve">07/17/1989</x:t>
        </x:is>
      </x:c>
      <x:c r="F936" s="529" t="n">
        <x:v>32706</x:v>
      </x:c>
      <x:c r="G936" s="527" t="inlineStr">
        <x:is>
          <x:t xml:space="preserve">Billy Wayne Bain, Trustee,
William Cobal Bain Jr.,
Bain, William C. Trust</x:t>
        </x:is>
      </x:c>
      <x:c r="H936" s="527" t="inlineStr">
        <x:is>
          <x:t xml:space="preserve">Carl Leon Bain</x:t>
        </x:is>
      </x:c>
      <x:c r="I936" s="527" t="inlineStr">
        <x:is>
          <x:t xml:space="preserve">31-12N-24W (AOL)</x:t>
        </x:is>
      </x:c>
      <x:c r="J936" s="527" t="inlineStr">
        <x:is>
          <x:t xml:space="preserve">Fee / as stated</x:t>
        </x:is>
      </x:c>
      <x:c r="K936" s="527" t="inlineStr">
        <x:is>
          <x:t xml:space="preserve">OKCountyRecords official index, Roger Mills County (instrument 1989-004250); searched 06/11/2026</x:t>
        </x:is>
      </x:c>
      <x:c r="L936" s="565" t="n"/>
      <x:c r="M936" s="565" t="n"/>
      <x:c r="N936" s="565" t="n"/>
      <x:c r="O936" s="565" t="n"/>
      <x:c r="P936" s="565" t="n"/>
      <x:c r="Q936" s="565" t="n"/>
      <x:c r="R936" s="565" t="n"/>
      <x:c r="S936" s="613" t="n"/>
      <x:c r="T936" s="565" t="n"/>
      <x:c r="U936" s="613" t="n"/>
      <x:c r="V936" s="565" t="n"/>
      <x:c r="W936" s="565" t="n"/>
      <x:c r="X936" s="565" t="n"/>
      <x:c r="Y936" s="565" t="n"/>
      <x:c r="Z936" s="565" t="n"/>
    </x:row>
    <x:row r="937">
      <x:c r="A937" s="527" t="inlineStr">
        <x:is>
          <x:t xml:space="preserve">1989-004251</x:t>
        </x:is>
      </x:c>
      <x:c r="B937" s="527" t="n"/>
      <x:c r="C937" s="527" t="inlineStr">
        <x:is>
          <x:t xml:space="preserve">Deed</x:t>
        </x:is>
      </x:c>
      <x:c r="D937" s="527" t="inlineStr">
        <x:is>
          <x:t xml:space="preserve">1070/0191</x:t>
        </x:is>
      </x:c>
      <x:c r="E937" s="529" t="inlineStr">
        <x:is>
          <x:t xml:space="preserve">07/17/1989</x:t>
        </x:is>
      </x:c>
      <x:c r="F937" s="529" t="n">
        <x:v>32706</x:v>
      </x:c>
      <x:c r="G937" s="527" t="inlineStr">
        <x:is>
          <x:t xml:space="preserve">Billy Wayne Bain, Trustee,
William Cobal Bain Jr.,
Bain, William C. Trust</x:t>
        </x:is>
      </x:c>
      <x:c r="H937" s="527" t="inlineStr">
        <x:is>
          <x:t xml:space="preserve">William Cobal Bain Jr.</x:t>
        </x:is>
      </x:c>
      <x:c r="I937" s="527" t="inlineStr">
        <x:is>
          <x:t xml:space="preserve">31-12N-24W (AOL)</x:t>
        </x:is>
      </x:c>
      <x:c r="J937" s="527" t="inlineStr">
        <x:is>
          <x:t xml:space="preserve">Fee / as stated</x:t>
        </x:is>
      </x:c>
      <x:c r="K937" s="527" t="inlineStr">
        <x:is>
          <x:t xml:space="preserve">OKCountyRecords official index, Roger Mills County (instrument 1989-004251); searched 06/11/2026</x:t>
        </x:is>
      </x:c>
      <x:c r="L937" s="565" t="n"/>
      <x:c r="M937" s="565" t="n"/>
      <x:c r="N937" s="565" t="n"/>
      <x:c r="O937" s="565" t="n"/>
      <x:c r="P937" s="565" t="n"/>
      <x:c r="Q937" s="565" t="n"/>
      <x:c r="R937" s="565" t="n"/>
      <x:c r="S937" s="613" t="n"/>
      <x:c r="T937" s="565" t="n"/>
      <x:c r="U937" s="613" t="n"/>
      <x:c r="V937" s="565" t="n"/>
      <x:c r="W937" s="565" t="n"/>
      <x:c r="X937" s="565" t="n"/>
      <x:c r="Y937" s="565" t="n"/>
      <x:c r="Z937" s="565" t="n"/>
    </x:row>
    <x:row r="938">
      <x:c r="A938" s="527" t="inlineStr">
        <x:is>
          <x:t xml:space="preserve">1989-004253</x:t>
        </x:is>
      </x:c>
      <x:c r="B938" s="527" t="n"/>
      <x:c r="C938" s="527" t="inlineStr">
        <x:is>
          <x:t xml:space="preserve">Deed</x:t>
        </x:is>
      </x:c>
      <x:c r="D938" s="527" t="inlineStr">
        <x:is>
          <x:t xml:space="preserve">1070/0197</x:t>
        </x:is>
      </x:c>
      <x:c r="E938" s="529" t="inlineStr">
        <x:is>
          <x:t xml:space="preserve">07/17/1989</x:t>
        </x:is>
      </x:c>
      <x:c r="F938" s="529" t="n">
        <x:v>32706</x:v>
      </x:c>
      <x:c r="G938" s="527" t="inlineStr">
        <x:is>
          <x:t xml:space="preserve">Billy Wayne Bain, Trustee,
William Cobal Bain Jr.,
Bain, William C. Trust</x:t>
        </x:is>
      </x:c>
      <x:c r="H938" s="527" t="inlineStr">
        <x:is>
          <x:t xml:space="preserve">Hazel Hamilton</x:t>
        </x:is>
      </x:c>
      <x:c r="I938" s="527" t="inlineStr">
        <x:is>
          <x:t xml:space="preserve">31-12N-24W (AOL)</x:t>
        </x:is>
      </x:c>
      <x:c r="J938" s="527" t="inlineStr">
        <x:is>
          <x:t xml:space="preserve">Fee / as stated</x:t>
        </x:is>
      </x:c>
      <x:c r="K938" s="527" t="inlineStr">
        <x:is>
          <x:t xml:space="preserve">OKCountyRecords official index, Roger Mills County (instrument 1989-004253); searched 06/11/2026</x:t>
        </x:is>
      </x:c>
      <x:c r="L938" s="565" t="n"/>
      <x:c r="M938" s="565" t="n"/>
      <x:c r="N938" s="565" t="n"/>
      <x:c r="O938" s="565" t="n"/>
      <x:c r="P938" s="565" t="n"/>
      <x:c r="Q938" s="565" t="n"/>
      <x:c r="R938" s="565" t="n"/>
      <x:c r="S938" s="613" t="n"/>
      <x:c r="T938" s="565" t="n"/>
      <x:c r="U938" s="613" t="n"/>
      <x:c r="V938" s="565" t="n"/>
      <x:c r="W938" s="565" t="n"/>
      <x:c r="X938" s="565" t="n"/>
      <x:c r="Y938" s="565" t="n"/>
      <x:c r="Z938" s="565" t="n"/>
    </x:row>
    <x:row r="939">
      <x:c r="A939" s="527" t="inlineStr">
        <x:is>
          <x:t xml:space="preserve">1989-004254</x:t>
        </x:is>
      </x:c>
      <x:c r="B939" s="527" t="n"/>
      <x:c r="C939" s="527" t="inlineStr">
        <x:is>
          <x:t xml:space="preserve">Deed</x:t>
        </x:is>
      </x:c>
      <x:c r="D939" s="527" t="inlineStr">
        <x:is>
          <x:t xml:space="preserve">1070/0200</x:t>
        </x:is>
      </x:c>
      <x:c r="E939" s="529" t="inlineStr">
        <x:is>
          <x:t xml:space="preserve">07/17/1989</x:t>
        </x:is>
      </x:c>
      <x:c r="F939" s="529" t="n">
        <x:v>32706</x:v>
      </x:c>
      <x:c r="G939" s="527" t="inlineStr">
        <x:is>
          <x:t xml:space="preserve">Billy Wayne Bain, Trustee,
William Cobal Bain Jr.,
Bain, William C. Trust</x:t>
        </x:is>
      </x:c>
      <x:c r="H939" s="527" t="inlineStr">
        <x:is>
          <x:t xml:space="preserve">Opal Fuchs</x:t>
        </x:is>
      </x:c>
      <x:c r="I939" s="527" t="inlineStr">
        <x:is>
          <x:t xml:space="preserve">31-12N-24W (AOL)</x:t>
        </x:is>
      </x:c>
      <x:c r="J939" s="527" t="inlineStr">
        <x:is>
          <x:t xml:space="preserve">Fee / as stated</x:t>
        </x:is>
      </x:c>
      <x:c r="K939" s="527" t="inlineStr">
        <x:is>
          <x:t xml:space="preserve">OKCountyRecords official index, Roger Mills County (instrument 1989-004254); searched 06/11/2026</x:t>
        </x:is>
      </x:c>
      <x:c r="L939" s="565" t="n"/>
      <x:c r="M939" s="565" t="n"/>
      <x:c r="N939" s="565" t="n"/>
      <x:c r="O939" s="565" t="n"/>
      <x:c r="P939" s="565" t="n"/>
      <x:c r="Q939" s="565" t="n"/>
      <x:c r="R939" s="565" t="n"/>
      <x:c r="S939" s="613" t="n"/>
      <x:c r="T939" s="565" t="n"/>
      <x:c r="U939" s="613" t="n"/>
      <x:c r="V939" s="565" t="n"/>
      <x:c r="W939" s="565" t="n"/>
      <x:c r="X939" s="565" t="n"/>
      <x:c r="Y939" s="565" t="n"/>
      <x:c r="Z939" s="565" t="n"/>
    </x:row>
    <x:row r="940">
      <x:c r="A940" s="527" t="inlineStr">
        <x:is>
          <x:t xml:space="preserve">1989-004255</x:t>
        </x:is>
      </x:c>
      <x:c r="B940" s="527" t="n"/>
      <x:c r="C940" s="527" t="inlineStr">
        <x:is>
          <x:t xml:space="preserve">Deed</x:t>
        </x:is>
      </x:c>
      <x:c r="D940" s="527" t="inlineStr">
        <x:is>
          <x:t xml:space="preserve">1070/0203</x:t>
        </x:is>
      </x:c>
      <x:c r="E940" s="529" t="inlineStr">
        <x:is>
          <x:t xml:space="preserve">07/17/1989</x:t>
        </x:is>
      </x:c>
      <x:c r="F940" s="529" t="n">
        <x:v>32706</x:v>
      </x:c>
      <x:c r="G940" s="527" t="inlineStr">
        <x:is>
          <x:t xml:space="preserve">Billy Wayne Bain, Trustee,
William Cobal Bain Jr.,
Bain, William C. Trust</x:t>
        </x:is>
      </x:c>
      <x:c r="H940" s="527" t="inlineStr">
        <x:is>
          <x:t xml:space="preserve">Wilda Jensen</x:t>
        </x:is>
      </x:c>
      <x:c r="I940" s="527" t="inlineStr">
        <x:is>
          <x:t xml:space="preserve">31-12N-24W (AOL)</x:t>
        </x:is>
      </x:c>
      <x:c r="J940" s="527" t="inlineStr">
        <x:is>
          <x:t xml:space="preserve">Fee / as stated</x:t>
        </x:is>
      </x:c>
      <x:c r="K940" s="527" t="inlineStr">
        <x:is>
          <x:t xml:space="preserve">OKCountyRecords official index, Roger Mills County (instrument 1989-004255); searched 06/11/2026</x:t>
        </x:is>
      </x:c>
      <x:c r="L940" s="565" t="n"/>
      <x:c r="M940" s="565" t="n"/>
      <x:c r="N940" s="565" t="n"/>
      <x:c r="O940" s="565" t="n"/>
      <x:c r="P940" s="565" t="n"/>
      <x:c r="Q940" s="565" t="n"/>
      <x:c r="R940" s="565" t="n"/>
      <x:c r="S940" s="613" t="n"/>
      <x:c r="T940" s="565" t="n"/>
      <x:c r="U940" s="613" t="n"/>
      <x:c r="V940" s="565" t="n"/>
      <x:c r="W940" s="565" t="n"/>
      <x:c r="X940" s="565" t="n"/>
      <x:c r="Y940" s="565" t="n"/>
      <x:c r="Z940" s="565" t="n"/>
    </x:row>
    <x:row r="941">
      <x:c r="A941" s="527" t="inlineStr">
        <x:is>
          <x:t xml:space="preserve">1989-004256</x:t>
        </x:is>
      </x:c>
      <x:c r="B941" s="527" t="n"/>
      <x:c r="C941" s="527" t="inlineStr">
        <x:is>
          <x:t xml:space="preserve">Deed</x:t>
        </x:is>
      </x:c>
      <x:c r="D941" s="527" t="inlineStr">
        <x:is>
          <x:t xml:space="preserve">1070/0206</x:t>
        </x:is>
      </x:c>
      <x:c r="E941" s="529" t="inlineStr">
        <x:is>
          <x:t xml:space="preserve">07/17/1989</x:t>
        </x:is>
      </x:c>
      <x:c r="F941" s="529" t="n">
        <x:v>32706</x:v>
      </x:c>
      <x:c r="G941" s="527" t="inlineStr">
        <x:is>
          <x:t xml:space="preserve">Billy Wayne Bain, Trustee,
William Cobal Bain Jr.,
Bain, William C. Trust</x:t>
        </x:is>
      </x:c>
      <x:c r="H941" s="527" t="inlineStr">
        <x:is>
          <x:t xml:space="preserve">Crystal Pallo</x:t>
        </x:is>
      </x:c>
      <x:c r="I941" s="527" t="inlineStr">
        <x:is>
          <x:t xml:space="preserve">31-12N-24W (AOL)</x:t>
        </x:is>
      </x:c>
      <x:c r="J941" s="527" t="inlineStr">
        <x:is>
          <x:t xml:space="preserve">Fee / as stated</x:t>
        </x:is>
      </x:c>
      <x:c r="K941" s="527" t="inlineStr">
        <x:is>
          <x:t xml:space="preserve">OKCountyRecords official index, Roger Mills County (instrument 1989-004256); searched 06/11/2026</x:t>
        </x:is>
      </x:c>
      <x:c r="L941" s="565" t="n"/>
      <x:c r="M941" s="565" t="n"/>
      <x:c r="N941" s="565" t="n"/>
      <x:c r="O941" s="565" t="n"/>
      <x:c r="P941" s="565" t="n"/>
      <x:c r="Q941" s="565" t="n"/>
      <x:c r="R941" s="565" t="n"/>
      <x:c r="S941" s="613" t="n"/>
      <x:c r="T941" s="565" t="n"/>
      <x:c r="U941" s="613" t="n"/>
      <x:c r="V941" s="565" t="n"/>
      <x:c r="W941" s="565" t="n"/>
      <x:c r="X941" s="565" t="n"/>
      <x:c r="Y941" s="565" t="n"/>
      <x:c r="Z941" s="565" t="n"/>
    </x:row>
    <x:row r="942">
      <x:c r="A942" s="527" t="inlineStr">
        <x:is>
          <x:t xml:space="preserve">1989-004295</x:t>
        </x:is>
      </x:c>
      <x:c r="B942" s="527" t="n"/>
      <x:c r="C942" s="527" t="inlineStr">
        <x:is>
          <x:t xml:space="preserve">Release</x:t>
        </x:is>
      </x:c>
      <x:c r="D942" s="527" t="inlineStr">
        <x:is>
          <x:t xml:space="preserve">1070/0298</x:t>
        </x:is>
      </x:c>
      <x:c r="E942" s="529" t="inlineStr">
        <x:is>
          <x:t xml:space="preserve">07/20/1989</x:t>
        </x:is>
      </x:c>
      <x:c r="F942" s="529" t="n">
        <x:v>32709</x:v>
      </x:c>
      <x:c r="G942" s="527" t="inlineStr">
        <x:is>
          <x:t xml:space="preserve">First National Bank of Sayre</x:t>
        </x:is>
      </x:c>
      <x:c r="H942" s="527" t="inlineStr">
        <x:is>
          <x:t xml:space="preserve">Billy W. Bain,
Carl L. Bain,
Clarence C. Bain,
Hazel A. Hamilton,
Juanita Wolff</x:t>
        </x:is>
      </x:c>
      <x:c r="I942" s="527" t="inlineStr">
        <x:is>
          <x:t xml:space="preserve">31-12N-24W (AOL)</x:t>
        </x:is>
      </x:c>
      <x:c r="J942" s="527" t="inlineStr">
        <x:is>
          <x:t xml:space="preserve">Leasehold / WI</x:t>
        </x:is>
      </x:c>
      <x:c r="K942" s="527" t="inlineStr">
        <x:is>
          <x:t xml:space="preserve">OKCountyRecords official index, Roger Mills County (instrument 1989-004295); searched 06/11/2026</x:t>
        </x:is>
      </x:c>
      <x:c r="L942" s="565" t="n"/>
      <x:c r="M942" s="565" t="n"/>
      <x:c r="N942" s="565" t="n"/>
      <x:c r="O942" s="565" t="n"/>
      <x:c r="P942" s="565" t="n"/>
      <x:c r="Q942" s="565" t="n"/>
      <x:c r="R942" s="565" t="n"/>
      <x:c r="S942" s="613" t="n"/>
      <x:c r="T942" s="565" t="n"/>
      <x:c r="U942" s="613" t="n"/>
      <x:c r="V942" s="565" t="n"/>
      <x:c r="W942" s="565" t="n"/>
      <x:c r="X942" s="565" t="n"/>
      <x:c r="Y942" s="565" t="n"/>
      <x:c r="Z942" s="565" t="n"/>
    </x:row>
    <x:row r="943">
      <x:c r="A943" s="527" t="inlineStr">
        <x:is>
          <x:t xml:space="preserve">1989-004361</x:t>
        </x:is>
      </x:c>
      <x:c r="B943" s="527" t="n"/>
      <x:c r="C943" s="527" t="inlineStr">
        <x:is>
          <x:t xml:space="preserve">Assignment</x:t>
        </x:is>
      </x:c>
      <x:c r="D943" s="527" t="inlineStr">
        <x:is>
          <x:t xml:space="preserve">1072/0136</x:t>
        </x:is>
      </x:c>
      <x:c r="E943" s="529" t="inlineStr">
        <x:is>
          <x:t xml:space="preserve">07/24/1989</x:t>
        </x:is>
      </x:c>
      <x:c r="F943" s="529" t="n">
        <x:v>32713</x:v>
      </x:c>
      <x:c r="G943" s="527" t="inlineStr">
        <x:is>
          <x:t xml:space="preserve">Geneeral Energy Operating, Ltd.</x:t>
        </x:is>
      </x:c>
      <x:c r="H943" s="527" t="inlineStr">
        <x:is>
          <x:t xml:space="preserve">General LP Acquisition, Inc.</x:t>
        </x:is>
      </x:c>
      <x:c r="I943" s="527" t="inlineStr">
        <x:is>
          <x:t xml:space="preserve">31-12N-24W (AOL)</x:t>
        </x:is>
      </x:c>
      <x:c r="J943" s="527" t="inlineStr">
        <x:is>
          <x:t xml:space="preserve">Leasehold / WI</x:t>
        </x:is>
      </x:c>
      <x:c r="K943" s="527" t="inlineStr">
        <x:is>
          <x:t xml:space="preserve">OKCountyRecords official index, Roger Mills County (instrument 1989-004361); searched 06/11/2026</x:t>
        </x:is>
      </x:c>
      <x:c r="L943" s="565" t="n"/>
      <x:c r="M943" s="565" t="n"/>
      <x:c r="N943" s="565" t="n"/>
      <x:c r="O943" s="565" t="n"/>
      <x:c r="P943" s="565" t="n"/>
      <x:c r="Q943" s="565" t="n"/>
      <x:c r="R943" s="565" t="n"/>
      <x:c r="S943" s="613" t="n"/>
      <x:c r="T943" s="565" t="n"/>
      <x:c r="U943" s="613" t="n"/>
      <x:c r="V943" s="565" t="n"/>
      <x:c r="W943" s="565" t="n"/>
      <x:c r="X943" s="565" t="n"/>
      <x:c r="Y943" s="565" t="n"/>
      <x:c r="Z943" s="565" t="n"/>
    </x:row>
    <x:row r="944">
      <x:c r="A944" s="527" t="inlineStr">
        <x:is>
          <x:t xml:space="preserve">1989-005584</x:t>
        </x:is>
      </x:c>
      <x:c r="B944" s="527" t="n"/>
      <x:c r="C944" s="527" t="inlineStr">
        <x:is>
          <x:t xml:space="preserve">Release</x:t>
        </x:is>
      </x:c>
      <x:c r="D944" s="527" t="inlineStr">
        <x:is>
          <x:t xml:space="preserve">1086/0223</x:t>
        </x:is>
      </x:c>
      <x:c r="E944" s="529" t="inlineStr">
        <x:is>
          <x:t xml:space="preserve">10/06/1989</x:t>
        </x:is>
      </x:c>
      <x:c r="F944" s="529" t="n">
        <x:v>32787</x:v>
      </x:c>
      <x:c r="G944" s="527" t="inlineStr">
        <x:is>
          <x:t xml:space="preserve">Continental Illinois Energy Development Corp</x:t>
        </x:is>
      </x:c>
      <x:c r="H944" s="527" t="inlineStr">
        <x:is>
          <x:t xml:space="preserve">American Energy &amp; Mineral Co,
Anderson Petroleum, Inc.,
Benson Mineral Group, Inc.,
Chinook Resources, Inc.,
Clements Energy, Inc.,
Clements Exploration Co,
Conquest Petroleum, Inc.,
Damson Oil Corporation,
Daniel Oil Company,
Energetics, Inc.,
Eni Exploration Company,
Kerry Petroleum Company, Inc.,
Ladd &amp; Lukowicz, Inc.,
May Petroleum, Inc.,
Mlac-san Antonio,
Nucorp Energy, Inc.,
Petro Lewis Funds, Inc.,
Rapada Energy, Inc.,
Resources Investment Corporation,
Sioux Natural Gas Corp,
Tomlinson Exploration, Inc.,
Tomlinson Interests, Inc.,
Trecal General Minerals,
Trepel Petroleum Exploration &amp; Development Co,
Weaver Exploration Company,
Wichita Industries, Inc.</x:t>
        </x:is>
      </x:c>
      <x:c r="I944" s="527" t="inlineStr">
        <x:is>
          <x:t xml:space="preserve">31-12N-24W (AOL)</x:t>
        </x:is>
      </x:c>
      <x:c r="J944" s="527" t="inlineStr">
        <x:is>
          <x:t xml:space="preserve">Leasehold / WI</x:t>
        </x:is>
      </x:c>
      <x:c r="K944" s="527" t="inlineStr">
        <x:is>
          <x:t xml:space="preserve">OKCountyRecords official index, Roger Mills County (instrument 1989-005584); searched 06/11/2026</x:t>
        </x:is>
      </x:c>
      <x:c r="L944" s="565" t="n"/>
      <x:c r="M944" s="565" t="n"/>
      <x:c r="N944" s="565" t="n"/>
      <x:c r="O944" s="565" t="n"/>
      <x:c r="P944" s="565" t="n"/>
      <x:c r="Q944" s="565" t="n"/>
      <x:c r="R944" s="565" t="n"/>
      <x:c r="S944" s="613" t="n"/>
      <x:c r="T944" s="565" t="n"/>
      <x:c r="U944" s="613" t="n"/>
      <x:c r="V944" s="565" t="n"/>
      <x:c r="W944" s="565" t="n"/>
      <x:c r="X944" s="565" t="n"/>
      <x:c r="Y944" s="565" t="n"/>
      <x:c r="Z944" s="565" t="n"/>
    </x:row>
    <x:row r="945">
      <x:c r="A945" s="527" t="inlineStr">
        <x:is>
          <x:t xml:space="preserve">1989-005585</x:t>
        </x:is>
      </x:c>
      <x:c r="B945" s="527" t="n"/>
      <x:c r="C945" s="527" t="inlineStr">
        <x:is>
          <x:t xml:space="preserve">Assignment</x:t>
        </x:is>
      </x:c>
      <x:c r="D945" s="527" t="inlineStr">
        <x:is>
          <x:t xml:space="preserve">1087/0001</x:t>
        </x:is>
      </x:c>
      <x:c r="E945" s="529" t="inlineStr">
        <x:is>
          <x:t xml:space="preserve">10/06/1989</x:t>
        </x:is>
      </x:c>
      <x:c r="F945" s="529" t="n">
        <x:v>32787</x:v>
      </x:c>
      <x:c r="G945" s="527" t="inlineStr">
        <x:is>
          <x:t xml:space="preserve">Continental Illinois Energy Development Corp</x:t>
        </x:is>
      </x:c>
      <x:c r="H945" s="527" t="inlineStr">
        <x:is>
          <x:t xml:space="preserve">Termo Co</x:t>
        </x:is>
      </x:c>
      <x:c r="I945" s="527" t="inlineStr">
        <x:is>
          <x:t xml:space="preserve">31-12N-24W (AOL)</x:t>
        </x:is>
      </x:c>
      <x:c r="J945" s="527" t="inlineStr">
        <x:is>
          <x:t xml:space="preserve">Leasehold / WI</x:t>
        </x:is>
      </x:c>
      <x:c r="K945" s="527" t="inlineStr">
        <x:is>
          <x:t xml:space="preserve">OKCountyRecords official index, Roger Mills County (instrument 1989-005585); searched 06/11/2026</x:t>
        </x:is>
      </x:c>
      <x:c r="L945" s="565" t="n"/>
      <x:c r="M945" s="565" t="n"/>
      <x:c r="N945" s="565" t="n"/>
      <x:c r="O945" s="565" t="n"/>
      <x:c r="P945" s="565" t="n"/>
      <x:c r="Q945" s="565" t="n"/>
      <x:c r="R945" s="565" t="n"/>
      <x:c r="S945" s="613" t="n"/>
      <x:c r="T945" s="565" t="n"/>
      <x:c r="U945" s="613" t="n"/>
      <x:c r="V945" s="565" t="n"/>
      <x:c r="W945" s="565" t="n"/>
      <x:c r="X945" s="565" t="n"/>
      <x:c r="Y945" s="565" t="n"/>
      <x:c r="Z945" s="565" t="n"/>
    </x:row>
    <x:row r="946">
      <x:c r="A946" s="527" t="inlineStr">
        <x:is>
          <x:t xml:space="preserve">1989-005656</x:t>
        </x:is>
      </x:c>
      <x:c r="B946" s="527" t="n"/>
      <x:c r="C946" s="527" t="inlineStr">
        <x:is>
          <x:t xml:space="preserve">Final Decree</x:t>
        </x:is>
      </x:c>
      <x:c r="D946" s="527" t="inlineStr">
        <x:is>
          <x:t xml:space="preserve">1088/0005</x:t>
        </x:is>
      </x:c>
      <x:c r="E946" s="529" t="inlineStr">
        <x:is>
          <x:t xml:space="preserve">10/13/1989</x:t>
        </x:is>
      </x:c>
      <x:c r="F946" s="529" t="n">
        <x:v>32794</x:v>
      </x:c>
      <x:c r="G946" s="527" t="inlineStr">
        <x:is>
          <x:t xml:space="preserve">Eula M. Bain</x:t>
        </x:is>
      </x:c>
      <x:c r="H946" s="527" t="inlineStr">
        <x:is>
          <x:t xml:space="preserve">Billy Wayne Bain,
The Public</x:t>
        </x:is>
      </x:c>
      <x:c r="I946" s="527" t="inlineStr">
        <x:is>
          <x:t xml:space="preserve">31-12N-24W (AOL)</x:t>
        </x:is>
      </x:c>
      <x:c r="J946" s="527" t="inlineStr">
        <x:is>
          <x:t xml:space="preserve">Fee / as stated</x:t>
        </x:is>
      </x:c>
      <x:c r="K946" s="527" t="inlineStr">
        <x:is>
          <x:t xml:space="preserve">OKCountyRecords official index, Roger Mills County (instrument 1989-005656); searched 06/11/2026</x:t>
        </x:is>
      </x:c>
      <x:c r="L946" s="565" t="n"/>
      <x:c r="M946" s="565" t="n"/>
      <x:c r="N946" s="565" t="n"/>
      <x:c r="O946" s="565" t="n"/>
      <x:c r="P946" s="565" t="n"/>
      <x:c r="Q946" s="565" t="n"/>
      <x:c r="R946" s="565" t="n"/>
      <x:c r="S946" s="613" t="n"/>
      <x:c r="T946" s="565" t="n"/>
      <x:c r="U946" s="613" t="n"/>
      <x:c r="V946" s="565" t="n"/>
      <x:c r="W946" s="565" t="n"/>
      <x:c r="X946" s="565" t="n"/>
      <x:c r="Y946" s="565" t="n"/>
      <x:c r="Z946" s="565" t="n"/>
    </x:row>
    <x:row r="947">
      <x:c r="A947" s="527" t="inlineStr">
        <x:is>
          <x:t xml:space="preserve">1989-005730</x:t>
        </x:is>
      </x:c>
      <x:c r="B947" s="527" t="n"/>
      <x:c r="C947" s="527" t="inlineStr">
        <x:is>
          <x:t xml:space="preserve">Oil and Gas Lease</x:t>
        </x:is>
      </x:c>
      <x:c r="D947" s="527" t="inlineStr">
        <x:is>
          <x:t xml:space="preserve">1089/0174</x:t>
        </x:is>
      </x:c>
      <x:c r="E947" s="529" t="inlineStr">
        <x:is>
          <x:t xml:space="preserve">10/19/1989</x:t>
        </x:is>
      </x:c>
      <x:c r="F947" s="529" t="n">
        <x:v>32800</x:v>
      </x:c>
      <x:c r="G947" s="527" t="inlineStr">
        <x:is>
          <x:t xml:space="preserve">Ella Pearl Kirk,
Gordon E. Kirk</x:t>
        </x:is>
      </x:c>
      <x:c r="H947" s="527" t="inlineStr">
        <x:is>
          <x:t xml:space="preserve">R. Michael Lortz</x:t>
        </x:is>
      </x:c>
      <x:c r="I947" s="527" t="inlineStr">
        <x:is>
          <x:t xml:space="preserve">31-12N-24W</x:t>
        </x:is>
      </x:c>
      <x:c r="J947" s="527" t="inlineStr">
        <x:is>
          <x:t xml:space="preserve">Leasehold / WI</x:t>
        </x:is>
      </x:c>
      <x:c r="K947" s="527" t="inlineStr">
        <x:is>
          <x:t xml:space="preserve">OKCountyRecords official index, Roger Mills County (instrument 1989-005730); searched 06/11/2026</x:t>
        </x:is>
      </x:c>
      <x:c r="L947" s="565" t="n"/>
      <x:c r="M947" s="565" t="n"/>
      <x:c r="N947" s="565" t="n"/>
      <x:c r="O947" s="565" t="n"/>
      <x:c r="P947" s="565" t="n"/>
      <x:c r="Q947" s="565" t="n"/>
      <x:c r="R947" s="565" t="n"/>
      <x:c r="S947" s="613" t="n"/>
      <x:c r="T947" s="565" t="n"/>
      <x:c r="U947" s="613" t="n"/>
      <x:c r="V947" s="565" t="n"/>
      <x:c r="W947" s="565" t="n"/>
      <x:c r="X947" s="565" t="n"/>
      <x:c r="Y947" s="565" t="n"/>
      <x:c r="Z947" s="565" t="n"/>
    </x:row>
    <x:row r="948">
      <x:c r="A948" s="527" t="inlineStr">
        <x:is>
          <x:t xml:space="preserve">1989-005731</x:t>
        </x:is>
      </x:c>
      <x:c r="B948" s="527" t="n"/>
      <x:c r="C948" s="527" t="inlineStr">
        <x:is>
          <x:t xml:space="preserve">Assignment</x:t>
        </x:is>
      </x:c>
      <x:c r="D948" s="527" t="inlineStr">
        <x:is>
          <x:t xml:space="preserve">1089/0176</x:t>
        </x:is>
      </x:c>
      <x:c r="E948" s="529" t="inlineStr">
        <x:is>
          <x:t xml:space="preserve">10/19/1989</x:t>
        </x:is>
      </x:c>
      <x:c r="F948" s="529" t="n">
        <x:v>32800</x:v>
      </x:c>
      <x:c r="G948" s="527" t="inlineStr">
        <x:is>
          <x:t xml:space="preserve">R. Michael Lortz</x:t>
        </x:is>
      </x:c>
      <x:c r="H948" s="527" t="inlineStr">
        <x:is>
          <x:t xml:space="preserve">Ford, Louis McKee Living Trust,
Louis McKee for, Trustee</x:t>
        </x:is>
      </x:c>
      <x:c r="I948" s="527" t="inlineStr">
        <x:is>
          <x:t xml:space="preserve">31-12N-24W</x:t>
        </x:is>
      </x:c>
      <x:c r="J948" s="527" t="inlineStr">
        <x:is>
          <x:t xml:space="preserve">Leasehold / WI</x:t>
        </x:is>
      </x:c>
      <x:c r="K948" s="527" t="inlineStr">
        <x:is>
          <x:t xml:space="preserve">OKCountyRecords official index, Roger Mills County (instrument 1989-005731); searched 06/11/2026</x:t>
        </x:is>
      </x:c>
      <x:c r="L948" s="565" t="n"/>
      <x:c r="M948" s="565" t="n"/>
      <x:c r="N948" s="565" t="n"/>
      <x:c r="O948" s="565" t="n"/>
      <x:c r="P948" s="565" t="n"/>
      <x:c r="Q948" s="565" t="n"/>
      <x:c r="R948" s="565" t="n"/>
      <x:c r="S948" s="613" t="n"/>
      <x:c r="T948" s="565" t="n"/>
      <x:c r="U948" s="613" t="n"/>
      <x:c r="V948" s="565" t="n"/>
      <x:c r="W948" s="565" t="n"/>
      <x:c r="X948" s="565" t="n"/>
      <x:c r="Y948" s="565" t="n"/>
      <x:c r="Z948" s="565" t="n"/>
    </x:row>
    <x:row r="949">
      <x:c r="A949" s="527" t="inlineStr">
        <x:is>
          <x:t xml:space="preserve">1989-005860</x:t>
        </x:is>
      </x:c>
      <x:c r="B949" s="527" t="n"/>
      <x:c r="C949" s="527" t="inlineStr">
        <x:is>
          <x:t xml:space="preserve">Miscellaneous</x:t>
        </x:is>
      </x:c>
      <x:c r="D949" s="527" t="inlineStr">
        <x:is>
          <x:t xml:space="preserve">1090/0217</x:t>
        </x:is>
      </x:c>
      <x:c r="E949" s="529" t="inlineStr">
        <x:is>
          <x:t xml:space="preserve">10/25/1989</x:t>
        </x:is>
      </x:c>
      <x:c r="F949" s="529" t="n">
        <x:v>32806</x:v>
      </x:c>
      <x:c r="G949" s="527" t="inlineStr">
        <x:is>
          <x:t xml:space="preserve">Mary Ellen Sitzmann</x:t>
        </x:is>
      </x:c>
      <x:c r="H949" s="527" t="inlineStr">
        <x:is>
          <x:t xml:space="preserve">Mary Ellen Silverberg</x:t>
        </x:is>
      </x:c>
      <x:c r="I949" s="527" t="inlineStr">
        <x:is>
          <x:t xml:space="preserve">31-12N-24W (AOL)</x:t>
        </x:is>
      </x:c>
      <x:c r="J949" s="527" t="inlineStr">
        <x:is>
          <x:t xml:space="preserve">See instrument</x:t>
        </x:is>
      </x:c>
      <x:c r="K949" s="527" t="inlineStr">
        <x:is>
          <x:t xml:space="preserve">OKCountyRecords official index, Roger Mills County (instrument 1989-005860); searched 06/11/2026</x:t>
        </x:is>
      </x:c>
      <x:c r="L949" s="565" t="n"/>
      <x:c r="M949" s="565" t="n"/>
      <x:c r="N949" s="565" t="n"/>
      <x:c r="O949" s="565" t="n"/>
      <x:c r="P949" s="565" t="n"/>
      <x:c r="Q949" s="565" t="n"/>
      <x:c r="R949" s="565" t="n"/>
      <x:c r="S949" s="613" t="n"/>
      <x:c r="T949" s="565" t="n"/>
      <x:c r="U949" s="613" t="n"/>
      <x:c r="V949" s="565" t="n"/>
      <x:c r="W949" s="565" t="n"/>
      <x:c r="X949" s="565" t="n"/>
      <x:c r="Y949" s="565" t="n"/>
      <x:c r="Z949" s="565" t="n"/>
    </x:row>
    <x:row r="950">
      <x:c r="A950" s="527" t="inlineStr">
        <x:is>
          <x:t xml:space="preserve">1989-006590</x:t>
        </x:is>
      </x:c>
      <x:c r="B950" s="527" t="n"/>
      <x:c r="C950" s="527" t="inlineStr">
        <x:is>
          <x:t xml:space="preserve">Deed</x:t>
        </x:is>
      </x:c>
      <x:c r="D950" s="527" t="inlineStr">
        <x:is>
          <x:t xml:space="preserve">1100/0048</x:t>
        </x:is>
      </x:c>
      <x:c r="E950" s="529" t="inlineStr">
        <x:is>
          <x:t xml:space="preserve">12/05/1989</x:t>
        </x:is>
      </x:c>
      <x:c r="F950" s="529" t="n">
        <x:v>32847</x:v>
      </x:c>
      <x:c r="G950" s="527" t="inlineStr">
        <x:is>
          <x:t xml:space="preserve">Mann Group Investment Company</x:t>
        </x:is>
      </x:c>
      <x:c r="H950" s="527" t="inlineStr">
        <x:is>
          <x:t xml:space="preserve">Bluebonnet Investments, Ltd.</x:t>
        </x:is>
      </x:c>
      <x:c r="I950" s="527" t="inlineStr">
        <x:is>
          <x:t xml:space="preserve">31-12N-24W (AOL)</x:t>
        </x:is>
      </x:c>
      <x:c r="J950" s="527" t="inlineStr">
        <x:is>
          <x:t xml:space="preserve">Fee / as stated</x:t>
        </x:is>
      </x:c>
      <x:c r="K950" s="527" t="inlineStr">
        <x:is>
          <x:t xml:space="preserve">OKCountyRecords official index, Roger Mills County (instrument 1989-006590); searched 06/11/2026</x:t>
        </x:is>
      </x:c>
      <x:c r="L950" s="565" t="n"/>
      <x:c r="M950" s="565" t="n"/>
      <x:c r="N950" s="565" t="n"/>
      <x:c r="O950" s="565" t="n"/>
      <x:c r="P950" s="565" t="n"/>
      <x:c r="Q950" s="565" t="n"/>
      <x:c r="R950" s="565" t="n"/>
      <x:c r="S950" s="613" t="n"/>
      <x:c r="T950" s="565" t="n"/>
      <x:c r="U950" s="613" t="n"/>
      <x:c r="V950" s="565" t="n"/>
      <x:c r="W950" s="565" t="n"/>
      <x:c r="X950" s="565" t="n"/>
      <x:c r="Y950" s="565" t="n"/>
      <x:c r="Z950" s="565" t="n"/>
    </x:row>
    <x:row r="951">
      <x:c r="A951" s="527" t="inlineStr">
        <x:is>
          <x:t xml:space="preserve">1989-006908</x:t>
        </x:is>
      </x:c>
      <x:c r="B951" s="527" t="n"/>
      <x:c r="C951" s="527" t="inlineStr">
        <x:is>
          <x:t xml:space="preserve">Oil and Gas Lease</x:t>
        </x:is>
      </x:c>
      <x:c r="D951" s="527" t="inlineStr">
        <x:is>
          <x:t xml:space="preserve">1103/0152</x:t>
        </x:is>
      </x:c>
      <x:c r="E951" s="529" t="inlineStr">
        <x:is>
          <x:t xml:space="preserve">12/22/1989</x:t>
        </x:is>
      </x:c>
      <x:c r="F951" s="529" t="n">
        <x:v>32864</x:v>
      </x:c>
      <x:c r="G951" s="527" t="inlineStr">
        <x:is>
          <x:t xml:space="preserve">Eddie Tom Lakey</x:t>
        </x:is>
      </x:c>
      <x:c r="H951" s="527" t="inlineStr">
        <x:is>
          <x:t xml:space="preserve">Santa Fe Energy Operating Partners</x:t>
        </x:is>
      </x:c>
      <x:c r="I951" s="527" t="inlineStr">
        <x:is>
          <x:t xml:space="preserve">31-12N-24W</x:t>
        </x:is>
      </x:c>
      <x:c r="J951" s="527" t="inlineStr">
        <x:is>
          <x:t xml:space="preserve">Leasehold / WI</x:t>
        </x:is>
      </x:c>
      <x:c r="K951" s="527" t="inlineStr">
        <x:is>
          <x:t xml:space="preserve">OKCountyRecords official index, Roger Mills County (instrument 1989-006908); searched 06/11/2026</x:t>
        </x:is>
      </x:c>
      <x:c r="L951" s="565" t="n"/>
      <x:c r="M951" s="565" t="n"/>
      <x:c r="N951" s="565" t="n"/>
      <x:c r="O951" s="565" t="n"/>
      <x:c r="P951" s="565" t="n"/>
      <x:c r="Q951" s="565" t="n"/>
      <x:c r="R951" s="565" t="n"/>
      <x:c r="S951" s="613" t="n"/>
      <x:c r="T951" s="565" t="n"/>
      <x:c r="U951" s="613" t="n"/>
      <x:c r="V951" s="565" t="n"/>
      <x:c r="W951" s="565" t="n"/>
      <x:c r="X951" s="565" t="n"/>
      <x:c r="Y951" s="565" t="n"/>
      <x:c r="Z951" s="565" t="n"/>
    </x:row>
    <x:row r="952">
      <x:c r="A952" s="527" t="inlineStr">
        <x:is>
          <x:t xml:space="preserve">1989-006910</x:t>
        </x:is>
      </x:c>
      <x:c r="B952" s="527" t="n"/>
      <x:c r="C952" s="527" t="inlineStr">
        <x:is>
          <x:t xml:space="preserve">Oil and Gas Lease</x:t>
        </x:is>
      </x:c>
      <x:c r="D952" s="527" t="inlineStr">
        <x:is>
          <x:t xml:space="preserve">1103/0156</x:t>
        </x:is>
      </x:c>
      <x:c r="E952" s="529" t="inlineStr">
        <x:is>
          <x:t xml:space="preserve">12/22/1989</x:t>
        </x:is>
      </x:c>
      <x:c r="F952" s="529" t="n">
        <x:v>32864</x:v>
      </x:c>
      <x:c r="G952" s="527" t="inlineStr">
        <x:is>
          <x:t xml:space="preserve">Margie Ann Anderson,
Margie Ann Kirk</x:t>
        </x:is>
      </x:c>
      <x:c r="H952" s="527" t="inlineStr">
        <x:is>
          <x:t xml:space="preserve">Santa Fe Energy Operating Partners</x:t>
        </x:is>
      </x:c>
      <x:c r="I952" s="527" t="inlineStr">
        <x:is>
          <x:t xml:space="preserve">31-12N-24W</x:t>
        </x:is>
      </x:c>
      <x:c r="J952" s="527" t="inlineStr">
        <x:is>
          <x:t xml:space="preserve">Leasehold / WI</x:t>
        </x:is>
      </x:c>
      <x:c r="K952" s="527" t="inlineStr">
        <x:is>
          <x:t xml:space="preserve">OKCountyRecords official index, Roger Mills County (instrument 1989-006910); searched 06/11/2026</x:t>
        </x:is>
      </x:c>
      <x:c r="L952" s="565" t="n"/>
      <x:c r="M952" s="565" t="n"/>
      <x:c r="N952" s="565" t="n"/>
      <x:c r="O952" s="565" t="n"/>
      <x:c r="P952" s="565" t="n"/>
      <x:c r="Q952" s="565" t="n"/>
      <x:c r="R952" s="565" t="n"/>
      <x:c r="S952" s="613" t="n"/>
      <x:c r="T952" s="565" t="n"/>
      <x:c r="U952" s="613" t="n"/>
      <x:c r="V952" s="565" t="n"/>
      <x:c r="W952" s="565" t="n"/>
      <x:c r="X952" s="565" t="n"/>
      <x:c r="Y952" s="565" t="n"/>
      <x:c r="Z952" s="565" t="n"/>
    </x:row>
    <x:row r="953">
      <x:c r="A953" s="527" t="inlineStr">
        <x:is>
          <x:t xml:space="preserve">1989-007000</x:t>
        </x:is>
      </x:c>
      <x:c r="B953" s="527" t="n"/>
      <x:c r="C953" s="527" t="inlineStr">
        <x:is>
          <x:t xml:space="preserve">Deed</x:t>
        </x:is>
      </x:c>
      <x:c r="D953" s="527" t="inlineStr">
        <x:is>
          <x:t xml:space="preserve">1104/0087</x:t>
        </x:is>
      </x:c>
      <x:c r="E953" s="529" t="inlineStr">
        <x:is>
          <x:t xml:space="preserve">12/27/1989</x:t>
        </x:is>
      </x:c>
      <x:c r="F953" s="529" t="n">
        <x:v>32869</x:v>
      </x:c>
      <x:c r="G953" s="527" t="inlineStr">
        <x:is>
          <x:t xml:space="preserve">Ernest Jensen,
Wilda Jensen</x:t>
        </x:is>
      </x:c>
      <x:c r="H953" s="527" t="inlineStr">
        <x:is>
          <x:t xml:space="preserve">Hans W. Jensen</x:t>
        </x:is>
      </x:c>
      <x:c r="I953" s="527" t="inlineStr">
        <x:is>
          <x:t xml:space="preserve">31-12N-24W (AOL)</x:t>
        </x:is>
      </x:c>
      <x:c r="J953" s="527" t="inlineStr">
        <x:is>
          <x:t xml:space="preserve">Fee / as stated</x:t>
        </x:is>
      </x:c>
      <x:c r="K953" s="527" t="inlineStr">
        <x:is>
          <x:t xml:space="preserve">OKCountyRecords official index, Roger Mills County (instrument 1989-007000); searched 06/11/2026</x:t>
        </x:is>
      </x:c>
      <x:c r="L953" s="565" t="n"/>
      <x:c r="M953" s="565" t="n"/>
      <x:c r="N953" s="565" t="n"/>
      <x:c r="O953" s="565" t="n"/>
      <x:c r="P953" s="565" t="n"/>
      <x:c r="Q953" s="565" t="n"/>
      <x:c r="R953" s="565" t="n"/>
      <x:c r="S953" s="613" t="n"/>
      <x:c r="T953" s="565" t="n"/>
      <x:c r="U953" s="613" t="n"/>
      <x:c r="V953" s="565" t="n"/>
      <x:c r="W953" s="565" t="n"/>
      <x:c r="X953" s="565" t="n"/>
      <x:c r="Y953" s="565" t="n"/>
      <x:c r="Z953" s="565" t="n"/>
    </x:row>
    <x:row r="954">
      <x:c r="A954" s="527" t="inlineStr">
        <x:is>
          <x:t xml:space="preserve">1989-007001</x:t>
        </x:is>
      </x:c>
      <x:c r="B954" s="527" t="n"/>
      <x:c r="C954" s="527" t="inlineStr">
        <x:is>
          <x:t xml:space="preserve">Deed</x:t>
        </x:is>
      </x:c>
      <x:c r="D954" s="527" t="inlineStr">
        <x:is>
          <x:t xml:space="preserve">1104/0090</x:t>
        </x:is>
      </x:c>
      <x:c r="E954" s="529" t="inlineStr">
        <x:is>
          <x:t xml:space="preserve">12/27/1989</x:t>
        </x:is>
      </x:c>
      <x:c r="F954" s="529" t="n">
        <x:v>32869</x:v>
      </x:c>
      <x:c r="G954" s="527" t="inlineStr">
        <x:is>
          <x:t xml:space="preserve">Ernest Jensen,
Wilda Jensen</x:t>
        </x:is>
      </x:c>
      <x:c r="H954" s="527" t="inlineStr">
        <x:is>
          <x:t xml:space="preserve">Tim E. Jensen</x:t>
        </x:is>
      </x:c>
      <x:c r="I954" s="527" t="inlineStr">
        <x:is>
          <x:t xml:space="preserve">31-12N-24W (AOL)</x:t>
        </x:is>
      </x:c>
      <x:c r="J954" s="527" t="inlineStr">
        <x:is>
          <x:t xml:space="preserve">Fee / as stated</x:t>
        </x:is>
      </x:c>
      <x:c r="K954" s="527" t="inlineStr">
        <x:is>
          <x:t xml:space="preserve">OKCountyRecords official index, Roger Mills County (instrument 1989-007001); searched 06/11/2026</x:t>
        </x:is>
      </x:c>
      <x:c r="L954" s="565" t="n"/>
      <x:c r="M954" s="565" t="n"/>
      <x:c r="N954" s="565" t="n"/>
      <x:c r="O954" s="565" t="n"/>
      <x:c r="P954" s="565" t="n"/>
      <x:c r="Q954" s="565" t="n"/>
      <x:c r="R954" s="565" t="n"/>
      <x:c r="S954" s="613" t="n"/>
      <x:c r="T954" s="565" t="n"/>
      <x:c r="U954" s="613" t="n"/>
      <x:c r="V954" s="565" t="n"/>
      <x:c r="W954" s="565" t="n"/>
      <x:c r="X954" s="565" t="n"/>
      <x:c r="Y954" s="565" t="n"/>
      <x:c r="Z954" s="565" t="n"/>
    </x:row>
    <x:row r="955">
      <x:c r="A955" s="527" t="inlineStr">
        <x:is>
          <x:t xml:space="preserve">1990-000386</x:t>
        </x:is>
      </x:c>
      <x:c r="B955" s="527" t="n"/>
      <x:c r="C955" s="527" t="inlineStr">
        <x:is>
          <x:t xml:space="preserve">Release</x:t>
        </x:is>
      </x:c>
      <x:c r="D955" s="527" t="inlineStr">
        <x:is>
          <x:t xml:space="preserve">1109/0291</x:t>
        </x:is>
      </x:c>
      <x:c r="E955" s="529" t="inlineStr">
        <x:is>
          <x:t xml:space="preserve">01/24/1990</x:t>
        </x:is>
      </x:c>
      <x:c r="F955" s="529" t="n">
        <x:v>32897</x:v>
      </x:c>
      <x:c r="G955" s="527" t="inlineStr">
        <x:is>
          <x:t xml:space="preserve">El Paso Natural Gas Company,
Meridian Oil Production, Inc.</x:t>
        </x:is>
      </x:c>
      <x:c r="H955" s="527" t="inlineStr">
        <x:is>
          <x:t xml:space="preserve">Carrie Leeann (minor) Mitchell,
John L. Guardian Mitchell,
Nancy Susan (minor) Mitchell,
Gena (minor) Williams,
Gene G. Guardian Williams,
Marvin Mitchell (minor) Williams</x:t>
        </x:is>
      </x:c>
      <x:c r="I955" s="527" t="inlineStr">
        <x:is>
          <x:t xml:space="preserve">31-12N-24W (AOL)</x:t>
        </x:is>
      </x:c>
      <x:c r="J955" s="527" t="inlineStr">
        <x:is>
          <x:t xml:space="preserve">Leasehold / WI</x:t>
        </x:is>
      </x:c>
      <x:c r="K955" s="527" t="inlineStr">
        <x:is>
          <x:t xml:space="preserve">OKCountyRecords official index, Roger Mills County (instrument 1990-000386); searched 06/11/2026</x:t>
        </x:is>
      </x:c>
      <x:c r="L955" s="565" t="n"/>
      <x:c r="M955" s="565" t="n"/>
      <x:c r="N955" s="565" t="n"/>
      <x:c r="O955" s="565" t="n"/>
      <x:c r="P955" s="565" t="n"/>
      <x:c r="Q955" s="565" t="n"/>
      <x:c r="R955" s="565" t="n"/>
      <x:c r="S955" s="613" t="n"/>
      <x:c r="T955" s="565" t="n"/>
      <x:c r="U955" s="613" t="n"/>
      <x:c r="V955" s="565" t="n"/>
      <x:c r="W955" s="565" t="n"/>
      <x:c r="X955" s="565" t="n"/>
      <x:c r="Y955" s="565" t="n"/>
      <x:c r="Z955" s="565" t="n"/>
    </x:row>
    <x:row r="956">
      <x:c r="A956" s="527" t="inlineStr">
        <x:is>
          <x:t xml:space="preserve">1990-000534</x:t>
        </x:is>
      </x:c>
      <x:c r="B956" s="527" t="n"/>
      <x:c r="C956" s="527" t="inlineStr">
        <x:is>
          <x:t xml:space="preserve">Assignment</x:t>
        </x:is>
      </x:c>
      <x:c r="D956" s="527" t="inlineStr">
        <x:is>
          <x:t xml:space="preserve">1111/0182</x:t>
        </x:is>
      </x:c>
      <x:c r="E956" s="529" t="inlineStr">
        <x:is>
          <x:t xml:space="preserve">01/30/1990</x:t>
        </x:is>
      </x:c>
      <x:c r="F956" s="529" t="n">
        <x:v>32903</x:v>
      </x:c>
      <x:c r="G956" s="527" t="inlineStr">
        <x:is>
          <x:t xml:space="preserve">Santa Fe Energy Operating Partners</x:t>
        </x:is>
      </x:c>
      <x:c r="H956" s="527" t="inlineStr">
        <x:is>
          <x:t xml:space="preserve">Barbara Fasken</x:t>
        </x:is>
      </x:c>
      <x:c r="I956" s="527" t="inlineStr">
        <x:is>
          <x:t xml:space="preserve">31-12N-24W (AOL)</x:t>
        </x:is>
      </x:c>
      <x:c r="J956" s="527" t="inlineStr">
        <x:is>
          <x:t xml:space="preserve">Leasehold / WI</x:t>
        </x:is>
      </x:c>
      <x:c r="K956" s="527" t="inlineStr">
        <x:is>
          <x:t xml:space="preserve">OKCountyRecords official index, Roger Mills County (instrument 1990-000534); searched 06/11/2026</x:t>
        </x:is>
      </x:c>
      <x:c r="L956" s="565" t="n"/>
      <x:c r="M956" s="565" t="n"/>
      <x:c r="N956" s="565" t="n"/>
      <x:c r="O956" s="565" t="n"/>
      <x:c r="P956" s="565" t="n"/>
      <x:c r="Q956" s="565" t="n"/>
      <x:c r="R956" s="565" t="n"/>
      <x:c r="S956" s="613" t="n"/>
      <x:c r="T956" s="565" t="n"/>
      <x:c r="U956" s="613" t="n"/>
      <x:c r="V956" s="565" t="n"/>
      <x:c r="W956" s="565" t="n"/>
      <x:c r="X956" s="565" t="n"/>
      <x:c r="Y956" s="565" t="n"/>
      <x:c r="Z956" s="565" t="n"/>
    </x:row>
    <x:row r="957">
      <x:c r="A957" s="527" t="inlineStr">
        <x:is>
          <x:t xml:space="preserve">1990-000535</x:t>
        </x:is>
      </x:c>
      <x:c r="B957" s="527" t="n"/>
      <x:c r="C957" s="527" t="inlineStr">
        <x:is>
          <x:t xml:space="preserve">Oil and Gas Lease</x:t>
        </x:is>
      </x:c>
      <x:c r="D957" s="527" t="inlineStr">
        <x:is>
          <x:t xml:space="preserve">1111/0219</x:t>
        </x:is>
      </x:c>
      <x:c r="E957" s="529" t="inlineStr">
        <x:is>
          <x:t xml:space="preserve">01/30/1990</x:t>
        </x:is>
      </x:c>
      <x:c r="F957" s="529" t="n">
        <x:v>32903</x:v>
      </x:c>
      <x:c r="G957" s="527" t="inlineStr">
        <x:is>
          <x:t xml:space="preserve">William Cobal Bain Jr.</x:t>
        </x:is>
      </x:c>
      <x:c r="H957" s="527" t="inlineStr">
        <x:is>
          <x:t xml:space="preserve">Santa Fe Energy Operating Partners</x:t>
        </x:is>
      </x:c>
      <x:c r="I957" s="527" t="inlineStr">
        <x:is>
          <x:t xml:space="preserve">31-12N-24W (AOL)</x:t>
        </x:is>
      </x:c>
      <x:c r="J957" s="527" t="inlineStr">
        <x:is>
          <x:t xml:space="preserve">Leasehold / WI</x:t>
        </x:is>
      </x:c>
      <x:c r="K957" s="527" t="inlineStr">
        <x:is>
          <x:t xml:space="preserve">OKCountyRecords official index, Roger Mills County (instrument 1990-000535); searched 06/11/2026</x:t>
        </x:is>
      </x:c>
      <x:c r="L957" s="565" t="n"/>
      <x:c r="M957" s="565" t="n"/>
      <x:c r="N957" s="565" t="n"/>
      <x:c r="O957" s="565" t="n"/>
      <x:c r="P957" s="565" t="n"/>
      <x:c r="Q957" s="565" t="n"/>
      <x:c r="R957" s="565" t="n"/>
      <x:c r="S957" s="613" t="n"/>
      <x:c r="T957" s="565" t="n"/>
      <x:c r="U957" s="613" t="n"/>
      <x:c r="V957" s="565" t="n"/>
      <x:c r="W957" s="565" t="n"/>
      <x:c r="X957" s="565" t="n"/>
      <x:c r="Y957" s="565" t="n"/>
      <x:c r="Z957" s="565" t="n"/>
    </x:row>
    <x:row r="958">
      <x:c r="A958" s="527" t="inlineStr">
        <x:is>
          <x:t xml:space="preserve">1990-000536</x:t>
        </x:is>
      </x:c>
      <x:c r="B958" s="527" t="n"/>
      <x:c r="C958" s="527" t="inlineStr">
        <x:is>
          <x:t xml:space="preserve">Oil and Gas Lease</x:t>
        </x:is>
      </x:c>
      <x:c r="D958" s="527" t="inlineStr">
        <x:is>
          <x:t xml:space="preserve">1111/0223</x:t>
        </x:is>
      </x:c>
      <x:c r="E958" s="529" t="inlineStr">
        <x:is>
          <x:t xml:space="preserve">01/30/1990</x:t>
        </x:is>
      </x:c>
      <x:c r="F958" s="529" t="n">
        <x:v>32903</x:v>
      </x:c>
      <x:c r="G958" s="527" t="inlineStr">
        <x:is>
          <x:t xml:space="preserve">Gene Williams Waggner</x:t>
        </x:is>
      </x:c>
      <x:c r="H958" s="527" t="inlineStr">
        <x:is>
          <x:t xml:space="preserve">Ed Orr &amp; Associates</x:t>
        </x:is>
      </x:c>
      <x:c r="I958" s="527" t="inlineStr">
        <x:is>
          <x:t xml:space="preserve">31-12N-24W</x:t>
        </x:is>
      </x:c>
      <x:c r="J958" s="527" t="inlineStr">
        <x:is>
          <x:t xml:space="preserve">Leasehold / WI</x:t>
        </x:is>
      </x:c>
      <x:c r="K958" s="527" t="inlineStr">
        <x:is>
          <x:t xml:space="preserve">OKCountyRecords official index, Roger Mills County (instrument 1990-000536); searched 06/11/2026</x:t>
        </x:is>
      </x:c>
      <x:c r="L958" s="565" t="n"/>
      <x:c r="M958" s="565" t="n"/>
      <x:c r="N958" s="565" t="n"/>
      <x:c r="O958" s="565" t="n"/>
      <x:c r="P958" s="565" t="n"/>
      <x:c r="Q958" s="565" t="n"/>
      <x:c r="R958" s="565" t="n"/>
      <x:c r="S958" s="613" t="n"/>
      <x:c r="T958" s="565" t="n"/>
      <x:c r="U958" s="613" t="n"/>
      <x:c r="V958" s="565" t="n"/>
      <x:c r="W958" s="565" t="n"/>
      <x:c r="X958" s="565" t="n"/>
      <x:c r="Y958" s="565" t="n"/>
      <x:c r="Z958" s="565" t="n"/>
    </x:row>
    <x:row r="959">
      <x:c r="A959" s="527" t="inlineStr">
        <x:is>
          <x:t xml:space="preserve">1990-000537</x:t>
        </x:is>
      </x:c>
      <x:c r="B959" s="527" t="n"/>
      <x:c r="C959" s="527" t="inlineStr">
        <x:is>
          <x:t xml:space="preserve">Oil and Gas Lease</x:t>
        </x:is>
      </x:c>
      <x:c r="D959" s="527" t="inlineStr">
        <x:is>
          <x:t xml:space="preserve">1111/0225</x:t>
        </x:is>
      </x:c>
      <x:c r="E959" s="529" t="inlineStr">
        <x:is>
          <x:t xml:space="preserve">01/30/1990</x:t>
        </x:is>
      </x:c>
      <x:c r="F959" s="529" t="n">
        <x:v>32903</x:v>
      </x:c>
      <x:c r="G959" s="527" t="inlineStr">
        <x:is>
          <x:t xml:space="preserve">Nancy Susan Mitchell</x:t>
        </x:is>
      </x:c>
      <x:c r="H959" s="527" t="inlineStr">
        <x:is>
          <x:t xml:space="preserve">Ed Orr &amp; Associates</x:t>
        </x:is>
      </x:c>
      <x:c r="I959" s="527" t="inlineStr">
        <x:is>
          <x:t xml:space="preserve">31-12N-24W</x:t>
        </x:is>
      </x:c>
      <x:c r="J959" s="527" t="inlineStr">
        <x:is>
          <x:t xml:space="preserve">Leasehold / WI</x:t>
        </x:is>
      </x:c>
      <x:c r="K959" s="527" t="inlineStr">
        <x:is>
          <x:t xml:space="preserve">OKCountyRecords official index, Roger Mills County (instrument 1990-000537); searched 06/11/2026</x:t>
        </x:is>
      </x:c>
      <x:c r="L959" s="565" t="n"/>
      <x:c r="M959" s="565" t="n"/>
      <x:c r="N959" s="565" t="n"/>
      <x:c r="O959" s="565" t="n"/>
      <x:c r="P959" s="565" t="n"/>
      <x:c r="Q959" s="565" t="n"/>
      <x:c r="R959" s="565" t="n"/>
      <x:c r="S959" s="613" t="n"/>
      <x:c r="T959" s="565" t="n"/>
      <x:c r="U959" s="613" t="n"/>
      <x:c r="V959" s="565" t="n"/>
      <x:c r="W959" s="565" t="n"/>
      <x:c r="X959" s="565" t="n"/>
      <x:c r="Y959" s="565" t="n"/>
      <x:c r="Z959" s="565" t="n"/>
    </x:row>
    <x:row r="960">
      <x:c r="A960" s="527" t="inlineStr">
        <x:is>
          <x:t xml:space="preserve">1990-000538</x:t>
        </x:is>
      </x:c>
      <x:c r="B960" s="527" t="n"/>
      <x:c r="C960" s="527" t="inlineStr">
        <x:is>
          <x:t xml:space="preserve">Oil and Gas Lease</x:t>
        </x:is>
      </x:c>
      <x:c r="D960" s="527" t="inlineStr">
        <x:is>
          <x:t xml:space="preserve">1111/0227</x:t>
        </x:is>
      </x:c>
      <x:c r="E960" s="529" t="inlineStr">
        <x:is>
          <x:t xml:space="preserve">01/30/1990</x:t>
        </x:is>
      </x:c>
      <x:c r="F960" s="529" t="n">
        <x:v>32903</x:v>
      </x:c>
      <x:c r="G960" s="527" t="inlineStr">
        <x:is>
          <x:t xml:space="preserve">Carrie Leeann Mitchell</x:t>
        </x:is>
      </x:c>
      <x:c r="H960" s="527" t="inlineStr">
        <x:is>
          <x:t xml:space="preserve">Ed Orr &amp; Associates</x:t>
        </x:is>
      </x:c>
      <x:c r="I960" s="527" t="inlineStr">
        <x:is>
          <x:t xml:space="preserve">31-12N-24W</x:t>
        </x:is>
      </x:c>
      <x:c r="J960" s="527" t="inlineStr">
        <x:is>
          <x:t xml:space="preserve">Leasehold / WI</x:t>
        </x:is>
      </x:c>
      <x:c r="K960" s="527" t="inlineStr">
        <x:is>
          <x:t xml:space="preserve">OKCountyRecords official index, Roger Mills County (instrument 1990-000538); searched 06/11/2026</x:t>
        </x:is>
      </x:c>
      <x:c r="L960" s="565" t="n"/>
      <x:c r="M960" s="565" t="n"/>
      <x:c r="N960" s="565" t="n"/>
      <x:c r="O960" s="565" t="n"/>
      <x:c r="P960" s="565" t="n"/>
      <x:c r="Q960" s="565" t="n"/>
      <x:c r="R960" s="565" t="n"/>
      <x:c r="S960" s="613" t="n"/>
      <x:c r="T960" s="565" t="n"/>
      <x:c r="U960" s="613" t="n"/>
      <x:c r="V960" s="565" t="n"/>
      <x:c r="W960" s="565" t="n"/>
      <x:c r="X960" s="565" t="n"/>
      <x:c r="Y960" s="565" t="n"/>
      <x:c r="Z960" s="565" t="n"/>
    </x:row>
    <x:row r="961">
      <x:c r="A961" s="527" t="inlineStr">
        <x:is>
          <x:t xml:space="preserve">1990-000539</x:t>
        </x:is>
      </x:c>
      <x:c r="B961" s="527" t="n"/>
      <x:c r="C961" s="527" t="inlineStr">
        <x:is>
          <x:t xml:space="preserve">Oil and Gas Lease</x:t>
        </x:is>
      </x:c>
      <x:c r="D961" s="527" t="inlineStr">
        <x:is>
          <x:t xml:space="preserve">1111/0229</x:t>
        </x:is>
      </x:c>
      <x:c r="E961" s="529" t="inlineStr">
        <x:is>
          <x:t xml:space="preserve">01/30/1990</x:t>
        </x:is>
      </x:c>
      <x:c r="F961" s="529" t="n">
        <x:v>32903</x:v>
      </x:c>
      <x:c r="G961" s="527" t="inlineStr">
        <x:is>
          <x:t xml:space="preserve">Marvin Mitchell Williams</x:t>
        </x:is>
      </x:c>
      <x:c r="H961" s="527" t="inlineStr">
        <x:is>
          <x:t xml:space="preserve">Ed Orr &amp; Associates</x:t>
        </x:is>
      </x:c>
      <x:c r="I961" s="527" t="inlineStr">
        <x:is>
          <x:t xml:space="preserve">31-12N-24W</x:t>
        </x:is>
      </x:c>
      <x:c r="J961" s="527" t="inlineStr">
        <x:is>
          <x:t xml:space="preserve">Leasehold / WI</x:t>
        </x:is>
      </x:c>
      <x:c r="K961" s="527" t="inlineStr">
        <x:is>
          <x:t xml:space="preserve">OKCountyRecords official index, Roger Mills County (instrument 1990-000539); searched 06/11/2026</x:t>
        </x:is>
      </x:c>
      <x:c r="L961" s="565" t="n"/>
      <x:c r="M961" s="565" t="n"/>
      <x:c r="N961" s="565" t="n"/>
      <x:c r="O961" s="565" t="n"/>
      <x:c r="P961" s="565" t="n"/>
      <x:c r="Q961" s="565" t="n"/>
      <x:c r="R961" s="565" t="n"/>
      <x:c r="S961" s="613" t="n"/>
      <x:c r="T961" s="565" t="n"/>
      <x:c r="U961" s="613" t="n"/>
      <x:c r="V961" s="565" t="n"/>
      <x:c r="W961" s="565" t="n"/>
      <x:c r="X961" s="565" t="n"/>
      <x:c r="Y961" s="565" t="n"/>
      <x:c r="Z961" s="565" t="n"/>
    </x:row>
    <x:row r="962">
      <x:c r="A962" s="527" t="inlineStr">
        <x:is>
          <x:t xml:space="preserve">1990-000540</x:t>
        </x:is>
      </x:c>
      <x:c r="B962" s="527" t="n"/>
      <x:c r="C962" s="527" t="inlineStr">
        <x:is>
          <x:t xml:space="preserve">Oil and Gas Lease</x:t>
        </x:is>
      </x:c>
      <x:c r="D962" s="527" t="inlineStr">
        <x:is>
          <x:t xml:space="preserve">1111/0231</x:t>
        </x:is>
      </x:c>
      <x:c r="E962" s="529" t="inlineStr">
        <x:is>
          <x:t xml:space="preserve">01/30/1990</x:t>
        </x:is>
      </x:c>
      <x:c r="F962" s="529" t="n">
        <x:v>32903</x:v>
      </x:c>
      <x:c r="G962" s="527" t="inlineStr">
        <x:is>
          <x:t xml:space="preserve">Chester Whitledge</x:t>
        </x:is>
      </x:c>
      <x:c r="H962" s="527" t="inlineStr">
        <x:is>
          <x:t xml:space="preserve">Santa Fe Energy Operating Partners</x:t>
        </x:is>
      </x:c>
      <x:c r="I962" s="527" t="inlineStr">
        <x:is>
          <x:t xml:space="preserve">31-12N-24W (AOL)</x:t>
        </x:is>
      </x:c>
      <x:c r="J962" s="527" t="inlineStr">
        <x:is>
          <x:t xml:space="preserve">Leasehold / WI</x:t>
        </x:is>
      </x:c>
      <x:c r="K962" s="527" t="inlineStr">
        <x:is>
          <x:t xml:space="preserve">OKCountyRecords official index, Roger Mills County (instrument 1990-000540); searched 06/11/2026</x:t>
        </x:is>
      </x:c>
      <x:c r="L962" s="565" t="n"/>
      <x:c r="M962" s="565" t="n"/>
      <x:c r="N962" s="565" t="n"/>
      <x:c r="O962" s="565" t="n"/>
      <x:c r="P962" s="565" t="n"/>
      <x:c r="Q962" s="565" t="n"/>
      <x:c r="R962" s="565" t="n"/>
      <x:c r="S962" s="613" t="n"/>
      <x:c r="T962" s="565" t="n"/>
      <x:c r="U962" s="613" t="n"/>
      <x:c r="V962" s="565" t="n"/>
      <x:c r="W962" s="565" t="n"/>
      <x:c r="X962" s="565" t="n"/>
      <x:c r="Y962" s="565" t="n"/>
      <x:c r="Z962" s="565" t="n"/>
    </x:row>
    <x:row r="963">
      <x:c r="A963" s="527" t="inlineStr">
        <x:is>
          <x:t xml:space="preserve">1990-000549</x:t>
        </x:is>
      </x:c>
      <x:c r="B963" s="527" t="n"/>
      <x:c r="C963" s="527" t="inlineStr">
        <x:is>
          <x:t xml:space="preserve">Assignment</x:t>
        </x:is>
      </x:c>
      <x:c r="D963" s="527" t="inlineStr">
        <x:is>
          <x:t xml:space="preserve">1111/0244</x:t>
        </x:is>
      </x:c>
      <x:c r="E963" s="529" t="inlineStr">
        <x:is>
          <x:t xml:space="preserve">01/31/1990</x:t>
        </x:is>
      </x:c>
      <x:c r="F963" s="529" t="n">
        <x:v>32904</x:v>
      </x:c>
      <x:c r="G963" s="527" t="inlineStr">
        <x:is>
          <x:t xml:space="preserve">Williams Properties, Inc.</x:t>
        </x:is>
      </x:c>
      <x:c r="H963" s="527" t="inlineStr">
        <x:is>
          <x:t xml:space="preserve">Santa Fe Energy Operating Partners</x:t>
        </x:is>
      </x:c>
      <x:c r="I963" s="527" t="inlineStr">
        <x:is>
          <x:t xml:space="preserve">31-12N-24W (AOL)</x:t>
        </x:is>
      </x:c>
      <x:c r="J963" s="527" t="inlineStr">
        <x:is>
          <x:t xml:space="preserve">Leasehold / WI</x:t>
        </x:is>
      </x:c>
      <x:c r="K963" s="527" t="inlineStr">
        <x:is>
          <x:t xml:space="preserve">OKCountyRecords official index, Roger Mills County (instrument 1990-000549); searched 06/11/2026</x:t>
        </x:is>
      </x:c>
      <x:c r="L963" s="565" t="n"/>
      <x:c r="M963" s="565" t="n"/>
      <x:c r="N963" s="565" t="n"/>
      <x:c r="O963" s="565" t="n"/>
      <x:c r="P963" s="565" t="n"/>
      <x:c r="Q963" s="565" t="n"/>
      <x:c r="R963" s="565" t="n"/>
      <x:c r="S963" s="613" t="n"/>
      <x:c r="T963" s="565" t="n"/>
      <x:c r="U963" s="613" t="n"/>
      <x:c r="V963" s="565" t="n"/>
      <x:c r="W963" s="565" t="n"/>
      <x:c r="X963" s="565" t="n"/>
      <x:c r="Y963" s="565" t="n"/>
      <x:c r="Z963" s="565" t="n"/>
    </x:row>
    <x:row r="964">
      <x:c r="A964" s="527" t="inlineStr">
        <x:is>
          <x:t xml:space="preserve">1990-000550</x:t>
        </x:is>
      </x:c>
      <x:c r="B964" s="527" t="n"/>
      <x:c r="C964" s="527" t="inlineStr">
        <x:is>
          <x:t xml:space="preserve">Assignment</x:t>
        </x:is>
      </x:c>
      <x:c r="D964" s="527" t="inlineStr">
        <x:is>
          <x:t xml:space="preserve">1111/0246</x:t>
        </x:is>
      </x:c>
      <x:c r="E964" s="529" t="inlineStr">
        <x:is>
          <x:t xml:space="preserve">01/31/1990</x:t>
        </x:is>
      </x:c>
      <x:c r="F964" s="529" t="n">
        <x:v>32904</x:v>
      </x:c>
      <x:c r="G964" s="527" t="inlineStr">
        <x:is>
          <x:t xml:space="preserve">Seven W. Resources, Inc.</x:t>
        </x:is>
      </x:c>
      <x:c r="H964" s="527" t="inlineStr">
        <x:is>
          <x:t xml:space="preserve">Santa Fe Energy Operating Partners</x:t>
        </x:is>
      </x:c>
      <x:c r="I964" s="527" t="inlineStr">
        <x:is>
          <x:t xml:space="preserve">31-12N-24W</x:t>
        </x:is>
      </x:c>
      <x:c r="J964" s="527" t="inlineStr">
        <x:is>
          <x:t xml:space="preserve">Leasehold / WI</x:t>
        </x:is>
      </x:c>
      <x:c r="K964" s="527" t="inlineStr">
        <x:is>
          <x:t xml:space="preserve">OKCountyRecords official index, Roger Mills County (instrument 1990-000550); searched 06/11/2026</x:t>
        </x:is>
      </x:c>
      <x:c r="L964" s="565" t="n"/>
      <x:c r="M964" s="565" t="n"/>
      <x:c r="N964" s="565" t="n"/>
      <x:c r="O964" s="565" t="n"/>
      <x:c r="P964" s="565" t="n"/>
      <x:c r="Q964" s="565" t="n"/>
      <x:c r="R964" s="565" t="n"/>
      <x:c r="S964" s="613" t="n"/>
      <x:c r="T964" s="565" t="n"/>
      <x:c r="U964" s="613" t="n"/>
      <x:c r="V964" s="565" t="n"/>
      <x:c r="W964" s="565" t="n"/>
      <x:c r="X964" s="565" t="n"/>
      <x:c r="Y964" s="565" t="n"/>
      <x:c r="Z964" s="565" t="n"/>
    </x:row>
    <x:row r="965">
      <x:c r="A965" s="527" t="inlineStr">
        <x:is>
          <x:t xml:space="preserve">1990-000551</x:t>
        </x:is>
      </x:c>
      <x:c r="B965" s="527" t="n"/>
      <x:c r="C965" s="527" t="inlineStr">
        <x:is>
          <x:t xml:space="preserve">Oil and Gas Lease</x:t>
        </x:is>
      </x:c>
      <x:c r="D965" s="527" t="inlineStr">
        <x:is>
          <x:t xml:space="preserve">1111/0247</x:t>
        </x:is>
      </x:c>
      <x:c r="E965" s="529" t="inlineStr">
        <x:is>
          <x:t xml:space="preserve">01/31/1990</x:t>
        </x:is>
      </x:c>
      <x:c r="F965" s="529" t="n">
        <x:v>32904</x:v>
      </x:c>
      <x:c r="G965" s="527" t="inlineStr">
        <x:is>
          <x:t xml:space="preserve">Wilda E. Jensen</x:t>
        </x:is>
      </x:c>
      <x:c r="H965" s="527" t="inlineStr">
        <x:is>
          <x:t xml:space="preserve">Santa Fe Energy Operating Partners</x:t>
        </x:is>
      </x:c>
      <x:c r="I965" s="527" t="inlineStr">
        <x:is>
          <x:t xml:space="preserve">31-12N-24W</x:t>
        </x:is>
      </x:c>
      <x:c r="J965" s="527" t="inlineStr">
        <x:is>
          <x:t xml:space="preserve">Leasehold / WI</x:t>
        </x:is>
      </x:c>
      <x:c r="K965" s="527" t="inlineStr">
        <x:is>
          <x:t xml:space="preserve">OKCountyRecords official index, Roger Mills County (instrument 1990-000551); searched 06/11/2026</x:t>
        </x:is>
      </x:c>
      <x:c r="L965" s="565" t="n"/>
      <x:c r="M965" s="565" t="n"/>
      <x:c r="N965" s="565" t="n"/>
      <x:c r="O965" s="565" t="n"/>
      <x:c r="P965" s="565" t="n"/>
      <x:c r="Q965" s="565" t="n"/>
      <x:c r="R965" s="565" t="n"/>
      <x:c r="S965" s="613" t="n"/>
      <x:c r="T965" s="565" t="n"/>
      <x:c r="U965" s="613" t="n"/>
      <x:c r="V965" s="565" t="n"/>
      <x:c r="W965" s="565" t="n"/>
      <x:c r="X965" s="565" t="n"/>
      <x:c r="Y965" s="565" t="n"/>
      <x:c r="Z965" s="565" t="n"/>
    </x:row>
    <x:row r="966">
      <x:c r="A966" s="527" t="inlineStr">
        <x:is>
          <x:t xml:space="preserve">1990-000553</x:t>
        </x:is>
      </x:c>
      <x:c r="B966" s="527" t="n"/>
      <x:c r="C966" s="527" t="inlineStr">
        <x:is>
          <x:t xml:space="preserve">Oil and Gas Lease</x:t>
        </x:is>
      </x:c>
      <x:c r="D966" s="527" t="inlineStr">
        <x:is>
          <x:t xml:space="preserve">1111/0253</x:t>
        </x:is>
      </x:c>
      <x:c r="E966" s="529" t="inlineStr">
        <x:is>
          <x:t xml:space="preserve">01/31/1990</x:t>
        </x:is>
      </x:c>
      <x:c r="F966" s="529" t="n">
        <x:v>32904</x:v>
      </x:c>
      <x:c r="G966" s="527" t="inlineStr">
        <x:is>
          <x:t xml:space="preserve">Bain, William C. Trust,
Opal L. Fuchs</x:t>
        </x:is>
      </x:c>
      <x:c r="H966" s="527" t="inlineStr">
        <x:is>
          <x:t xml:space="preserve">Santa Fe Energy Operating Partners</x:t>
        </x:is>
      </x:c>
      <x:c r="I966" s="527" t="inlineStr">
        <x:is>
          <x:t xml:space="preserve">31-12N-24W</x:t>
        </x:is>
      </x:c>
      <x:c r="J966" s="527" t="inlineStr">
        <x:is>
          <x:t xml:space="preserve">Leasehold / WI</x:t>
        </x:is>
      </x:c>
      <x:c r="K966" s="527" t="inlineStr">
        <x:is>
          <x:t xml:space="preserve">OKCountyRecords official index, Roger Mills County (instrument 1990-000553); searched 06/11/2026</x:t>
        </x:is>
      </x:c>
      <x:c r="L966" s="565" t="n"/>
      <x:c r="M966" s="565" t="n"/>
      <x:c r="N966" s="565" t="n"/>
      <x:c r="O966" s="565" t="n"/>
      <x:c r="P966" s="565" t="n"/>
      <x:c r="Q966" s="565" t="n"/>
      <x:c r="R966" s="565" t="n"/>
      <x:c r="S966" s="613" t="n"/>
      <x:c r="T966" s="565" t="n"/>
      <x:c r="U966" s="613" t="n"/>
      <x:c r="V966" s="565" t="n"/>
      <x:c r="W966" s="565" t="n"/>
      <x:c r="X966" s="565" t="n"/>
      <x:c r="Y966" s="565" t="n"/>
      <x:c r="Z966" s="565" t="n"/>
    </x:row>
    <x:row r="967">
      <x:c r="A967" s="527" t="inlineStr">
        <x:is>
          <x:t xml:space="preserve">1990-000712</x:t>
        </x:is>
      </x:c>
      <x:c r="B967" s="527" t="n"/>
      <x:c r="C967" s="527" t="inlineStr">
        <x:is>
          <x:t xml:space="preserve">Assignment</x:t>
        </x:is>
      </x:c>
      <x:c r="D967" s="527" t="inlineStr">
        <x:is>
          <x:t xml:space="preserve">1113/0044</x:t>
        </x:is>
      </x:c>
      <x:c r="E967" s="529" t="inlineStr">
        <x:is>
          <x:t xml:space="preserve">02/07/1990</x:t>
        </x:is>
      </x:c>
      <x:c r="F967" s="529" t="n">
        <x:v>32911</x:v>
      </x:c>
      <x:c r="G967" s="527" t="inlineStr">
        <x:is>
          <x:t xml:space="preserve">Federal Deposit Insurance Corp</x:t>
        </x:is>
      </x:c>
      <x:c r="H967" s="527" t="inlineStr">
        <x:is>
          <x:t xml:space="preserve">City National Bank</x:t>
        </x:is>
      </x:c>
      <x:c r="I967" s="527" t="inlineStr">
        <x:is>
          <x:t xml:space="preserve">31-12N-24W</x:t>
        </x:is>
      </x:c>
      <x:c r="J967" s="527" t="inlineStr">
        <x:is>
          <x:t xml:space="preserve">Leasehold / WI</x:t>
        </x:is>
      </x:c>
      <x:c r="K967" s="527" t="inlineStr">
        <x:is>
          <x:t xml:space="preserve">OKCountyRecords official index, Roger Mills County (instrument 1990-000712); searched 06/11/2026</x:t>
        </x:is>
      </x:c>
      <x:c r="L967" s="565" t="n"/>
      <x:c r="M967" s="565" t="n"/>
      <x:c r="N967" s="565" t="n"/>
      <x:c r="O967" s="565" t="n"/>
      <x:c r="P967" s="565" t="n"/>
      <x:c r="Q967" s="565" t="n"/>
      <x:c r="R967" s="565" t="n"/>
      <x:c r="S967" s="613" t="n"/>
      <x:c r="T967" s="565" t="n"/>
      <x:c r="U967" s="613" t="n"/>
      <x:c r="V967" s="565" t="n"/>
      <x:c r="W967" s="565" t="n"/>
      <x:c r="X967" s="565" t="n"/>
      <x:c r="Y967" s="565" t="n"/>
      <x:c r="Z967" s="565" t="n"/>
    </x:row>
    <x:row r="968">
      <x:c r="A968" s="527" t="inlineStr">
        <x:is>
          <x:t xml:space="preserve">1990-000905</x:t>
        </x:is>
      </x:c>
      <x:c r="B968" s="527" t="n"/>
      <x:c r="C968" s="527" t="inlineStr">
        <x:is>
          <x:t xml:space="preserve">Deed</x:t>
        </x:is>
      </x:c>
      <x:c r="D968" s="527" t="inlineStr">
        <x:is>
          <x:t xml:space="preserve">1114/0222</x:t>
        </x:is>
      </x:c>
      <x:c r="E968" s="529" t="inlineStr">
        <x:is>
          <x:t xml:space="preserve">02/16/1990</x:t>
        </x:is>
      </x:c>
      <x:c r="F968" s="529" t="n">
        <x:v>32920</x:v>
      </x:c>
      <x:c r="G968" s="527" t="inlineStr">
        <x:is>
          <x:t xml:space="preserve">W. C. Bain Jr., Trustee,
Pallo, Crystal F. Trust</x:t>
        </x:is>
      </x:c>
      <x:c r="H968" s="527" t="inlineStr">
        <x:is>
          <x:t xml:space="preserve">Juanita M. Wolff</x:t>
        </x:is>
      </x:c>
      <x:c r="I968" s="527" t="inlineStr">
        <x:is>
          <x:t xml:space="preserve">31-12N-24W (AOL)</x:t>
        </x:is>
      </x:c>
      <x:c r="J968" s="527" t="inlineStr">
        <x:is>
          <x:t xml:space="preserve">Fee / as stated</x:t>
        </x:is>
      </x:c>
      <x:c r="K968" s="527" t="inlineStr">
        <x:is>
          <x:t xml:space="preserve">OKCountyRecords official index, Roger Mills County (instrument 1990-000905); searched 06/11/2026</x:t>
        </x:is>
      </x:c>
      <x:c r="L968" s="565" t="n"/>
      <x:c r="M968" s="565" t="n"/>
      <x:c r="N968" s="565" t="n"/>
      <x:c r="O968" s="565" t="n"/>
      <x:c r="P968" s="565" t="n"/>
      <x:c r="Q968" s="565" t="n"/>
      <x:c r="R968" s="565" t="n"/>
      <x:c r="S968" s="613" t="n"/>
      <x:c r="T968" s="565" t="n"/>
      <x:c r="U968" s="613" t="n"/>
      <x:c r="V968" s="565" t="n"/>
      <x:c r="W968" s="565" t="n"/>
      <x:c r="X968" s="565" t="n"/>
      <x:c r="Y968" s="565" t="n"/>
      <x:c r="Z968" s="565" t="n"/>
    </x:row>
    <x:row r="969">
      <x:c r="A969" s="527" t="inlineStr">
        <x:is>
          <x:t xml:space="preserve">1990-000906</x:t>
        </x:is>
      </x:c>
      <x:c r="B969" s="527" t="n"/>
      <x:c r="C969" s="527" t="inlineStr">
        <x:is>
          <x:t xml:space="preserve">Deed</x:t>
        </x:is>
      </x:c>
      <x:c r="D969" s="527" t="inlineStr">
        <x:is>
          <x:t xml:space="preserve">1114/0225</x:t>
        </x:is>
      </x:c>
      <x:c r="E969" s="529" t="inlineStr">
        <x:is>
          <x:t xml:space="preserve">02/16/1990</x:t>
        </x:is>
      </x:c>
      <x:c r="F969" s="529" t="n">
        <x:v>32920</x:v>
      </x:c>
      <x:c r="G969" s="527" t="inlineStr">
        <x:is>
          <x:t xml:space="preserve">W. C. Bain Jr., Trustee,
Pallo, Crystal F. Trust</x:t>
        </x:is>
      </x:c>
      <x:c r="H969" s="527" t="inlineStr">
        <x:is>
          <x:t xml:space="preserve">W. C. Bain Jr.</x:t>
        </x:is>
      </x:c>
      <x:c r="I969" s="527" t="inlineStr">
        <x:is>
          <x:t xml:space="preserve">31-12N-24W (AOL)</x:t>
        </x:is>
      </x:c>
      <x:c r="J969" s="527" t="inlineStr">
        <x:is>
          <x:t xml:space="preserve">Fee / as stated</x:t>
        </x:is>
      </x:c>
      <x:c r="K969" s="527" t="inlineStr">
        <x:is>
          <x:t xml:space="preserve">OKCountyRecords official index, Roger Mills County (instrument 1990-000906); searched 06/11/2026</x:t>
        </x:is>
      </x:c>
      <x:c r="L969" s="565" t="n"/>
      <x:c r="M969" s="565" t="n"/>
      <x:c r="N969" s="565" t="n"/>
      <x:c r="O969" s="565" t="n"/>
      <x:c r="P969" s="565" t="n"/>
      <x:c r="Q969" s="565" t="n"/>
      <x:c r="R969" s="565" t="n"/>
      <x:c r="S969" s="613" t="n"/>
      <x:c r="T969" s="565" t="n"/>
      <x:c r="U969" s="613" t="n"/>
      <x:c r="V969" s="565" t="n"/>
      <x:c r="W969" s="565" t="n"/>
      <x:c r="X969" s="565" t="n"/>
      <x:c r="Y969" s="565" t="n"/>
      <x:c r="Z969" s="565" t="n"/>
    </x:row>
    <x:row r="970">
      <x:c r="A970" s="527" t="inlineStr">
        <x:is>
          <x:t xml:space="preserve">1990-000907</x:t>
        </x:is>
      </x:c>
      <x:c r="B970" s="527" t="n"/>
      <x:c r="C970" s="527" t="inlineStr">
        <x:is>
          <x:t xml:space="preserve">Deed</x:t>
        </x:is>
      </x:c>
      <x:c r="D970" s="527" t="inlineStr">
        <x:is>
          <x:t xml:space="preserve">1114/0228</x:t>
        </x:is>
      </x:c>
      <x:c r="E970" s="529" t="inlineStr">
        <x:is>
          <x:t xml:space="preserve">02/16/1990</x:t>
        </x:is>
      </x:c>
      <x:c r="F970" s="529" t="n">
        <x:v>32920</x:v>
      </x:c>
      <x:c r="G970" s="527" t="inlineStr">
        <x:is>
          <x:t xml:space="preserve">W. C. Bain Jr., Trustee,
Pallo, Crystal P. Trust</x:t>
        </x:is>
      </x:c>
      <x:c r="H970" s="527" t="inlineStr">
        <x:is>
          <x:t xml:space="preserve">Opal L. Fuchs</x:t>
        </x:is>
      </x:c>
      <x:c r="I970" s="527" t="inlineStr">
        <x:is>
          <x:t xml:space="preserve">31-12N-24W (AOL)</x:t>
        </x:is>
      </x:c>
      <x:c r="J970" s="527" t="inlineStr">
        <x:is>
          <x:t xml:space="preserve">Fee / as stated</x:t>
        </x:is>
      </x:c>
      <x:c r="K970" s="527" t="inlineStr">
        <x:is>
          <x:t xml:space="preserve">OKCountyRecords official index, Roger Mills County (instrument 1990-000907); searched 06/11/2026</x:t>
        </x:is>
      </x:c>
      <x:c r="L970" s="565" t="n"/>
      <x:c r="M970" s="565" t="n"/>
      <x:c r="N970" s="565" t="n"/>
      <x:c r="O970" s="565" t="n"/>
      <x:c r="P970" s="565" t="n"/>
      <x:c r="Q970" s="565" t="n"/>
      <x:c r="R970" s="565" t="n"/>
      <x:c r="S970" s="613" t="n"/>
      <x:c r="T970" s="565" t="n"/>
      <x:c r="U970" s="613" t="n"/>
      <x:c r="V970" s="565" t="n"/>
      <x:c r="W970" s="565" t="n"/>
      <x:c r="X970" s="565" t="n"/>
      <x:c r="Y970" s="565" t="n"/>
      <x:c r="Z970" s="565" t="n"/>
    </x:row>
    <x:row r="971">
      <x:c r="A971" s="527" t="inlineStr">
        <x:is>
          <x:t xml:space="preserve">1990-000908</x:t>
        </x:is>
      </x:c>
      <x:c r="B971" s="527" t="n"/>
      <x:c r="C971" s="527" t="inlineStr">
        <x:is>
          <x:t xml:space="preserve">Deed</x:t>
        </x:is>
      </x:c>
      <x:c r="D971" s="527" t="inlineStr">
        <x:is>
          <x:t xml:space="preserve">1114/0231</x:t>
        </x:is>
      </x:c>
      <x:c r="E971" s="529" t="inlineStr">
        <x:is>
          <x:t xml:space="preserve">02/16/1990</x:t>
        </x:is>
      </x:c>
      <x:c r="F971" s="529" t="n">
        <x:v>32920</x:v>
      </x:c>
      <x:c r="G971" s="527" t="inlineStr">
        <x:is>
          <x:t xml:space="preserve">W. C. Bain Jr., Trustee,
Pallo, Crystal F. Trust</x:t>
        </x:is>
      </x:c>
      <x:c r="H971" s="527" t="inlineStr">
        <x:is>
          <x:t xml:space="preserve">Wilda E. Jensen</x:t>
        </x:is>
      </x:c>
      <x:c r="I971" s="527" t="inlineStr">
        <x:is>
          <x:t xml:space="preserve">31-12N-24W (AOL)</x:t>
        </x:is>
      </x:c>
      <x:c r="J971" s="527" t="inlineStr">
        <x:is>
          <x:t xml:space="preserve">Fee / as stated</x:t>
        </x:is>
      </x:c>
      <x:c r="K971" s="527" t="inlineStr">
        <x:is>
          <x:t xml:space="preserve">OKCountyRecords official index, Roger Mills County (instrument 1990-000908); searched 06/11/2026</x:t>
        </x:is>
      </x:c>
      <x:c r="L971" s="565" t="n"/>
      <x:c r="M971" s="565" t="n"/>
      <x:c r="N971" s="565" t="n"/>
      <x:c r="O971" s="565" t="n"/>
      <x:c r="P971" s="565" t="n"/>
      <x:c r="Q971" s="565" t="n"/>
      <x:c r="R971" s="565" t="n"/>
      <x:c r="S971" s="613" t="n"/>
      <x:c r="T971" s="565" t="n"/>
      <x:c r="U971" s="613" t="n"/>
      <x:c r="V971" s="565" t="n"/>
      <x:c r="W971" s="565" t="n"/>
      <x:c r="X971" s="565" t="n"/>
      <x:c r="Y971" s="565" t="n"/>
      <x:c r="Z971" s="565" t="n"/>
    </x:row>
    <x:row r="972">
      <x:c r="A972" s="527" t="inlineStr">
        <x:is>
          <x:t xml:space="preserve">1990-000909</x:t>
        </x:is>
      </x:c>
      <x:c r="B972" s="527" t="n"/>
      <x:c r="C972" s="527" t="inlineStr">
        <x:is>
          <x:t xml:space="preserve">Deed</x:t>
        </x:is>
      </x:c>
      <x:c r="D972" s="527" t="inlineStr">
        <x:is>
          <x:t xml:space="preserve">1114/0234</x:t>
        </x:is>
      </x:c>
      <x:c r="E972" s="529" t="inlineStr">
        <x:is>
          <x:t xml:space="preserve">02/16/1990</x:t>
        </x:is>
      </x:c>
      <x:c r="F972" s="529" t="n">
        <x:v>32920</x:v>
      </x:c>
      <x:c r="G972" s="527" t="inlineStr">
        <x:is>
          <x:t xml:space="preserve">W. C. Bain Jr., Trustee,
Pallo, Crystal F. Trust</x:t>
        </x:is>
      </x:c>
      <x:c r="H972" s="527" t="inlineStr">
        <x:is>
          <x:t xml:space="preserve">Hazel A. Hamilton</x:t>
        </x:is>
      </x:c>
      <x:c r="I972" s="527" t="inlineStr">
        <x:is>
          <x:t xml:space="preserve">31-12N-24W (AOL)</x:t>
        </x:is>
      </x:c>
      <x:c r="J972" s="527" t="inlineStr">
        <x:is>
          <x:t xml:space="preserve">Fee / as stated</x:t>
        </x:is>
      </x:c>
      <x:c r="K972" s="527" t="inlineStr">
        <x:is>
          <x:t xml:space="preserve">OKCountyRecords official index, Roger Mills County (instrument 1990-000909); searched 06/11/2026</x:t>
        </x:is>
      </x:c>
      <x:c r="L972" s="565" t="n"/>
      <x:c r="M972" s="565" t="n"/>
      <x:c r="N972" s="565" t="n"/>
      <x:c r="O972" s="565" t="n"/>
      <x:c r="P972" s="565" t="n"/>
      <x:c r="Q972" s="565" t="n"/>
      <x:c r="R972" s="565" t="n"/>
      <x:c r="S972" s="613" t="n"/>
      <x:c r="T972" s="565" t="n"/>
      <x:c r="U972" s="613" t="n"/>
      <x:c r="V972" s="565" t="n"/>
      <x:c r="W972" s="565" t="n"/>
      <x:c r="X972" s="565" t="n"/>
      <x:c r="Y972" s="565" t="n"/>
      <x:c r="Z972" s="565" t="n"/>
    </x:row>
    <x:row r="973">
      <x:c r="A973" s="527" t="inlineStr">
        <x:is>
          <x:t xml:space="preserve">1990-000910</x:t>
        </x:is>
      </x:c>
      <x:c r="B973" s="527" t="n"/>
      <x:c r="C973" s="527" t="inlineStr">
        <x:is>
          <x:t xml:space="preserve">Deed</x:t>
        </x:is>
      </x:c>
      <x:c r="D973" s="527" t="inlineStr">
        <x:is>
          <x:t xml:space="preserve">1114/0237</x:t>
        </x:is>
      </x:c>
      <x:c r="E973" s="529" t="inlineStr">
        <x:is>
          <x:t xml:space="preserve">02/16/1990</x:t>
        </x:is>
      </x:c>
      <x:c r="F973" s="529" t="n">
        <x:v>32920</x:v>
      </x:c>
      <x:c r="G973" s="527" t="inlineStr">
        <x:is>
          <x:t xml:space="preserve">W. C. Bain Jr., Trustee,
Pallo, Crystal F. Trust</x:t>
        </x:is>
      </x:c>
      <x:c r="H973" s="527" t="inlineStr">
        <x:is>
          <x:t xml:space="preserve">Dow C. Bain</x:t>
        </x:is>
      </x:c>
      <x:c r="I973" s="527" t="inlineStr">
        <x:is>
          <x:t xml:space="preserve">31-12N-24W (AOL)</x:t>
        </x:is>
      </x:c>
      <x:c r="J973" s="527" t="inlineStr">
        <x:is>
          <x:t xml:space="preserve">Fee / as stated</x:t>
        </x:is>
      </x:c>
      <x:c r="K973" s="527" t="inlineStr">
        <x:is>
          <x:t xml:space="preserve">OKCountyRecords official index, Roger Mills County (instrument 1990-000910); searched 06/11/2026</x:t>
        </x:is>
      </x:c>
      <x:c r="L973" s="565" t="n"/>
      <x:c r="M973" s="565" t="n"/>
      <x:c r="N973" s="565" t="n"/>
      <x:c r="O973" s="565" t="n"/>
      <x:c r="P973" s="565" t="n"/>
      <x:c r="Q973" s="565" t="n"/>
      <x:c r="R973" s="565" t="n"/>
      <x:c r="S973" s="613" t="n"/>
      <x:c r="T973" s="565" t="n"/>
      <x:c r="U973" s="613" t="n"/>
      <x:c r="V973" s="565" t="n"/>
      <x:c r="W973" s="565" t="n"/>
      <x:c r="X973" s="565" t="n"/>
      <x:c r="Y973" s="565" t="n"/>
      <x:c r="Z973" s="565" t="n"/>
    </x:row>
    <x:row r="974">
      <x:c r="A974" s="527" t="inlineStr">
        <x:is>
          <x:t xml:space="preserve">1990-000911</x:t>
        </x:is>
      </x:c>
      <x:c r="B974" s="527" t="n"/>
      <x:c r="C974" s="527" t="inlineStr">
        <x:is>
          <x:t xml:space="preserve">Deed</x:t>
        </x:is>
      </x:c>
      <x:c r="D974" s="527" t="inlineStr">
        <x:is>
          <x:t xml:space="preserve">1114/0240</x:t>
        </x:is>
      </x:c>
      <x:c r="E974" s="529" t="inlineStr">
        <x:is>
          <x:t xml:space="preserve">02/16/1990</x:t>
        </x:is>
      </x:c>
      <x:c r="F974" s="529" t="n">
        <x:v>32920</x:v>
      </x:c>
      <x:c r="G974" s="527" t="inlineStr">
        <x:is>
          <x:t xml:space="preserve">W. C. Bain Jr., Trustee,
Pallo, Crystal F. Trust</x:t>
        </x:is>
      </x:c>
      <x:c r="H974" s="527" t="inlineStr">
        <x:is>
          <x:t xml:space="preserve">Billy W. Bain</x:t>
        </x:is>
      </x:c>
      <x:c r="I974" s="527" t="inlineStr">
        <x:is>
          <x:t xml:space="preserve">31-12N-24W (AOL)</x:t>
        </x:is>
      </x:c>
      <x:c r="J974" s="527" t="inlineStr">
        <x:is>
          <x:t xml:space="preserve">Fee / as stated</x:t>
        </x:is>
      </x:c>
      <x:c r="K974" s="527" t="inlineStr">
        <x:is>
          <x:t xml:space="preserve">OKCountyRecords official index, Roger Mills County (instrument 1990-000911); searched 06/11/2026</x:t>
        </x:is>
      </x:c>
      <x:c r="L974" s="565" t="n"/>
      <x:c r="M974" s="565" t="n"/>
      <x:c r="N974" s="565" t="n"/>
      <x:c r="O974" s="565" t="n"/>
      <x:c r="P974" s="565" t="n"/>
      <x:c r="Q974" s="565" t="n"/>
      <x:c r="R974" s="565" t="n"/>
      <x:c r="S974" s="613" t="n"/>
      <x:c r="T974" s="565" t="n"/>
      <x:c r="U974" s="613" t="n"/>
      <x:c r="V974" s="565" t="n"/>
      <x:c r="W974" s="565" t="n"/>
      <x:c r="X974" s="565" t="n"/>
      <x:c r="Y974" s="565" t="n"/>
      <x:c r="Z974" s="565" t="n"/>
    </x:row>
    <x:row r="975">
      <x:c r="A975" s="527" t="inlineStr">
        <x:is>
          <x:t xml:space="preserve">1990-000912</x:t>
        </x:is>
      </x:c>
      <x:c r="B975" s="527" t="n"/>
      <x:c r="C975" s="527" t="inlineStr">
        <x:is>
          <x:t xml:space="preserve">Deed</x:t>
        </x:is>
      </x:c>
      <x:c r="D975" s="527" t="inlineStr">
        <x:is>
          <x:t xml:space="preserve">1114/0243</x:t>
        </x:is>
      </x:c>
      <x:c r="E975" s="529" t="inlineStr">
        <x:is>
          <x:t xml:space="preserve">02/16/1990</x:t>
        </x:is>
      </x:c>
      <x:c r="F975" s="529" t="n">
        <x:v>32920</x:v>
      </x:c>
      <x:c r="G975" s="527" t="inlineStr">
        <x:is>
          <x:t xml:space="preserve">W. C. Bain Jr., Trustee,
Pallo, Crystal F. Trust</x:t>
        </x:is>
      </x:c>
      <x:c r="H975" s="527" t="inlineStr">
        <x:is>
          <x:t xml:space="preserve">Clarence C. Bain</x:t>
        </x:is>
      </x:c>
      <x:c r="I975" s="527" t="inlineStr">
        <x:is>
          <x:t xml:space="preserve">31-12N-24W (AOL)</x:t>
        </x:is>
      </x:c>
      <x:c r="J975" s="527" t="inlineStr">
        <x:is>
          <x:t xml:space="preserve">Fee / as stated</x:t>
        </x:is>
      </x:c>
      <x:c r="K975" s="527" t="inlineStr">
        <x:is>
          <x:t xml:space="preserve">OKCountyRecords official index, Roger Mills County (instrument 1990-000912); searched 06/11/2026</x:t>
        </x:is>
      </x:c>
      <x:c r="L975" s="565" t="n"/>
      <x:c r="M975" s="565" t="n"/>
      <x:c r="N975" s="565" t="n"/>
      <x:c r="O975" s="565" t="n"/>
      <x:c r="P975" s="565" t="n"/>
      <x:c r="Q975" s="565" t="n"/>
      <x:c r="R975" s="565" t="n"/>
      <x:c r="S975" s="613" t="n"/>
      <x:c r="T975" s="565" t="n"/>
      <x:c r="U975" s="613" t="n"/>
      <x:c r="V975" s="565" t="n"/>
      <x:c r="W975" s="565" t="n"/>
      <x:c r="X975" s="565" t="n"/>
      <x:c r="Y975" s="565" t="n"/>
      <x:c r="Z975" s="565" t="n"/>
    </x:row>
    <x:row r="976">
      <x:c r="A976" s="527" t="inlineStr">
        <x:is>
          <x:t xml:space="preserve">1990-000913</x:t>
        </x:is>
      </x:c>
      <x:c r="B976" s="527" t="n"/>
      <x:c r="C976" s="527" t="inlineStr">
        <x:is>
          <x:t xml:space="preserve">Deed</x:t>
        </x:is>
      </x:c>
      <x:c r="D976" s="527" t="inlineStr">
        <x:is>
          <x:t xml:space="preserve">1114/0246</x:t>
        </x:is>
      </x:c>
      <x:c r="E976" s="529" t="inlineStr">
        <x:is>
          <x:t xml:space="preserve">02/16/1990</x:t>
        </x:is>
      </x:c>
      <x:c r="F976" s="529" t="n">
        <x:v>32920</x:v>
      </x:c>
      <x:c r="G976" s="527" t="inlineStr">
        <x:is>
          <x:t xml:space="preserve">W. C. Bain Jr., Trustee,
Pallo, Crystal F. Trust</x:t>
        </x:is>
      </x:c>
      <x:c r="H976" s="527" t="inlineStr">
        <x:is>
          <x:t xml:space="preserve">Carl L. Bain</x:t>
        </x:is>
      </x:c>
      <x:c r="I976" s="527" t="inlineStr">
        <x:is>
          <x:t xml:space="preserve">31-12N-24W</x:t>
        </x:is>
      </x:c>
      <x:c r="J976" s="527" t="inlineStr">
        <x:is>
          <x:t xml:space="preserve">Fee / as stated</x:t>
        </x:is>
      </x:c>
      <x:c r="K976" s="527" t="inlineStr">
        <x:is>
          <x:t xml:space="preserve">OKCountyRecords official index, Roger Mills County (instrument 1990-000913); searched 06/11/2026</x:t>
        </x:is>
      </x:c>
      <x:c r="L976" s="565" t="n"/>
      <x:c r="M976" s="565" t="n"/>
      <x:c r="N976" s="565" t="n"/>
      <x:c r="O976" s="565" t="n"/>
      <x:c r="P976" s="565" t="n"/>
      <x:c r="Q976" s="565" t="n"/>
      <x:c r="R976" s="565" t="n"/>
      <x:c r="S976" s="613" t="n"/>
      <x:c r="T976" s="565" t="n"/>
      <x:c r="U976" s="613" t="n"/>
      <x:c r="V976" s="565" t="n"/>
      <x:c r="W976" s="565" t="n"/>
      <x:c r="X976" s="565" t="n"/>
      <x:c r="Y976" s="565" t="n"/>
      <x:c r="Z976" s="565" t="n"/>
    </x:row>
    <x:row r="977">
      <x:c r="A977" s="527" t="inlineStr">
        <x:is>
          <x:t xml:space="preserve">1990-001103</x:t>
        </x:is>
      </x:c>
      <x:c r="B977" s="527" t="n"/>
      <x:c r="C977" s="527" t="inlineStr">
        <x:is>
          <x:t xml:space="preserve">Assignment</x:t>
        </x:is>
      </x:c>
      <x:c r="D977" s="527" t="inlineStr">
        <x:is>
          <x:t xml:space="preserve">1117/0078</x:t>
        </x:is>
      </x:c>
      <x:c r="E977" s="529" t="inlineStr">
        <x:is>
          <x:t xml:space="preserve">02/26/1990</x:t>
        </x:is>
      </x:c>
      <x:c r="F977" s="529" t="n">
        <x:v>32930</x:v>
      </x:c>
      <x:c r="G977" s="527" t="inlineStr">
        <x:is>
          <x:t xml:space="preserve">Bp Exploration, Inc.</x:t>
        </x:is>
      </x:c>
      <x:c r="H977" s="527" t="inlineStr">
        <x:is>
          <x:t xml:space="preserve">Tex Con Oil &amp; Gas Co</x:t>
        </x:is>
      </x:c>
      <x:c r="I977" s="527" t="inlineStr">
        <x:is>
          <x:t xml:space="preserve">All of 31-12N-24W (AOL)</x:t>
        </x:is>
      </x:c>
      <x:c r="J977" s="527" t="inlineStr">
        <x:is>
          <x:t xml:space="preserve">Leasehold / WI</x:t>
        </x:is>
      </x:c>
      <x:c r="K977" s="527" t="inlineStr">
        <x:is>
          <x:t xml:space="preserve">OKCountyRecords official index, Roger Mills County (instrument 1990-001103); searched 06/11/2026</x:t>
        </x:is>
      </x:c>
      <x:c r="L977" s="565" t="n"/>
      <x:c r="M977" s="565" t="n"/>
      <x:c r="N977" s="565" t="n"/>
      <x:c r="O977" s="565" t="n"/>
      <x:c r="P977" s="565" t="n"/>
      <x:c r="Q977" s="565" t="n"/>
      <x:c r="R977" s="565" t="n"/>
      <x:c r="S977" s="613" t="n"/>
      <x:c r="T977" s="565" t="n"/>
      <x:c r="U977" s="613" t="n"/>
      <x:c r="V977" s="565" t="n"/>
      <x:c r="W977" s="565" t="n"/>
      <x:c r="X977" s="565" t="n"/>
      <x:c r="Y977" s="565" t="n"/>
      <x:c r="Z977" s="565" t="n"/>
    </x:row>
    <x:row r="978">
      <x:c r="A978" s="527" t="inlineStr">
        <x:is>
          <x:t xml:space="preserve">1990-001592</x:t>
        </x:is>
      </x:c>
      <x:c r="B978" s="527" t="n"/>
      <x:c r="C978" s="527" t="inlineStr">
        <x:is>
          <x:t xml:space="preserve">Final Decree</x:t>
        </x:is>
      </x:c>
      <x:c r="D978" s="527" t="inlineStr">
        <x:is>
          <x:t xml:space="preserve">1122/0069</x:t>
        </x:is>
      </x:c>
      <x:c r="E978" s="529" t="inlineStr">
        <x:is>
          <x:t xml:space="preserve">03/20/1990</x:t>
        </x:is>
      </x:c>
      <x:c r="F978" s="529" t="n">
        <x:v>32952</x:v>
      </x:c>
      <x:c r="G978" s="527" t="inlineStr">
        <x:is>
          <x:t xml:space="preserve">Evan K. Fuchs</x:t>
        </x:is>
      </x:c>
      <x:c r="H978" s="527" t="inlineStr">
        <x:is>
          <x:t xml:space="preserve">The Public</x:t>
        </x:is>
      </x:c>
      <x:c r="I978" s="527" t="inlineStr">
        <x:is>
          <x:t xml:space="preserve">31-12N-24W (AOL)</x:t>
        </x:is>
      </x:c>
      <x:c r="J978" s="527" t="inlineStr">
        <x:is>
          <x:t xml:space="preserve">Fee / as stated</x:t>
        </x:is>
      </x:c>
      <x:c r="K978" s="527" t="inlineStr">
        <x:is>
          <x:t xml:space="preserve">OKCountyRecords official index, Roger Mills County (instrument 1990-001592); searched 06/11/2026</x:t>
        </x:is>
      </x:c>
      <x:c r="L978" s="565" t="n"/>
      <x:c r="M978" s="565" t="n"/>
      <x:c r="N978" s="565" t="n"/>
      <x:c r="O978" s="565" t="n"/>
      <x:c r="P978" s="565" t="n"/>
      <x:c r="Q978" s="565" t="n"/>
      <x:c r="R978" s="565" t="n"/>
      <x:c r="S978" s="613" t="n"/>
      <x:c r="T978" s="565" t="n"/>
      <x:c r="U978" s="613" t="n"/>
      <x:c r="V978" s="565" t="n"/>
      <x:c r="W978" s="565" t="n"/>
      <x:c r="X978" s="565" t="n"/>
      <x:c r="Y978" s="565" t="n"/>
      <x:c r="Z978" s="565" t="n"/>
    </x:row>
    <x:row r="979">
      <x:c r="A979" s="527" t="inlineStr">
        <x:is>
          <x:t xml:space="preserve">1990-001651</x:t>
        </x:is>
      </x:c>
      <x:c r="B979" s="527" t="n"/>
      <x:c r="C979" s="527" t="inlineStr">
        <x:is>
          <x:t xml:space="preserve">Release</x:t>
        </x:is>
      </x:c>
      <x:c r="D979" s="527" t="inlineStr">
        <x:is>
          <x:t xml:space="preserve">1122/0191</x:t>
        </x:is>
      </x:c>
      <x:c r="E979" s="529" t="inlineStr">
        <x:is>
          <x:t xml:space="preserve">03/25/1990</x:t>
        </x:is>
      </x:c>
      <x:c r="F979" s="529" t="n">
        <x:v>32957</x:v>
      </x:c>
      <x:c r="G979" s="527" t="inlineStr">
        <x:is>
          <x:t xml:space="preserve">Apache Corporation</x:t>
        </x:is>
      </x:c>
      <x:c r="H979" s="527" t="inlineStr">
        <x:is>
          <x:t xml:space="preserve">Carrie Leeann (minor) Mitchell,
John L. Guardian Mitchell,
Nancy Susan (minor) Mitchell</x:t>
        </x:is>
      </x:c>
      <x:c r="I979" s="527" t="inlineStr">
        <x:is>
          <x:t xml:space="preserve">31-12N-24W</x:t>
        </x:is>
      </x:c>
      <x:c r="J979" s="527" t="inlineStr">
        <x:is>
          <x:t xml:space="preserve">Leasehold / WI</x:t>
        </x:is>
      </x:c>
      <x:c r="K979" s="527" t="inlineStr">
        <x:is>
          <x:t xml:space="preserve">OKCountyRecords official index, Roger Mills County (instrument 1990-001651); searched 06/11/2026</x:t>
        </x:is>
      </x:c>
      <x:c r="L979" s="565" t="n"/>
      <x:c r="M979" s="565" t="n"/>
      <x:c r="N979" s="565" t="n"/>
      <x:c r="O979" s="565" t="n"/>
      <x:c r="P979" s="565" t="n"/>
      <x:c r="Q979" s="565" t="n"/>
      <x:c r="R979" s="565" t="n"/>
      <x:c r="S979" s="613" t="n"/>
      <x:c r="T979" s="565" t="n"/>
      <x:c r="U979" s="613" t="n"/>
      <x:c r="V979" s="565" t="n"/>
      <x:c r="W979" s="565" t="n"/>
      <x:c r="X979" s="565" t="n"/>
      <x:c r="Y979" s="565" t="n"/>
      <x:c r="Z979" s="565" t="n"/>
    </x:row>
    <x:row r="980">
      <x:c r="A980" s="527" t="inlineStr">
        <x:is>
          <x:t xml:space="preserve">1990-001652</x:t>
        </x:is>
      </x:c>
      <x:c r="B980" s="527" t="n"/>
      <x:c r="C980" s="527" t="inlineStr">
        <x:is>
          <x:t xml:space="preserve">Release</x:t>
        </x:is>
      </x:c>
      <x:c r="D980" s="527" t="inlineStr">
        <x:is>
          <x:t xml:space="preserve">1122/0192</x:t>
        </x:is>
      </x:c>
      <x:c r="E980" s="529" t="inlineStr">
        <x:is>
          <x:t xml:space="preserve">03/25/1990</x:t>
        </x:is>
      </x:c>
      <x:c r="F980" s="529" t="n">
        <x:v>32957</x:v>
      </x:c>
      <x:c r="G980" s="527" t="inlineStr">
        <x:is>
          <x:t xml:space="preserve">Apache Corporation</x:t>
        </x:is>
      </x:c>
      <x:c r="H980" s="527" t="inlineStr">
        <x:is>
          <x:t xml:space="preserve">Carrie Leeann (minor) Mitchell,
John L. Guardian Mitchell,
Nancy Susan (minor) Mitchell</x:t>
        </x:is>
      </x:c>
      <x:c r="I980" s="527" t="inlineStr">
        <x:is>
          <x:t xml:space="preserve">31-12N-24W</x:t>
        </x:is>
      </x:c>
      <x:c r="J980" s="527" t="inlineStr">
        <x:is>
          <x:t xml:space="preserve">Leasehold / WI</x:t>
        </x:is>
      </x:c>
      <x:c r="K980" s="527" t="inlineStr">
        <x:is>
          <x:t xml:space="preserve">OKCountyRecords official index, Roger Mills County (instrument 1990-001652); searched 06/11/2026</x:t>
        </x:is>
      </x:c>
      <x:c r="L980" s="565" t="n"/>
      <x:c r="M980" s="565" t="n"/>
      <x:c r="N980" s="565" t="n"/>
      <x:c r="O980" s="565" t="n"/>
      <x:c r="P980" s="565" t="n"/>
      <x:c r="Q980" s="565" t="n"/>
      <x:c r="R980" s="565" t="n"/>
      <x:c r="S980" s="613" t="n"/>
      <x:c r="T980" s="565" t="n"/>
      <x:c r="U980" s="613" t="n"/>
      <x:c r="V980" s="565" t="n"/>
      <x:c r="W980" s="565" t="n"/>
      <x:c r="X980" s="565" t="n"/>
      <x:c r="Y980" s="565" t="n"/>
      <x:c r="Z980" s="565" t="n"/>
    </x:row>
    <x:row r="981">
      <x:c r="A981" s="527" t="inlineStr">
        <x:is>
          <x:t xml:space="preserve">1990-001653</x:t>
        </x:is>
      </x:c>
      <x:c r="B981" s="527" t="n"/>
      <x:c r="C981" s="527" t="inlineStr">
        <x:is>
          <x:t xml:space="preserve">Release</x:t>
        </x:is>
      </x:c>
      <x:c r="D981" s="527" t="inlineStr">
        <x:is>
          <x:t xml:space="preserve">1122/0193</x:t>
        </x:is>
      </x:c>
      <x:c r="E981" s="529" t="inlineStr">
        <x:is>
          <x:t xml:space="preserve">03/25/1990</x:t>
        </x:is>
      </x:c>
      <x:c r="F981" s="529" t="n">
        <x:v>32957</x:v>
      </x:c>
      <x:c r="G981" s="527" t="inlineStr">
        <x:is>
          <x:t xml:space="preserve">Apache Corporation</x:t>
        </x:is>
      </x:c>
      <x:c r="H981" s="527" t="inlineStr">
        <x:is>
          <x:t xml:space="preserve">Gene G. Guardian Williams,
Gene (minor) Williams,
Marvin Mitchell (minor) Williams</x:t>
        </x:is>
      </x:c>
      <x:c r="I981" s="527" t="inlineStr">
        <x:is>
          <x:t xml:space="preserve">31-12N-24W</x:t>
        </x:is>
      </x:c>
      <x:c r="J981" s="527" t="inlineStr">
        <x:is>
          <x:t xml:space="preserve">Leasehold / WI</x:t>
        </x:is>
      </x:c>
      <x:c r="K981" s="527" t="inlineStr">
        <x:is>
          <x:t xml:space="preserve">OKCountyRecords official index, Roger Mills County (instrument 1990-001653); searched 06/11/2026</x:t>
        </x:is>
      </x:c>
      <x:c r="L981" s="565" t="n"/>
      <x:c r="M981" s="565" t="n"/>
      <x:c r="N981" s="565" t="n"/>
      <x:c r="O981" s="565" t="n"/>
      <x:c r="P981" s="565" t="n"/>
      <x:c r="Q981" s="565" t="n"/>
      <x:c r="R981" s="565" t="n"/>
      <x:c r="S981" s="613" t="n"/>
      <x:c r="T981" s="565" t="n"/>
      <x:c r="U981" s="613" t="n"/>
      <x:c r="V981" s="565" t="n"/>
      <x:c r="W981" s="565" t="n"/>
      <x:c r="X981" s="565" t="n"/>
      <x:c r="Y981" s="565" t="n"/>
      <x:c r="Z981" s="565" t="n"/>
    </x:row>
    <x:row r="982">
      <x:c r="A982" s="527" t="inlineStr">
        <x:is>
          <x:t xml:space="preserve">1990-001654</x:t>
        </x:is>
      </x:c>
      <x:c r="B982" s="527" t="n"/>
      <x:c r="C982" s="527" t="inlineStr">
        <x:is>
          <x:t xml:space="preserve">Release</x:t>
        </x:is>
      </x:c>
      <x:c r="D982" s="527" t="inlineStr">
        <x:is>
          <x:t xml:space="preserve">1122/0194</x:t>
        </x:is>
      </x:c>
      <x:c r="E982" s="529" t="inlineStr">
        <x:is>
          <x:t xml:space="preserve">03/25/1990</x:t>
        </x:is>
      </x:c>
      <x:c r="F982" s="529" t="n">
        <x:v>32957</x:v>
      </x:c>
      <x:c r="G982" s="527" t="inlineStr">
        <x:is>
          <x:t xml:space="preserve">Apache Corporation</x:t>
        </x:is>
      </x:c>
      <x:c r="H982" s="527" t="inlineStr">
        <x:is>
          <x:t xml:space="preserve">Gene G. Guardian Williams,
Gene (minor) Williams,
Marvin Mitchell (minor) Williams</x:t>
        </x:is>
      </x:c>
      <x:c r="I982" s="527" t="inlineStr">
        <x:is>
          <x:t xml:space="preserve">31-12N-24W</x:t>
        </x:is>
      </x:c>
      <x:c r="J982" s="527" t="inlineStr">
        <x:is>
          <x:t xml:space="preserve">Leasehold / WI</x:t>
        </x:is>
      </x:c>
      <x:c r="K982" s="527" t="inlineStr">
        <x:is>
          <x:t xml:space="preserve">OKCountyRecords official index, Roger Mills County (instrument 1990-001654); searched 06/11/2026</x:t>
        </x:is>
      </x:c>
      <x:c r="L982" s="565" t="n"/>
      <x:c r="M982" s="565" t="n"/>
      <x:c r="N982" s="565" t="n"/>
      <x:c r="O982" s="565" t="n"/>
      <x:c r="P982" s="565" t="n"/>
      <x:c r="Q982" s="565" t="n"/>
      <x:c r="R982" s="565" t="n"/>
      <x:c r="S982" s="613" t="n"/>
      <x:c r="T982" s="565" t="n"/>
      <x:c r="U982" s="613" t="n"/>
      <x:c r="V982" s="565" t="n"/>
      <x:c r="W982" s="565" t="n"/>
      <x:c r="X982" s="565" t="n"/>
      <x:c r="Y982" s="565" t="n"/>
      <x:c r="Z982" s="565" t="n"/>
    </x:row>
    <x:row r="983">
      <x:c r="A983" s="527" t="inlineStr">
        <x:is>
          <x:t xml:space="preserve">1990-001689</x:t>
        </x:is>
      </x:c>
      <x:c r="B983" s="527" t="n"/>
      <x:c r="C983" s="527" t="inlineStr">
        <x:is>
          <x:t xml:space="preserve">Deed</x:t>
        </x:is>
      </x:c>
      <x:c r="D983" s="527" t="inlineStr">
        <x:is>
          <x:t xml:space="preserve">1122/0274</x:t>
        </x:is>
      </x:c>
      <x:c r="E983" s="529" t="inlineStr">
        <x:is>
          <x:t xml:space="preserve">03/25/1990</x:t>
        </x:is>
      </x:c>
      <x:c r="F983" s="529" t="n">
        <x:v>32957</x:v>
      </x:c>
      <x:c r="G983" s="527" t="inlineStr">
        <x:is>
          <x:t xml:space="preserve">Ernest Jensen,
Wilda Jensen</x:t>
        </x:is>
      </x:c>
      <x:c r="H983" s="527" t="inlineStr">
        <x:is>
          <x:t xml:space="preserve">Tim E. Jensen</x:t>
        </x:is>
      </x:c>
      <x:c r="I983" s="527" t="inlineStr">
        <x:is>
          <x:t xml:space="preserve">31-12N-24W (AOL)</x:t>
        </x:is>
      </x:c>
      <x:c r="J983" s="527" t="inlineStr">
        <x:is>
          <x:t xml:space="preserve">Fee / as stated</x:t>
        </x:is>
      </x:c>
      <x:c r="K983" s="527" t="inlineStr">
        <x:is>
          <x:t xml:space="preserve">OKCountyRecords official index, Roger Mills County (instrument 1990-001689); searched 06/11/2026</x:t>
        </x:is>
      </x:c>
      <x:c r="L983" s="565" t="n"/>
      <x:c r="M983" s="565" t="n"/>
      <x:c r="N983" s="565" t="n"/>
      <x:c r="O983" s="565" t="n"/>
      <x:c r="P983" s="565" t="n"/>
      <x:c r="Q983" s="565" t="n"/>
      <x:c r="R983" s="565" t="n"/>
      <x:c r="S983" s="613" t="n"/>
      <x:c r="T983" s="565" t="n"/>
      <x:c r="U983" s="613" t="n"/>
      <x:c r="V983" s="565" t="n"/>
      <x:c r="W983" s="565" t="n"/>
      <x:c r="X983" s="565" t="n"/>
      <x:c r="Y983" s="565" t="n"/>
      <x:c r="Z983" s="565" t="n"/>
    </x:row>
    <x:row r="984">
      <x:c r="A984" s="527" t="inlineStr">
        <x:is>
          <x:t xml:space="preserve">1990-001690</x:t>
        </x:is>
      </x:c>
      <x:c r="B984" s="527" t="n"/>
      <x:c r="C984" s="527" t="inlineStr">
        <x:is>
          <x:t xml:space="preserve">Deed</x:t>
        </x:is>
      </x:c>
      <x:c r="D984" s="527" t="inlineStr">
        <x:is>
          <x:t xml:space="preserve">1122/0277</x:t>
        </x:is>
      </x:c>
      <x:c r="E984" s="529" t="inlineStr">
        <x:is>
          <x:t xml:space="preserve">03/25/1990</x:t>
        </x:is>
      </x:c>
      <x:c r="F984" s="529" t="n">
        <x:v>32957</x:v>
      </x:c>
      <x:c r="G984" s="527" t="inlineStr">
        <x:is>
          <x:t xml:space="preserve">Ernest Jensen,
Wilda Jensen</x:t>
        </x:is>
      </x:c>
      <x:c r="H984" s="527" t="inlineStr">
        <x:is>
          <x:t xml:space="preserve">Hans W. Jensen</x:t>
        </x:is>
      </x:c>
      <x:c r="I984" s="527" t="inlineStr">
        <x:is>
          <x:t xml:space="preserve">31-12N-24W (AOL)</x:t>
        </x:is>
      </x:c>
      <x:c r="J984" s="527" t="inlineStr">
        <x:is>
          <x:t xml:space="preserve">Fee / as stated</x:t>
        </x:is>
      </x:c>
      <x:c r="K984" s="527" t="inlineStr">
        <x:is>
          <x:t xml:space="preserve">OKCountyRecords official index, Roger Mills County (instrument 1990-001690); searched 06/11/2026</x:t>
        </x:is>
      </x:c>
      <x:c r="L984" s="565" t="n"/>
      <x:c r="M984" s="565" t="n"/>
      <x:c r="N984" s="565" t="n"/>
      <x:c r="O984" s="565" t="n"/>
      <x:c r="P984" s="565" t="n"/>
      <x:c r="Q984" s="565" t="n"/>
      <x:c r="R984" s="565" t="n"/>
      <x:c r="S984" s="613" t="n"/>
      <x:c r="T984" s="565" t="n"/>
      <x:c r="U984" s="613" t="n"/>
      <x:c r="V984" s="565" t="n"/>
      <x:c r="W984" s="565" t="n"/>
      <x:c r="X984" s="565" t="n"/>
      <x:c r="Y984" s="565" t="n"/>
      <x:c r="Z984" s="565" t="n"/>
    </x:row>
    <x:row r="985">
      <x:c r="A985" s="527" t="inlineStr">
        <x:is>
          <x:t xml:space="preserve">1990-001750</x:t>
        </x:is>
      </x:c>
      <x:c r="B985" s="527" t="n"/>
      <x:c r="C985" s="527" t="inlineStr">
        <x:is>
          <x:t xml:space="preserve">Deed</x:t>
        </x:is>
      </x:c>
      <x:c r="D985" s="527" t="inlineStr">
        <x:is>
          <x:t xml:space="preserve">1123/0100</x:t>
        </x:is>
      </x:c>
      <x:c r="E985" s="529" t="inlineStr">
        <x:is>
          <x:t xml:space="preserve">03/28/1990</x:t>
        </x:is>
      </x:c>
      <x:c r="F985" s="529" t="n">
        <x:v>32960</x:v>
      </x:c>
      <x:c r="G985" s="527" t="inlineStr">
        <x:is>
          <x:t xml:space="preserve">Hazel Hamilton</x:t>
        </x:is>
      </x:c>
      <x:c r="H985" s="527" t="inlineStr">
        <x:is>
          <x:t xml:space="preserve">Hamilton, Hazel Trust</x:t>
        </x:is>
      </x:c>
      <x:c r="I985" s="527" t="inlineStr">
        <x:is>
          <x:t xml:space="preserve">31-12N-24W (AOL)</x:t>
        </x:is>
      </x:c>
      <x:c r="J985" s="527" t="inlineStr">
        <x:is>
          <x:t xml:space="preserve">Fee / as stated</x:t>
        </x:is>
      </x:c>
      <x:c r="K985" s="527" t="inlineStr">
        <x:is>
          <x:t xml:space="preserve">OKCountyRecords official index, Roger Mills County (instrument 1990-001750); searched 06/11/2026</x:t>
        </x:is>
      </x:c>
      <x:c r="L985" s="565" t="n"/>
      <x:c r="M985" s="565" t="n"/>
      <x:c r="N985" s="565" t="n"/>
      <x:c r="O985" s="565" t="n"/>
      <x:c r="P985" s="565" t="n"/>
      <x:c r="Q985" s="565" t="n"/>
      <x:c r="R985" s="565" t="n"/>
      <x:c r="S985" s="613" t="n"/>
      <x:c r="T985" s="565" t="n"/>
      <x:c r="U985" s="613" t="n"/>
      <x:c r="V985" s="565" t="n"/>
      <x:c r="W985" s="565" t="n"/>
      <x:c r="X985" s="565" t="n"/>
      <x:c r="Y985" s="565" t="n"/>
      <x:c r="Z985" s="565" t="n"/>
    </x:row>
    <x:row r="986">
      <x:c r="A986" s="527" t="inlineStr">
        <x:is>
          <x:t xml:space="preserve">1990-001925</x:t>
        </x:is>
      </x:c>
      <x:c r="B986" s="527" t="n"/>
      <x:c r="C986" s="527" t="inlineStr">
        <x:is>
          <x:t xml:space="preserve">Deed</x:t>
        </x:is>
      </x:c>
      <x:c r="D986" s="527" t="inlineStr">
        <x:is>
          <x:t xml:space="preserve">1126/0098</x:t>
        </x:is>
      </x:c>
      <x:c r="E986" s="529" t="inlineStr">
        <x:is>
          <x:t xml:space="preserve">04/06/1990</x:t>
        </x:is>
      </x:c>
      <x:c r="F986" s="529" t="n">
        <x:v>32969</x:v>
      </x:c>
      <x:c r="G986" s="527" t="inlineStr">
        <x:is>
          <x:t xml:space="preserve">Federal Deposit Insurance Corp</x:t>
        </x:is>
      </x:c>
      <x:c r="H986" s="527" t="inlineStr">
        <x:is>
          <x:t xml:space="preserve">First State Bank &amp; Trust Co</x:t>
        </x:is>
      </x:c>
      <x:c r="I986" s="527" t="inlineStr">
        <x:is>
          <x:t xml:space="preserve">31-12N-24W (AOL)</x:t>
        </x:is>
      </x:c>
      <x:c r="J986" s="527" t="inlineStr">
        <x:is>
          <x:t xml:space="preserve">Fee / as stated</x:t>
        </x:is>
      </x:c>
      <x:c r="K986" s="527" t="inlineStr">
        <x:is>
          <x:t xml:space="preserve">OKCountyRecords official index, Roger Mills County (instrument 1990-001925); searched 06/11/2026</x:t>
        </x:is>
      </x:c>
      <x:c r="L986" s="565" t="n"/>
      <x:c r="M986" s="565" t="n"/>
      <x:c r="N986" s="565" t="n"/>
      <x:c r="O986" s="565" t="n"/>
      <x:c r="P986" s="565" t="n"/>
      <x:c r="Q986" s="565" t="n"/>
      <x:c r="R986" s="565" t="n"/>
      <x:c r="S986" s="613" t="n"/>
      <x:c r="T986" s="565" t="n"/>
      <x:c r="U986" s="613" t="n"/>
      <x:c r="V986" s="565" t="n"/>
      <x:c r="W986" s="565" t="n"/>
      <x:c r="X986" s="565" t="n"/>
      <x:c r="Y986" s="565" t="n"/>
      <x:c r="Z986" s="565" t="n"/>
    </x:row>
    <x:row r="987">
      <x:c r="A987" s="527" t="inlineStr">
        <x:is>
          <x:t xml:space="preserve">1990-001986</x:t>
        </x:is>
      </x:c>
      <x:c r="B987" s="527" t="n"/>
      <x:c r="C987" s="527" t="inlineStr">
        <x:is>
          <x:t xml:space="preserve">Final Decree</x:t>
        </x:is>
      </x:c>
      <x:c r="D987" s="527" t="inlineStr">
        <x:is>
          <x:t xml:space="preserve">1126/0202</x:t>
        </x:is>
      </x:c>
      <x:c r="E987" s="529" t="inlineStr">
        <x:is>
          <x:t xml:space="preserve">04/06/1990</x:t>
        </x:is>
      </x:c>
      <x:c r="F987" s="529" t="n">
        <x:v>32969</x:v>
      </x:c>
      <x:c r="G987" s="527" t="inlineStr">
        <x:is>
          <x:t xml:space="preserve">Margaret Gray</x:t>
        </x:is>
      </x:c>
      <x:c r="H987" s="527" t="inlineStr">
        <x:is>
          <x:t xml:space="preserve">The Public,
Fred A. Standiford Jr.</x:t>
        </x:is>
      </x:c>
      <x:c r="I987" s="527" t="inlineStr">
        <x:is>
          <x:t xml:space="preserve">31-12N-24W (AOL)</x:t>
        </x:is>
      </x:c>
      <x:c r="J987" s="527" t="inlineStr">
        <x:is>
          <x:t xml:space="preserve">Fee / as stated</x:t>
        </x:is>
      </x:c>
      <x:c r="K987" s="527" t="inlineStr">
        <x:is>
          <x:t xml:space="preserve">OKCountyRecords official index, Roger Mills County (instrument 1990-001986); searched 06/11/2026</x:t>
        </x:is>
      </x:c>
      <x:c r="L987" s="565" t="n"/>
      <x:c r="M987" s="565" t="n"/>
      <x:c r="N987" s="565" t="n"/>
      <x:c r="O987" s="565" t="n"/>
      <x:c r="P987" s="565" t="n"/>
      <x:c r="Q987" s="565" t="n"/>
      <x:c r="R987" s="565" t="n"/>
      <x:c r="S987" s="613" t="n"/>
      <x:c r="T987" s="565" t="n"/>
      <x:c r="U987" s="613" t="n"/>
      <x:c r="V987" s="565" t="n"/>
      <x:c r="W987" s="565" t="n"/>
      <x:c r="X987" s="565" t="n"/>
      <x:c r="Y987" s="565" t="n"/>
      <x:c r="Z987" s="565" t="n"/>
    </x:row>
    <x:row r="988">
      <x:c r="A988" s="527" t="inlineStr">
        <x:is>
          <x:t xml:space="preserve">1990-001987</x:t>
        </x:is>
      </x:c>
      <x:c r="B988" s="527" t="n"/>
      <x:c r="C988" s="527" t="inlineStr">
        <x:is>
          <x:t xml:space="preserve">Final Decree</x:t>
        </x:is>
      </x:c>
      <x:c r="D988" s="527" t="inlineStr">
        <x:is>
          <x:t xml:space="preserve">1126/0210</x:t>
        </x:is>
      </x:c>
      <x:c r="E988" s="529" t="inlineStr">
        <x:is>
          <x:t xml:space="preserve">04/06/1990</x:t>
        </x:is>
      </x:c>
      <x:c r="F988" s="529" t="n">
        <x:v>32969</x:v>
      </x:c>
      <x:c r="G988" s="527" t="inlineStr">
        <x:is>
          <x:t xml:space="preserve">Margaret Gray</x:t>
        </x:is>
      </x:c>
      <x:c r="H988" s="527" t="inlineStr">
        <x:is>
          <x:t xml:space="preserve">The Public,
Fred A. Standiford Jr.</x:t>
        </x:is>
      </x:c>
      <x:c r="I988" s="527" t="inlineStr">
        <x:is>
          <x:t xml:space="preserve">31-12N-24W (AOL)</x:t>
        </x:is>
      </x:c>
      <x:c r="J988" s="527" t="inlineStr">
        <x:is>
          <x:t xml:space="preserve">Fee / as stated</x:t>
        </x:is>
      </x:c>
      <x:c r="K988" s="527" t="inlineStr">
        <x:is>
          <x:t xml:space="preserve">OKCountyRecords official index, Roger Mills County (instrument 1990-001987); searched 06/11/2026</x:t>
        </x:is>
      </x:c>
      <x:c r="L988" s="565" t="n"/>
      <x:c r="M988" s="565" t="n"/>
      <x:c r="N988" s="565" t="n"/>
      <x:c r="O988" s="565" t="n"/>
      <x:c r="P988" s="565" t="n"/>
      <x:c r="Q988" s="565" t="n"/>
      <x:c r="R988" s="565" t="n"/>
      <x:c r="S988" s="613" t="n"/>
      <x:c r="T988" s="565" t="n"/>
      <x:c r="U988" s="613" t="n"/>
      <x:c r="V988" s="565" t="n"/>
      <x:c r="W988" s="565" t="n"/>
      <x:c r="X988" s="565" t="n"/>
      <x:c r="Y988" s="565" t="n"/>
      <x:c r="Z988" s="565" t="n"/>
    </x:row>
    <x:row r="989">
      <x:c r="A989" s="527" t="inlineStr">
        <x:is>
          <x:t xml:space="preserve">1990-001991</x:t>
        </x:is>
      </x:c>
      <x:c r="B989" s="527" t="n"/>
      <x:c r="C989" s="527" t="inlineStr">
        <x:is>
          <x:t xml:space="preserve">Final Decree</x:t>
        </x:is>
      </x:c>
      <x:c r="D989" s="527" t="inlineStr">
        <x:is>
          <x:t xml:space="preserve">1126/0226</x:t>
        </x:is>
      </x:c>
      <x:c r="E989" s="529" t="inlineStr">
        <x:is>
          <x:t xml:space="preserve">04/06/1990</x:t>
        </x:is>
      </x:c>
      <x:c r="F989" s="529" t="n">
        <x:v>32969</x:v>
      </x:c>
      <x:c r="G989" s="527" t="inlineStr">
        <x:is>
          <x:t xml:space="preserve">Margaret Gray</x:t>
        </x:is>
      </x:c>
      <x:c r="H989" s="527" t="inlineStr">
        <x:is>
          <x:t xml:space="preserve">The Public,
Fred A. Standiford Jr.</x:t>
        </x:is>
      </x:c>
      <x:c r="I989" s="527" t="inlineStr">
        <x:is>
          <x:t xml:space="preserve">31-12N-24W</x:t>
        </x:is>
      </x:c>
      <x:c r="J989" s="527" t="inlineStr">
        <x:is>
          <x:t xml:space="preserve">Fee / as stated</x:t>
        </x:is>
      </x:c>
      <x:c r="K989" s="527" t="inlineStr">
        <x:is>
          <x:t xml:space="preserve">OKCountyRecords official index, Roger Mills County (instrument 1990-001991); searched 06/11/2026</x:t>
        </x:is>
      </x:c>
      <x:c r="L989" s="565" t="n"/>
      <x:c r="M989" s="565" t="n"/>
      <x:c r="N989" s="565" t="n"/>
      <x:c r="O989" s="565" t="n"/>
      <x:c r="P989" s="565" t="n"/>
      <x:c r="Q989" s="565" t="n"/>
      <x:c r="R989" s="565" t="n"/>
      <x:c r="S989" s="613" t="n"/>
      <x:c r="T989" s="565" t="n"/>
      <x:c r="U989" s="613" t="n"/>
      <x:c r="V989" s="565" t="n"/>
      <x:c r="W989" s="565" t="n"/>
      <x:c r="X989" s="565" t="n"/>
      <x:c r="Y989" s="565" t="n"/>
      <x:c r="Z989" s="565" t="n"/>
    </x:row>
    <x:row r="990">
      <x:c r="A990" s="527" t="inlineStr">
        <x:is>
          <x:t xml:space="preserve">1990-001992</x:t>
        </x:is>
      </x:c>
      <x:c r="B990" s="527" t="n"/>
      <x:c r="C990" s="527" t="inlineStr">
        <x:is>
          <x:t xml:space="preserve">Final Decree</x:t>
        </x:is>
      </x:c>
      <x:c r="D990" s="527" t="inlineStr">
        <x:is>
          <x:t xml:space="preserve">1126/0229</x:t>
        </x:is>
      </x:c>
      <x:c r="E990" s="529" t="inlineStr">
        <x:is>
          <x:t xml:space="preserve">04/06/1990</x:t>
        </x:is>
      </x:c>
      <x:c r="F990" s="529" t="n">
        <x:v>32969</x:v>
      </x:c>
      <x:c r="G990" s="527" t="inlineStr">
        <x:is>
          <x:t xml:space="preserve">Margaret Gray</x:t>
        </x:is>
      </x:c>
      <x:c r="H990" s="527" t="inlineStr">
        <x:is>
          <x:t xml:space="preserve">The Public,
Fred A. Standiford Jr.</x:t>
        </x:is>
      </x:c>
      <x:c r="I990" s="527" t="inlineStr">
        <x:is>
          <x:t xml:space="preserve">31-12N-24W</x:t>
        </x:is>
      </x:c>
      <x:c r="J990" s="527" t="inlineStr">
        <x:is>
          <x:t xml:space="preserve">Fee / as stated</x:t>
        </x:is>
      </x:c>
      <x:c r="K990" s="527" t="inlineStr">
        <x:is>
          <x:t xml:space="preserve">OKCountyRecords official index, Roger Mills County (instrument 1990-001992); searched 06/11/2026</x:t>
        </x:is>
      </x:c>
      <x:c r="L990" s="565" t="n"/>
      <x:c r="M990" s="565" t="n"/>
      <x:c r="N990" s="565" t="n"/>
      <x:c r="O990" s="565" t="n"/>
      <x:c r="P990" s="565" t="n"/>
      <x:c r="Q990" s="565" t="n"/>
      <x:c r="R990" s="565" t="n"/>
      <x:c r="S990" s="613" t="n"/>
      <x:c r="T990" s="565" t="n"/>
      <x:c r="U990" s="613" t="n"/>
      <x:c r="V990" s="565" t="n"/>
      <x:c r="W990" s="565" t="n"/>
      <x:c r="X990" s="565" t="n"/>
      <x:c r="Y990" s="565" t="n"/>
      <x:c r="Z990" s="565" t="n"/>
    </x:row>
    <x:row r="991">
      <x:c r="A991" s="527" t="inlineStr">
        <x:is>
          <x:t xml:space="preserve">1990-001993</x:t>
        </x:is>
      </x:c>
      <x:c r="B991" s="527" t="n"/>
      <x:c r="C991" s="527" t="inlineStr">
        <x:is>
          <x:t xml:space="preserve">Final Decree</x:t>
        </x:is>
      </x:c>
      <x:c r="D991" s="527" t="inlineStr">
        <x:is>
          <x:t xml:space="preserve">1126/0231</x:t>
        </x:is>
      </x:c>
      <x:c r="E991" s="529" t="inlineStr">
        <x:is>
          <x:t xml:space="preserve">04/06/1990</x:t>
        </x:is>
      </x:c>
      <x:c r="F991" s="529" t="n">
        <x:v>32969</x:v>
      </x:c>
      <x:c r="G991" s="527" t="inlineStr">
        <x:is>
          <x:t xml:space="preserve">Margaret Gray</x:t>
        </x:is>
      </x:c>
      <x:c r="H991" s="527" t="inlineStr">
        <x:is>
          <x:t xml:space="preserve">The Public,
Fred A. Standiford Jr.</x:t>
        </x:is>
      </x:c>
      <x:c r="I991" s="527" t="inlineStr">
        <x:is>
          <x:t xml:space="preserve">31-12N-24W</x:t>
        </x:is>
      </x:c>
      <x:c r="J991" s="527" t="inlineStr">
        <x:is>
          <x:t xml:space="preserve">Fee / as stated</x:t>
        </x:is>
      </x:c>
      <x:c r="K991" s="527" t="inlineStr">
        <x:is>
          <x:t xml:space="preserve">OKCountyRecords official index, Roger Mills County (instrument 1990-001993); searched 06/11/2026</x:t>
        </x:is>
      </x:c>
      <x:c r="L991" s="565" t="n"/>
      <x:c r="M991" s="565" t="n"/>
      <x:c r="N991" s="565" t="n"/>
      <x:c r="O991" s="565" t="n"/>
      <x:c r="P991" s="565" t="n"/>
      <x:c r="Q991" s="565" t="n"/>
      <x:c r="R991" s="565" t="n"/>
      <x:c r="S991" s="613" t="n"/>
      <x:c r="T991" s="565" t="n"/>
      <x:c r="U991" s="613" t="n"/>
      <x:c r="V991" s="565" t="n"/>
      <x:c r="W991" s="565" t="n"/>
      <x:c r="X991" s="565" t="n"/>
      <x:c r="Y991" s="565" t="n"/>
      <x:c r="Z991" s="565" t="n"/>
    </x:row>
    <x:row r="992">
      <x:c r="A992" s="527" t="inlineStr">
        <x:is>
          <x:t xml:space="preserve">1990-001996</x:t>
        </x:is>
      </x:c>
      <x:c r="B992" s="527" t="n"/>
      <x:c r="C992" s="527" t="inlineStr">
        <x:is>
          <x:t xml:space="preserve">Final Decree</x:t>
        </x:is>
      </x:c>
      <x:c r="D992" s="527" t="inlineStr">
        <x:is>
          <x:t xml:space="preserve">1126/0234</x:t>
        </x:is>
      </x:c>
      <x:c r="E992" s="529" t="inlineStr">
        <x:is>
          <x:t xml:space="preserve">04/06/1990</x:t>
        </x:is>
      </x:c>
      <x:c r="F992" s="529" t="n">
        <x:v>32969</x:v>
      </x:c>
      <x:c r="G992" s="527" t="inlineStr">
        <x:is>
          <x:t xml:space="preserve">Margaret Gray</x:t>
        </x:is>
      </x:c>
      <x:c r="H992" s="527" t="inlineStr">
        <x:is>
          <x:t xml:space="preserve">The Public,
Fred A. Standiford Jr.</x:t>
        </x:is>
      </x:c>
      <x:c r="I992" s="527" t="inlineStr">
        <x:is>
          <x:t xml:space="preserve">31-12N-24W (AOL)</x:t>
        </x:is>
      </x:c>
      <x:c r="J992" s="527" t="inlineStr">
        <x:is>
          <x:t xml:space="preserve">Fee / as stated</x:t>
        </x:is>
      </x:c>
      <x:c r="K992" s="527" t="inlineStr">
        <x:is>
          <x:t xml:space="preserve">OKCountyRecords official index, Roger Mills County (instrument 1990-001996); searched 06/11/2026</x:t>
        </x:is>
      </x:c>
      <x:c r="L992" s="565" t="n"/>
      <x:c r="M992" s="565" t="n"/>
      <x:c r="N992" s="565" t="n"/>
      <x:c r="O992" s="565" t="n"/>
      <x:c r="P992" s="565" t="n"/>
      <x:c r="Q992" s="565" t="n"/>
      <x:c r="R992" s="565" t="n"/>
      <x:c r="S992" s="613" t="n"/>
      <x:c r="T992" s="565" t="n"/>
      <x:c r="U992" s="613" t="n"/>
      <x:c r="V992" s="565" t="n"/>
      <x:c r="W992" s="565" t="n"/>
      <x:c r="X992" s="565" t="n"/>
      <x:c r="Y992" s="565" t="n"/>
      <x:c r="Z992" s="565" t="n"/>
    </x:row>
    <x:row r="993">
      <x:c r="A993" s="527" t="inlineStr">
        <x:is>
          <x:t xml:space="preserve">1990-002146</x:t>
        </x:is>
      </x:c>
      <x:c r="B993" s="527" t="n"/>
      <x:c r="C993" s="527" t="inlineStr">
        <x:is>
          <x:t xml:space="preserve">Deed</x:t>
        </x:is>
      </x:c>
      <x:c r="D993" s="527" t="inlineStr">
        <x:is>
          <x:t xml:space="preserve">1128/0039</x:t>
        </x:is>
      </x:c>
      <x:c r="E993" s="529" t="inlineStr">
        <x:is>
          <x:t xml:space="preserve">04/12/1990</x:t>
        </x:is>
      </x:c>
      <x:c r="F993" s="529" t="n">
        <x:v>32975</x:v>
      </x:c>
      <x:c r="G993" s="527" t="inlineStr">
        <x:is>
          <x:t xml:space="preserve">State Bank &amp; Trust Co</x:t>
        </x:is>
      </x:c>
      <x:c r="H993" s="527" t="inlineStr">
        <x:is>
          <x:t xml:space="preserve">Arrowhead Resources, Inc.</x:t>
        </x:is>
      </x:c>
      <x:c r="I993" s="527" t="inlineStr">
        <x:is>
          <x:t xml:space="preserve">31-12N-24W (AOL)</x:t>
        </x:is>
      </x:c>
      <x:c r="J993" s="527" t="inlineStr">
        <x:is>
          <x:t xml:space="preserve">Fee / as stated</x:t>
        </x:is>
      </x:c>
      <x:c r="K993" s="527" t="inlineStr">
        <x:is>
          <x:t xml:space="preserve">OKCountyRecords official index, Roger Mills County (instrument 1990-002146); searched 06/11/2026</x:t>
        </x:is>
      </x:c>
      <x:c r="L993" s="565" t="n"/>
      <x:c r="M993" s="565" t="n"/>
      <x:c r="N993" s="565" t="n"/>
      <x:c r="O993" s="565" t="n"/>
      <x:c r="P993" s="565" t="n"/>
      <x:c r="Q993" s="565" t="n"/>
      <x:c r="R993" s="565" t="n"/>
      <x:c r="S993" s="613" t="n"/>
      <x:c r="T993" s="565" t="n"/>
      <x:c r="U993" s="613" t="n"/>
      <x:c r="V993" s="565" t="n"/>
      <x:c r="W993" s="565" t="n"/>
      <x:c r="X993" s="565" t="n"/>
      <x:c r="Y993" s="565" t="n"/>
      <x:c r="Z993" s="565" t="n"/>
    </x:row>
    <x:row r="994">
      <x:c r="A994" s="527" t="inlineStr">
        <x:is>
          <x:t xml:space="preserve">1990-002451</x:t>
        </x:is>
      </x:c>
      <x:c r="B994" s="527" t="n"/>
      <x:c r="C994" s="527" t="inlineStr">
        <x:is>
          <x:t xml:space="preserve">Deed</x:t>
        </x:is>
      </x:c>
      <x:c r="D994" s="527" t="inlineStr">
        <x:is>
          <x:t xml:space="preserve">1131/0089</x:t>
        </x:is>
      </x:c>
      <x:c r="E994" s="529" t="inlineStr">
        <x:is>
          <x:t xml:space="preserve">04/30/1990</x:t>
        </x:is>
      </x:c>
      <x:c r="F994" s="529" t="n">
        <x:v>32993</x:v>
      </x:c>
      <x:c r="G994" s="527" t="inlineStr">
        <x:is>
          <x:t xml:space="preserve">Arrowhead Resources, Inc.</x:t>
        </x:is>
      </x:c>
      <x:c r="H994" s="527" t="inlineStr">
        <x:is>
          <x:t xml:space="preserve">Daniel D. Ferson</x:t>
        </x:is>
      </x:c>
      <x:c r="I994" s="527" t="inlineStr">
        <x:is>
          <x:t xml:space="preserve">31-12N-24W (AOL)</x:t>
        </x:is>
      </x:c>
      <x:c r="J994" s="527" t="inlineStr">
        <x:is>
          <x:t xml:space="preserve">Fee / as stated</x:t>
        </x:is>
      </x:c>
      <x:c r="K994" s="527" t="inlineStr">
        <x:is>
          <x:t xml:space="preserve">OKCountyRecords official index, Roger Mills County (instrument 1990-002451); searched 06/11/2026</x:t>
        </x:is>
      </x:c>
      <x:c r="L994" s="565" t="n"/>
      <x:c r="M994" s="565" t="n"/>
      <x:c r="N994" s="565" t="n"/>
      <x:c r="O994" s="565" t="n"/>
      <x:c r="P994" s="565" t="n"/>
      <x:c r="Q994" s="565" t="n"/>
      <x:c r="R994" s="565" t="n"/>
      <x:c r="S994" s="613" t="n"/>
      <x:c r="T994" s="565" t="n"/>
      <x:c r="U994" s="613" t="n"/>
      <x:c r="V994" s="565" t="n"/>
      <x:c r="W994" s="565" t="n"/>
      <x:c r="X994" s="565" t="n"/>
      <x:c r="Y994" s="565" t="n"/>
      <x:c r="Z994" s="565" t="n"/>
    </x:row>
    <x:row r="995">
      <x:c r="A995" s="527" t="inlineStr">
        <x:is>
          <x:t xml:space="preserve">1990-002553</x:t>
        </x:is>
      </x:c>
      <x:c r="B995" s="527" t="n"/>
      <x:c r="C995" s="527" t="inlineStr">
        <x:is>
          <x:t xml:space="preserve">Assignment</x:t>
        </x:is>
      </x:c>
      <x:c r="D995" s="527" t="inlineStr">
        <x:is>
          <x:t xml:space="preserve">1132/0124</x:t>
        </x:is>
      </x:c>
      <x:c r="E995" s="529" t="inlineStr">
        <x:is>
          <x:t xml:space="preserve">05/04/1990</x:t>
        </x:is>
      </x:c>
      <x:c r="F995" s="529" t="n">
        <x:v>32997</x:v>
      </x:c>
      <x:c r="G995" s="527" t="inlineStr">
        <x:is>
          <x:t xml:space="preserve">Ford, Louis McKee Living Trust,
Louis McKee Ford, Trustee</x:t>
        </x:is>
      </x:c>
      <x:c r="H995" s="527" t="inlineStr">
        <x:is>
          <x:t xml:space="preserve">Victor E. Ratliff Sr.</x:t>
        </x:is>
      </x:c>
      <x:c r="I995" s="527" t="inlineStr">
        <x:is>
          <x:t xml:space="preserve">31-12N-24W (AOL)</x:t>
        </x:is>
      </x:c>
      <x:c r="J995" s="527" t="inlineStr">
        <x:is>
          <x:t xml:space="preserve">Leasehold / WI</x:t>
        </x:is>
      </x:c>
      <x:c r="K995" s="527" t="inlineStr">
        <x:is>
          <x:t xml:space="preserve">OKCountyRecords official index, Roger Mills County (instrument 1990-002553); searched 06/11/2026</x:t>
        </x:is>
      </x:c>
      <x:c r="L995" s="565" t="n"/>
      <x:c r="M995" s="565" t="n"/>
      <x:c r="N995" s="565" t="n"/>
      <x:c r="O995" s="565" t="n"/>
      <x:c r="P995" s="565" t="n"/>
      <x:c r="Q995" s="565" t="n"/>
      <x:c r="R995" s="565" t="n"/>
      <x:c r="S995" s="613" t="n"/>
      <x:c r="T995" s="565" t="n"/>
      <x:c r="U995" s="613" t="n"/>
      <x:c r="V995" s="565" t="n"/>
      <x:c r="W995" s="565" t="n"/>
      <x:c r="X995" s="565" t="n"/>
      <x:c r="Y995" s="565" t="n"/>
      <x:c r="Z995" s="565" t="n"/>
    </x:row>
    <x:row r="996">
      <x:c r="A996" s="527" t="inlineStr">
        <x:is>
          <x:t xml:space="preserve">1990-002606</x:t>
        </x:is>
      </x:c>
      <x:c r="B996" s="527" t="n"/>
      <x:c r="C996" s="527" t="inlineStr">
        <x:is>
          <x:t xml:space="preserve">Deed</x:t>
        </x:is>
      </x:c>
      <x:c r="D996" s="527" t="inlineStr">
        <x:is>
          <x:t xml:space="preserve">1132/0285</x:t>
        </x:is>
      </x:c>
      <x:c r="E996" s="529" t="inlineStr">
        <x:is>
          <x:t xml:space="preserve">05/07/1990</x:t>
        </x:is>
      </x:c>
      <x:c r="F996" s="529" t="n">
        <x:v>33000</x:v>
      </x:c>
      <x:c r="G996" s="527" t="inlineStr">
        <x:is>
          <x:t xml:space="preserve">Alfred W. Standiford</x:t>
        </x:is>
      </x:c>
      <x:c r="H996" s="527" t="inlineStr">
        <x:is>
          <x:t xml:space="preserve">Fred A. Standiford Jr.</x:t>
        </x:is>
      </x:c>
      <x:c r="I996" s="527" t="inlineStr">
        <x:is>
          <x:t xml:space="preserve">31-12N-24W (AOL)</x:t>
        </x:is>
      </x:c>
      <x:c r="J996" s="527" t="inlineStr">
        <x:is>
          <x:t xml:space="preserve">Fee / as stated</x:t>
        </x:is>
      </x:c>
      <x:c r="K996" s="527" t="inlineStr">
        <x:is>
          <x:t xml:space="preserve">OKCountyRecords official index, Roger Mills County (instrument 1990-002606); searched 06/11/2026</x:t>
        </x:is>
      </x:c>
      <x:c r="L996" s="565" t="n"/>
      <x:c r="M996" s="565" t="n"/>
      <x:c r="N996" s="565" t="n"/>
      <x:c r="O996" s="565" t="n"/>
      <x:c r="P996" s="565" t="n"/>
      <x:c r="Q996" s="565" t="n"/>
      <x:c r="R996" s="565" t="n"/>
      <x:c r="S996" s="613" t="n"/>
      <x:c r="T996" s="565" t="n"/>
      <x:c r="U996" s="613" t="n"/>
      <x:c r="V996" s="565" t="n"/>
      <x:c r="W996" s="565" t="n"/>
      <x:c r="X996" s="565" t="n"/>
      <x:c r="Y996" s="565" t="n"/>
      <x:c r="Z996" s="565" t="n"/>
    </x:row>
    <x:row r="997">
      <x:c r="A997" s="527" t="inlineStr">
        <x:is>
          <x:t xml:space="preserve">1990-003160</x:t>
        </x:is>
      </x:c>
      <x:c r="B997" s="527" t="n"/>
      <x:c r="C997" s="527" t="inlineStr">
        <x:is>
          <x:t xml:space="preserve">Deed</x:t>
        </x:is>
      </x:c>
      <x:c r="D997" s="527" t="inlineStr">
        <x:is>
          <x:t xml:space="preserve">1140/0026</x:t>
        </x:is>
      </x:c>
      <x:c r="E997" s="529" t="inlineStr">
        <x:is>
          <x:t xml:space="preserve">06/01/1990</x:t>
        </x:is>
      </x:c>
      <x:c r="F997" s="529" t="n">
        <x:v>33025</x:v>
      </x:c>
      <x:c r="G997" s="527" t="inlineStr">
        <x:is>
          <x:t xml:space="preserve">First State Bank &amp; Trust Co</x:t>
        </x:is>
      </x:c>
      <x:c r="H997" s="527" t="inlineStr">
        <x:is>
          <x:t xml:space="preserve">Arrowhead Resources, Inc.</x:t>
        </x:is>
      </x:c>
      <x:c r="I997" s="527" t="inlineStr">
        <x:is>
          <x:t xml:space="preserve">31-12N-24W (AOL)</x:t>
        </x:is>
      </x:c>
      <x:c r="J997" s="527" t="inlineStr">
        <x:is>
          <x:t xml:space="preserve">Fee / as stated</x:t>
        </x:is>
      </x:c>
      <x:c r="K997" s="527" t="inlineStr">
        <x:is>
          <x:t xml:space="preserve">OKCountyRecords official index, Roger Mills County (instrument 1990-003160); searched 06/11/2026</x:t>
        </x:is>
      </x:c>
      <x:c r="L997" s="565" t="n"/>
      <x:c r="M997" s="565" t="n"/>
      <x:c r="N997" s="565" t="n"/>
      <x:c r="O997" s="565" t="n"/>
      <x:c r="P997" s="565" t="n"/>
      <x:c r="Q997" s="565" t="n"/>
      <x:c r="R997" s="565" t="n"/>
      <x:c r="S997" s="613" t="n"/>
      <x:c r="T997" s="565" t="n"/>
      <x:c r="U997" s="613" t="n"/>
      <x:c r="V997" s="565" t="n"/>
      <x:c r="W997" s="565" t="n"/>
      <x:c r="X997" s="565" t="n"/>
      <x:c r="Y997" s="565" t="n"/>
      <x:c r="Z997" s="565" t="n"/>
    </x:row>
    <x:row r="998">
      <x:c r="A998" s="527" t="inlineStr">
        <x:is>
          <x:t xml:space="preserve">1990-003980</x:t>
        </x:is>
      </x:c>
      <x:c r="B998" s="527" t="n"/>
      <x:c r="C998" s="527" t="inlineStr">
        <x:is>
          <x:t xml:space="preserve">Assignment</x:t>
        </x:is>
      </x:c>
      <x:c r="D998" s="527" t="inlineStr">
        <x:is>
          <x:t xml:space="preserve">1148/0114</x:t>
        </x:is>
      </x:c>
      <x:c r="E998" s="529" t="inlineStr">
        <x:is>
          <x:t xml:space="preserve">06/09/1990</x:t>
        </x:is>
      </x:c>
      <x:c r="F998" s="529" t="n">
        <x:v>33033</x:v>
      </x:c>
      <x:c r="G998" s="527" t="inlineStr">
        <x:is>
          <x:t xml:space="preserve">Santa Fe Energy Operating Partners</x:t>
        </x:is>
      </x:c>
      <x:c r="H998" s="527" t="inlineStr">
        <x:is>
          <x:t xml:space="preserve">Barbara Fasken</x:t>
        </x:is>
      </x:c>
      <x:c r="I998" s="527" t="inlineStr">
        <x:is>
          <x:t xml:space="preserve">31-12N-24W (AOL)</x:t>
        </x:is>
      </x:c>
      <x:c r="J998" s="527" t="inlineStr">
        <x:is>
          <x:t xml:space="preserve">Leasehold / WI</x:t>
        </x:is>
      </x:c>
      <x:c r="K998" s="527" t="inlineStr">
        <x:is>
          <x:t xml:space="preserve">OKCountyRecords official index, Roger Mills County (instrument 1990-003980); searched 06/11/2026</x:t>
        </x:is>
      </x:c>
      <x:c r="L998" s="565" t="n"/>
      <x:c r="M998" s="565" t="n"/>
      <x:c r="N998" s="565" t="n"/>
      <x:c r="O998" s="565" t="n"/>
      <x:c r="P998" s="565" t="n"/>
      <x:c r="Q998" s="565" t="n"/>
      <x:c r="R998" s="565" t="n"/>
      <x:c r="S998" s="613" t="n"/>
      <x:c r="T998" s="565" t="n"/>
      <x:c r="U998" s="613" t="n"/>
      <x:c r="V998" s="565" t="n"/>
      <x:c r="W998" s="565" t="n"/>
      <x:c r="X998" s="565" t="n"/>
      <x:c r="Y998" s="565" t="n"/>
      <x:c r="Z998" s="565" t="n"/>
    </x:row>
    <x:row r="999">
      <x:c r="A999" s="527" t="inlineStr">
        <x:is>
          <x:t xml:space="preserve">1990-003924</x:t>
        </x:is>
      </x:c>
      <x:c r="B999" s="527" t="n"/>
      <x:c r="C999" s="527" t="inlineStr">
        <x:is>
          <x:t xml:space="preserve">Deed</x:t>
        </x:is>
      </x:c>
      <x:c r="D999" s="527" t="inlineStr">
        <x:is>
          <x:t xml:space="preserve">1147/0242</x:t>
        </x:is>
      </x:c>
      <x:c r="E999" s="529" t="inlineStr">
        <x:is>
          <x:t xml:space="preserve">07/05/1990</x:t>
        </x:is>
      </x:c>
      <x:c r="F999" s="529" t="n">
        <x:v>33059</x:v>
      </x:c>
      <x:c r="G999" s="527" t="inlineStr">
        <x:is>
          <x:t xml:space="preserve">Arrowhead Resources, Inc.</x:t>
        </x:is>
      </x:c>
      <x:c r="H999" s="527" t="inlineStr">
        <x:is>
          <x:t xml:space="preserve">Hefner Corp</x:t>
        </x:is>
      </x:c>
      <x:c r="I999" s="527" t="inlineStr">
        <x:is>
          <x:t xml:space="preserve">31-12N-24W (AOL)</x:t>
        </x:is>
      </x:c>
      <x:c r="J999" s="527" t="inlineStr">
        <x:is>
          <x:t xml:space="preserve">Fee / as stated</x:t>
        </x:is>
      </x:c>
      <x:c r="K999" s="527" t="inlineStr">
        <x:is>
          <x:t xml:space="preserve">OKCountyRecords official index, Roger Mills County (instrument 1990-003924); searched 06/11/2026</x:t>
        </x:is>
      </x:c>
      <x:c r="L999" s="565" t="n"/>
      <x:c r="M999" s="565" t="n"/>
      <x:c r="N999" s="565" t="n"/>
      <x:c r="O999" s="565" t="n"/>
      <x:c r="P999" s="565" t="n"/>
      <x:c r="Q999" s="565" t="n"/>
      <x:c r="R999" s="565" t="n"/>
      <x:c r="S999" s="613" t="n"/>
      <x:c r="T999" s="565" t="n"/>
      <x:c r="U999" s="613" t="n"/>
      <x:c r="V999" s="565" t="n"/>
      <x:c r="W999" s="565" t="n"/>
      <x:c r="X999" s="565" t="n"/>
      <x:c r="Y999" s="565" t="n"/>
      <x:c r="Z999" s="565" t="n"/>
    </x:row>
    <x:row r="1000">
      <x:c r="A1000" s="527" t="inlineStr">
        <x:is>
          <x:t xml:space="preserve">1990-004213</x:t>
        </x:is>
      </x:c>
      <x:c r="B1000" s="527" t="n"/>
      <x:c r="C1000" s="527" t="inlineStr">
        <x:is>
          <x:t xml:space="preserve">Deed</x:t>
        </x:is>
      </x:c>
      <x:c r="D1000" s="527" t="inlineStr">
        <x:is>
          <x:t xml:space="preserve">1151/0107</x:t>
        </x:is>
      </x:c>
      <x:c r="E1000" s="529" t="inlineStr">
        <x:is>
          <x:t xml:space="preserve">07/19/1990</x:t>
        </x:is>
      </x:c>
      <x:c r="F1000" s="529" t="n">
        <x:v>33073</x:v>
      </x:c>
      <x:c r="G1000" s="527" t="inlineStr">
        <x:is>
          <x:t xml:space="preserve">Charles O. Burckhalter</x:t>
        </x:is>
      </x:c>
      <x:c r="H1000" s="527" t="inlineStr">
        <x:is>
          <x:t xml:space="preserve">Charles O. Burckhalter, Trustee,
Burckhalter Family Trust</x:t>
        </x:is>
      </x:c>
      <x:c r="I1000" s="527" t="inlineStr">
        <x:is>
          <x:t xml:space="preserve">All of 31-12N-24W (AOL)</x:t>
        </x:is>
      </x:c>
      <x:c r="J1000" s="527" t="inlineStr">
        <x:is>
          <x:t xml:space="preserve">Fee / as stated</x:t>
        </x:is>
      </x:c>
      <x:c r="K1000" s="527" t="inlineStr">
        <x:is>
          <x:t xml:space="preserve">OKCountyRecords official index, Roger Mills County (instrument 1990-004213); searched 06/11/2026</x:t>
        </x:is>
      </x:c>
      <x:c r="L1000" s="565" t="n"/>
      <x:c r="M1000" s="565" t="n"/>
      <x:c r="N1000" s="565" t="n"/>
      <x:c r="O1000" s="565" t="n"/>
      <x:c r="P1000" s="565" t="n"/>
      <x:c r="Q1000" s="565" t="n"/>
      <x:c r="R1000" s="565" t="n"/>
      <x:c r="S1000" s="613" t="n"/>
      <x:c r="T1000" s="565" t="n"/>
      <x:c r="U1000" s="613" t="n"/>
      <x:c r="V1000" s="565" t="n"/>
      <x:c r="W1000" s="565" t="n"/>
      <x:c r="X1000" s="565" t="n"/>
      <x:c r="Y1000" s="565" t="n"/>
      <x:c r="Z1000" s="565" t="n"/>
    </x:row>
    <x:row r="1001">
      <x:c r="A1001" s="527" t="inlineStr">
        <x:is>
          <x:t xml:space="preserve">1990-005042</x:t>
        </x:is>
      </x:c>
      <x:c r="B1001" s="527" t="n"/>
      <x:c r="C1001" s="527" t="inlineStr">
        <x:is>
          <x:t xml:space="preserve">Deed</x:t>
        </x:is>
      </x:c>
      <x:c r="D1001" s="527" t="inlineStr">
        <x:is>
          <x:t xml:space="preserve">1159/0224</x:t>
        </x:is>
      </x:c>
      <x:c r="E1001" s="529" t="inlineStr">
        <x:is>
          <x:t xml:space="preserve">08/29/1990</x:t>
        </x:is>
      </x:c>
      <x:c r="F1001" s="529" t="n">
        <x:v>33114</x:v>
      </x:c>
      <x:c r="G1001" s="527" t="inlineStr">
        <x:is>
          <x:t xml:space="preserve">Inter-american Corporation</x:t>
        </x:is>
      </x:c>
      <x:c r="H1001" s="527" t="inlineStr">
        <x:is>
          <x:t xml:space="preserve">Hayhurst Oil Properties, Inc.</x:t>
        </x:is>
      </x:c>
      <x:c r="I1001" s="527" t="inlineStr">
        <x:is>
          <x:t xml:space="preserve">31-12N-24W (AOL)</x:t>
        </x:is>
      </x:c>
      <x:c r="J1001" s="527" t="inlineStr">
        <x:is>
          <x:t xml:space="preserve">Fee / as stated</x:t>
        </x:is>
      </x:c>
      <x:c r="K1001" s="527" t="inlineStr">
        <x:is>
          <x:t xml:space="preserve">OKCountyRecords official index, Roger Mills County (instrument 1990-005042); searched 06/11/2026</x:t>
        </x:is>
      </x:c>
      <x:c r="L1001" s="565" t="n"/>
      <x:c r="M1001" s="565" t="n"/>
      <x:c r="N1001" s="565" t="n"/>
      <x:c r="O1001" s="565" t="n"/>
      <x:c r="P1001" s="565" t="n"/>
      <x:c r="Q1001" s="565" t="n"/>
      <x:c r="R1001" s="565" t="n"/>
      <x:c r="S1001" s="613" t="n"/>
      <x:c r="T1001" s="565" t="n"/>
      <x:c r="U1001" s="613" t="n"/>
      <x:c r="V1001" s="565" t="n"/>
      <x:c r="W1001" s="565" t="n"/>
      <x:c r="X1001" s="565" t="n"/>
      <x:c r="Y1001" s="565" t="n"/>
      <x:c r="Z1001" s="565" t="n"/>
    </x:row>
    <x:row r="1002">
      <x:c r="A1002" s="527" t="inlineStr">
        <x:is>
          <x:t xml:space="preserve">1990-005043</x:t>
        </x:is>
      </x:c>
      <x:c r="B1002" s="527" t="n"/>
      <x:c r="C1002" s="527" t="inlineStr">
        <x:is>
          <x:t xml:space="preserve">Deed</x:t>
        </x:is>
      </x:c>
      <x:c r="D1002" s="527" t="inlineStr">
        <x:is>
          <x:t xml:space="preserve">1159/0225</x:t>
        </x:is>
      </x:c>
      <x:c r="E1002" s="529" t="inlineStr">
        <x:is>
          <x:t xml:space="preserve">08/29/1990</x:t>
        </x:is>
      </x:c>
      <x:c r="F1002" s="529" t="n">
        <x:v>33114</x:v>
      </x:c>
      <x:c r="G1002" s="527" t="inlineStr">
        <x:is>
          <x:t xml:space="preserve">Termo Company</x:t>
        </x:is>
      </x:c>
      <x:c r="H1002" s="527" t="inlineStr">
        <x:is>
          <x:t xml:space="preserve">Hayhurst Oil Properties, Inc.</x:t>
        </x:is>
      </x:c>
      <x:c r="I1002" s="527" t="inlineStr">
        <x:is>
          <x:t xml:space="preserve">31-12N-24W (AOL)</x:t>
        </x:is>
      </x:c>
      <x:c r="J1002" s="527" t="inlineStr">
        <x:is>
          <x:t xml:space="preserve">Fee / as stated</x:t>
        </x:is>
      </x:c>
      <x:c r="K1002" s="527" t="inlineStr">
        <x:is>
          <x:t xml:space="preserve">OKCountyRecords official index, Roger Mills County (instrument 1990-005043); searched 06/11/2026</x:t>
        </x:is>
      </x:c>
      <x:c r="L1002" s="565" t="n"/>
      <x:c r="M1002" s="565" t="n"/>
      <x:c r="N1002" s="565" t="n"/>
      <x:c r="O1002" s="565" t="n"/>
      <x:c r="P1002" s="565" t="n"/>
      <x:c r="Q1002" s="565" t="n"/>
      <x:c r="R1002" s="565" t="n"/>
      <x:c r="S1002" s="613" t="n"/>
      <x:c r="T1002" s="565" t="n"/>
      <x:c r="U1002" s="613" t="n"/>
      <x:c r="V1002" s="565" t="n"/>
      <x:c r="W1002" s="565" t="n"/>
      <x:c r="X1002" s="565" t="n"/>
      <x:c r="Y1002" s="565" t="n"/>
      <x:c r="Z1002" s="565" t="n"/>
    </x:row>
    <x:row r="1003">
      <x:c r="A1003" s="527" t="inlineStr">
        <x:is>
          <x:t xml:space="preserve">1990-005498</x:t>
        </x:is>
      </x:c>
      <x:c r="B1003" s="527" t="n"/>
      <x:c r="C1003" s="527" t="inlineStr">
        <x:is>
          <x:t xml:space="preserve">Release</x:t>
        </x:is>
      </x:c>
      <x:c r="D1003" s="527" t="inlineStr">
        <x:is>
          <x:t xml:space="preserve">1164/0107</x:t>
        </x:is>
      </x:c>
      <x:c r="E1003" s="529" t="inlineStr">
        <x:is>
          <x:t xml:space="preserve">09/24/1990</x:t>
        </x:is>
      </x:c>
      <x:c r="F1003" s="529" t="n">
        <x:v>33140</x:v>
      </x:c>
      <x:c r="G1003" s="527" t="inlineStr">
        <x:is>
          <x:t xml:space="preserve">Anson Company</x:t>
        </x:is>
      </x:c>
      <x:c r="H1003" s="527" t="inlineStr">
        <x:is>
          <x:t xml:space="preserve">Panhandle Royalty Company</x:t>
        </x:is>
      </x:c>
      <x:c r="I1003" s="527" t="inlineStr">
        <x:is>
          <x:t xml:space="preserve">31-12N-24W</x:t>
        </x:is>
      </x:c>
      <x:c r="J1003" s="527" t="inlineStr">
        <x:is>
          <x:t xml:space="preserve">Leasehold / WI</x:t>
        </x:is>
      </x:c>
      <x:c r="K1003" s="527" t="inlineStr">
        <x:is>
          <x:t xml:space="preserve">OKCountyRecords official index, Roger Mills County (instrument 1990-005498); searched 06/11/2026</x:t>
        </x:is>
      </x:c>
      <x:c r="L1003" s="565" t="n"/>
      <x:c r="M1003" s="565" t="n"/>
      <x:c r="N1003" s="565" t="n"/>
      <x:c r="O1003" s="565" t="n"/>
      <x:c r="P1003" s="565" t="n"/>
      <x:c r="Q1003" s="565" t="n"/>
      <x:c r="R1003" s="565" t="n"/>
      <x:c r="S1003" s="613" t="n"/>
      <x:c r="T1003" s="565" t="n"/>
      <x:c r="U1003" s="613" t="n"/>
      <x:c r="V1003" s="565" t="n"/>
      <x:c r="W1003" s="565" t="n"/>
      <x:c r="X1003" s="565" t="n"/>
      <x:c r="Y1003" s="565" t="n"/>
      <x:c r="Z1003" s="565" t="n"/>
    </x:row>
    <x:row r="1004">
      <x:c r="A1004" s="527" t="inlineStr">
        <x:is>
          <x:t xml:space="preserve">1990-005848</x:t>
        </x:is>
      </x:c>
      <x:c r="B1004" s="527" t="n"/>
      <x:c r="C1004" s="527" t="inlineStr">
        <x:is>
          <x:t xml:space="preserve">Deed</x:t>
        </x:is>
      </x:c>
      <x:c r="D1004" s="527" t="inlineStr">
        <x:is>
          <x:t xml:space="preserve">1167/0200</x:t>
        </x:is>
      </x:c>
      <x:c r="E1004" s="529" t="inlineStr">
        <x:is>
          <x:t xml:space="preserve">10/12/1990</x:t>
        </x:is>
      </x:c>
      <x:c r="F1004" s="529" t="n">
        <x:v>33158</x:v>
      </x:c>
      <x:c r="G1004" s="527" t="inlineStr">
        <x:is>
          <x:t xml:space="preserve">Gilbert C. Fuchs</x:t>
        </x:is>
      </x:c>
      <x:c r="H1004" s="527" t="inlineStr">
        <x:is>
          <x:t xml:space="preserve">Fuchs Family Revocable Trust</x:t>
        </x:is>
      </x:c>
      <x:c r="I1004" s="527" t="inlineStr">
        <x:is>
          <x:t xml:space="preserve">31-12N-24W (AOL)</x:t>
        </x:is>
      </x:c>
      <x:c r="J1004" s="527" t="inlineStr">
        <x:is>
          <x:t xml:space="preserve">Fee / as stated</x:t>
        </x:is>
      </x:c>
      <x:c r="K1004" s="527" t="inlineStr">
        <x:is>
          <x:t xml:space="preserve">OKCountyRecords official index, Roger Mills County (instrument 1990-005848); searched 06/11/2026</x:t>
        </x:is>
      </x:c>
      <x:c r="L1004" s="565" t="n"/>
      <x:c r="M1004" s="565" t="n"/>
      <x:c r="N1004" s="565" t="n"/>
      <x:c r="O1004" s="565" t="n"/>
      <x:c r="P1004" s="565" t="n"/>
      <x:c r="Q1004" s="565" t="n"/>
      <x:c r="R1004" s="565" t="n"/>
      <x:c r="S1004" s="613" t="n"/>
      <x:c r="T1004" s="565" t="n"/>
      <x:c r="U1004" s="613" t="n"/>
      <x:c r="V1004" s="565" t="n"/>
      <x:c r="W1004" s="565" t="n"/>
      <x:c r="X1004" s="565" t="n"/>
      <x:c r="Y1004" s="565" t="n"/>
      <x:c r="Z1004" s="565" t="n"/>
    </x:row>
    <x:row r="1005">
      <x:c r="A1005" s="527" t="inlineStr">
        <x:is>
          <x:t xml:space="preserve">1990-006747</x:t>
        </x:is>
      </x:c>
      <x:c r="B1005" s="527" t="n"/>
      <x:c r="C1005" s="527" t="inlineStr">
        <x:is>
          <x:t xml:space="preserve">Final Decree</x:t>
        </x:is>
      </x:c>
      <x:c r="D1005" s="527" t="inlineStr">
        <x:is>
          <x:t xml:space="preserve">1176/0054</x:t>
        </x:is>
      </x:c>
      <x:c r="E1005" s="529" t="inlineStr">
        <x:is>
          <x:t xml:space="preserve">11/28/1990</x:t>
        </x:is>
      </x:c>
      <x:c r="F1005" s="529" t="n">
        <x:v>33205</x:v>
      </x:c>
      <x:c r="G1005" s="527" t="inlineStr">
        <x:is>
          <x:t xml:space="preserve">Annie E. Mitchel</x:t>
        </x:is>
      </x:c>
      <x:c r="H1005" s="527" t="inlineStr">
        <x:is>
          <x:t xml:space="preserve">Louise Ormand,
The Public</x:t>
        </x:is>
      </x:c>
      <x:c r="I1005" s="527" t="inlineStr">
        <x:is>
          <x:t xml:space="preserve">31-12N-24W (AOL)</x:t>
        </x:is>
      </x:c>
      <x:c r="J1005" s="527" t="inlineStr">
        <x:is>
          <x:t xml:space="preserve">Fee / as stated</x:t>
        </x:is>
      </x:c>
      <x:c r="K1005" s="527" t="inlineStr">
        <x:is>
          <x:t xml:space="preserve">OKCountyRecords official index, Roger Mills County (instrument 1990-006747); searched 06/11/2026</x:t>
        </x:is>
      </x:c>
      <x:c r="L1005" s="565" t="n"/>
      <x:c r="M1005" s="565" t="n"/>
      <x:c r="N1005" s="565" t="n"/>
      <x:c r="O1005" s="565" t="n"/>
      <x:c r="P1005" s="565" t="n"/>
      <x:c r="Q1005" s="565" t="n"/>
      <x:c r="R1005" s="565" t="n"/>
      <x:c r="S1005" s="613" t="n"/>
      <x:c r="T1005" s="565" t="n"/>
      <x:c r="U1005" s="613" t="n"/>
      <x:c r="V1005" s="565" t="n"/>
      <x:c r="W1005" s="565" t="n"/>
      <x:c r="X1005" s="565" t="n"/>
      <x:c r="Y1005" s="565" t="n"/>
      <x:c r="Z1005" s="565" t="n"/>
    </x:row>
    <x:row r="1006">
      <x:c r="A1006" s="527" t="inlineStr">
        <x:is>
          <x:t xml:space="preserve">1991-000858</x:t>
        </x:is>
      </x:c>
      <x:c r="B1006" s="527" t="n"/>
      <x:c r="C1006" s="527" t="inlineStr">
        <x:is>
          <x:t xml:space="preserve">Deed</x:t>
        </x:is>
      </x:c>
      <x:c r="D1006" s="527" t="inlineStr">
        <x:is>
          <x:t xml:space="preserve">1194/0257</x:t>
        </x:is>
      </x:c>
      <x:c r="E1006" s="529" t="inlineStr">
        <x:is>
          <x:t xml:space="preserve">02/08/1991</x:t>
        </x:is>
      </x:c>
      <x:c r="F1006" s="529" t="n">
        <x:v>33277</x:v>
      </x:c>
      <x:c r="G1006" s="527" t="inlineStr">
        <x:is>
          <x:t xml:space="preserve">Alpine Investments, Inc.</x:t>
        </x:is>
      </x:c>
      <x:c r="H1006" s="527" t="inlineStr">
        <x:is>
          <x:t xml:space="preserve">Estate of Dwight J. Wilson</x:t>
        </x:is>
      </x:c>
      <x:c r="I1006" s="527" t="inlineStr">
        <x:is>
          <x:t xml:space="preserve">31-12N-24W (AOL)</x:t>
        </x:is>
      </x:c>
      <x:c r="J1006" s="527" t="inlineStr">
        <x:is>
          <x:t xml:space="preserve">Fee / as stated</x:t>
        </x:is>
      </x:c>
      <x:c r="K1006" s="527" t="inlineStr">
        <x:is>
          <x:t xml:space="preserve">OKCountyRecords official index, Roger Mills County (instrument 1991-000858); searched 06/11/2026</x:t>
        </x:is>
      </x:c>
      <x:c r="L1006" s="565" t="n"/>
      <x:c r="M1006" s="565" t="n"/>
      <x:c r="N1006" s="565" t="n"/>
      <x:c r="O1006" s="565" t="n"/>
      <x:c r="P1006" s="565" t="n"/>
      <x:c r="Q1006" s="565" t="n"/>
      <x:c r="R1006" s="565" t="n"/>
      <x:c r="S1006" s="613" t="n"/>
      <x:c r="T1006" s="565" t="n"/>
      <x:c r="U1006" s="613" t="n"/>
      <x:c r="V1006" s="565" t="n"/>
      <x:c r="W1006" s="565" t="n"/>
      <x:c r="X1006" s="565" t="n"/>
      <x:c r="Y1006" s="565" t="n"/>
      <x:c r="Z1006" s="565" t="n"/>
    </x:row>
    <x:row r="1007">
      <x:c r="A1007" s="527" t="inlineStr">
        <x:is>
          <x:t xml:space="preserve">1991-001479</x:t>
        </x:is>
      </x:c>
      <x:c r="B1007" s="527" t="n"/>
      <x:c r="C1007" s="527" t="inlineStr">
        <x:is>
          <x:t xml:space="preserve">Assignment</x:t>
        </x:is>
      </x:c>
      <x:c r="D1007" s="527" t="inlineStr">
        <x:is>
          <x:t xml:space="preserve">1202/0294</x:t>
        </x:is>
      </x:c>
      <x:c r="E1007" s="529" t="inlineStr">
        <x:is>
          <x:t xml:space="preserve">03/18/1991</x:t>
        </x:is>
      </x:c>
      <x:c r="F1007" s="529" t="n">
        <x:v>33315</x:v>
      </x:c>
      <x:c r="G1007" s="527" t="inlineStr">
        <x:is>
          <x:t xml:space="preserve">J. R. Nicholson</x:t>
        </x:is>
      </x:c>
      <x:c r="H1007" s="527" t="inlineStr">
        <x:is>
          <x:t xml:space="preserve">New Liberty Investments, Inc.</x:t>
        </x:is>
      </x:c>
      <x:c r="I1007" s="527" t="inlineStr">
        <x:is>
          <x:t xml:space="preserve">31-12N-24W (AOL)</x:t>
        </x:is>
      </x:c>
      <x:c r="J1007" s="527" t="inlineStr">
        <x:is>
          <x:t xml:space="preserve">Leasehold / WI</x:t>
        </x:is>
      </x:c>
      <x:c r="K1007" s="527" t="inlineStr">
        <x:is>
          <x:t xml:space="preserve">OKCountyRecords official index, Roger Mills County (instrument 1991-001479); searched 06/11/2026</x:t>
        </x:is>
      </x:c>
      <x:c r="L1007" s="565" t="n"/>
      <x:c r="M1007" s="565" t="n"/>
      <x:c r="N1007" s="565" t="n"/>
      <x:c r="O1007" s="565" t="n"/>
      <x:c r="P1007" s="565" t="n"/>
      <x:c r="Q1007" s="565" t="n"/>
      <x:c r="R1007" s="565" t="n"/>
      <x:c r="S1007" s="613" t="n"/>
      <x:c r="T1007" s="565" t="n"/>
      <x:c r="U1007" s="613" t="n"/>
      <x:c r="V1007" s="565" t="n"/>
      <x:c r="W1007" s="565" t="n"/>
      <x:c r="X1007" s="565" t="n"/>
      <x:c r="Y1007" s="565" t="n"/>
      <x:c r="Z1007" s="565" t="n"/>
    </x:row>
    <x:row r="1008">
      <x:c r="A1008" s="527" t="inlineStr">
        <x:is>
          <x:t xml:space="preserve">1991-002362</x:t>
        </x:is>
      </x:c>
      <x:c r="B1008" s="527" t="n"/>
      <x:c r="C1008" s="527" t="inlineStr">
        <x:is>
          <x:t xml:space="preserve">Assignment</x:t>
        </x:is>
      </x:c>
      <x:c r="D1008" s="527" t="inlineStr">
        <x:is>
          <x:t xml:space="preserve">1214/0113</x:t>
        </x:is>
      </x:c>
      <x:c r="E1008" s="529" t="inlineStr">
        <x:is>
          <x:t xml:space="preserve">05/20/1991</x:t>
        </x:is>
      </x:c>
      <x:c r="F1008" s="529" t="n">
        <x:v>33378</x:v>
      </x:c>
      <x:c r="G1008" s="527" t="inlineStr">
        <x:is>
          <x:t xml:space="preserve">Santa Fe Energy Operating Partners</x:t>
        </x:is>
      </x:c>
      <x:c r="H1008" s="527" t="inlineStr">
        <x:is>
          <x:t xml:space="preserve">Barbara Fasken</x:t>
        </x:is>
      </x:c>
      <x:c r="I1008" s="527" t="inlineStr">
        <x:is>
          <x:t xml:space="preserve">31-12N-24W (AOL)</x:t>
        </x:is>
      </x:c>
      <x:c r="J1008" s="527" t="inlineStr">
        <x:is>
          <x:t xml:space="preserve">Leasehold / WI</x:t>
        </x:is>
      </x:c>
      <x:c r="K1008" s="527" t="inlineStr">
        <x:is>
          <x:t xml:space="preserve">OKCountyRecords official index, Roger Mills County (instrument 1991-002362); searched 06/11/2026</x:t>
        </x:is>
      </x:c>
      <x:c r="L1008" s="565" t="n"/>
      <x:c r="M1008" s="565" t="n"/>
      <x:c r="N1008" s="565" t="n"/>
      <x:c r="O1008" s="565" t="n"/>
      <x:c r="P1008" s="565" t="n"/>
      <x:c r="Q1008" s="565" t="n"/>
      <x:c r="R1008" s="565" t="n"/>
      <x:c r="S1008" s="613" t="n"/>
      <x:c r="T1008" s="565" t="n"/>
      <x:c r="U1008" s="613" t="n"/>
      <x:c r="V1008" s="565" t="n"/>
      <x:c r="W1008" s="565" t="n"/>
      <x:c r="X1008" s="565" t="n"/>
      <x:c r="Y1008" s="565" t="n"/>
      <x:c r="Z1008" s="565" t="n"/>
    </x:row>
    <x:row r="1009">
      <x:c r="A1009" s="527" t="inlineStr">
        <x:is>
          <x:t xml:space="preserve">1991-002734</x:t>
        </x:is>
      </x:c>
      <x:c r="B1009" s="527" t="n"/>
      <x:c r="C1009" s="527" t="inlineStr">
        <x:is>
          <x:t xml:space="preserve">Affidavit</x:t>
        </x:is>
      </x:c>
      <x:c r="D1009" s="527" t="inlineStr">
        <x:is>
          <x:t xml:space="preserve">1218/0001</x:t>
        </x:is>
      </x:c>
      <x:c r="E1009" s="529" t="inlineStr">
        <x:is>
          <x:t xml:space="preserve">06/10/1991</x:t>
        </x:is>
      </x:c>
      <x:c r="F1009" s="529" t="n">
        <x:v>33399</x:v>
      </x:c>
      <x:c r="G1009" s="527" t="inlineStr">
        <x:is>
          <x:t xml:space="preserve">Umc Petroleum Corp - Delaware</x:t>
        </x:is>
      </x:c>
      <x:c r="H1009" s="527" t="inlineStr">
        <x:is>
          <x:t xml:space="preserve">Umc Petroleum Corp - Delaware</x:t>
        </x:is>
      </x:c>
      <x:c r="I1009" s="527" t="inlineStr">
        <x:is>
          <x:t xml:space="preserve">31-12N-24W (AOL)</x:t>
        </x:is>
      </x:c>
      <x:c r="J1009" s="527" t="inlineStr">
        <x:is>
          <x:t xml:space="preserve">See instrument</x:t>
        </x:is>
      </x:c>
      <x:c r="K1009" s="527" t="inlineStr">
        <x:is>
          <x:t xml:space="preserve">OKCountyRecords official index, Roger Mills County (instrument 1991-002734); searched 06/11/2026</x:t>
        </x:is>
      </x:c>
      <x:c r="L1009" s="565" t="n"/>
      <x:c r="M1009" s="565" t="n"/>
      <x:c r="N1009" s="565" t="n"/>
      <x:c r="O1009" s="565" t="n"/>
      <x:c r="P1009" s="565" t="n"/>
      <x:c r="Q1009" s="565" t="n"/>
      <x:c r="R1009" s="565" t="n"/>
      <x:c r="S1009" s="613" t="n"/>
      <x:c r="T1009" s="565" t="n"/>
      <x:c r="U1009" s="613" t="n"/>
      <x:c r="V1009" s="565" t="n"/>
      <x:c r="W1009" s="565" t="n"/>
      <x:c r="X1009" s="565" t="n"/>
      <x:c r="Y1009" s="565" t="n"/>
      <x:c r="Z1009" s="565" t="n"/>
    </x:row>
    <x:row r="1010">
      <x:c r="A1010" s="527" t="inlineStr">
        <x:is>
          <x:t xml:space="preserve">1991-003350</x:t>
        </x:is>
      </x:c>
      <x:c r="B1010" s="527" t="n"/>
      <x:c r="C1010" s="527" t="inlineStr">
        <x:is>
          <x:t xml:space="preserve">Assignment</x:t>
        </x:is>
      </x:c>
      <x:c r="D1010" s="527" t="inlineStr">
        <x:is>
          <x:t xml:space="preserve">1227/0155</x:t>
        </x:is>
      </x:c>
      <x:c r="E1010" s="529" t="inlineStr">
        <x:is>
          <x:t xml:space="preserve">07/25/1991</x:t>
        </x:is>
      </x:c>
      <x:c r="F1010" s="529" t="n">
        <x:v>33444</x:v>
      </x:c>
      <x:c r="G1010" s="527" t="inlineStr">
        <x:is>
          <x:t xml:space="preserve">J.r. Nicholson,
Alfred Williams Standford</x:t>
        </x:is>
      </x:c>
      <x:c r="H1010" s="527" t="inlineStr">
        <x:is>
          <x:t xml:space="preserve">New Liberty Investments, Inc.</x:t>
        </x:is>
      </x:c>
      <x:c r="I1010" s="527" t="inlineStr">
        <x:is>
          <x:t xml:space="preserve">31-12N-24W (AOL)</x:t>
        </x:is>
      </x:c>
      <x:c r="J1010" s="527" t="inlineStr">
        <x:is>
          <x:t xml:space="preserve">Leasehold / WI</x:t>
        </x:is>
      </x:c>
      <x:c r="K1010" s="527" t="inlineStr">
        <x:is>
          <x:t xml:space="preserve">OKCountyRecords official index, Roger Mills County (instrument 1991-003350); searched 06/11/2026</x:t>
        </x:is>
      </x:c>
      <x:c r="L1010" s="565" t="n"/>
      <x:c r="M1010" s="565" t="n"/>
      <x:c r="N1010" s="565" t="n"/>
      <x:c r="O1010" s="565" t="n"/>
      <x:c r="P1010" s="565" t="n"/>
      <x:c r="Q1010" s="565" t="n"/>
      <x:c r="R1010" s="565" t="n"/>
      <x:c r="S1010" s="613" t="n"/>
      <x:c r="T1010" s="565" t="n"/>
      <x:c r="U1010" s="613" t="n"/>
      <x:c r="V1010" s="565" t="n"/>
      <x:c r="W1010" s="565" t="n"/>
      <x:c r="X1010" s="565" t="n"/>
      <x:c r="Y1010" s="565" t="n"/>
      <x:c r="Z1010" s="565" t="n"/>
    </x:row>
    <x:row r="1011">
      <x:c r="A1011" s="527" t="inlineStr">
        <x:is>
          <x:t xml:space="preserve">1991-003462</x:t>
        </x:is>
      </x:c>
      <x:c r="B1011" s="527" t="n"/>
      <x:c r="C1011" s="527" t="inlineStr">
        <x:is>
          <x:t xml:space="preserve">Assignment</x:t>
        </x:is>
      </x:c>
      <x:c r="D1011" s="527" t="inlineStr">
        <x:is>
          <x:t xml:space="preserve">1228/0213</x:t>
        </x:is>
      </x:c>
      <x:c r="E1011" s="529" t="inlineStr">
        <x:is>
          <x:t xml:space="preserve">08/01/1991</x:t>
        </x:is>
      </x:c>
      <x:c r="F1011" s="529" t="n">
        <x:v>33451</x:v>
      </x:c>
      <x:c r="G1011" s="527" t="inlineStr">
        <x:is>
          <x:t xml:space="preserve">Bp Exploration, Inc.,
Sohio Petroleum Company</x:t>
        </x:is>
      </x:c>
      <x:c r="H1011" s="527" t="inlineStr">
        <x:is>
          <x:t xml:space="preserve">West Anadarko Gas Gathering System</x:t>
        </x:is>
      </x:c>
      <x:c r="I1011" s="527" t="inlineStr">
        <x:is>
          <x:t xml:space="preserve">31-12N-24W (AOL)</x:t>
        </x:is>
      </x:c>
      <x:c r="J1011" s="527" t="inlineStr">
        <x:is>
          <x:t xml:space="preserve">Leasehold / WI</x:t>
        </x:is>
      </x:c>
      <x:c r="K1011" s="527" t="inlineStr">
        <x:is>
          <x:t xml:space="preserve">OKCountyRecords official index, Roger Mills County (instrument 1991-003462); searched 06/11/2026</x:t>
        </x:is>
      </x:c>
      <x:c r="L1011" s="565" t="n"/>
      <x:c r="M1011" s="565" t="n"/>
      <x:c r="N1011" s="565" t="n"/>
      <x:c r="O1011" s="565" t="n"/>
      <x:c r="P1011" s="565" t="n"/>
      <x:c r="Q1011" s="565" t="n"/>
      <x:c r="R1011" s="565" t="n"/>
      <x:c r="S1011" s="613" t="n"/>
      <x:c r="T1011" s="565" t="n"/>
      <x:c r="U1011" s="613" t="n"/>
      <x:c r="V1011" s="565" t="n"/>
      <x:c r="W1011" s="565" t="n"/>
      <x:c r="X1011" s="565" t="n"/>
      <x:c r="Y1011" s="565" t="n"/>
      <x:c r="Z1011" s="565" t="n"/>
    </x:row>
    <x:row r="1012">
      <x:c r="A1012" s="527" t="inlineStr">
        <x:is>
          <x:t xml:space="preserve">1991-003518</x:t>
        </x:is>
      </x:c>
      <x:c r="B1012" s="527" t="n"/>
      <x:c r="C1012" s="527" t="inlineStr">
        <x:is>
          <x:t xml:space="preserve">Warranty Deed</x:t>
        </x:is>
      </x:c>
      <x:c r="D1012" s="527" t="inlineStr">
        <x:is>
          <x:t xml:space="preserve">1229/0180</x:t>
        </x:is>
      </x:c>
      <x:c r="E1012" s="529" t="inlineStr">
        <x:is>
          <x:t xml:space="preserve">08/06/1991</x:t>
        </x:is>
      </x:c>
      <x:c r="F1012" s="529" t="n">
        <x:v>33456</x:v>
      </x:c>
      <x:c r="G1012" s="527" t="inlineStr">
        <x:is>
          <x:t xml:space="preserve">Mary Margaret Devenas,
Mary Margaret Dovenas,
Mary Margaret Wilson</x:t>
        </x:is>
      </x:c>
      <x:c r="H1012" s="527" t="inlineStr">
        <x:is>
          <x:t xml:space="preserve">Joseph Devenas,
Mary Margaret Devenas</x:t>
        </x:is>
      </x:c>
      <x:c r="I1012" s="527" t="inlineStr">
        <x:is>
          <x:t xml:space="preserve">31-12N-24W (AOL)</x:t>
        </x:is>
      </x:c>
      <x:c r="J1012" s="527" t="inlineStr">
        <x:is>
          <x:t xml:space="preserve">Fee / as stated</x:t>
        </x:is>
      </x:c>
      <x:c r="K1012" s="527" t="inlineStr">
        <x:is>
          <x:t xml:space="preserve">OKCountyRecords official index, Roger Mills County (instrument 1991-003518); searched 06/11/2026</x:t>
        </x:is>
      </x:c>
      <x:c r="L1012" s="565" t="n"/>
      <x:c r="M1012" s="565" t="n"/>
      <x:c r="N1012" s="565" t="n"/>
      <x:c r="O1012" s="565" t="n"/>
      <x:c r="P1012" s="565" t="n"/>
      <x:c r="Q1012" s="565" t="n"/>
      <x:c r="R1012" s="565" t="n"/>
      <x:c r="S1012" s="613" t="n"/>
      <x:c r="T1012" s="565" t="n"/>
      <x:c r="U1012" s="613" t="n"/>
      <x:c r="V1012" s="565" t="n"/>
      <x:c r="W1012" s="565" t="n"/>
      <x:c r="X1012" s="565" t="n"/>
      <x:c r="Y1012" s="565" t="n"/>
      <x:c r="Z1012" s="565" t="n"/>
    </x:row>
    <x:row r="1013">
      <x:c r="A1013" s="527" t="inlineStr">
        <x:is>
          <x:t xml:space="preserve">1991-004416</x:t>
        </x:is>
      </x:c>
      <x:c r="B1013" s="527" t="n"/>
      <x:c r="C1013" s="527" t="inlineStr">
        <x:is>
          <x:t xml:space="preserve">Assignment</x:t>
        </x:is>
      </x:c>
      <x:c r="D1013" s="527" t="inlineStr">
        <x:is>
          <x:t xml:space="preserve">1239/0267</x:t>
        </x:is>
      </x:c>
      <x:c r="E1013" s="529" t="inlineStr">
        <x:is>
          <x:t xml:space="preserve">10/07/1991</x:t>
        </x:is>
      </x:c>
      <x:c r="F1013" s="529" t="n">
        <x:v>33456</x:v>
      </x:c>
      <x:c r="G1013" s="527" t="inlineStr">
        <x:is>
          <x:t xml:space="preserve">Proven Properties, Inc.</x:t>
        </x:is>
      </x:c>
      <x:c r="H1013" s="527" t="inlineStr">
        <x:is>
          <x:t xml:space="preserve">Pennzoil Company</x:t>
        </x:is>
      </x:c>
      <x:c r="I1013" s="527" t="inlineStr">
        <x:is>
          <x:t xml:space="preserve">All of 31-12N-24W (AOL)</x:t>
        </x:is>
      </x:c>
      <x:c r="J1013" s="527" t="inlineStr">
        <x:is>
          <x:t xml:space="preserve">Leasehold / WI</x:t>
        </x:is>
      </x:c>
      <x:c r="K1013" s="527" t="inlineStr">
        <x:is>
          <x:t xml:space="preserve">OKCountyRecords official index, Roger Mills County (instrument 1991-004416); searched 06/11/2026</x:t>
        </x:is>
      </x:c>
      <x:c r="L1013" s="565" t="n"/>
      <x:c r="M1013" s="565" t="n"/>
      <x:c r="N1013" s="565" t="n"/>
      <x:c r="O1013" s="565" t="n"/>
      <x:c r="P1013" s="565" t="n"/>
      <x:c r="Q1013" s="565" t="n"/>
      <x:c r="R1013" s="565" t="n"/>
      <x:c r="S1013" s="613" t="n"/>
      <x:c r="T1013" s="565" t="n"/>
      <x:c r="U1013" s="613" t="n"/>
      <x:c r="V1013" s="565" t="n"/>
      <x:c r="W1013" s="565" t="n"/>
      <x:c r="X1013" s="565" t="n"/>
      <x:c r="Y1013" s="565" t="n"/>
      <x:c r="Z1013" s="565" t="n"/>
    </x:row>
    <x:row r="1014">
      <x:c r="A1014" s="527" t="inlineStr">
        <x:is>
          <x:t xml:space="preserve">1991-004456</x:t>
        </x:is>
      </x:c>
      <x:c r="B1014" s="527" t="n"/>
      <x:c r="C1014" s="527" t="inlineStr">
        <x:is>
          <x:t xml:space="preserve">Conveyance</x:t>
        </x:is>
      </x:c>
      <x:c r="D1014" s="527" t="inlineStr">
        <x:is>
          <x:t xml:space="preserve">1240/0115</x:t>
        </x:is>
      </x:c>
      <x:c r="E1014" s="529" t="inlineStr">
        <x:is>
          <x:t xml:space="preserve">10/11/1991</x:t>
        </x:is>
      </x:c>
      <x:c r="F1014" s="529" t="n">
        <x:v>33522</x:v>
      </x:c>
      <x:c r="G1014" s="527" t="inlineStr">
        <x:is>
          <x:t xml:space="preserve">El Paso Natural Gas Company</x:t>
        </x:is>
      </x:c>
      <x:c r="H1014" s="527" t="inlineStr">
        <x:is>
          <x:t xml:space="preserve">El Paso Production Company</x:t>
        </x:is>
      </x:c>
      <x:c r="I1014" s="527" t="inlineStr">
        <x:is>
          <x:t xml:space="preserve">All of 31-12N-24W (AOL)</x:t>
        </x:is>
      </x:c>
      <x:c r="J1014" s="527" t="inlineStr">
        <x:is>
          <x:t xml:space="preserve">Fee / as stated</x:t>
        </x:is>
      </x:c>
      <x:c r="K1014" s="527" t="inlineStr">
        <x:is>
          <x:t xml:space="preserve">OKCountyRecords official index, Roger Mills County (instrument 1991-004456); searched 06/11/2026</x:t>
        </x:is>
      </x:c>
      <x:c r="L1014" s="565" t="n"/>
      <x:c r="M1014" s="565" t="n"/>
      <x:c r="N1014" s="565" t="n"/>
      <x:c r="O1014" s="565" t="n"/>
      <x:c r="P1014" s="565" t="n"/>
      <x:c r="Q1014" s="565" t="n"/>
      <x:c r="R1014" s="565" t="n"/>
      <x:c r="S1014" s="613" t="n"/>
      <x:c r="T1014" s="565" t="n"/>
      <x:c r="U1014" s="613" t="n"/>
      <x:c r="V1014" s="565" t="n"/>
      <x:c r="W1014" s="565" t="n"/>
      <x:c r="X1014" s="565" t="n"/>
      <x:c r="Y1014" s="565" t="n"/>
      <x:c r="Z1014" s="565" t="n"/>
    </x:row>
    <x:row r="1015">
      <x:c r="A1015" s="527" t="inlineStr">
        <x:is>
          <x:t xml:space="preserve">1991-004543</x:t>
        </x:is>
      </x:c>
      <x:c r="B1015" s="527" t="n"/>
      <x:c r="C1015" s="527" t="inlineStr">
        <x:is>
          <x:t xml:space="preserve">Correction</x:t>
        </x:is>
      </x:c>
      <x:c r="D1015" s="527" t="inlineStr">
        <x:is>
          <x:t xml:space="preserve">1241/0066</x:t>
        </x:is>
      </x:c>
      <x:c r="E1015" s="529" t="inlineStr">
        <x:is>
          <x:t xml:space="preserve">10/17/1991</x:t>
        </x:is>
      </x:c>
      <x:c r="F1015" s="529" t="n">
        <x:v>33528</x:v>
      </x:c>
      <x:c r="G1015" s="527" t="inlineStr">
        <x:is>
          <x:t xml:space="preserve">Bp Exploration, Inc.,
Sohio Petroleum Co.,
Standard Oil Production Co.</x:t>
        </x:is>
      </x:c>
      <x:c r="H1015" s="527" t="inlineStr">
        <x:is>
          <x:t xml:space="preserve">Anadarko Gas Gathering System,
Dyco Petroleum Corporation,
Tex/con Gas Marketing Company,
West Anadarko Gas Gathering System</x:t>
        </x:is>
      </x:c>
      <x:c r="I1015" s="527" t="inlineStr">
        <x:is>
          <x:t xml:space="preserve">31-12N-24W (AOL)</x:t>
        </x:is>
      </x:c>
      <x:c r="J1015" s="527" t="inlineStr">
        <x:is>
          <x:t xml:space="preserve">See instrument</x:t>
        </x:is>
      </x:c>
      <x:c r="K1015" s="527" t="inlineStr">
        <x:is>
          <x:t xml:space="preserve">OKCountyRecords official index, Roger Mills County (instrument 1991-004543); searched 06/11/2026</x:t>
        </x:is>
      </x:c>
      <x:c r="L1015" s="565" t="n"/>
      <x:c r="M1015" s="565" t="n"/>
      <x:c r="N1015" s="565" t="n"/>
      <x:c r="O1015" s="565" t="n"/>
      <x:c r="P1015" s="565" t="n"/>
      <x:c r="Q1015" s="565" t="n"/>
      <x:c r="R1015" s="565" t="n"/>
      <x:c r="S1015" s="613" t="n"/>
      <x:c r="T1015" s="565" t="n"/>
      <x:c r="U1015" s="613" t="n"/>
      <x:c r="V1015" s="565" t="n"/>
      <x:c r="W1015" s="565" t="n"/>
      <x:c r="X1015" s="565" t="n"/>
      <x:c r="Y1015" s="565" t="n"/>
      <x:c r="Z1015" s="565" t="n"/>
    </x:row>
    <x:row r="1016">
      <x:c r="A1016" s="527" t="inlineStr">
        <x:is>
          <x:t xml:space="preserve">1991-005340</x:t>
        </x:is>
      </x:c>
      <x:c r="B1016" s="527" t="n"/>
      <x:c r="C1016" s="527" t="inlineStr">
        <x:is>
          <x:t xml:space="preserve">Correction</x:t>
        </x:is>
      </x:c>
      <x:c r="D1016" s="527" t="inlineStr">
        <x:is>
          <x:t xml:space="preserve">1249/0161</x:t>
        </x:is>
      </x:c>
      <x:c r="E1016" s="529" t="inlineStr">
        <x:is>
          <x:t xml:space="preserve">12/02/1991</x:t>
        </x:is>
      </x:c>
      <x:c r="F1016" s="529" t="n">
        <x:v>33574</x:v>
      </x:c>
      <x:c r="G1016" s="527" t="inlineStr">
        <x:is>
          <x:t xml:space="preserve">Alpine Investments, Inc.</x:t>
        </x:is>
      </x:c>
      <x:c r="H1016" s="527" t="inlineStr">
        <x:is>
          <x:t xml:space="preserve">Melinda McCaul Mulvihill,
Wilson, Dwightj Estate of</x:t>
        </x:is>
      </x:c>
      <x:c r="I1016" s="527" t="inlineStr">
        <x:is>
          <x:t xml:space="preserve">31-12N-24W (AOL)</x:t>
        </x:is>
      </x:c>
      <x:c r="J1016" s="527" t="inlineStr">
        <x:is>
          <x:t xml:space="preserve">See instrument</x:t>
        </x:is>
      </x:c>
      <x:c r="K1016" s="527" t="inlineStr">
        <x:is>
          <x:t xml:space="preserve">OKCountyRecords official index, Roger Mills County (instrument 1991-005340); searched 06/11/2026</x:t>
        </x:is>
      </x:c>
      <x:c r="L1016" s="565" t="n"/>
      <x:c r="M1016" s="565" t="n"/>
      <x:c r="N1016" s="565" t="n"/>
      <x:c r="O1016" s="565" t="n"/>
      <x:c r="P1016" s="565" t="n"/>
      <x:c r="Q1016" s="565" t="n"/>
      <x:c r="R1016" s="565" t="n"/>
      <x:c r="S1016" s="613" t="n"/>
      <x:c r="T1016" s="565" t="n"/>
      <x:c r="U1016" s="613" t="n"/>
      <x:c r="V1016" s="565" t="n"/>
      <x:c r="W1016" s="565" t="n"/>
      <x:c r="X1016" s="565" t="n"/>
      <x:c r="Y1016" s="565" t="n"/>
      <x:c r="Z1016" s="565" t="n"/>
    </x:row>
    <x:row r="1017">
      <x:c r="A1017" s="527" t="inlineStr">
        <x:is>
          <x:t xml:space="preserve">1992-000943</x:t>
        </x:is>
      </x:c>
      <x:c r="B1017" s="527" t="n"/>
      <x:c r="C1017" s="527" t="inlineStr">
        <x:is>
          <x:t xml:space="preserve">Affidavit</x:t>
        </x:is>
      </x:c>
      <x:c r="D1017" s="527" t="inlineStr">
        <x:is>
          <x:t xml:space="preserve">1266/0019</x:t>
        </x:is>
      </x:c>
      <x:c r="E1017" s="529" t="inlineStr">
        <x:is>
          <x:t xml:space="preserve">03/19/1992</x:t>
        </x:is>
      </x:c>
      <x:c r="F1017" s="529" t="n">
        <x:v>33682</x:v>
      </x:c>
      <x:c r="G1017" s="527" t="inlineStr">
        <x:is>
          <x:t xml:space="preserve">Daniel D. Ferson</x:t>
        </x:is>
      </x:c>
      <x:c r="H1017" s="527" t="inlineStr">
        <x:is>
          <x:t xml:space="preserve">The Public</x:t>
        </x:is>
      </x:c>
      <x:c r="I1017" s="527" t="inlineStr">
        <x:is>
          <x:t xml:space="preserve">31-12N-24W (AOL)</x:t>
        </x:is>
      </x:c>
      <x:c r="J1017" s="527" t="inlineStr">
        <x:is>
          <x:t xml:space="preserve">See instrument</x:t>
        </x:is>
      </x:c>
      <x:c r="K1017" s="527" t="inlineStr">
        <x:is>
          <x:t xml:space="preserve">OKCountyRecords official index, Roger Mills County (instrument 1992-000943); searched 06/11/2026</x:t>
        </x:is>
      </x:c>
      <x:c r="L1017" s="565" t="n"/>
      <x:c r="M1017" s="565" t="n"/>
      <x:c r="N1017" s="565" t="n"/>
      <x:c r="O1017" s="565" t="n"/>
      <x:c r="P1017" s="565" t="n"/>
      <x:c r="Q1017" s="565" t="n"/>
      <x:c r="R1017" s="565" t="n"/>
      <x:c r="S1017" s="613" t="n"/>
      <x:c r="T1017" s="565" t="n"/>
      <x:c r="U1017" s="613" t="n"/>
      <x:c r="V1017" s="565" t="n"/>
      <x:c r="W1017" s="565" t="n"/>
      <x:c r="X1017" s="565" t="n"/>
      <x:c r="Y1017" s="565" t="n"/>
      <x:c r="Z1017" s="565" t="n"/>
    </x:row>
    <x:row r="1018">
      <x:c r="A1018" s="527" t="inlineStr">
        <x:is>
          <x:t xml:space="preserve">1992-001067</x:t>
        </x:is>
      </x:c>
      <x:c r="B1018" s="527" t="n"/>
      <x:c r="C1018" s="527" t="inlineStr">
        <x:is>
          <x:t xml:space="preserve">Mineral Deed</x:t>
        </x:is>
      </x:c>
      <x:c r="D1018" s="527" t="inlineStr">
        <x:is>
          <x:t xml:space="preserve">1267/0168</x:t>
        </x:is>
      </x:c>
      <x:c r="E1018" s="529" t="inlineStr">
        <x:is>
          <x:t xml:space="preserve">03/30/1992</x:t>
        </x:is>
      </x:c>
      <x:c r="F1018" s="529" t="n">
        <x:v>33693</x:v>
      </x:c>
      <x:c r="G1018" s="527" t="inlineStr">
        <x:is>
          <x:t xml:space="preserve">Mattie C. Britton</x:t>
        </x:is>
      </x:c>
      <x:c r="H1018" s="527" t="inlineStr">
        <x:is>
          <x:t xml:space="preserve">Anna R. Britton,
Joe Britton</x:t>
        </x:is>
      </x:c>
      <x:c r="I1018" s="527" t="inlineStr">
        <x:is>
          <x:t xml:space="preserve">31-12N-24W (AOL)</x:t>
        </x:is>
      </x:c>
      <x:c r="J1018" s="527" t="inlineStr">
        <x:is>
          <x:t xml:space="preserve">Mineral</x:t>
        </x:is>
      </x:c>
      <x:c r="K1018" s="527" t="inlineStr">
        <x:is>
          <x:t xml:space="preserve">OKCountyRecords official index, Roger Mills County (instrument 1992-001067); searched 06/11/2026</x:t>
        </x:is>
      </x:c>
      <x:c r="L1018" s="565" t="n"/>
      <x:c r="M1018" s="565" t="n"/>
      <x:c r="N1018" s="565" t="n"/>
      <x:c r="O1018" s="565" t="n"/>
      <x:c r="P1018" s="565" t="n"/>
      <x:c r="Q1018" s="565" t="n"/>
      <x:c r="R1018" s="565" t="n"/>
      <x:c r="S1018" s="613" t="n"/>
      <x:c r="T1018" s="565" t="n"/>
      <x:c r="U1018" s="613" t="n"/>
      <x:c r="V1018" s="565" t="n"/>
      <x:c r="W1018" s="565" t="n"/>
      <x:c r="X1018" s="565" t="n"/>
      <x:c r="Y1018" s="565" t="n"/>
      <x:c r="Z1018" s="565" t="n"/>
    </x:row>
    <x:row r="1019">
      <x:c r="A1019" s="527" t="inlineStr">
        <x:is>
          <x:t xml:space="preserve">1992-001682</x:t>
        </x:is>
      </x:c>
      <x:c r="B1019" s="527" t="n"/>
      <x:c r="C1019" s="527" t="inlineStr">
        <x:is>
          <x:t xml:space="preserve">Deed</x:t>
        </x:is>
      </x:c>
      <x:c r="D1019" s="527" t="inlineStr">
        <x:is>
          <x:t xml:space="preserve">1274/0277</x:t>
        </x:is>
      </x:c>
      <x:c r="E1019" s="529" t="inlineStr">
        <x:is>
          <x:t xml:space="preserve">05/13/1992</x:t>
        </x:is>
      </x:c>
      <x:c r="F1019" s="529" t="n">
        <x:v>33737</x:v>
      </x:c>
      <x:c r="G1019" s="527" t="inlineStr">
        <x:is>
          <x:t xml:space="preserve">Hayhurst Oil Properties, Inc.</x:t>
        </x:is>
      </x:c>
      <x:c r="H1019" s="527" t="inlineStr">
        <x:is>
          <x:t xml:space="preserve">Minion Investment Company</x:t>
        </x:is>
      </x:c>
      <x:c r="I1019" s="527" t="inlineStr">
        <x:is>
          <x:t xml:space="preserve">31-12N-24W (AOL)</x:t>
        </x:is>
      </x:c>
      <x:c r="J1019" s="527" t="inlineStr">
        <x:is>
          <x:t xml:space="preserve">Fee / as stated</x:t>
        </x:is>
      </x:c>
      <x:c r="K1019" s="527" t="inlineStr">
        <x:is>
          <x:t xml:space="preserve">OKCountyRecords official index, Roger Mills County (instrument 1992-001682); searched 06/11/2026</x:t>
        </x:is>
      </x:c>
      <x:c r="L1019" s="565" t="n"/>
      <x:c r="M1019" s="565" t="n"/>
      <x:c r="N1019" s="565" t="n"/>
      <x:c r="O1019" s="565" t="n"/>
      <x:c r="P1019" s="565" t="n"/>
      <x:c r="Q1019" s="565" t="n"/>
      <x:c r="R1019" s="565" t="n"/>
      <x:c r="S1019" s="613" t="n"/>
      <x:c r="T1019" s="565" t="n"/>
      <x:c r="U1019" s="613" t="n"/>
      <x:c r="V1019" s="565" t="n"/>
      <x:c r="W1019" s="565" t="n"/>
      <x:c r="X1019" s="565" t="n"/>
      <x:c r="Y1019" s="565" t="n"/>
      <x:c r="Z1019" s="565" t="n"/>
    </x:row>
    <x:row r="1020">
      <x:c r="A1020" s="527" t="inlineStr">
        <x:is>
          <x:t xml:space="preserve">1992-001861</x:t>
        </x:is>
      </x:c>
      <x:c r="B1020" s="527" t="n"/>
      <x:c r="C1020" s="527" t="inlineStr">
        <x:is>
          <x:t xml:space="preserve">Deed</x:t>
        </x:is>
      </x:c>
      <x:c r="D1020" s="527" t="inlineStr">
        <x:is>
          <x:t xml:space="preserve">1276/0267</x:t>
        </x:is>
      </x:c>
      <x:c r="E1020" s="529" t="inlineStr">
        <x:is>
          <x:t xml:space="preserve">05/26/1992</x:t>
        </x:is>
      </x:c>
      <x:c r="F1020" s="529" t="n">
        <x:v>33750</x:v>
      </x:c>
      <x:c r="G1020" s="527" t="inlineStr">
        <x:is>
          <x:t xml:space="preserve">Billy Wayne Bain, Trustee,
William Cobal Bain, Trustee,
W. M. Will of Bain</x:t>
        </x:is>
      </x:c>
      <x:c r="H1020" s="527" t="inlineStr">
        <x:is>
          <x:t xml:space="preserve">Dow C. Bain,
Edris O. Bain</x:t>
        </x:is>
      </x:c>
      <x:c r="I1020" s="527" t="inlineStr">
        <x:is>
          <x:t xml:space="preserve">31-12N-24W (AOL)</x:t>
        </x:is>
      </x:c>
      <x:c r="J1020" s="527" t="inlineStr">
        <x:is>
          <x:t xml:space="preserve">Fee / as stated</x:t>
        </x:is>
      </x:c>
      <x:c r="K1020" s="527" t="inlineStr">
        <x:is>
          <x:t xml:space="preserve">OKCountyRecords official index, Roger Mills County (instrument 1992-001861); searched 06/11/2026</x:t>
        </x:is>
      </x:c>
      <x:c r="L1020" s="565" t="n"/>
      <x:c r="M1020" s="565" t="n"/>
      <x:c r="N1020" s="565" t="n"/>
      <x:c r="O1020" s="565" t="n"/>
      <x:c r="P1020" s="565" t="n"/>
      <x:c r="Q1020" s="565" t="n"/>
      <x:c r="R1020" s="565" t="n"/>
      <x:c r="S1020" s="613" t="n"/>
      <x:c r="T1020" s="565" t="n"/>
      <x:c r="U1020" s="613" t="n"/>
      <x:c r="V1020" s="565" t="n"/>
      <x:c r="W1020" s="565" t="n"/>
      <x:c r="X1020" s="565" t="n"/>
      <x:c r="Y1020" s="565" t="n"/>
      <x:c r="Z1020" s="565" t="n"/>
    </x:row>
    <x:row r="1021">
      <x:c r="A1021" s="527" t="inlineStr">
        <x:is>
          <x:t xml:space="preserve">1992-001862</x:t>
        </x:is>
      </x:c>
      <x:c r="B1021" s="527" t="n"/>
      <x:c r="C1021" s="527" t="inlineStr">
        <x:is>
          <x:t xml:space="preserve">Deed</x:t>
        </x:is>
      </x:c>
      <x:c r="D1021" s="527" t="inlineStr">
        <x:is>
          <x:t xml:space="preserve">1276/0270</x:t>
        </x:is>
      </x:c>
      <x:c r="E1021" s="529" t="inlineStr">
        <x:is>
          <x:t xml:space="preserve">05/26/1992</x:t>
        </x:is>
      </x:c>
      <x:c r="F1021" s="529" t="n">
        <x:v>33750</x:v>
      </x:c>
      <x:c r="G1021" s="527" t="inlineStr">
        <x:is>
          <x:t xml:space="preserve">Billy Wayne Bain, Trustee,
William Cobal Bain, Trustee,
W. M. Will of Bain</x:t>
        </x:is>
      </x:c>
      <x:c r="H1021" s="527" t="inlineStr">
        <x:is>
          <x:t xml:space="preserve">Wilda Jensen</x:t>
        </x:is>
      </x:c>
      <x:c r="I1021" s="527" t="inlineStr">
        <x:is>
          <x:t xml:space="preserve">31-12N-24W (AOL)</x:t>
        </x:is>
      </x:c>
      <x:c r="J1021" s="527" t="inlineStr">
        <x:is>
          <x:t xml:space="preserve">Fee / as stated</x:t>
        </x:is>
      </x:c>
      <x:c r="K1021" s="527" t="inlineStr">
        <x:is>
          <x:t xml:space="preserve">OKCountyRecords official index, Roger Mills County (instrument 1992-001862); searched 06/11/2026</x:t>
        </x:is>
      </x:c>
      <x:c r="L1021" s="565" t="n"/>
      <x:c r="M1021" s="565" t="n"/>
      <x:c r="N1021" s="565" t="n"/>
      <x:c r="O1021" s="565" t="n"/>
      <x:c r="P1021" s="565" t="n"/>
      <x:c r="Q1021" s="565" t="n"/>
      <x:c r="R1021" s="565" t="n"/>
      <x:c r="S1021" s="613" t="n"/>
      <x:c r="T1021" s="565" t="n"/>
      <x:c r="U1021" s="613" t="n"/>
      <x:c r="V1021" s="565" t="n"/>
      <x:c r="W1021" s="565" t="n"/>
      <x:c r="X1021" s="565" t="n"/>
      <x:c r="Y1021" s="565" t="n"/>
      <x:c r="Z1021" s="565" t="n"/>
    </x:row>
    <x:row r="1022">
      <x:c r="A1022" s="527" t="inlineStr">
        <x:is>
          <x:t xml:space="preserve">1992-001863</x:t>
        </x:is>
      </x:c>
      <x:c r="B1022" s="527" t="n"/>
      <x:c r="C1022" s="527" t="inlineStr">
        <x:is>
          <x:t xml:space="preserve">Deed</x:t>
        </x:is>
      </x:c>
      <x:c r="D1022" s="527" t="inlineStr">
        <x:is>
          <x:t xml:space="preserve">1276/0273</x:t>
        </x:is>
      </x:c>
      <x:c r="E1022" s="529" t="inlineStr">
        <x:is>
          <x:t xml:space="preserve">05/26/1992</x:t>
        </x:is>
      </x:c>
      <x:c r="F1022" s="529" t="n">
        <x:v>33750</x:v>
      </x:c>
      <x:c r="G1022" s="527" t="inlineStr">
        <x:is>
          <x:t xml:space="preserve">Billy Wayne Bain, Trustee,
William Cobal Bain, Trustee,
W. M. Will of Bain</x:t>
        </x:is>
      </x:c>
      <x:c r="H1022" s="527" t="inlineStr">
        <x:is>
          <x:t xml:space="preserve">Clarence Bain</x:t>
        </x:is>
      </x:c>
      <x:c r="I1022" s="527" t="inlineStr">
        <x:is>
          <x:t xml:space="preserve">31-12N-24W (AOL)</x:t>
        </x:is>
      </x:c>
      <x:c r="J1022" s="527" t="inlineStr">
        <x:is>
          <x:t xml:space="preserve">Fee / as stated</x:t>
        </x:is>
      </x:c>
      <x:c r="K1022" s="527" t="inlineStr">
        <x:is>
          <x:t xml:space="preserve">OKCountyRecords official index, Roger Mills County (instrument 1992-001863); searched 06/11/2026</x:t>
        </x:is>
      </x:c>
      <x:c r="L1022" s="565" t="n"/>
      <x:c r="M1022" s="565" t="n"/>
      <x:c r="N1022" s="565" t="n"/>
      <x:c r="O1022" s="565" t="n"/>
      <x:c r="P1022" s="565" t="n"/>
      <x:c r="Q1022" s="565" t="n"/>
      <x:c r="R1022" s="565" t="n"/>
      <x:c r="S1022" s="613" t="n"/>
      <x:c r="T1022" s="565" t="n"/>
      <x:c r="U1022" s="613" t="n"/>
      <x:c r="V1022" s="565" t="n"/>
      <x:c r="W1022" s="565" t="n"/>
      <x:c r="X1022" s="565" t="n"/>
      <x:c r="Y1022" s="565" t="n"/>
      <x:c r="Z1022" s="565" t="n"/>
    </x:row>
    <x:row r="1023">
      <x:c r="A1023" s="527" t="inlineStr">
        <x:is>
          <x:t xml:space="preserve">1992-001865</x:t>
        </x:is>
      </x:c>
      <x:c r="B1023" s="527" t="n"/>
      <x:c r="C1023" s="527" t="inlineStr">
        <x:is>
          <x:t xml:space="preserve">Deed</x:t>
        </x:is>
      </x:c>
      <x:c r="D1023" s="527" t="inlineStr">
        <x:is>
          <x:t xml:space="preserve">1276/0279</x:t>
        </x:is>
      </x:c>
      <x:c r="E1023" s="529" t="inlineStr">
        <x:is>
          <x:t xml:space="preserve">05/26/1992</x:t>
        </x:is>
      </x:c>
      <x:c r="F1023" s="529" t="n">
        <x:v>33750</x:v>
      </x:c>
      <x:c r="G1023" s="527" t="inlineStr">
        <x:is>
          <x:t xml:space="preserve">Billy Wayne Bain, Trustee,
William Cobal Bain, Trustee,
W. M. Will of Bain</x:t>
        </x:is>
      </x:c>
      <x:c r="H1023" s="527" t="inlineStr">
        <x:is>
          <x:t xml:space="preserve">Carl Leon Bain</x:t>
        </x:is>
      </x:c>
      <x:c r="I1023" s="527" t="inlineStr">
        <x:is>
          <x:t xml:space="preserve">31-12N-24W (AOL)</x:t>
        </x:is>
      </x:c>
      <x:c r="J1023" s="527" t="inlineStr">
        <x:is>
          <x:t xml:space="preserve">Fee / as stated</x:t>
        </x:is>
      </x:c>
      <x:c r="K1023" s="527" t="inlineStr">
        <x:is>
          <x:t xml:space="preserve">OKCountyRecords official index, Roger Mills County (instrument 1992-001865); searched 06/11/2026</x:t>
        </x:is>
      </x:c>
      <x:c r="L1023" s="565" t="n"/>
      <x:c r="M1023" s="565" t="n"/>
      <x:c r="N1023" s="565" t="n"/>
      <x:c r="O1023" s="565" t="n"/>
      <x:c r="P1023" s="565" t="n"/>
      <x:c r="Q1023" s="565" t="n"/>
      <x:c r="R1023" s="565" t="n"/>
      <x:c r="S1023" s="613" t="n"/>
      <x:c r="T1023" s="565" t="n"/>
      <x:c r="U1023" s="613" t="n"/>
      <x:c r="V1023" s="565" t="n"/>
      <x:c r="W1023" s="565" t="n"/>
      <x:c r="X1023" s="565" t="n"/>
      <x:c r="Y1023" s="565" t="n"/>
      <x:c r="Z1023" s="565" t="n"/>
    </x:row>
    <x:row r="1024">
      <x:c r="A1024" s="527" t="inlineStr">
        <x:is>
          <x:t xml:space="preserve">1992-001866</x:t>
        </x:is>
      </x:c>
      <x:c r="B1024" s="527" t="n"/>
      <x:c r="C1024" s="527" t="inlineStr">
        <x:is>
          <x:t xml:space="preserve">Deed</x:t>
        </x:is>
      </x:c>
      <x:c r="D1024" s="527" t="inlineStr">
        <x:is>
          <x:t xml:space="preserve">1276/0282</x:t>
        </x:is>
      </x:c>
      <x:c r="E1024" s="529" t="inlineStr">
        <x:is>
          <x:t xml:space="preserve">05/26/1992</x:t>
        </x:is>
      </x:c>
      <x:c r="F1024" s="529" t="n">
        <x:v>33750</x:v>
      </x:c>
      <x:c r="G1024" s="527" t="inlineStr">
        <x:is>
          <x:t xml:space="preserve">Billy Wayne Bain, Trustee,
William Cobal Bain, Trustee,
W. M. Will of Bain</x:t>
        </x:is>
      </x:c>
      <x:c r="H1024" s="527" t="inlineStr">
        <x:is>
          <x:t xml:space="preserve">Hazel Ailene Hamilton</x:t>
        </x:is>
      </x:c>
      <x:c r="I1024" s="527" t="inlineStr">
        <x:is>
          <x:t xml:space="preserve">31-12N-24W (AOL)</x:t>
        </x:is>
      </x:c>
      <x:c r="J1024" s="527" t="inlineStr">
        <x:is>
          <x:t xml:space="preserve">Fee / as stated</x:t>
        </x:is>
      </x:c>
      <x:c r="K1024" s="527" t="inlineStr">
        <x:is>
          <x:t xml:space="preserve">OKCountyRecords official index, Roger Mills County (instrument 1992-001866); searched 06/11/2026</x:t>
        </x:is>
      </x:c>
      <x:c r="L1024" s="565" t="n"/>
      <x:c r="M1024" s="565" t="n"/>
      <x:c r="N1024" s="565" t="n"/>
      <x:c r="O1024" s="565" t="n"/>
      <x:c r="P1024" s="565" t="n"/>
      <x:c r="Q1024" s="565" t="n"/>
      <x:c r="R1024" s="565" t="n"/>
      <x:c r="S1024" s="613" t="n"/>
      <x:c r="T1024" s="565" t="n"/>
      <x:c r="U1024" s="613" t="n"/>
      <x:c r="V1024" s="565" t="n"/>
      <x:c r="W1024" s="565" t="n"/>
      <x:c r="X1024" s="565" t="n"/>
      <x:c r="Y1024" s="565" t="n"/>
      <x:c r="Z1024" s="565" t="n"/>
    </x:row>
    <x:row r="1025">
      <x:c r="A1025" s="527" t="inlineStr">
        <x:is>
          <x:t xml:space="preserve">1992-001867</x:t>
        </x:is>
      </x:c>
      <x:c r="B1025" s="527" t="n"/>
      <x:c r="C1025" s="527" t="inlineStr">
        <x:is>
          <x:t xml:space="preserve">Deed</x:t>
        </x:is>
      </x:c>
      <x:c r="D1025" s="527" t="inlineStr">
        <x:is>
          <x:t xml:space="preserve">1276/0285</x:t>
        </x:is>
      </x:c>
      <x:c r="E1025" s="529" t="inlineStr">
        <x:is>
          <x:t xml:space="preserve">05/26/1992</x:t>
        </x:is>
      </x:c>
      <x:c r="F1025" s="529" t="n">
        <x:v>33750</x:v>
      </x:c>
      <x:c r="G1025" s="527" t="inlineStr">
        <x:is>
          <x:t xml:space="preserve">Billy Wayne Bain, Trustee,
William Cobal Bain, Trustee,
W. M. Will of Bain</x:t>
        </x:is>
      </x:c>
      <x:c r="H1025" s="527" t="inlineStr">
        <x:is>
          <x:t xml:space="preserve">Juanita Wolff</x:t>
        </x:is>
      </x:c>
      <x:c r="I1025" s="527" t="inlineStr">
        <x:is>
          <x:t xml:space="preserve">31-12N-24W (AOL)</x:t>
        </x:is>
      </x:c>
      <x:c r="J1025" s="527" t="inlineStr">
        <x:is>
          <x:t xml:space="preserve">Fee / as stated</x:t>
        </x:is>
      </x:c>
      <x:c r="K1025" s="527" t="inlineStr">
        <x:is>
          <x:t xml:space="preserve">OKCountyRecords official index, Roger Mills County (instrument 1992-001867); searched 06/11/2026</x:t>
        </x:is>
      </x:c>
      <x:c r="L1025" s="565" t="n"/>
      <x:c r="M1025" s="565" t="n"/>
      <x:c r="N1025" s="565" t="n"/>
      <x:c r="O1025" s="565" t="n"/>
      <x:c r="P1025" s="565" t="n"/>
      <x:c r="Q1025" s="565" t="n"/>
      <x:c r="R1025" s="565" t="n"/>
      <x:c r="S1025" s="613" t="n"/>
      <x:c r="T1025" s="565" t="n"/>
      <x:c r="U1025" s="613" t="n"/>
      <x:c r="V1025" s="565" t="n"/>
      <x:c r="W1025" s="565" t="n"/>
      <x:c r="X1025" s="565" t="n"/>
      <x:c r="Y1025" s="565" t="n"/>
      <x:c r="Z1025" s="565" t="n"/>
    </x:row>
    <x:row r="1026">
      <x:c r="A1026" s="527" t="inlineStr">
        <x:is>
          <x:t xml:space="preserve">1992-003373</x:t>
        </x:is>
      </x:c>
      <x:c r="B1026" s="527" t="n"/>
      <x:c r="C1026" s="527" t="inlineStr">
        <x:is>
          <x:t xml:space="preserve">Deed</x:t>
        </x:is>
      </x:c>
      <x:c r="D1026" s="527" t="inlineStr">
        <x:is>
          <x:t xml:space="preserve">1294/0169</x:t>
        </x:is>
      </x:c>
      <x:c r="E1026" s="529" t="inlineStr">
        <x:is>
          <x:t xml:space="preserve">09/10/1992</x:t>
        </x:is>
      </x:c>
      <x:c r="F1026" s="529" t="n">
        <x:v>33857</x:v>
      </x:c>
      <x:c r="G1026" s="527" t="inlineStr">
        <x:is>
          <x:t xml:space="preserve">Marvin Mitchell Williams</x:t>
        </x:is>
      </x:c>
      <x:c r="H1026" s="527" t="inlineStr">
        <x:is>
          <x:t xml:space="preserve">Nancy Mitchell Williams</x:t>
        </x:is>
      </x:c>
      <x:c r="I1026" s="527" t="inlineStr">
        <x:is>
          <x:t xml:space="preserve">31-12N-24W (AOL)</x:t>
        </x:is>
      </x:c>
      <x:c r="J1026" s="527" t="inlineStr">
        <x:is>
          <x:t xml:space="preserve">Fee / as stated</x:t>
        </x:is>
      </x:c>
      <x:c r="K1026" s="527" t="inlineStr">
        <x:is>
          <x:t xml:space="preserve">OKCountyRecords official index, Roger Mills County (instrument 1992-003373); searched 06/11/2026</x:t>
        </x:is>
      </x:c>
      <x:c r="L1026" s="565" t="n"/>
      <x:c r="M1026" s="565" t="n"/>
      <x:c r="N1026" s="565" t="n"/>
      <x:c r="O1026" s="565" t="n"/>
      <x:c r="P1026" s="565" t="n"/>
      <x:c r="Q1026" s="565" t="n"/>
      <x:c r="R1026" s="565" t="n"/>
      <x:c r="S1026" s="613" t="n"/>
      <x:c r="T1026" s="565" t="n"/>
      <x:c r="U1026" s="613" t="n"/>
      <x:c r="V1026" s="565" t="n"/>
      <x:c r="W1026" s="565" t="n"/>
      <x:c r="X1026" s="565" t="n"/>
      <x:c r="Y1026" s="565" t="n"/>
      <x:c r="Z1026" s="565" t="n"/>
    </x:row>
    <x:row r="1027">
      <x:c r="A1027" s="527" t="inlineStr">
        <x:is>
          <x:t xml:space="preserve">1992-003494</x:t>
        </x:is>
      </x:c>
      <x:c r="B1027" s="527" t="n"/>
      <x:c r="C1027" s="527" t="inlineStr">
        <x:is>
          <x:t xml:space="preserve">Deed</x:t>
        </x:is>
      </x:c>
      <x:c r="D1027" s="527" t="inlineStr">
        <x:is>
          <x:t xml:space="preserve">1296/0141</x:t>
        </x:is>
      </x:c>
      <x:c r="E1027" s="529" t="inlineStr">
        <x:is>
          <x:t xml:space="preserve">09/21/1992</x:t>
        </x:is>
      </x:c>
      <x:c r="F1027" s="529" t="n">
        <x:v>33868</x:v>
      </x:c>
      <x:c r="G1027" s="527" t="inlineStr">
        <x:is>
          <x:t xml:space="preserve">Ronald Dean Bain</x:t>
        </x:is>
      </x:c>
      <x:c r="H1027" s="527" t="inlineStr">
        <x:is>
          <x:t xml:space="preserve">Clarence C. Bain</x:t>
        </x:is>
      </x:c>
      <x:c r="I1027" s="527" t="inlineStr">
        <x:is>
          <x:t xml:space="preserve">31-12N-24W (AOL)</x:t>
        </x:is>
      </x:c>
      <x:c r="J1027" s="527" t="inlineStr">
        <x:is>
          <x:t xml:space="preserve">Fee / as stated</x:t>
        </x:is>
      </x:c>
      <x:c r="K1027" s="527" t="inlineStr">
        <x:is>
          <x:t xml:space="preserve">OKCountyRecords official index, Roger Mills County (instrument 1992-003494); searched 06/11/2026</x:t>
        </x:is>
      </x:c>
      <x:c r="L1027" s="565" t="n"/>
      <x:c r="M1027" s="565" t="n"/>
      <x:c r="N1027" s="565" t="n"/>
      <x:c r="O1027" s="565" t="n"/>
      <x:c r="P1027" s="565" t="n"/>
      <x:c r="Q1027" s="565" t="n"/>
      <x:c r="R1027" s="565" t="n"/>
      <x:c r="S1027" s="613" t="n"/>
      <x:c r="T1027" s="565" t="n"/>
      <x:c r="U1027" s="613" t="n"/>
      <x:c r="V1027" s="565" t="n"/>
      <x:c r="W1027" s="565" t="n"/>
      <x:c r="X1027" s="565" t="n"/>
      <x:c r="Y1027" s="565" t="n"/>
      <x:c r="Z1027" s="565" t="n"/>
    </x:row>
    <x:row r="1028">
      <x:c r="A1028" s="527" t="inlineStr">
        <x:is>
          <x:t xml:space="preserve">1992-003918</x:t>
        </x:is>
      </x:c>
      <x:c r="B1028" s="527" t="n"/>
      <x:c r="C1028" s="527" t="inlineStr">
        <x:is>
          <x:t xml:space="preserve">Assignment</x:t>
        </x:is>
      </x:c>
      <x:c r="D1028" s="527" t="inlineStr">
        <x:is>
          <x:t xml:space="preserve">1301/0216</x:t>
        </x:is>
      </x:c>
      <x:c r="E1028" s="529" t="inlineStr">
        <x:is>
          <x:t xml:space="preserve">10/21/1992</x:t>
        </x:is>
      </x:c>
      <x:c r="F1028" s="529" t="n">
        <x:v>33898</x:v>
      </x:c>
      <x:c r="G1028" s="527" t="inlineStr">
        <x:is>
          <x:t xml:space="preserve">Black Hawk Oil Co,
Search Drilling Co</x:t>
        </x:is>
      </x:c>
      <x:c r="H1028" s="527" t="inlineStr">
        <x:is>
          <x:t xml:space="preserve">Rialto Energy, Inc.</x:t>
        </x:is>
      </x:c>
      <x:c r="I1028" s="527" t="inlineStr">
        <x:is>
          <x:t xml:space="preserve">All of 31-12N-24W (AOL)</x:t>
        </x:is>
      </x:c>
      <x:c r="J1028" s="527" t="inlineStr">
        <x:is>
          <x:t xml:space="preserve">Leasehold / WI</x:t>
        </x:is>
      </x:c>
      <x:c r="K1028" s="527" t="inlineStr">
        <x:is>
          <x:t xml:space="preserve">OKCountyRecords official index, Roger Mills County (instrument 1992-003918); searched 06/11/2026</x:t>
        </x:is>
      </x:c>
      <x:c r="L1028" s="565" t="n"/>
      <x:c r="M1028" s="565" t="n"/>
      <x:c r="N1028" s="565" t="n"/>
      <x:c r="O1028" s="565" t="n"/>
      <x:c r="P1028" s="565" t="n"/>
      <x:c r="Q1028" s="565" t="n"/>
      <x:c r="R1028" s="565" t="n"/>
      <x:c r="S1028" s="613" t="n"/>
      <x:c r="T1028" s="565" t="n"/>
      <x:c r="U1028" s="613" t="n"/>
      <x:c r="V1028" s="565" t="n"/>
      <x:c r="W1028" s="565" t="n"/>
      <x:c r="X1028" s="565" t="n"/>
      <x:c r="Y1028" s="565" t="n"/>
      <x:c r="Z1028" s="565" t="n"/>
    </x:row>
    <x:row r="1029">
      <x:c r="A1029" s="527" t="inlineStr">
        <x:is>
          <x:t xml:space="preserve">1992-004778</x:t>
        </x:is>
      </x:c>
      <x:c r="B1029" s="527" t="n"/>
      <x:c r="C1029" s="527" t="inlineStr">
        <x:is>
          <x:t xml:space="preserve">Assignment</x:t>
        </x:is>
      </x:c>
      <x:c r="D1029" s="527" t="inlineStr">
        <x:is>
          <x:t xml:space="preserve">1311/0242</x:t>
        </x:is>
      </x:c>
      <x:c r="E1029" s="529" t="inlineStr">
        <x:is>
          <x:t xml:space="preserve">12/28/1992</x:t>
        </x:is>
      </x:c>
      <x:c r="F1029" s="529" t="n">
        <x:v>33966</x:v>
      </x:c>
      <x:c r="G1029" s="527" t="inlineStr">
        <x:is>
          <x:t xml:space="preserve">Seamus Pinion</x:t>
        </x:is>
      </x:c>
      <x:c r="H1029" s="527" t="inlineStr">
        <x:is>
          <x:t xml:space="preserve">Jack Mahoney</x:t>
        </x:is>
      </x:c>
      <x:c r="I1029" s="527" t="inlineStr">
        <x:is>
          <x:t xml:space="preserve">31-12N-24W (AOL)</x:t>
        </x:is>
      </x:c>
      <x:c r="J1029" s="527" t="inlineStr">
        <x:is>
          <x:t xml:space="preserve">Leasehold / WI</x:t>
        </x:is>
      </x:c>
      <x:c r="K1029" s="527" t="inlineStr">
        <x:is>
          <x:t xml:space="preserve">OKCountyRecords official index, Roger Mills County (instrument 1992-004778); searched 06/11/2026</x:t>
        </x:is>
      </x:c>
      <x:c r="L1029" s="565" t="n"/>
      <x:c r="M1029" s="565" t="n"/>
      <x:c r="N1029" s="565" t="n"/>
      <x:c r="O1029" s="565" t="n"/>
      <x:c r="P1029" s="565" t="n"/>
      <x:c r="Q1029" s="565" t="n"/>
      <x:c r="R1029" s="565" t="n"/>
      <x:c r="S1029" s="613" t="n"/>
      <x:c r="T1029" s="565" t="n"/>
      <x:c r="U1029" s="613" t="n"/>
      <x:c r="V1029" s="565" t="n"/>
      <x:c r="W1029" s="565" t="n"/>
      <x:c r="X1029" s="565" t="n"/>
      <x:c r="Y1029" s="565" t="n"/>
      <x:c r="Z1029" s="565" t="n"/>
    </x:row>
    <x:row r="1030">
      <x:c r="A1030" s="527" t="inlineStr">
        <x:is>
          <x:t xml:space="preserve">1993-000098</x:t>
        </x:is>
      </x:c>
      <x:c r="B1030" s="527" t="n"/>
      <x:c r="C1030" s="527" t="inlineStr">
        <x:is>
          <x:t xml:space="preserve">Assignment</x:t>
        </x:is>
      </x:c>
      <x:c r="D1030" s="527" t="inlineStr">
        <x:is>
          <x:t xml:space="preserve">1313/0230</x:t>
        </x:is>
      </x:c>
      <x:c r="E1030" s="529" t="inlineStr">
        <x:is>
          <x:t xml:space="preserve">01/08/1993</x:t>
        </x:is>
      </x:c>
      <x:c r="F1030" s="529" t="n">
        <x:v>33977</x:v>
      </x:c>
      <x:c r="G1030" s="527" t="inlineStr">
        <x:is>
          <x:t xml:space="preserve">Black Hawk Oil Co,
Search Drilling Co</x:t>
        </x:is>
      </x:c>
      <x:c r="H1030" s="527" t="inlineStr">
        <x:is>
          <x:t xml:space="preserve">Rialto Energy, Inc.</x:t>
        </x:is>
      </x:c>
      <x:c r="I1030" s="527" t="inlineStr">
        <x:is>
          <x:t xml:space="preserve">All of 31-12N-24W (AOL)</x:t>
        </x:is>
      </x:c>
      <x:c r="J1030" s="527" t="inlineStr">
        <x:is>
          <x:t xml:space="preserve">Leasehold / WI</x:t>
        </x:is>
      </x:c>
      <x:c r="K1030" s="527" t="inlineStr">
        <x:is>
          <x:t xml:space="preserve">OKCountyRecords official index, Roger Mills County (instrument 1993-000098); searched 06/11/2026</x:t>
        </x:is>
      </x:c>
      <x:c r="L1030" s="565" t="n"/>
      <x:c r="M1030" s="565" t="n"/>
      <x:c r="N1030" s="565" t="n"/>
      <x:c r="O1030" s="565" t="n"/>
      <x:c r="P1030" s="565" t="n"/>
      <x:c r="Q1030" s="565" t="n"/>
      <x:c r="R1030" s="565" t="n"/>
      <x:c r="S1030" s="613" t="n"/>
      <x:c r="T1030" s="565" t="n"/>
      <x:c r="U1030" s="613" t="n"/>
      <x:c r="V1030" s="565" t="n"/>
      <x:c r="W1030" s="565" t="n"/>
      <x:c r="X1030" s="565" t="n"/>
      <x:c r="Y1030" s="565" t="n"/>
      <x:c r="Z1030" s="565" t="n"/>
    </x:row>
    <x:row r="1031">
      <x:c r="A1031" s="527" t="inlineStr">
        <x:is>
          <x:t xml:space="preserve">1993-000717</x:t>
        </x:is>
      </x:c>
      <x:c r="B1031" s="527" t="n"/>
      <x:c r="C1031" s="527" t="inlineStr">
        <x:is>
          <x:t xml:space="preserve">Miscellaneous</x:t>
        </x:is>
      </x:c>
      <x:c r="D1031" s="527" t="inlineStr">
        <x:is>
          <x:t xml:space="preserve">1321/0053</x:t>
        </x:is>
      </x:c>
      <x:c r="E1031" s="529" t="inlineStr">
        <x:is>
          <x:t xml:space="preserve">02/18/1993</x:t>
        </x:is>
      </x:c>
      <x:c r="F1031" s="529" t="n">
        <x:v>34018</x:v>
      </x:c>
      <x:c r="G1031" s="527" t="inlineStr">
        <x:is>
          <x:t xml:space="preserve">J. F. Barnett,
Olice Herring Coates,
Colonial Oil Co,
Debra Joy Grey,
Elgin Herring Hoover,
Edna Joy Murrell,
Donald Royse,
Holland Meacham Royse,
Sorenson, Oil &amp; Gas,
L. E. Thurman</x:t>
        </x:is>
      </x:c>
      <x:c r="H1031" s="527" t="inlineStr">
        <x:is>
          <x:t xml:space="preserve">Adams Little, Inc.,
Don J. Pettyjohn,
D. E. Pinion,
Pinion Oil Co, Ltd.,
Seamus Pinion</x:t>
        </x:is>
      </x:c>
      <x:c r="I1031" s="527" t="inlineStr">
        <x:is>
          <x:t xml:space="preserve">31-12N-24W (AOL)</x:t>
        </x:is>
      </x:c>
      <x:c r="J1031" s="527" t="inlineStr">
        <x:is>
          <x:t xml:space="preserve">See instrument</x:t>
        </x:is>
      </x:c>
      <x:c r="K1031" s="527" t="inlineStr">
        <x:is>
          <x:t xml:space="preserve">OKCountyRecords official index, Roger Mills County (instrument 1993-000717); searched 06/11/2026</x:t>
        </x:is>
      </x:c>
      <x:c r="L1031" s="565" t="n"/>
      <x:c r="M1031" s="565" t="n"/>
      <x:c r="N1031" s="565" t="n"/>
      <x:c r="O1031" s="565" t="n"/>
      <x:c r="P1031" s="565" t="n"/>
      <x:c r="Q1031" s="565" t="n"/>
      <x:c r="R1031" s="565" t="n"/>
      <x:c r="S1031" s="613" t="n"/>
      <x:c r="T1031" s="565" t="n"/>
      <x:c r="U1031" s="613" t="n"/>
      <x:c r="V1031" s="565" t="n"/>
      <x:c r="W1031" s="565" t="n"/>
      <x:c r="X1031" s="565" t="n"/>
      <x:c r="Y1031" s="565" t="n"/>
      <x:c r="Z1031" s="565" t="n"/>
    </x:row>
    <x:row r="1032">
      <x:c r="A1032" s="527" t="inlineStr">
        <x:is>
          <x:t xml:space="preserve">1993-000918</x:t>
        </x:is>
      </x:c>
      <x:c r="B1032" s="527" t="n"/>
      <x:c r="C1032" s="527" t="inlineStr">
        <x:is>
          <x:t xml:space="preserve">Final Decree</x:t>
        </x:is>
      </x:c>
      <x:c r="D1032" s="527" t="inlineStr">
        <x:is>
          <x:t xml:space="preserve">1324/0022</x:t>
        </x:is>
      </x:c>
      <x:c r="E1032" s="529" t="inlineStr">
        <x:is>
          <x:t xml:space="preserve">03/04/1993</x:t>
        </x:is>
      </x:c>
      <x:c r="F1032" s="529" t="n">
        <x:v>34032</x:v>
      </x:c>
      <x:c r="G1032" s="527" t="inlineStr">
        <x:is>
          <x:t xml:space="preserve">Klopfenstein, John Estate of Dec</x:t>
        </x:is>
      </x:c>
      <x:c r="H1032" s="527" t="inlineStr">
        <x:is>
          <x:t xml:space="preserve">The Public,
Elanore Wheeler</x:t>
        </x:is>
      </x:c>
      <x:c r="I1032" s="527" t="inlineStr">
        <x:is>
          <x:t xml:space="preserve">S/2 NE/4 SW/4, SE/4 SW/4, Lots 3 of 31-12N-24W (AOL)</x:t>
        </x:is>
      </x:c>
      <x:c r="J1032" s="527" t="inlineStr">
        <x:is>
          <x:t xml:space="preserve">Fee / as stated</x:t>
        </x:is>
      </x:c>
      <x:c r="K1032" s="527" t="inlineStr">
        <x:is>
          <x:t xml:space="preserve">OKCountyRecords official index, Roger Mills County (instrument 1993-000918); searched 06/11/2026</x:t>
        </x:is>
      </x:c>
      <x:c r="L1032" s="565" t="n"/>
      <x:c r="M1032" s="565" t="n"/>
      <x:c r="N1032" s="565" t="n"/>
      <x:c r="O1032" s="565" t="n"/>
      <x:c r="P1032" s="565" t="n"/>
      <x:c r="Q1032" s="565" t="n"/>
      <x:c r="R1032" s="565" t="n"/>
      <x:c r="S1032" s="613" t="n"/>
      <x:c r="T1032" s="565" t="n"/>
      <x:c r="U1032" s="613" t="n"/>
      <x:c r="V1032" s="565" t="n"/>
      <x:c r="W1032" s="565" t="n"/>
      <x:c r="X1032" s="565" t="n"/>
      <x:c r="Y1032" s="565" t="n"/>
      <x:c r="Z1032" s="565" t="n"/>
    </x:row>
    <x:row r="1033">
      <x:c r="A1033" s="527" t="inlineStr">
        <x:is>
          <x:t xml:space="preserve">1993-000978</x:t>
        </x:is>
      </x:c>
      <x:c r="B1033" s="527" t="n"/>
      <x:c r="C1033" s="527" t="inlineStr">
        <x:is>
          <x:t xml:space="preserve">Affidavit</x:t>
        </x:is>
      </x:c>
      <x:c r="D1033" s="527" t="inlineStr">
        <x:is>
          <x:t xml:space="preserve">1326/0088</x:t>
        </x:is>
      </x:c>
      <x:c r="E1033" s="529" t="inlineStr">
        <x:is>
          <x:t xml:space="preserve">03/08/1993</x:t>
        </x:is>
      </x:c>
      <x:c r="F1033" s="529" t="n">
        <x:v>34036</x:v>
      </x:c>
      <x:c r="G1033" s="527" t="inlineStr">
        <x:is>
          <x:t xml:space="preserve">Joseph Devenas</x:t>
        </x:is>
      </x:c>
      <x:c r="H1033" s="527" t="inlineStr">
        <x:is>
          <x:t xml:space="preserve">The Public</x:t>
        </x:is>
      </x:c>
      <x:c r="I1033" s="527" t="inlineStr">
        <x:is>
          <x:t xml:space="preserve">31-12N-24W (AOL)</x:t>
        </x:is>
      </x:c>
      <x:c r="J1033" s="527" t="inlineStr">
        <x:is>
          <x:t xml:space="preserve">See instrument</x:t>
        </x:is>
      </x:c>
      <x:c r="K1033" s="527" t="inlineStr">
        <x:is>
          <x:t xml:space="preserve">OKCountyRecords official index, Roger Mills County (instrument 1993-000978); searched 06/11/2026</x:t>
        </x:is>
      </x:c>
      <x:c r="L1033" s="565" t="n"/>
      <x:c r="M1033" s="565" t="n"/>
      <x:c r="N1033" s="565" t="n"/>
      <x:c r="O1033" s="565" t="n"/>
      <x:c r="P1033" s="565" t="n"/>
      <x:c r="Q1033" s="565" t="n"/>
      <x:c r="R1033" s="565" t="n"/>
      <x:c r="S1033" s="613" t="n"/>
      <x:c r="T1033" s="565" t="n"/>
      <x:c r="U1033" s="613" t="n"/>
      <x:c r="V1033" s="565" t="n"/>
      <x:c r="W1033" s="565" t="n"/>
      <x:c r="X1033" s="565" t="n"/>
      <x:c r="Y1033" s="565" t="n"/>
      <x:c r="Z1033" s="565" t="n"/>
    </x:row>
    <x:row r="1034">
      <x:c r="A1034" s="527" t="inlineStr">
        <x:is>
          <x:t xml:space="preserve">1993-001727</x:t>
        </x:is>
      </x:c>
      <x:c r="B1034" s="527" t="n"/>
      <x:c r="C1034" s="527" t="inlineStr">
        <x:is>
          <x:t xml:space="preserve">Assignment</x:t>
        </x:is>
      </x:c>
      <x:c r="D1034" s="527" t="inlineStr">
        <x:is>
          <x:t xml:space="preserve">1335/0088</x:t>
        </x:is>
      </x:c>
      <x:c r="E1034" s="529" t="inlineStr">
        <x:is>
          <x:t xml:space="preserve">04/29/1993</x:t>
        </x:is>
      </x:c>
      <x:c r="F1034" s="529" t="n">
        <x:v>34088</x:v>
      </x:c>
      <x:c r="G1034" s="527" t="inlineStr">
        <x:is>
          <x:t xml:space="preserve">Umc Petroleum Corporation</x:t>
        </x:is>
      </x:c>
      <x:c r="H1034" s="527" t="inlineStr">
        <x:is>
          <x:t xml:space="preserve">Chase Manhattan Bank,
P. Michael Pleska, Trustee,
Bettylou J. Robert, Trustee</x:t>
        </x:is>
      </x:c>
      <x:c r="I1034" s="527" t="inlineStr">
        <x:is>
          <x:t xml:space="preserve">31-12N-24W (AOL)</x:t>
        </x:is>
      </x:c>
      <x:c r="J1034" s="527" t="inlineStr">
        <x:is>
          <x:t xml:space="preserve">Leasehold / WI</x:t>
        </x:is>
      </x:c>
      <x:c r="K1034" s="527" t="inlineStr">
        <x:is>
          <x:t xml:space="preserve">OKCountyRecords official index, Roger Mills County (instrument 1993-001727); searched 06/11/2026</x:t>
        </x:is>
      </x:c>
      <x:c r="L1034" s="565" t="n"/>
      <x:c r="M1034" s="565" t="n"/>
      <x:c r="N1034" s="565" t="n"/>
      <x:c r="O1034" s="565" t="n"/>
      <x:c r="P1034" s="565" t="n"/>
      <x:c r="Q1034" s="565" t="n"/>
      <x:c r="R1034" s="565" t="n"/>
      <x:c r="S1034" s="613" t="n"/>
      <x:c r="T1034" s="565" t="n"/>
      <x:c r="U1034" s="613" t="n"/>
      <x:c r="V1034" s="565" t="n"/>
      <x:c r="W1034" s="565" t="n"/>
      <x:c r="X1034" s="565" t="n"/>
      <x:c r="Y1034" s="565" t="n"/>
      <x:c r="Z1034" s="565" t="n"/>
    </x:row>
    <x:row r="1035">
      <x:c r="A1035" s="527" t="inlineStr">
        <x:is>
          <x:t xml:space="preserve">1993-002107</x:t>
        </x:is>
      </x:c>
      <x:c r="B1035" s="527" t="n"/>
      <x:c r="C1035" s="527" t="inlineStr">
        <x:is>
          <x:t xml:space="preserve">Assignment</x:t>
        </x:is>
      </x:c>
      <x:c r="D1035" s="527" t="inlineStr">
        <x:is>
          <x:t xml:space="preserve">1340/0238</x:t>
        </x:is>
      </x:c>
      <x:c r="E1035" s="529" t="inlineStr">
        <x:is>
          <x:t xml:space="preserve">05/27/1993</x:t>
        </x:is>
      </x:c>
      <x:c r="F1035" s="529" t="n">
        <x:v>34116</x:v>
      </x:c>
      <x:c r="G1035" s="527" t="inlineStr">
        <x:is>
          <x:t xml:space="preserve">Pennzoil Co</x:t>
        </x:is>
      </x:c>
      <x:c r="H1035" s="527" t="inlineStr">
        <x:is>
          <x:t xml:space="preserve">Rialto Oil &amp; Gas Corp</x:t>
        </x:is>
      </x:c>
      <x:c r="I1035" s="527" t="inlineStr">
        <x:is>
          <x:t xml:space="preserve">All of 31-12N-24W (AOL)</x:t>
        </x:is>
      </x:c>
      <x:c r="J1035" s="527" t="inlineStr">
        <x:is>
          <x:t xml:space="preserve">Leasehold / WI</x:t>
        </x:is>
      </x:c>
      <x:c r="K1035" s="527" t="inlineStr">
        <x:is>
          <x:t xml:space="preserve">OKCountyRecords official index, Roger Mills County (instrument 1993-002107); searched 06/11/2026</x:t>
        </x:is>
      </x:c>
      <x:c r="L1035" s="565" t="n"/>
      <x:c r="M1035" s="565" t="n"/>
      <x:c r="N1035" s="565" t="n"/>
      <x:c r="O1035" s="565" t="n"/>
      <x:c r="P1035" s="565" t="n"/>
      <x:c r="Q1035" s="565" t="n"/>
      <x:c r="R1035" s="565" t="n"/>
      <x:c r="S1035" s="613" t="n"/>
      <x:c r="T1035" s="565" t="n"/>
      <x:c r="U1035" s="613" t="n"/>
      <x:c r="V1035" s="565" t="n"/>
      <x:c r="W1035" s="565" t="n"/>
      <x:c r="X1035" s="565" t="n"/>
      <x:c r="Y1035" s="565" t="n"/>
      <x:c r="Z1035" s="565" t="n"/>
    </x:row>
    <x:row r="1036">
      <x:c r="A1036" s="527" t="inlineStr">
        <x:is>
          <x:t xml:space="preserve">1993-003365</x:t>
        </x:is>
      </x:c>
      <x:c r="B1036" s="527" t="n"/>
      <x:c r="C1036" s="527" t="inlineStr">
        <x:is>
          <x:t xml:space="preserve">Deed</x:t>
        </x:is>
      </x:c>
      <x:c r="D1036" s="527" t="inlineStr">
        <x:is>
          <x:t xml:space="preserve">1355/0192</x:t>
        </x:is>
      </x:c>
      <x:c r="E1036" s="529" t="inlineStr">
        <x:is>
          <x:t xml:space="preserve">08/18/1993</x:t>
        </x:is>
      </x:c>
      <x:c r="F1036" s="529" t="n">
        <x:v>34199</x:v>
      </x:c>
      <x:c r="G1036" s="527" t="inlineStr">
        <x:is>
          <x:t xml:space="preserve">Transok Gas Company</x:t>
        </x:is>
      </x:c>
      <x:c r="H1036" s="527" t="inlineStr">
        <x:is>
          <x:t xml:space="preserve">West Anadarko Gas Gathering System</x:t>
        </x:is>
      </x:c>
      <x:c r="I1036" s="527" t="inlineStr">
        <x:is>
          <x:t xml:space="preserve">31-12N-24W (AOL)</x:t>
        </x:is>
      </x:c>
      <x:c r="J1036" s="527" t="inlineStr">
        <x:is>
          <x:t xml:space="preserve">Fee / as stated</x:t>
        </x:is>
      </x:c>
      <x:c r="K1036" s="527" t="inlineStr">
        <x:is>
          <x:t xml:space="preserve">OKCountyRecords official index, Roger Mills County (instrument 1993-003365); searched 06/11/2026</x:t>
        </x:is>
      </x:c>
      <x:c r="L1036" s="565" t="n"/>
      <x:c r="M1036" s="565" t="n"/>
      <x:c r="N1036" s="565" t="n"/>
      <x:c r="O1036" s="565" t="n"/>
      <x:c r="P1036" s="565" t="n"/>
      <x:c r="Q1036" s="565" t="n"/>
      <x:c r="R1036" s="565" t="n"/>
      <x:c r="S1036" s="613" t="n"/>
      <x:c r="T1036" s="565" t="n"/>
      <x:c r="U1036" s="613" t="n"/>
      <x:c r="V1036" s="565" t="n"/>
      <x:c r="W1036" s="565" t="n"/>
      <x:c r="X1036" s="565" t="n"/>
      <x:c r="Y1036" s="565" t="n"/>
      <x:c r="Z1036" s="565" t="n"/>
    </x:row>
    <x:row r="1037">
      <x:c r="A1037" s="527" t="inlineStr">
        <x:is>
          <x:t xml:space="preserve">1994-004578</x:t>
        </x:is>
      </x:c>
      <x:c r="B1037" s="527" t="n"/>
      <x:c r="C1037" s="527" t="inlineStr">
        <x:is>
          <x:t xml:space="preserve">Quit Claim Deed</x:t>
        </x:is>
      </x:c>
      <x:c r="D1037" s="527" t="inlineStr">
        <x:is>
          <x:t xml:space="preserve">1401/0077</x:t>
        </x:is>
      </x:c>
      <x:c r="E1037" s="529" t="inlineStr">
        <x:is>
          <x:t xml:space="preserve">04/08/1994</x:t>
        </x:is>
      </x:c>
      <x:c r="F1037" s="529" t="n">
        <x:v>34432</x:v>
      </x:c>
      <x:c r="G1037" s="527" t="inlineStr">
        <x:is>
          <x:t xml:space="preserve">Clarence C. Bain,
Dorothy J. Bain</x:t>
        </x:is>
      </x:c>
      <x:c r="H1037" s="527" t="inlineStr">
        <x:is>
          <x:t xml:space="preserve">Clarence C. Bain, Trustee,
Dorothy J. Bain, Trustee,
Cdb Trust</x:t>
        </x:is>
      </x:c>
      <x:c r="I1037" s="527" t="inlineStr">
        <x:is>
          <x:t xml:space="preserve">31-12N-24W (AOL)</x:t>
        </x:is>
      </x:c>
      <x:c r="J1037" s="527" t="inlineStr">
        <x:is>
          <x:t xml:space="preserve">Fee / as stated</x:t>
        </x:is>
      </x:c>
      <x:c r="K1037" s="527" t="inlineStr">
        <x:is>
          <x:t xml:space="preserve">OKCountyRecords official index, Roger Mills County (instrument 1994-004578); searched 06/11/2026</x:t>
        </x:is>
      </x:c>
      <x:c r="L1037" s="565" t="n"/>
      <x:c r="M1037" s="565" t="n"/>
      <x:c r="N1037" s="565" t="n"/>
      <x:c r="O1037" s="565" t="n"/>
      <x:c r="P1037" s="565" t="n"/>
      <x:c r="Q1037" s="565" t="n"/>
      <x:c r="R1037" s="565" t="n"/>
      <x:c r="S1037" s="613" t="n"/>
      <x:c r="T1037" s="565" t="n"/>
      <x:c r="U1037" s="613" t="n"/>
      <x:c r="V1037" s="565" t="n"/>
      <x:c r="W1037" s="565" t="n"/>
      <x:c r="X1037" s="565" t="n"/>
      <x:c r="Y1037" s="565" t="n"/>
      <x:c r="Z1037" s="565" t="n"/>
    </x:row>
    <x:row r="1038">
      <x:c r="A1038" s="527" t="inlineStr">
        <x:is>
          <x:t xml:space="preserve">1994-004940</x:t>
        </x:is>
      </x:c>
      <x:c r="B1038" s="527" t="n"/>
      <x:c r="C1038" s="527" t="inlineStr">
        <x:is>
          <x:t xml:space="preserve">Final Decree</x:t>
        </x:is>
      </x:c>
      <x:c r="D1038" s="527" t="inlineStr">
        <x:is>
          <x:t xml:space="preserve">1405/0223</x:t>
        </x:is>
      </x:c>
      <x:c r="E1038" s="529" t="inlineStr">
        <x:is>
          <x:t xml:space="preserve">04/28/1994</x:t>
        </x:is>
      </x:c>
      <x:c r="F1038" s="529" t="n">
        <x:v>34452</x:v>
      </x:c>
      <x:c r="G1038" s="527" t="inlineStr">
        <x:is>
          <x:t xml:space="preserve">Gladys R. Priest</x:t>
        </x:is>
      </x:c>
      <x:c r="H1038" s="527" t="inlineStr">
        <x:is>
          <x:t xml:space="preserve">The Public</x:t>
        </x:is>
      </x:c>
      <x:c r="I1038" s="527" t="inlineStr">
        <x:is>
          <x:t xml:space="preserve">31-12N-24W (AOL)</x:t>
        </x:is>
      </x:c>
      <x:c r="J1038" s="527" t="inlineStr">
        <x:is>
          <x:t xml:space="preserve">Fee / as stated</x:t>
        </x:is>
      </x:c>
      <x:c r="K1038" s="527" t="inlineStr">
        <x:is>
          <x:t xml:space="preserve">OKCountyRecords official index, Roger Mills County (instrument 1994-004940); searched 06/11/2026</x:t>
        </x:is>
      </x:c>
      <x:c r="L1038" s="565" t="n"/>
      <x:c r="M1038" s="565" t="n"/>
      <x:c r="N1038" s="565" t="n"/>
      <x:c r="O1038" s="565" t="n"/>
      <x:c r="P1038" s="565" t="n"/>
      <x:c r="Q1038" s="565" t="n"/>
      <x:c r="R1038" s="565" t="n"/>
      <x:c r="S1038" s="613" t="n"/>
      <x:c r="T1038" s="565" t="n"/>
      <x:c r="U1038" s="613" t="n"/>
      <x:c r="V1038" s="565" t="n"/>
      <x:c r="W1038" s="565" t="n"/>
      <x:c r="X1038" s="565" t="n"/>
      <x:c r="Y1038" s="565" t="n"/>
      <x:c r="Z1038" s="565" t="n"/>
    </x:row>
    <x:row r="1039">
      <x:c r="A1039" s="527" t="inlineStr">
        <x:is>
          <x:t xml:space="preserve">1994-006415</x:t>
        </x:is>
      </x:c>
      <x:c r="B1039" s="527" t="n"/>
      <x:c r="C1039" s="527" t="inlineStr">
        <x:is>
          <x:t xml:space="preserve">Mineral Deed</x:t>
        </x:is>
      </x:c>
      <x:c r="D1039" s="527" t="inlineStr">
        <x:is>
          <x:t xml:space="preserve">1422/0009</x:t>
        </x:is>
      </x:c>
      <x:c r="E1039" s="529" t="inlineStr">
        <x:is>
          <x:t xml:space="preserve">07/27/1994</x:t>
        </x:is>
      </x:c>
      <x:c r="F1039" s="529" t="n">
        <x:v>34542</x:v>
      </x:c>
      <x:c r="G1039" s="527" t="inlineStr">
        <x:is>
          <x:t xml:space="preserve">Hayhurst Oil Properties, Inc.</x:t>
        </x:is>
      </x:c>
      <x:c r="H1039" s="527" t="inlineStr">
        <x:is>
          <x:t xml:space="preserve">Nam Corporation</x:t>
        </x:is>
      </x:c>
      <x:c r="I1039" s="527" t="inlineStr">
        <x:is>
          <x:t xml:space="preserve">E/2 NW/4, N/2 NE/4 SW/4, NE/4 SE/4, SE/4 NE/4 of 31-12N-24W (AOL)</x:t>
        </x:is>
      </x:c>
      <x:c r="J1039" s="527" t="inlineStr">
        <x:is>
          <x:t xml:space="preserve">Mineral</x:t>
        </x:is>
      </x:c>
      <x:c r="K1039" s="527" t="inlineStr">
        <x:is>
          <x:t xml:space="preserve">OKCountyRecords official index, Roger Mills County (instrument 1994-006415); searched 06/11/2026</x:t>
        </x:is>
      </x:c>
      <x:c r="L1039" s="565" t="n"/>
      <x:c r="M1039" s="565" t="n"/>
      <x:c r="N1039" s="565" t="n"/>
      <x:c r="O1039" s="565" t="n"/>
      <x:c r="P1039" s="565" t="n"/>
      <x:c r="Q1039" s="565" t="n"/>
      <x:c r="R1039" s="565" t="n"/>
      <x:c r="S1039" s="613" t="n"/>
      <x:c r="T1039" s="565" t="n"/>
      <x:c r="U1039" s="613" t="n"/>
      <x:c r="V1039" s="565" t="n"/>
      <x:c r="W1039" s="565" t="n"/>
      <x:c r="X1039" s="565" t="n"/>
      <x:c r="Y1039" s="565" t="n"/>
      <x:c r="Z1039" s="565" t="n"/>
    </x:row>
    <x:row r="1040">
      <x:c r="A1040" s="527" t="inlineStr">
        <x:is>
          <x:t xml:space="preserve">1995-003404</x:t>
        </x:is>
      </x:c>
      <x:c r="B1040" s="527" t="n"/>
      <x:c r="C1040" s="527" t="inlineStr">
        <x:is>
          <x:t xml:space="preserve">Mineral Deed</x:t>
        </x:is>
      </x:c>
      <x:c r="D1040" s="527" t="inlineStr">
        <x:is>
          <x:t xml:space="preserve">1457/0173</x:t>
        </x:is>
      </x:c>
      <x:c r="E1040" s="529" t="inlineStr">
        <x:is>
          <x:t xml:space="preserve">02/24/1995</x:t>
        </x:is>
      </x:c>
      <x:c r="F1040" s="529" t="n">
        <x:v>34754</x:v>
      </x:c>
      <x:c r="G1040" s="527" t="inlineStr">
        <x:is>
          <x:t xml:space="preserve">Tripco, Inc.</x:t>
        </x:is>
      </x:c>
      <x:c r="H1040" s="527" t="inlineStr">
        <x:is>
          <x:t xml:space="preserve">Prudential Securities</x:t>
        </x:is>
      </x:c>
      <x:c r="I1040" s="527" t="inlineStr">
        <x:is>
          <x:t xml:space="preserve">E/2 NW/4, N/2 NE/4 SW/4, NE/4 SE/4, SE/4 NE/4 of 31-12N-24W (AOL)</x:t>
        </x:is>
      </x:c>
      <x:c r="J1040" s="527" t="inlineStr">
        <x:is>
          <x:t xml:space="preserve">Mineral</x:t>
        </x:is>
      </x:c>
      <x:c r="K1040" s="527" t="inlineStr">
        <x:is>
          <x:t xml:space="preserve">OKCountyRecords official index, Roger Mills County (instrument 1995-003404); searched 06/11/2026</x:t>
        </x:is>
      </x:c>
      <x:c r="L1040" s="565" t="n"/>
      <x:c r="M1040" s="565" t="n"/>
      <x:c r="N1040" s="565" t="n"/>
      <x:c r="O1040" s="565" t="n"/>
      <x:c r="P1040" s="565" t="n"/>
      <x:c r="Q1040" s="565" t="n"/>
      <x:c r="R1040" s="565" t="n"/>
      <x:c r="S1040" s="613" t="n"/>
      <x:c r="T1040" s="565" t="n"/>
      <x:c r="U1040" s="613" t="n"/>
      <x:c r="V1040" s="565" t="n"/>
      <x:c r="W1040" s="565" t="n"/>
      <x:c r="X1040" s="565" t="n"/>
      <x:c r="Y1040" s="565" t="n"/>
      <x:c r="Z1040" s="565" t="n"/>
    </x:row>
    <x:row r="1041">
      <x:c r="A1041" s="527" t="inlineStr">
        <x:is>
          <x:t xml:space="preserve">1995-003422</x:t>
        </x:is>
      </x:c>
      <x:c r="B1041" s="527" t="n"/>
      <x:c r="C1041" s="527" t="inlineStr">
        <x:is>
          <x:t xml:space="preserve">Assignment</x:t>
        </x:is>
      </x:c>
      <x:c r="D1041" s="527" t="inlineStr">
        <x:is>
          <x:t xml:space="preserve">1457/0236</x:t>
        </x:is>
      </x:c>
      <x:c r="E1041" s="529" t="inlineStr">
        <x:is>
          <x:t xml:space="preserve">02/27/1995</x:t>
        </x:is>
      </x:c>
      <x:c r="F1041" s="529" t="n">
        <x:v>34757</x:v>
      </x:c>
      <x:c r="G1041" s="527" t="inlineStr">
        <x:is>
          <x:t xml:space="preserve">Rialto Energy, Inc.</x:t>
        </x:is>
      </x:c>
      <x:c r="H1041" s="527" t="inlineStr">
        <x:is>
          <x:t xml:space="preserve">Rialto Production Company</x:t>
        </x:is>
      </x:c>
      <x:c r="I1041" s="527" t="inlineStr">
        <x:is>
          <x:t xml:space="preserve">All of 31-12N-24W (AOL)</x:t>
        </x:is>
      </x:c>
      <x:c r="J1041" s="527" t="inlineStr">
        <x:is>
          <x:t xml:space="preserve">Leasehold / WI</x:t>
        </x:is>
      </x:c>
      <x:c r="K1041" s="527" t="inlineStr">
        <x:is>
          <x:t xml:space="preserve">OKCountyRecords official index, Roger Mills County (instrument 1995-003422); searched 06/11/2026</x:t>
        </x:is>
      </x:c>
      <x:c r="L1041" s="565" t="n"/>
      <x:c r="M1041" s="565" t="n"/>
      <x:c r="N1041" s="565" t="n"/>
      <x:c r="O1041" s="565" t="n"/>
      <x:c r="P1041" s="565" t="n"/>
      <x:c r="Q1041" s="565" t="n"/>
      <x:c r="R1041" s="565" t="n"/>
      <x:c r="S1041" s="613" t="n"/>
      <x:c r="T1041" s="565" t="n"/>
      <x:c r="U1041" s="613" t="n"/>
      <x:c r="V1041" s="565" t="n"/>
      <x:c r="W1041" s="565" t="n"/>
      <x:c r="X1041" s="565" t="n"/>
      <x:c r="Y1041" s="565" t="n"/>
      <x:c r="Z1041" s="565" t="n"/>
    </x:row>
    <x:row r="1042">
      <x:c r="A1042" s="527" t="inlineStr">
        <x:is>
          <x:t xml:space="preserve">1995-003767</x:t>
        </x:is>
      </x:c>
      <x:c r="B1042" s="527" t="n"/>
      <x:c r="C1042" s="527" t="inlineStr">
        <x:is>
          <x:t xml:space="preserve">Quit Claim Deed</x:t>
        </x:is>
      </x:c>
      <x:c r="D1042" s="527" t="inlineStr">
        <x:is>
          <x:t xml:space="preserve">1459/0583</x:t>
        </x:is>
      </x:c>
      <x:c r="E1042" s="529" t="inlineStr">
        <x:is>
          <x:t xml:space="preserve">03/20/1995</x:t>
        </x:is>
      </x:c>
      <x:c r="F1042" s="529" t="n">
        <x:v>34778</x:v>
      </x:c>
      <x:c r="G1042" s="527" t="inlineStr">
        <x:is>
          <x:t xml:space="preserve">Joseph Devenas</x:t>
        </x:is>
      </x:c>
      <x:c r="H1042" s="527" t="inlineStr">
        <x:is>
          <x:t xml:space="preserve">Joseph Devenas, Trustee</x:t>
        </x:is>
      </x:c>
      <x:c r="I1042" s="527" t="inlineStr">
        <x:is>
          <x:t xml:space="preserve">SE/4 SW/4 of 31-12N-24W (AOL)</x:t>
        </x:is>
      </x:c>
      <x:c r="J1042" s="527" t="inlineStr">
        <x:is>
          <x:t xml:space="preserve">Fee / as stated</x:t>
        </x:is>
      </x:c>
      <x:c r="K1042" s="527" t="inlineStr">
        <x:is>
          <x:t xml:space="preserve">OKCountyRecords official index, Roger Mills County (instrument 1995-003767); searched 06/11/2026</x:t>
        </x:is>
      </x:c>
      <x:c r="L1042" s="565" t="n"/>
      <x:c r="M1042" s="565" t="n"/>
      <x:c r="N1042" s="565" t="n"/>
      <x:c r="O1042" s="565" t="n"/>
      <x:c r="P1042" s="565" t="n"/>
      <x:c r="Q1042" s="565" t="n"/>
      <x:c r="R1042" s="565" t="n"/>
      <x:c r="S1042" s="613" t="n"/>
      <x:c r="T1042" s="565" t="n"/>
      <x:c r="U1042" s="613" t="n"/>
      <x:c r="V1042" s="565" t="n"/>
      <x:c r="W1042" s="565" t="n"/>
      <x:c r="X1042" s="565" t="n"/>
      <x:c r="Y1042" s="565" t="n"/>
      <x:c r="Z1042" s="565" t="n"/>
    </x:row>
    <x:row r="1043">
      <x:c r="A1043" s="527" t="inlineStr">
        <x:is>
          <x:t xml:space="preserve">1995-004151</x:t>
        </x:is>
      </x:c>
      <x:c r="B1043" s="527" t="n"/>
      <x:c r="C1043" s="527" t="inlineStr">
        <x:is>
          <x:t xml:space="preserve">Quit Claim Deed</x:t>
        </x:is>
      </x:c>
      <x:c r="D1043" s="527" t="inlineStr">
        <x:is>
          <x:t xml:space="preserve">1462/0131</x:t>
        </x:is>
      </x:c>
      <x:c r="E1043" s="529" t="inlineStr">
        <x:is>
          <x:t xml:space="preserve">04/17/1995</x:t>
        </x:is>
      </x:c>
      <x:c r="F1043" s="529" t="n">
        <x:v>34806</x:v>
      </x:c>
      <x:c r="G1043" s="527" t="inlineStr">
        <x:is>
          <x:t xml:space="preserve">Barbara Bain,
Billy Wayne Bain</x:t>
        </x:is>
      </x:c>
      <x:c r="H1043" s="527" t="inlineStr">
        <x:is>
          <x:t xml:space="preserve">Clarence C. Bain, Trustee,
Dorothy J. Bain, Trustee</x:t>
        </x:is>
      </x:c>
      <x:c r="I1043" s="527" t="inlineStr">
        <x:is>
          <x:t xml:space="preserve">SE/4 SE/4, SW/4 NE/4, W/2 SE/4 of 31-12N-24W</x:t>
        </x:is>
      </x:c>
      <x:c r="J1043" s="527" t="inlineStr">
        <x:is>
          <x:t xml:space="preserve">Fee / as stated</x:t>
        </x:is>
      </x:c>
      <x:c r="K1043" s="527" t="inlineStr">
        <x:is>
          <x:t xml:space="preserve">OKCountyRecords official index, Roger Mills County (instrument 1995-004151); searched 06/11/2026</x:t>
        </x:is>
      </x:c>
      <x:c r="L1043" s="565" t="n"/>
      <x:c r="M1043" s="565" t="n"/>
      <x:c r="N1043" s="565" t="n"/>
      <x:c r="O1043" s="565" t="n"/>
      <x:c r="P1043" s="565" t="n"/>
      <x:c r="Q1043" s="565" t="n"/>
      <x:c r="R1043" s="565" t="n"/>
      <x:c r="S1043" s="613" t="n"/>
      <x:c r="T1043" s="565" t="n"/>
      <x:c r="U1043" s="613" t="n"/>
      <x:c r="V1043" s="565" t="n"/>
      <x:c r="W1043" s="565" t="n"/>
      <x:c r="X1043" s="565" t="n"/>
      <x:c r="Y1043" s="565" t="n"/>
      <x:c r="Z1043" s="565" t="n"/>
    </x:row>
    <x:row r="1044">
      <x:c r="A1044" s="527" t="inlineStr">
        <x:is>
          <x:t xml:space="preserve">1995-000396</x:t>
        </x:is>
      </x:c>
      <x:c r="B1044" s="527" t="n"/>
      <x:c r="C1044" s="527" t="inlineStr">
        <x:is>
          <x:t xml:space="preserve">Mineral Deed</x:t>
        </x:is>
      </x:c>
      <x:c r="D1044" s="527" t="inlineStr">
        <x:is>
          <x:t xml:space="preserve">1470/0059</x:t>
        </x:is>
      </x:c>
      <x:c r="E1044" s="529" t="inlineStr">
        <x:is>
          <x:t xml:space="preserve">08/09/1995</x:t>
        </x:is>
      </x:c>
      <x:c r="F1044" s="529" t="n">
        <x:v>34920</x:v>
      </x:c>
      <x:c r="G1044" s="527" t="inlineStr">
        <x:is>
          <x:t xml:space="preserve">Alpine Oil and Royalty Co, Inc.</x:t>
        </x:is>
      </x:c>
      <x:c r="H1044" s="527" t="inlineStr">
        <x:is>
          <x:t xml:space="preserve">Melinda McCaul Mulvihill</x:t>
        </x:is>
      </x:c>
      <x:c r="I1044" s="527" t="inlineStr">
        <x:is>
          <x:t xml:space="preserve">NW/4 SE/4, SW/4 NE/4 of 31-12N-24W (AOL)</x:t>
        </x:is>
      </x:c>
      <x:c r="J1044" s="527" t="inlineStr">
        <x:is>
          <x:t xml:space="preserve">Mineral</x:t>
        </x:is>
      </x:c>
      <x:c r="K1044" s="527" t="inlineStr">
        <x:is>
          <x:t xml:space="preserve">OKCountyRecords official index, Roger Mills County (instrument 1995-000396); searched 06/11/2026</x:t>
        </x:is>
      </x:c>
      <x:c r="L1044" s="565" t="n"/>
      <x:c r="M1044" s="565" t="n"/>
      <x:c r="N1044" s="565" t="n"/>
      <x:c r="O1044" s="565" t="n"/>
      <x:c r="P1044" s="565" t="n"/>
      <x:c r="Q1044" s="565" t="n"/>
      <x:c r="R1044" s="565" t="n"/>
      <x:c r="S1044" s="613" t="n"/>
      <x:c r="T1044" s="565" t="n"/>
      <x:c r="U1044" s="613" t="n"/>
      <x:c r="V1044" s="565" t="n"/>
      <x:c r="W1044" s="565" t="n"/>
      <x:c r="X1044" s="565" t="n"/>
      <x:c r="Y1044" s="565" t="n"/>
      <x:c r="Z1044" s="565" t="n"/>
    </x:row>
    <x:row r="1045">
      <x:c r="A1045" s="527" t="inlineStr">
        <x:is>
          <x:t xml:space="preserve">1995-000748</x:t>
        </x:is>
      </x:c>
      <x:c r="B1045" s="527" t="n"/>
      <x:c r="C1045" s="527" t="inlineStr">
        <x:is>
          <x:t xml:space="preserve">Quit Claim Mineral Deed</x:t>
        </x:is>
      </x:c>
      <x:c r="D1045" s="527" t="inlineStr">
        <x:is>
          <x:t xml:space="preserve">1471/0574</x:t>
        </x:is>
      </x:c>
      <x:c r="E1045" s="529" t="inlineStr">
        <x:is>
          <x:t xml:space="preserve">09/08/1995</x:t>
        </x:is>
      </x:c>
      <x:c r="F1045" s="529" t="n">
        <x:v>34950</x:v>
      </x:c>
      <x:c r="G1045" s="527" t="inlineStr">
        <x:is>
          <x:t xml:space="preserve">Charles R. Atha,
Letty Atha</x:t>
        </x:is>
      </x:c>
      <x:c r="H1045" s="527" t="inlineStr">
        <x:is>
          <x:t xml:space="preserve">Charles E. Atha,
Letty Atha</x:t>
        </x:is>
      </x:c>
      <x:c r="I1045" s="527" t="inlineStr">
        <x:is>
          <x:t xml:space="preserve">NW/4 NW/4 of 31-12N-24W (AOL)</x:t>
        </x:is>
      </x:c>
      <x:c r="J1045" s="527" t="inlineStr">
        <x:is>
          <x:t xml:space="preserve">Mineral</x:t>
        </x:is>
      </x:c>
      <x:c r="K1045" s="527" t="inlineStr">
        <x:is>
          <x:t xml:space="preserve">OKCountyRecords official index, Roger Mills County (instrument 1995-000748); searched 06/11/2026</x:t>
        </x:is>
      </x:c>
      <x:c r="L1045" s="565" t="n"/>
      <x:c r="M1045" s="565" t="n"/>
      <x:c r="N1045" s="565" t="n"/>
      <x:c r="O1045" s="565" t="n"/>
      <x:c r="P1045" s="565" t="n"/>
      <x:c r="Q1045" s="565" t="n"/>
      <x:c r="R1045" s="565" t="n"/>
      <x:c r="S1045" s="613" t="n"/>
      <x:c r="T1045" s="565" t="n"/>
      <x:c r="U1045" s="613" t="n"/>
      <x:c r="V1045" s="565" t="n"/>
      <x:c r="W1045" s="565" t="n"/>
      <x:c r="X1045" s="565" t="n"/>
      <x:c r="Y1045" s="565" t="n"/>
      <x:c r="Z1045" s="565" t="n"/>
    </x:row>
    <x:row r="1046">
      <x:c r="A1046" s="527" t="inlineStr">
        <x:is>
          <x:t xml:space="preserve">1995-001954</x:t>
        </x:is>
      </x:c>
      <x:c r="B1046" s="527" t="n"/>
      <x:c r="C1046" s="527" t="inlineStr">
        <x:is>
          <x:t xml:space="preserve">Final Decree</x:t>
        </x:is>
      </x:c>
      <x:c r="D1046" s="527" t="inlineStr">
        <x:is>
          <x:t xml:space="preserve">1479/0191</x:t>
        </x:is>
      </x:c>
      <x:c r="E1046" s="529" t="inlineStr">
        <x:is>
          <x:t xml:space="preserve">12/05/1995</x:t>
        </x:is>
      </x:c>
      <x:c r="F1046" s="529" t="n">
        <x:v>35038</x:v>
      </x:c>
      <x:c r="G1046" s="527" t="inlineStr">
        <x:is>
          <x:t xml:space="preserve">Wilson, Dwight J. Estate of</x:t>
        </x:is>
      </x:c>
      <x:c r="H1046" s="527" t="inlineStr">
        <x:is>
          <x:t xml:space="preserve">The Public</x:t>
        </x:is>
      </x:c>
      <x:c r="I1046" s="527" t="inlineStr">
        <x:is>
          <x:t xml:space="preserve">NW/4 SE/4, S/2 SE/4, SW/4 NE/4 of 31-12N-24W (AOL)</x:t>
        </x:is>
      </x:c>
      <x:c r="J1046" s="527" t="inlineStr">
        <x:is>
          <x:t xml:space="preserve">Fee / as stated</x:t>
        </x:is>
      </x:c>
      <x:c r="K1046" s="527" t="inlineStr">
        <x:is>
          <x:t xml:space="preserve">OKCountyRecords official index, Roger Mills County (instrument 1995-001954); searched 06/11/2026</x:t>
        </x:is>
      </x:c>
      <x:c r="L1046" s="565" t="n"/>
      <x:c r="M1046" s="565" t="n"/>
      <x:c r="N1046" s="565" t="n"/>
      <x:c r="O1046" s="565" t="n"/>
      <x:c r="P1046" s="565" t="n"/>
      <x:c r="Q1046" s="565" t="n"/>
      <x:c r="R1046" s="565" t="n"/>
      <x:c r="S1046" s="613" t="n"/>
      <x:c r="T1046" s="565" t="n"/>
      <x:c r="U1046" s="613" t="n"/>
      <x:c r="V1046" s="565" t="n"/>
      <x:c r="W1046" s="565" t="n"/>
      <x:c r="X1046" s="565" t="n"/>
      <x:c r="Y1046" s="565" t="n"/>
      <x:c r="Z1046" s="565" t="n"/>
    </x:row>
    <x:row r="1047">
      <x:c r="A1047" s="527" t="inlineStr">
        <x:is>
          <x:t xml:space="preserve">1996-003719</x:t>
        </x:is>
      </x:c>
      <x:c r="B1047" s="527" t="n"/>
      <x:c r="C1047" s="527" t="inlineStr">
        <x:is>
          <x:t xml:space="preserve">Assignment</x:t>
        </x:is>
      </x:c>
      <x:c r="D1047" s="527" t="inlineStr">
        <x:is>
          <x:t xml:space="preserve">1489/0336</x:t>
        </x:is>
      </x:c>
      <x:c r="E1047" s="529" t="inlineStr">
        <x:is>
          <x:t xml:space="preserve">04/04/1996</x:t>
        </x:is>
      </x:c>
      <x:c r="F1047" s="529" t="n">
        <x:v>35159</x:v>
      </x:c>
      <x:c r="G1047" s="527" t="inlineStr">
        <x:is>
          <x:t xml:space="preserve">Jack Mahoney</x:t>
        </x:is>
      </x:c>
      <x:c r="H1047" s="527" t="inlineStr">
        <x:is>
          <x:t xml:space="preserve">Pinion Family Trust</x:t>
        </x:is>
      </x:c>
      <x:c r="I1047" s="527" t="inlineStr">
        <x:is>
          <x:t xml:space="preserve">All of 31-12N-24W (AOL)</x:t>
        </x:is>
      </x:c>
      <x:c r="J1047" s="527" t="inlineStr">
        <x:is>
          <x:t xml:space="preserve">Leasehold / WI</x:t>
        </x:is>
      </x:c>
      <x:c r="K1047" s="527" t="inlineStr">
        <x:is>
          <x:t xml:space="preserve">OKCountyRecords official index, Roger Mills County (instrument 1996-003719); searched 06/11/2026</x:t>
        </x:is>
      </x:c>
      <x:c r="L1047" s="565" t="n"/>
      <x:c r="M1047" s="565" t="n"/>
      <x:c r="N1047" s="565" t="n"/>
      <x:c r="O1047" s="565" t="n"/>
      <x:c r="P1047" s="565" t="n"/>
      <x:c r="Q1047" s="565" t="n"/>
      <x:c r="R1047" s="565" t="n"/>
      <x:c r="S1047" s="613" t="n"/>
      <x:c r="T1047" s="565" t="n"/>
      <x:c r="U1047" s="613" t="n"/>
      <x:c r="V1047" s="565" t="n"/>
      <x:c r="W1047" s="565" t="n"/>
      <x:c r="X1047" s="565" t="n"/>
      <x:c r="Y1047" s="565" t="n"/>
      <x:c r="Z1047" s="565" t="n"/>
    </x:row>
    <x:row r="1048">
      <x:c r="A1048" s="527" t="inlineStr">
        <x:is>
          <x:t xml:space="preserve">1996-004168</x:t>
        </x:is>
      </x:c>
      <x:c r="B1048" s="527" t="n"/>
      <x:c r="C1048" s="527" t="inlineStr">
        <x:is>
          <x:t xml:space="preserve">Release</x:t>
        </x:is>
      </x:c>
      <x:c r="D1048" s="527" t="inlineStr">
        <x:is>
          <x:t xml:space="preserve">1493/0040</x:t>
        </x:is>
      </x:c>
      <x:c r="E1048" s="529" t="inlineStr">
        <x:is>
          <x:t xml:space="preserve">05/14/1996</x:t>
        </x:is>
      </x:c>
      <x:c r="F1048" s="529" t="n">
        <x:v>35199</x:v>
      </x:c>
      <x:c r="G1048" s="527" t="inlineStr">
        <x:is>
          <x:t xml:space="preserve">Clara Mae Bryan,
George M. Bryan</x:t>
        </x:is>
      </x:c>
      <x:c r="H1048" s="527" t="inlineStr">
        <x:is>
          <x:t xml:space="preserve">Eula Cross</x:t>
        </x:is>
      </x:c>
      <x:c r="I1048" s="527" t="inlineStr">
        <x:is>
          <x:t xml:space="preserve">E/2 NW/4, N/2 NE/4, N/2 NE/4 SW/4, NE/4 SE/4, S/2 NE/4 SW/4, SE/4 NE/4, SE/4 SW/4, Lots 3 of 31-12N-24W (AOL)</x:t>
        </x:is>
      </x:c>
      <x:c r="J1048" s="527" t="inlineStr">
        <x:is>
          <x:t xml:space="preserve">Leasehold / WI</x:t>
        </x:is>
      </x:c>
      <x:c r="K1048" s="527" t="inlineStr">
        <x:is>
          <x:t xml:space="preserve">OKCountyRecords official index, Roger Mills County (instrument 1996-004168); searched 06/11/2026</x:t>
        </x:is>
      </x:c>
      <x:c r="L1048" s="565" t="n"/>
      <x:c r="M1048" s="565" t="n"/>
      <x:c r="N1048" s="565" t="n"/>
      <x:c r="O1048" s="565" t="n"/>
      <x:c r="P1048" s="565" t="n"/>
      <x:c r="Q1048" s="565" t="n"/>
      <x:c r="R1048" s="565" t="n"/>
      <x:c r="S1048" s="613" t="n"/>
      <x:c r="T1048" s="565" t="n"/>
      <x:c r="U1048" s="613" t="n"/>
      <x:c r="V1048" s="565" t="n"/>
      <x:c r="W1048" s="565" t="n"/>
      <x:c r="X1048" s="565" t="n"/>
      <x:c r="Y1048" s="565" t="n"/>
      <x:c r="Z1048" s="565" t="n"/>
    </x:row>
    <x:row r="1049">
      <x:c r="A1049" s="527" t="inlineStr">
        <x:is>
          <x:t xml:space="preserve">1996-002352</x:t>
        </x:is>
      </x:c>
      <x:c r="B1049" s="527" t="n"/>
      <x:c r="C1049" s="527" t="inlineStr">
        <x:is>
          <x:t xml:space="preserve">Warranty Deed</x:t>
        </x:is>
      </x:c>
      <x:c r="D1049" s="527" t="inlineStr">
        <x:is>
          <x:t xml:space="preserve">1510/0491</x:t>
        </x:is>
      </x:c>
      <x:c r="E1049" s="529" t="inlineStr">
        <x:is>
          <x:t xml:space="preserve">12/30/1996</x:t>
        </x:is>
      </x:c>
      <x:c r="F1049" s="529" t="n">
        <x:v>35429</x:v>
      </x:c>
      <x:c r="G1049" s="527" t="inlineStr">
        <x:is>
          <x:t xml:space="preserve">Eula Cross</x:t>
        </x:is>
      </x:c>
      <x:c r="H1049" s="527" t="inlineStr">
        <x:is>
          <x:t xml:space="preserve">Floyd W. Atha,
Nancy D. Atha</x:t>
        </x:is>
      </x:c>
      <x:c r="I1049" s="527" t="inlineStr">
        <x:is>
          <x:t xml:space="preserve">E/2 W/2, N/2 NE/4, NE/4 SE/4, SE/4 NE/4, Lots 1 of 31-12N-24W</x:t>
        </x:is>
      </x:c>
      <x:c r="J1049" s="527" t="inlineStr">
        <x:is>
          <x:t xml:space="preserve">Fee / as stated</x:t>
        </x:is>
      </x:c>
      <x:c r="K1049" s="527" t="inlineStr">
        <x:is>
          <x:t xml:space="preserve">OKCountyRecords official index, Roger Mills County (instrument 1996-002352); searched 06/11/2026</x:t>
        </x:is>
      </x:c>
      <x:c r="L1049" s="565" t="n"/>
      <x:c r="M1049" s="565" t="n"/>
      <x:c r="N1049" s="565" t="n"/>
      <x:c r="O1049" s="565" t="n"/>
      <x:c r="P1049" s="565" t="n"/>
      <x:c r="Q1049" s="565" t="n"/>
      <x:c r="R1049" s="565" t="n"/>
      <x:c r="S1049" s="613" t="n"/>
      <x:c r="T1049" s="565" t="n"/>
      <x:c r="U1049" s="613" t="n"/>
      <x:c r="V1049" s="565" t="n"/>
      <x:c r="W1049" s="565" t="n"/>
      <x:c r="X1049" s="565" t="n"/>
      <x:c r="Y1049" s="565" t="n"/>
      <x:c r="Z1049" s="565" t="n"/>
    </x:row>
    <x:row r="1050">
      <x:c r="A1050" s="527" t="inlineStr">
        <x:is>
          <x:t xml:space="preserve">1997-006370</x:t>
        </x:is>
      </x:c>
      <x:c r="B1050" s="527" t="n"/>
      <x:c r="C1050" s="527" t="inlineStr">
        <x:is>
          <x:t xml:space="preserve">Quit Claim Deed</x:t>
        </x:is>
      </x:c>
      <x:c r="D1050" s="527" t="inlineStr">
        <x:is>
          <x:t xml:space="preserve">1510/0566</x:t>
        </x:is>
      </x:c>
      <x:c r="E1050" s="529" t="inlineStr">
        <x:is>
          <x:t xml:space="preserve">01/02/1997</x:t>
        </x:is>
      </x:c>
      <x:c r="F1050" s="529" t="n">
        <x:v>35430</x:v>
      </x:c>
      <x:c r="G1050" s="527" t="inlineStr">
        <x:is>
          <x:t xml:space="preserve">Eula G. Cross</x:t>
        </x:is>
      </x:c>
      <x:c r="H1050" s="527" t="inlineStr">
        <x:is>
          <x:t xml:space="preserve">Patsy J. Crouse</x:t>
        </x:is>
      </x:c>
      <x:c r="I1050" s="527" t="inlineStr">
        <x:is>
          <x:t xml:space="preserve">All of 31-12N-24W (AOL)</x:t>
        </x:is>
      </x:c>
      <x:c r="J1050" s="527" t="inlineStr">
        <x:is>
          <x:t xml:space="preserve">Fee / as stated</x:t>
        </x:is>
      </x:c>
      <x:c r="K1050" s="527" t="inlineStr">
        <x:is>
          <x:t xml:space="preserve">OKCountyRecords official index, Roger Mills County (instrument 1997-006370); searched 06/11/2026</x:t>
        </x:is>
      </x:c>
      <x:c r="L1050" s="565" t="n"/>
      <x:c r="M1050" s="565" t="n"/>
      <x:c r="N1050" s="565" t="n"/>
      <x:c r="O1050" s="565" t="n"/>
      <x:c r="P1050" s="565" t="n"/>
      <x:c r="Q1050" s="565" t="n"/>
      <x:c r="R1050" s="565" t="n"/>
      <x:c r="S1050" s="613" t="n"/>
      <x:c r="T1050" s="565" t="n"/>
      <x:c r="U1050" s="613" t="n"/>
      <x:c r="V1050" s="565" t="n"/>
      <x:c r="W1050" s="565" t="n"/>
      <x:c r="X1050" s="565" t="n"/>
      <x:c r="Y1050" s="565" t="n"/>
      <x:c r="Z1050" s="565" t="n"/>
    </x:row>
    <x:row r="1051">
      <x:c r="A1051" s="527" t="inlineStr">
        <x:is>
          <x:t xml:space="preserve">1997-005183</x:t>
        </x:is>
      </x:c>
      <x:c r="B1051" s="527" t="n"/>
      <x:c r="C1051" s="527" t="inlineStr">
        <x:is>
          <x:t xml:space="preserve">Quit Claim Deed</x:t>
        </x:is>
      </x:c>
      <x:c r="D1051" s="527" t="inlineStr">
        <x:is>
          <x:t xml:space="preserve">1511/0032</x:t>
        </x:is>
      </x:c>
      <x:c r="E1051" s="529" t="inlineStr">
        <x:is>
          <x:t xml:space="preserve">01/03/1997</x:t>
        </x:is>
      </x:c>
      <x:c r="F1051" s="529" t="n">
        <x:v>35432</x:v>
      </x:c>
      <x:c r="G1051" s="527" t="inlineStr">
        <x:is>
          <x:t xml:space="preserve">Eula G. Cross</x:t>
        </x:is>
      </x:c>
      <x:c r="H1051" s="527" t="inlineStr">
        <x:is>
          <x:t xml:space="preserve">Patsy J. Crouse</x:t>
        </x:is>
      </x:c>
      <x:c r="I1051" s="527" t="inlineStr">
        <x:is>
          <x:t xml:space="preserve">All of 31-12N-24W (AOL)</x:t>
        </x:is>
      </x:c>
      <x:c r="J1051" s="527" t="inlineStr">
        <x:is>
          <x:t xml:space="preserve">Fee / as stated</x:t>
        </x:is>
      </x:c>
      <x:c r="K1051" s="527" t="inlineStr">
        <x:is>
          <x:t xml:space="preserve">OKCountyRecords official index, Roger Mills County (instrument 1997-005183); searched 06/11/2026</x:t>
        </x:is>
      </x:c>
      <x:c r="L1051" s="565" t="n"/>
      <x:c r="M1051" s="565" t="n"/>
      <x:c r="N1051" s="565" t="n"/>
      <x:c r="O1051" s="565" t="n"/>
      <x:c r="P1051" s="565" t="n"/>
      <x:c r="Q1051" s="565" t="n"/>
      <x:c r="R1051" s="565" t="n"/>
      <x:c r="S1051" s="613" t="n"/>
      <x:c r="T1051" s="565" t="n"/>
      <x:c r="U1051" s="613" t="n"/>
      <x:c r="V1051" s="565" t="n"/>
      <x:c r="W1051" s="565" t="n"/>
      <x:c r="X1051" s="565" t="n"/>
      <x:c r="Y1051" s="565" t="n"/>
      <x:c r="Z1051" s="565" t="n"/>
    </x:row>
    <x:row r="1052">
      <x:c r="A1052" s="527" t="inlineStr">
        <x:is>
          <x:t xml:space="preserve">1997-002567A</x:t>
        </x:is>
      </x:c>
      <x:c r="B1052" s="527" t="n"/>
      <x:c r="C1052" s="527" t="inlineStr">
        <x:is>
          <x:t xml:space="preserve">Assignment</x:t>
        </x:is>
      </x:c>
      <x:c r="D1052" s="527" t="inlineStr">
        <x:is>
          <x:t xml:space="preserve">1512/0029</x:t>
        </x:is>
      </x:c>
      <x:c r="E1052" s="529" t="inlineStr">
        <x:is>
          <x:t xml:space="preserve">01/13/1997</x:t>
        </x:is>
      </x:c>
      <x:c r="F1052" s="529" t="n">
        <x:v>35443</x:v>
      </x:c>
      <x:c r="G1052" s="527" t="inlineStr">
        <x:is>
          <x:t xml:space="preserve">Kerr-mcgee Corporation</x:t>
        </x:is>
      </x:c>
      <x:c r="H1052" s="527" t="inlineStr">
        <x:is>
          <x:t xml:space="preserve">Kerr-mcgee North American Onshore Corporation</x:t>
        </x:is>
      </x:c>
      <x:c r="I1052" s="527" t="inlineStr">
        <x:is>
          <x:t xml:space="preserve">All of 31-12N-24W (AOL)</x:t>
        </x:is>
      </x:c>
      <x:c r="J1052" s="527" t="inlineStr">
        <x:is>
          <x:t xml:space="preserve">Leasehold / WI</x:t>
        </x:is>
      </x:c>
      <x:c r="K1052" s="527" t="inlineStr">
        <x:is>
          <x:t xml:space="preserve">OKCountyRecords official index, Roger Mills County (instrument 1997-002567A); searched 06/11/2026</x:t>
        </x:is>
      </x:c>
      <x:c r="L1052" s="565" t="n"/>
      <x:c r="M1052" s="565" t="n"/>
      <x:c r="N1052" s="565" t="n"/>
      <x:c r="O1052" s="565" t="n"/>
      <x:c r="P1052" s="565" t="n"/>
      <x:c r="Q1052" s="565" t="n"/>
      <x:c r="R1052" s="565" t="n"/>
      <x:c r="S1052" s="613" t="n"/>
      <x:c r="T1052" s="565" t="n"/>
      <x:c r="U1052" s="613" t="n"/>
      <x:c r="V1052" s="565" t="n"/>
      <x:c r="W1052" s="565" t="n"/>
      <x:c r="X1052" s="565" t="n"/>
      <x:c r="Y1052" s="565" t="n"/>
      <x:c r="Z1052" s="565" t="n"/>
    </x:row>
    <x:row r="1053">
      <x:c r="A1053" s="527" t="inlineStr">
        <x:is>
          <x:t xml:space="preserve">1997-003023</x:t>
        </x:is>
      </x:c>
      <x:c r="B1053" s="527" t="n"/>
      <x:c r="C1053" s="527" t="inlineStr">
        <x:is>
          <x:t xml:space="preserve">Warranty Deed</x:t>
        </x:is>
      </x:c>
      <x:c r="D1053" s="527" t="inlineStr">
        <x:is>
          <x:t xml:space="preserve">1514/0525</x:t>
        </x:is>
      </x:c>
      <x:c r="E1053" s="529" t="inlineStr">
        <x:is>
          <x:t xml:space="preserve">02/18/1997</x:t>
        </x:is>
      </x:c>
      <x:c r="F1053" s="529" t="n">
        <x:v>35479</x:v>
      </x:c>
      <x:c r="G1053" s="527" t="inlineStr">
        <x:is>
          <x:t xml:space="preserve">Eula Cross</x:t>
        </x:is>
      </x:c>
      <x:c r="H1053" s="527" t="inlineStr">
        <x:is>
          <x:t xml:space="preserve">Leonard Herzperg,
Mary Alice Herzperg</x:t>
        </x:is>
      </x:c>
      <x:c r="I1053" s="527" t="inlineStr">
        <x:is>
          <x:t xml:space="preserve">Lots 1 of 31-12N-24W</x:t>
        </x:is>
      </x:c>
      <x:c r="J1053" s="527" t="inlineStr">
        <x:is>
          <x:t xml:space="preserve">Fee / as stated</x:t>
        </x:is>
      </x:c>
      <x:c r="K1053" s="527" t="inlineStr">
        <x:is>
          <x:t xml:space="preserve">OKCountyRecords official index, Roger Mills County (instrument 1997-003023); searched 06/11/2026</x:t>
        </x:is>
      </x:c>
      <x:c r="L1053" s="565" t="n"/>
      <x:c r="M1053" s="565" t="n"/>
      <x:c r="N1053" s="565" t="n"/>
      <x:c r="O1053" s="565" t="n"/>
      <x:c r="P1053" s="565" t="n"/>
      <x:c r="Q1053" s="565" t="n"/>
      <x:c r="R1053" s="565" t="n"/>
      <x:c r="S1053" s="613" t="n"/>
      <x:c r="T1053" s="565" t="n"/>
      <x:c r="U1053" s="613" t="n"/>
      <x:c r="V1053" s="565" t="n"/>
      <x:c r="W1053" s="565" t="n"/>
      <x:c r="X1053" s="565" t="n"/>
      <x:c r="Y1053" s="565" t="n"/>
      <x:c r="Z1053" s="565" t="n"/>
    </x:row>
    <x:row r="1054">
      <x:c r="A1054" s="527" t="inlineStr">
        <x:is>
          <x:t xml:space="preserve">1997-004254</x:t>
        </x:is>
      </x:c>
      <x:c r="B1054" s="527" t="n"/>
      <x:c r="C1054" s="527" t="inlineStr">
        <x:is>
          <x:t xml:space="preserve">Affidavit</x:t>
        </x:is>
      </x:c>
      <x:c r="D1054" s="527" t="inlineStr">
        <x:is>
          <x:t xml:space="preserve">1522/0215</x:t>
        </x:is>
      </x:c>
      <x:c r="E1054" s="529" t="inlineStr">
        <x:is>
          <x:t xml:space="preserve">04/29/1997</x:t>
        </x:is>
      </x:c>
      <x:c r="F1054" s="529" t="n">
        <x:v>35549</x:v>
      </x:c>
      <x:c r="G1054" s="527" t="inlineStr">
        <x:is>
          <x:t xml:space="preserve">Letty Jane Atha</x:t>
        </x:is>
      </x:c>
      <x:c r="H1054" s="527" t="inlineStr">
        <x:is>
          <x:t xml:space="preserve">The Public</x:t>
        </x:is>
      </x:c>
      <x:c r="I1054" s="527" t="inlineStr">
        <x:is>
          <x:t xml:space="preserve">NW/4 NW/4 of 31-12N-24W (AOL)</x:t>
        </x:is>
      </x:c>
      <x:c r="J1054" s="527" t="inlineStr">
        <x:is>
          <x:t xml:space="preserve">See instrument</x:t>
        </x:is>
      </x:c>
      <x:c r="K1054" s="527" t="inlineStr">
        <x:is>
          <x:t xml:space="preserve">OKCountyRecords official index, Roger Mills County (instrument 1997-004254); searched 06/11/2026</x:t>
        </x:is>
      </x:c>
      <x:c r="L1054" s="565" t="n"/>
      <x:c r="M1054" s="565" t="n"/>
      <x:c r="N1054" s="565" t="n"/>
      <x:c r="O1054" s="565" t="n"/>
      <x:c r="P1054" s="565" t="n"/>
      <x:c r="Q1054" s="565" t="n"/>
      <x:c r="R1054" s="565" t="n"/>
      <x:c r="S1054" s="613" t="n"/>
      <x:c r="T1054" s="565" t="n"/>
      <x:c r="U1054" s="613" t="n"/>
      <x:c r="V1054" s="565" t="n"/>
      <x:c r="W1054" s="565" t="n"/>
      <x:c r="X1054" s="565" t="n"/>
      <x:c r="Y1054" s="565" t="n"/>
      <x:c r="Z1054" s="565" t="n"/>
    </x:row>
    <x:row r="1055">
      <x:c r="A1055" s="527" t="inlineStr">
        <x:is>
          <x:t xml:space="preserve">1998-004619</x:t>
        </x:is>
      </x:c>
      <x:c r="B1055" s="527" t="n"/>
      <x:c r="C1055" s="527" t="inlineStr">
        <x:is>
          <x:t xml:space="preserve">Assignment</x:t>
        </x:is>
      </x:c>
      <x:c r="D1055" s="527" t="inlineStr">
        <x:is>
          <x:t xml:space="preserve">1556/0423</x:t>
        </x:is>
      </x:c>
      <x:c r="E1055" s="529" t="inlineStr">
        <x:is>
          <x:t xml:space="preserve">05/07/1998</x:t>
        </x:is>
      </x:c>
      <x:c r="F1055" s="529" t="n">
        <x:v>35922</x:v>
      </x:c>
      <x:c r="G1055" s="527" t="inlineStr">
        <x:is>
          <x:t xml:space="preserve">Eex Corporation</x:t>
        </x:is>
      </x:c>
      <x:c r="H1055" s="527" t="inlineStr">
        <x:is>
          <x:t xml:space="preserve">Eex Operating, LLC</x:t>
        </x:is>
      </x:c>
      <x:c r="I1055" s="527" t="inlineStr">
        <x:is>
          <x:t xml:space="preserve">All of 31-12N-24W (AOL)</x:t>
        </x:is>
      </x:c>
      <x:c r="J1055" s="527" t="inlineStr">
        <x:is>
          <x:t xml:space="preserve">Leasehold / WI</x:t>
        </x:is>
      </x:c>
      <x:c r="K1055" s="527" t="inlineStr">
        <x:is>
          <x:t xml:space="preserve">OKCountyRecords official index, Roger Mills County (instrument 1998-004619); searched 06/11/2026</x:t>
        </x:is>
      </x:c>
      <x:c r="L1055" s="565" t="n"/>
      <x:c r="M1055" s="565" t="n"/>
      <x:c r="N1055" s="565" t="n"/>
      <x:c r="O1055" s="565" t="n"/>
      <x:c r="P1055" s="565" t="n"/>
      <x:c r="Q1055" s="565" t="n"/>
      <x:c r="R1055" s="565" t="n"/>
      <x:c r="S1055" s="613" t="n"/>
      <x:c r="T1055" s="565" t="n"/>
      <x:c r="U1055" s="613" t="n"/>
      <x:c r="V1055" s="565" t="n"/>
      <x:c r="W1055" s="565" t="n"/>
      <x:c r="X1055" s="565" t="n"/>
      <x:c r="Y1055" s="565" t="n"/>
      <x:c r="Z1055" s="565" t="n"/>
    </x:row>
    <x:row r="1056">
      <x:c r="A1056" s="527" t="inlineStr">
        <x:is>
          <x:t xml:space="preserve">1994-000003</x:t>
        </x:is>
      </x:c>
      <x:c r="B1056" s="527" t="n"/>
      <x:c r="C1056" s="527" t="inlineStr">
        <x:is>
          <x:t xml:space="preserve">Assignment</x:t>
        </x:is>
      </x:c>
      <x:c r="D1056" s="527" t="inlineStr">
        <x:is>
          <x:t xml:space="preserve">1423/0089</x:t>
        </x:is>
      </x:c>
      <x:c r="E1056" s="529" t="inlineStr">
        <x:is>
          <x:t xml:space="preserve">08/01/1998</x:t>
        </x:is>
      </x:c>
      <x:c r="F1056" s="529" t="n">
        <x:v>36008</x:v>
      </x:c>
      <x:c r="G1056" s="527" t="inlineStr">
        <x:is>
          <x:t xml:space="preserve">Daniel D. Ferson</x:t>
        </x:is>
      </x:c>
      <x:c r="H1056" s="527" t="inlineStr">
        <x:is>
          <x:t xml:space="preserve">Fer-scher Exploration, LLC</x:t>
        </x:is>
      </x:c>
      <x:c r="I1056" s="527" t="inlineStr">
        <x:is>
          <x:t xml:space="preserve">E/2 NW/4, N/2 NE/4 SW/4, NE/4 SE/4, SE/4 NE/4 of 31-12N-24W (AOL)</x:t>
        </x:is>
      </x:c>
      <x:c r="J1056" s="527" t="inlineStr">
        <x:is>
          <x:t xml:space="preserve">Leasehold / WI</x:t>
        </x:is>
      </x:c>
      <x:c r="K1056" s="527" t="inlineStr">
        <x:is>
          <x:t xml:space="preserve">OKCountyRecords official index, Roger Mills County (instrument 1994-000003); searched 06/11/2026</x:t>
        </x:is>
      </x:c>
      <x:c r="L1056" s="565" t="n"/>
      <x:c r="M1056" s="565" t="n"/>
      <x:c r="N1056" s="565" t="n"/>
      <x:c r="O1056" s="565" t="n"/>
      <x:c r="P1056" s="565" t="n"/>
      <x:c r="Q1056" s="565" t="n"/>
      <x:c r="R1056" s="565" t="n"/>
      <x:c r="S1056" s="613" t="n"/>
      <x:c r="T1056" s="565" t="n"/>
      <x:c r="U1056" s="613" t="n"/>
      <x:c r="V1056" s="565" t="n"/>
      <x:c r="W1056" s="565" t="n"/>
      <x:c r="X1056" s="565" t="n"/>
      <x:c r="Y1056" s="565" t="n"/>
      <x:c r="Z1056" s="565" t="n"/>
    </x:row>
    <x:row r="1057">
      <x:c r="A1057" s="527" t="inlineStr">
        <x:is>
          <x:t xml:space="preserve">1998-000584</x:t>
        </x:is>
      </x:c>
      <x:c r="B1057" s="527" t="n"/>
      <x:c r="C1057" s="527" t="inlineStr">
        <x:is>
          <x:t xml:space="preserve">Quit Claim Mineral Deed</x:t>
        </x:is>
      </x:c>
      <x:c r="D1057" s="527" t="inlineStr">
        <x:is>
          <x:t xml:space="preserve">1564/0310</x:t>
        </x:is>
      </x:c>
      <x:c r="E1057" s="529" t="inlineStr">
        <x:is>
          <x:t xml:space="preserve">08/19/1998</x:t>
        </x:is>
      </x:c>
      <x:c r="F1057" s="529" t="n">
        <x:v>36026</x:v>
      </x:c>
      <x:c r="G1057" s="527" t="inlineStr">
        <x:is>
          <x:t xml:space="preserve">Jon T. Williams,
Rogene E. Williams</x:t>
        </x:is>
      </x:c>
      <x:c r="H1057" s="527" t="inlineStr">
        <x:is>
          <x:t xml:space="preserve">Jon T. and Rogene E. Williams Trust</x:t>
        </x:is>
      </x:c>
      <x:c r="I1057" s="527" t="inlineStr">
        <x:is>
          <x:t xml:space="preserve">NW/4 SE/4, S/2 SE/4, SW/4 NE/4 of 31-12N-24W (AOL)</x:t>
        </x:is>
      </x:c>
      <x:c r="J1057" s="527" t="inlineStr">
        <x:is>
          <x:t xml:space="preserve">Mineral</x:t>
        </x:is>
      </x:c>
      <x:c r="K1057" s="527" t="inlineStr">
        <x:is>
          <x:t xml:space="preserve">OKCountyRecords official index, Roger Mills County (instrument 1998-000584); searched 06/11/2026</x:t>
        </x:is>
      </x:c>
      <x:c r="L1057" s="565" t="n"/>
      <x:c r="M1057" s="565" t="n"/>
      <x:c r="N1057" s="565" t="n"/>
      <x:c r="O1057" s="565" t="n"/>
      <x:c r="P1057" s="565" t="n"/>
      <x:c r="Q1057" s="565" t="n"/>
      <x:c r="R1057" s="565" t="n"/>
      <x:c r="S1057" s="613" t="n"/>
      <x:c r="T1057" s="565" t="n"/>
      <x:c r="U1057" s="613" t="n"/>
      <x:c r="V1057" s="565" t="n"/>
      <x:c r="W1057" s="565" t="n"/>
      <x:c r="X1057" s="565" t="n"/>
      <x:c r="Y1057" s="565" t="n"/>
      <x:c r="Z1057" s="565" t="n"/>
    </x:row>
    <x:row r="1058">
      <x:c r="A1058" s="527" t="inlineStr">
        <x:is>
          <x:t xml:space="preserve">1998-000907</x:t>
        </x:is>
      </x:c>
      <x:c r="B1058" s="527" t="n"/>
      <x:c r="C1058" s="527" t="inlineStr">
        <x:is>
          <x:t xml:space="preserve">Quit Claim Mineral Deed</x:t>
        </x:is>
      </x:c>
      <x:c r="D1058" s="527" t="inlineStr">
        <x:is>
          <x:t xml:space="preserve">1567/0245</x:t>
        </x:is>
      </x:c>
      <x:c r="E1058" s="529" t="inlineStr">
        <x:is>
          <x:t xml:space="preserve">09/21/1998</x:t>
        </x:is>
      </x:c>
      <x:c r="F1058" s="529" t="n">
        <x:v>36059</x:v>
      </x:c>
      <x:c r="G1058" s="527" t="inlineStr">
        <x:is>
          <x:t xml:space="preserve">Jan A. Schroff</x:t>
        </x:is>
      </x:c>
      <x:c r="H1058" s="527" t="inlineStr">
        <x:is>
          <x:t xml:space="preserve">Jan A. Schroff, Trustee</x:t>
        </x:is>
      </x:c>
      <x:c r="I1058" s="527" t="inlineStr">
        <x:is>
          <x:t xml:space="preserve">NW/4 SE/4, S/2 SE/4, SW/4 NE/4 of 31-12N-24W (AOL)</x:t>
        </x:is>
      </x:c>
      <x:c r="J1058" s="527" t="inlineStr">
        <x:is>
          <x:t xml:space="preserve">Mineral</x:t>
        </x:is>
      </x:c>
      <x:c r="K1058" s="527" t="inlineStr">
        <x:is>
          <x:t xml:space="preserve">OKCountyRecords official index, Roger Mills County (instrument 1998-000907); searched 06/11/2026</x:t>
        </x:is>
      </x:c>
      <x:c r="L1058" s="565" t="n"/>
      <x:c r="M1058" s="565" t="n"/>
      <x:c r="N1058" s="565" t="n"/>
      <x:c r="O1058" s="565" t="n"/>
      <x:c r="P1058" s="565" t="n"/>
      <x:c r="Q1058" s="565" t="n"/>
      <x:c r="R1058" s="565" t="n"/>
      <x:c r="S1058" s="613" t="n"/>
      <x:c r="T1058" s="565" t="n"/>
      <x:c r="U1058" s="613" t="n"/>
      <x:c r="V1058" s="565" t="n"/>
      <x:c r="W1058" s="565" t="n"/>
      <x:c r="X1058" s="565" t="n"/>
      <x:c r="Y1058" s="565" t="n"/>
      <x:c r="Z1058" s="565" t="n"/>
    </x:row>
    <x:row r="1059">
      <x:c r="A1059" s="527" t="inlineStr">
        <x:is>
          <x:t xml:space="preserve">1999-002219</x:t>
        </x:is>
      </x:c>
      <x:c r="B1059" s="527" t="n"/>
      <x:c r="C1059" s="527" t="inlineStr">
        <x:is>
          <x:t xml:space="preserve">Mineral Deed</x:t>
        </x:is>
      </x:c>
      <x:c r="D1059" s="527" t="inlineStr">
        <x:is>
          <x:t xml:space="preserve">1576/0219</x:t>
        </x:is>
      </x:c>
      <x:c r="E1059" s="529" t="inlineStr">
        <x:is>
          <x:t xml:space="preserve">01/15/1999</x:t>
        </x:is>
      </x:c>
      <x:c r="F1059" s="529" t="n">
        <x:v>36175</x:v>
      </x:c>
      <x:c r="G1059" s="527" t="inlineStr">
        <x:is>
          <x:t xml:space="preserve">David Slobin</x:t>
        </x:is>
      </x:c>
      <x:c r="H1059" s="527" t="inlineStr">
        <x:is>
          <x:t xml:space="preserve">Myron Slobin</x:t>
        </x:is>
      </x:c>
      <x:c r="I1059" s="527" t="inlineStr">
        <x:is>
          <x:t xml:space="preserve">NW/4 SE/4, S/2 SE/4, SW/4 NE/4 of 31-12N-24W (AOL)</x:t>
        </x:is>
      </x:c>
      <x:c r="J1059" s="527" t="inlineStr">
        <x:is>
          <x:t xml:space="preserve">Mineral</x:t>
        </x:is>
      </x:c>
      <x:c r="K1059" s="527" t="inlineStr">
        <x:is>
          <x:t xml:space="preserve">OKCountyRecords official index, Roger Mills County (instrument 1999-002219); searched 06/11/2026</x:t>
        </x:is>
      </x:c>
      <x:c r="L1059" s="565" t="n"/>
      <x:c r="M1059" s="565" t="n"/>
      <x:c r="N1059" s="565" t="n"/>
      <x:c r="O1059" s="565" t="n"/>
      <x:c r="P1059" s="565" t="n"/>
      <x:c r="Q1059" s="565" t="n"/>
      <x:c r="R1059" s="565" t="n"/>
      <x:c r="S1059" s="613" t="n"/>
      <x:c r="T1059" s="565" t="n"/>
      <x:c r="U1059" s="613" t="n"/>
      <x:c r="V1059" s="565" t="n"/>
      <x:c r="W1059" s="565" t="n"/>
      <x:c r="X1059" s="565" t="n"/>
      <x:c r="Y1059" s="565" t="n"/>
      <x:c r="Z1059" s="565" t="n"/>
    </x:row>
    <x:row r="1060">
      <x:c r="A1060" s="527" t="inlineStr">
        <x:is>
          <x:t xml:space="preserve">1999-002220</x:t>
        </x:is>
      </x:c>
      <x:c r="B1060" s="527" t="n"/>
      <x:c r="C1060" s="527" t="inlineStr">
        <x:is>
          <x:t xml:space="preserve">Mineral Deed</x:t>
        </x:is>
      </x:c>
      <x:c r="D1060" s="527" t="inlineStr">
        <x:is>
          <x:t xml:space="preserve">1576/0222</x:t>
        </x:is>
      </x:c>
      <x:c r="E1060" s="529" t="inlineStr">
        <x:is>
          <x:t xml:space="preserve">01/15/1999</x:t>
        </x:is>
      </x:c>
      <x:c r="F1060" s="529" t="n">
        <x:v>36175</x:v>
      </x:c>
      <x:c r="G1060" s="527" t="inlineStr">
        <x:is>
          <x:t xml:space="preserve">David Slobin</x:t>
        </x:is>
      </x:c>
      <x:c r="H1060" s="527" t="inlineStr">
        <x:is>
          <x:t xml:space="preserve">Myron Slobin</x:t>
        </x:is>
      </x:c>
      <x:c r="I1060" s="527" t="inlineStr">
        <x:is>
          <x:t xml:space="preserve">NW/4 SE/4, S/2 SE/4, SW/4 NE/4 of 31-12N-24W (AOL)</x:t>
        </x:is>
      </x:c>
      <x:c r="J1060" s="527" t="inlineStr">
        <x:is>
          <x:t xml:space="preserve">Mineral</x:t>
        </x:is>
      </x:c>
      <x:c r="K1060" s="527" t="inlineStr">
        <x:is>
          <x:t xml:space="preserve">OKCountyRecords official index, Roger Mills County (instrument 1999-002220); searched 06/11/2026</x:t>
        </x:is>
      </x:c>
      <x:c r="L1060" s="565" t="n"/>
      <x:c r="M1060" s="565" t="n"/>
      <x:c r="N1060" s="565" t="n"/>
      <x:c r="O1060" s="565" t="n"/>
      <x:c r="P1060" s="565" t="n"/>
      <x:c r="Q1060" s="565" t="n"/>
      <x:c r="R1060" s="565" t="n"/>
      <x:c r="S1060" s="613" t="n"/>
      <x:c r="T1060" s="565" t="n"/>
      <x:c r="U1060" s="613" t="n"/>
      <x:c r="V1060" s="565" t="n"/>
      <x:c r="W1060" s="565" t="n"/>
      <x:c r="X1060" s="565" t="n"/>
      <x:c r="Y1060" s="565" t="n"/>
      <x:c r="Z1060" s="565" t="n"/>
    </x:row>
    <x:row r="1061">
      <x:c r="A1061" s="527" t="inlineStr">
        <x:is>
          <x:t xml:space="preserve">1999-002739</x:t>
        </x:is>
      </x:c>
      <x:c r="B1061" s="527" t="n"/>
      <x:c r="C1061" s="527" t="inlineStr">
        <x:is>
          <x:t xml:space="preserve">Mineral Deed</x:t>
        </x:is>
      </x:c>
      <x:c r="D1061" s="527" t="inlineStr">
        <x:is>
          <x:t xml:space="preserve">1579/0358</x:t>
        </x:is>
      </x:c>
      <x:c r="E1061" s="529" t="inlineStr">
        <x:is>
          <x:t xml:space="preserve">02/24/1999</x:t>
        </x:is>
      </x:c>
      <x:c r="F1061" s="529" t="n">
        <x:v>36215</x:v>
      </x:c>
      <x:c r="G1061" s="527" t="inlineStr">
        <x:is>
          <x:t xml:space="preserve">Melinda McCaul Mulvihill</x:t>
        </x:is>
      </x:c>
      <x:c r="H1061" s="527" t="inlineStr">
        <x:is>
          <x:t xml:space="preserve">The Public</x:t>
        </x:is>
      </x:c>
      <x:c r="I1061" s="527" t="inlineStr">
        <x:is>
          <x:t xml:space="preserve">NW/4 SE/4, S/2 SE/4, SW/4 NE/4 of 31-12N-24W (AOL)</x:t>
        </x:is>
      </x:c>
      <x:c r="J1061" s="527" t="inlineStr">
        <x:is>
          <x:t xml:space="preserve">Mineral</x:t>
        </x:is>
      </x:c>
      <x:c r="K1061" s="527" t="inlineStr">
        <x:is>
          <x:t xml:space="preserve">OKCountyRecords official index, Roger Mills County (instrument 1999-002739); searched 06/11/2026</x:t>
        </x:is>
      </x:c>
      <x:c r="L1061" s="565" t="n"/>
      <x:c r="M1061" s="565" t="n"/>
      <x:c r="N1061" s="565" t="n"/>
      <x:c r="O1061" s="565" t="n"/>
      <x:c r="P1061" s="565" t="n"/>
      <x:c r="Q1061" s="565" t="n"/>
      <x:c r="R1061" s="565" t="n"/>
      <x:c r="S1061" s="613" t="n"/>
      <x:c r="T1061" s="565" t="n"/>
      <x:c r="U1061" s="613" t="n"/>
      <x:c r="V1061" s="565" t="n"/>
      <x:c r="W1061" s="565" t="n"/>
      <x:c r="X1061" s="565" t="n"/>
      <x:c r="Y1061" s="565" t="n"/>
      <x:c r="Z1061" s="565" t="n"/>
    </x:row>
    <x:row r="1062">
      <x:c r="A1062" s="527" t="inlineStr">
        <x:is>
          <x:t xml:space="preserve">1999-003117</x:t>
        </x:is>
      </x:c>
      <x:c r="B1062" s="527" t="n"/>
      <x:c r="C1062" s="527" t="inlineStr">
        <x:is>
          <x:t xml:space="preserve">Affidavit Surviving Jt Tenant</x:t>
        </x:is>
      </x:c>
      <x:c r="D1062" s="527" t="inlineStr">
        <x:is>
          <x:t xml:space="preserve">1581/0316</x:t>
        </x:is>
      </x:c>
      <x:c r="E1062" s="529" t="inlineStr">
        <x:is>
          <x:t xml:space="preserve">03/31/1999</x:t>
        </x:is>
      </x:c>
      <x:c r="F1062" s="529" t="n">
        <x:v>36250</x:v>
      </x:c>
      <x:c r="G1062" s="527" t="inlineStr">
        <x:is>
          <x:t xml:space="preserve">Ella Pearl Kirk</x:t>
        </x:is>
      </x:c>
      <x:c r="H1062" s="527" t="inlineStr">
        <x:is>
          <x:t xml:space="preserve">The Public</x:t>
        </x:is>
      </x:c>
      <x:c r="I1062" s="527" t="inlineStr">
        <x:is>
          <x:t xml:space="preserve">NW/4 of 31-12N-24W (AOL)</x:t>
        </x:is>
      </x:c>
      <x:c r="J1062" s="527" t="inlineStr">
        <x:is>
          <x:t xml:space="preserve">Fee / as stated</x:t>
        </x:is>
      </x:c>
      <x:c r="K1062" s="527" t="inlineStr">
        <x:is>
          <x:t xml:space="preserve">OKCountyRecords official index, Roger Mills County (instrument 1999-003117); searched 06/11/2026</x:t>
        </x:is>
      </x:c>
      <x:c r="L1062" s="565" t="n"/>
      <x:c r="M1062" s="565" t="n"/>
      <x:c r="N1062" s="565" t="n"/>
      <x:c r="O1062" s="565" t="n"/>
      <x:c r="P1062" s="565" t="n"/>
      <x:c r="Q1062" s="565" t="n"/>
      <x:c r="R1062" s="565" t="n"/>
      <x:c r="S1062" s="613" t="n"/>
      <x:c r="T1062" s="565" t="n"/>
      <x:c r="U1062" s="613" t="n"/>
      <x:c r="V1062" s="565" t="n"/>
      <x:c r="W1062" s="565" t="n"/>
      <x:c r="X1062" s="565" t="n"/>
      <x:c r="Y1062" s="565" t="n"/>
      <x:c r="Z1062" s="565" t="n"/>
    </x:row>
    <x:row r="1063">
      <x:c r="A1063" s="527" t="inlineStr">
        <x:is>
          <x:t xml:space="preserve">1999-003362</x:t>
        </x:is>
      </x:c>
      <x:c r="B1063" s="527" t="n"/>
      <x:c r="C1063" s="527" t="inlineStr">
        <x:is>
          <x:t xml:space="preserve">Affidavit</x:t>
        </x:is>
      </x:c>
      <x:c r="D1063" s="527" t="inlineStr">
        <x:is>
          <x:t xml:space="preserve">1583/0389</x:t>
        </x:is>
      </x:c>
      <x:c r="E1063" s="529" t="inlineStr">
        <x:is>
          <x:t xml:space="preserve">04/20/1999</x:t>
        </x:is>
      </x:c>
      <x:c r="F1063" s="529" t="n">
        <x:v>36270</x:v>
      </x:c>
      <x:c r="G1063" s="527" t="inlineStr">
        <x:is>
          <x:t xml:space="preserve">Opal Fuchs</x:t>
        </x:is>
      </x:c>
      <x:c r="H1063" s="527" t="inlineStr">
        <x:is>
          <x:t xml:space="preserve">The Public</x:t>
        </x:is>
      </x:c>
      <x:c r="I1063" s="527" t="inlineStr">
        <x:is>
          <x:t xml:space="preserve">NW/4 SE/4, S/2 SE/4, SW/4 NE/4 of 31-12N-24W (AOL)</x:t>
        </x:is>
      </x:c>
      <x:c r="J1063" s="527" t="inlineStr">
        <x:is>
          <x:t xml:space="preserve">See instrument</x:t>
        </x:is>
      </x:c>
      <x:c r="K1063" s="527" t="inlineStr">
        <x:is>
          <x:t xml:space="preserve">OKCountyRecords official index, Roger Mills County (instrument 1999-003362); searched 06/11/2026</x:t>
        </x:is>
      </x:c>
      <x:c r="L1063" s="565" t="n"/>
      <x:c r="M1063" s="565" t="n"/>
      <x:c r="N1063" s="565" t="n"/>
      <x:c r="O1063" s="565" t="n"/>
      <x:c r="P1063" s="565" t="n"/>
      <x:c r="Q1063" s="565" t="n"/>
      <x:c r="R1063" s="565" t="n"/>
      <x:c r="S1063" s="613" t="n"/>
      <x:c r="T1063" s="565" t="n"/>
      <x:c r="U1063" s="613" t="n"/>
      <x:c r="V1063" s="565" t="n"/>
      <x:c r="W1063" s="565" t="n"/>
      <x:c r="X1063" s="565" t="n"/>
      <x:c r="Y1063" s="565" t="n"/>
      <x:c r="Z1063" s="565" t="n"/>
    </x:row>
    <x:row r="1064">
      <x:c r="A1064" s="527" t="inlineStr">
        <x:is>
          <x:t xml:space="preserve">1999-003363</x:t>
        </x:is>
      </x:c>
      <x:c r="B1064" s="527" t="n"/>
      <x:c r="C1064" s="527" t="inlineStr">
        <x:is>
          <x:t xml:space="preserve">Mineral Deed</x:t>
        </x:is>
      </x:c>
      <x:c r="D1064" s="527" t="inlineStr">
        <x:is>
          <x:t xml:space="preserve">1583/0391</x:t>
        </x:is>
      </x:c>
      <x:c r="E1064" s="529" t="inlineStr">
        <x:is>
          <x:t xml:space="preserve">04/20/1999</x:t>
        </x:is>
      </x:c>
      <x:c r="F1064" s="529" t="n">
        <x:v>36270</x:v>
      </x:c>
      <x:c r="G1064" s="527" t="inlineStr">
        <x:is>
          <x:t xml:space="preserve">Eunice Evelyn Cook,
Albert E. Fuchs,
Aqulla Fuchs,
Delbert Norwood Fuchs,
Eldred Stephen Fuchs,
Jesse William Fuchs,
Ladon Gilbert Fuchs,
Ocie H. Fuchs,
Ocie Harlon Fuchs,
Olivia Leah Lemmons,
Isa May Smith</x:t>
        </x:is>
      </x:c>
      <x:c r="H1064" s="527" t="inlineStr">
        <x:is>
          <x:t xml:space="preserve">Lola F. Richrads</x:t>
        </x:is>
      </x:c>
      <x:c r="I1064" s="527" t="inlineStr">
        <x:is>
          <x:t xml:space="preserve">NW/4 SE/4, S/2 SE/4, SW/4 NE/4 of 31-12N-24W (AOL)</x:t>
        </x:is>
      </x:c>
      <x:c r="J1064" s="527" t="inlineStr">
        <x:is>
          <x:t xml:space="preserve">Mineral</x:t>
        </x:is>
      </x:c>
      <x:c r="K1064" s="527" t="inlineStr">
        <x:is>
          <x:t xml:space="preserve">OKCountyRecords official index, Roger Mills County (instrument 1999-003363); searched 06/11/2026</x:t>
        </x:is>
      </x:c>
      <x:c r="L1064" s="565" t="n"/>
      <x:c r="M1064" s="565" t="n"/>
      <x:c r="N1064" s="565" t="n"/>
      <x:c r="O1064" s="565" t="n"/>
      <x:c r="P1064" s="565" t="n"/>
      <x:c r="Q1064" s="565" t="n"/>
      <x:c r="R1064" s="565" t="n"/>
      <x:c r="S1064" s="613" t="n"/>
      <x:c r="T1064" s="565" t="n"/>
      <x:c r="U1064" s="613" t="n"/>
      <x:c r="V1064" s="565" t="n"/>
      <x:c r="W1064" s="565" t="n"/>
      <x:c r="X1064" s="565" t="n"/>
      <x:c r="Y1064" s="565" t="n"/>
      <x:c r="Z1064" s="565" t="n"/>
    </x:row>
    <x:row r="1065">
      <x:c r="A1065" s="527" t="inlineStr">
        <x:is>
          <x:t xml:space="preserve">1999-003368</x:t>
        </x:is>
      </x:c>
      <x:c r="B1065" s="527" t="n"/>
      <x:c r="C1065" s="527" t="inlineStr">
        <x:is>
          <x:t xml:space="preserve">Mineral Deed</x:t>
        </x:is>
      </x:c>
      <x:c r="D1065" s="527" t="inlineStr">
        <x:is>
          <x:t xml:space="preserve">1583/0426</x:t>
        </x:is>
      </x:c>
      <x:c r="E1065" s="529" t="inlineStr">
        <x:is>
          <x:t xml:space="preserve">04/20/1999</x:t>
        </x:is>
      </x:c>
      <x:c r="F1065" s="529" t="n">
        <x:v>36270</x:v>
      </x:c>
      <x:c r="G1065" s="527" t="inlineStr">
        <x:is>
          <x:t xml:space="preserve">Eunice Evelyn Cook,
Albert E. Fuchs,
Aqulla Fuchs,
Delbert Norwood Fuchs,
Eldred Stephen Fuchs,
Jesse William Fuchs,
Ladon Gilbert Fuchs,
Ocie H. Fuchs,
Ocie Harlon Fuchs,
Olivia Leah Lemmons,
Isa May Smith</x:t>
        </x:is>
      </x:c>
      <x:c r="H1065" s="527" t="inlineStr">
        <x:is>
          <x:t xml:space="preserve">Albert E. Fuchs, Trustee,
Ocie H. Fuchs, Trustee</x:t>
        </x:is>
      </x:c>
      <x:c r="I1065" s="527" t="inlineStr">
        <x:is>
          <x:t xml:space="preserve">NW/4 SE/4, S/2 SE/4, SW/4 NE/4 of 31-12N-24W (AOL)</x:t>
        </x:is>
      </x:c>
      <x:c r="J1065" s="527" t="inlineStr">
        <x:is>
          <x:t xml:space="preserve">Mineral</x:t>
        </x:is>
      </x:c>
      <x:c r="K1065" s="527" t="inlineStr">
        <x:is>
          <x:t xml:space="preserve">OKCountyRecords official index, Roger Mills County (instrument 1999-003368); searched 06/11/2026</x:t>
        </x:is>
      </x:c>
      <x:c r="L1065" s="565" t="n"/>
      <x:c r="M1065" s="565" t="n"/>
      <x:c r="N1065" s="565" t="n"/>
      <x:c r="O1065" s="565" t="n"/>
      <x:c r="P1065" s="565" t="n"/>
      <x:c r="Q1065" s="565" t="n"/>
      <x:c r="R1065" s="565" t="n"/>
      <x:c r="S1065" s="613" t="n"/>
      <x:c r="T1065" s="565" t="n"/>
      <x:c r="U1065" s="613" t="n"/>
      <x:c r="V1065" s="565" t="n"/>
      <x:c r="W1065" s="565" t="n"/>
      <x:c r="X1065" s="565" t="n"/>
      <x:c r="Y1065" s="565" t="n"/>
      <x:c r="Z1065" s="565" t="n"/>
    </x:row>
    <x:row r="1066">
      <x:c r="A1066" s="527" t="inlineStr">
        <x:is>
          <x:t xml:space="preserve">1999-003364</x:t>
        </x:is>
      </x:c>
      <x:c r="B1066" s="527" t="n"/>
      <x:c r="C1066" s="527" t="inlineStr">
        <x:is>
          <x:t xml:space="preserve">Mineral Deed</x:t>
        </x:is>
      </x:c>
      <x:c r="D1066" s="527" t="inlineStr">
        <x:is>
          <x:t xml:space="preserve">1583/0398</x:t>
        </x:is>
      </x:c>
      <x:c r="E1066" s="529" t="inlineStr">
        <x:is>
          <x:t xml:space="preserve">04/20/1999</x:t>
        </x:is>
      </x:c>
      <x:c r="F1066" s="529" t="n">
        <x:v>36270</x:v>
      </x:c>
      <x:c r="G1066" s="527" t="inlineStr">
        <x:is>
          <x:t xml:space="preserve">Eunice Evelyn Cook,
Albert E. Fuchs,
Aqulla Fuchs,
Delbert Norwood Fuchs,
Eldred Stephen Fuchs,
Jesse William Fuchs,
Ladon Gilbert Fuchs,
Ocie H. Fuchs,
Ocie Harlon Fuchs,
Olivia Leah Lemmons,
Isa May Smith</x:t>
        </x:is>
      </x:c>
      <x:c r="H1066" s="527" t="inlineStr">
        <x:is>
          <x:t xml:space="preserve">Mark J. Fuchs</x:t>
        </x:is>
      </x:c>
      <x:c r="I1066" s="527" t="inlineStr">
        <x:is>
          <x:t xml:space="preserve">NW/4 SE/4, S/2 SE/4, SW/4 NE/4 of 31-12N-24W (AOL)</x:t>
        </x:is>
      </x:c>
      <x:c r="J1066" s="527" t="inlineStr">
        <x:is>
          <x:t xml:space="preserve">Mineral</x:t>
        </x:is>
      </x:c>
      <x:c r="K1066" s="527" t="inlineStr">
        <x:is>
          <x:t xml:space="preserve">OKCountyRecords official index, Roger Mills County (instrument 1999-003364); searched 06/11/2026</x:t>
        </x:is>
      </x:c>
      <x:c r="L1066" s="565" t="n"/>
      <x:c r="M1066" s="565" t="n"/>
      <x:c r="N1066" s="565" t="n"/>
      <x:c r="O1066" s="565" t="n"/>
      <x:c r="P1066" s="565" t="n"/>
      <x:c r="Q1066" s="565" t="n"/>
      <x:c r="R1066" s="565" t="n"/>
      <x:c r="S1066" s="613" t="n"/>
      <x:c r="T1066" s="565" t="n"/>
      <x:c r="U1066" s="613" t="n"/>
      <x:c r="V1066" s="565" t="n"/>
      <x:c r="W1066" s="565" t="n"/>
      <x:c r="X1066" s="565" t="n"/>
      <x:c r="Y1066" s="565" t="n"/>
      <x:c r="Z1066" s="565" t="n"/>
    </x:row>
    <x:row r="1067">
      <x:c r="A1067" s="527" t="inlineStr">
        <x:is>
          <x:t xml:space="preserve">1999-003365</x:t>
        </x:is>
      </x:c>
      <x:c r="B1067" s="527" t="n"/>
      <x:c r="C1067" s="527" t="inlineStr">
        <x:is>
          <x:t xml:space="preserve">Mineral Deed</x:t>
        </x:is>
      </x:c>
      <x:c r="D1067" s="527" t="inlineStr">
        <x:is>
          <x:t xml:space="preserve">1583/0405</x:t>
        </x:is>
      </x:c>
      <x:c r="E1067" s="529" t="inlineStr">
        <x:is>
          <x:t xml:space="preserve">04/20/1999</x:t>
        </x:is>
      </x:c>
      <x:c r="F1067" s="529" t="n">
        <x:v>36270</x:v>
      </x:c>
      <x:c r="G1067" s="527" t="inlineStr">
        <x:is>
          <x:t xml:space="preserve">Eunice Evelyn Cook,
Albert E. Fuchs,
Aqulla Fuchs,
Delbert Norwood Fuchs,
Eldred Stephen Fuchs,
Jesse William Fuchs,
Ladon Gilbert Fuchs,
Ocie H. Fuchs,
Ocie Harlon Fuchs,
Olivia Leah Lemmons,
Isa May Smith</x:t>
        </x:is>
      </x:c>
      <x:c r="H1067" s="527" t="inlineStr">
        <x:is>
          <x:t xml:space="preserve">Jessie W. Fuchs</x:t>
        </x:is>
      </x:c>
      <x:c r="I1067" s="527" t="inlineStr">
        <x:is>
          <x:t xml:space="preserve">NW/4 SE/4, S/2 SE/4, SW/4 NE/4 of 31-12N-24W (AOL)</x:t>
        </x:is>
      </x:c>
      <x:c r="J1067" s="527" t="inlineStr">
        <x:is>
          <x:t xml:space="preserve">Mineral</x:t>
        </x:is>
      </x:c>
      <x:c r="K1067" s="527" t="inlineStr">
        <x:is>
          <x:t xml:space="preserve">OKCountyRecords official index, Roger Mills County (instrument 1999-003365); searched 06/11/2026</x:t>
        </x:is>
      </x:c>
      <x:c r="L1067" s="565" t="n"/>
      <x:c r="M1067" s="565" t="n"/>
      <x:c r="N1067" s="565" t="n"/>
      <x:c r="O1067" s="565" t="n"/>
      <x:c r="P1067" s="565" t="n"/>
      <x:c r="Q1067" s="565" t="n"/>
      <x:c r="R1067" s="565" t="n"/>
      <x:c r="S1067" s="613" t="n"/>
      <x:c r="T1067" s="565" t="n"/>
      <x:c r="U1067" s="613" t="n"/>
      <x:c r="V1067" s="565" t="n"/>
      <x:c r="W1067" s="565" t="n"/>
      <x:c r="X1067" s="565" t="n"/>
      <x:c r="Y1067" s="565" t="n"/>
      <x:c r="Z1067" s="565" t="n"/>
    </x:row>
    <x:row r="1068">
      <x:c r="A1068" s="527" t="inlineStr">
        <x:is>
          <x:t xml:space="preserve">1999-003366</x:t>
        </x:is>
      </x:c>
      <x:c r="B1068" s="527" t="n"/>
      <x:c r="C1068" s="527" t="inlineStr">
        <x:is>
          <x:t xml:space="preserve">Mineral Deed</x:t>
        </x:is>
      </x:c>
      <x:c r="D1068" s="527" t="inlineStr">
        <x:is>
          <x:t xml:space="preserve">1583/0412</x:t>
        </x:is>
      </x:c>
      <x:c r="E1068" s="529" t="inlineStr">
        <x:is>
          <x:t xml:space="preserve">04/20/1999</x:t>
        </x:is>
      </x:c>
      <x:c r="F1068" s="529" t="n">
        <x:v>36270</x:v>
      </x:c>
      <x:c r="G1068" s="527" t="inlineStr">
        <x:is>
          <x:t xml:space="preserve">Eunice Evelyn Cook,
Albert E. Fuchs,
Aqulla Fuchs,
Delbert Norwood Fuchs,
Eldred Stephen Fuchs,
Jesse William Fuchs,
Ladon Gilbert Fuchs,
Ocie H. Fuchs,
Ocie Harlon Fuchs,
Olivia Leah Lemmons,
Isa May Smith</x:t>
        </x:is>
      </x:c>
      <x:c r="H1068" s="527" t="inlineStr">
        <x:is>
          <x:t xml:space="preserve">Raymond M. Fuchs</x:t>
        </x:is>
      </x:c>
      <x:c r="I1068" s="527" t="inlineStr">
        <x:is>
          <x:t xml:space="preserve">NW/4 SE/4, S/2 SE/4, SW/4 NE/4 of 31-12N-24W (AOL)</x:t>
        </x:is>
      </x:c>
      <x:c r="J1068" s="527" t="inlineStr">
        <x:is>
          <x:t xml:space="preserve">Mineral</x:t>
        </x:is>
      </x:c>
      <x:c r="K1068" s="527" t="inlineStr">
        <x:is>
          <x:t xml:space="preserve">OKCountyRecords official index, Roger Mills County (instrument 1999-003366); searched 06/11/2026</x:t>
        </x:is>
      </x:c>
      <x:c r="L1068" s="565" t="n"/>
      <x:c r="M1068" s="565" t="n"/>
      <x:c r="N1068" s="565" t="n"/>
      <x:c r="O1068" s="565" t="n"/>
      <x:c r="P1068" s="565" t="n"/>
      <x:c r="Q1068" s="565" t="n"/>
      <x:c r="R1068" s="565" t="n"/>
      <x:c r="S1068" s="613" t="n"/>
      <x:c r="T1068" s="565" t="n"/>
      <x:c r="U1068" s="613" t="n"/>
      <x:c r="V1068" s="565" t="n"/>
      <x:c r="W1068" s="565" t="n"/>
      <x:c r="X1068" s="565" t="n"/>
      <x:c r="Y1068" s="565" t="n"/>
      <x:c r="Z1068" s="565" t="n"/>
    </x:row>
    <x:row r="1069">
      <x:c r="A1069" s="527" t="inlineStr">
        <x:is>
          <x:t xml:space="preserve">1999-003367</x:t>
        </x:is>
      </x:c>
      <x:c r="B1069" s="527" t="n"/>
      <x:c r="C1069" s="527" t="inlineStr">
        <x:is>
          <x:t xml:space="preserve">Mineral Deed</x:t>
        </x:is>
      </x:c>
      <x:c r="D1069" s="527" t="inlineStr">
        <x:is>
          <x:t xml:space="preserve">1583/0419</x:t>
        </x:is>
      </x:c>
      <x:c r="E1069" s="529" t="inlineStr">
        <x:is>
          <x:t xml:space="preserve">04/20/1999</x:t>
        </x:is>
      </x:c>
      <x:c r="F1069" s="529" t="n">
        <x:v>36270</x:v>
      </x:c>
      <x:c r="G1069" s="527" t="inlineStr">
        <x:is>
          <x:t xml:space="preserve">Eunice Evelyn Cook,
Albert E. Fuchs,
Aqulla Fuchs,
Delbert Norwood Fuchs,
Eldred Stephen Fuchs,
Jesse William Fuchs,
Ladon Gilbert Fuchs,
Ocie H. Fuchs,
Ocie Harlon Fuchs,
Olivia Leah Lemmons,
Isa May Smith</x:t>
        </x:is>
      </x:c>
      <x:c r="H1069" s="527" t="inlineStr">
        <x:is>
          <x:t xml:space="preserve">Isa May Smith</x:t>
        </x:is>
      </x:c>
      <x:c r="I1069" s="527" t="inlineStr">
        <x:is>
          <x:t xml:space="preserve">NW/4 SE/4, S/2 SE/4, SW/4 NE/4 of 31-12N-24W (AOL)</x:t>
        </x:is>
      </x:c>
      <x:c r="J1069" s="527" t="inlineStr">
        <x:is>
          <x:t xml:space="preserve">Mineral</x:t>
        </x:is>
      </x:c>
      <x:c r="K1069" s="527" t="inlineStr">
        <x:is>
          <x:t xml:space="preserve">OKCountyRecords official index, Roger Mills County (instrument 1999-003367); searched 06/11/2026</x:t>
        </x:is>
      </x:c>
      <x:c r="L1069" s="565" t="n"/>
      <x:c r="M1069" s="565" t="n"/>
      <x:c r="N1069" s="565" t="n"/>
      <x:c r="O1069" s="565" t="n"/>
      <x:c r="P1069" s="565" t="n"/>
      <x:c r="Q1069" s="565" t="n"/>
      <x:c r="R1069" s="565" t="n"/>
      <x:c r="S1069" s="613" t="n"/>
      <x:c r="T1069" s="565" t="n"/>
      <x:c r="U1069" s="613" t="n"/>
      <x:c r="V1069" s="565" t="n"/>
      <x:c r="W1069" s="565" t="n"/>
      <x:c r="X1069" s="565" t="n"/>
      <x:c r="Y1069" s="565" t="n"/>
      <x:c r="Z1069" s="565" t="n"/>
    </x:row>
    <x:row r="1070">
      <x:c r="A1070" s="527" t="inlineStr">
        <x:is>
          <x:t xml:space="preserve">1999-005522</x:t>
        </x:is>
      </x:c>
      <x:c r="B1070" s="527" t="n"/>
      <x:c r="C1070" s="527" t="inlineStr">
        <x:is>
          <x:t xml:space="preserve">Quit Claim Deed</x:t>
        </x:is>
      </x:c>
      <x:c r="D1070" s="527" t="inlineStr">
        <x:is>
          <x:t xml:space="preserve">1597/0174</x:t>
        </x:is>
      </x:c>
      <x:c r="E1070" s="529" t="inlineStr">
        <x:is>
          <x:t xml:space="preserve">11/17/1999</x:t>
        </x:is>
      </x:c>
      <x:c r="F1070" s="529" t="n">
        <x:v>36481</x:v>
      </x:c>
      <x:c r="G1070" s="527" t="inlineStr">
        <x:is>
          <x:t xml:space="preserve">Jack Mahoney</x:t>
        </x:is>
      </x:c>
      <x:c r="H1070" s="527" t="inlineStr">
        <x:is>
          <x:t xml:space="preserve">Mahoney Childrens Trust,
Mahoney Childrens Trust</x:t>
        </x:is>
      </x:c>
      <x:c r="I1070" s="527" t="inlineStr">
        <x:is>
          <x:t xml:space="preserve">All of 31-12N-24W (AOL)</x:t>
        </x:is>
      </x:c>
      <x:c r="J1070" s="527" t="inlineStr">
        <x:is>
          <x:t xml:space="preserve">Fee / as stated</x:t>
        </x:is>
      </x:c>
      <x:c r="K1070" s="527" t="inlineStr">
        <x:is>
          <x:t xml:space="preserve">OKCountyRecords official index, Roger Mills County (instrument 1999-005522); searched 06/11/2026</x:t>
        </x:is>
      </x:c>
      <x:c r="L1070" s="565" t="n"/>
      <x:c r="M1070" s="565" t="n"/>
      <x:c r="N1070" s="565" t="n"/>
      <x:c r="O1070" s="565" t="n"/>
      <x:c r="P1070" s="565" t="n"/>
      <x:c r="Q1070" s="565" t="n"/>
      <x:c r="R1070" s="565" t="n"/>
      <x:c r="S1070" s="613" t="n"/>
      <x:c r="T1070" s="565" t="n"/>
      <x:c r="U1070" s="613" t="n"/>
      <x:c r="V1070" s="565" t="n"/>
      <x:c r="W1070" s="565" t="n"/>
      <x:c r="X1070" s="565" t="n"/>
      <x:c r="Y1070" s="565" t="n"/>
      <x:c r="Z1070" s="565" t="n"/>
    </x:row>
    <x:row r="1071">
      <x:c r="A1071" s="527" t="inlineStr">
        <x:is>
          <x:t xml:space="preserve">1999-005936</x:t>
        </x:is>
      </x:c>
      <x:c r="B1071" s="527" t="n"/>
      <x:c r="C1071" s="527" t="inlineStr">
        <x:is>
          <x:t xml:space="preserve">Decree</x:t>
        </x:is>
      </x:c>
      <x:c r="D1071" s="527" t="inlineStr">
        <x:is>
          <x:t xml:space="preserve">1600/0001</x:t>
        </x:is>
      </x:c>
      <x:c r="E1071" s="529" t="inlineStr">
        <x:is>
          <x:t xml:space="preserve">12/17/1999</x:t>
        </x:is>
      </x:c>
      <x:c r="F1071" s="529" t="n">
        <x:v>36511</x:v>
      </x:c>
      <x:c r="G1071" s="527" t="inlineStr">
        <x:is>
          <x:t xml:space="preserve">Atha Letty Jane Deceased</x:t>
        </x:is>
      </x:c>
      <x:c r="H1071" s="527" t="inlineStr">
        <x:is>
          <x:t xml:space="preserve">The Public</x:t>
        </x:is>
      </x:c>
      <x:c r="I1071" s="527" t="inlineStr">
        <x:is>
          <x:t xml:space="preserve">NW/4 NW/4 of 31-12N-24W (AOL)</x:t>
        </x:is>
      </x:c>
      <x:c r="J1071" s="527" t="inlineStr">
        <x:is>
          <x:t xml:space="preserve">Fee / as stated</x:t>
        </x:is>
      </x:c>
      <x:c r="K1071" s="527" t="inlineStr">
        <x:is>
          <x:t xml:space="preserve">OKCountyRecords official index, Roger Mills County (instrument 1999-005936); searched 06/11/2026</x:t>
        </x:is>
      </x:c>
      <x:c r="L1071" s="565" t="n"/>
      <x:c r="M1071" s="565" t="n"/>
      <x:c r="N1071" s="565" t="n"/>
      <x:c r="O1071" s="565" t="n"/>
      <x:c r="P1071" s="565" t="n"/>
      <x:c r="Q1071" s="565" t="n"/>
      <x:c r="R1071" s="565" t="n"/>
      <x:c r="S1071" s="613" t="n"/>
      <x:c r="T1071" s="565" t="n"/>
      <x:c r="U1071" s="613" t="n"/>
      <x:c r="V1071" s="565" t="n"/>
      <x:c r="W1071" s="565" t="n"/>
      <x:c r="X1071" s="565" t="n"/>
      <x:c r="Y1071" s="565" t="n"/>
      <x:c r="Z1071" s="565" t="n"/>
    </x:row>
    <x:row r="1072">
      <x:c r="A1072" s="527" t="inlineStr">
        <x:is>
          <x:t xml:space="preserve">1999-006000</x:t>
        </x:is>
      </x:c>
      <x:c r="B1072" s="527" t="n"/>
      <x:c r="C1072" s="527" t="inlineStr">
        <x:is>
          <x:t xml:space="preserve">Oil and Gas Lease</x:t>
        </x:is>
      </x:c>
      <x:c r="D1072" s="527" t="inlineStr">
        <x:is>
          <x:t xml:space="preserve">1600/0208</x:t>
        </x:is>
      </x:c>
      <x:c r="E1072" s="529" t="inlineStr">
        <x:is>
          <x:t xml:space="preserve">12/22/1999</x:t>
        </x:is>
      </x:c>
      <x:c r="F1072" s="529" t="n">
        <x:v>36516</x:v>
      </x:c>
      <x:c r="G1072" s="527" t="inlineStr">
        <x:is>
          <x:t xml:space="preserve">Lola F. Richards</x:t>
        </x:is>
      </x:c>
      <x:c r="H1072" s="527" t="inlineStr">
        <x:is>
          <x:t xml:space="preserve">EOG Resources, Inc.</x:t>
        </x:is>
      </x:c>
      <x:c r="I1072" s="527" t="inlineStr">
        <x:is>
          <x:t xml:space="preserve">NW/4 SE/4, S/2 SE/4, SW/4 NE/4 of 31-12N-24W</x:t>
        </x:is>
      </x:c>
      <x:c r="J1072" s="527" t="inlineStr">
        <x:is>
          <x:t xml:space="preserve">Leasehold / WI</x:t>
        </x:is>
      </x:c>
      <x:c r="K1072" s="527" t="inlineStr">
        <x:is>
          <x:t xml:space="preserve">OKCountyRecords official index, Roger Mills County (instrument 1999-006000); searched 06/11/2026</x:t>
        </x:is>
      </x:c>
      <x:c r="L1072" s="565" t="n"/>
      <x:c r="M1072" s="565" t="n"/>
      <x:c r="N1072" s="565" t="n"/>
      <x:c r="O1072" s="565" t="n"/>
      <x:c r="P1072" s="565" t="n"/>
      <x:c r="Q1072" s="565" t="n"/>
      <x:c r="R1072" s="565" t="n"/>
      <x:c r="S1072" s="613" t="n"/>
      <x:c r="T1072" s="565" t="n"/>
      <x:c r="U1072" s="613" t="n"/>
      <x:c r="V1072" s="565" t="n"/>
      <x:c r="W1072" s="565" t="n"/>
      <x:c r="X1072" s="565" t="n"/>
      <x:c r="Y1072" s="565" t="n"/>
      <x:c r="Z1072" s="565" t="n"/>
    </x:row>
    <x:row r="1073">
      <x:c r="A1073" s="527" t="inlineStr">
        <x:is>
          <x:t xml:space="preserve">2000-006217</x:t>
        </x:is>
      </x:c>
      <x:c r="B1073" s="527" t="n"/>
      <x:c r="C1073" s="527" t="inlineStr">
        <x:is>
          <x:t xml:space="preserve">Oil and Gas Lease</x:t>
        </x:is>
      </x:c>
      <x:c r="D1073" s="527" t="inlineStr">
        <x:is>
          <x:t xml:space="preserve">1601/0276</x:t>
        </x:is>
      </x:c>
      <x:c r="E1073" s="529" t="inlineStr">
        <x:is>
          <x:t xml:space="preserve">01/07/2000</x:t>
        </x:is>
      </x:c>
      <x:c r="F1073" s="529" t="n">
        <x:v>36532</x:v>
      </x:c>
      <x:c r="G1073" s="527" t="inlineStr">
        <x:is>
          <x:t xml:space="preserve">Jesse W. Fuchs</x:t>
        </x:is>
      </x:c>
      <x:c r="H1073" s="527" t="inlineStr">
        <x:is>
          <x:t xml:space="preserve">EOG Resources, Inc.</x:t>
        </x:is>
      </x:c>
      <x:c r="I1073" s="527" t="inlineStr">
        <x:is>
          <x:t xml:space="preserve">NW/4 SE/4, S/2 SE/4, SW/4 NE/4 of 31-12N-24W</x:t>
        </x:is>
      </x:c>
      <x:c r="J1073" s="527" t="inlineStr">
        <x:is>
          <x:t xml:space="preserve">Leasehold / WI</x:t>
        </x:is>
      </x:c>
      <x:c r="K1073" s="527" t="inlineStr">
        <x:is>
          <x:t xml:space="preserve">OKCountyRecords official index, Roger Mills County (instrument 2000-006217); searched 06/11/2026</x:t>
        </x:is>
      </x:c>
      <x:c r="L1073" s="565" t="n"/>
      <x:c r="M1073" s="565" t="n"/>
      <x:c r="N1073" s="565" t="n"/>
      <x:c r="O1073" s="565" t="n"/>
      <x:c r="P1073" s="565" t="n"/>
      <x:c r="Q1073" s="565" t="n"/>
      <x:c r="R1073" s="565" t="n"/>
      <x:c r="S1073" s="613" t="n"/>
      <x:c r="T1073" s="565" t="n"/>
      <x:c r="U1073" s="613" t="n"/>
      <x:c r="V1073" s="565" t="n"/>
      <x:c r="W1073" s="565" t="n"/>
      <x:c r="X1073" s="565" t="n"/>
      <x:c r="Y1073" s="565" t="n"/>
      <x:c r="Z1073" s="565" t="n"/>
    </x:row>
    <x:row r="1074">
      <x:c r="A1074" s="527" t="inlineStr">
        <x:is>
          <x:t xml:space="preserve">2000-006360</x:t>
        </x:is>
      </x:c>
      <x:c r="B1074" s="527" t="n"/>
      <x:c r="C1074" s="527" t="inlineStr">
        <x:is>
          <x:t xml:space="preserve">Oil and Gas Lease</x:t>
        </x:is>
      </x:c>
      <x:c r="D1074" s="527" t="inlineStr">
        <x:is>
          <x:t xml:space="preserve">1602/0490</x:t>
        </x:is>
      </x:c>
      <x:c r="E1074" s="529" t="inlineStr">
        <x:is>
          <x:t xml:space="preserve">01/20/2000</x:t>
        </x:is>
      </x:c>
      <x:c r="F1074" s="529" t="n">
        <x:v>36545</x:v>
      </x:c>
      <x:c r="G1074" s="527" t="inlineStr">
        <x:is>
          <x:t xml:space="preserve">Anna R. Britton,
Joe Britton</x:t>
        </x:is>
      </x:c>
      <x:c r="H1074" s="527" t="inlineStr">
        <x:is>
          <x:t xml:space="preserve">EOG Resources, Inc.</x:t>
        </x:is>
      </x:c>
      <x:c r="I1074" s="527" t="inlineStr">
        <x:is>
          <x:t xml:space="preserve">E/2 NW/4, N/2 NE/4 NE/4, NE/4 SE/4, SE/4 NE/4 of 31-12N-24W</x:t>
        </x:is>
      </x:c>
      <x:c r="J1074" s="527" t="inlineStr">
        <x:is>
          <x:t xml:space="preserve">Leasehold / WI</x:t>
        </x:is>
      </x:c>
      <x:c r="K1074" s="527" t="inlineStr">
        <x:is>
          <x:t xml:space="preserve">OKCountyRecords official index, Roger Mills County (instrument 2000-006360); searched 06/11/2026</x:t>
        </x:is>
      </x:c>
      <x:c r="L1074" s="565" t="n"/>
      <x:c r="M1074" s="565" t="n"/>
      <x:c r="N1074" s="565" t="n"/>
      <x:c r="O1074" s="565" t="n"/>
      <x:c r="P1074" s="565" t="n"/>
      <x:c r="Q1074" s="565" t="n"/>
      <x:c r="R1074" s="565" t="n"/>
      <x:c r="S1074" s="613" t="n"/>
      <x:c r="T1074" s="565" t="n"/>
      <x:c r="U1074" s="613" t="n"/>
      <x:c r="V1074" s="565" t="n"/>
      <x:c r="W1074" s="565" t="n"/>
      <x:c r="X1074" s="565" t="n"/>
      <x:c r="Y1074" s="565" t="n"/>
      <x:c r="Z1074" s="565" t="n"/>
    </x:row>
    <x:row r="1075">
      <x:c r="A1075" s="527" t="inlineStr">
        <x:is>
          <x:t xml:space="preserve">2000-006371</x:t>
        </x:is>
      </x:c>
      <x:c r="B1075" s="527" t="n"/>
      <x:c r="C1075" s="527" t="inlineStr">
        <x:is>
          <x:t xml:space="preserve">Oil and Gas Lease</x:t>
        </x:is>
      </x:c>
      <x:c r="D1075" s="527" t="inlineStr">
        <x:is>
          <x:t xml:space="preserve">1602/0517</x:t>
        </x:is>
      </x:c>
      <x:c r="E1075" s="529" t="inlineStr">
        <x:is>
          <x:t xml:space="preserve">01/21/2000</x:t>
        </x:is>
      </x:c>
      <x:c r="F1075" s="529" t="n">
        <x:v>36546</x:v>
      </x:c>
      <x:c r="G1075" s="527" t="inlineStr">
        <x:is>
          <x:t xml:space="preserve">Isa May Smith</x:t>
        </x:is>
      </x:c>
      <x:c r="H1075" s="527" t="inlineStr">
        <x:is>
          <x:t xml:space="preserve">Richard C. Cope</x:t>
        </x:is>
      </x:c>
      <x:c r="I1075" s="527" t="inlineStr">
        <x:is>
          <x:t xml:space="preserve">SE/4 SE/4, SW/4 NE/4, W/2 SE/4 of 31-12N-24W</x:t>
        </x:is>
      </x:c>
      <x:c r="J1075" s="527" t="inlineStr">
        <x:is>
          <x:t xml:space="preserve">Leasehold / WI</x:t>
        </x:is>
      </x:c>
      <x:c r="K1075" s="527" t="inlineStr">
        <x:is>
          <x:t xml:space="preserve">OKCountyRecords official index, Roger Mills County (instrument 2000-006371); searched 06/11/2026</x:t>
        </x:is>
      </x:c>
      <x:c r="L1075" s="565" t="n"/>
      <x:c r="M1075" s="565" t="n"/>
      <x:c r="N1075" s="565" t="n"/>
      <x:c r="O1075" s="565" t="n"/>
      <x:c r="P1075" s="565" t="n"/>
      <x:c r="Q1075" s="565" t="n"/>
      <x:c r="R1075" s="565" t="n"/>
      <x:c r="S1075" s="613" t="n"/>
      <x:c r="T1075" s="565" t="n"/>
      <x:c r="U1075" s="613" t="n"/>
      <x:c r="V1075" s="565" t="n"/>
      <x:c r="W1075" s="565" t="n"/>
      <x:c r="X1075" s="565" t="n"/>
      <x:c r="Y1075" s="565" t="n"/>
      <x:c r="Z1075" s="565" t="n"/>
    </x:row>
    <x:row r="1076">
      <x:c r="A1076" s="527" t="inlineStr">
        <x:is>
          <x:t xml:space="preserve">2000-006403</x:t>
        </x:is>
      </x:c>
      <x:c r="B1076" s="527" t="n"/>
      <x:c r="C1076" s="527" t="inlineStr">
        <x:is>
          <x:t xml:space="preserve">Oil and Gas Lease</x:t>
        </x:is>
      </x:c>
      <x:c r="D1076" s="527" t="inlineStr">
        <x:is>
          <x:t xml:space="preserve">1603/0007</x:t>
        </x:is>
      </x:c>
      <x:c r="E1076" s="529" t="inlineStr">
        <x:is>
          <x:t xml:space="preserve">01/24/2000</x:t>
        </x:is>
      </x:c>
      <x:c r="F1076" s="529" t="n">
        <x:v>36549</x:v>
      </x:c>
      <x:c r="G1076" s="527" t="inlineStr">
        <x:is>
          <x:t xml:space="preserve">Raymond M. Fuchs</x:t>
        </x:is>
      </x:c>
      <x:c r="H1076" s="527" t="inlineStr">
        <x:is>
          <x:t xml:space="preserve">Richard C. Cope</x:t>
        </x:is>
      </x:c>
      <x:c r="I1076" s="527" t="inlineStr">
        <x:is>
          <x:t xml:space="preserve">SE/4 SE/4, SW/4 NE/4, W/2 SE/4 of 31-12N-24W</x:t>
        </x:is>
      </x:c>
      <x:c r="J1076" s="527" t="inlineStr">
        <x:is>
          <x:t xml:space="preserve">Leasehold / WI</x:t>
        </x:is>
      </x:c>
      <x:c r="K1076" s="527" t="inlineStr">
        <x:is>
          <x:t xml:space="preserve">OKCountyRecords official index, Roger Mills County (instrument 2000-006403); searched 06/11/2026</x:t>
        </x:is>
      </x:c>
      <x:c r="L1076" s="565" t="n"/>
      <x:c r="M1076" s="565" t="n"/>
      <x:c r="N1076" s="565" t="n"/>
      <x:c r="O1076" s="565" t="n"/>
      <x:c r="P1076" s="565" t="n"/>
      <x:c r="Q1076" s="565" t="n"/>
      <x:c r="R1076" s="565" t="n"/>
      <x:c r="S1076" s="613" t="n"/>
      <x:c r="T1076" s="565" t="n"/>
      <x:c r="U1076" s="613" t="n"/>
      <x:c r="V1076" s="565" t="n"/>
      <x:c r="W1076" s="565" t="n"/>
      <x:c r="X1076" s="565" t="n"/>
      <x:c r="Y1076" s="565" t="n"/>
      <x:c r="Z1076" s="565" t="n"/>
    </x:row>
    <x:row r="1077">
      <x:c r="A1077" s="527" t="inlineStr">
        <x:is>
          <x:t xml:space="preserve">2000-006447</x:t>
        </x:is>
      </x:c>
      <x:c r="B1077" s="527" t="n"/>
      <x:c r="C1077" s="527" t="inlineStr">
        <x:is>
          <x:t xml:space="preserve">Oil and Gas Lease</x:t>
        </x:is>
      </x:c>
      <x:c r="D1077" s="527" t="inlineStr">
        <x:is>
          <x:t xml:space="preserve">1603/0147</x:t>
        </x:is>
      </x:c>
      <x:c r="E1077" s="529" t="inlineStr">
        <x:is>
          <x:t xml:space="preserve">01/26/2000</x:t>
        </x:is>
      </x:c>
      <x:c r="F1077" s="529" t="n">
        <x:v>36551</x:v>
      </x:c>
      <x:c r="G1077" s="527" t="inlineStr">
        <x:is>
          <x:t xml:space="preserve">Glenn D. Mitchell</x:t>
        </x:is>
      </x:c>
      <x:c r="H1077" s="527" t="inlineStr">
        <x:is>
          <x:t xml:space="preserve">EOG Resources, Inc.</x:t>
        </x:is>
      </x:c>
      <x:c r="I1077" s="527" t="inlineStr">
        <x:is>
          <x:t xml:space="preserve">E/2 NW/4, N/2 NE/4 SW/4, NE/4 SE/4, SE/4 NE/4 of 31-12N-24W</x:t>
        </x:is>
      </x:c>
      <x:c r="J1077" s="527" t="inlineStr">
        <x:is>
          <x:t xml:space="preserve">Leasehold / WI</x:t>
        </x:is>
      </x:c>
      <x:c r="K1077" s="527" t="inlineStr">
        <x:is>
          <x:t xml:space="preserve">OKCountyRecords official index, Roger Mills County (instrument 2000-006447); searched 06/11/2026</x:t>
        </x:is>
      </x:c>
      <x:c r="L1077" s="565" t="n"/>
      <x:c r="M1077" s="565" t="n"/>
      <x:c r="N1077" s="565" t="n"/>
      <x:c r="O1077" s="565" t="n"/>
      <x:c r="P1077" s="565" t="n"/>
      <x:c r="Q1077" s="565" t="n"/>
      <x:c r="R1077" s="565" t="n"/>
      <x:c r="S1077" s="613" t="n"/>
      <x:c r="T1077" s="565" t="n"/>
      <x:c r="U1077" s="613" t="n"/>
      <x:c r="V1077" s="565" t="n"/>
      <x:c r="W1077" s="565" t="n"/>
      <x:c r="X1077" s="565" t="n"/>
      <x:c r="Y1077" s="565" t="n"/>
      <x:c r="Z1077" s="565" t="n"/>
    </x:row>
    <x:row r="1078">
      <x:c r="A1078" s="527" t="inlineStr">
        <x:is>
          <x:t xml:space="preserve">2000-006544</x:t>
        </x:is>
      </x:c>
      <x:c r="B1078" s="527" t="n"/>
      <x:c r="C1078" s="527" t="inlineStr">
        <x:is>
          <x:t xml:space="preserve">Oil and Gas Lease</x:t>
        </x:is>
      </x:c>
      <x:c r="D1078" s="527" t="inlineStr">
        <x:is>
          <x:t xml:space="preserve">1603/0374</x:t>
        </x:is>
      </x:c>
      <x:c r="E1078" s="529" t="inlineStr">
        <x:is>
          <x:t xml:space="preserve">02/02/2000</x:t>
        </x:is>
      </x:c>
      <x:c r="F1078" s="529" t="n">
        <x:v>36558</x:v>
      </x:c>
      <x:c r="G1078" s="527" t="inlineStr">
        <x:is>
          <x:t xml:space="preserve">Oleta Florene Wyllie</x:t>
        </x:is>
      </x:c>
      <x:c r="H1078" s="527" t="inlineStr">
        <x:is>
          <x:t xml:space="preserve">Richard C. Cope</x:t>
        </x:is>
      </x:c>
      <x:c r="I1078" s="527" t="inlineStr">
        <x:is>
          <x:t xml:space="preserve">SE/4 SW/4 of 31-12N-24W</x:t>
        </x:is>
      </x:c>
      <x:c r="J1078" s="527" t="inlineStr">
        <x:is>
          <x:t xml:space="preserve">Leasehold / WI</x:t>
        </x:is>
      </x:c>
      <x:c r="K1078" s="527" t="inlineStr">
        <x:is>
          <x:t xml:space="preserve">OKCountyRecords official index, Roger Mills County (instrument 2000-006544); searched 06/11/2026</x:t>
        </x:is>
      </x:c>
      <x:c r="L1078" s="565" t="n"/>
      <x:c r="M1078" s="565" t="n"/>
      <x:c r="N1078" s="565" t="n"/>
      <x:c r="O1078" s="565" t="n"/>
      <x:c r="P1078" s="565" t="n"/>
      <x:c r="Q1078" s="565" t="n"/>
      <x:c r="R1078" s="565" t="n"/>
      <x:c r="S1078" s="613" t="n"/>
      <x:c r="T1078" s="565" t="n"/>
      <x:c r="U1078" s="613" t="n"/>
      <x:c r="V1078" s="565" t="n"/>
      <x:c r="W1078" s="565" t="n"/>
      <x:c r="X1078" s="565" t="n"/>
      <x:c r="Y1078" s="565" t="n"/>
      <x:c r="Z1078" s="565" t="n"/>
    </x:row>
    <x:row r="1079">
      <x:c r="A1079" s="527" t="inlineStr">
        <x:is>
          <x:t xml:space="preserve">2000-006545</x:t>
        </x:is>
      </x:c>
      <x:c r="B1079" s="527" t="n"/>
      <x:c r="C1079" s="527" t="inlineStr">
        <x:is>
          <x:t xml:space="preserve">Oil and Gas Lease</x:t>
        </x:is>
      </x:c>
      <x:c r="D1079" s="527" t="inlineStr">
        <x:is>
          <x:t xml:space="preserve">1603/0376</x:t>
        </x:is>
      </x:c>
      <x:c r="E1079" s="529" t="inlineStr">
        <x:is>
          <x:t xml:space="preserve">02/02/2000</x:t>
        </x:is>
      </x:c>
      <x:c r="F1079" s="529" t="n">
        <x:v>36558</x:v>
      </x:c>
      <x:c r="G1079" s="527" t="inlineStr">
        <x:is>
          <x:t xml:space="preserve">Minion Investment Company</x:t>
        </x:is>
      </x:c>
      <x:c r="H1079" s="527" t="inlineStr">
        <x:is>
          <x:t xml:space="preserve">EOG Resources, Inc.</x:t>
        </x:is>
      </x:c>
      <x:c r="I1079" s="527" t="inlineStr">
        <x:is>
          <x:t xml:space="preserve">E/2 NW/4, N/2 NE/4 SW/4, NE/4 SE/4, SE/4 NE/4 of 31-12N-24W</x:t>
        </x:is>
      </x:c>
      <x:c r="J1079" s="527" t="inlineStr">
        <x:is>
          <x:t xml:space="preserve">Leasehold / WI</x:t>
        </x:is>
      </x:c>
      <x:c r="K1079" s="527" t="inlineStr">
        <x:is>
          <x:t xml:space="preserve">OKCountyRecords official index, Roger Mills County (instrument 2000-006545); searched 06/11/2026</x:t>
        </x:is>
      </x:c>
      <x:c r="L1079" s="565" t="n"/>
      <x:c r="M1079" s="565" t="n"/>
      <x:c r="N1079" s="565" t="n"/>
      <x:c r="O1079" s="565" t="n"/>
      <x:c r="P1079" s="565" t="n"/>
      <x:c r="Q1079" s="565" t="n"/>
      <x:c r="R1079" s="565" t="n"/>
      <x:c r="S1079" s="613" t="n"/>
      <x:c r="T1079" s="565" t="n"/>
      <x:c r="U1079" s="613" t="n"/>
      <x:c r="V1079" s="565" t="n"/>
      <x:c r="W1079" s="565" t="n"/>
      <x:c r="X1079" s="565" t="n"/>
      <x:c r="Y1079" s="565" t="n"/>
      <x:c r="Z1079" s="565" t="n"/>
    </x:row>
    <x:row r="1080">
      <x:c r="A1080" s="527" t="inlineStr">
        <x:is>
          <x:t xml:space="preserve">2000-006657</x:t>
        </x:is>
      </x:c>
      <x:c r="B1080" s="527" t="n"/>
      <x:c r="C1080" s="527" t="inlineStr">
        <x:is>
          <x:t xml:space="preserve">Oil and Gas Lease</x:t>
        </x:is>
      </x:c>
      <x:c r="D1080" s="527" t="inlineStr">
        <x:is>
          <x:t xml:space="preserve">1604/0108</x:t>
        </x:is>
      </x:c>
      <x:c r="E1080" s="529" t="inlineStr">
        <x:is>
          <x:t xml:space="preserve">02/08/2000</x:t>
        </x:is>
      </x:c>
      <x:c r="F1080" s="529" t="n">
        <x:v>36564</x:v>
      </x:c>
      <x:c r="G1080" s="527" t="inlineStr">
        <x:is>
          <x:t xml:space="preserve">Jan A. Schroff, Trustee</x:t>
        </x:is>
      </x:c>
      <x:c r="H1080" s="527" t="inlineStr">
        <x:is>
          <x:t xml:space="preserve">Richard C. Cope</x:t>
        </x:is>
      </x:c>
      <x:c r="I1080" s="527" t="inlineStr">
        <x:is>
          <x:t xml:space="preserve">SE/4 SE/4, SW/4 NE/4, W/2 SE/4 of 31-12N-24W</x:t>
        </x:is>
      </x:c>
      <x:c r="J1080" s="527" t="inlineStr">
        <x:is>
          <x:t xml:space="preserve">Leasehold / WI</x:t>
        </x:is>
      </x:c>
      <x:c r="K1080" s="527" t="inlineStr">
        <x:is>
          <x:t xml:space="preserve">OKCountyRecords official index, Roger Mills County (instrument 2000-006657); searched 06/11/2026</x:t>
        </x:is>
      </x:c>
      <x:c r="L1080" s="565" t="n"/>
      <x:c r="M1080" s="565" t="n"/>
      <x:c r="N1080" s="565" t="n"/>
      <x:c r="O1080" s="565" t="n"/>
      <x:c r="P1080" s="565" t="n"/>
      <x:c r="Q1080" s="565" t="n"/>
      <x:c r="R1080" s="565" t="n"/>
      <x:c r="S1080" s="613" t="n"/>
      <x:c r="T1080" s="565" t="n"/>
      <x:c r="U1080" s="613" t="n"/>
      <x:c r="V1080" s="565" t="n"/>
      <x:c r="W1080" s="565" t="n"/>
      <x:c r="X1080" s="565" t="n"/>
      <x:c r="Y1080" s="565" t="n"/>
      <x:c r="Z1080" s="565" t="n"/>
    </x:row>
    <x:row r="1081">
      <x:c r="A1081" s="527" t="inlineStr">
        <x:is>
          <x:t xml:space="preserve">2000-006661</x:t>
        </x:is>
      </x:c>
      <x:c r="B1081" s="527" t="n"/>
      <x:c r="C1081" s="527" t="inlineStr">
        <x:is>
          <x:t xml:space="preserve">Oil and Gas Lease</x:t>
        </x:is>
      </x:c>
      <x:c r="D1081" s="527" t="inlineStr">
        <x:is>
          <x:t xml:space="preserve">1604/0115</x:t>
        </x:is>
      </x:c>
      <x:c r="E1081" s="529" t="inlineStr">
        <x:is>
          <x:t xml:space="preserve">02/08/2000</x:t>
        </x:is>
      </x:c>
      <x:c r="F1081" s="529" t="n">
        <x:v>36564</x:v>
      </x:c>
      <x:c r="G1081" s="527" t="inlineStr">
        <x:is>
          <x:t xml:space="preserve">Jon T. Williams, Trustee,
Rogene E. Williams, Trustee</x:t>
        </x:is>
      </x:c>
      <x:c r="H1081" s="527" t="inlineStr">
        <x:is>
          <x:t xml:space="preserve">Richard C. Cope</x:t>
        </x:is>
      </x:c>
      <x:c r="I1081" s="527" t="inlineStr">
        <x:is>
          <x:t xml:space="preserve">SE/4 SE/4, SW/4 NE/4, W/2 SE/4 of 31-12N-24W</x:t>
        </x:is>
      </x:c>
      <x:c r="J1081" s="527" t="inlineStr">
        <x:is>
          <x:t xml:space="preserve">Leasehold / WI</x:t>
        </x:is>
      </x:c>
      <x:c r="K1081" s="527" t="inlineStr">
        <x:is>
          <x:t xml:space="preserve">OKCountyRecords official index, Roger Mills County (instrument 2000-006661); searched 06/11/2026</x:t>
        </x:is>
      </x:c>
      <x:c r="L1081" s="565" t="n"/>
      <x:c r="M1081" s="565" t="n"/>
      <x:c r="N1081" s="565" t="n"/>
      <x:c r="O1081" s="565" t="n"/>
      <x:c r="P1081" s="565" t="n"/>
      <x:c r="Q1081" s="565" t="n"/>
      <x:c r="R1081" s="565" t="n"/>
      <x:c r="S1081" s="613" t="n"/>
      <x:c r="T1081" s="565" t="n"/>
      <x:c r="U1081" s="613" t="n"/>
      <x:c r="V1081" s="565" t="n"/>
      <x:c r="W1081" s="565" t="n"/>
      <x:c r="X1081" s="565" t="n"/>
      <x:c r="Y1081" s="565" t="n"/>
      <x:c r="Z1081" s="565" t="n"/>
    </x:row>
    <x:row r="1082">
      <x:c r="A1082" s="527" t="inlineStr">
        <x:is>
          <x:t xml:space="preserve">2000-006662</x:t>
        </x:is>
      </x:c>
      <x:c r="B1082" s="527" t="n"/>
      <x:c r="C1082" s="527" t="inlineStr">
        <x:is>
          <x:t xml:space="preserve">Oil and Gas Lease</x:t>
        </x:is>
      </x:c>
      <x:c r="D1082" s="527" t="inlineStr">
        <x:is>
          <x:t xml:space="preserve">1604/0117</x:t>
        </x:is>
      </x:c>
      <x:c r="E1082" s="529" t="inlineStr">
        <x:is>
          <x:t xml:space="preserve">02/08/2000</x:t>
        </x:is>
      </x:c>
      <x:c r="F1082" s="529" t="n">
        <x:v>36564</x:v>
      </x:c>
      <x:c r="G1082" s="527" t="inlineStr">
        <x:is>
          <x:t xml:space="preserve">Dwight J. Williams</x:t>
        </x:is>
      </x:c>
      <x:c r="H1082" s="527" t="inlineStr">
        <x:is>
          <x:t xml:space="preserve">Richard C. Cope</x:t>
        </x:is>
      </x:c>
      <x:c r="I1082" s="527" t="inlineStr">
        <x:is>
          <x:t xml:space="preserve">SE/4 SE/4, SW/4 NE/4, W/2 SE/4 of 31-12N-24W</x:t>
        </x:is>
      </x:c>
      <x:c r="J1082" s="527" t="inlineStr">
        <x:is>
          <x:t xml:space="preserve">Leasehold / WI</x:t>
        </x:is>
      </x:c>
      <x:c r="K1082" s="527" t="inlineStr">
        <x:is>
          <x:t xml:space="preserve">OKCountyRecords official index, Roger Mills County (instrument 2000-006662); searched 06/11/2026</x:t>
        </x:is>
      </x:c>
      <x:c r="L1082" s="565" t="n"/>
      <x:c r="M1082" s="565" t="n"/>
      <x:c r="N1082" s="565" t="n"/>
      <x:c r="O1082" s="565" t="n"/>
      <x:c r="P1082" s="565" t="n"/>
      <x:c r="Q1082" s="565" t="n"/>
      <x:c r="R1082" s="565" t="n"/>
      <x:c r="S1082" s="613" t="n"/>
      <x:c r="T1082" s="565" t="n"/>
      <x:c r="U1082" s="613" t="n"/>
      <x:c r="V1082" s="565" t="n"/>
      <x:c r="W1082" s="565" t="n"/>
      <x:c r="X1082" s="565" t="n"/>
      <x:c r="Y1082" s="565" t="n"/>
      <x:c r="Z1082" s="565" t="n"/>
    </x:row>
    <x:row r="1083">
      <x:c r="A1083" s="527" t="inlineStr">
        <x:is>
          <x:t xml:space="preserve">2000-006686</x:t>
        </x:is>
      </x:c>
      <x:c r="B1083" s="527" t="n"/>
      <x:c r="C1083" s="527" t="inlineStr">
        <x:is>
          <x:t xml:space="preserve">Oil and Gas Lease</x:t>
        </x:is>
      </x:c>
      <x:c r="D1083" s="527" t="inlineStr">
        <x:is>
          <x:t xml:space="preserve">1604/0239</x:t>
        </x:is>
      </x:c>
      <x:c r="E1083" s="529" t="inlineStr">
        <x:is>
          <x:t xml:space="preserve">02/09/2000</x:t>
        </x:is>
      </x:c>
      <x:c r="F1083" s="529" t="n">
        <x:v>36565</x:v>
      </x:c>
      <x:c r="G1083" s="527" t="inlineStr">
        <x:is>
          <x:t xml:space="preserve">Eleanore Wheeler</x:t>
        </x:is>
      </x:c>
      <x:c r="H1083" s="527" t="inlineStr">
        <x:is>
          <x:t xml:space="preserve">R. Michael Lortz</x:t>
        </x:is>
      </x:c>
      <x:c r="I1083" s="527" t="inlineStr">
        <x:is>
          <x:t xml:space="preserve">NE/4 SW/4, Lots 3 of 31-12N-24W</x:t>
        </x:is>
      </x:c>
      <x:c r="J1083" s="527" t="inlineStr">
        <x:is>
          <x:t xml:space="preserve">Leasehold / WI</x:t>
        </x:is>
      </x:c>
      <x:c r="K1083" s="527" t="inlineStr">
        <x:is>
          <x:t xml:space="preserve">OKCountyRecords official index, Roger Mills County (instrument 2000-006686); searched 06/11/2026</x:t>
        </x:is>
      </x:c>
      <x:c r="L1083" s="565" t="n"/>
      <x:c r="M1083" s="565" t="n"/>
      <x:c r="N1083" s="565" t="n"/>
      <x:c r="O1083" s="565" t="n"/>
      <x:c r="P1083" s="565" t="n"/>
      <x:c r="Q1083" s="565" t="n"/>
      <x:c r="R1083" s="565" t="n"/>
      <x:c r="S1083" s="613" t="n"/>
      <x:c r="T1083" s="565" t="n"/>
      <x:c r="U1083" s="613" t="n"/>
      <x:c r="V1083" s="565" t="n"/>
      <x:c r="W1083" s="565" t="n"/>
      <x:c r="X1083" s="565" t="n"/>
      <x:c r="Y1083" s="565" t="n"/>
      <x:c r="Z1083" s="565" t="n"/>
    </x:row>
    <x:row r="1084">
      <x:c r="A1084" s="527" t="inlineStr">
        <x:is>
          <x:t xml:space="preserve">2000-006688</x:t>
        </x:is>
      </x:c>
      <x:c r="B1084" s="527" t="n"/>
      <x:c r="C1084" s="527" t="inlineStr">
        <x:is>
          <x:t xml:space="preserve">Oil and Gas Lease</x:t>
        </x:is>
      </x:c>
      <x:c r="D1084" s="527" t="inlineStr">
        <x:is>
          <x:t xml:space="preserve">1604/0243</x:t>
        </x:is>
      </x:c>
      <x:c r="E1084" s="529" t="inlineStr">
        <x:is>
          <x:t xml:space="preserve">02/09/2000</x:t>
        </x:is>
      </x:c>
      <x:c r="F1084" s="529" t="n">
        <x:v>36565</x:v>
      </x:c>
      <x:c r="G1084" s="527" t="inlineStr">
        <x:is>
          <x:t xml:space="preserve">Margaret Kirk</x:t>
        </x:is>
      </x:c>
      <x:c r="H1084" s="527" t="inlineStr">
        <x:is>
          <x:t xml:space="preserve">R. Michael Lortz</x:t>
        </x:is>
      </x:c>
      <x:c r="I1084" s="527" t="inlineStr">
        <x:is>
          <x:t xml:space="preserve">NE/4 SW/4, SE/4 SW/4, Lots 3 of 31-12N-24W</x:t>
        </x:is>
      </x:c>
      <x:c r="J1084" s="527" t="inlineStr">
        <x:is>
          <x:t xml:space="preserve">Leasehold / WI</x:t>
        </x:is>
      </x:c>
      <x:c r="K1084" s="527" t="inlineStr">
        <x:is>
          <x:t xml:space="preserve">OKCountyRecords official index, Roger Mills County (instrument 2000-006688); searched 06/11/2026</x:t>
        </x:is>
      </x:c>
      <x:c r="L1084" s="565" t="n"/>
      <x:c r="M1084" s="565" t="n"/>
      <x:c r="N1084" s="565" t="n"/>
      <x:c r="O1084" s="565" t="n"/>
      <x:c r="P1084" s="565" t="n"/>
      <x:c r="Q1084" s="565" t="n"/>
      <x:c r="R1084" s="565" t="n"/>
      <x:c r="S1084" s="613" t="n"/>
      <x:c r="T1084" s="565" t="n"/>
      <x:c r="U1084" s="613" t="n"/>
      <x:c r="V1084" s="565" t="n"/>
      <x:c r="W1084" s="565" t="n"/>
      <x:c r="X1084" s="565" t="n"/>
      <x:c r="Y1084" s="565" t="n"/>
      <x:c r="Z1084" s="565" t="n"/>
    </x:row>
    <x:row r="1085">
      <x:c r="A1085" s="527" t="inlineStr">
        <x:is>
          <x:t xml:space="preserve">2000-006692</x:t>
        </x:is>
      </x:c>
      <x:c r="B1085" s="527" t="n"/>
      <x:c r="C1085" s="527" t="inlineStr">
        <x:is>
          <x:t xml:space="preserve">Oil and Gas Lease</x:t>
        </x:is>
      </x:c>
      <x:c r="D1085" s="527" t="inlineStr">
        <x:is>
          <x:t xml:space="preserve">1604/0251</x:t>
        </x:is>
      </x:c>
      <x:c r="E1085" s="529" t="inlineStr">
        <x:is>
          <x:t xml:space="preserve">02/09/2000</x:t>
        </x:is>
      </x:c>
      <x:c r="F1085" s="529" t="n">
        <x:v>36565</x:v>
      </x:c>
      <x:c r="G1085" s="527" t="inlineStr">
        <x:is>
          <x:t xml:space="preserve">Jon N. Wilkerson</x:t>
        </x:is>
      </x:c>
      <x:c r="H1085" s="527" t="inlineStr">
        <x:is>
          <x:t xml:space="preserve">R. Michael Lortz</x:t>
        </x:is>
      </x:c>
      <x:c r="I1085" s="527" t="inlineStr">
        <x:is>
          <x:t xml:space="preserve">NE/4 SW/4, S/2 NE/4, Lots 3 of 31-12N-24W</x:t>
        </x:is>
      </x:c>
      <x:c r="J1085" s="527" t="inlineStr">
        <x:is>
          <x:t xml:space="preserve">Leasehold / WI</x:t>
        </x:is>
      </x:c>
      <x:c r="K1085" s="527" t="inlineStr">
        <x:is>
          <x:t xml:space="preserve">OKCountyRecords official index, Roger Mills County (instrument 2000-006692); searched 06/11/2026</x:t>
        </x:is>
      </x:c>
      <x:c r="L1085" s="565" t="n"/>
      <x:c r="M1085" s="565" t="n"/>
      <x:c r="N1085" s="565" t="n"/>
      <x:c r="O1085" s="565" t="n"/>
      <x:c r="P1085" s="565" t="n"/>
      <x:c r="Q1085" s="565" t="n"/>
      <x:c r="R1085" s="565" t="n"/>
      <x:c r="S1085" s="613" t="n"/>
      <x:c r="T1085" s="565" t="n"/>
      <x:c r="U1085" s="613" t="n"/>
      <x:c r="V1085" s="565" t="n"/>
      <x:c r="W1085" s="565" t="n"/>
      <x:c r="X1085" s="565" t="n"/>
      <x:c r="Y1085" s="565" t="n"/>
      <x:c r="Z1085" s="565" t="n"/>
    </x:row>
    <x:row r="1086">
      <x:c r="A1086" s="527" t="inlineStr">
        <x:is>
          <x:t xml:space="preserve">2000-006696</x:t>
        </x:is>
      </x:c>
      <x:c r="B1086" s="527" t="n"/>
      <x:c r="C1086" s="527" t="inlineStr">
        <x:is>
          <x:t xml:space="preserve">Oil and Gas Lease</x:t>
        </x:is>
      </x:c>
      <x:c r="D1086" s="527" t="inlineStr">
        <x:is>
          <x:t xml:space="preserve">1604/0259</x:t>
        </x:is>
      </x:c>
      <x:c r="E1086" s="529" t="inlineStr">
        <x:is>
          <x:t xml:space="preserve">02/09/2000</x:t>
        </x:is>
      </x:c>
      <x:c r="F1086" s="529" t="n">
        <x:v>36565</x:v>
      </x:c>
      <x:c r="G1086" s="527" t="inlineStr">
        <x:is>
          <x:t xml:space="preserve">Roger Klopfenstein</x:t>
        </x:is>
      </x:c>
      <x:c r="H1086" s="527" t="inlineStr">
        <x:is>
          <x:t xml:space="preserve">R. Michael Lortz</x:t>
        </x:is>
      </x:c>
      <x:c r="I1086" s="527" t="inlineStr">
        <x:is>
          <x:t xml:space="preserve">NE/4 SW/4, SE/4 SW/4, Lots 3 of 31-12N-24W</x:t>
        </x:is>
      </x:c>
      <x:c r="J1086" s="527" t="inlineStr">
        <x:is>
          <x:t xml:space="preserve">Leasehold / WI</x:t>
        </x:is>
      </x:c>
      <x:c r="K1086" s="527" t="inlineStr">
        <x:is>
          <x:t xml:space="preserve">OKCountyRecords official index, Roger Mills County (instrument 2000-006696); searched 06/11/2026</x:t>
        </x:is>
      </x:c>
      <x:c r="L1086" s="565" t="n"/>
      <x:c r="M1086" s="565" t="n"/>
      <x:c r="N1086" s="565" t="n"/>
      <x:c r="O1086" s="565" t="n"/>
      <x:c r="P1086" s="565" t="n"/>
      <x:c r="Q1086" s="565" t="n"/>
      <x:c r="R1086" s="565" t="n"/>
      <x:c r="S1086" s="613" t="n"/>
      <x:c r="T1086" s="565" t="n"/>
      <x:c r="U1086" s="613" t="n"/>
      <x:c r="V1086" s="565" t="n"/>
      <x:c r="W1086" s="565" t="n"/>
      <x:c r="X1086" s="565" t="n"/>
      <x:c r="Y1086" s="565" t="n"/>
      <x:c r="Z1086" s="565" t="n"/>
    </x:row>
    <x:row r="1087">
      <x:c r="A1087" s="527" t="inlineStr">
        <x:is>
          <x:t xml:space="preserve">2000-006710</x:t>
        </x:is>
      </x:c>
      <x:c r="B1087" s="527" t="n"/>
      <x:c r="C1087" s="527" t="inlineStr">
        <x:is>
          <x:t xml:space="preserve">Oil and Gas Lease</x:t>
        </x:is>
      </x:c>
      <x:c r="D1087" s="527" t="inlineStr">
        <x:is>
          <x:t xml:space="preserve">1604/0307</x:t>
        </x:is>
      </x:c>
      <x:c r="E1087" s="529" t="inlineStr">
        <x:is>
          <x:t xml:space="preserve">02/09/2000</x:t>
        </x:is>
      </x:c>
      <x:c r="F1087" s="529" t="n">
        <x:v>36565</x:v>
      </x:c>
      <x:c r="G1087" s="527" t="inlineStr">
        <x:is>
          <x:t xml:space="preserve">Melinda McCaul Mulvihill, Trustee</x:t>
        </x:is>
      </x:c>
      <x:c r="H1087" s="527" t="inlineStr">
        <x:is>
          <x:t xml:space="preserve">Richard C. Cope</x:t>
        </x:is>
      </x:c>
      <x:c r="I1087" s="527" t="inlineStr">
        <x:is>
          <x:t xml:space="preserve">SE/4 SE/4, SW/4 NE/4, W/2 SE/4 of 31-12N-24W</x:t>
        </x:is>
      </x:c>
      <x:c r="J1087" s="527" t="inlineStr">
        <x:is>
          <x:t xml:space="preserve">Leasehold / WI</x:t>
        </x:is>
      </x:c>
      <x:c r="K1087" s="527" t="inlineStr">
        <x:is>
          <x:t xml:space="preserve">OKCountyRecords official index, Roger Mills County (instrument 2000-006710); searched 06/11/2026</x:t>
        </x:is>
      </x:c>
      <x:c r="L1087" s="565" t="n"/>
      <x:c r="M1087" s="565" t="n"/>
      <x:c r="N1087" s="565" t="n"/>
      <x:c r="O1087" s="565" t="n"/>
      <x:c r="P1087" s="565" t="n"/>
      <x:c r="Q1087" s="565" t="n"/>
      <x:c r="R1087" s="565" t="n"/>
      <x:c r="S1087" s="613" t="n"/>
      <x:c r="T1087" s="565" t="n"/>
      <x:c r="U1087" s="613" t="n"/>
      <x:c r="V1087" s="565" t="n"/>
      <x:c r="W1087" s="565" t="n"/>
      <x:c r="X1087" s="565" t="n"/>
      <x:c r="Y1087" s="565" t="n"/>
      <x:c r="Z1087" s="565" t="n"/>
    </x:row>
    <x:row r="1088">
      <x:c r="A1088" s="527" t="inlineStr">
        <x:is>
          <x:t xml:space="preserve">2000-006711</x:t>
        </x:is>
      </x:c>
      <x:c r="B1088" s="527" t="n"/>
      <x:c r="C1088" s="527" t="inlineStr">
        <x:is>
          <x:t xml:space="preserve">Oil and Gas Lease</x:t>
        </x:is>
      </x:c>
      <x:c r="D1088" s="527" t="inlineStr">
        <x:is>
          <x:t xml:space="preserve">1604/0309</x:t>
        </x:is>
      </x:c>
      <x:c r="E1088" s="529" t="inlineStr">
        <x:is>
          <x:t xml:space="preserve">02/09/2000</x:t>
        </x:is>
      </x:c>
      <x:c r="F1088" s="529" t="n">
        <x:v>36565</x:v>
      </x:c>
      <x:c r="G1088" s="527" t="inlineStr">
        <x:is>
          <x:t xml:space="preserve">Mark J. Fuchs</x:t>
        </x:is>
      </x:c>
      <x:c r="H1088" s="527" t="inlineStr">
        <x:is>
          <x:t xml:space="preserve">Richard C. Cope</x:t>
        </x:is>
      </x:c>
      <x:c r="I1088" s="527" t="inlineStr">
        <x:is>
          <x:t xml:space="preserve">SE/4 SE/4, SW/4 NE/4, W/2 SE/4 of 31-12N-24W</x:t>
        </x:is>
      </x:c>
      <x:c r="J1088" s="527" t="inlineStr">
        <x:is>
          <x:t xml:space="preserve">Leasehold / WI</x:t>
        </x:is>
      </x:c>
      <x:c r="K1088" s="527" t="inlineStr">
        <x:is>
          <x:t xml:space="preserve">OKCountyRecords official index, Roger Mills County (instrument 2000-006711); searched 06/11/2026</x:t>
        </x:is>
      </x:c>
      <x:c r="L1088" s="565" t="n"/>
      <x:c r="M1088" s="565" t="n"/>
      <x:c r="N1088" s="565" t="n"/>
      <x:c r="O1088" s="565" t="n"/>
      <x:c r="P1088" s="565" t="n"/>
      <x:c r="Q1088" s="565" t="n"/>
      <x:c r="R1088" s="565" t="n"/>
      <x:c r="S1088" s="613" t="n"/>
      <x:c r="T1088" s="565" t="n"/>
      <x:c r="U1088" s="613" t="n"/>
      <x:c r="V1088" s="565" t="n"/>
      <x:c r="W1088" s="565" t="n"/>
      <x:c r="X1088" s="565" t="n"/>
      <x:c r="Y1088" s="565" t="n"/>
      <x:c r="Z1088" s="565" t="n"/>
    </x:row>
    <x:row r="1089">
      <x:c r="A1089" s="527" t="inlineStr">
        <x:is>
          <x:t xml:space="preserve">2000-006712</x:t>
        </x:is>
      </x:c>
      <x:c r="B1089" s="527" t="n"/>
      <x:c r="C1089" s="527" t="inlineStr">
        <x:is>
          <x:t xml:space="preserve">Oil and Gas Lease</x:t>
        </x:is>
      </x:c>
      <x:c r="D1089" s="527" t="inlineStr">
        <x:is>
          <x:t xml:space="preserve">1604/0311</x:t>
        </x:is>
      </x:c>
      <x:c r="E1089" s="529" t="inlineStr">
        <x:is>
          <x:t xml:space="preserve">02/09/2000</x:t>
        </x:is>
      </x:c>
      <x:c r="F1089" s="529" t="n">
        <x:v>36565</x:v>
      </x:c>
      <x:c r="G1089" s="527" t="inlineStr">
        <x:is>
          <x:t xml:space="preserve">Stephen M. Criser, Trustee</x:t>
        </x:is>
      </x:c>
      <x:c r="H1089" s="527" t="inlineStr">
        <x:is>
          <x:t xml:space="preserve">Richard C. Cope</x:t>
        </x:is>
      </x:c>
      <x:c r="I1089" s="527" t="inlineStr">
        <x:is>
          <x:t xml:space="preserve">SE/4 SE/4, SW/4 NE/4, W/2 SE/4 of 31-12N-24W</x:t>
        </x:is>
      </x:c>
      <x:c r="J1089" s="527" t="inlineStr">
        <x:is>
          <x:t xml:space="preserve">Leasehold / WI</x:t>
        </x:is>
      </x:c>
      <x:c r="K1089" s="527" t="inlineStr">
        <x:is>
          <x:t xml:space="preserve">OKCountyRecords official index, Roger Mills County (instrument 2000-006712); searched 06/11/2026</x:t>
        </x:is>
      </x:c>
      <x:c r="L1089" s="565" t="n"/>
      <x:c r="M1089" s="565" t="n"/>
      <x:c r="N1089" s="565" t="n"/>
      <x:c r="O1089" s="565" t="n"/>
      <x:c r="P1089" s="565" t="n"/>
      <x:c r="Q1089" s="565" t="n"/>
      <x:c r="R1089" s="565" t="n"/>
      <x:c r="S1089" s="613" t="n"/>
      <x:c r="T1089" s="565" t="n"/>
      <x:c r="U1089" s="613" t="n"/>
      <x:c r="V1089" s="565" t="n"/>
      <x:c r="W1089" s="565" t="n"/>
      <x:c r="X1089" s="565" t="n"/>
      <x:c r="Y1089" s="565" t="n"/>
      <x:c r="Z1089" s="565" t="n"/>
    </x:row>
    <x:row r="1090">
      <x:c r="A1090" s="527" t="inlineStr">
        <x:is>
          <x:t xml:space="preserve">2000-006716</x:t>
        </x:is>
      </x:c>
      <x:c r="B1090" s="527" t="n">
        <x:v>11</x:v>
      </x:c>
      <x:c r="C1090" s="527" t="inlineStr">
        <x:is>
          <x:t xml:space="preserve">Oil and Gas Lease</x:t>
        </x:is>
      </x:c>
      <x:c r="D1090" s="527" t="inlineStr">
        <x:is>
          <x:t xml:space="preserve">1604/0322</x:t>
        </x:is>
      </x:c>
      <x:c r="E1090" s="529" t="inlineStr">
        <x:is>
          <x:t xml:space="preserve">02/10/2000</x:t>
        </x:is>
      </x:c>
      <x:c r="F1090" s="529" t="n">
        <x:v>36566</x:v>
      </x:c>
      <x:c r="G1090" s="527" t="inlineStr">
        <x:is>
          <x:t xml:space="preserve">Sandra Lorrain York</x:t>
        </x:is>
      </x:c>
      <x:c r="H1090" s="527" t="inlineStr">
        <x:is>
          <x:t xml:space="preserve">EOG Resources, Inc.</x:t>
        </x:is>
      </x:c>
      <x:c r="I1090" s="527" t="inlineStr">
        <x:is>
          <x:t xml:space="preserve">All of 31-12N-24W</x:t>
        </x:is>
      </x:c>
      <x:c r="J1090" s="527" t="inlineStr">
        <x:is>
          <x:t xml:space="preserve">Leasehold / WI</x:t>
        </x:is>
      </x:c>
      <x:c r="K1090" s="527" t="inlineStr">
        <x:is>
          <x:t xml:space="preserve">OKCountyRecords official index, Roger Mills County (instrument 2000-006716); searched 06/11/2026</x:t>
        </x:is>
      </x:c>
      <x:c r="L1090" s="565" t="n"/>
      <x:c r="M1090" s="565" t="n"/>
      <x:c r="N1090" s="565" t="n"/>
      <x:c r="O1090" s="565" t="n"/>
      <x:c r="P1090" s="565" t="n"/>
      <x:c r="Q1090" s="565" t="n"/>
      <x:c r="R1090" s="565" t="n"/>
      <x:c r="S1090" s="613" t="n"/>
      <x:c r="T1090" s="565" t="n"/>
      <x:c r="U1090" s="613" t="n"/>
      <x:c r="V1090" s="565" t="n"/>
      <x:c r="W1090" s="565" t="n"/>
      <x:c r="X1090" s="565" t="n"/>
      <x:c r="Y1090" s="565" t="n"/>
      <x:c r="Z1090" s="565" t="n"/>
    </x:row>
    <x:row r="1091">
      <x:c r="A1091" s="527" t="inlineStr">
        <x:is>
          <x:t xml:space="preserve">2000-006763</x:t>
        </x:is>
      </x:c>
      <x:c r="B1091" s="527" t="n"/>
      <x:c r="C1091" s="527" t="inlineStr">
        <x:is>
          <x:t xml:space="preserve">Oil and Gas Lease</x:t>
        </x:is>
      </x:c>
      <x:c r="D1091" s="527" t="inlineStr">
        <x:is>
          <x:t xml:space="preserve">1604/0453</x:t>
        </x:is>
      </x:c>
      <x:c r="E1091" s="529" t="inlineStr">
        <x:is>
          <x:t xml:space="preserve">02/16/2000</x:t>
        </x:is>
      </x:c>
      <x:c r="F1091" s="529" t="n">
        <x:v>36572</x:v>
      </x:c>
      <x:c r="G1091" s="527" t="inlineStr">
        <x:is>
          <x:t xml:space="preserve">Nanalee Faye Barnett</x:t>
        </x:is>
      </x:c>
      <x:c r="H1091" s="527" t="inlineStr">
        <x:is>
          <x:t xml:space="preserve">Richard C. Cope</x:t>
        </x:is>
      </x:c>
      <x:c r="I1091" s="527" t="inlineStr">
        <x:is>
          <x:t xml:space="preserve">E/2 NW/4, N/2 NE/4 SW/4, NE/4 SE/4, SE/4 NE/4 of 31-12N-24W</x:t>
        </x:is>
      </x:c>
      <x:c r="J1091" s="527" t="inlineStr">
        <x:is>
          <x:t xml:space="preserve">Leasehold / WI</x:t>
        </x:is>
      </x:c>
      <x:c r="K1091" s="527" t="inlineStr">
        <x:is>
          <x:t xml:space="preserve">OKCountyRecords official index, Roger Mills County (instrument 2000-006763); searched 06/11/2026</x:t>
        </x:is>
      </x:c>
      <x:c r="L1091" s="565" t="n"/>
      <x:c r="M1091" s="565" t="n"/>
      <x:c r="N1091" s="565" t="n"/>
      <x:c r="O1091" s="565" t="n"/>
      <x:c r="P1091" s="565" t="n"/>
      <x:c r="Q1091" s="565" t="n"/>
      <x:c r="R1091" s="565" t="n"/>
      <x:c r="S1091" s="613" t="n"/>
      <x:c r="T1091" s="565" t="n"/>
      <x:c r="U1091" s="613" t="n"/>
      <x:c r="V1091" s="565" t="n"/>
      <x:c r="W1091" s="565" t="n"/>
      <x:c r="X1091" s="565" t="n"/>
      <x:c r="Y1091" s="565" t="n"/>
      <x:c r="Z1091" s="565" t="n"/>
    </x:row>
    <x:row r="1092">
      <x:c r="A1092" s="527" t="inlineStr">
        <x:is>
          <x:t xml:space="preserve">2000-006764</x:t>
        </x:is>
      </x:c>
      <x:c r="B1092" s="527" t="n"/>
      <x:c r="C1092" s="527" t="inlineStr">
        <x:is>
          <x:t xml:space="preserve">Proof Of Death</x:t>
        </x:is>
      </x:c>
      <x:c r="D1092" s="527" t="inlineStr">
        <x:is>
          <x:t xml:space="preserve">1604/0455</x:t>
        </x:is>
      </x:c>
      <x:c r="E1092" s="529" t="inlineStr">
        <x:is>
          <x:t xml:space="preserve">02/16/2000</x:t>
        </x:is>
      </x:c>
      <x:c r="F1092" s="529" t="n">
        <x:v>36572</x:v>
      </x:c>
      <x:c r="G1092" s="527" t="inlineStr">
        <x:is>
          <x:t xml:space="preserve">.,
Nanalee Faye Barnett</x:t>
        </x:is>
      </x:c>
      <x:c r="H1092" s="527" t="inlineStr">
        <x:is>
          <x:t xml:space="preserve">J.e. Barnett</x:t>
        </x:is>
      </x:c>
      <x:c r="I1092" s="527" t="inlineStr">
        <x:is>
          <x:t xml:space="preserve">E/2 NW/4, N/2 NE/4 SW/4, NE/4 SE/4, SE/4 NE/4 of 31-12N-24W</x:t>
        </x:is>
      </x:c>
      <x:c r="J1092" s="527" t="inlineStr">
        <x:is>
          <x:t xml:space="preserve">Fee / as stated</x:t>
        </x:is>
      </x:c>
      <x:c r="K1092" s="527" t="inlineStr">
        <x:is>
          <x:t xml:space="preserve">OKCountyRecords official index, Roger Mills County (instrument 2000-006764); searched 06/11/2026</x:t>
        </x:is>
      </x:c>
      <x:c r="L1092" s="565" t="n"/>
      <x:c r="M1092" s="565" t="n"/>
      <x:c r="N1092" s="565" t="n"/>
      <x:c r="O1092" s="565" t="n"/>
      <x:c r="P1092" s="565" t="n"/>
      <x:c r="Q1092" s="565" t="n"/>
      <x:c r="R1092" s="565" t="n"/>
      <x:c r="S1092" s="613" t="n"/>
      <x:c r="T1092" s="565" t="n"/>
      <x:c r="U1092" s="613" t="n"/>
      <x:c r="V1092" s="565" t="n"/>
      <x:c r="W1092" s="565" t="n"/>
      <x:c r="X1092" s="565" t="n"/>
      <x:c r="Y1092" s="565" t="n"/>
      <x:c r="Z1092" s="565" t="n"/>
    </x:row>
    <x:row r="1093">
      <x:c r="A1093" s="527" t="inlineStr">
        <x:is>
          <x:t xml:space="preserve">2000-006917</x:t>
        </x:is>
      </x:c>
      <x:c r="B1093" s="527" t="n"/>
      <x:c r="C1093" s="527" t="inlineStr">
        <x:is>
          <x:t xml:space="preserve">Oil and Gas Lease</x:t>
        </x:is>
      </x:c>
      <x:c r="D1093" s="527" t="inlineStr">
        <x:is>
          <x:t xml:space="preserve">1606/0416</x:t>
        </x:is>
      </x:c>
      <x:c r="E1093" s="529" t="inlineStr">
        <x:is>
          <x:t xml:space="preserve">03/01/2000</x:t>
        </x:is>
      </x:c>
      <x:c r="F1093" s="529" t="n">
        <x:v>36586</x:v>
      </x:c>
      <x:c r="G1093" s="527" t="inlineStr">
        <x:is>
          <x:t xml:space="preserve">Charles D. Ray</x:t>
        </x:is>
      </x:c>
      <x:c r="H1093" s="527" t="inlineStr">
        <x:is>
          <x:t xml:space="preserve">Richard C. Cope</x:t>
        </x:is>
      </x:c>
      <x:c r="I1093" s="527" t="inlineStr">
        <x:is>
          <x:t xml:space="preserve">E/2 NW/4, NE/4 SE/4, SE/4 NE/4 of 31-12N-24W</x:t>
        </x:is>
      </x:c>
      <x:c r="J1093" s="527" t="inlineStr">
        <x:is>
          <x:t xml:space="preserve">Leasehold / WI</x:t>
        </x:is>
      </x:c>
      <x:c r="K1093" s="527" t="inlineStr">
        <x:is>
          <x:t xml:space="preserve">OKCountyRecords official index, Roger Mills County (instrument 2000-006917); searched 06/11/2026</x:t>
        </x:is>
      </x:c>
      <x:c r="L1093" s="565" t="n"/>
      <x:c r="M1093" s="565" t="n"/>
      <x:c r="N1093" s="565" t="n"/>
      <x:c r="O1093" s="565" t="n"/>
      <x:c r="P1093" s="565" t="n"/>
      <x:c r="Q1093" s="565" t="n"/>
      <x:c r="R1093" s="565" t="n"/>
      <x:c r="S1093" s="613" t="n"/>
      <x:c r="T1093" s="565" t="n"/>
      <x:c r="U1093" s="613" t="n"/>
      <x:c r="V1093" s="565" t="n"/>
      <x:c r="W1093" s="565" t="n"/>
      <x:c r="X1093" s="565" t="n"/>
      <x:c r="Y1093" s="565" t="n"/>
      <x:c r="Z1093" s="565" t="n"/>
    </x:row>
    <x:row r="1094">
      <x:c r="A1094" s="527" t="inlineStr">
        <x:is>
          <x:t xml:space="preserve">2000-006918</x:t>
        </x:is>
      </x:c>
      <x:c r="B1094" s="527" t="n"/>
      <x:c r="C1094" s="527" t="inlineStr">
        <x:is>
          <x:t xml:space="preserve">Oil and Gas Lease</x:t>
        </x:is>
      </x:c>
      <x:c r="D1094" s="527" t="inlineStr">
        <x:is>
          <x:t xml:space="preserve">1606/0418</x:t>
        </x:is>
      </x:c>
      <x:c r="E1094" s="529" t="inlineStr">
        <x:is>
          <x:t xml:space="preserve">03/01/2000</x:t>
        </x:is>
      </x:c>
      <x:c r="F1094" s="529" t="n">
        <x:v>36586</x:v>
      </x:c>
      <x:c r="G1094" s="527" t="inlineStr">
        <x:is>
          <x:t xml:space="preserve">Clyde A. Pine</x:t>
        </x:is>
      </x:c>
      <x:c r="H1094" s="527" t="inlineStr">
        <x:is>
          <x:t xml:space="preserve">Richard C. Cope</x:t>
        </x:is>
      </x:c>
      <x:c r="I1094" s="527" t="inlineStr">
        <x:is>
          <x:t xml:space="preserve">E/2 NW/4, NE/4 NE/4, NE/4 SE/4 of 31-12N-24W</x:t>
        </x:is>
      </x:c>
      <x:c r="J1094" s="527" t="inlineStr">
        <x:is>
          <x:t xml:space="preserve">Leasehold / WI</x:t>
        </x:is>
      </x:c>
      <x:c r="K1094" s="527" t="inlineStr">
        <x:is>
          <x:t xml:space="preserve">OKCountyRecords official index, Roger Mills County (instrument 2000-006918); searched 06/11/2026</x:t>
        </x:is>
      </x:c>
      <x:c r="L1094" s="565" t="n"/>
      <x:c r="M1094" s="565" t="n"/>
      <x:c r="N1094" s="565" t="n"/>
      <x:c r="O1094" s="565" t="n"/>
      <x:c r="P1094" s="565" t="n"/>
      <x:c r="Q1094" s="565" t="n"/>
      <x:c r="R1094" s="565" t="n"/>
      <x:c r="S1094" s="613" t="n"/>
      <x:c r="T1094" s="565" t="n"/>
      <x:c r="U1094" s="613" t="n"/>
      <x:c r="V1094" s="565" t="n"/>
      <x:c r="W1094" s="565" t="n"/>
      <x:c r="X1094" s="565" t="n"/>
      <x:c r="Y1094" s="565" t="n"/>
      <x:c r="Z1094" s="565" t="n"/>
    </x:row>
    <x:row r="1095">
      <x:c r="A1095" s="527" t="inlineStr">
        <x:is>
          <x:t xml:space="preserve">2000-006984</x:t>
        </x:is>
      </x:c>
      <x:c r="B1095" s="527" t="n"/>
      <x:c r="C1095" s="527" t="inlineStr">
        <x:is>
          <x:t xml:space="preserve">Oil and Gas Lease</x:t>
        </x:is>
      </x:c>
      <x:c r="D1095" s="527" t="inlineStr">
        <x:is>
          <x:t xml:space="preserve">1607/0323</x:t>
        </x:is>
      </x:c>
      <x:c r="E1095" s="529" t="inlineStr">
        <x:is>
          <x:t xml:space="preserve">03/08/2000</x:t>
        </x:is>
      </x:c>
      <x:c r="F1095" s="529" t="n">
        <x:v>36593</x:v>
      </x:c>
      <x:c r="G1095" s="527" t="inlineStr">
        <x:is>
          <x:t xml:space="preserve">Charles Allen Atha</x:t>
        </x:is>
      </x:c>
      <x:c r="H1095" s="527" t="inlineStr">
        <x:is>
          <x:t xml:space="preserve">EOG Resources, Inc.</x:t>
        </x:is>
      </x:c>
      <x:c r="I1095" s="527" t="inlineStr">
        <x:is>
          <x:t xml:space="preserve">N/2, Lots 1, 3 of 31-12N-24W</x:t>
        </x:is>
      </x:c>
      <x:c r="J1095" s="527" t="inlineStr">
        <x:is>
          <x:t xml:space="preserve">Leasehold / WI</x:t>
        </x:is>
      </x:c>
      <x:c r="K1095" s="527" t="inlineStr">
        <x:is>
          <x:t xml:space="preserve">OKCountyRecords official index, Roger Mills County (instrument 2000-006984); searched 06/11/2026</x:t>
        </x:is>
      </x:c>
      <x:c r="L1095" s="565" t="n"/>
      <x:c r="M1095" s="565" t="n"/>
      <x:c r="N1095" s="565" t="n"/>
      <x:c r="O1095" s="565" t="n"/>
      <x:c r="P1095" s="565" t="n"/>
      <x:c r="Q1095" s="565" t="n"/>
      <x:c r="R1095" s="565" t="n"/>
      <x:c r="S1095" s="613" t="n"/>
      <x:c r="T1095" s="565" t="n"/>
      <x:c r="U1095" s="613" t="n"/>
      <x:c r="V1095" s="565" t="n"/>
      <x:c r="W1095" s="565" t="n"/>
      <x:c r="X1095" s="565" t="n"/>
      <x:c r="Y1095" s="565" t="n"/>
      <x:c r="Z1095" s="565" t="n"/>
    </x:row>
    <x:row r="1096">
      <x:c r="A1096" s="527" t="inlineStr">
        <x:is>
          <x:t xml:space="preserve">2000-006985</x:t>
        </x:is>
      </x:c>
      <x:c r="B1096" s="527" t="n"/>
      <x:c r="C1096" s="527" t="inlineStr">
        <x:is>
          <x:t xml:space="preserve">Oil and Gas Lease</x:t>
        </x:is>
      </x:c>
      <x:c r="D1096" s="527" t="inlineStr">
        <x:is>
          <x:t xml:space="preserve">1607/0325</x:t>
        </x:is>
      </x:c>
      <x:c r="E1096" s="529" t="inlineStr">
        <x:is>
          <x:t xml:space="preserve">03/08/2000</x:t>
        </x:is>
      </x:c>
      <x:c r="F1096" s="529" t="n">
        <x:v>36593</x:v>
      </x:c>
      <x:c r="G1096" s="527" t="inlineStr">
        <x:is>
          <x:t xml:space="preserve">Nancy Mitchell Williams</x:t>
        </x:is>
      </x:c>
      <x:c r="H1096" s="527" t="inlineStr">
        <x:is>
          <x:t xml:space="preserve">EOG Resources, Inc.</x:t>
        </x:is>
      </x:c>
      <x:c r="I1096" s="527" t="inlineStr">
        <x:is>
          <x:t xml:space="preserve">E/2 NW/4, E/2 SW/4, N/2 NE/4, NE/4 NE/4, S/2, SE/4 NE/4, Lots 3, 4 of 31-12N-24W</x:t>
        </x:is>
      </x:c>
      <x:c r="J1096" s="527" t="inlineStr">
        <x:is>
          <x:t xml:space="preserve">Leasehold / WI</x:t>
        </x:is>
      </x:c>
      <x:c r="K1096" s="527" t="inlineStr">
        <x:is>
          <x:t xml:space="preserve">OKCountyRecords official index, Roger Mills County (instrument 2000-006985); searched 06/11/2026</x:t>
        </x:is>
      </x:c>
      <x:c r="L1096" s="565" t="n"/>
      <x:c r="M1096" s="565" t="n"/>
      <x:c r="N1096" s="565" t="n"/>
      <x:c r="O1096" s="565" t="n"/>
      <x:c r="P1096" s="565" t="n"/>
      <x:c r="Q1096" s="565" t="n"/>
      <x:c r="R1096" s="565" t="n"/>
      <x:c r="S1096" s="613" t="n"/>
      <x:c r="T1096" s="565" t="n"/>
      <x:c r="U1096" s="613" t="n"/>
      <x:c r="V1096" s="565" t="n"/>
      <x:c r="W1096" s="565" t="n"/>
      <x:c r="X1096" s="565" t="n"/>
      <x:c r="Y1096" s="565" t="n"/>
      <x:c r="Z1096" s="565" t="n"/>
    </x:row>
    <x:row r="1097">
      <x:c r="A1097" s="527" t="inlineStr">
        <x:is>
          <x:t xml:space="preserve">2000-006986</x:t>
        </x:is>
      </x:c>
      <x:c r="B1097" s="527" t="n"/>
      <x:c r="C1097" s="527" t="inlineStr">
        <x:is>
          <x:t xml:space="preserve">Oil and Gas Lease</x:t>
        </x:is>
      </x:c>
      <x:c r="D1097" s="527" t="inlineStr">
        <x:is>
          <x:t xml:space="preserve">1607/0327</x:t>
        </x:is>
      </x:c>
      <x:c r="E1097" s="529" t="inlineStr">
        <x:is>
          <x:t xml:space="preserve">03/08/2000</x:t>
        </x:is>
      </x:c>
      <x:c r="F1097" s="529" t="n">
        <x:v>36593</x:v>
      </x:c>
      <x:c r="G1097" s="527" t="inlineStr">
        <x:is>
          <x:t xml:space="preserve">Louisa McLerron</x:t>
        </x:is>
      </x:c>
      <x:c r="H1097" s="527" t="inlineStr">
        <x:is>
          <x:t xml:space="preserve">EOG Resources, Inc.</x:t>
        </x:is>
      </x:c>
      <x:c r="I1097" s="527" t="inlineStr">
        <x:is>
          <x:t xml:space="preserve">E/2 NW/4, N/2 NE/4 SW/4, NE/4 SE/4, SE/4 NE/4 of 31-12N-24W</x:t>
        </x:is>
      </x:c>
      <x:c r="J1097" s="527" t="inlineStr">
        <x:is>
          <x:t xml:space="preserve">Leasehold / WI</x:t>
        </x:is>
      </x:c>
      <x:c r="K1097" s="527" t="inlineStr">
        <x:is>
          <x:t xml:space="preserve">OKCountyRecords official index, Roger Mills County (instrument 2000-006986); searched 06/11/2026</x:t>
        </x:is>
      </x:c>
      <x:c r="L1097" s="565" t="n"/>
      <x:c r="M1097" s="565" t="n"/>
      <x:c r="N1097" s="565" t="n"/>
      <x:c r="O1097" s="565" t="n"/>
      <x:c r="P1097" s="565" t="n"/>
      <x:c r="Q1097" s="565" t="n"/>
      <x:c r="R1097" s="565" t="n"/>
      <x:c r="S1097" s="613" t="n"/>
      <x:c r="T1097" s="565" t="n"/>
      <x:c r="U1097" s="613" t="n"/>
      <x:c r="V1097" s="565" t="n"/>
      <x:c r="W1097" s="565" t="n"/>
      <x:c r="X1097" s="565" t="n"/>
      <x:c r="Y1097" s="565" t="n"/>
      <x:c r="Z1097" s="565" t="n"/>
    </x:row>
    <x:row r="1098">
      <x:c r="A1098" s="527" t="inlineStr">
        <x:is>
          <x:t xml:space="preserve">1994-007065</x:t>
        </x:is>
      </x:c>
      <x:c r="B1098" s="527" t="n">
        <x:v>69</x:v>
      </x:c>
      <x:c r="C1098" s="527" t="inlineStr">
        <x:is>
          <x:t xml:space="preserve">Assignment</x:t>
        </x:is>
      </x:c>
      <x:c r="D1098" s="527" t="inlineStr">
        <x:is>
          <x:t xml:space="preserve">1608/0038</x:t>
        </x:is>
      </x:c>
      <x:c r="E1098" s="529" t="inlineStr">
        <x:is>
          <x:t xml:space="preserve">03/15/2000</x:t>
        </x:is>
      </x:c>
      <x:c r="F1098" s="529" t="n">
        <x:v>36600</x:v>
      </x:c>
      <x:c r="G1098" s="527" t="inlineStr">
        <x:is>
          <x:t xml:space="preserve">R. Michael Lortz</x:t>
        </x:is>
      </x:c>
      <x:c r="H1098" s="527" t="inlineStr">
        <x:is>
          <x:t xml:space="preserve">Lariat Petroleum, Inc.</x:t>
        </x:is>
      </x:c>
      <x:c r="I1098" s="527" t="inlineStr">
        <x:is>
          <x:t xml:space="preserve">All of 31-12N-24W</x:t>
        </x:is>
      </x:c>
      <x:c r="J1098" s="527" t="inlineStr">
        <x:is>
          <x:t xml:space="preserve">Leasehold / WI</x:t>
        </x:is>
      </x:c>
      <x:c r="K1098" s="527" t="inlineStr">
        <x:is>
          <x:t xml:space="preserve">OKCountyRecords official index, Roger Mills County (instrument 1994-007065); searched 06/11/2026</x:t>
        </x:is>
      </x:c>
      <x:c r="L1098" s="565" t="n"/>
      <x:c r="M1098" s="565" t="n"/>
      <x:c r="N1098" s="565" t="n"/>
      <x:c r="O1098" s="565" t="n"/>
      <x:c r="P1098" s="565" t="n"/>
      <x:c r="Q1098" s="565" t="n"/>
      <x:c r="R1098" s="565" t="n"/>
      <x:c r="S1098" s="613" t="n"/>
      <x:c r="T1098" s="565" t="n"/>
      <x:c r="U1098" s="613" t="n"/>
      <x:c r="V1098" s="565" t="n"/>
      <x:c r="W1098" s="565" t="n"/>
      <x:c r="X1098" s="565" t="n"/>
      <x:c r="Y1098" s="565" t="n"/>
      <x:c r="Z1098" s="565" t="n"/>
    </x:row>
    <x:row r="1099">
      <x:c r="A1099" s="527" t="inlineStr">
        <x:is>
          <x:t xml:space="preserve">1994-007204</x:t>
        </x:is>
      </x:c>
      <x:c r="B1099" s="527" t="n"/>
      <x:c r="C1099" s="527" t="inlineStr">
        <x:is>
          <x:t xml:space="preserve">Oil and Gas Lease</x:t>
        </x:is>
      </x:c>
      <x:c r="D1099" s="527" t="inlineStr">
        <x:is>
          <x:t xml:space="preserve">1608/0452</x:t>
        </x:is>
      </x:c>
      <x:c r="E1099" s="529" t="inlineStr">
        <x:is>
          <x:t xml:space="preserve">03/27/2000</x:t>
        </x:is>
      </x:c>
      <x:c r="F1099" s="529" t="n">
        <x:v>36612</x:v>
      </x:c>
      <x:c r="G1099" s="527" t="inlineStr">
        <x:is>
          <x:t xml:space="preserve">Melinda Barbie</x:t>
        </x:is>
      </x:c>
      <x:c r="H1099" s="527" t="inlineStr">
        <x:is>
          <x:t xml:space="preserve">R. Michael Lortz</x:t>
        </x:is>
      </x:c>
      <x:c r="I1099" s="527" t="inlineStr">
        <x:is>
          <x:t xml:space="preserve">S/2, S/2 NE/4 SW/4, SE/4 SW/4, Lots 3, 4 of 31-12N-24W</x:t>
        </x:is>
      </x:c>
      <x:c r="J1099" s="527" t="inlineStr">
        <x:is>
          <x:t xml:space="preserve">Leasehold / WI</x:t>
        </x:is>
      </x:c>
      <x:c r="K1099" s="527" t="inlineStr">
        <x:is>
          <x:t xml:space="preserve">OKCountyRecords official index, Roger Mills County (instrument 1994-007204); searched 06/11/2026</x:t>
        </x:is>
      </x:c>
      <x:c r="L1099" s="565" t="n"/>
      <x:c r="M1099" s="565" t="n"/>
      <x:c r="N1099" s="565" t="n"/>
      <x:c r="O1099" s="565" t="n"/>
      <x:c r="P1099" s="565" t="n"/>
      <x:c r="Q1099" s="565" t="n"/>
      <x:c r="R1099" s="565" t="n"/>
      <x:c r="S1099" s="613" t="n"/>
      <x:c r="T1099" s="565" t="n"/>
      <x:c r="U1099" s="613" t="n"/>
      <x:c r="V1099" s="565" t="n"/>
      <x:c r="W1099" s="565" t="n"/>
      <x:c r="X1099" s="565" t="n"/>
      <x:c r="Y1099" s="565" t="n"/>
      <x:c r="Z1099" s="565" t="n"/>
    </x:row>
    <x:row r="1100">
      <x:c r="A1100" s="527" t="inlineStr">
        <x:is>
          <x:t xml:space="preserve">1994-007244</x:t>
        </x:is>
      </x:c>
      <x:c r="B1100" s="527" t="n">
        <x:v>71</x:v>
      </x:c>
      <x:c r="C1100" s="527" t="inlineStr">
        <x:is>
          <x:t xml:space="preserve">Oil and Gas Lease</x:t>
        </x:is>
      </x:c>
      <x:c r="D1100" s="527" t="inlineStr">
        <x:is>
          <x:t xml:space="preserve">1608/0541</x:t>
        </x:is>
      </x:c>
      <x:c r="E1100" s="529" t="inlineStr">
        <x:is>
          <x:t xml:space="preserve">03/28/2000</x:t>
        </x:is>
      </x:c>
      <x:c r="F1100" s="529" t="n">
        <x:v>36613</x:v>
      </x:c>
      <x:c r="G1100" s="527" t="inlineStr">
        <x:is>
          <x:t xml:space="preserve">Carrie Leeanne Mitchell</x:t>
        </x:is>
      </x:c>
      <x:c r="H1100" s="527" t="inlineStr">
        <x:is>
          <x:t xml:space="preserve">EOG Resources, Inc.</x:t>
        </x:is>
      </x:c>
      <x:c r="I1100" s="527" t="inlineStr">
        <x:is>
          <x:t xml:space="preserve">E/2 NW/4, E/2 SW/4, N/2 NE/4, NE/4 SE/4, SE/4 NE/4, Lots 3 of 31-12N-24W</x:t>
        </x:is>
      </x:c>
      <x:c r="J1100" s="527" t="inlineStr">
        <x:is>
          <x:t xml:space="preserve">Leasehold / WI</x:t>
        </x:is>
      </x:c>
      <x:c r="K1100" s="527" t="inlineStr">
        <x:is>
          <x:t xml:space="preserve">OKCountyRecords official index, Roger Mills County (instrument 1994-007244); searched 06/11/2026</x:t>
        </x:is>
      </x:c>
      <x:c r="L1100" s="565" t="n"/>
      <x:c r="M1100" s="565" t="n"/>
      <x:c r="N1100" s="565" t="n"/>
      <x:c r="O1100" s="565" t="n"/>
      <x:c r="P1100" s="565" t="n"/>
      <x:c r="Q1100" s="565" t="n"/>
      <x:c r="R1100" s="565" t="n"/>
      <x:c r="S1100" s="613" t="n"/>
      <x:c r="T1100" s="565" t="n"/>
      <x:c r="U1100" s="613" t="n"/>
      <x:c r="V1100" s="565" t="n"/>
      <x:c r="W1100" s="565" t="n"/>
      <x:c r="X1100" s="565" t="n"/>
      <x:c r="Y1100" s="565" t="n"/>
      <x:c r="Z1100" s="565" t="n"/>
    </x:row>
    <x:row r="1101">
      <x:c r="A1101" s="527" t="inlineStr">
        <x:is>
          <x:t xml:space="preserve">1994-007245</x:t>
        </x:is>
      </x:c>
      <x:c r="B1101" s="527" t="n">
        <x:v>72</x:v>
      </x:c>
      <x:c r="C1101" s="527" t="inlineStr">
        <x:is>
          <x:t xml:space="preserve">Oil and Gas Lease</x:t>
        </x:is>
      </x:c>
      <x:c r="D1101" s="527" t="inlineStr">
        <x:is>
          <x:t xml:space="preserve">1608/0543</x:t>
        </x:is>
      </x:c>
      <x:c r="E1101" s="529" t="inlineStr">
        <x:is>
          <x:t xml:space="preserve">03/28/2000</x:t>
        </x:is>
      </x:c>
      <x:c r="F1101" s="529" t="n">
        <x:v>36613</x:v>
      </x:c>
      <x:c r="G1101" s="527" t="inlineStr">
        <x:is>
          <x:t xml:space="preserve">Nancy Susan Mitchell</x:t>
        </x:is>
      </x:c>
      <x:c r="H1101" s="527" t="inlineStr">
        <x:is>
          <x:t xml:space="preserve">EOG Resources, Inc.</x:t>
        </x:is>
      </x:c>
      <x:c r="I1101" s="527" t="inlineStr">
        <x:is>
          <x:t xml:space="preserve">E/2 NW/4, E/2 SW/4, N/2 NE/4, NE/4 SE/4, SE/4 NE/4, Lots 3 of 31-12N-24W</x:t>
        </x:is>
      </x:c>
      <x:c r="J1101" s="527" t="inlineStr">
        <x:is>
          <x:t xml:space="preserve">Leasehold / WI</x:t>
        </x:is>
      </x:c>
      <x:c r="K1101" s="527" t="inlineStr">
        <x:is>
          <x:t xml:space="preserve">OKCountyRecords official index, Roger Mills County (instrument 1994-007245); searched 06/11/2026</x:t>
        </x:is>
      </x:c>
      <x:c r="L1101" s="565" t="n"/>
      <x:c r="M1101" s="565" t="n"/>
      <x:c r="N1101" s="565" t="n"/>
      <x:c r="O1101" s="565" t="n"/>
      <x:c r="P1101" s="565" t="n"/>
      <x:c r="Q1101" s="565" t="n"/>
      <x:c r="R1101" s="565" t="n"/>
      <x:c r="S1101" s="613" t="n"/>
      <x:c r="T1101" s="565" t="n"/>
      <x:c r="U1101" s="613" t="n"/>
      <x:c r="V1101" s="565" t="n"/>
      <x:c r="W1101" s="565" t="n"/>
      <x:c r="X1101" s="565" t="n"/>
      <x:c r="Y1101" s="565" t="n"/>
      <x:c r="Z1101" s="565" t="n"/>
    </x:row>
    <x:row r="1102">
      <x:c r="A1102" s="527" t="inlineStr">
        <x:is>
          <x:t xml:space="preserve">2000-007332</x:t>
        </x:is>
      </x:c>
      <x:c r="B1102" s="527" t="n"/>
      <x:c r="C1102" s="527" t="inlineStr">
        <x:is>
          <x:t xml:space="preserve">Oil and Gas Lease</x:t>
        </x:is>
      </x:c>
      <x:c r="D1102" s="527" t="inlineStr">
        <x:is>
          <x:t xml:space="preserve">1609/0199</x:t>
        </x:is>
      </x:c>
      <x:c r="E1102" s="529" t="inlineStr">
        <x:is>
          <x:t xml:space="preserve">03/31/2000</x:t>
        </x:is>
      </x:c>
      <x:c r="F1102" s="529" t="n">
        <x:v>36616</x:v>
      </x:c>
      <x:c r="G1102" s="527" t="inlineStr">
        <x:is>
          <x:t xml:space="preserve">Gena W. Moore</x:t>
        </x:is>
      </x:c>
      <x:c r="H1102" s="527" t="inlineStr">
        <x:is>
          <x:t xml:space="preserve">EOG Resources, Inc.</x:t>
        </x:is>
      </x:c>
      <x:c r="I1102" s="527" t="inlineStr">
        <x:is>
          <x:t xml:space="preserve">E/2 NW/4, E/2 SW/4, N/2 NE/4, NE/4 SE/4, SE/4 NE/4, Lots 3 of 31-12N-24W</x:t>
        </x:is>
      </x:c>
      <x:c r="J1102" s="527" t="inlineStr">
        <x:is>
          <x:t xml:space="preserve">Leasehold / WI</x:t>
        </x:is>
      </x:c>
      <x:c r="K1102" s="527" t="inlineStr">
        <x:is>
          <x:t xml:space="preserve">OKCountyRecords official index, Roger Mills County (instrument 2000-007332); searched 06/11/2026</x:t>
        </x:is>
      </x:c>
      <x:c r="L1102" s="565" t="n"/>
      <x:c r="M1102" s="565" t="n"/>
      <x:c r="N1102" s="565" t="n"/>
      <x:c r="O1102" s="565" t="n"/>
      <x:c r="P1102" s="565" t="n"/>
      <x:c r="Q1102" s="565" t="n"/>
      <x:c r="R1102" s="565" t="n"/>
      <x:c r="S1102" s="613" t="n"/>
      <x:c r="T1102" s="565" t="n"/>
      <x:c r="U1102" s="613" t="n"/>
      <x:c r="V1102" s="565" t="n"/>
      <x:c r="W1102" s="565" t="n"/>
      <x:c r="X1102" s="565" t="n"/>
      <x:c r="Y1102" s="565" t="n"/>
      <x:c r="Z1102" s="565" t="n"/>
    </x:row>
    <x:row r="1103">
      <x:c r="A1103" s="527" t="inlineStr">
        <x:is>
          <x:t xml:space="preserve">2000-007383</x:t>
        </x:is>
      </x:c>
      <x:c r="B1103" s="527" t="n"/>
      <x:c r="C1103" s="527" t="inlineStr">
        <x:is>
          <x:t xml:space="preserve">Oil and Gas Lease</x:t>
        </x:is>
      </x:c>
      <x:c r="D1103" s="527" t="inlineStr">
        <x:is>
          <x:t xml:space="preserve">1610/0040</x:t>
        </x:is>
      </x:c>
      <x:c r="E1103" s="529" t="inlineStr">
        <x:is>
          <x:t xml:space="preserve">04/05/2000</x:t>
        </x:is>
      </x:c>
      <x:c r="F1103" s="529" t="n">
        <x:v>36621</x:v>
      </x:c>
      <x:c r="G1103" s="527" t="inlineStr">
        <x:is>
          <x:t xml:space="preserve">Richard M. Heins</x:t>
        </x:is>
      </x:c>
      <x:c r="H1103" s="527" t="inlineStr">
        <x:is>
          <x:t xml:space="preserve">Richard C. Cope</x:t>
        </x:is>
      </x:c>
      <x:c r="I1103" s="527" t="inlineStr">
        <x:is>
          <x:t xml:space="preserve">SE/4 SE/4, SW/4 NE/4, W/2 SE/4 of 31-12N-24W</x:t>
        </x:is>
      </x:c>
      <x:c r="J1103" s="527" t="inlineStr">
        <x:is>
          <x:t xml:space="preserve">Leasehold / WI</x:t>
        </x:is>
      </x:c>
      <x:c r="K1103" s="527" t="inlineStr">
        <x:is>
          <x:t xml:space="preserve">OKCountyRecords official index, Roger Mills County (instrument 2000-007383); searched 06/11/2026</x:t>
        </x:is>
      </x:c>
      <x:c r="L1103" s="565" t="n"/>
      <x:c r="M1103" s="565" t="n"/>
      <x:c r="N1103" s="565" t="n"/>
      <x:c r="O1103" s="565" t="n"/>
      <x:c r="P1103" s="565" t="n"/>
      <x:c r="Q1103" s="565" t="n"/>
      <x:c r="R1103" s="565" t="n"/>
      <x:c r="S1103" s="613" t="n"/>
      <x:c r="T1103" s="565" t="n"/>
      <x:c r="U1103" s="613" t="n"/>
      <x:c r="V1103" s="565" t="n"/>
      <x:c r="W1103" s="565" t="n"/>
      <x:c r="X1103" s="565" t="n"/>
      <x:c r="Y1103" s="565" t="n"/>
      <x:c r="Z1103" s="565" t="n"/>
    </x:row>
    <x:row r="1104">
      <x:c r="A1104" s="527" t="inlineStr">
        <x:is>
          <x:t xml:space="preserve">2000-007411</x:t>
        </x:is>
      </x:c>
      <x:c r="B1104" s="527" t="n"/>
      <x:c r="C1104" s="527" t="inlineStr">
        <x:is>
          <x:t xml:space="preserve">Oil and Gas Lease</x:t>
        </x:is>
      </x:c>
      <x:c r="D1104" s="527" t="inlineStr">
        <x:is>
          <x:t xml:space="preserve">1610/0121</x:t>
        </x:is>
      </x:c>
      <x:c r="E1104" s="529" t="inlineStr">
        <x:is>
          <x:t xml:space="preserve">04/07/2000</x:t>
        </x:is>
      </x:c>
      <x:c r="F1104" s="529" t="n">
        <x:v>36623</x:v>
      </x:c>
      <x:c r="G1104" s="527" t="inlineStr">
        <x:is>
          <x:t xml:space="preserve">Robert H. Frazler</x:t>
        </x:is>
      </x:c>
      <x:c r="H1104" s="527" t="inlineStr">
        <x:is>
          <x:t xml:space="preserve">Richard C. Cope</x:t>
        </x:is>
      </x:c>
      <x:c r="I1104" s="527" t="inlineStr">
        <x:is>
          <x:t xml:space="preserve">E/2 NW/4, N/2 NE/4 SW/4, NE/4 SE/4, SE/4 NE/4 of 31-12N-24W</x:t>
        </x:is>
      </x:c>
      <x:c r="J1104" s="527" t="inlineStr">
        <x:is>
          <x:t xml:space="preserve">Leasehold / WI</x:t>
        </x:is>
      </x:c>
      <x:c r="K1104" s="527" t="inlineStr">
        <x:is>
          <x:t xml:space="preserve">OKCountyRecords official index, Roger Mills County (instrument 2000-007411); searched 06/11/2026</x:t>
        </x:is>
      </x:c>
      <x:c r="L1104" s="565" t="n"/>
      <x:c r="M1104" s="565" t="n"/>
      <x:c r="N1104" s="565" t="n"/>
      <x:c r="O1104" s="565" t="n"/>
      <x:c r="P1104" s="565" t="n"/>
      <x:c r="Q1104" s="565" t="n"/>
      <x:c r="R1104" s="565" t="n"/>
      <x:c r="S1104" s="613" t="n"/>
      <x:c r="T1104" s="565" t="n"/>
      <x:c r="U1104" s="613" t="n"/>
      <x:c r="V1104" s="565" t="n"/>
      <x:c r="W1104" s="565" t="n"/>
      <x:c r="X1104" s="565" t="n"/>
      <x:c r="Y1104" s="565" t="n"/>
      <x:c r="Z1104" s="565" t="n"/>
    </x:row>
    <x:row r="1105">
      <x:c r="A1105" s="527" t="inlineStr">
        <x:is>
          <x:t xml:space="preserve">2000-007634</x:t>
        </x:is>
      </x:c>
      <x:c r="B1105" s="527" t="n"/>
      <x:c r="C1105" s="527" t="inlineStr">
        <x:is>
          <x:t xml:space="preserve">Assignment</x:t>
        </x:is>
      </x:c>
      <x:c r="D1105" s="527" t="inlineStr">
        <x:is>
          <x:t xml:space="preserve">1611/0352</x:t>
        </x:is>
      </x:c>
      <x:c r="E1105" s="529" t="inlineStr">
        <x:is>
          <x:t xml:space="preserve">04/27/2000</x:t>
        </x:is>
      </x:c>
      <x:c r="F1105" s="529" t="n">
        <x:v>36643</x:v>
      </x:c>
      <x:c r="G1105" s="527" t="inlineStr">
        <x:is>
          <x:t xml:space="preserve">Lortz R. Michael</x:t>
        </x:is>
      </x:c>
      <x:c r="H1105" s="527" t="inlineStr">
        <x:is>
          <x:t xml:space="preserve">Lariat Petroleum, Inc.</x:t>
        </x:is>
      </x:c>
      <x:c r="I1105" s="527" t="inlineStr">
        <x:is>
          <x:t xml:space="preserve">S/2 NE/4 SW/4, SE/4 SW/4, Lots 3 of 31-12N-24W (AOL)</x:t>
        </x:is>
      </x:c>
      <x:c r="J1105" s="527" t="inlineStr">
        <x:is>
          <x:t xml:space="preserve">Leasehold / WI</x:t>
        </x:is>
      </x:c>
      <x:c r="K1105" s="527" t="inlineStr">
        <x:is>
          <x:t xml:space="preserve">OKCountyRecords official index, Roger Mills County (instrument 2000-007634); searched 06/11/2026</x:t>
        </x:is>
      </x:c>
      <x:c r="L1105" s="565" t="n"/>
      <x:c r="M1105" s="565" t="n"/>
      <x:c r="N1105" s="565" t="n"/>
      <x:c r="O1105" s="565" t="n"/>
      <x:c r="P1105" s="565" t="n"/>
      <x:c r="Q1105" s="565" t="n"/>
      <x:c r="R1105" s="565" t="n"/>
      <x:c r="S1105" s="613" t="n"/>
      <x:c r="T1105" s="565" t="n"/>
      <x:c r="U1105" s="613" t="n"/>
      <x:c r="V1105" s="565" t="n"/>
      <x:c r="W1105" s="565" t="n"/>
      <x:c r="X1105" s="565" t="n"/>
      <x:c r="Y1105" s="565" t="n"/>
      <x:c r="Z1105" s="565" t="n"/>
    </x:row>
    <x:row r="1106">
      <x:c r="A1106" s="527" t="inlineStr">
        <x:is>
          <x:t xml:space="preserve">2000-007685</x:t>
        </x:is>
      </x:c>
      <x:c r="B1106" s="527" t="n"/>
      <x:c r="C1106" s="527" t="inlineStr">
        <x:is>
          <x:t xml:space="preserve">Mineral Deed</x:t>
        </x:is>
      </x:c>
      <x:c r="D1106" s="527" t="inlineStr">
        <x:is>
          <x:t xml:space="preserve">1611/0503</x:t>
        </x:is>
      </x:c>
      <x:c r="E1106" s="529" t="inlineStr">
        <x:is>
          <x:t xml:space="preserve">05/01/2000</x:t>
        </x:is>
      </x:c>
      <x:c r="F1106" s="529" t="n">
        <x:v>36647</x:v>
      </x:c>
      <x:c r="G1106" s="527" t="inlineStr">
        <x:is>
          <x:t xml:space="preserve">Fer-scher Exploration, LLC</x:t>
        </x:is>
      </x:c>
      <x:c r="H1106" s="527" t="inlineStr">
        <x:is>
          <x:t xml:space="preserve">Aspen Minerals Group</x:t>
        </x:is>
      </x:c>
      <x:c r="I1106" s="527" t="inlineStr">
        <x:is>
          <x:t xml:space="preserve">E/2 NW/4, N/2 NE/4 SW/4, NE/4 SE/4, SE/4 NE/4 of 31-12N-24W (AOL)</x:t>
        </x:is>
      </x:c>
      <x:c r="J1106" s="527" t="inlineStr">
        <x:is>
          <x:t xml:space="preserve">Mineral</x:t>
        </x:is>
      </x:c>
      <x:c r="K1106" s="527" t="inlineStr">
        <x:is>
          <x:t xml:space="preserve">OKCountyRecords official index, Roger Mills County (instrument 2000-007685); searched 06/11/2026</x:t>
        </x:is>
      </x:c>
      <x:c r="L1106" s="565" t="n"/>
      <x:c r="M1106" s="565" t="n"/>
      <x:c r="N1106" s="565" t="n"/>
      <x:c r="O1106" s="565" t="n"/>
      <x:c r="P1106" s="565" t="n"/>
      <x:c r="Q1106" s="565" t="n"/>
      <x:c r="R1106" s="565" t="n"/>
      <x:c r="S1106" s="613" t="n"/>
      <x:c r="T1106" s="565" t="n"/>
      <x:c r="U1106" s="613" t="n"/>
      <x:c r="V1106" s="565" t="n"/>
      <x:c r="W1106" s="565" t="n"/>
      <x:c r="X1106" s="565" t="n"/>
      <x:c r="Y1106" s="565" t="n"/>
      <x:c r="Z1106" s="565" t="n"/>
    </x:row>
    <x:row r="1107">
      <x:c r="A1107" s="527" t="inlineStr">
        <x:is>
          <x:t xml:space="preserve">2000-008063</x:t>
        </x:is>
      </x:c>
      <x:c r="B1107" s="527" t="n"/>
      <x:c r="C1107" s="527" t="inlineStr">
        <x:is>
          <x:t xml:space="preserve">Oil and Gas Lease</x:t>
        </x:is>
      </x:c>
      <x:c r="D1107" s="527" t="inlineStr">
        <x:is>
          <x:t xml:space="preserve">1613/0497</x:t>
        </x:is>
      </x:c>
      <x:c r="E1107" s="529" t="inlineStr">
        <x:is>
          <x:t xml:space="preserve">05/25/2000</x:t>
        </x:is>
      </x:c>
      <x:c r="F1107" s="529" t="n">
        <x:v>36671</x:v>
      </x:c>
      <x:c r="G1107" s="527" t="inlineStr">
        <x:is>
          <x:t xml:space="preserve">Ella P. Kirk</x:t>
        </x:is>
      </x:c>
      <x:c r="H1107" s="527" t="inlineStr">
        <x:is>
          <x:t xml:space="preserve">EOG Resources, Inc.</x:t>
        </x:is>
      </x:c>
      <x:c r="I1107" s="527" t="inlineStr">
        <x:is>
          <x:t xml:space="preserve">Lots 1 of 31-12N-24W</x:t>
        </x:is>
      </x:c>
      <x:c r="J1107" s="527" t="inlineStr">
        <x:is>
          <x:t xml:space="preserve">Leasehold / WI</x:t>
        </x:is>
      </x:c>
      <x:c r="K1107" s="527" t="inlineStr">
        <x:is>
          <x:t xml:space="preserve">OKCountyRecords official index, Roger Mills County (instrument 2000-008063); searched 06/11/2026</x:t>
        </x:is>
      </x:c>
      <x:c r="L1107" s="565" t="n"/>
      <x:c r="M1107" s="565" t="n"/>
      <x:c r="N1107" s="565" t="n"/>
      <x:c r="O1107" s="565" t="n"/>
      <x:c r="P1107" s="565" t="n"/>
      <x:c r="Q1107" s="565" t="n"/>
      <x:c r="R1107" s="565" t="n"/>
      <x:c r="S1107" s="613" t="n"/>
      <x:c r="T1107" s="565" t="n"/>
      <x:c r="U1107" s="613" t="n"/>
      <x:c r="V1107" s="565" t="n"/>
      <x:c r="W1107" s="565" t="n"/>
      <x:c r="X1107" s="565" t="n"/>
      <x:c r="Y1107" s="565" t="n"/>
      <x:c r="Z1107" s="565" t="n"/>
    </x:row>
    <x:row r="1108">
      <x:c r="A1108" s="527" t="inlineStr">
        <x:is>
          <x:t xml:space="preserve">2000-008159</x:t>
        </x:is>
      </x:c>
      <x:c r="B1108" s="527" t="n"/>
      <x:c r="C1108" s="527" t="inlineStr">
        <x:is>
          <x:t xml:space="preserve">Correction</x:t>
        </x:is>
      </x:c>
      <x:c r="D1108" s="527" t="inlineStr">
        <x:is>
          <x:t xml:space="preserve">1614/0323</x:t>
        </x:is>
      </x:c>
      <x:c r="E1108" s="529" t="inlineStr">
        <x:is>
          <x:t xml:space="preserve">06/02/2000</x:t>
        </x:is>
      </x:c>
      <x:c r="F1108" s="529" t="n">
        <x:v>36679</x:v>
      </x:c>
      <x:c r="G1108" s="527" t="inlineStr">
        <x:is>
          <x:t xml:space="preserve">Interbank</x:t>
        </x:is>
      </x:c>
      <x:c r="H1108" s="527" t="inlineStr">
        <x:is>
          <x:t xml:space="preserve">Barbaraj Bain,
Billy W. Bain,
Carl L. Bain,
Clarence C. Bain,
Doroty J. Bain,
Lenora M. Bain,
Hazel A. Hamilton,
Juanita Wolff</x:t>
        </x:is>
      </x:c>
      <x:c r="I1108" s="527" t="inlineStr">
        <x:is>
          <x:t xml:space="preserve">SE/4 SE/4, SW/4 NE/4, W/2 SE/4 of 31-12N-24W (AOL)</x:t>
        </x:is>
      </x:c>
      <x:c r="J1108" s="527" t="inlineStr">
        <x:is>
          <x:t xml:space="preserve">See instrument</x:t>
        </x:is>
      </x:c>
      <x:c r="K1108" s="527" t="inlineStr">
        <x:is>
          <x:t xml:space="preserve">OKCountyRecords official index, Roger Mills County (instrument 2000-008159); searched 06/11/2026</x:t>
        </x:is>
      </x:c>
      <x:c r="L1108" s="565" t="n"/>
      <x:c r="M1108" s="565" t="n"/>
      <x:c r="N1108" s="565" t="n"/>
      <x:c r="O1108" s="565" t="n"/>
      <x:c r="P1108" s="565" t="n"/>
      <x:c r="Q1108" s="565" t="n"/>
      <x:c r="R1108" s="565" t="n"/>
      <x:c r="S1108" s="613" t="n"/>
      <x:c r="T1108" s="565" t="n"/>
      <x:c r="U1108" s="613" t="n"/>
      <x:c r="V1108" s="565" t="n"/>
      <x:c r="W1108" s="565" t="n"/>
      <x:c r="X1108" s="565" t="n"/>
      <x:c r="Y1108" s="565" t="n"/>
      <x:c r="Z1108" s="565" t="n"/>
    </x:row>
    <x:row r="1109">
      <x:c r="A1109" s="527" t="inlineStr">
        <x:is>
          <x:t xml:space="preserve">2000-008764</x:t>
        </x:is>
      </x:c>
      <x:c r="B1109" s="527" t="n"/>
      <x:c r="C1109" s="527" t="inlineStr">
        <x:is>
          <x:t xml:space="preserve">Assignment</x:t>
        </x:is>
      </x:c>
      <x:c r="D1109" s="527" t="inlineStr">
        <x:is>
          <x:t xml:space="preserve">1617/0295</x:t>
        </x:is>
      </x:c>
      <x:c r="E1109" s="529" t="inlineStr">
        <x:is>
          <x:t xml:space="preserve">07/10/2000</x:t>
        </x:is>
      </x:c>
      <x:c r="F1109" s="529" t="n">
        <x:v>36717</x:v>
      </x:c>
      <x:c r="G1109" s="527" t="inlineStr">
        <x:is>
          <x:t xml:space="preserve">Mahoney Children's Trust,
Jack Mahoney</x:t>
        </x:is>
      </x:c>
      <x:c r="H1109" s="527" t="inlineStr">
        <x:is>
          <x:t xml:space="preserve">Pinion Family Trust</x:t>
        </x:is>
      </x:c>
      <x:c r="I1109" s="527" t="inlineStr">
        <x:is>
          <x:t xml:space="preserve">All of 31-12N-24W (AOL)</x:t>
        </x:is>
      </x:c>
      <x:c r="J1109" s="527" t="inlineStr">
        <x:is>
          <x:t xml:space="preserve">Leasehold / WI</x:t>
        </x:is>
      </x:c>
      <x:c r="K1109" s="527" t="inlineStr">
        <x:is>
          <x:t xml:space="preserve">OKCountyRecords official index, Roger Mills County (instrument 2000-008764); searched 06/11/2026</x:t>
        </x:is>
      </x:c>
      <x:c r="L1109" s="565" t="n"/>
      <x:c r="M1109" s="565" t="n"/>
      <x:c r="N1109" s="565" t="n"/>
      <x:c r="O1109" s="565" t="n"/>
      <x:c r="P1109" s="565" t="n"/>
      <x:c r="Q1109" s="565" t="n"/>
      <x:c r="R1109" s="565" t="n"/>
      <x:c r="S1109" s="613" t="n"/>
      <x:c r="T1109" s="565" t="n"/>
      <x:c r="U1109" s="613" t="n"/>
      <x:c r="V1109" s="565" t="n"/>
      <x:c r="W1109" s="565" t="n"/>
      <x:c r="X1109" s="565" t="n"/>
      <x:c r="Y1109" s="565" t="n"/>
      <x:c r="Z1109" s="565" t="n"/>
    </x:row>
    <x:row r="1110">
      <x:c r="A1110" s="527" t="inlineStr">
        <x:is>
          <x:t xml:space="preserve">2000-010180</x:t>
        </x:is>
      </x:c>
      <x:c r="B1110" s="527" t="n"/>
      <x:c r="C1110" s="527" t="inlineStr">
        <x:is>
          <x:t xml:space="preserve">Quit Claim Mineral Deed</x:t>
        </x:is>
      </x:c>
      <x:c r="D1110" s="527" t="inlineStr">
        <x:is>
          <x:t xml:space="preserve">1625/0440</x:t>
        </x:is>
      </x:c>
      <x:c r="E1110" s="529" t="inlineStr">
        <x:is>
          <x:t xml:space="preserve">10/16/2000</x:t>
        </x:is>
      </x:c>
      <x:c r="F1110" s="529" t="n">
        <x:v>36802</x:v>
      </x:c>
      <x:c r="G1110" s="527" t="inlineStr">
        <x:is>
          <x:t xml:space="preserve">Melinda McCaul Mulvihill, Trustee</x:t>
        </x:is>
      </x:c>
      <x:c r="H1110" s="527" t="inlineStr">
        <x:is>
          <x:t xml:space="preserve">Stephen M. Criser, Trustee</x:t>
        </x:is>
      </x:c>
      <x:c r="I1110" s="527" t="inlineStr">
        <x:is>
          <x:t xml:space="preserve">NW/4 SE/4, S/2 SE/4, SW/4 NE/4 of 31-12N-24W (AOL)</x:t>
        </x:is>
      </x:c>
      <x:c r="J1110" s="527" t="inlineStr">
        <x:is>
          <x:t xml:space="preserve">Mineral</x:t>
        </x:is>
      </x:c>
      <x:c r="K1110" s="527" t="inlineStr">
        <x:is>
          <x:t xml:space="preserve">OKCountyRecords official index, Roger Mills County (instrument 2000-010180); searched 06/11/2026</x:t>
        </x:is>
      </x:c>
      <x:c r="L1110" s="565" t="n"/>
      <x:c r="M1110" s="565" t="n"/>
      <x:c r="N1110" s="565" t="n"/>
      <x:c r="O1110" s="565" t="n"/>
      <x:c r="P1110" s="565" t="n"/>
      <x:c r="Q1110" s="565" t="n"/>
      <x:c r="R1110" s="565" t="n"/>
      <x:c r="S1110" s="613" t="n"/>
      <x:c r="T1110" s="565" t="n"/>
      <x:c r="U1110" s="613" t="n"/>
      <x:c r="V1110" s="565" t="n"/>
      <x:c r="W1110" s="565" t="n"/>
      <x:c r="X1110" s="565" t="n"/>
      <x:c r="Y1110" s="565" t="n"/>
      <x:c r="Z1110" s="565" t="n"/>
    </x:row>
    <x:row r="1111">
      <x:c r="A1111" s="527" t="inlineStr">
        <x:is>
          <x:t xml:space="preserve">2000-010382</x:t>
        </x:is>
      </x:c>
      <x:c r="B1111" s="527" t="n"/>
      <x:c r="C1111" s="527" t="inlineStr">
        <x:is>
          <x:t xml:space="preserve">Oil and Gas Lease</x:t>
        </x:is>
      </x:c>
      <x:c r="D1111" s="527" t="inlineStr">
        <x:is>
          <x:t xml:space="preserve">1626/0462</x:t>
        </x:is>
      </x:c>
      <x:c r="E1111" s="529" t="inlineStr">
        <x:is>
          <x:t xml:space="preserve">10/30/2000</x:t>
        </x:is>
      </x:c>
      <x:c r="F1111" s="529" t="n">
        <x:v>36816</x:v>
      </x:c>
      <x:c r="G1111" s="527" t="inlineStr">
        <x:is>
          <x:t xml:space="preserve">Juanita M. Wolff</x:t>
        </x:is>
      </x:c>
      <x:c r="H1111" s="527" t="inlineStr">
        <x:is>
          <x:t xml:space="preserve">EOG Resources, Inc.</x:t>
        </x:is>
      </x:c>
      <x:c r="I1111" s="527" t="inlineStr">
        <x:is>
          <x:t xml:space="preserve">NW/4 SE/4, S/2 SE/4, SW/4 NE/4 of 31-12N-24W</x:t>
        </x:is>
      </x:c>
      <x:c r="J1111" s="527" t="inlineStr">
        <x:is>
          <x:t xml:space="preserve">Leasehold / WI</x:t>
        </x:is>
      </x:c>
      <x:c r="K1111" s="527" t="inlineStr">
        <x:is>
          <x:t xml:space="preserve">OKCountyRecords official index, Roger Mills County (instrument 2000-010382); searched 06/11/2026</x:t>
        </x:is>
      </x:c>
      <x:c r="L1111" s="565" t="n"/>
      <x:c r="M1111" s="565" t="n"/>
      <x:c r="N1111" s="565" t="n"/>
      <x:c r="O1111" s="565" t="n"/>
      <x:c r="P1111" s="565" t="n"/>
      <x:c r="Q1111" s="565" t="n"/>
      <x:c r="R1111" s="565" t="n"/>
      <x:c r="S1111" s="613" t="n"/>
      <x:c r="T1111" s="565" t="n"/>
      <x:c r="U1111" s="613" t="n"/>
      <x:c r="V1111" s="565" t="n"/>
      <x:c r="W1111" s="565" t="n"/>
      <x:c r="X1111" s="565" t="n"/>
      <x:c r="Y1111" s="565" t="n"/>
      <x:c r="Z1111" s="565" t="n"/>
    </x:row>
    <x:row r="1112">
      <x:c r="A1112" s="527" t="inlineStr">
        <x:is>
          <x:t xml:space="preserve">2000-010908</x:t>
        </x:is>
      </x:c>
      <x:c r="B1112" s="527" t="n"/>
      <x:c r="C1112" s="527" t="inlineStr">
        <x:is>
          <x:t xml:space="preserve">Oil and Gas Lease</x:t>
        </x:is>
      </x:c>
      <x:c r="D1112" s="527" t="inlineStr">
        <x:is>
          <x:t xml:space="preserve">1629/0523</x:t>
        </x:is>
      </x:c>
      <x:c r="E1112" s="529" t="inlineStr">
        <x:is>
          <x:t xml:space="preserve">12/06/2000</x:t>
        </x:is>
      </x:c>
      <x:c r="F1112" s="529" t="n">
        <x:v>36824</x:v>
      </x:c>
      <x:c r="G1112" s="527" t="inlineStr">
        <x:is>
          <x:t xml:space="preserve">Joe, Devenas Jr.</x:t>
        </x:is>
      </x:c>
      <x:c r="H1112" s="527" t="inlineStr">
        <x:is>
          <x:t xml:space="preserve">EOG Resources, Inc.</x:t>
        </x:is>
      </x:c>
      <x:c r="I1112" s="527" t="inlineStr">
        <x:is>
          <x:t xml:space="preserve">SE/4 SW/4 of 31-12N-24W</x:t>
        </x:is>
      </x:c>
      <x:c r="J1112" s="527" t="inlineStr">
        <x:is>
          <x:t xml:space="preserve">Leasehold / WI</x:t>
        </x:is>
      </x:c>
      <x:c r="K1112" s="527" t="inlineStr">
        <x:is>
          <x:t xml:space="preserve">OKCountyRecords official index, Roger Mills County (instrument 2000-010908); searched 06/11/2026</x:t>
        </x:is>
      </x:c>
      <x:c r="L1112" s="565" t="n"/>
      <x:c r="M1112" s="565" t="n"/>
      <x:c r="N1112" s="565" t="n"/>
      <x:c r="O1112" s="565" t="n"/>
      <x:c r="P1112" s="565" t="n"/>
      <x:c r="Q1112" s="565" t="n"/>
      <x:c r="R1112" s="565" t="n"/>
      <x:c r="S1112" s="613" t="n"/>
      <x:c r="T1112" s="565" t="n"/>
      <x:c r="U1112" s="613" t="n"/>
      <x:c r="V1112" s="565" t="n"/>
      <x:c r="W1112" s="565" t="n"/>
      <x:c r="X1112" s="565" t="n"/>
      <x:c r="Y1112" s="565" t="n"/>
      <x:c r="Z1112" s="565" t="n"/>
    </x:row>
    <x:row r="1113">
      <x:c r="A1113" s="527" t="inlineStr">
        <x:is>
          <x:t xml:space="preserve">2000-010909</x:t>
        </x:is>
      </x:c>
      <x:c r="B1113" s="527" t="n"/>
      <x:c r="C1113" s="527" t="inlineStr">
        <x:is>
          <x:t xml:space="preserve">Oil and Gas Lease</x:t>
        </x:is>
      </x:c>
      <x:c r="D1113" s="527" t="inlineStr">
        <x:is>
          <x:t xml:space="preserve">1629/0525</x:t>
        </x:is>
      </x:c>
      <x:c r="E1113" s="529" t="inlineStr">
        <x:is>
          <x:t xml:space="preserve">12/06/2000</x:t>
        </x:is>
      </x:c>
      <x:c r="F1113" s="529" t="n">
        <x:v>36824</x:v>
      </x:c>
      <x:c r="G1113" s="527" t="inlineStr">
        <x:is>
          <x:t xml:space="preserve">Joseph Devenas, Trustee</x:t>
        </x:is>
      </x:c>
      <x:c r="H1113" s="527" t="inlineStr">
        <x:is>
          <x:t xml:space="preserve">EOG Resources, Inc.</x:t>
        </x:is>
      </x:c>
      <x:c r="I1113" s="527" t="inlineStr">
        <x:is>
          <x:t xml:space="preserve">SE/4 SW/4 of 31-12N-24W</x:t>
        </x:is>
      </x:c>
      <x:c r="J1113" s="527" t="inlineStr">
        <x:is>
          <x:t xml:space="preserve">Leasehold / WI</x:t>
        </x:is>
      </x:c>
      <x:c r="K1113" s="527" t="inlineStr">
        <x:is>
          <x:t xml:space="preserve">OKCountyRecords official index, Roger Mills County (instrument 2000-010909); searched 06/11/2026</x:t>
        </x:is>
      </x:c>
      <x:c r="L1113" s="565" t="n"/>
      <x:c r="M1113" s="565" t="n"/>
      <x:c r="N1113" s="565" t="n"/>
      <x:c r="O1113" s="565" t="n"/>
      <x:c r="P1113" s="565" t="n"/>
      <x:c r="Q1113" s="565" t="n"/>
      <x:c r="R1113" s="565" t="n"/>
      <x:c r="S1113" s="613" t="n"/>
      <x:c r="T1113" s="565" t="n"/>
      <x:c r="U1113" s="613" t="n"/>
      <x:c r="V1113" s="565" t="n"/>
      <x:c r="W1113" s="565" t="n"/>
      <x:c r="X1113" s="565" t="n"/>
      <x:c r="Y1113" s="565" t="n"/>
      <x:c r="Z1113" s="565" t="n"/>
    </x:row>
    <x:row r="1114">
      <x:c r="A1114" s="527" t="inlineStr">
        <x:is>
          <x:t xml:space="preserve">2001-000103</x:t>
        </x:is>
      </x:c>
      <x:c r="B1114" s="527" t="n"/>
      <x:c r="C1114" s="527" t="inlineStr">
        <x:is>
          <x:t xml:space="preserve">Mineral Deed</x:t>
        </x:is>
      </x:c>
      <x:c r="D1114" s="527" t="inlineStr">
        <x:is>
          <x:t xml:space="preserve">1631/0416</x:t>
        </x:is>
      </x:c>
      <x:c r="E1114" s="529" t="inlineStr">
        <x:is>
          <x:t xml:space="preserve">01/08/2001</x:t>
        </x:is>
      </x:c>
      <x:c r="F1114" s="529" t="n">
        <x:v>36896</x:v>
      </x:c>
      <x:c r="G1114" s="527" t="inlineStr">
        <x:is>
          <x:t xml:space="preserve">William C. Bain Jr.</x:t>
        </x:is>
      </x:c>
      <x:c r="H1114" s="527" t="inlineStr">
        <x:is>
          <x:t xml:space="preserve">Donald R. Bain,
Melvin F. Bain,
Peggy J. Brawner,
Marilyn L. Broyles,
Leona I. Degrande,
Charlotte F. Willert</x:t>
        </x:is>
      </x:c>
      <x:c r="I1114" s="527" t="inlineStr">
        <x:is>
          <x:t xml:space="preserve">NW/4 SE/4, S/2 SE/4, SW/4 NE/4 of 31-12N-24W (AOL)</x:t>
        </x:is>
      </x:c>
      <x:c r="J1114" s="527" t="inlineStr">
        <x:is>
          <x:t xml:space="preserve">Mineral</x:t>
        </x:is>
      </x:c>
      <x:c r="K1114" s="527" t="inlineStr">
        <x:is>
          <x:t xml:space="preserve">OKCountyRecords official index, Roger Mills County (instrument 2001-000103); searched 06/11/2026</x:t>
        </x:is>
      </x:c>
      <x:c r="L1114" s="565" t="n"/>
      <x:c r="M1114" s="565" t="n"/>
      <x:c r="N1114" s="565" t="n"/>
      <x:c r="O1114" s="565" t="n"/>
      <x:c r="P1114" s="565" t="n"/>
      <x:c r="Q1114" s="565" t="n"/>
      <x:c r="R1114" s="565" t="n"/>
      <x:c r="S1114" s="613" t="n"/>
      <x:c r="T1114" s="565" t="n"/>
      <x:c r="U1114" s="613" t="n"/>
      <x:c r="V1114" s="565" t="n"/>
      <x:c r="W1114" s="565" t="n"/>
      <x:c r="X1114" s="565" t="n"/>
      <x:c r="Y1114" s="565" t="n"/>
      <x:c r="Z1114" s="565" t="n"/>
    </x:row>
    <x:row r="1115">
      <x:c r="A1115" s="527" t="inlineStr">
        <x:is>
          <x:t xml:space="preserve">2001-000618</x:t>
        </x:is>
      </x:c>
      <x:c r="B1115" s="527" t="n"/>
      <x:c r="C1115" s="527" t="inlineStr">
        <x:is>
          <x:t xml:space="preserve">Order</x:t>
        </x:is>
      </x:c>
      <x:c r="D1115" s="527" t="inlineStr">
        <x:is>
          <x:t xml:space="preserve">1634/0353</x:t>
        </x:is>
      </x:c>
      <x:c r="E1115" s="529" t="inlineStr">
        <x:is>
          <x:t xml:space="preserve">02/13/2001</x:t>
        </x:is>
      </x:c>
      <x:c r="F1115" s="529" t="n">
        <x:v>36877</x:v>
      </x:c>
      <x:c r="G1115" s="527" t="inlineStr">
        <x:is>
          <x:t xml:space="preserve">Patsy J. Crouse, Deceased</x:t>
        </x:is>
      </x:c>
      <x:c r="H1115" s="527" t="inlineStr">
        <x:is>
          <x:t xml:space="preserve">The Public</x:t>
        </x:is>
      </x:c>
      <x:c r="I1115" s="527" t="inlineStr">
        <x:is>
          <x:t xml:space="preserve">NE/4 NW/4 of 31-12N-24W (AOL)</x:t>
        </x:is>
      </x:c>
      <x:c r="J1115" s="527" t="inlineStr">
        <x:is>
          <x:t xml:space="preserve">See instrument</x:t>
        </x:is>
      </x:c>
      <x:c r="K1115" s="527" t="inlineStr">
        <x:is>
          <x:t xml:space="preserve">OKCountyRecords official index, Roger Mills County (instrument 2001-000618); searched 06/11/2026</x:t>
        </x:is>
      </x:c>
      <x:c r="L1115" s="565" t="n"/>
      <x:c r="M1115" s="565" t="n"/>
      <x:c r="N1115" s="565" t="n"/>
      <x:c r="O1115" s="565" t="n"/>
      <x:c r="P1115" s="565" t="n"/>
      <x:c r="Q1115" s="565" t="n"/>
      <x:c r="R1115" s="565" t="n"/>
      <x:c r="S1115" s="613" t="n"/>
      <x:c r="T1115" s="565" t="n"/>
      <x:c r="U1115" s="613" t="n"/>
      <x:c r="V1115" s="565" t="n"/>
      <x:c r="W1115" s="565" t="n"/>
      <x:c r="X1115" s="565" t="n"/>
      <x:c r="Y1115" s="565" t="n"/>
      <x:c r="Z1115" s="565" t="n"/>
    </x:row>
    <x:row r="1116">
      <x:c r="A1116" s="527" t="inlineStr">
        <x:is>
          <x:t xml:space="preserve">2001-000619</x:t>
        </x:is>
      </x:c>
      <x:c r="B1116" s="527" t="n"/>
      <x:c r="C1116" s="527" t="inlineStr">
        <x:is>
          <x:t xml:space="preserve">Quit Claim Deed</x:t>
        </x:is>
      </x:c>
      <x:c r="D1116" s="527" t="inlineStr">
        <x:is>
          <x:t xml:space="preserve">1634/0367</x:t>
        </x:is>
      </x:c>
      <x:c r="E1116" s="529" t="inlineStr">
        <x:is>
          <x:t xml:space="preserve">02/13/2001</x:t>
        </x:is>
      </x:c>
      <x:c r="F1116" s="529" t="n">
        <x:v>36881</x:v>
      </x:c>
      <x:c r="G1116" s="527" t="inlineStr">
        <x:is>
          <x:t xml:space="preserve">Angale L. Best,
Michael Best,
Letha M. Crouse,
Aaron Smoot,
Lara L. Smoot</x:t>
        </x:is>
      </x:c>
      <x:c r="H1116" s="527" t="inlineStr">
        <x:is>
          <x:t xml:space="preserve">Crouse Family Trust</x:t>
        </x:is>
      </x:c>
      <x:c r="I1116" s="527" t="inlineStr">
        <x:is>
          <x:t xml:space="preserve">NE/4 NW/4 of 31-12N-24W (AOL)</x:t>
        </x:is>
      </x:c>
      <x:c r="J1116" s="527" t="inlineStr">
        <x:is>
          <x:t xml:space="preserve">Fee / as stated</x:t>
        </x:is>
      </x:c>
      <x:c r="K1116" s="527" t="inlineStr">
        <x:is>
          <x:t xml:space="preserve">OKCountyRecords official index, Roger Mills County (instrument 2001-000619); searched 06/11/2026</x:t>
        </x:is>
      </x:c>
      <x:c r="L1116" s="565" t="n"/>
      <x:c r="M1116" s="565" t="n"/>
      <x:c r="N1116" s="565" t="n"/>
      <x:c r="O1116" s="565" t="n"/>
      <x:c r="P1116" s="565" t="n"/>
      <x:c r="Q1116" s="565" t="n"/>
      <x:c r="R1116" s="565" t="n"/>
      <x:c r="S1116" s="613" t="n"/>
      <x:c r="T1116" s="565" t="n"/>
      <x:c r="U1116" s="613" t="n"/>
      <x:c r="V1116" s="565" t="n"/>
      <x:c r="W1116" s="565" t="n"/>
      <x:c r="X1116" s="565" t="n"/>
      <x:c r="Y1116" s="565" t="n"/>
      <x:c r="Z1116" s="565" t="n"/>
    </x:row>
    <x:row r="1117">
      <x:c r="A1117" s="527" t="inlineStr">
        <x:is>
          <x:t xml:space="preserve">2001-000921</x:t>
        </x:is>
      </x:c>
      <x:c r="B1117" s="527" t="n"/>
      <x:c r="C1117" s="527" t="inlineStr">
        <x:is>
          <x:t xml:space="preserve">Mineral Deed</x:t>
        </x:is>
      </x:c>
      <x:c r="D1117" s="527" t="inlineStr">
        <x:is>
          <x:t xml:space="preserve">1636/0544</x:t>
        </x:is>
      </x:c>
      <x:c r="E1117" s="529" t="inlineStr">
        <x:is>
          <x:t xml:space="preserve">03/06/2001</x:t>
        </x:is>
      </x:c>
      <x:c r="F1117" s="529" t="n">
        <x:v>36921</x:v>
      </x:c>
      <x:c r="G1117" s="527" t="inlineStr">
        <x:is>
          <x:t xml:space="preserve">Dow C. Bain</x:t>
        </x:is>
      </x:c>
      <x:c r="H1117" s="527" t="inlineStr">
        <x:is>
          <x:t xml:space="preserve">Dow C. Bain, Trustee,
Edris O. Bain, Trustee</x:t>
        </x:is>
      </x:c>
      <x:c r="I1117" s="527" t="inlineStr">
        <x:is>
          <x:t xml:space="preserve">NW/4 SE/4, S/2 SE/4, SW/4 NE/4 of 31-12N-24W</x:t>
        </x:is>
      </x:c>
      <x:c r="J1117" s="527" t="inlineStr">
        <x:is>
          <x:t xml:space="preserve">Mineral</x:t>
        </x:is>
      </x:c>
      <x:c r="K1117" s="527" t="inlineStr">
        <x:is>
          <x:t xml:space="preserve">OKCountyRecords official index, Roger Mills County (instrument 2001-000921); searched 06/11/2026</x:t>
        </x:is>
      </x:c>
      <x:c r="L1117" s="565" t="n"/>
      <x:c r="M1117" s="565" t="n"/>
      <x:c r="N1117" s="565" t="n"/>
      <x:c r="O1117" s="565" t="n"/>
      <x:c r="P1117" s="565" t="n"/>
      <x:c r="Q1117" s="565" t="n"/>
      <x:c r="R1117" s="565" t="n"/>
      <x:c r="S1117" s="613" t="n"/>
      <x:c r="T1117" s="565" t="n"/>
      <x:c r="U1117" s="613" t="n"/>
      <x:c r="V1117" s="565" t="n"/>
      <x:c r="W1117" s="565" t="n"/>
      <x:c r="X1117" s="565" t="n"/>
      <x:c r="Y1117" s="565" t="n"/>
      <x:c r="Z1117" s="565" t="n"/>
    </x:row>
    <x:row r="1118">
      <x:c r="A1118" s="527" t="inlineStr">
        <x:is>
          <x:t xml:space="preserve">2001-000926</x:t>
        </x:is>
      </x:c>
      <x:c r="B1118" s="527" t="n"/>
      <x:c r="C1118" s="527" t="inlineStr">
        <x:is>
          <x:t xml:space="preserve">Mineral Deed</x:t>
        </x:is>
      </x:c>
      <x:c r="D1118" s="527" t="inlineStr">
        <x:is>
          <x:t xml:space="preserve">1636/0554</x:t>
        </x:is>
      </x:c>
      <x:c r="E1118" s="529" t="inlineStr">
        <x:is>
          <x:t xml:space="preserve">03/06/2001</x:t>
        </x:is>
      </x:c>
      <x:c r="F1118" s="529" t="n">
        <x:v>36921</x:v>
      </x:c>
      <x:c r="G1118" s="527" t="inlineStr">
        <x:is>
          <x:t xml:space="preserve">Dow C. Bain,
Edris O. Bain</x:t>
        </x:is>
      </x:c>
      <x:c r="H1118" s="527" t="inlineStr">
        <x:is>
          <x:t xml:space="preserve">Dow C. Bain, Trustee,
Edris O. Bain, Trustee</x:t>
        </x:is>
      </x:c>
      <x:c r="I1118" s="527" t="inlineStr">
        <x:is>
          <x:t xml:space="preserve">NW/4 SE/4, S/2 SE/4, SW/4 NE/4 of 31-12N-24W (AOL)</x:t>
        </x:is>
      </x:c>
      <x:c r="J1118" s="527" t="inlineStr">
        <x:is>
          <x:t xml:space="preserve">Mineral</x:t>
        </x:is>
      </x:c>
      <x:c r="K1118" s="527" t="inlineStr">
        <x:is>
          <x:t xml:space="preserve">OKCountyRecords official index, Roger Mills County (instrument 2001-000926); searched 06/11/2026</x:t>
        </x:is>
      </x:c>
      <x:c r="L1118" s="565" t="n"/>
      <x:c r="M1118" s="565" t="n"/>
      <x:c r="N1118" s="565" t="n"/>
      <x:c r="O1118" s="565" t="n"/>
      <x:c r="P1118" s="565" t="n"/>
      <x:c r="Q1118" s="565" t="n"/>
      <x:c r="R1118" s="565" t="n"/>
      <x:c r="S1118" s="613" t="n"/>
      <x:c r="T1118" s="565" t="n"/>
      <x:c r="U1118" s="613" t="n"/>
      <x:c r="V1118" s="565" t="n"/>
      <x:c r="W1118" s="565" t="n"/>
      <x:c r="X1118" s="565" t="n"/>
      <x:c r="Y1118" s="565" t="n"/>
      <x:c r="Z1118" s="565" t="n"/>
    </x:row>
    <x:row r="1119">
      <x:c r="A1119" s="527" t="inlineStr">
        <x:is>
          <x:t xml:space="preserve">2001-000927</x:t>
        </x:is>
      </x:c>
      <x:c r="B1119" s="527" t="n"/>
      <x:c r="C1119" s="527" t="inlineStr">
        <x:is>
          <x:t xml:space="preserve">Mineral Deed</x:t>
        </x:is>
      </x:c>
      <x:c r="D1119" s="527" t="inlineStr">
        <x:is>
          <x:t xml:space="preserve">1636/0556</x:t>
        </x:is>
      </x:c>
      <x:c r="E1119" s="529" t="inlineStr">
        <x:is>
          <x:t xml:space="preserve">03/06/2001</x:t>
        </x:is>
      </x:c>
      <x:c r="F1119" s="529" t="n">
        <x:v>36921</x:v>
      </x:c>
      <x:c r="G1119" s="527" t="inlineStr">
        <x:is>
          <x:t xml:space="preserve">Dow C. Bain,
Edris O. Bain</x:t>
        </x:is>
      </x:c>
      <x:c r="H1119" s="527" t="inlineStr">
        <x:is>
          <x:t xml:space="preserve">Dow C. Bain, Trustee,
Edris O. Bain, Trustee</x:t>
        </x:is>
      </x:c>
      <x:c r="I1119" s="527" t="inlineStr">
        <x:is>
          <x:t xml:space="preserve">NW/4 SE/4, S/2 SE/4, SW/4 NE/4 of 31-12N-24W</x:t>
        </x:is>
      </x:c>
      <x:c r="J1119" s="527" t="inlineStr">
        <x:is>
          <x:t xml:space="preserve">Mineral</x:t>
        </x:is>
      </x:c>
      <x:c r="K1119" s="527" t="inlineStr">
        <x:is>
          <x:t xml:space="preserve">OKCountyRecords official index, Roger Mills County (instrument 2001-000927); searched 06/11/2026</x:t>
        </x:is>
      </x:c>
      <x:c r="L1119" s="565" t="n"/>
      <x:c r="M1119" s="565" t="n"/>
      <x:c r="N1119" s="565" t="n"/>
      <x:c r="O1119" s="565" t="n"/>
      <x:c r="P1119" s="565" t="n"/>
      <x:c r="Q1119" s="565" t="n"/>
      <x:c r="R1119" s="565" t="n"/>
      <x:c r="S1119" s="613" t="n"/>
      <x:c r="T1119" s="565" t="n"/>
      <x:c r="U1119" s="613" t="n"/>
      <x:c r="V1119" s="565" t="n"/>
      <x:c r="W1119" s="565" t="n"/>
      <x:c r="X1119" s="565" t="n"/>
      <x:c r="Y1119" s="565" t="n"/>
      <x:c r="Z1119" s="565" t="n"/>
    </x:row>
    <x:row r="1120">
      <x:c r="A1120" s="527" t="inlineStr">
        <x:is>
          <x:t xml:space="preserve">2001-000957</x:t>
        </x:is>
      </x:c>
      <x:c r="B1120" s="527" t="n"/>
      <x:c r="C1120" s="527" t="inlineStr">
        <x:is>
          <x:t xml:space="preserve">Mineral Deed</x:t>
        </x:is>
      </x:c>
      <x:c r="D1120" s="527" t="inlineStr">
        <x:is>
          <x:t xml:space="preserve">1637/0026</x:t>
        </x:is>
      </x:c>
      <x:c r="E1120" s="529" t="inlineStr">
        <x:is>
          <x:t xml:space="preserve">03/07/2001</x:t>
        </x:is>
      </x:c>
      <x:c r="F1120" s="529" t="n">
        <x:v>36922</x:v>
      </x:c>
      <x:c r="G1120" s="527" t="inlineStr">
        <x:is>
          <x:t xml:space="preserve">Nanalee Faye Barnett</x:t>
        </x:is>
      </x:c>
      <x:c r="H1120" s="527" t="inlineStr">
        <x:is>
          <x:t xml:space="preserve">Arrowhead Resources, Inc.</x:t>
        </x:is>
      </x:c>
      <x:c r="I1120" s="527" t="inlineStr">
        <x:is>
          <x:t xml:space="preserve">E/2 NW/4, N/2 NE/4 SW/4, NE/4 SE/4, SE/4 NE/4 of 31-12N-24W (AOL)</x:t>
        </x:is>
      </x:c>
      <x:c r="J1120" s="527" t="inlineStr">
        <x:is>
          <x:t xml:space="preserve">Mineral</x:t>
        </x:is>
      </x:c>
      <x:c r="K1120" s="527" t="inlineStr">
        <x:is>
          <x:t xml:space="preserve">OKCountyRecords official index, Roger Mills County (instrument 2001-000957); searched 06/11/2026</x:t>
        </x:is>
      </x:c>
      <x:c r="L1120" s="565" t="n"/>
      <x:c r="M1120" s="565" t="n"/>
      <x:c r="N1120" s="565" t="n"/>
      <x:c r="O1120" s="565" t="n"/>
      <x:c r="P1120" s="565" t="n"/>
      <x:c r="Q1120" s="565" t="n"/>
      <x:c r="R1120" s="565" t="n"/>
      <x:c r="S1120" s="613" t="n"/>
      <x:c r="T1120" s="565" t="n"/>
      <x:c r="U1120" s="613" t="n"/>
      <x:c r="V1120" s="565" t="n"/>
      <x:c r="W1120" s="565" t="n"/>
      <x:c r="X1120" s="565" t="n"/>
      <x:c r="Y1120" s="565" t="n"/>
      <x:c r="Z1120" s="565" t="n"/>
    </x:row>
    <x:row r="1121">
      <x:c r="A1121" s="527" t="inlineStr">
        <x:is>
          <x:t xml:space="preserve">2001-001091</x:t>
        </x:is>
      </x:c>
      <x:c r="B1121" s="527" t="n"/>
      <x:c r="C1121" s="527" t="inlineStr">
        <x:is>
          <x:t xml:space="preserve">Affidavit</x:t>
        </x:is>
      </x:c>
      <x:c r="D1121" s="527" t="inlineStr">
        <x:is>
          <x:t xml:space="preserve">1637/0471</x:t>
        </x:is>
      </x:c>
      <x:c r="E1121" s="529" t="inlineStr">
        <x:is>
          <x:t xml:space="preserve">03/19/2001</x:t>
        </x:is>
      </x:c>
      <x:c r="F1121" s="529" t="n">
        <x:v>36949</x:v>
      </x:c>
      <x:c r="G1121" s="527" t="inlineStr">
        <x:is>
          <x:t xml:space="preserve">Thomas B. Goodwin</x:t>
        </x:is>
      </x:c>
      <x:c r="H1121" s="527" t="inlineStr">
        <x:is>
          <x:t xml:space="preserve">The Public</x:t>
        </x:is>
      </x:c>
      <x:c r="I1121" s="527" t="inlineStr">
        <x:is>
          <x:t xml:space="preserve">NW/4 NE/4 of 31-12N-24W (AOL)</x:t>
        </x:is>
      </x:c>
      <x:c r="J1121" s="527" t="inlineStr">
        <x:is>
          <x:t xml:space="preserve">See instrument</x:t>
        </x:is>
      </x:c>
      <x:c r="K1121" s="527" t="inlineStr">
        <x:is>
          <x:t xml:space="preserve">OKCountyRecords official index, Roger Mills County (instrument 2001-001091); searched 06/11/2026</x:t>
        </x:is>
      </x:c>
      <x:c r="L1121" s="565" t="n"/>
      <x:c r="M1121" s="565" t="n"/>
      <x:c r="N1121" s="565" t="n"/>
      <x:c r="O1121" s="565" t="n"/>
      <x:c r="P1121" s="565" t="n"/>
      <x:c r="Q1121" s="565" t="n"/>
      <x:c r="R1121" s="565" t="n"/>
      <x:c r="S1121" s="613" t="n"/>
      <x:c r="T1121" s="565" t="n"/>
      <x:c r="U1121" s="613" t="n"/>
      <x:c r="V1121" s="565" t="n"/>
      <x:c r="W1121" s="565" t="n"/>
      <x:c r="X1121" s="565" t="n"/>
      <x:c r="Y1121" s="565" t="n"/>
      <x:c r="Z1121" s="565" t="n"/>
    </x:row>
    <x:row r="1122">
      <x:c r="A1122" s="527" t="inlineStr">
        <x:is>
          <x:t xml:space="preserve">2001-001092</x:t>
        </x:is>
      </x:c>
      <x:c r="B1122" s="527" t="n"/>
      <x:c r="C1122" s="527" t="inlineStr">
        <x:is>
          <x:t xml:space="preserve">Quit Claim Deed</x:t>
        </x:is>
      </x:c>
      <x:c r="D1122" s="527" t="inlineStr">
        <x:is>
          <x:t xml:space="preserve">1637/0476</x:t>
        </x:is>
      </x:c>
      <x:c r="E1122" s="529" t="inlineStr">
        <x:is>
          <x:t xml:space="preserve">03/19/2001</x:t>
        </x:is>
      </x:c>
      <x:c r="F1122" s="529" t="n">
        <x:v>36955</x:v>
      </x:c>
      <x:c r="G1122" s="527" t="inlineStr">
        <x:is>
          <x:t xml:space="preserve">Laurence L. Crouse, Trustee</x:t>
        </x:is>
      </x:c>
      <x:c r="H1122" s="527" t="inlineStr">
        <x:is>
          <x:t xml:space="preserve">Crouse Family Limited Partnerhsip</x:t>
        </x:is>
      </x:c>
      <x:c r="I1122" s="527" t="inlineStr">
        <x:is>
          <x:t xml:space="preserve">NW/4 NE/4 of 31-12N-24W (AOL)</x:t>
        </x:is>
      </x:c>
      <x:c r="J1122" s="527" t="inlineStr">
        <x:is>
          <x:t xml:space="preserve">Fee / as stated</x:t>
        </x:is>
      </x:c>
      <x:c r="K1122" s="527" t="inlineStr">
        <x:is>
          <x:t xml:space="preserve">OKCountyRecords official index, Roger Mills County (instrument 2001-001092); searched 06/11/2026</x:t>
        </x:is>
      </x:c>
      <x:c r="L1122" s="565" t="n"/>
      <x:c r="M1122" s="565" t="n"/>
      <x:c r="N1122" s="565" t="n"/>
      <x:c r="O1122" s="565" t="n"/>
      <x:c r="P1122" s="565" t="n"/>
      <x:c r="Q1122" s="565" t="n"/>
      <x:c r="R1122" s="565" t="n"/>
      <x:c r="S1122" s="613" t="n"/>
      <x:c r="T1122" s="565" t="n"/>
      <x:c r="U1122" s="613" t="n"/>
      <x:c r="V1122" s="565" t="n"/>
      <x:c r="W1122" s="565" t="n"/>
      <x:c r="X1122" s="565" t="n"/>
      <x:c r="Y1122" s="565" t="n"/>
      <x:c r="Z1122" s="565" t="n"/>
    </x:row>
    <x:row r="1123">
      <x:c r="A1123" s="527" t="inlineStr">
        <x:is>
          <x:t xml:space="preserve">2001-001357</x:t>
        </x:is>
      </x:c>
      <x:c r="B1123" s="527" t="n"/>
      <x:c r="C1123" s="527" t="inlineStr">
        <x:is>
          <x:t xml:space="preserve">Oil and Gas Lease</x:t>
        </x:is>
      </x:c>
      <x:c r="D1123" s="527" t="inlineStr">
        <x:is>
          <x:t xml:space="preserve">1639/0003</x:t>
        </x:is>
      </x:c>
      <x:c r="E1123" s="529" t="inlineStr">
        <x:is>
          <x:t xml:space="preserve">04/04/2001</x:t>
        </x:is>
      </x:c>
      <x:c r="F1123" s="529" t="n">
        <x:v>36906</x:v>
      </x:c>
      <x:c r="G1123" s="527" t="inlineStr">
        <x:is>
          <x:t xml:space="preserve">Clarence C. Bain, Trustee,
Dorothy J. Bain, Trustee</x:t>
        </x:is>
      </x:c>
      <x:c r="H1123" s="527" t="inlineStr">
        <x:is>
          <x:t xml:space="preserve">R. Michael Lortz</x:t>
        </x:is>
      </x:c>
      <x:c r="I1123" s="527" t="inlineStr">
        <x:is>
          <x:t xml:space="preserve">SE/4 SE/4, SW/4 NE/4, W/2 SE/4 of 31-12N-24W</x:t>
        </x:is>
      </x:c>
      <x:c r="J1123" s="527" t="inlineStr">
        <x:is>
          <x:t xml:space="preserve">Leasehold / WI</x:t>
        </x:is>
      </x:c>
      <x:c r="K1123" s="527" t="inlineStr">
        <x:is>
          <x:t xml:space="preserve">OKCountyRecords official index, Roger Mills County (instrument 2001-001357); searched 06/11/2026</x:t>
        </x:is>
      </x:c>
      <x:c r="L1123" s="565" t="n"/>
      <x:c r="M1123" s="565" t="n"/>
      <x:c r="N1123" s="565" t="n"/>
      <x:c r="O1123" s="565" t="n"/>
      <x:c r="P1123" s="565" t="n"/>
      <x:c r="Q1123" s="565" t="n"/>
      <x:c r="R1123" s="565" t="n"/>
      <x:c r="S1123" s="613" t="n"/>
      <x:c r="T1123" s="565" t="n"/>
      <x:c r="U1123" s="613" t="n"/>
      <x:c r="V1123" s="565" t="n"/>
      <x:c r="W1123" s="565" t="n"/>
      <x:c r="X1123" s="565" t="n"/>
      <x:c r="Y1123" s="565" t="n"/>
      <x:c r="Z1123" s="565" t="n"/>
    </x:row>
    <x:row r="1124">
      <x:c r="A1124" s="527" t="inlineStr">
        <x:is>
          <x:t xml:space="preserve">2001-001358</x:t>
        </x:is>
      </x:c>
      <x:c r="B1124" s="527" t="n"/>
      <x:c r="C1124" s="527" t="inlineStr">
        <x:is>
          <x:t xml:space="preserve">Oil and Gas Lease</x:t>
        </x:is>
      </x:c>
      <x:c r="D1124" s="527" t="inlineStr">
        <x:is>
          <x:t xml:space="preserve">1639/0005</x:t>
        </x:is>
      </x:c>
      <x:c r="E1124" s="529" t="inlineStr">
        <x:is>
          <x:t xml:space="preserve">04/04/2001</x:t>
        </x:is>
      </x:c>
      <x:c r="F1124" s="529" t="n">
        <x:v>36906</x:v>
      </x:c>
      <x:c r="G1124" s="527" t="inlineStr">
        <x:is>
          <x:t xml:space="preserve">Carl L. Bain</x:t>
        </x:is>
      </x:c>
      <x:c r="H1124" s="527" t="inlineStr">
        <x:is>
          <x:t xml:space="preserve">R. Michael Lortz</x:t>
        </x:is>
      </x:c>
      <x:c r="I1124" s="527" t="inlineStr">
        <x:is>
          <x:t xml:space="preserve">SE/4 SE/4, SW/4 NE/4, W/2 SE/4 of 31-12N-24W</x:t>
        </x:is>
      </x:c>
      <x:c r="J1124" s="527" t="inlineStr">
        <x:is>
          <x:t xml:space="preserve">Leasehold / WI</x:t>
        </x:is>
      </x:c>
      <x:c r="K1124" s="527" t="inlineStr">
        <x:is>
          <x:t xml:space="preserve">OKCountyRecords official index, Roger Mills County (instrument 2001-001358); searched 06/11/2026</x:t>
        </x:is>
      </x:c>
      <x:c r="L1124" s="565" t="n"/>
      <x:c r="M1124" s="565" t="n"/>
      <x:c r="N1124" s="565" t="n"/>
      <x:c r="O1124" s="565" t="n"/>
      <x:c r="P1124" s="565" t="n"/>
      <x:c r="Q1124" s="565" t="n"/>
      <x:c r="R1124" s="565" t="n"/>
      <x:c r="S1124" s="613" t="n"/>
      <x:c r="T1124" s="565" t="n"/>
      <x:c r="U1124" s="613" t="n"/>
      <x:c r="V1124" s="565" t="n"/>
      <x:c r="W1124" s="565" t="n"/>
      <x:c r="X1124" s="565" t="n"/>
      <x:c r="Y1124" s="565" t="n"/>
      <x:c r="Z1124" s="565" t="n"/>
    </x:row>
    <x:row r="1125">
      <x:c r="A1125" s="527" t="inlineStr">
        <x:is>
          <x:t xml:space="preserve">2001-001359</x:t>
        </x:is>
      </x:c>
      <x:c r="B1125" s="527" t="n"/>
      <x:c r="C1125" s="527" t="inlineStr">
        <x:is>
          <x:t xml:space="preserve">Oil and Gas Lease</x:t>
        </x:is>
      </x:c>
      <x:c r="D1125" s="527" t="inlineStr">
        <x:is>
          <x:t xml:space="preserve">1639/0007</x:t>
        </x:is>
      </x:c>
      <x:c r="E1125" s="529" t="inlineStr">
        <x:is>
          <x:t xml:space="preserve">04/04/2001</x:t>
        </x:is>
      </x:c>
      <x:c r="F1125" s="529" t="n">
        <x:v>36916</x:v>
      </x:c>
      <x:c r="G1125" s="527" t="inlineStr">
        <x:is>
          <x:t xml:space="preserve">L.e. Thurman</x:t>
        </x:is>
      </x:c>
      <x:c r="H1125" s="527" t="inlineStr">
        <x:is>
          <x:t xml:space="preserve">R. Michael Lortz</x:t>
        </x:is>
      </x:c>
      <x:c r="I1125" s="527" t="inlineStr">
        <x:is>
          <x:t xml:space="preserve">E/2 NW/4, N/2 NE/4 SW/4, NE/4 SE/4, SE/4 NE/4 of 31-12N-24W</x:t>
        </x:is>
      </x:c>
      <x:c r="J1125" s="527" t="inlineStr">
        <x:is>
          <x:t xml:space="preserve">Leasehold / WI</x:t>
        </x:is>
      </x:c>
      <x:c r="K1125" s="527" t="inlineStr">
        <x:is>
          <x:t xml:space="preserve">OKCountyRecords official index, Roger Mills County (instrument 2001-001359); searched 06/11/2026</x:t>
        </x:is>
      </x:c>
      <x:c r="L1125" s="565" t="n"/>
      <x:c r="M1125" s="565" t="n"/>
      <x:c r="N1125" s="565" t="n"/>
      <x:c r="O1125" s="565" t="n"/>
      <x:c r="P1125" s="565" t="n"/>
      <x:c r="Q1125" s="565" t="n"/>
      <x:c r="R1125" s="565" t="n"/>
      <x:c r="S1125" s="613" t="n"/>
      <x:c r="T1125" s="565" t="n"/>
      <x:c r="U1125" s="613" t="n"/>
      <x:c r="V1125" s="565" t="n"/>
      <x:c r="W1125" s="565" t="n"/>
      <x:c r="X1125" s="565" t="n"/>
      <x:c r="Y1125" s="565" t="n"/>
      <x:c r="Z1125" s="565" t="n"/>
    </x:row>
    <x:row r="1126">
      <x:c r="A1126" s="527" t="inlineStr">
        <x:is>
          <x:t xml:space="preserve">2001-001360</x:t>
        </x:is>
      </x:c>
      <x:c r="B1126" s="527" t="n"/>
      <x:c r="C1126" s="527" t="inlineStr">
        <x:is>
          <x:t xml:space="preserve">Oil and Gas Lease</x:t>
        </x:is>
      </x:c>
      <x:c r="D1126" s="527" t="inlineStr">
        <x:is>
          <x:t xml:space="preserve">1639/0009</x:t>
        </x:is>
      </x:c>
      <x:c r="E1126" s="529" t="inlineStr">
        <x:is>
          <x:t xml:space="preserve">04/04/2001</x:t>
        </x:is>
      </x:c>
      <x:c r="F1126" s="529" t="n">
        <x:v>36906</x:v>
      </x:c>
      <x:c r="G1126" s="527" t="inlineStr">
        <x:is>
          <x:t xml:space="preserve">Tim E. Jensen</x:t>
        </x:is>
      </x:c>
      <x:c r="H1126" s="527" t="inlineStr">
        <x:is>
          <x:t xml:space="preserve">R. Michael Lortz</x:t>
        </x:is>
      </x:c>
      <x:c r="I1126" s="527" t="inlineStr">
        <x:is>
          <x:t xml:space="preserve">SE/4 SE/4, SW/4 NE/4, W/2 SE/4 of 31-12N-24W</x:t>
        </x:is>
      </x:c>
      <x:c r="J1126" s="527" t="inlineStr">
        <x:is>
          <x:t xml:space="preserve">Leasehold / WI</x:t>
        </x:is>
      </x:c>
      <x:c r="K1126" s="527" t="inlineStr">
        <x:is>
          <x:t xml:space="preserve">OKCountyRecords official index, Roger Mills County (instrument 2001-001360); searched 06/11/2026</x:t>
        </x:is>
      </x:c>
      <x:c r="L1126" s="565" t="n"/>
      <x:c r="M1126" s="565" t="n"/>
      <x:c r="N1126" s="565" t="n"/>
      <x:c r="O1126" s="565" t="n"/>
      <x:c r="P1126" s="565" t="n"/>
      <x:c r="Q1126" s="565" t="n"/>
      <x:c r="R1126" s="565" t="n"/>
      <x:c r="S1126" s="613" t="n"/>
      <x:c r="T1126" s="565" t="n"/>
      <x:c r="U1126" s="613" t="n"/>
      <x:c r="V1126" s="565" t="n"/>
      <x:c r="W1126" s="565" t="n"/>
      <x:c r="X1126" s="565" t="n"/>
      <x:c r="Y1126" s="565" t="n"/>
      <x:c r="Z1126" s="565" t="n"/>
    </x:row>
    <x:row r="1127">
      <x:c r="A1127" s="527" t="inlineStr">
        <x:is>
          <x:t xml:space="preserve">2001-001361</x:t>
        </x:is>
      </x:c>
      <x:c r="B1127" s="527" t="n"/>
      <x:c r="C1127" s="527" t="inlineStr">
        <x:is>
          <x:t xml:space="preserve">Oil and Gas Lease</x:t>
        </x:is>
      </x:c>
      <x:c r="D1127" s="527" t="inlineStr">
        <x:is>
          <x:t xml:space="preserve">1639/0011</x:t>
        </x:is>
      </x:c>
      <x:c r="E1127" s="529" t="inlineStr">
        <x:is>
          <x:t xml:space="preserve">04/04/2001</x:t>
        </x:is>
      </x:c>
      <x:c r="F1127" s="529" t="n">
        <x:v>36920</x:v>
      </x:c>
      <x:c r="G1127" s="527" t="inlineStr">
        <x:is>
          <x:t xml:space="preserve">Audy C. Campbell,
Janice Campbell</x:t>
        </x:is>
      </x:c>
      <x:c r="H1127" s="527" t="inlineStr">
        <x:is>
          <x:t xml:space="preserve">R. Michael Lortz</x:t>
        </x:is>
      </x:c>
      <x:c r="I1127" s="527" t="inlineStr">
        <x:is>
          <x:t xml:space="preserve">S/2 NE/4 SW/4, SE/4 SW/4 of 31-12N-24W</x:t>
        </x:is>
      </x:c>
      <x:c r="J1127" s="527" t="inlineStr">
        <x:is>
          <x:t xml:space="preserve">Leasehold / WI</x:t>
        </x:is>
      </x:c>
      <x:c r="K1127" s="527" t="inlineStr">
        <x:is>
          <x:t xml:space="preserve">OKCountyRecords official index, Roger Mills County (instrument 2001-001361); searched 06/11/2026</x:t>
        </x:is>
      </x:c>
      <x:c r="L1127" s="565" t="n"/>
      <x:c r="M1127" s="565" t="n"/>
      <x:c r="N1127" s="565" t="n"/>
      <x:c r="O1127" s="565" t="n"/>
      <x:c r="P1127" s="565" t="n"/>
      <x:c r="Q1127" s="565" t="n"/>
      <x:c r="R1127" s="565" t="n"/>
      <x:c r="S1127" s="613" t="n"/>
      <x:c r="T1127" s="565" t="n"/>
      <x:c r="U1127" s="613" t="n"/>
      <x:c r="V1127" s="565" t="n"/>
      <x:c r="W1127" s="565" t="n"/>
      <x:c r="X1127" s="565" t="n"/>
      <x:c r="Y1127" s="565" t="n"/>
      <x:c r="Z1127" s="565" t="n"/>
    </x:row>
    <x:row r="1128">
      <x:c r="A1128" s="527" t="inlineStr">
        <x:is>
          <x:t xml:space="preserve">2001-001362</x:t>
        </x:is>
      </x:c>
      <x:c r="B1128" s="527" t="n"/>
      <x:c r="C1128" s="527" t="inlineStr">
        <x:is>
          <x:t xml:space="preserve">Oil and Gas Lease</x:t>
        </x:is>
      </x:c>
      <x:c r="D1128" s="527" t="inlineStr">
        <x:is>
          <x:t xml:space="preserve">1639/0013</x:t>
        </x:is>
      </x:c>
      <x:c r="E1128" s="529" t="inlineStr">
        <x:is>
          <x:t xml:space="preserve">04/04/2001</x:t>
        </x:is>
      </x:c>
      <x:c r="F1128" s="529" t="n">
        <x:v>36906</x:v>
      </x:c>
      <x:c r="G1128" s="527" t="inlineStr">
        <x:is>
          <x:t xml:space="preserve">Billy W. Bain</x:t>
        </x:is>
      </x:c>
      <x:c r="H1128" s="527" t="inlineStr">
        <x:is>
          <x:t xml:space="preserve">R. Michael Lortz</x:t>
        </x:is>
      </x:c>
      <x:c r="I1128" s="527" t="inlineStr">
        <x:is>
          <x:t xml:space="preserve">SE/4 SE/4, SW/4 NE/4, W/2 SE/4 of 31-12N-24W</x:t>
        </x:is>
      </x:c>
      <x:c r="J1128" s="527" t="inlineStr">
        <x:is>
          <x:t xml:space="preserve">Leasehold / WI</x:t>
        </x:is>
      </x:c>
      <x:c r="K1128" s="527" t="inlineStr">
        <x:is>
          <x:t xml:space="preserve">OKCountyRecords official index, Roger Mills County (instrument 2001-001362); searched 06/11/2026</x:t>
        </x:is>
      </x:c>
      <x:c r="L1128" s="565" t="n"/>
      <x:c r="M1128" s="565" t="n"/>
      <x:c r="N1128" s="565" t="n"/>
      <x:c r="O1128" s="565" t="n"/>
      <x:c r="P1128" s="565" t="n"/>
      <x:c r="Q1128" s="565" t="n"/>
      <x:c r="R1128" s="565" t="n"/>
      <x:c r="S1128" s="613" t="n"/>
      <x:c r="T1128" s="565" t="n"/>
      <x:c r="U1128" s="613" t="n"/>
      <x:c r="V1128" s="565" t="n"/>
      <x:c r="W1128" s="565" t="n"/>
      <x:c r="X1128" s="565" t="n"/>
      <x:c r="Y1128" s="565" t="n"/>
      <x:c r="Z1128" s="565" t="n"/>
    </x:row>
    <x:row r="1129">
      <x:c r="A1129" s="527" t="inlineStr">
        <x:is>
          <x:t xml:space="preserve">2001-001363</x:t>
        </x:is>
      </x:c>
      <x:c r="B1129" s="527" t="n"/>
      <x:c r="C1129" s="527" t="inlineStr">
        <x:is>
          <x:t xml:space="preserve">Oil and Gas Lease</x:t>
        </x:is>
      </x:c>
      <x:c r="D1129" s="527" t="inlineStr">
        <x:is>
          <x:t xml:space="preserve">1639/0015</x:t>
        </x:is>
      </x:c>
      <x:c r="E1129" s="529" t="inlineStr">
        <x:is>
          <x:t xml:space="preserve">04/04/2001</x:t>
        </x:is>
      </x:c>
      <x:c r="F1129" s="529" t="n">
        <x:v>36906</x:v>
      </x:c>
      <x:c r="G1129" s="527" t="inlineStr">
        <x:is>
          <x:t xml:space="preserve">X.</x:t>
        </x:is>
      </x:c>
      <x:c r="H1129" s="527" t="inlineStr">
        <x:is>
          <x:t xml:space="preserve">R. Michael Lortz</x:t>
        </x:is>
      </x:c>
      <x:c r="I1129" s="527" t="inlineStr">
        <x:is>
          <x:t xml:space="preserve">SE/4 SE/4, SW/4 NE/4, W/2 SE/4 of 31-12N-24W</x:t>
        </x:is>
      </x:c>
      <x:c r="J1129" s="527" t="inlineStr">
        <x:is>
          <x:t xml:space="preserve">Leasehold / WI</x:t>
        </x:is>
      </x:c>
      <x:c r="K1129" s="527" t="inlineStr">
        <x:is>
          <x:t xml:space="preserve">OKCountyRecords official index, Roger Mills County (instrument 2001-001363); searched 06/11/2026</x:t>
        </x:is>
      </x:c>
      <x:c r="L1129" s="565" t="n"/>
      <x:c r="M1129" s="565" t="n"/>
      <x:c r="N1129" s="565" t="n"/>
      <x:c r="O1129" s="565" t="n"/>
      <x:c r="P1129" s="565" t="n"/>
      <x:c r="Q1129" s="565" t="n"/>
      <x:c r="R1129" s="565" t="n"/>
      <x:c r="S1129" s="613" t="n"/>
      <x:c r="T1129" s="565" t="n"/>
      <x:c r="U1129" s="613" t="n"/>
      <x:c r="V1129" s="565" t="n"/>
      <x:c r="W1129" s="565" t="n"/>
      <x:c r="X1129" s="565" t="n"/>
      <x:c r="Y1129" s="565" t="n"/>
      <x:c r="Z1129" s="565" t="n"/>
    </x:row>
    <x:row r="1130">
      <x:c r="A1130" s="527" t="inlineStr">
        <x:is>
          <x:t xml:space="preserve">2001-001364</x:t>
        </x:is>
      </x:c>
      <x:c r="B1130" s="527" t="n"/>
      <x:c r="C1130" s="527" t="inlineStr">
        <x:is>
          <x:t xml:space="preserve">Oil and Gas Lease</x:t>
        </x:is>
      </x:c>
      <x:c r="D1130" s="527" t="inlineStr">
        <x:is>
          <x:t xml:space="preserve">1639/0017</x:t>
        </x:is>
      </x:c>
      <x:c r="E1130" s="529" t="inlineStr">
        <x:is>
          <x:t xml:space="preserve">04/04/2001</x:t>
        </x:is>
      </x:c>
      <x:c r="F1130" s="529" t="n">
        <x:v>36906</x:v>
      </x:c>
      <x:c r="G1130" s="527" t="inlineStr">
        <x:is>
          <x:t xml:space="preserve">Hans W. Jensen</x:t>
        </x:is>
      </x:c>
      <x:c r="H1130" s="527" t="inlineStr">
        <x:is>
          <x:t xml:space="preserve">R. Michael Lortz</x:t>
        </x:is>
      </x:c>
      <x:c r="I1130" s="527" t="inlineStr">
        <x:is>
          <x:t xml:space="preserve">SE/4 SE/4, SW/4 NE/4, W/2 SE/4 of 31-12N-24W</x:t>
        </x:is>
      </x:c>
      <x:c r="J1130" s="527" t="inlineStr">
        <x:is>
          <x:t xml:space="preserve">Leasehold / WI</x:t>
        </x:is>
      </x:c>
      <x:c r="K1130" s="527" t="inlineStr">
        <x:is>
          <x:t xml:space="preserve">OKCountyRecords official index, Roger Mills County (instrument 2001-001364); searched 06/11/2026</x:t>
        </x:is>
      </x:c>
      <x:c r="L1130" s="565" t="n"/>
      <x:c r="M1130" s="565" t="n"/>
      <x:c r="N1130" s="565" t="n"/>
      <x:c r="O1130" s="565" t="n"/>
      <x:c r="P1130" s="565" t="n"/>
      <x:c r="Q1130" s="565" t="n"/>
      <x:c r="R1130" s="565" t="n"/>
      <x:c r="S1130" s="613" t="n"/>
      <x:c r="T1130" s="565" t="n"/>
      <x:c r="U1130" s="613" t="n"/>
      <x:c r="V1130" s="565" t="n"/>
      <x:c r="W1130" s="565" t="n"/>
      <x:c r="X1130" s="565" t="n"/>
      <x:c r="Y1130" s="565" t="n"/>
      <x:c r="Z1130" s="565" t="n"/>
    </x:row>
    <x:row r="1131">
      <x:c r="A1131" s="527" t="inlineStr">
        <x:is>
          <x:t xml:space="preserve">2001-001365</x:t>
        </x:is>
      </x:c>
      <x:c r="B1131" s="527" t="n"/>
      <x:c r="C1131" s="527" t="inlineStr">
        <x:is>
          <x:t xml:space="preserve">Oil and Gas Lease</x:t>
        </x:is>
      </x:c>
      <x:c r="D1131" s="527" t="inlineStr">
        <x:is>
          <x:t xml:space="preserve">1639/0019</x:t>
        </x:is>
      </x:c>
      <x:c r="E1131" s="529" t="inlineStr">
        <x:is>
          <x:t xml:space="preserve">04/04/2001</x:t>
        </x:is>
      </x:c>
      <x:c r="F1131" s="529" t="n">
        <x:v>36906</x:v>
      </x:c>
      <x:c r="G1131" s="527" t="inlineStr">
        <x:is>
          <x:t xml:space="preserve">Wilda E. Jensen</x:t>
        </x:is>
      </x:c>
      <x:c r="H1131" s="527" t="inlineStr">
        <x:is>
          <x:t xml:space="preserve">R. Michael Lortz</x:t>
        </x:is>
      </x:c>
      <x:c r="I1131" s="527" t="inlineStr">
        <x:is>
          <x:t xml:space="preserve">SE/4 SE/4, SW/4 NE/4, W/2 SE/4 of 31-12N-24W</x:t>
        </x:is>
      </x:c>
      <x:c r="J1131" s="527" t="inlineStr">
        <x:is>
          <x:t xml:space="preserve">Leasehold / WI</x:t>
        </x:is>
      </x:c>
      <x:c r="K1131" s="527" t="inlineStr">
        <x:is>
          <x:t xml:space="preserve">OKCountyRecords official index, Roger Mills County (instrument 2001-001365); searched 06/11/2026</x:t>
        </x:is>
      </x:c>
      <x:c r="L1131" s="565" t="n"/>
      <x:c r="M1131" s="565" t="n"/>
      <x:c r="N1131" s="565" t="n"/>
      <x:c r="O1131" s="565" t="n"/>
      <x:c r="P1131" s="565" t="n"/>
      <x:c r="Q1131" s="565" t="n"/>
      <x:c r="R1131" s="565" t="n"/>
      <x:c r="S1131" s="613" t="n"/>
      <x:c r="T1131" s="565" t="n"/>
      <x:c r="U1131" s="613" t="n"/>
      <x:c r="V1131" s="565" t="n"/>
      <x:c r="W1131" s="565" t="n"/>
      <x:c r="X1131" s="565" t="n"/>
      <x:c r="Y1131" s="565" t="n"/>
      <x:c r="Z1131" s="565" t="n"/>
    </x:row>
    <x:row r="1132">
      <x:c r="A1132" s="527" t="inlineStr">
        <x:is>
          <x:t xml:space="preserve">2001-001366</x:t>
        </x:is>
      </x:c>
      <x:c r="B1132" s="527" t="n"/>
      <x:c r="C1132" s="527" t="inlineStr">
        <x:is>
          <x:t xml:space="preserve">Oil and Gas Lease</x:t>
        </x:is>
      </x:c>
      <x:c r="D1132" s="527" t="inlineStr">
        <x:is>
          <x:t xml:space="preserve">1639/0021</x:t>
        </x:is>
      </x:c>
      <x:c r="E1132" s="529" t="inlineStr">
        <x:is>
          <x:t xml:space="preserve">04/04/2001</x:t>
        </x:is>
      </x:c>
      <x:c r="F1132" s="529" t="n">
        <x:v>36906</x:v>
      </x:c>
      <x:c r="G1132" s="527" t="inlineStr">
        <x:is>
          <x:t xml:space="preserve">Dow C. Bain,
Edris O. Bain</x:t>
        </x:is>
      </x:c>
      <x:c r="H1132" s="527" t="inlineStr">
        <x:is>
          <x:t xml:space="preserve">R. Michael Lortz</x:t>
        </x:is>
      </x:c>
      <x:c r="I1132" s="527" t="inlineStr">
        <x:is>
          <x:t xml:space="preserve">SE/4 SE/4, SW/4 NE/4, W/2 SE/4 of 31-12N-24W</x:t>
        </x:is>
      </x:c>
      <x:c r="J1132" s="527" t="inlineStr">
        <x:is>
          <x:t xml:space="preserve">Leasehold / WI</x:t>
        </x:is>
      </x:c>
      <x:c r="K1132" s="527" t="inlineStr">
        <x:is>
          <x:t xml:space="preserve">OKCountyRecords official index, Roger Mills County (instrument 2001-001366); searched 06/11/2026</x:t>
        </x:is>
      </x:c>
      <x:c r="L1132" s="565" t="n"/>
      <x:c r="M1132" s="565" t="n"/>
      <x:c r="N1132" s="565" t="n"/>
      <x:c r="O1132" s="565" t="n"/>
      <x:c r="P1132" s="565" t="n"/>
      <x:c r="Q1132" s="565" t="n"/>
      <x:c r="R1132" s="565" t="n"/>
      <x:c r="S1132" s="613" t="n"/>
      <x:c r="T1132" s="565" t="n"/>
      <x:c r="U1132" s="613" t="n"/>
      <x:c r="V1132" s="565" t="n"/>
      <x:c r="W1132" s="565" t="n"/>
      <x:c r="X1132" s="565" t="n"/>
      <x:c r="Y1132" s="565" t="n"/>
      <x:c r="Z1132" s="565" t="n"/>
    </x:row>
    <x:row r="1133">
      <x:c r="A1133" s="527" t="inlineStr">
        <x:is>
          <x:t xml:space="preserve">2001-001414</x:t>
        </x:is>
      </x:c>
      <x:c r="B1133" s="527" t="n"/>
      <x:c r="C1133" s="527" t="inlineStr">
        <x:is>
          <x:t xml:space="preserve">Mineral Deed</x:t>
        </x:is>
      </x:c>
      <x:c r="D1133" s="527" t="inlineStr">
        <x:is>
          <x:t xml:space="preserve">1639/0206</x:t>
        </x:is>
      </x:c>
      <x:c r="E1133" s="529" t="inlineStr">
        <x:is>
          <x:t xml:space="preserve">04/06/2001</x:t>
        </x:is>
      </x:c>
      <x:c r="F1133" s="529" t="n">
        <x:v>36957</x:v>
      </x:c>
      <x:c r="G1133" s="527" t="inlineStr">
        <x:is>
          <x:t xml:space="preserve">Louise Ormand</x:t>
        </x:is>
      </x:c>
      <x:c r="H1133" s="527" t="inlineStr">
        <x:is>
          <x:t xml:space="preserve">Arrowhead Resources, Inc.</x:t>
        </x:is>
      </x:c>
      <x:c r="I1133" s="527" t="inlineStr">
        <x:is>
          <x:t xml:space="preserve">E/2 NW/4, N/2 NE/4 SW/4, NE/4 SE/4, SE/4 NE/4 of 31-12N-24W</x:t>
        </x:is>
      </x:c>
      <x:c r="J1133" s="527" t="inlineStr">
        <x:is>
          <x:t xml:space="preserve">Mineral</x:t>
        </x:is>
      </x:c>
      <x:c r="K1133" s="527" t="inlineStr">
        <x:is>
          <x:t xml:space="preserve">OKCountyRecords official index, Roger Mills County (instrument 2001-001414); searched 06/11/2026</x:t>
        </x:is>
      </x:c>
      <x:c r="L1133" s="565" t="n"/>
      <x:c r="M1133" s="565" t="n"/>
      <x:c r="N1133" s="565" t="n"/>
      <x:c r="O1133" s="565" t="n"/>
      <x:c r="P1133" s="565" t="n"/>
      <x:c r="Q1133" s="565" t="n"/>
      <x:c r="R1133" s="565" t="n"/>
      <x:c r="S1133" s="613" t="n"/>
      <x:c r="T1133" s="565" t="n"/>
      <x:c r="U1133" s="613" t="n"/>
      <x:c r="V1133" s="565" t="n"/>
      <x:c r="W1133" s="565" t="n"/>
      <x:c r="X1133" s="565" t="n"/>
      <x:c r="Y1133" s="565" t="n"/>
      <x:c r="Z1133" s="565" t="n"/>
    </x:row>
    <x:row r="1134">
      <x:c r="A1134" s="527" t="inlineStr">
        <x:is>
          <x:t xml:space="preserve">2001-001463</x:t>
        </x:is>
      </x:c>
      <x:c r="B1134" s="527" t="n"/>
      <x:c r="C1134" s="527" t="inlineStr">
        <x:is>
          <x:t xml:space="preserve">Mineral Deed</x:t>
        </x:is>
      </x:c>
      <x:c r="D1134" s="527" t="inlineStr">
        <x:is>
          <x:t xml:space="preserve">1639/0426</x:t>
        </x:is>
      </x:c>
      <x:c r="E1134" s="529" t="inlineStr">
        <x:is>
          <x:t xml:space="preserve">04/10/2001</x:t>
        </x:is>
      </x:c>
      <x:c r="F1134" s="529" t="n">
        <x:v>36963</x:v>
      </x:c>
      <x:c r="G1134" s="527" t="inlineStr">
        <x:is>
          <x:t xml:space="preserve">Glenn D. Mitchel</x:t>
        </x:is>
      </x:c>
      <x:c r="H1134" s="527" t="inlineStr">
        <x:is>
          <x:t xml:space="preserve">Arrowhead Resources, Inc.</x:t>
        </x:is>
      </x:c>
      <x:c r="I1134" s="527" t="inlineStr">
        <x:is>
          <x:t xml:space="preserve">E/2 NW/4, N/2 NE/4 SW/4, NE/4 SE/4, SE/4 NE/4 of 31-12N-24W (AOL)</x:t>
        </x:is>
      </x:c>
      <x:c r="J1134" s="527" t="inlineStr">
        <x:is>
          <x:t xml:space="preserve">Mineral</x:t>
        </x:is>
      </x:c>
      <x:c r="K1134" s="527" t="inlineStr">
        <x:is>
          <x:t xml:space="preserve">OKCountyRecords official index, Roger Mills County (instrument 2001-001463); searched 06/11/2026</x:t>
        </x:is>
      </x:c>
      <x:c r="L1134" s="565" t="n"/>
      <x:c r="M1134" s="565" t="n"/>
      <x:c r="N1134" s="565" t="n"/>
      <x:c r="O1134" s="565" t="n"/>
      <x:c r="P1134" s="565" t="n"/>
      <x:c r="Q1134" s="565" t="n"/>
      <x:c r="R1134" s="565" t="n"/>
      <x:c r="S1134" s="613" t="n"/>
      <x:c r="T1134" s="565" t="n"/>
      <x:c r="U1134" s="613" t="n"/>
      <x:c r="V1134" s="565" t="n"/>
      <x:c r="W1134" s="565" t="n"/>
      <x:c r="X1134" s="565" t="n"/>
      <x:c r="Y1134" s="565" t="n"/>
      <x:c r="Z1134" s="565" t="n"/>
    </x:row>
    <x:row r="1135">
      <x:c r="A1135" s="527" t="inlineStr">
        <x:is>
          <x:t xml:space="preserve">2001-001728</x:t>
        </x:is>
      </x:c>
      <x:c r="B1135" s="527" t="n"/>
      <x:c r="C1135" s="527" t="inlineStr">
        <x:is>
          <x:t xml:space="preserve">Assignment</x:t>
        </x:is>
      </x:c>
      <x:c r="D1135" s="527" t="inlineStr">
        <x:is>
          <x:t xml:space="preserve">1641/0027</x:t>
        </x:is>
      </x:c>
      <x:c r="E1135" s="529" t="inlineStr">
        <x:is>
          <x:t xml:space="preserve">04/24/2001</x:t>
        </x:is>
      </x:c>
      <x:c r="F1135" s="529" t="n">
        <x:v>36924</x:v>
      </x:c>
      <x:c r="G1135" s="527" t="inlineStr">
        <x:is>
          <x:t xml:space="preserve">R. Michael Lortz</x:t>
        </x:is>
      </x:c>
      <x:c r="H1135" s="527" t="inlineStr">
        <x:is>
          <x:t xml:space="preserve">Chesapeake Exploration Ltd. Ptn.</x:t>
        </x:is>
      </x:c>
      <x:c r="I1135" s="527" t="inlineStr">
        <x:is>
          <x:t xml:space="preserve">SE/4 SE/4, SW/4 NE/4, W/2 SE/4 of 31-12N-24W</x:t>
        </x:is>
      </x:c>
      <x:c r="J1135" s="527" t="inlineStr">
        <x:is>
          <x:t xml:space="preserve">Leasehold / WI</x:t>
        </x:is>
      </x:c>
      <x:c r="K1135" s="527" t="inlineStr">
        <x:is>
          <x:t xml:space="preserve">OKCountyRecords official index, Roger Mills County (instrument 2001-001728); searched 06/11/2026</x:t>
        </x:is>
      </x:c>
      <x:c r="L1135" s="565" t="n"/>
      <x:c r="M1135" s="565" t="n"/>
      <x:c r="N1135" s="565" t="n"/>
      <x:c r="O1135" s="565" t="n"/>
      <x:c r="P1135" s="565" t="n"/>
      <x:c r="Q1135" s="565" t="n"/>
      <x:c r="R1135" s="565" t="n"/>
      <x:c r="S1135" s="613" t="n"/>
      <x:c r="T1135" s="565" t="n"/>
      <x:c r="U1135" s="613" t="n"/>
      <x:c r="V1135" s="565" t="n"/>
      <x:c r="W1135" s="565" t="n"/>
      <x:c r="X1135" s="565" t="n"/>
      <x:c r="Y1135" s="565" t="n"/>
      <x:c r="Z1135" s="565" t="n"/>
    </x:row>
    <x:row r="1136">
      <x:c r="A1136" s="527" t="inlineStr">
        <x:is>
          <x:t xml:space="preserve">2001-001729</x:t>
        </x:is>
      </x:c>
      <x:c r="B1136" s="527" t="n"/>
      <x:c r="C1136" s="527" t="inlineStr">
        <x:is>
          <x:t xml:space="preserve">Assignment</x:t>
        </x:is>
      </x:c>
      <x:c r="D1136" s="527" t="inlineStr">
        <x:is>
          <x:t xml:space="preserve">1641/0028</x:t>
        </x:is>
      </x:c>
      <x:c r="E1136" s="529" t="inlineStr">
        <x:is>
          <x:t xml:space="preserve">04/24/2001</x:t>
        </x:is>
      </x:c>
      <x:c r="F1136" s="529" t="n">
        <x:v>36941</x:v>
      </x:c>
      <x:c r="G1136" s="527" t="inlineStr">
        <x:is>
          <x:t xml:space="preserve">R. Michael Lortz</x:t>
        </x:is>
      </x:c>
      <x:c r="H1136" s="527" t="inlineStr">
        <x:is>
          <x:t xml:space="preserve">Chesapeake Exploration Ltd. Ptn.</x:t>
        </x:is>
      </x:c>
      <x:c r="I1136" s="527" t="inlineStr">
        <x:is>
          <x:t xml:space="preserve">SE/4 SE/4, SW/4 NE/4, W/2 SE/4 of 31-12N-24W</x:t>
        </x:is>
      </x:c>
      <x:c r="J1136" s="527" t="inlineStr">
        <x:is>
          <x:t xml:space="preserve">Leasehold / WI</x:t>
        </x:is>
      </x:c>
      <x:c r="K1136" s="527" t="inlineStr">
        <x:is>
          <x:t xml:space="preserve">OKCountyRecords official index, Roger Mills County (instrument 2001-001729); searched 06/11/2026</x:t>
        </x:is>
      </x:c>
      <x:c r="L1136" s="565" t="n"/>
      <x:c r="M1136" s="565" t="n"/>
      <x:c r="N1136" s="565" t="n"/>
      <x:c r="O1136" s="565" t="n"/>
      <x:c r="P1136" s="565" t="n"/>
      <x:c r="Q1136" s="565" t="n"/>
      <x:c r="R1136" s="565" t="n"/>
      <x:c r="S1136" s="613" t="n"/>
      <x:c r="T1136" s="565" t="n"/>
      <x:c r="U1136" s="613" t="n"/>
      <x:c r="V1136" s="565" t="n"/>
      <x:c r="W1136" s="565" t="n"/>
      <x:c r="X1136" s="565" t="n"/>
      <x:c r="Y1136" s="565" t="n"/>
      <x:c r="Z1136" s="565" t="n"/>
    </x:row>
    <x:row r="1137">
      <x:c r="A1137" s="527" t="inlineStr">
        <x:is>
          <x:t xml:space="preserve">2001-001730</x:t>
        </x:is>
      </x:c>
      <x:c r="B1137" s="527" t="n"/>
      <x:c r="C1137" s="527" t="inlineStr">
        <x:is>
          <x:t xml:space="preserve">Assignment</x:t>
        </x:is>
      </x:c>
      <x:c r="D1137" s="527" t="inlineStr">
        <x:is>
          <x:t xml:space="preserve">1641/0029</x:t>
        </x:is>
      </x:c>
      <x:c r="E1137" s="529" t="inlineStr">
        <x:is>
          <x:t xml:space="preserve">04/24/2001</x:t>
        </x:is>
      </x:c>
      <x:c r="F1137" s="529" t="n">
        <x:v>36945</x:v>
      </x:c>
      <x:c r="G1137" s="527" t="inlineStr">
        <x:is>
          <x:t xml:space="preserve">R. Michael Lortz</x:t>
        </x:is>
      </x:c>
      <x:c r="H1137" s="527" t="inlineStr">
        <x:is>
          <x:t xml:space="preserve">Chesapeake Exploration Ltd. Ptn.</x:t>
        </x:is>
      </x:c>
      <x:c r="I1137" s="527" t="inlineStr">
        <x:is>
          <x:t xml:space="preserve">SE/4 SE/4, SW/4 NE/4, W/2 SE/4 of 31-12N-24W</x:t>
        </x:is>
      </x:c>
      <x:c r="J1137" s="527" t="inlineStr">
        <x:is>
          <x:t xml:space="preserve">Leasehold / WI</x:t>
        </x:is>
      </x:c>
      <x:c r="K1137" s="527" t="inlineStr">
        <x:is>
          <x:t xml:space="preserve">OKCountyRecords official index, Roger Mills County (instrument 2001-001730); searched 06/11/2026</x:t>
        </x:is>
      </x:c>
      <x:c r="L1137" s="565" t="n"/>
      <x:c r="M1137" s="565" t="n"/>
      <x:c r="N1137" s="565" t="n"/>
      <x:c r="O1137" s="565" t="n"/>
      <x:c r="P1137" s="565" t="n"/>
      <x:c r="Q1137" s="565" t="n"/>
      <x:c r="R1137" s="565" t="n"/>
      <x:c r="S1137" s="613" t="n"/>
      <x:c r="T1137" s="565" t="n"/>
      <x:c r="U1137" s="613" t="n"/>
      <x:c r="V1137" s="565" t="n"/>
      <x:c r="W1137" s="565" t="n"/>
      <x:c r="X1137" s="565" t="n"/>
      <x:c r="Y1137" s="565" t="n"/>
      <x:c r="Z1137" s="565" t="n"/>
    </x:row>
    <x:row r="1138">
      <x:c r="A1138" s="527" t="inlineStr">
        <x:is>
          <x:t xml:space="preserve">2001-001731</x:t>
        </x:is>
      </x:c>
      <x:c r="B1138" s="527" t="n"/>
      <x:c r="C1138" s="527" t="inlineStr">
        <x:is>
          <x:t xml:space="preserve">Oil and Gas Lease</x:t>
        </x:is>
      </x:c>
      <x:c r="D1138" s="527" t="inlineStr">
        <x:is>
          <x:t xml:space="preserve">1641/0030</x:t>
        </x:is>
      </x:c>
      <x:c r="E1138" s="529" t="inlineStr">
        <x:is>
          <x:t xml:space="preserve">04/24/2001</x:t>
        </x:is>
      </x:c>
      <x:c r="F1138" s="529" t="n">
        <x:v>36948</x:v>
      </x:c>
      <x:c r="G1138" s="527" t="inlineStr">
        <x:is>
          <x:t xml:space="preserve">R. Michael Lortz</x:t>
        </x:is>
      </x:c>
      <x:c r="H1138" s="527" t="inlineStr">
        <x:is>
          <x:t xml:space="preserve">Chesapeake Exploration Ltd. Ptn.</x:t>
        </x:is>
      </x:c>
      <x:c r="I1138" s="527" t="inlineStr">
        <x:is>
          <x:t xml:space="preserve">E/2 NW/4, N/2 NE/4 SW/4, NE/4 NE/4 SE/4, SE/4 NE/4 of 31-12N-24W</x:t>
        </x:is>
      </x:c>
      <x:c r="J1138" s="527" t="inlineStr">
        <x:is>
          <x:t xml:space="preserve">Leasehold / WI</x:t>
        </x:is>
      </x:c>
      <x:c r="K1138" s="527" t="inlineStr">
        <x:is>
          <x:t xml:space="preserve">OKCountyRecords official index, Roger Mills County (instrument 2001-001731); searched 06/11/2026</x:t>
        </x:is>
      </x:c>
      <x:c r="L1138" s="565" t="n"/>
      <x:c r="M1138" s="565" t="n"/>
      <x:c r="N1138" s="565" t="n"/>
      <x:c r="O1138" s="565" t="n"/>
      <x:c r="P1138" s="565" t="n"/>
      <x:c r="Q1138" s="565" t="n"/>
      <x:c r="R1138" s="565" t="n"/>
      <x:c r="S1138" s="613" t="n"/>
      <x:c r="T1138" s="565" t="n"/>
      <x:c r="U1138" s="613" t="n"/>
      <x:c r="V1138" s="565" t="n"/>
      <x:c r="W1138" s="565" t="n"/>
      <x:c r="X1138" s="565" t="n"/>
      <x:c r="Y1138" s="565" t="n"/>
      <x:c r="Z1138" s="565" t="n"/>
    </x:row>
    <x:row r="1139">
      <x:c r="A1139" s="527" t="inlineStr">
        <x:is>
          <x:t xml:space="preserve">2001-001732</x:t>
        </x:is>
      </x:c>
      <x:c r="B1139" s="527" t="n"/>
      <x:c r="C1139" s="527" t="inlineStr">
        <x:is>
          <x:t xml:space="preserve">Assignment</x:t>
        </x:is>
      </x:c>
      <x:c r="D1139" s="527" t="inlineStr">
        <x:is>
          <x:t xml:space="preserve">1641/0031</x:t>
        </x:is>
      </x:c>
      <x:c r="E1139" s="529" t="inlineStr">
        <x:is>
          <x:t xml:space="preserve">04/24/2001</x:t>
        </x:is>
      </x:c>
      <x:c r="F1139" s="529" t="n">
        <x:v>36948</x:v>
      </x:c>
      <x:c r="G1139" s="527" t="inlineStr">
        <x:is>
          <x:t xml:space="preserve">R. Michael Lortz</x:t>
        </x:is>
      </x:c>
      <x:c r="H1139" s="527" t="inlineStr">
        <x:is>
          <x:t xml:space="preserve">Chesapeake Exploration Ltd. Ptn.</x:t>
        </x:is>
      </x:c>
      <x:c r="I1139" s="527" t="inlineStr">
        <x:is>
          <x:t xml:space="preserve">E/2 NW/4, N/2 NE/4 SW/4, NE/4 SE/4, SE/4 NE/4 of 31-12N-24W</x:t>
        </x:is>
      </x:c>
      <x:c r="J1139" s="527" t="inlineStr">
        <x:is>
          <x:t xml:space="preserve">Leasehold / WI</x:t>
        </x:is>
      </x:c>
      <x:c r="K1139" s="527" t="inlineStr">
        <x:is>
          <x:t xml:space="preserve">OKCountyRecords official index, Roger Mills County (instrument 2001-001732); searched 06/11/2026</x:t>
        </x:is>
      </x:c>
      <x:c r="L1139" s="565" t="n"/>
      <x:c r="M1139" s="565" t="n"/>
      <x:c r="N1139" s="565" t="n"/>
      <x:c r="O1139" s="565" t="n"/>
      <x:c r="P1139" s="565" t="n"/>
      <x:c r="Q1139" s="565" t="n"/>
      <x:c r="R1139" s="565" t="n"/>
      <x:c r="S1139" s="613" t="n"/>
      <x:c r="T1139" s="565" t="n"/>
      <x:c r="U1139" s="613" t="n"/>
      <x:c r="V1139" s="565" t="n"/>
      <x:c r="W1139" s="565" t="n"/>
      <x:c r="X1139" s="565" t="n"/>
      <x:c r="Y1139" s="565" t="n"/>
      <x:c r="Z1139" s="565" t="n"/>
    </x:row>
    <x:row r="1140">
      <x:c r="A1140" s="527" t="inlineStr">
        <x:is>
          <x:t xml:space="preserve">2001-002014</x:t>
        </x:is>
      </x:c>
      <x:c r="B1140" s="527" t="n"/>
      <x:c r="C1140" s="527" t="inlineStr">
        <x:is>
          <x:t xml:space="preserve">Oil and Gas Lease</x:t>
        </x:is>
      </x:c>
      <x:c r="D1140" s="527" t="inlineStr">
        <x:is>
          <x:t xml:space="preserve">1642/0097</x:t>
        </x:is>
      </x:c>
      <x:c r="E1140" s="529" t="inlineStr">
        <x:is>
          <x:t xml:space="preserve">05/08/2001</x:t>
        </x:is>
      </x:c>
      <x:c r="F1140" s="529" t="n">
        <x:v>36951</x:v>
      </x:c>
      <x:c r="G1140" s="527" t="inlineStr">
        <x:is>
          <x:t xml:space="preserve">William Clifton Bain</x:t>
        </x:is>
      </x:c>
      <x:c r="H1140" s="527" t="inlineStr">
        <x:is>
          <x:t xml:space="preserve">R. Michael Lortz</x:t>
        </x:is>
      </x:c>
      <x:c r="I1140" s="527" t="inlineStr">
        <x:is>
          <x:t xml:space="preserve">SE/4 SE/4, SW/4 NE/4, W/2 SE/4 of 31-12N-24W</x:t>
        </x:is>
      </x:c>
      <x:c r="J1140" s="527" t="inlineStr">
        <x:is>
          <x:t xml:space="preserve">Leasehold / WI</x:t>
        </x:is>
      </x:c>
      <x:c r="K1140" s="527" t="inlineStr">
        <x:is>
          <x:t xml:space="preserve">OKCountyRecords official index, Roger Mills County (instrument 2001-002014); searched 06/11/2026</x:t>
        </x:is>
      </x:c>
      <x:c r="L1140" s="565" t="n"/>
      <x:c r="M1140" s="565" t="n"/>
      <x:c r="N1140" s="565" t="n"/>
      <x:c r="O1140" s="565" t="n"/>
      <x:c r="P1140" s="565" t="n"/>
      <x:c r="Q1140" s="565" t="n"/>
      <x:c r="R1140" s="565" t="n"/>
      <x:c r="S1140" s="613" t="n"/>
      <x:c r="T1140" s="565" t="n"/>
      <x:c r="U1140" s="613" t="n"/>
      <x:c r="V1140" s="565" t="n"/>
      <x:c r="W1140" s="565" t="n"/>
      <x:c r="X1140" s="565" t="n"/>
      <x:c r="Y1140" s="565" t="n"/>
      <x:c r="Z1140" s="565" t="n"/>
    </x:row>
    <x:row r="1141">
      <x:c r="A1141" s="527" t="inlineStr">
        <x:is>
          <x:t xml:space="preserve">2001-002015</x:t>
        </x:is>
      </x:c>
      <x:c r="B1141" s="527" t="n"/>
      <x:c r="C1141" s="527" t="inlineStr">
        <x:is>
          <x:t xml:space="preserve">Oil and Gas Lease</x:t>
        </x:is>
      </x:c>
      <x:c r="D1141" s="527" t="inlineStr">
        <x:is>
          <x:t xml:space="preserve">1642/0099</x:t>
        </x:is>
      </x:c>
      <x:c r="E1141" s="529" t="inlineStr">
        <x:is>
          <x:t xml:space="preserve">05/08/2001</x:t>
        </x:is>
      </x:c>
      <x:c r="F1141" s="529" t="n">
        <x:v>36951</x:v>
      </x:c>
      <x:c r="G1141" s="527" t="inlineStr">
        <x:is>
          <x:t xml:space="preserve">Paul Milton Bain</x:t>
        </x:is>
      </x:c>
      <x:c r="H1141" s="527" t="inlineStr">
        <x:is>
          <x:t xml:space="preserve">R. Michael Lortz</x:t>
        </x:is>
      </x:c>
      <x:c r="I1141" s="527" t="inlineStr">
        <x:is>
          <x:t xml:space="preserve">SE/4 SE/4, SW/4 NE/4, W/2 SE/4 of 31-12N-24W</x:t>
        </x:is>
      </x:c>
      <x:c r="J1141" s="527" t="inlineStr">
        <x:is>
          <x:t xml:space="preserve">Leasehold / WI</x:t>
        </x:is>
      </x:c>
      <x:c r="K1141" s="527" t="inlineStr">
        <x:is>
          <x:t xml:space="preserve">OKCountyRecords official index, Roger Mills County (instrument 2001-002015); searched 06/11/2026</x:t>
        </x:is>
      </x:c>
      <x:c r="L1141" s="565" t="n"/>
      <x:c r="M1141" s="565" t="n"/>
      <x:c r="N1141" s="565" t="n"/>
      <x:c r="O1141" s="565" t="n"/>
      <x:c r="P1141" s="565" t="n"/>
      <x:c r="Q1141" s="565" t="n"/>
      <x:c r="R1141" s="565" t="n"/>
      <x:c r="S1141" s="613" t="n"/>
      <x:c r="T1141" s="565" t="n"/>
      <x:c r="U1141" s="613" t="n"/>
      <x:c r="V1141" s="565" t="n"/>
      <x:c r="W1141" s="565" t="n"/>
      <x:c r="X1141" s="565" t="n"/>
      <x:c r="Y1141" s="565" t="n"/>
      <x:c r="Z1141" s="565" t="n"/>
    </x:row>
    <x:row r="1142">
      <x:c r="A1142" s="527" t="inlineStr">
        <x:is>
          <x:t xml:space="preserve">2001-002016</x:t>
        </x:is>
      </x:c>
      <x:c r="B1142" s="527" t="n"/>
      <x:c r="C1142" s="527" t="inlineStr">
        <x:is>
          <x:t xml:space="preserve">Oil and Gas Lease</x:t>
        </x:is>
      </x:c>
      <x:c r="D1142" s="527" t="inlineStr">
        <x:is>
          <x:t xml:space="preserve">1642/0102</x:t>
        </x:is>
      </x:c>
      <x:c r="E1142" s="529" t="inlineStr">
        <x:is>
          <x:t xml:space="preserve">05/08/2001</x:t>
        </x:is>
      </x:c>
      <x:c r="F1142" s="529" t="n">
        <x:v>36951</x:v>
      </x:c>
      <x:c r="G1142" s="527" t="inlineStr">
        <x:is>
          <x:t xml:space="preserve">Michael L. Bain</x:t>
        </x:is>
      </x:c>
      <x:c r="H1142" s="527" t="inlineStr">
        <x:is>
          <x:t xml:space="preserve">R. Michael Lortz</x:t>
        </x:is>
      </x:c>
      <x:c r="I1142" s="527" t="inlineStr">
        <x:is>
          <x:t xml:space="preserve">SE/4 SE/4, SW/4 NE/4, W/2 SE/4 of 31-12N-24W</x:t>
        </x:is>
      </x:c>
      <x:c r="J1142" s="527" t="inlineStr">
        <x:is>
          <x:t xml:space="preserve">Leasehold / WI</x:t>
        </x:is>
      </x:c>
      <x:c r="K1142" s="527" t="inlineStr">
        <x:is>
          <x:t xml:space="preserve">OKCountyRecords official index, Roger Mills County (instrument 2001-002016); searched 06/11/2026</x:t>
        </x:is>
      </x:c>
      <x:c r="L1142" s="565" t="n"/>
      <x:c r="M1142" s="565" t="n"/>
      <x:c r="N1142" s="565" t="n"/>
      <x:c r="O1142" s="565" t="n"/>
      <x:c r="P1142" s="565" t="n"/>
      <x:c r="Q1142" s="565" t="n"/>
      <x:c r="R1142" s="565" t="n"/>
      <x:c r="S1142" s="613" t="n"/>
      <x:c r="T1142" s="565" t="n"/>
      <x:c r="U1142" s="613" t="n"/>
      <x:c r="V1142" s="565" t="n"/>
      <x:c r="W1142" s="565" t="n"/>
      <x:c r="X1142" s="565" t="n"/>
      <x:c r="Y1142" s="565" t="n"/>
      <x:c r="Z1142" s="565" t="n"/>
    </x:row>
    <x:row r="1143">
      <x:c r="A1143" s="527" t="inlineStr">
        <x:is>
          <x:t xml:space="preserve">2001-002190</x:t>
        </x:is>
      </x:c>
      <x:c r="B1143" s="527" t="n"/>
      <x:c r="C1143" s="527" t="inlineStr">
        <x:is>
          <x:t xml:space="preserve">Quit Claim Deed</x:t>
        </x:is>
      </x:c>
      <x:c r="D1143" s="527" t="inlineStr">
        <x:is>
          <x:t xml:space="preserve">1642/0532</x:t>
        </x:is>
      </x:c>
      <x:c r="E1143" s="529" t="inlineStr">
        <x:is>
          <x:t xml:space="preserve">05/18/2001</x:t>
        </x:is>
      </x:c>
      <x:c r="F1143" s="529" t="n">
        <x:v>37022</x:v>
      </x:c>
      <x:c r="G1143" s="527" t="inlineStr">
        <x:is>
          <x:t xml:space="preserve">Leonard Herzberg,
Mary Alice Herzberg</x:t>
        </x:is>
      </x:c>
      <x:c r="H1143" s="527" t="inlineStr">
        <x:is>
          <x:t xml:space="preserve">Mary Alice Herzberg</x:t>
        </x:is>
      </x:c>
      <x:c r="I1143" s="527" t="inlineStr">
        <x:is>
          <x:t xml:space="preserve">Lots 1 of 31-12N-24W</x:t>
        </x:is>
      </x:c>
      <x:c r="J1143" s="527" t="inlineStr">
        <x:is>
          <x:t xml:space="preserve">Fee / as stated</x:t>
        </x:is>
      </x:c>
      <x:c r="K1143" s="527" t="inlineStr">
        <x:is>
          <x:t xml:space="preserve">OKCountyRecords official index, Roger Mills County (instrument 2001-002190); searched 06/11/2026</x:t>
        </x:is>
      </x:c>
      <x:c r="L1143" s="565" t="n"/>
      <x:c r="M1143" s="565" t="n"/>
      <x:c r="N1143" s="565" t="n"/>
      <x:c r="O1143" s="565" t="n"/>
      <x:c r="P1143" s="565" t="n"/>
      <x:c r="Q1143" s="565" t="n"/>
      <x:c r="R1143" s="565" t="n"/>
      <x:c r="S1143" s="613" t="n"/>
      <x:c r="T1143" s="565" t="n"/>
      <x:c r="U1143" s="613" t="n"/>
      <x:c r="V1143" s="565" t="n"/>
      <x:c r="W1143" s="565" t="n"/>
      <x:c r="X1143" s="565" t="n"/>
      <x:c r="Y1143" s="565" t="n"/>
      <x:c r="Z1143" s="565" t="n"/>
    </x:row>
    <x:row r="1144">
      <x:c r="A1144" s="527" t="inlineStr">
        <x:is>
          <x:t xml:space="preserve">2001-002342</x:t>
        </x:is>
      </x:c>
      <x:c r="B1144" s="527" t="n"/>
      <x:c r="C1144" s="527" t="inlineStr">
        <x:is>
          <x:t xml:space="preserve">Decree</x:t>
        </x:is>
      </x:c>
      <x:c r="D1144" s="527" t="inlineStr">
        <x:is>
          <x:t xml:space="preserve">1643/0389</x:t>
        </x:is>
      </x:c>
      <x:c r="E1144" s="529" t="inlineStr">
        <x:is>
          <x:t xml:space="preserve">05/23/2001</x:t>
        </x:is>
      </x:c>
      <x:c r="F1144" s="529" t="n">
        <x:v>37014</x:v>
      </x:c>
      <x:c r="G1144" s="527" t="inlineStr">
        <x:is>
          <x:t xml:space="preserve">Jack E. Barnett, Deceased</x:t>
        </x:is>
      </x:c>
      <x:c r="H1144" s="527" t="inlineStr">
        <x:is>
          <x:t xml:space="preserve">The Public</x:t>
        </x:is>
      </x:c>
      <x:c r="I1144" s="527" t="inlineStr">
        <x:is>
          <x:t xml:space="preserve">E/2 NW/4, N/2 NE/4 SW/4, NE/4 SE/4, SE/4 NE/4 of 31-12N-24W (AOL)</x:t>
        </x:is>
      </x:c>
      <x:c r="J1144" s="527" t="inlineStr">
        <x:is>
          <x:t xml:space="preserve">Fee / as stated</x:t>
        </x:is>
      </x:c>
      <x:c r="K1144" s="527" t="inlineStr">
        <x:is>
          <x:t xml:space="preserve">OKCountyRecords official index, Roger Mills County (instrument 2001-002342); searched 06/11/2026</x:t>
        </x:is>
      </x:c>
      <x:c r="L1144" s="565" t="n"/>
      <x:c r="M1144" s="565" t="n"/>
      <x:c r="N1144" s="565" t="n"/>
      <x:c r="O1144" s="565" t="n"/>
      <x:c r="P1144" s="565" t="n"/>
      <x:c r="Q1144" s="565" t="n"/>
      <x:c r="R1144" s="565" t="n"/>
      <x:c r="S1144" s="613" t="n"/>
      <x:c r="T1144" s="565" t="n"/>
      <x:c r="U1144" s="613" t="n"/>
      <x:c r="V1144" s="565" t="n"/>
      <x:c r="W1144" s="565" t="n"/>
      <x:c r="X1144" s="565" t="n"/>
      <x:c r="Y1144" s="565" t="n"/>
      <x:c r="Z1144" s="565" t="n"/>
    </x:row>
    <x:row r="1145">
      <x:c r="A1145" s="527" t="inlineStr">
        <x:is>
          <x:t xml:space="preserve">2001-002353</x:t>
        </x:is>
      </x:c>
      <x:c r="B1145" s="527" t="n"/>
      <x:c r="C1145" s="527" t="inlineStr">
        <x:is>
          <x:t xml:space="preserve">Assignment</x:t>
        </x:is>
      </x:c>
      <x:c r="D1145" s="527" t="inlineStr">
        <x:is>
          <x:t xml:space="preserve">1643/0421</x:t>
        </x:is>
      </x:c>
      <x:c r="E1145" s="529" t="inlineStr">
        <x:is>
          <x:t xml:space="preserve">05/23/2001</x:t>
        </x:is>
      </x:c>
      <x:c r="F1145" s="529" t="n">
        <x:v>37031</x:v>
      </x:c>
      <x:c r="G1145" s="527" t="inlineStr">
        <x:is>
          <x:t xml:space="preserve">R. Michael Lortz</x:t>
        </x:is>
      </x:c>
      <x:c r="H1145" s="527" t="inlineStr">
        <x:is>
          <x:t xml:space="preserve">Chesapeake Exploration Ltd. Ptn.</x:t>
        </x:is>
      </x:c>
      <x:c r="I1145" s="527" t="inlineStr">
        <x:is>
          <x:t xml:space="preserve">SE/4 SE/4, SW/4 NE/4, W/2 SE/4 of 31-12N-24W</x:t>
        </x:is>
      </x:c>
      <x:c r="J1145" s="527" t="inlineStr">
        <x:is>
          <x:t xml:space="preserve">Leasehold / WI</x:t>
        </x:is>
      </x:c>
      <x:c r="K1145" s="527" t="inlineStr">
        <x:is>
          <x:t xml:space="preserve">OKCountyRecords official index, Roger Mills County (instrument 2001-002353); searched 06/11/2026</x:t>
        </x:is>
      </x:c>
      <x:c r="L1145" s="565" t="n"/>
      <x:c r="M1145" s="565" t="n"/>
      <x:c r="N1145" s="565" t="n"/>
      <x:c r="O1145" s="565" t="n"/>
      <x:c r="P1145" s="565" t="n"/>
      <x:c r="Q1145" s="565" t="n"/>
      <x:c r="R1145" s="565" t="n"/>
      <x:c r="S1145" s="613" t="n"/>
      <x:c r="T1145" s="565" t="n"/>
      <x:c r="U1145" s="613" t="n"/>
      <x:c r="V1145" s="565" t="n"/>
      <x:c r="W1145" s="565" t="n"/>
      <x:c r="X1145" s="565" t="n"/>
      <x:c r="Y1145" s="565" t="n"/>
      <x:c r="Z1145" s="565" t="n"/>
    </x:row>
    <x:row r="1146">
      <x:c r="A1146" s="527" t="inlineStr">
        <x:is>
          <x:t xml:space="preserve">2001-002354</x:t>
        </x:is>
      </x:c>
      <x:c r="B1146" s="527" t="n"/>
      <x:c r="C1146" s="527" t="inlineStr">
        <x:is>
          <x:t xml:space="preserve">Assignment</x:t>
        </x:is>
      </x:c>
      <x:c r="D1146" s="527" t="inlineStr">
        <x:is>
          <x:t xml:space="preserve">1643/0422</x:t>
        </x:is>
      </x:c>
      <x:c r="E1146" s="529" t="inlineStr">
        <x:is>
          <x:t xml:space="preserve">05/23/2001</x:t>
        </x:is>
      </x:c>
      <x:c r="F1146" s="529" t="n">
        <x:v>36990</x:v>
      </x:c>
      <x:c r="G1146" s="527" t="inlineStr">
        <x:is>
          <x:t xml:space="preserve">R. Michael Lortz</x:t>
        </x:is>
      </x:c>
      <x:c r="H1146" s="527" t="inlineStr">
        <x:is>
          <x:t xml:space="preserve">Chesapeake Exploration Ltd. Ptn.</x:t>
        </x:is>
      </x:c>
      <x:c r="I1146" s="527" t="inlineStr">
        <x:is>
          <x:t xml:space="preserve">SE/4 SE/4, SW/4 NE/4, W/2 SE/4 of 31-12N-24W</x:t>
        </x:is>
      </x:c>
      <x:c r="J1146" s="527" t="inlineStr">
        <x:is>
          <x:t xml:space="preserve">Leasehold / WI</x:t>
        </x:is>
      </x:c>
      <x:c r="K1146" s="527" t="inlineStr">
        <x:is>
          <x:t xml:space="preserve">OKCountyRecords official index, Roger Mills County (instrument 2001-002354); searched 06/11/2026</x:t>
        </x:is>
      </x:c>
      <x:c r="L1146" s="565" t="n"/>
      <x:c r="M1146" s="565" t="n"/>
      <x:c r="N1146" s="565" t="n"/>
      <x:c r="O1146" s="565" t="n"/>
      <x:c r="P1146" s="565" t="n"/>
      <x:c r="Q1146" s="565" t="n"/>
      <x:c r="R1146" s="565" t="n"/>
      <x:c r="S1146" s="613" t="n"/>
      <x:c r="T1146" s="565" t="n"/>
      <x:c r="U1146" s="613" t="n"/>
      <x:c r="V1146" s="565" t="n"/>
      <x:c r="W1146" s="565" t="n"/>
      <x:c r="X1146" s="565" t="n"/>
      <x:c r="Y1146" s="565" t="n"/>
      <x:c r="Z1146" s="565" t="n"/>
    </x:row>
    <x:row r="1147">
      <x:c r="A1147" s="527" t="inlineStr">
        <x:is>
          <x:t xml:space="preserve">2001-002496</x:t>
        </x:is>
      </x:c>
      <x:c r="B1147" s="527" t="n"/>
      <x:c r="C1147" s="527" t="inlineStr">
        <x:is>
          <x:t xml:space="preserve">Joint Tenancy Warranty Deed</x:t>
        </x:is>
      </x:c>
      <x:c r="D1147" s="527" t="inlineStr">
        <x:is>
          <x:t xml:space="preserve">1644/0460</x:t>
        </x:is>
      </x:c>
      <x:c r="E1147" s="529" t="inlineStr">
        <x:is>
          <x:t xml:space="preserve">05/30/2001</x:t>
        </x:is>
      </x:c>
      <x:c r="F1147" s="529" t="n">
        <x:v>37034</x:v>
      </x:c>
      <x:c r="G1147" s="527" t="inlineStr">
        <x:is>
          <x:t xml:space="preserve">Leonard Herzberg,
Mary Alice Herzberg</x:t>
        </x:is>
      </x:c>
      <x:c r="H1147" s="527" t="inlineStr">
        <x:is>
          <x:t xml:space="preserve">Carolyn Coots,
Wendell Coots</x:t>
        </x:is>
      </x:c>
      <x:c r="I1147" s="527" t="inlineStr">
        <x:is>
          <x:t xml:space="preserve">Lots 1 of 31-12N-24W</x:t>
        </x:is>
      </x:c>
      <x:c r="J1147" s="527" t="inlineStr">
        <x:is>
          <x:t xml:space="preserve">Fee / as stated</x:t>
        </x:is>
      </x:c>
      <x:c r="K1147" s="527" t="inlineStr">
        <x:is>
          <x:t xml:space="preserve">OKCountyRecords official index, Roger Mills County (instrument 2001-002496); searched 06/11/2026</x:t>
        </x:is>
      </x:c>
      <x:c r="L1147" s="565" t="n"/>
      <x:c r="M1147" s="565" t="n"/>
      <x:c r="N1147" s="565" t="n"/>
      <x:c r="O1147" s="565" t="n"/>
      <x:c r="P1147" s="565" t="n"/>
      <x:c r="Q1147" s="565" t="n"/>
      <x:c r="R1147" s="565" t="n"/>
      <x:c r="S1147" s="613" t="n"/>
      <x:c r="T1147" s="565" t="n"/>
      <x:c r="U1147" s="613" t="n"/>
      <x:c r="V1147" s="565" t="n"/>
      <x:c r="W1147" s="565" t="n"/>
      <x:c r="X1147" s="565" t="n"/>
      <x:c r="Y1147" s="565" t="n"/>
      <x:c r="Z1147" s="565" t="n"/>
    </x:row>
    <x:row r="1148">
      <x:c r="A1148" s="527" t="inlineStr">
        <x:is>
          <x:t xml:space="preserve">2002-001685</x:t>
        </x:is>
      </x:c>
      <x:c r="B1148" s="527" t="n"/>
      <x:c r="C1148" s="527" t="inlineStr">
        <x:is>
          <x:t xml:space="preserve">Assignment</x:t>
        </x:is>
      </x:c>
      <x:c r="D1148" s="527" t="inlineStr">
        <x:is>
          <x:t xml:space="preserve">1676/0140</x:t>
        </x:is>
      </x:c>
      <x:c r="E1148" s="529" t="inlineStr">
        <x:is>
          <x:t xml:space="preserve">04/22/2002</x:t>
        </x:is>
      </x:c>
      <x:c r="F1148" s="529" t="n">
        <x:v>37348</x:v>
      </x:c>
      <x:c r="G1148" s="527" t="inlineStr">
        <x:is>
          <x:t xml:space="preserve">Richard C. Cope</x:t>
        </x:is>
      </x:c>
      <x:c r="H1148" s="527" t="inlineStr">
        <x:is>
          <x:t xml:space="preserve">Duncan, Walter Oil</x:t>
        </x:is>
      </x:c>
      <x:c r="I1148" s="527" t="inlineStr">
        <x:is>
          <x:t xml:space="preserve">NE/4 of 31-12N-24W (AOL)</x:t>
        </x:is>
      </x:c>
      <x:c r="J1148" s="527" t="inlineStr">
        <x:is>
          <x:t xml:space="preserve">Leasehold / WI</x:t>
        </x:is>
      </x:c>
      <x:c r="K1148" s="527" t="inlineStr">
        <x:is>
          <x:t xml:space="preserve">OKCountyRecords official index, Roger Mills County (instrument 2002-001685); searched 06/11/2026</x:t>
        </x:is>
      </x:c>
      <x:c r="L1148" s="565" t="n"/>
      <x:c r="M1148" s="565" t="n"/>
      <x:c r="N1148" s="565" t="n"/>
      <x:c r="O1148" s="565" t="n"/>
      <x:c r="P1148" s="565" t="n"/>
      <x:c r="Q1148" s="565" t="n"/>
      <x:c r="R1148" s="565" t="n"/>
      <x:c r="S1148" s="613" t="n"/>
      <x:c r="T1148" s="565" t="n"/>
      <x:c r="U1148" s="613" t="n"/>
      <x:c r="V1148" s="565" t="n"/>
      <x:c r="W1148" s="565" t="n"/>
      <x:c r="X1148" s="565" t="n"/>
      <x:c r="Y1148" s="565" t="n"/>
      <x:c r="Z1148" s="565" t="n"/>
    </x:row>
    <x:row r="1149">
      <x:c r="A1149" s="527" t="inlineStr">
        <x:is>
          <x:t xml:space="preserve">2002-001764</x:t>
        </x:is>
      </x:c>
      <x:c r="B1149" s="527" t="n">
        <x:v>13</x:v>
      </x:c>
      <x:c r="C1149" s="527" t="inlineStr">
        <x:is>
          <x:t xml:space="preserve">Oil and Gas Lease</x:t>
        </x:is>
      </x:c>
      <x:c r="D1149" s="527" t="inlineStr">
        <x:is>
          <x:t xml:space="preserve">1676/0377</x:t>
        </x:is>
      </x:c>
      <x:c r="E1149" s="529" t="inlineStr">
        <x:is>
          <x:t xml:space="preserve">04/26/2002</x:t>
        </x:is>
      </x:c>
      <x:c r="F1149" s="529" t="n">
        <x:v>37347</x:v>
      </x:c>
      <x:c r="G1149" s="527" t="inlineStr">
        <x:is>
          <x:t xml:space="preserve">Myron V. Slobin</x:t>
        </x:is>
      </x:c>
      <x:c r="H1149" s="527" t="inlineStr">
        <x:is>
          <x:t xml:space="preserve">Chesapeake Exploration Ltd. Ptn.</x:t>
        </x:is>
      </x:c>
      <x:c r="I1149" s="527" t="inlineStr">
        <x:is>
          <x:t xml:space="preserve">NW/4 SE/4, S/2 SE/4, SW/4 NE/4 of 31-12N-24W</x:t>
        </x:is>
      </x:c>
      <x:c r="J1149" s="527" t="inlineStr">
        <x:is>
          <x:t xml:space="preserve">Leasehold / WI</x:t>
        </x:is>
      </x:c>
      <x:c r="K1149" s="527" t="inlineStr">
        <x:is>
          <x:t xml:space="preserve">OKCountyRecords official index, Roger Mills County (instrument 2002-001764); searched 06/11/2026</x:t>
        </x:is>
      </x:c>
      <x:c r="L1149" s="565" t="n"/>
      <x:c r="M1149" s="565" t="n"/>
      <x:c r="N1149" s="565" t="n"/>
      <x:c r="O1149" s="565" t="n"/>
      <x:c r="P1149" s="565" t="n"/>
      <x:c r="Q1149" s="565" t="n"/>
      <x:c r="R1149" s="565" t="n"/>
      <x:c r="S1149" s="613" t="n"/>
      <x:c r="T1149" s="565" t="n"/>
      <x:c r="U1149" s="613" t="n"/>
      <x:c r="V1149" s="565" t="n"/>
      <x:c r="W1149" s="565" t="n"/>
      <x:c r="X1149" s="565" t="n"/>
      <x:c r="Y1149" s="565" t="n"/>
      <x:c r="Z1149" s="565" t="n"/>
    </x:row>
    <x:row r="1150">
      <x:c r="A1150" s="527" t="inlineStr">
        <x:is>
          <x:t xml:space="preserve">2002-001765</x:t>
        </x:is>
      </x:c>
      <x:c r="B1150" s="527" t="n">
        <x:v>14</x:v>
      </x:c>
      <x:c r="C1150" s="527" t="inlineStr">
        <x:is>
          <x:t xml:space="preserve">Oil and Gas Lease</x:t>
        </x:is>
      </x:c>
      <x:c r="D1150" s="527" t="inlineStr">
        <x:is>
          <x:t xml:space="preserve">1676/0379</x:t>
        </x:is>
      </x:c>
      <x:c r="E1150" s="529" t="inlineStr">
        <x:is>
          <x:t xml:space="preserve">04/26/2002</x:t>
        </x:is>
      </x:c>
      <x:c r="F1150" s="529" t="n">
        <x:v>37354</x:v>
      </x:c>
      <x:c r="G1150" s="527" t="inlineStr">
        <x:is>
          <x:t xml:space="preserve">Paul A. Prsnl Repres Albert</x:t>
        </x:is>
      </x:c>
      <x:c r="H1150" s="527" t="inlineStr">
        <x:is>
          <x:t xml:space="preserve">Chesapeake Exploration Ltd. Ptn.</x:t>
        </x:is>
      </x:c>
      <x:c r="I1150" s="527" t="inlineStr">
        <x:is>
          <x:t xml:space="preserve">SE/4 SW/4 of 31-12N-24W</x:t>
        </x:is>
      </x:c>
      <x:c r="J1150" s="527" t="inlineStr">
        <x:is>
          <x:t xml:space="preserve">Leasehold / WI</x:t>
        </x:is>
      </x:c>
      <x:c r="K1150" s="527" t="inlineStr">
        <x:is>
          <x:t xml:space="preserve">OKCountyRecords official index, Roger Mills County (instrument 2002-001765); searched 06/11/2026</x:t>
        </x:is>
      </x:c>
      <x:c r="L1150" s="565" t="n"/>
      <x:c r="M1150" s="565" t="n"/>
      <x:c r="N1150" s="565" t="n"/>
      <x:c r="O1150" s="565" t="n"/>
      <x:c r="P1150" s="565" t="n"/>
      <x:c r="Q1150" s="565" t="n"/>
      <x:c r="R1150" s="565" t="n"/>
      <x:c r="S1150" s="613" t="n"/>
      <x:c r="T1150" s="565" t="n"/>
      <x:c r="U1150" s="613" t="n"/>
      <x:c r="V1150" s="565" t="n"/>
      <x:c r="W1150" s="565" t="n"/>
      <x:c r="X1150" s="565" t="n"/>
      <x:c r="Y1150" s="565" t="n"/>
      <x:c r="Z1150" s="565" t="n"/>
    </x:row>
    <x:row r="1151">
      <x:c r="A1151" s="527" t="inlineStr">
        <x:is>
          <x:t xml:space="preserve">2002-001961</x:t>
        </x:is>
      </x:c>
      <x:c r="B1151" s="527" t="n"/>
      <x:c r="C1151" s="527" t="inlineStr">
        <x:is>
          <x:t xml:space="preserve">Oil and Gas Lease</x:t>
        </x:is>
      </x:c>
      <x:c r="D1151" s="527" t="inlineStr">
        <x:is>
          <x:t xml:space="preserve">1677/0512</x:t>
        </x:is>
      </x:c>
      <x:c r="E1151" s="529" t="inlineStr">
        <x:is>
          <x:t xml:space="preserve">05/13/2002</x:t>
        </x:is>
      </x:c>
      <x:c r="F1151" s="529" t="n">
        <x:v>37384</x:v>
      </x:c>
      <x:c r="G1151" s="527" t="inlineStr">
        <x:is>
          <x:t xml:space="preserve">Hayhurst Oil Properties, Inc.</x:t>
        </x:is>
      </x:c>
      <x:c r="H1151" s="527" t="inlineStr">
        <x:is>
          <x:t xml:space="preserve">Fleshman Agency, Inc.</x:t>
        </x:is>
      </x:c>
      <x:c r="I1151" s="527" t="inlineStr">
        <x:is>
          <x:t xml:space="preserve">E/2 NW/4, N/2 NE/4 SW/4, NE/4 SE/4, SE/4 NE/4 of 31-12N-24W</x:t>
        </x:is>
      </x:c>
      <x:c r="J1151" s="527" t="inlineStr">
        <x:is>
          <x:t xml:space="preserve">Leasehold / WI</x:t>
        </x:is>
      </x:c>
      <x:c r="K1151" s="527" t="inlineStr">
        <x:is>
          <x:t xml:space="preserve">OKCountyRecords official index, Roger Mills County (instrument 2002-001961); searched 06/11/2026</x:t>
        </x:is>
      </x:c>
      <x:c r="L1151" s="565" t="n"/>
      <x:c r="M1151" s="565" t="n"/>
      <x:c r="N1151" s="565" t="n"/>
      <x:c r="O1151" s="565" t="n"/>
      <x:c r="P1151" s="565" t="n"/>
      <x:c r="Q1151" s="565" t="n"/>
      <x:c r="R1151" s="565" t="n"/>
      <x:c r="S1151" s="613" t="n"/>
      <x:c r="T1151" s="565" t="n"/>
      <x:c r="U1151" s="613" t="n"/>
      <x:c r="V1151" s="565" t="n"/>
      <x:c r="W1151" s="565" t="n"/>
      <x:c r="X1151" s="565" t="n"/>
      <x:c r="Y1151" s="565" t="n"/>
      <x:c r="Z1151" s="565" t="n"/>
    </x:row>
    <x:row r="1152">
      <x:c r="A1152" s="527" t="inlineStr">
        <x:is>
          <x:t xml:space="preserve">2002-001962</x:t>
        </x:is>
      </x:c>
      <x:c r="B1152" s="527" t="n"/>
      <x:c r="C1152" s="527" t="inlineStr">
        <x:is>
          <x:t xml:space="preserve">Assignment</x:t>
        </x:is>
      </x:c>
      <x:c r="D1152" s="527" t="inlineStr">
        <x:is>
          <x:t xml:space="preserve">1677/0515</x:t>
        </x:is>
      </x:c>
      <x:c r="E1152" s="529" t="inlineStr">
        <x:is>
          <x:t xml:space="preserve">05/13/2002</x:t>
        </x:is>
      </x:c>
      <x:c r="F1152" s="529" t="n">
        <x:v>37385</x:v>
      </x:c>
      <x:c r="G1152" s="527" t="inlineStr">
        <x:is>
          <x:t xml:space="preserve">Fleshman Agency, Inc.</x:t>
        </x:is>
      </x:c>
      <x:c r="H1152" s="527" t="inlineStr">
        <x:is>
          <x:t xml:space="preserve">William A. Hadwiger</x:t>
        </x:is>
      </x:c>
      <x:c r="I1152" s="527" t="inlineStr">
        <x:is>
          <x:t xml:space="preserve">E/2 NW/4, N/2 NE/4 SW/4, NE/4 SE/4, SE/4 NE/4 of 31-12N-24W</x:t>
        </x:is>
      </x:c>
      <x:c r="J1152" s="527" t="inlineStr">
        <x:is>
          <x:t xml:space="preserve">Leasehold / WI</x:t>
        </x:is>
      </x:c>
      <x:c r="K1152" s="527" t="inlineStr">
        <x:is>
          <x:t xml:space="preserve">OKCountyRecords official index, Roger Mills County (instrument 2002-001962); searched 06/11/2026</x:t>
        </x:is>
      </x:c>
      <x:c r="L1152" s="565" t="n"/>
      <x:c r="M1152" s="565" t="n"/>
      <x:c r="N1152" s="565" t="n"/>
      <x:c r="O1152" s="565" t="n"/>
      <x:c r="P1152" s="565" t="n"/>
      <x:c r="Q1152" s="565" t="n"/>
      <x:c r="R1152" s="565" t="n"/>
      <x:c r="S1152" s="613" t="n"/>
      <x:c r="T1152" s="565" t="n"/>
      <x:c r="U1152" s="613" t="n"/>
      <x:c r="V1152" s="565" t="n"/>
      <x:c r="W1152" s="565" t="n"/>
      <x:c r="X1152" s="565" t="n"/>
      <x:c r="Y1152" s="565" t="n"/>
      <x:c r="Z1152" s="565" t="n"/>
    </x:row>
    <x:row r="1153">
      <x:c r="A1153" s="527" t="inlineStr">
        <x:is>
          <x:t xml:space="preserve">2002-001963</x:t>
        </x:is>
      </x:c>
      <x:c r="B1153" s="527" t="n">
        <x:v>17</x:v>
      </x:c>
      <x:c r="C1153" s="527" t="inlineStr">
        <x:is>
          <x:t xml:space="preserve">Oil and Gas Lease</x:t>
        </x:is>
      </x:c>
      <x:c r="D1153" s="527" t="inlineStr">
        <x:is>
          <x:t xml:space="preserve">1677/0516</x:t>
        </x:is>
      </x:c>
      <x:c r="E1153" s="529" t="inlineStr">
        <x:is>
          <x:t xml:space="preserve">05/13/2002</x:t>
        </x:is>
      </x:c>
      <x:c r="F1153" s="529" t="n">
        <x:v>37364</x:v>
      </x:c>
      <x:c r="G1153" s="527" t="inlineStr">
        <x:is>
          <x:t xml:space="preserve">Lyle T. Ibeling</x:t>
        </x:is>
      </x:c>
      <x:c r="H1153" s="527" t="inlineStr">
        <x:is>
          <x:t xml:space="preserve">Chesapeake Exploration Ltd. Ptn.</x:t>
        </x:is>
      </x:c>
      <x:c r="I1153" s="527" t="inlineStr">
        <x:is>
          <x:t xml:space="preserve">NW/4 SE/4, S/2 SE/4, SW/4 NE/4 of 31-12N-24W</x:t>
        </x:is>
      </x:c>
      <x:c r="J1153" s="527" t="inlineStr">
        <x:is>
          <x:t xml:space="preserve">Leasehold / WI</x:t>
        </x:is>
      </x:c>
      <x:c r="K1153" s="527" t="inlineStr">
        <x:is>
          <x:t xml:space="preserve">OKCountyRecords official index, Roger Mills County (instrument 2002-001963); searched 06/11/2026</x:t>
        </x:is>
      </x:c>
      <x:c r="L1153" s="565" t="n"/>
      <x:c r="M1153" s="565" t="n"/>
      <x:c r="N1153" s="565" t="n"/>
      <x:c r="O1153" s="565" t="n"/>
      <x:c r="P1153" s="565" t="n"/>
      <x:c r="Q1153" s="565" t="n"/>
      <x:c r="R1153" s="565" t="n"/>
      <x:c r="S1153" s="613" t="n"/>
      <x:c r="T1153" s="565" t="n"/>
      <x:c r="U1153" s="613" t="n"/>
      <x:c r="V1153" s="565" t="n"/>
      <x:c r="W1153" s="565" t="n"/>
      <x:c r="X1153" s="565" t="n"/>
      <x:c r="Y1153" s="565" t="n"/>
      <x:c r="Z1153" s="565" t="n"/>
    </x:row>
    <x:row r="1154">
      <x:c r="A1154" s="527" t="inlineStr">
        <x:is>
          <x:t xml:space="preserve">2002-001970</x:t>
        </x:is>
      </x:c>
      <x:c r="B1154" s="527" t="n">
        <x:v>16</x:v>
      </x:c>
      <x:c r="C1154" s="527" t="inlineStr">
        <x:is>
          <x:t xml:space="preserve">Oil and Gas Lease</x:t>
        </x:is>
      </x:c>
      <x:c r="D1154" s="527" t="inlineStr">
        <x:is>
          <x:t xml:space="preserve">1677/0533</x:t>
        </x:is>
      </x:c>
      <x:c r="E1154" s="529" t="inlineStr">
        <x:is>
          <x:t xml:space="preserve">05/13/2002</x:t>
        </x:is>
      </x:c>
      <x:c r="F1154" s="529" t="n">
        <x:v>37361</x:v>
      </x:c>
      <x:c r="G1154" s="527" t="inlineStr">
        <x:is>
          <x:t xml:space="preserve">David S. Silverberg</x:t>
        </x:is>
      </x:c>
      <x:c r="H1154" s="527" t="inlineStr">
        <x:is>
          <x:t xml:space="preserve">EOG Resources, Inc.</x:t>
        </x:is>
      </x:c>
      <x:c r="I1154" s="527" t="inlineStr">
        <x:is>
          <x:t xml:space="preserve">NW/4 SE/4, S/2 SE/4, SW/4 NE/4 of 31-12N-24W</x:t>
        </x:is>
      </x:c>
      <x:c r="J1154" s="527" t="inlineStr">
        <x:is>
          <x:t xml:space="preserve">Leasehold / WI</x:t>
        </x:is>
      </x:c>
      <x:c r="K1154" s="527" t="inlineStr">
        <x:is>
          <x:t xml:space="preserve">OKCountyRecords official index, Roger Mills County (instrument 2002-001970); searched 06/11/2026</x:t>
        </x:is>
      </x:c>
      <x:c r="L1154" s="565" t="n"/>
      <x:c r="M1154" s="565" t="n"/>
      <x:c r="N1154" s="565" t="n"/>
      <x:c r="O1154" s="565" t="n"/>
      <x:c r="P1154" s="565" t="n"/>
      <x:c r="Q1154" s="565" t="n"/>
      <x:c r="R1154" s="565" t="n"/>
      <x:c r="S1154" s="613" t="n"/>
      <x:c r="T1154" s="565" t="n"/>
      <x:c r="U1154" s="613" t="n"/>
      <x:c r="V1154" s="565" t="n"/>
      <x:c r="W1154" s="565" t="n"/>
      <x:c r="X1154" s="565" t="n"/>
      <x:c r="Y1154" s="565" t="n"/>
      <x:c r="Z1154" s="565" t="n"/>
    </x:row>
    <x:row r="1155">
      <x:c r="A1155" s="527" t="inlineStr">
        <x:is>
          <x:t xml:space="preserve">2002-001971</x:t>
        </x:is>
      </x:c>
      <x:c r="B1155" s="527" t="n"/>
      <x:c r="C1155" s="527" t="inlineStr">
        <x:is>
          <x:t xml:space="preserve">Oil and Gas Lease</x:t>
        </x:is>
      </x:c>
      <x:c r="D1155" s="527" t="inlineStr">
        <x:is>
          <x:t xml:space="preserve">1677/0535</x:t>
        </x:is>
      </x:c>
      <x:c r="E1155" s="529" t="inlineStr">
        <x:is>
          <x:t xml:space="preserve">05/13/2002</x:t>
        </x:is>
      </x:c>
      <x:c r="F1155" s="529" t="n">
        <x:v>37361</x:v>
      </x:c>
      <x:c r="G1155" s="527" t="inlineStr">
        <x:is>
          <x:t xml:space="preserve">Mary Ellen Silverberg</x:t>
        </x:is>
      </x:c>
      <x:c r="H1155" s="527" t="inlineStr">
        <x:is>
          <x:t xml:space="preserve">EOG Resources, Inc.</x:t>
        </x:is>
      </x:c>
      <x:c r="I1155" s="527" t="inlineStr">
        <x:is>
          <x:t xml:space="preserve">NW/4 SE/4, S/2 SE/4, SW/4 NE/4 of 31-12N-24W</x:t>
        </x:is>
      </x:c>
      <x:c r="J1155" s="527" t="inlineStr">
        <x:is>
          <x:t xml:space="preserve">Leasehold / WI</x:t>
        </x:is>
      </x:c>
      <x:c r="K1155" s="527" t="inlineStr">
        <x:is>
          <x:t xml:space="preserve">OKCountyRecords official index, Roger Mills County (instrument 2002-001971); searched 06/11/2026</x:t>
        </x:is>
      </x:c>
      <x:c r="L1155" s="565" t="n"/>
      <x:c r="M1155" s="565" t="n"/>
      <x:c r="N1155" s="565" t="n"/>
      <x:c r="O1155" s="565" t="n"/>
      <x:c r="P1155" s="565" t="n"/>
      <x:c r="Q1155" s="565" t="n"/>
      <x:c r="R1155" s="565" t="n"/>
      <x:c r="S1155" s="613" t="n"/>
      <x:c r="T1155" s="565" t="n"/>
      <x:c r="U1155" s="613" t="n"/>
      <x:c r="V1155" s="565" t="n"/>
      <x:c r="W1155" s="565" t="n"/>
      <x:c r="X1155" s="565" t="n"/>
      <x:c r="Y1155" s="565" t="n"/>
      <x:c r="Z1155" s="565" t="n"/>
    </x:row>
    <x:row r="1156">
      <x:c r="A1156" s="527" t="inlineStr">
        <x:is>
          <x:t xml:space="preserve">2002-002104</x:t>
        </x:is>
      </x:c>
      <x:c r="B1156" s="527" t="n"/>
      <x:c r="C1156" s="527" t="inlineStr">
        <x:is>
          <x:t xml:space="preserve">Oil and Gas Lease</x:t>
        </x:is>
      </x:c>
      <x:c r="D1156" s="527" t="inlineStr">
        <x:is>
          <x:t xml:space="preserve">1678/0554</x:t>
        </x:is>
      </x:c>
      <x:c r="E1156" s="529" t="inlineStr">
        <x:is>
          <x:t xml:space="preserve">05/23/2002</x:t>
        </x:is>
      </x:c>
      <x:c r="F1156" s="529" t="n">
        <x:v>37381</x:v>
      </x:c>
      <x:c r="G1156" s="527" t="inlineStr">
        <x:is>
          <x:t xml:space="preserve">Lyle T. Ibeling</x:t>
        </x:is>
      </x:c>
      <x:c r="H1156" s="527" t="inlineStr">
        <x:is>
          <x:t xml:space="preserve">EOG Resources, Inc.</x:t>
        </x:is>
      </x:c>
      <x:c r="I1156" s="527" t="inlineStr">
        <x:is>
          <x:t xml:space="preserve">NW/4 SE/4, S/2 SE/4, SW/4 NE/4 of 31-12N-24W</x:t>
        </x:is>
      </x:c>
      <x:c r="J1156" s="527" t="inlineStr">
        <x:is>
          <x:t xml:space="preserve">Leasehold / WI</x:t>
        </x:is>
      </x:c>
      <x:c r="K1156" s="527" t="inlineStr">
        <x:is>
          <x:t xml:space="preserve">OKCountyRecords official index, Roger Mills County (instrument 2002-002104); searched 06/11/2026</x:t>
        </x:is>
      </x:c>
      <x:c r="L1156" s="565" t="n"/>
      <x:c r="M1156" s="565" t="n"/>
      <x:c r="N1156" s="565" t="n"/>
      <x:c r="O1156" s="565" t="n"/>
      <x:c r="P1156" s="565" t="n"/>
      <x:c r="Q1156" s="565" t="n"/>
      <x:c r="R1156" s="565" t="n"/>
      <x:c r="S1156" s="613" t="n"/>
      <x:c r="T1156" s="565" t="n"/>
      <x:c r="U1156" s="613" t="n"/>
      <x:c r="V1156" s="565" t="n"/>
      <x:c r="W1156" s="565" t="n"/>
      <x:c r="X1156" s="565" t="n"/>
      <x:c r="Y1156" s="565" t="n"/>
      <x:c r="Z1156" s="565" t="n"/>
    </x:row>
    <x:row r="1157">
      <x:c r="A1157" s="527" t="inlineStr">
        <x:is>
          <x:t xml:space="preserve">2002-002227</x:t>
        </x:is>
      </x:c>
      <x:c r="B1157" s="527" t="n"/>
      <x:c r="C1157" s="527" t="inlineStr">
        <x:is>
          <x:t xml:space="preserve">Deed</x:t>
        </x:is>
      </x:c>
      <x:c r="D1157" s="527" t="inlineStr">
        <x:is>
          <x:t xml:space="preserve">1680/0318</x:t>
        </x:is>
      </x:c>
      <x:c r="E1157" s="529" t="inlineStr">
        <x:is>
          <x:t xml:space="preserve">05/31/2002</x:t>
        </x:is>
      </x:c>
      <x:c r="F1157" s="529" t="n">
        <x:v>37406</x:v>
      </x:c>
      <x:c r="G1157" s="527" t="inlineStr">
        <x:is>
          <x:t xml:space="preserve">Arrowhead Resources, Inc.</x:t>
        </x:is>
      </x:c>
      <x:c r="H1157" s="527" t="inlineStr">
        <x:is>
          <x:t xml:space="preserve">Bhch Mineral, Ltd.,
Bhch Properties, Ltd.,
Garg Oil</x:t>
        </x:is>
      </x:c>
      <x:c r="I1157" s="527" t="inlineStr">
        <x:is>
          <x:t xml:space="preserve">31-12N-24W (AOL)</x:t>
        </x:is>
      </x:c>
      <x:c r="J1157" s="527" t="inlineStr">
        <x:is>
          <x:t xml:space="preserve">Fee / as stated</x:t>
        </x:is>
      </x:c>
      <x:c r="K1157" s="527" t="inlineStr">
        <x:is>
          <x:t xml:space="preserve">OKCountyRecords official index, Roger Mills County (instrument 2002-002227); searched 06/11/2026</x:t>
        </x:is>
      </x:c>
      <x:c r="L1157" s="565" t="n"/>
      <x:c r="M1157" s="565" t="n"/>
      <x:c r="N1157" s="565" t="n"/>
      <x:c r="O1157" s="565" t="n"/>
      <x:c r="P1157" s="565" t="n"/>
      <x:c r="Q1157" s="565" t="n"/>
      <x:c r="R1157" s="565" t="n"/>
      <x:c r="S1157" s="613" t="n"/>
      <x:c r="T1157" s="565" t="n"/>
      <x:c r="U1157" s="613" t="n"/>
      <x:c r="V1157" s="565" t="n"/>
      <x:c r="W1157" s="565" t="n"/>
      <x:c r="X1157" s="565" t="n"/>
      <x:c r="Y1157" s="565" t="n"/>
      <x:c r="Z1157" s="565" t="n"/>
    </x:row>
    <x:row r="1158">
      <x:c r="A1158" s="527" t="inlineStr">
        <x:is>
          <x:t xml:space="preserve">2002-002254</x:t>
        </x:is>
      </x:c>
      <x:c r="B1158" s="527" t="n"/>
      <x:c r="C1158" s="527" t="inlineStr">
        <x:is>
          <x:t xml:space="preserve">Oil and Gas Lease</x:t>
        </x:is>
      </x:c>
      <x:c r="D1158" s="527" t="inlineStr">
        <x:is>
          <x:t xml:space="preserve">1680/0431</x:t>
        </x:is>
      </x:c>
      <x:c r="E1158" s="529" t="inlineStr">
        <x:is>
          <x:t xml:space="preserve">06/03/2002</x:t>
        </x:is>
      </x:c>
      <x:c r="F1158" s="529" t="n">
        <x:v>37364</x:v>
      </x:c>
      <x:c r="G1158" s="527" t="inlineStr">
        <x:is>
          <x:t xml:space="preserve">James E. Menchan</x:t>
        </x:is>
      </x:c>
      <x:c r="H1158" s="527" t="inlineStr">
        <x:is>
          <x:t xml:space="preserve">Chesapeake Exploration Ltd. Ptn.</x:t>
        </x:is>
      </x:c>
      <x:c r="I1158" s="527" t="inlineStr">
        <x:is>
          <x:t xml:space="preserve">E/2 SE/4, SW/4 NE/4 of 31-12N-24W</x:t>
        </x:is>
      </x:c>
      <x:c r="J1158" s="527" t="inlineStr">
        <x:is>
          <x:t xml:space="preserve">Leasehold / WI</x:t>
        </x:is>
      </x:c>
      <x:c r="K1158" s="527" t="inlineStr">
        <x:is>
          <x:t xml:space="preserve">OKCountyRecords official index, Roger Mills County (instrument 2002-002254); searched 06/11/2026</x:t>
        </x:is>
      </x:c>
      <x:c r="L1158" s="565" t="n"/>
      <x:c r="M1158" s="565" t="n"/>
      <x:c r="N1158" s="565" t="n"/>
      <x:c r="O1158" s="565" t="n"/>
      <x:c r="P1158" s="565" t="n"/>
      <x:c r="Q1158" s="565" t="n"/>
      <x:c r="R1158" s="565" t="n"/>
      <x:c r="S1158" s="613" t="n"/>
      <x:c r="T1158" s="565" t="n"/>
      <x:c r="U1158" s="613" t="n"/>
      <x:c r="V1158" s="565" t="n"/>
      <x:c r="W1158" s="565" t="n"/>
      <x:c r="X1158" s="565" t="n"/>
      <x:c r="Y1158" s="565" t="n"/>
      <x:c r="Z1158" s="565" t="n"/>
    </x:row>
    <x:row r="1159">
      <x:c r="A1159" s="527" t="inlineStr">
        <x:is>
          <x:t xml:space="preserve">2002-002538</x:t>
        </x:is>
      </x:c>
      <x:c r="B1159" s="527" t="n"/>
      <x:c r="C1159" s="527" t="inlineStr">
        <x:is>
          <x:t xml:space="preserve">Oil and Gas Lease</x:t>
        </x:is>
      </x:c>
      <x:c r="D1159" s="527" t="inlineStr">
        <x:is>
          <x:t xml:space="preserve">1682/0064</x:t>
        </x:is>
      </x:c>
      <x:c r="E1159" s="529" t="inlineStr">
        <x:is>
          <x:t xml:space="preserve">06/17/2002</x:t>
        </x:is>
      </x:c>
      <x:c r="F1159" s="529" t="n">
        <x:v>37354</x:v>
      </x:c>
      <x:c r="G1159" s="527" t="inlineStr">
        <x:is>
          <x:t xml:space="preserve">L. A. Persicke</x:t>
        </x:is>
      </x:c>
      <x:c r="H1159" s="527" t="inlineStr">
        <x:is>
          <x:t xml:space="preserve">Chesapeake Exploration Ltd. Ptn.</x:t>
        </x:is>
      </x:c>
      <x:c r="I1159" s="527" t="inlineStr">
        <x:is>
          <x:t xml:space="preserve">NW/4 SE/4, S/2 SE/4 of 31-12N-24W</x:t>
        </x:is>
      </x:c>
      <x:c r="J1159" s="527" t="inlineStr">
        <x:is>
          <x:t xml:space="preserve">Leasehold / WI</x:t>
        </x:is>
      </x:c>
      <x:c r="K1159" s="527" t="inlineStr">
        <x:is>
          <x:t xml:space="preserve">OKCountyRecords official index, Roger Mills County (instrument 2002-002538); searched 06/11/2026</x:t>
        </x:is>
      </x:c>
      <x:c r="L1159" s="565" t="n"/>
      <x:c r="M1159" s="565" t="n"/>
      <x:c r="N1159" s="565" t="n"/>
      <x:c r="O1159" s="565" t="n"/>
      <x:c r="P1159" s="565" t="n"/>
      <x:c r="Q1159" s="565" t="n"/>
      <x:c r="R1159" s="565" t="n"/>
      <x:c r="S1159" s="613" t="n"/>
      <x:c r="T1159" s="565" t="n"/>
      <x:c r="U1159" s="613" t="n"/>
      <x:c r="V1159" s="565" t="n"/>
      <x:c r="W1159" s="565" t="n"/>
      <x:c r="X1159" s="565" t="n"/>
      <x:c r="Y1159" s="565" t="n"/>
      <x:c r="Z1159" s="565" t="n"/>
    </x:row>
    <x:row r="1160">
      <x:c r="A1160" s="527" t="inlineStr">
        <x:is>
          <x:t xml:space="preserve">2002-002676</x:t>
        </x:is>
      </x:c>
      <x:c r="B1160" s="527" t="n">
        <x:v>18</x:v>
      </x:c>
      <x:c r="C1160" s="527" t="inlineStr">
        <x:is>
          <x:t xml:space="preserve">Oil and Gas Lease</x:t>
        </x:is>
      </x:c>
      <x:c r="D1160" s="527" t="inlineStr">
        <x:is>
          <x:t xml:space="preserve">1683/0001</x:t>
        </x:is>
      </x:c>
      <x:c r="E1160" s="529" t="inlineStr">
        <x:is>
          <x:t xml:space="preserve">06/26/2002</x:t>
        </x:is>
      </x:c>
      <x:c r="F1160" s="529" t="n">
        <x:v>37381</x:v>
      </x:c>
      <x:c r="G1160" s="527" t="inlineStr">
        <x:is>
          <x:t xml:space="preserve">Deborah A. Deutsch,
Paul R. Deutsch</x:t>
        </x:is>
      </x:c>
      <x:c r="H1160" s="527" t="inlineStr">
        <x:is>
          <x:t xml:space="preserve">EOG Resources, Inc.</x:t>
        </x:is>
      </x:c>
      <x:c r="I1160" s="527" t="inlineStr">
        <x:is>
          <x:t xml:space="preserve">NW/4 SE/4, S/2 SE/4, SW/4 NE/4 of 31-12N-24W</x:t>
        </x:is>
      </x:c>
      <x:c r="J1160" s="527" t="inlineStr">
        <x:is>
          <x:t xml:space="preserve">Leasehold / WI</x:t>
        </x:is>
      </x:c>
      <x:c r="K1160" s="527" t="inlineStr">
        <x:is>
          <x:t xml:space="preserve">OKCountyRecords official index, Roger Mills County (instrument 2002-002676); searched 06/11/2026</x:t>
        </x:is>
      </x:c>
      <x:c r="L1160" s="565" t="n"/>
      <x:c r="M1160" s="565" t="n"/>
      <x:c r="N1160" s="565" t="n"/>
      <x:c r="O1160" s="565" t="n"/>
      <x:c r="P1160" s="565" t="n"/>
      <x:c r="Q1160" s="565" t="n"/>
      <x:c r="R1160" s="565" t="n"/>
      <x:c r="S1160" s="613" t="n"/>
      <x:c r="T1160" s="565" t="n"/>
      <x:c r="U1160" s="613" t="n"/>
      <x:c r="V1160" s="565" t="n"/>
      <x:c r="W1160" s="565" t="n"/>
      <x:c r="X1160" s="565" t="n"/>
      <x:c r="Y1160" s="565" t="n"/>
      <x:c r="Z1160" s="565" t="n"/>
    </x:row>
    <x:row r="1161">
      <x:c r="A1161" s="527" t="inlineStr">
        <x:is>
          <x:t xml:space="preserve">2002-002928</x:t>
        </x:is>
      </x:c>
      <x:c r="B1161" s="527" t="n"/>
      <x:c r="C1161" s="527" t="inlineStr">
        <x:is>
          <x:t xml:space="preserve">Oil and Gas Lease</x:t>
        </x:is>
      </x:c>
      <x:c r="D1161" s="527" t="inlineStr">
        <x:is>
          <x:t xml:space="preserve">1684/0443</x:t>
        </x:is>
      </x:c>
      <x:c r="E1161" s="529" t="inlineStr">
        <x:is>
          <x:t xml:space="preserve">07/17/2002</x:t>
        </x:is>
      </x:c>
      <x:c r="F1161" s="529" t="n">
        <x:v>37426</x:v>
      </x:c>
      <x:c r="G1161" s="527" t="inlineStr">
        <x:is>
          <x:t xml:space="preserve">James F. Menehan</x:t>
        </x:is>
      </x:c>
      <x:c r="H1161" s="527" t="inlineStr">
        <x:is>
          <x:t xml:space="preserve">EOG Resources, Inc.</x:t>
        </x:is>
      </x:c>
      <x:c r="I1161" s="527" t="inlineStr">
        <x:is>
          <x:t xml:space="preserve">NW/4 SE/4, S/2 SE/4, SW/4 NE/4 of 31-12N-24W</x:t>
        </x:is>
      </x:c>
      <x:c r="J1161" s="527" t="inlineStr">
        <x:is>
          <x:t xml:space="preserve">Leasehold / WI</x:t>
        </x:is>
      </x:c>
      <x:c r="K1161" s="527" t="inlineStr">
        <x:is>
          <x:t xml:space="preserve">OKCountyRecords official index, Roger Mills County (instrument 2002-002928); searched 06/11/2026</x:t>
        </x:is>
      </x:c>
      <x:c r="L1161" s="565" t="n"/>
      <x:c r="M1161" s="565" t="n"/>
      <x:c r="N1161" s="565" t="n"/>
      <x:c r="O1161" s="565" t="n"/>
      <x:c r="P1161" s="565" t="n"/>
      <x:c r="Q1161" s="565" t="n"/>
      <x:c r="R1161" s="565" t="n"/>
      <x:c r="S1161" s="613" t="n"/>
      <x:c r="T1161" s="565" t="n"/>
      <x:c r="U1161" s="613" t="n"/>
      <x:c r="V1161" s="565" t="n"/>
      <x:c r="W1161" s="565" t="n"/>
      <x:c r="X1161" s="565" t="n"/>
      <x:c r="Y1161" s="565" t="n"/>
      <x:c r="Z1161" s="565" t="n"/>
    </x:row>
    <x:row r="1162">
      <x:c r="A1162" s="527" t="inlineStr">
        <x:is>
          <x:t xml:space="preserve">2002-003272</x:t>
        </x:is>
      </x:c>
      <x:c r="B1162" s="527" t="n">
        <x:v>20</x:v>
      </x:c>
      <x:c r="C1162" s="527" t="inlineStr">
        <x:is>
          <x:t xml:space="preserve">Oil and Gas Lease</x:t>
        </x:is>
      </x:c>
      <x:c r="D1162" s="527" t="inlineStr">
        <x:is>
          <x:t xml:space="preserve">1686/0580</x:t>
        </x:is>
      </x:c>
      <x:c r="E1162" s="529" t="inlineStr">
        <x:is>
          <x:t xml:space="preserve">08/16/2002</x:t>
        </x:is>
      </x:c>
      <x:c r="F1162" s="529" t="n">
        <x:v>37426</x:v>
      </x:c>
      <x:c r="G1162" s="527" t="inlineStr">
        <x:is>
          <x:t xml:space="preserve">William C. Bain Jr.,
Peggy, Atty in Fact Brawner</x:t>
        </x:is>
      </x:c>
      <x:c r="H1162" s="527" t="inlineStr">
        <x:is>
          <x:t xml:space="preserve">EOG Resources, Inc.</x:t>
        </x:is>
      </x:c>
      <x:c r="I1162" s="527" t="inlineStr">
        <x:is>
          <x:t xml:space="preserve">NW/4 SE/4, S/2 SE/4, SW/4 NE/4 of 31-12N-24W</x:t>
        </x:is>
      </x:c>
      <x:c r="J1162" s="527" t="inlineStr">
        <x:is>
          <x:t xml:space="preserve">Leasehold / WI</x:t>
        </x:is>
      </x:c>
      <x:c r="K1162" s="527" t="inlineStr">
        <x:is>
          <x:t xml:space="preserve">OKCountyRecords official index, Roger Mills County (instrument 2002-003272); searched 06/11/2026</x:t>
        </x:is>
      </x:c>
      <x:c r="L1162" s="565" t="n"/>
      <x:c r="M1162" s="565" t="n"/>
      <x:c r="N1162" s="565" t="n"/>
      <x:c r="O1162" s="565" t="n"/>
      <x:c r="P1162" s="565" t="n"/>
      <x:c r="Q1162" s="565" t="n"/>
      <x:c r="R1162" s="565" t="n"/>
      <x:c r="S1162" s="613" t="n"/>
      <x:c r="T1162" s="565" t="n"/>
      <x:c r="U1162" s="613" t="n"/>
      <x:c r="V1162" s="565" t="n"/>
      <x:c r="W1162" s="565" t="n"/>
      <x:c r="X1162" s="565" t="n"/>
      <x:c r="Y1162" s="565" t="n"/>
      <x:c r="Z1162" s="565" t="n"/>
    </x:row>
    <x:row r="1163">
      <x:c r="A1163" s="527" t="inlineStr">
        <x:is>
          <x:t xml:space="preserve">2002-003522</x:t>
        </x:is>
      </x:c>
      <x:c r="B1163" s="527" t="n">
        <x:v>15</x:v>
      </x:c>
      <x:c r="C1163" s="527" t="inlineStr">
        <x:is>
          <x:t xml:space="preserve">Oil and Gas Lease</x:t>
        </x:is>
      </x:c>
      <x:c r="D1163" s="527" t="inlineStr">
        <x:is>
          <x:t xml:space="preserve">1688/0108</x:t>
        </x:is>
      </x:c>
      <x:c r="E1163" s="529" t="inlineStr">
        <x:is>
          <x:t xml:space="preserve">09/04/2002</x:t>
        </x:is>
      </x:c>
      <x:c r="F1163" s="529" t="n">
        <x:v>37354</x:v>
      </x:c>
      <x:c r="G1163" s="527" t="inlineStr">
        <x:is>
          <x:t xml:space="preserve">L. A. Persicke</x:t>
        </x:is>
      </x:c>
      <x:c r="H1163" s="527" t="inlineStr">
        <x:is>
          <x:t xml:space="preserve">Chesapeake Exploration Ltd. Ptn.</x:t>
        </x:is>
      </x:c>
      <x:c r="I1163" s="527" t="inlineStr">
        <x:is>
          <x:t xml:space="preserve">NW/4 SE/4, S/2 SE/4, SW/4 NE/4 of 31-12N-24W</x:t>
        </x:is>
      </x:c>
      <x:c r="J1163" s="527" t="inlineStr">
        <x:is>
          <x:t xml:space="preserve">Leasehold / WI</x:t>
        </x:is>
      </x:c>
      <x:c r="K1163" s="527" t="inlineStr">
        <x:is>
          <x:t xml:space="preserve">OKCountyRecords official index, Roger Mills County (instrument 2002-003522); searched 06/11/2026</x:t>
        </x:is>
      </x:c>
      <x:c r="L1163" s="565" t="n"/>
      <x:c r="M1163" s="565" t="n"/>
      <x:c r="N1163" s="565" t="n"/>
      <x:c r="O1163" s="565" t="n"/>
      <x:c r="P1163" s="565" t="n"/>
      <x:c r="Q1163" s="565" t="n"/>
      <x:c r="R1163" s="565" t="n"/>
      <x:c r="S1163" s="613" t="n"/>
      <x:c r="T1163" s="565" t="n"/>
      <x:c r="U1163" s="613" t="n"/>
      <x:c r="V1163" s="565" t="n"/>
      <x:c r="W1163" s="565" t="n"/>
      <x:c r="X1163" s="565" t="n"/>
      <x:c r="Y1163" s="565" t="n"/>
      <x:c r="Z1163" s="565" t="n"/>
    </x:row>
    <x:row r="1164">
      <x:c r="A1164" s="527" t="inlineStr">
        <x:is>
          <x:t xml:space="preserve">2002-003563</x:t>
        </x:is>
      </x:c>
      <x:c r="B1164" s="527" t="n"/>
      <x:c r="C1164" s="527" t="inlineStr">
        <x:is>
          <x:t xml:space="preserve">Mineral Deed</x:t>
        </x:is>
      </x:c>
      <x:c r="D1164" s="527" t="inlineStr">
        <x:is>
          <x:t xml:space="preserve">1688/0374</x:t>
        </x:is>
      </x:c>
      <x:c r="E1164" s="529" t="inlineStr">
        <x:is>
          <x:t xml:space="preserve">09/06/2002</x:t>
        </x:is>
      </x:c>
      <x:c r="F1164" s="529" t="n">
        <x:v>37482</x:v>
      </x:c>
      <x:c r="G1164" s="527" t="inlineStr">
        <x:is>
          <x:t xml:space="preserve">Oleta Florene Flanagan</x:t>
        </x:is>
      </x:c>
      <x:c r="H1164" s="527" t="inlineStr">
        <x:is>
          <x:t xml:space="preserve">Arrowhead Resources, Inc.</x:t>
        </x:is>
      </x:c>
      <x:c r="I1164" s="527" t="inlineStr">
        <x:is>
          <x:t xml:space="preserve">SE/4 SW/4 of 31-12N-24W</x:t>
        </x:is>
      </x:c>
      <x:c r="J1164" s="527" t="inlineStr">
        <x:is>
          <x:t xml:space="preserve">Mineral</x:t>
        </x:is>
      </x:c>
      <x:c r="K1164" s="527" t="inlineStr">
        <x:is>
          <x:t xml:space="preserve">OKCountyRecords official index, Roger Mills County (instrument 2002-003563); searched 06/11/2026</x:t>
        </x:is>
      </x:c>
      <x:c r="L1164" s="565" t="n"/>
      <x:c r="M1164" s="565" t="n"/>
      <x:c r="N1164" s="565" t="n"/>
      <x:c r="O1164" s="565" t="n"/>
      <x:c r="P1164" s="565" t="n"/>
      <x:c r="Q1164" s="565" t="n"/>
      <x:c r="R1164" s="565" t="n"/>
      <x:c r="S1164" s="613" t="n"/>
      <x:c r="T1164" s="565" t="n"/>
      <x:c r="U1164" s="613" t="n"/>
      <x:c r="V1164" s="565" t="n"/>
      <x:c r="W1164" s="565" t="n"/>
      <x:c r="X1164" s="565" t="n"/>
      <x:c r="Y1164" s="565" t="n"/>
      <x:c r="Z1164" s="565" t="n"/>
    </x:row>
    <x:row r="1165">
      <x:c r="A1165" s="527" t="inlineStr">
        <x:is>
          <x:t xml:space="preserve">2002-003773</x:t>
        </x:is>
      </x:c>
      <x:c r="B1165" s="527" t="n">
        <x:v>21</x:v>
      </x:c>
      <x:c r="C1165" s="527" t="inlineStr">
        <x:is>
          <x:t xml:space="preserve">Oil and Gas Lease</x:t>
        </x:is>
      </x:c>
      <x:c r="D1165" s="527" t="inlineStr">
        <x:is>
          <x:t xml:space="preserve">1689/0464</x:t>
        </x:is>
      </x:c>
      <x:c r="E1165" s="529" t="inlineStr">
        <x:is>
          <x:t xml:space="preserve">09/26/2002</x:t>
        </x:is>
      </x:c>
      <x:c r="F1165" s="529" t="n">
        <x:v>37496</x:v>
      </x:c>
      <x:c r="G1165" s="527" t="inlineStr">
        <x:is>
          <x:t xml:space="preserve">Gregory J. Winneke</x:t>
        </x:is>
      </x:c>
      <x:c r="H1165" s="527" t="inlineStr">
        <x:is>
          <x:t xml:space="preserve">EOG Resources, Inc.</x:t>
        </x:is>
      </x:c>
      <x:c r="I1165" s="527" t="inlineStr">
        <x:is>
          <x:t xml:space="preserve">NW/4 SE/4, S/2 SE/4, SW/4 NE/4 of 31-12N-24W</x:t>
        </x:is>
      </x:c>
      <x:c r="J1165" s="527" t="inlineStr">
        <x:is>
          <x:t xml:space="preserve">Leasehold / WI</x:t>
        </x:is>
      </x:c>
      <x:c r="K1165" s="527" t="inlineStr">
        <x:is>
          <x:t xml:space="preserve">OKCountyRecords official index, Roger Mills County (instrument 2002-003773); searched 06/11/2026</x:t>
        </x:is>
      </x:c>
      <x:c r="L1165" s="565" t="n"/>
      <x:c r="M1165" s="565" t="n"/>
      <x:c r="N1165" s="565" t="n"/>
      <x:c r="O1165" s="565" t="n"/>
      <x:c r="P1165" s="565" t="n"/>
      <x:c r="Q1165" s="565" t="n"/>
      <x:c r="R1165" s="565" t="n"/>
      <x:c r="S1165" s="613" t="n"/>
      <x:c r="T1165" s="565" t="n"/>
      <x:c r="U1165" s="613" t="n"/>
      <x:c r="V1165" s="565" t="n"/>
      <x:c r="W1165" s="565" t="n"/>
      <x:c r="X1165" s="565" t="n"/>
      <x:c r="Y1165" s="565" t="n"/>
      <x:c r="Z1165" s="565" t="n"/>
    </x:row>
    <x:row r="1166">
      <x:c r="A1166" s="527" t="inlineStr">
        <x:is>
          <x:t xml:space="preserve">2002-003797</x:t>
        </x:is>
      </x:c>
      <x:c r="B1166" s="527" t="n"/>
      <x:c r="C1166" s="527" t="inlineStr">
        <x:is>
          <x:t xml:space="preserve">Ratification</x:t>
        </x:is>
      </x:c>
      <x:c r="D1166" s="527" t="inlineStr">
        <x:is>
          <x:t xml:space="preserve">1689/0519</x:t>
        </x:is>
      </x:c>
      <x:c r="E1166" s="529" t="inlineStr">
        <x:is>
          <x:t xml:space="preserve">09/26/2002</x:t>
        </x:is>
      </x:c>
      <x:c r="F1166" s="529" t="n">
        <x:v>37490</x:v>
      </x:c>
      <x:c r="G1166" s="527" t="inlineStr">
        <x:is>
          <x:t xml:space="preserve">Melvin F. Bain</x:t>
        </x:is>
      </x:c>
      <x:c r="H1166" s="527" t="inlineStr">
        <x:is>
          <x:t xml:space="preserve">EOG Resources, Inc.</x:t>
        </x:is>
      </x:c>
      <x:c r="I1166" s="527" t="inlineStr">
        <x:is>
          <x:t xml:space="preserve">NW/4 SE/4, S/2 SE/4, SW/4 NE/4 of 31-12N-24W</x:t>
        </x:is>
      </x:c>
      <x:c r="J1166" s="527" t="inlineStr">
        <x:is>
          <x:t xml:space="preserve">Leasehold / WI</x:t>
        </x:is>
      </x:c>
      <x:c r="K1166" s="527" t="inlineStr">
        <x:is>
          <x:t xml:space="preserve">OKCountyRecords official index, Roger Mills County (instrument 2002-003797); searched 06/11/2026</x:t>
        </x:is>
      </x:c>
      <x:c r="L1166" s="565" t="n"/>
      <x:c r="M1166" s="565" t="n"/>
      <x:c r="N1166" s="565" t="n"/>
      <x:c r="O1166" s="565" t="n"/>
      <x:c r="P1166" s="565" t="n"/>
      <x:c r="Q1166" s="565" t="n"/>
      <x:c r="R1166" s="565" t="n"/>
      <x:c r="S1166" s="613" t="n"/>
      <x:c r="T1166" s="565" t="n"/>
      <x:c r="U1166" s="613" t="n"/>
      <x:c r="V1166" s="565" t="n"/>
      <x:c r="W1166" s="565" t="n"/>
      <x:c r="X1166" s="565" t="n"/>
      <x:c r="Y1166" s="565" t="n"/>
      <x:c r="Z1166" s="565" t="n"/>
    </x:row>
    <x:row r="1167">
      <x:c r="A1167" s="527" t="inlineStr">
        <x:is>
          <x:t xml:space="preserve">2002-003798</x:t>
        </x:is>
      </x:c>
      <x:c r="B1167" s="527" t="n"/>
      <x:c r="C1167" s="527" t="inlineStr">
        <x:is>
          <x:t xml:space="preserve">Ratification</x:t>
        </x:is>
      </x:c>
      <x:c r="D1167" s="527" t="inlineStr">
        <x:is>
          <x:t xml:space="preserve">1689/0520</x:t>
        </x:is>
      </x:c>
      <x:c r="E1167" s="529" t="inlineStr">
        <x:is>
          <x:t xml:space="preserve">09/26/2002</x:t>
        </x:is>
      </x:c>
      <x:c r="F1167" s="529" t="n">
        <x:v>37459</x:v>
      </x:c>
      <x:c r="G1167" s="527" t="inlineStr">
        <x:is>
          <x:t xml:space="preserve">Leona I. Degrande</x:t>
        </x:is>
      </x:c>
      <x:c r="H1167" s="527" t="inlineStr">
        <x:is>
          <x:t xml:space="preserve">EOG Resources, Inc.</x:t>
        </x:is>
      </x:c>
      <x:c r="I1167" s="527" t="inlineStr">
        <x:is>
          <x:t xml:space="preserve">NW/4 SE/4, S/2 SE/4, SW/4 NE/4 of 31-12N-24W</x:t>
        </x:is>
      </x:c>
      <x:c r="J1167" s="527" t="inlineStr">
        <x:is>
          <x:t xml:space="preserve">Leasehold / WI</x:t>
        </x:is>
      </x:c>
      <x:c r="K1167" s="527" t="inlineStr">
        <x:is>
          <x:t xml:space="preserve">OKCountyRecords official index, Roger Mills County (instrument 2002-003798); searched 06/11/2026</x:t>
        </x:is>
      </x:c>
      <x:c r="L1167" s="565" t="n"/>
      <x:c r="M1167" s="565" t="n"/>
      <x:c r="N1167" s="565" t="n"/>
      <x:c r="O1167" s="565" t="n"/>
      <x:c r="P1167" s="565" t="n"/>
      <x:c r="Q1167" s="565" t="n"/>
      <x:c r="R1167" s="565" t="n"/>
      <x:c r="S1167" s="613" t="n"/>
      <x:c r="T1167" s="565" t="n"/>
      <x:c r="U1167" s="613" t="n"/>
      <x:c r="V1167" s="565" t="n"/>
      <x:c r="W1167" s="565" t="n"/>
      <x:c r="X1167" s="565" t="n"/>
      <x:c r="Y1167" s="565" t="n"/>
      <x:c r="Z1167" s="565" t="n"/>
    </x:row>
    <x:row r="1168">
      <x:c r="A1168" s="527" t="inlineStr">
        <x:is>
          <x:t xml:space="preserve">2002-003799</x:t>
        </x:is>
      </x:c>
      <x:c r="B1168" s="527" t="n"/>
      <x:c r="C1168" s="527" t="inlineStr">
        <x:is>
          <x:t xml:space="preserve">Ratification</x:t>
        </x:is>
      </x:c>
      <x:c r="D1168" s="527" t="inlineStr">
        <x:is>
          <x:t xml:space="preserve">1689/0521</x:t>
        </x:is>
      </x:c>
      <x:c r="E1168" s="529" t="inlineStr">
        <x:is>
          <x:t xml:space="preserve">09/26/2002</x:t>
        </x:is>
      </x:c>
      <x:c r="F1168" s="529" t="n">
        <x:v>37455</x:v>
      </x:c>
      <x:c r="G1168" s="527" t="inlineStr">
        <x:is>
          <x:t xml:space="preserve">William Cobal, Bain Jr.,
Peggy, Atty in Fact Brawner</x:t>
        </x:is>
      </x:c>
      <x:c r="H1168" s="527" t="inlineStr">
        <x:is>
          <x:t xml:space="preserve">EOG Resources, Inc.</x:t>
        </x:is>
      </x:c>
      <x:c r="I1168" s="527" t="inlineStr">
        <x:is>
          <x:t xml:space="preserve">NW/4 SE/4, S/2 SE/4, SW/4 NE/4 of 31-12N-24W</x:t>
        </x:is>
      </x:c>
      <x:c r="J1168" s="527" t="inlineStr">
        <x:is>
          <x:t xml:space="preserve">Leasehold / WI</x:t>
        </x:is>
      </x:c>
      <x:c r="K1168" s="527" t="inlineStr">
        <x:is>
          <x:t xml:space="preserve">OKCountyRecords official index, Roger Mills County (instrument 2002-003799); searched 06/11/2026</x:t>
        </x:is>
      </x:c>
      <x:c r="L1168" s="565" t="n"/>
      <x:c r="M1168" s="565" t="n"/>
      <x:c r="N1168" s="565" t="n"/>
      <x:c r="O1168" s="565" t="n"/>
      <x:c r="P1168" s="565" t="n"/>
      <x:c r="Q1168" s="565" t="n"/>
      <x:c r="R1168" s="565" t="n"/>
      <x:c r="S1168" s="613" t="n"/>
      <x:c r="T1168" s="565" t="n"/>
      <x:c r="U1168" s="613" t="n"/>
      <x:c r="V1168" s="565" t="n"/>
      <x:c r="W1168" s="565" t="n"/>
      <x:c r="X1168" s="565" t="n"/>
      <x:c r="Y1168" s="565" t="n"/>
      <x:c r="Z1168" s="565" t="n"/>
    </x:row>
    <x:row r="1169">
      <x:c r="A1169" s="527" t="inlineStr">
        <x:is>
          <x:t xml:space="preserve">2002-003800</x:t>
        </x:is>
      </x:c>
      <x:c r="B1169" s="527" t="n"/>
      <x:c r="C1169" s="527" t="inlineStr">
        <x:is>
          <x:t xml:space="preserve">Ratification</x:t>
        </x:is>
      </x:c>
      <x:c r="D1169" s="527" t="inlineStr">
        <x:is>
          <x:t xml:space="preserve">1689/0522</x:t>
        </x:is>
      </x:c>
      <x:c r="E1169" s="529" t="inlineStr">
        <x:is>
          <x:t xml:space="preserve">09/26/2002</x:t>
        </x:is>
      </x:c>
      <x:c r="F1169" s="529" t="n">
        <x:v>37453</x:v>
      </x:c>
      <x:c r="G1169" s="527" t="inlineStr">
        <x:is>
          <x:t xml:space="preserve">Peggy J. Brawner</x:t>
        </x:is>
      </x:c>
      <x:c r="H1169" s="527" t="inlineStr">
        <x:is>
          <x:t xml:space="preserve">EOG Resources, Inc.</x:t>
        </x:is>
      </x:c>
      <x:c r="I1169" s="527" t="inlineStr">
        <x:is>
          <x:t xml:space="preserve">NW/4 SE/4, S/2 SE/4, SW/4 NE/4 of 31-12N-24W</x:t>
        </x:is>
      </x:c>
      <x:c r="J1169" s="527" t="inlineStr">
        <x:is>
          <x:t xml:space="preserve">Leasehold / WI</x:t>
        </x:is>
      </x:c>
      <x:c r="K1169" s="527" t="inlineStr">
        <x:is>
          <x:t xml:space="preserve">OKCountyRecords official index, Roger Mills County (instrument 2002-003800); searched 06/11/2026</x:t>
        </x:is>
      </x:c>
      <x:c r="L1169" s="565" t="n"/>
      <x:c r="M1169" s="565" t="n"/>
      <x:c r="N1169" s="565" t="n"/>
      <x:c r="O1169" s="565" t="n"/>
      <x:c r="P1169" s="565" t="n"/>
      <x:c r="Q1169" s="565" t="n"/>
      <x:c r="R1169" s="565" t="n"/>
      <x:c r="S1169" s="613" t="n"/>
      <x:c r="T1169" s="565" t="n"/>
      <x:c r="U1169" s="613" t="n"/>
      <x:c r="V1169" s="565" t="n"/>
      <x:c r="W1169" s="565" t="n"/>
      <x:c r="X1169" s="565" t="n"/>
      <x:c r="Y1169" s="565" t="n"/>
      <x:c r="Z1169" s="565" t="n"/>
    </x:row>
    <x:row r="1170">
      <x:c r="A1170" s="527" t="inlineStr">
        <x:is>
          <x:t xml:space="preserve">2002-003801</x:t>
        </x:is>
      </x:c>
      <x:c r="B1170" s="527" t="n"/>
      <x:c r="C1170" s="527" t="inlineStr">
        <x:is>
          <x:t xml:space="preserve">Ratification</x:t>
        </x:is>
      </x:c>
      <x:c r="D1170" s="527" t="inlineStr">
        <x:is>
          <x:t xml:space="preserve">1689/0523</x:t>
        </x:is>
      </x:c>
      <x:c r="E1170" s="529" t="inlineStr">
        <x:is>
          <x:t xml:space="preserve">09/26/2002</x:t>
        </x:is>
      </x:c>
      <x:c r="F1170" s="529" t="n">
        <x:v>37461</x:v>
      </x:c>
      <x:c r="G1170" s="527" t="inlineStr">
        <x:is>
          <x:t xml:space="preserve">Donald R. Bain</x:t>
        </x:is>
      </x:c>
      <x:c r="H1170" s="527" t="inlineStr">
        <x:is>
          <x:t xml:space="preserve">EOG Resources, Inc.</x:t>
        </x:is>
      </x:c>
      <x:c r="I1170" s="527" t="inlineStr">
        <x:is>
          <x:t xml:space="preserve">NW/4 SE/4, S/2 SE/4, SW/4 NE/4 of 31-12N-24W</x:t>
        </x:is>
      </x:c>
      <x:c r="J1170" s="527" t="inlineStr">
        <x:is>
          <x:t xml:space="preserve">Leasehold / WI</x:t>
        </x:is>
      </x:c>
      <x:c r="K1170" s="527" t="inlineStr">
        <x:is>
          <x:t xml:space="preserve">OKCountyRecords official index, Roger Mills County (instrument 2002-003801); searched 06/11/2026</x:t>
        </x:is>
      </x:c>
      <x:c r="L1170" s="565" t="n"/>
      <x:c r="M1170" s="565" t="n"/>
      <x:c r="N1170" s="565" t="n"/>
      <x:c r="O1170" s="565" t="n"/>
      <x:c r="P1170" s="565" t="n"/>
      <x:c r="Q1170" s="565" t="n"/>
      <x:c r="R1170" s="565" t="n"/>
      <x:c r="S1170" s="613" t="n"/>
      <x:c r="T1170" s="565" t="n"/>
      <x:c r="U1170" s="613" t="n"/>
      <x:c r="V1170" s="565" t="n"/>
      <x:c r="W1170" s="565" t="n"/>
      <x:c r="X1170" s="565" t="n"/>
      <x:c r="Y1170" s="565" t="n"/>
      <x:c r="Z1170" s="565" t="n"/>
    </x:row>
    <x:row r="1171">
      <x:c r="A1171" s="527" t="inlineStr">
        <x:is>
          <x:t xml:space="preserve">2002-003802</x:t>
        </x:is>
      </x:c>
      <x:c r="B1171" s="527" t="n"/>
      <x:c r="C1171" s="527" t="inlineStr">
        <x:is>
          <x:t xml:space="preserve">Ratification</x:t>
        </x:is>
      </x:c>
      <x:c r="D1171" s="527" t="inlineStr">
        <x:is>
          <x:t xml:space="preserve">1689/0524</x:t>
        </x:is>
      </x:c>
      <x:c r="E1171" s="529" t="inlineStr">
        <x:is>
          <x:t xml:space="preserve">09/26/2002</x:t>
        </x:is>
      </x:c>
      <x:c r="F1171" s="529" t="n">
        <x:v>37480</x:v>
      </x:c>
      <x:c r="G1171" s="527" t="inlineStr">
        <x:is>
          <x:t xml:space="preserve">Charlotte F. Wilbert</x:t>
        </x:is>
      </x:c>
      <x:c r="H1171" s="527" t="inlineStr">
        <x:is>
          <x:t xml:space="preserve">EOG Resources, Inc.</x:t>
        </x:is>
      </x:c>
      <x:c r="I1171" s="527" t="inlineStr">
        <x:is>
          <x:t xml:space="preserve">NW/4 SE/4, S/2 SE/4, SW/4 NE/4 of 31-12N-24W</x:t>
        </x:is>
      </x:c>
      <x:c r="J1171" s="527" t="inlineStr">
        <x:is>
          <x:t xml:space="preserve">Leasehold / WI</x:t>
        </x:is>
      </x:c>
      <x:c r="K1171" s="527" t="inlineStr">
        <x:is>
          <x:t xml:space="preserve">OKCountyRecords official index, Roger Mills County (instrument 2002-003802); searched 06/11/2026</x:t>
        </x:is>
      </x:c>
      <x:c r="L1171" s="565" t="n"/>
      <x:c r="M1171" s="565" t="n"/>
      <x:c r="N1171" s="565" t="n"/>
      <x:c r="O1171" s="565" t="n"/>
      <x:c r="P1171" s="565" t="n"/>
      <x:c r="Q1171" s="565" t="n"/>
      <x:c r="R1171" s="565" t="n"/>
      <x:c r="S1171" s="613" t="n"/>
      <x:c r="T1171" s="565" t="n"/>
      <x:c r="U1171" s="613" t="n"/>
      <x:c r="V1171" s="565" t="n"/>
      <x:c r="W1171" s="565" t="n"/>
      <x:c r="X1171" s="565" t="n"/>
      <x:c r="Y1171" s="565" t="n"/>
      <x:c r="Z1171" s="565" t="n"/>
    </x:row>
    <x:row r="1172">
      <x:c r="A1172" s="527" t="inlineStr">
        <x:is>
          <x:t xml:space="preserve">2002-004378</x:t>
        </x:is>
      </x:c>
      <x:c r="B1172" s="527" t="n"/>
      <x:c r="C1172" s="527" t="inlineStr">
        <x:is>
          <x:t xml:space="preserve">Mineral Deed</x:t>
        </x:is>
      </x:c>
      <x:c r="D1172" s="527" t="inlineStr">
        <x:is>
          <x:t xml:space="preserve">1694/0156</x:t>
        </x:is>
      </x:c>
      <x:c r="E1172" s="529" t="inlineStr">
        <x:is>
          <x:t xml:space="preserve">11/13/2002</x:t>
        </x:is>
      </x:c>
      <x:c r="F1172" s="529" t="n">
        <x:v>37536</x:v>
      </x:c>
      <x:c r="G1172" s="527" t="inlineStr">
        <x:is>
          <x:t xml:space="preserve">Billy Wayne Bain, Trustee,
William Cobal Bain, Trustee,
Hamilton, Hazel Inter Vivos Trust,
Hazel Hamilton, Trustee</x:t>
        </x:is>
      </x:c>
      <x:c r="H1172" s="527" t="inlineStr">
        <x:is>
          <x:t xml:space="preserve">Deeanne Browning,
Darrell E. Hamilton,
Stacy L. Smith,
Travis L. Smith</x:t>
        </x:is>
      </x:c>
      <x:c r="I1172" s="527" t="inlineStr">
        <x:is>
          <x:t xml:space="preserve">NW/4 SE/4, S/2 SE/4, SW/4 NE/4 of 31-12N-24W (AOL)</x:t>
        </x:is>
      </x:c>
      <x:c r="J1172" s="527" t="inlineStr">
        <x:is>
          <x:t xml:space="preserve">Mineral</x:t>
        </x:is>
      </x:c>
      <x:c r="K1172" s="527" t="inlineStr">
        <x:is>
          <x:t xml:space="preserve">OKCountyRecords official index, Roger Mills County (instrument 2002-004378); searched 06/11/2026</x:t>
        </x:is>
      </x:c>
      <x:c r="L1172" s="565" t="n"/>
      <x:c r="M1172" s="565" t="n"/>
      <x:c r="N1172" s="565" t="n"/>
      <x:c r="O1172" s="565" t="n"/>
      <x:c r="P1172" s="565" t="n"/>
      <x:c r="Q1172" s="565" t="n"/>
      <x:c r="R1172" s="565" t="n"/>
      <x:c r="S1172" s="613" t="n"/>
      <x:c r="T1172" s="565" t="n"/>
      <x:c r="U1172" s="613" t="n"/>
      <x:c r="V1172" s="565" t="n"/>
      <x:c r="W1172" s="565" t="n"/>
      <x:c r="X1172" s="565" t="n"/>
      <x:c r="Y1172" s="565" t="n"/>
      <x:c r="Z1172" s="565" t="n"/>
    </x:row>
    <x:row r="1173">
      <x:c r="A1173" s="527" t="inlineStr">
        <x:is>
          <x:t xml:space="preserve">2002-004595</x:t>
        </x:is>
      </x:c>
      <x:c r="B1173" s="527" t="n"/>
      <x:c r="C1173" s="527" t="inlineStr">
        <x:is>
          <x:t xml:space="preserve">Mineral Deed</x:t>
        </x:is>
      </x:c>
      <x:c r="D1173" s="527" t="inlineStr">
        <x:is>
          <x:t xml:space="preserve">1695/0238</x:t>
        </x:is>
      </x:c>
      <x:c r="E1173" s="529" t="inlineStr">
        <x:is>
          <x:t xml:space="preserve">12/02/2002</x:t>
        </x:is>
      </x:c>
      <x:c r="F1173" s="529" t="n">
        <x:v>37586</x:v>
      </x:c>
      <x:c r="G1173" s="527" t="inlineStr">
        <x:is>
          <x:t xml:space="preserve">Hayhurst Oil Properties, Inc.</x:t>
        </x:is>
      </x:c>
      <x:c r="H1173" s="527" t="inlineStr">
        <x:is>
          <x:t xml:space="preserve">Hayhurst, Peggy J. Revoc Trust,
Peggy J. Hayhurst, Trustee</x:t>
        </x:is>
      </x:c>
      <x:c r="I1173" s="527" t="inlineStr">
        <x:is>
          <x:t xml:space="preserve">E/2 NW/4, N/2 NE/4 SW/4, NE/4 SE/4, SE/4 NE/4 of 31-12N-24W (AOL)</x:t>
        </x:is>
      </x:c>
      <x:c r="J1173" s="527" t="inlineStr">
        <x:is>
          <x:t xml:space="preserve">Mineral</x:t>
        </x:is>
      </x:c>
      <x:c r="K1173" s="527" t="inlineStr">
        <x:is>
          <x:t xml:space="preserve">OKCountyRecords official index, Roger Mills County (instrument 2002-004595); searched 06/11/2026</x:t>
        </x:is>
      </x:c>
      <x:c r="L1173" s="565" t="n"/>
      <x:c r="M1173" s="565" t="n"/>
      <x:c r="N1173" s="565" t="n"/>
      <x:c r="O1173" s="565" t="n"/>
      <x:c r="P1173" s="565" t="n"/>
      <x:c r="Q1173" s="565" t="n"/>
      <x:c r="R1173" s="565" t="n"/>
      <x:c r="S1173" s="613" t="n"/>
      <x:c r="T1173" s="565" t="n"/>
      <x:c r="U1173" s="613" t="n"/>
      <x:c r="V1173" s="565" t="n"/>
      <x:c r="W1173" s="565" t="n"/>
      <x:c r="X1173" s="565" t="n"/>
      <x:c r="Y1173" s="565" t="n"/>
      <x:c r="Z1173" s="565" t="n"/>
    </x:row>
    <x:row r="1174">
      <x:c r="A1174" s="527" t="inlineStr">
        <x:is>
          <x:t xml:space="preserve">2002-004832</x:t>
        </x:is>
      </x:c>
      <x:c r="B1174" s="527" t="n"/>
      <x:c r="C1174" s="527" t="inlineStr">
        <x:is>
          <x:t xml:space="preserve">Stipulation</x:t>
        </x:is>
      </x:c>
      <x:c r="D1174" s="527" t="inlineStr">
        <x:is>
          <x:t xml:space="preserve">1696/0550</x:t>
        </x:is>
      </x:c>
      <x:c r="E1174" s="529" t="inlineStr">
        <x:is>
          <x:t xml:space="preserve">12/18/2002</x:t>
        </x:is>
      </x:c>
      <x:c r="F1174" s="529" t="n">
        <x:v>37347</x:v>
      </x:c>
      <x:c r="G1174" s="527" t="inlineStr">
        <x:is>
          <x:t xml:space="preserve">Arrowhead Resources, Inc.</x:t>
        </x:is>
      </x:c>
      <x:c r="H1174" s="527" t="inlineStr">
        <x:is>
          <x:t xml:space="preserve">B. H. C. H. Mineral, Ltd.,
B. H. C. H. Properties, Ltd.,
Garg Oil</x:t>
        </x:is>
      </x:c>
      <x:c r="I1174" s="527" t="inlineStr">
        <x:is>
          <x:t xml:space="preserve">All of 31-12N-24W (AOL)</x:t>
        </x:is>
      </x:c>
      <x:c r="J1174" s="527" t="inlineStr">
        <x:is>
          <x:t xml:space="preserve">Leasehold / WI</x:t>
        </x:is>
      </x:c>
      <x:c r="K1174" s="527" t="inlineStr">
        <x:is>
          <x:t xml:space="preserve">OKCountyRecords official index, Roger Mills County (instrument 2002-004832); searched 06/11/2026</x:t>
        </x:is>
      </x:c>
      <x:c r="L1174" s="565" t="n"/>
      <x:c r="M1174" s="565" t="n"/>
      <x:c r="N1174" s="565" t="n"/>
      <x:c r="O1174" s="565" t="n"/>
      <x:c r="P1174" s="565" t="n"/>
      <x:c r="Q1174" s="565" t="n"/>
      <x:c r="R1174" s="565" t="n"/>
      <x:c r="S1174" s="613" t="n"/>
      <x:c r="T1174" s="565" t="n"/>
      <x:c r="U1174" s="613" t="n"/>
      <x:c r="V1174" s="565" t="n"/>
      <x:c r="W1174" s="565" t="n"/>
      <x:c r="X1174" s="565" t="n"/>
      <x:c r="Y1174" s="565" t="n"/>
      <x:c r="Z1174" s="565" t="n"/>
    </x:row>
    <x:row r="1175">
      <x:c r="A1175" s="527" t="inlineStr">
        <x:is>
          <x:t xml:space="preserve">2003-001558</x:t>
        </x:is>
      </x:c>
      <x:c r="B1175" s="527" t="n"/>
      <x:c r="C1175" s="527" t="inlineStr">
        <x:is>
          <x:t xml:space="preserve">Assignment</x:t>
        </x:is>
      </x:c>
      <x:c r="D1175" s="527" t="inlineStr">
        <x:is>
          <x:t xml:space="preserve">1706/0384</x:t>
        </x:is>
      </x:c>
      <x:c r="E1175" s="529" t="inlineStr">
        <x:is>
          <x:t xml:space="preserve">04/04/2003</x:t>
        </x:is>
      </x:c>
      <x:c r="F1175" s="529" t="n">
        <x:v>37710</x:v>
      </x:c>
      <x:c r="G1175" s="527" t="inlineStr">
        <x:is>
          <x:t xml:space="preserve">Dorothy G. Executrix Hamilton</x:t>
        </x:is>
      </x:c>
      <x:c r="H1175" s="527" t="inlineStr">
        <x:is>
          <x:t xml:space="preserve">Dorothy G. Hamilton, Trustee,
Harold D. Rogers, Trustee</x:t>
        </x:is>
      </x:c>
      <x:c r="I1175" s="527" t="inlineStr">
        <x:is>
          <x:t xml:space="preserve">E/2 NW/4, N/2 NE/4 SW/4, NE/4 SE/4, SE/4 NE/4 of 31-12N-24W (AOL)</x:t>
        </x:is>
      </x:c>
      <x:c r="J1175" s="527" t="inlineStr">
        <x:is>
          <x:t xml:space="preserve">Leasehold / WI</x:t>
        </x:is>
      </x:c>
      <x:c r="K1175" s="527" t="inlineStr">
        <x:is>
          <x:t xml:space="preserve">OKCountyRecords official index, Roger Mills County (instrument 2003-001558); searched 06/11/2026</x:t>
        </x:is>
      </x:c>
      <x:c r="L1175" s="565" t="n"/>
      <x:c r="M1175" s="565" t="n"/>
      <x:c r="N1175" s="565" t="n"/>
      <x:c r="O1175" s="565" t="n"/>
      <x:c r="P1175" s="565" t="n"/>
      <x:c r="Q1175" s="565" t="n"/>
      <x:c r="R1175" s="565" t="n"/>
      <x:c r="S1175" s="613" t="n"/>
      <x:c r="T1175" s="565" t="n"/>
      <x:c r="U1175" s="613" t="n"/>
      <x:c r="V1175" s="565" t="n"/>
      <x:c r="W1175" s="565" t="n"/>
      <x:c r="X1175" s="565" t="n"/>
      <x:c r="Y1175" s="565" t="n"/>
      <x:c r="Z1175" s="565" t="n"/>
    </x:row>
    <x:row r="1176">
      <x:c r="A1176" s="527" t="inlineStr">
        <x:is>
          <x:t xml:space="preserve">2003-001559</x:t>
        </x:is>
      </x:c>
      <x:c r="B1176" s="527" t="n"/>
      <x:c r="C1176" s="527" t="inlineStr">
        <x:is>
          <x:t xml:space="preserve">Assignment</x:t>
        </x:is>
      </x:c>
      <x:c r="D1176" s="527" t="inlineStr">
        <x:is>
          <x:t xml:space="preserve">1706/0386</x:t>
        </x:is>
      </x:c>
      <x:c r="E1176" s="529" t="inlineStr">
        <x:is>
          <x:t xml:space="preserve">04/04/2003</x:t>
        </x:is>
      </x:c>
      <x:c r="F1176" s="529" t="n">
        <x:v>37711</x:v>
      </x:c>
      <x:c r="G1176" s="527" t="inlineStr">
        <x:is>
          <x:t xml:space="preserve">Dorothy G. Hamilton, Trustee,
Harold D. Rogers, Trustee</x:t>
        </x:is>
      </x:c>
      <x:c r="H1176" s="527" t="inlineStr">
        <x:is>
          <x:t xml:space="preserve">Dorothy G. Hamilton</x:t>
        </x:is>
      </x:c>
      <x:c r="I1176" s="527" t="inlineStr">
        <x:is>
          <x:t xml:space="preserve">E/2 NW/4, N/2 NE/4 SW/4, NE/4 SE/4, SE/4 NE/4 of 31-12N-24W (AOL)</x:t>
        </x:is>
      </x:c>
      <x:c r="J1176" s="527" t="inlineStr">
        <x:is>
          <x:t xml:space="preserve">Leasehold / WI</x:t>
        </x:is>
      </x:c>
      <x:c r="K1176" s="527" t="inlineStr">
        <x:is>
          <x:t xml:space="preserve">OKCountyRecords official index, Roger Mills County (instrument 2003-001559); searched 06/11/2026</x:t>
        </x:is>
      </x:c>
      <x:c r="L1176" s="565" t="n"/>
      <x:c r="M1176" s="565" t="n"/>
      <x:c r="N1176" s="565" t="n"/>
      <x:c r="O1176" s="565" t="n"/>
      <x:c r="P1176" s="565" t="n"/>
      <x:c r="Q1176" s="565" t="n"/>
      <x:c r="R1176" s="565" t="n"/>
      <x:c r="S1176" s="613" t="n"/>
      <x:c r="T1176" s="565" t="n"/>
      <x:c r="U1176" s="613" t="n"/>
      <x:c r="V1176" s="565" t="n"/>
      <x:c r="W1176" s="565" t="n"/>
      <x:c r="X1176" s="565" t="n"/>
      <x:c r="Y1176" s="565" t="n"/>
      <x:c r="Z1176" s="565" t="n"/>
    </x:row>
    <x:row r="1177">
      <x:c r="A1177" s="527" t="inlineStr">
        <x:is>
          <x:t xml:space="preserve">2003-001781</x:t>
        </x:is>
      </x:c>
      <x:c r="B1177" s="527" t="n"/>
      <x:c r="C1177" s="527" t="inlineStr">
        <x:is>
          <x:t xml:space="preserve">Disclaimer</x:t>
        </x:is>
      </x:c>
      <x:c r="D1177" s="527" t="inlineStr">
        <x:is>
          <x:t xml:space="preserve">1707/0512</x:t>
        </x:is>
      </x:c>
      <x:c r="E1177" s="529" t="inlineStr">
        <x:is>
          <x:t xml:space="preserve">04/21/2003</x:t>
        </x:is>
      </x:c>
      <x:c r="F1177" s="529" t="n">
        <x:v>37729</x:v>
      </x:c>
      <x:c r="G1177" s="527" t="inlineStr">
        <x:is>
          <x:t xml:space="preserve">Glenn Douglas Mitchel</x:t>
        </x:is>
      </x:c>
      <x:c r="H1177" s="527" t="inlineStr">
        <x:is>
          <x:t xml:space="preserve">The Public</x:t>
        </x:is>
      </x:c>
      <x:c r="I1177" s="527" t="inlineStr">
        <x:is>
          <x:t xml:space="preserve">E/2 NW/4, N/2 NE/4 SE/4, NE/4 SE/4, SE/4 NE/4 of 31-12N-24W (AOL)</x:t>
        </x:is>
      </x:c>
      <x:c r="J1177" s="527" t="inlineStr">
        <x:is>
          <x:t xml:space="preserve">See instrument</x:t>
        </x:is>
      </x:c>
      <x:c r="K1177" s="527" t="inlineStr">
        <x:is>
          <x:t xml:space="preserve">OKCountyRecords official index, Roger Mills County (instrument 2003-001781); searched 06/11/2026</x:t>
        </x:is>
      </x:c>
      <x:c r="L1177" s="565" t="n"/>
      <x:c r="M1177" s="565" t="n"/>
      <x:c r="N1177" s="565" t="n"/>
      <x:c r="O1177" s="565" t="n"/>
      <x:c r="P1177" s="565" t="n"/>
      <x:c r="Q1177" s="565" t="n"/>
      <x:c r="R1177" s="565" t="n"/>
      <x:c r="S1177" s="613" t="n"/>
      <x:c r="T1177" s="565" t="n"/>
      <x:c r="U1177" s="613" t="n"/>
      <x:c r="V1177" s="565" t="n"/>
      <x:c r="W1177" s="565" t="n"/>
      <x:c r="X1177" s="565" t="n"/>
      <x:c r="Y1177" s="565" t="n"/>
      <x:c r="Z1177" s="565" t="n"/>
    </x:row>
    <x:row r="1178">
      <x:c r="A1178" s="527" t="inlineStr">
        <x:is>
          <x:t xml:space="preserve">2003-003131</x:t>
        </x:is>
      </x:c>
      <x:c r="B1178" s="527" t="n"/>
      <x:c r="C1178" s="527" t="inlineStr">
        <x:is>
          <x:t xml:space="preserve">Quit Claim Deed</x:t>
        </x:is>
      </x:c>
      <x:c r="D1178" s="527" t="inlineStr">
        <x:is>
          <x:t xml:space="preserve">1714/0504</x:t>
        </x:is>
      </x:c>
      <x:c r="E1178" s="529" t="inlineStr">
        <x:is>
          <x:t xml:space="preserve">06/25/2003</x:t>
        </x:is>
      </x:c>
      <x:c r="F1178" s="529" t="n">
        <x:v>37761</x:v>
      </x:c>
      <x:c r="G1178" s="527" t="inlineStr">
        <x:is>
          <x:t xml:space="preserve">Deeanne Browning</x:t>
        </x:is>
      </x:c>
      <x:c r="H1178" s="527" t="inlineStr">
        <x:is>
          <x:t xml:space="preserve">Clarence Bain, Trustee</x:t>
        </x:is>
      </x:c>
      <x:c r="I1178" s="527" t="inlineStr">
        <x:is>
          <x:t xml:space="preserve">NW/4 SE/4, S/2 SE/4, SW/4 NE/4 of 31-12N-24W (AOL)</x:t>
        </x:is>
      </x:c>
      <x:c r="J1178" s="527" t="inlineStr">
        <x:is>
          <x:t xml:space="preserve">Fee / as stated</x:t>
        </x:is>
      </x:c>
      <x:c r="K1178" s="527" t="inlineStr">
        <x:is>
          <x:t xml:space="preserve">OKCountyRecords official index, Roger Mills County (instrument 2003-003131); searched 06/11/2026</x:t>
        </x:is>
      </x:c>
      <x:c r="L1178" s="565" t="n"/>
      <x:c r="M1178" s="565" t="n"/>
      <x:c r="N1178" s="565" t="n"/>
      <x:c r="O1178" s="565" t="n"/>
      <x:c r="P1178" s="565" t="n"/>
      <x:c r="Q1178" s="565" t="n"/>
      <x:c r="R1178" s="565" t="n"/>
      <x:c r="S1178" s="613" t="n"/>
      <x:c r="T1178" s="565" t="n"/>
      <x:c r="U1178" s="613" t="n"/>
      <x:c r="V1178" s="565" t="n"/>
      <x:c r="W1178" s="565" t="n"/>
      <x:c r="X1178" s="565" t="n"/>
      <x:c r="Y1178" s="565" t="n"/>
      <x:c r="Z1178" s="565" t="n"/>
    </x:row>
    <x:row r="1179">
      <x:c r="A1179" s="527" t="inlineStr">
        <x:is>
          <x:t xml:space="preserve">2003-004685</x:t>
        </x:is>
      </x:c>
      <x:c r="B1179" s="527" t="n"/>
      <x:c r="C1179" s="527" t="inlineStr">
        <x:is>
          <x:t xml:space="preserve">Warranty Deed</x:t>
        </x:is>
      </x:c>
      <x:c r="D1179" s="527" t="inlineStr">
        <x:is>
          <x:t xml:space="preserve">1722/0449</x:t>
        </x:is>
      </x:c>
      <x:c r="E1179" s="529" t="inlineStr">
        <x:is>
          <x:t xml:space="preserve">09/17/2003</x:t>
        </x:is>
      </x:c>
      <x:c r="F1179" s="529" t="n">
        <x:v>37866</x:v>
      </x:c>
      <x:c r="G1179" s="527" t="inlineStr">
        <x:is>
          <x:t xml:space="preserve">Carolyn Coots,
Wendell Coots</x:t>
        </x:is>
      </x:c>
      <x:c r="H1179" s="527" t="inlineStr">
        <x:is>
          <x:t xml:space="preserve">Kathy Bryant,
William Bryant</x:t>
        </x:is>
      </x:c>
      <x:c r="I1179" s="527" t="inlineStr">
        <x:is>
          <x:t xml:space="preserve">Lots 1 of 31-12N-24W</x:t>
        </x:is>
      </x:c>
      <x:c r="J1179" s="527" t="inlineStr">
        <x:is>
          <x:t xml:space="preserve">Fee / as stated</x:t>
        </x:is>
      </x:c>
      <x:c r="K1179" s="527" t="inlineStr">
        <x:is>
          <x:t xml:space="preserve">OKCountyRecords official index, Roger Mills County (instrument 2003-004685); searched 06/11/2026</x:t>
        </x:is>
      </x:c>
      <x:c r="L1179" s="565" t="n"/>
      <x:c r="M1179" s="565" t="n"/>
      <x:c r="N1179" s="565" t="n"/>
      <x:c r="O1179" s="565" t="n"/>
      <x:c r="P1179" s="565" t="n"/>
      <x:c r="Q1179" s="565" t="n"/>
      <x:c r="R1179" s="565" t="n"/>
      <x:c r="S1179" s="613" t="n"/>
      <x:c r="T1179" s="565" t="n"/>
      <x:c r="U1179" s="613" t="n"/>
      <x:c r="V1179" s="565" t="n"/>
      <x:c r="W1179" s="565" t="n"/>
      <x:c r="X1179" s="565" t="n"/>
      <x:c r="Y1179" s="565" t="n"/>
      <x:c r="Z1179" s="565" t="n"/>
    </x:row>
    <x:row r="1180">
      <x:c r="A1180" s="527" t="inlineStr">
        <x:is>
          <x:t xml:space="preserve">2003-004945</x:t>
        </x:is>
      </x:c>
      <x:c r="B1180" s="527" t="n"/>
      <x:c r="C1180" s="527" t="inlineStr">
        <x:is>
          <x:t xml:space="preserve">Warranty Deed</x:t>
        </x:is>
      </x:c>
      <x:c r="D1180" s="527" t="inlineStr">
        <x:is>
          <x:t xml:space="preserve">1724/0582</x:t>
        </x:is>
      </x:c>
      <x:c r="E1180" s="529" t="inlineStr">
        <x:is>
          <x:t xml:space="preserve">10/03/2003</x:t>
        </x:is>
      </x:c>
      <x:c r="F1180" s="529" t="n">
        <x:v>37848</x:v>
      </x:c>
      <x:c r="G1180" s="527" t="inlineStr">
        <x:is>
          <x:t xml:space="preserve">Bluebonnet Investments, Ltd.</x:t>
        </x:is>
      </x:c>
      <x:c r="H1180" s="527" t="inlineStr">
        <x:is>
          <x:t xml:space="preserve">White Birch, LP</x:t>
        </x:is>
      </x:c>
      <x:c r="I1180" s="527" t="inlineStr">
        <x:is>
          <x:t xml:space="preserve">E/2 NW/4, N/2 NE/4 SW/4, NE/4 SE/4, SE/4 NE/4 of 31-12N-24W (AOL)</x:t>
        </x:is>
      </x:c>
      <x:c r="J1180" s="527" t="inlineStr">
        <x:is>
          <x:t xml:space="preserve">Fee / as stated</x:t>
        </x:is>
      </x:c>
      <x:c r="K1180" s="527" t="inlineStr">
        <x:is>
          <x:t xml:space="preserve">OKCountyRecords official index, Roger Mills County (instrument 2003-004945); searched 06/11/2026</x:t>
        </x:is>
      </x:c>
      <x:c r="L1180" s="565" t="n"/>
      <x:c r="M1180" s="565" t="n"/>
      <x:c r="N1180" s="565" t="n"/>
      <x:c r="O1180" s="565" t="n"/>
      <x:c r="P1180" s="565" t="n"/>
      <x:c r="Q1180" s="565" t="n"/>
      <x:c r="R1180" s="565" t="n"/>
      <x:c r="S1180" s="613" t="n"/>
      <x:c r="T1180" s="565" t="n"/>
      <x:c r="U1180" s="613" t="n"/>
      <x:c r="V1180" s="565" t="n"/>
      <x:c r="W1180" s="565" t="n"/>
      <x:c r="X1180" s="565" t="n"/>
      <x:c r="Y1180" s="565" t="n"/>
      <x:c r="Z1180" s="565" t="n"/>
    </x:row>
    <x:row r="1181">
      <x:c r="A1181" s="527" t="inlineStr">
        <x:is>
          <x:t xml:space="preserve">2003-005699</x:t>
        </x:is>
      </x:c>
      <x:c r="B1181" s="527" t="n"/>
      <x:c r="C1181" s="527" t="inlineStr">
        <x:is>
          <x:t xml:space="preserve">Final Decree</x:t>
        </x:is>
      </x:c>
      <x:c r="D1181" s="527" t="inlineStr">
        <x:is>
          <x:t xml:space="preserve">1728/0457</x:t>
        </x:is>
      </x:c>
      <x:c r="E1181" s="529" t="inlineStr">
        <x:is>
          <x:t xml:space="preserve">11/12/2003</x:t>
        </x:is>
      </x:c>
      <x:c r="F1181" s="529" t="n">
        <x:v>37802</x:v>
      </x:c>
      <x:c r="G1181" s="527" t="inlineStr">
        <x:is>
          <x:t xml:space="preserve">Glenn Douglas Mitchell, Deceased</x:t>
        </x:is>
      </x:c>
      <x:c r="H1181" s="527" t="inlineStr">
        <x:is>
          <x:t xml:space="preserve">The Public</x:t>
        </x:is>
      </x:c>
      <x:c r="I1181" s="527" t="inlineStr">
        <x:is>
          <x:t xml:space="preserve">E/2 NW/4, SE/4 NE/4 of 31-12N-24W (AOL)</x:t>
        </x:is>
      </x:c>
      <x:c r="J1181" s="527" t="inlineStr">
        <x:is>
          <x:t xml:space="preserve">Fee / as stated</x:t>
        </x:is>
      </x:c>
      <x:c r="K1181" s="527" t="inlineStr">
        <x:is>
          <x:t xml:space="preserve">OKCountyRecords official index, Roger Mills County (instrument 2003-005699); searched 06/11/2026</x:t>
        </x:is>
      </x:c>
      <x:c r="L1181" s="565" t="n"/>
      <x:c r="M1181" s="565" t="n"/>
      <x:c r="N1181" s="565" t="n"/>
      <x:c r="O1181" s="565" t="n"/>
      <x:c r="P1181" s="565" t="n"/>
      <x:c r="Q1181" s="565" t="n"/>
      <x:c r="R1181" s="565" t="n"/>
      <x:c r="S1181" s="613" t="n"/>
      <x:c r="T1181" s="565" t="n"/>
      <x:c r="U1181" s="613" t="n"/>
      <x:c r="V1181" s="565" t="n"/>
      <x:c r="W1181" s="565" t="n"/>
      <x:c r="X1181" s="565" t="n"/>
      <x:c r="Y1181" s="565" t="n"/>
      <x:c r="Z1181" s="565" t="n"/>
    </x:row>
    <x:row r="1182">
      <x:c r="A1182" s="527" t="inlineStr">
        <x:is>
          <x:t xml:space="preserve">2003-006068</x:t>
        </x:is>
      </x:c>
      <x:c r="B1182" s="527" t="n"/>
      <x:c r="C1182" s="527" t="inlineStr">
        <x:is>
          <x:t xml:space="preserve">Release</x:t>
        </x:is>
      </x:c>
      <x:c r="D1182" s="527" t="inlineStr">
        <x:is>
          <x:t xml:space="preserve">1730/0442</x:t>
        </x:is>
      </x:c>
      <x:c r="E1182" s="529" t="inlineStr">
        <x:is>
          <x:t xml:space="preserve">12/02/2003</x:t>
        </x:is>
      </x:c>
      <x:c r="F1182" s="529" t="n">
        <x:v>37923</x:v>
      </x:c>
      <x:c r="G1182" s="527" t="inlineStr">
        <x:is>
          <x:t xml:space="preserve">Walter Duncan Oil</x:t>
        </x:is>
      </x:c>
      <x:c r="H1182" s="527" t="inlineStr">
        <x:is>
          <x:t xml:space="preserve">Nanalee Faye Barnett</x:t>
        </x:is>
      </x:c>
      <x:c r="I1182" s="527" t="inlineStr">
        <x:is>
          <x:t xml:space="preserve">E/2 NW/4, N/2 NE/4 SW/4, NE/4 SE/4, SE/4 NE/4 of 31-12N-24W</x:t>
        </x:is>
      </x:c>
      <x:c r="J1182" s="527" t="inlineStr">
        <x:is>
          <x:t xml:space="preserve">Leasehold / WI</x:t>
        </x:is>
      </x:c>
      <x:c r="K1182" s="527" t="inlineStr">
        <x:is>
          <x:t xml:space="preserve">OKCountyRecords official index, Roger Mills County (instrument 2003-006068); searched 06/11/2026</x:t>
        </x:is>
      </x:c>
      <x:c r="L1182" s="565" t="n"/>
      <x:c r="M1182" s="565" t="n"/>
      <x:c r="N1182" s="565" t="n"/>
      <x:c r="O1182" s="565" t="n"/>
      <x:c r="P1182" s="565" t="n"/>
      <x:c r="Q1182" s="565" t="n"/>
      <x:c r="R1182" s="565" t="n"/>
      <x:c r="S1182" s="613" t="n"/>
      <x:c r="T1182" s="565" t="n"/>
      <x:c r="U1182" s="613" t="n"/>
      <x:c r="V1182" s="565" t="n"/>
      <x:c r="W1182" s="565" t="n"/>
      <x:c r="X1182" s="565" t="n"/>
      <x:c r="Y1182" s="565" t="n"/>
      <x:c r="Z1182" s="565" t="n"/>
    </x:row>
    <x:row r="1183">
      <x:c r="A1183" s="527" t="inlineStr">
        <x:is>
          <x:t xml:space="preserve">2003-006069</x:t>
        </x:is>
      </x:c>
      <x:c r="B1183" s="527" t="n"/>
      <x:c r="C1183" s="527" t="inlineStr">
        <x:is>
          <x:t xml:space="preserve">Release</x:t>
        </x:is>
      </x:c>
      <x:c r="D1183" s="527" t="inlineStr">
        <x:is>
          <x:t xml:space="preserve">1730/0443</x:t>
        </x:is>
      </x:c>
      <x:c r="E1183" s="529" t="inlineStr">
        <x:is>
          <x:t xml:space="preserve">12/02/2003</x:t>
        </x:is>
      </x:c>
      <x:c r="F1183" s="529" t="n">
        <x:v>37931</x:v>
      </x:c>
      <x:c r="G1183" s="527" t="inlineStr">
        <x:is>
          <x:t xml:space="preserve">EOG Resources, Inc.</x:t>
        </x:is>
      </x:c>
      <x:c r="H1183" s="527" t="inlineStr">
        <x:is>
          <x:t xml:space="preserve">Lessor of Record</x:t>
        </x:is>
      </x:c>
      <x:c r="I1183" s="527" t="inlineStr">
        <x:is>
          <x:t xml:space="preserve">E/2 NW/4, N/2 NE/4 SW/4, NE/4 SE/4, SE/4 NE/4 of 31-12N-24W</x:t>
        </x:is>
      </x:c>
      <x:c r="J1183" s="527" t="inlineStr">
        <x:is>
          <x:t xml:space="preserve">Leasehold / WI</x:t>
        </x:is>
      </x:c>
      <x:c r="K1183" s="527" t="inlineStr">
        <x:is>
          <x:t xml:space="preserve">OKCountyRecords official index, Roger Mills County (instrument 2003-006069); searched 06/11/2026</x:t>
        </x:is>
      </x:c>
      <x:c r="L1183" s="565" t="n"/>
      <x:c r="M1183" s="565" t="n"/>
      <x:c r="N1183" s="565" t="n"/>
      <x:c r="O1183" s="565" t="n"/>
      <x:c r="P1183" s="565" t="n"/>
      <x:c r="Q1183" s="565" t="n"/>
      <x:c r="R1183" s="565" t="n"/>
      <x:c r="S1183" s="613" t="n"/>
      <x:c r="T1183" s="565" t="n"/>
      <x:c r="U1183" s="613" t="n"/>
      <x:c r="V1183" s="565" t="n"/>
      <x:c r="W1183" s="565" t="n"/>
      <x:c r="X1183" s="565" t="n"/>
      <x:c r="Y1183" s="565" t="n"/>
      <x:c r="Z1183" s="565" t="n"/>
    </x:row>
    <x:row r="1184">
      <x:c r="A1184" s="527" t="inlineStr">
        <x:is>
          <x:t xml:space="preserve">2003-006070</x:t>
        </x:is>
      </x:c>
      <x:c r="B1184" s="527" t="n"/>
      <x:c r="C1184" s="527" t="inlineStr">
        <x:is>
          <x:t xml:space="preserve">Release</x:t>
        </x:is>
      </x:c>
      <x:c r="D1184" s="527" t="inlineStr">
        <x:is>
          <x:t xml:space="preserve">1730/0444</x:t>
        </x:is>
      </x:c>
      <x:c r="E1184" s="529" t="inlineStr">
        <x:is>
          <x:t xml:space="preserve">12/02/2003</x:t>
        </x:is>
      </x:c>
      <x:c r="F1184" s="529" t="n">
        <x:v>37931</x:v>
      </x:c>
      <x:c r="G1184" s="527" t="inlineStr">
        <x:is>
          <x:t xml:space="preserve">EOG Resources, Inc.</x:t>
        </x:is>
      </x:c>
      <x:c r="H1184" s="527" t="inlineStr">
        <x:is>
          <x:t xml:space="preserve">Lessor of Record</x:t>
        </x:is>
      </x:c>
      <x:c r="I1184" s="527" t="inlineStr">
        <x:is>
          <x:t xml:space="preserve">E/2 NW/4, N/2 NE/4 SW/4, NE/4 SE/4, SE/4 NE/4 of 31-12N-24W</x:t>
        </x:is>
      </x:c>
      <x:c r="J1184" s="527" t="inlineStr">
        <x:is>
          <x:t xml:space="preserve">Leasehold / WI</x:t>
        </x:is>
      </x:c>
      <x:c r="K1184" s="527" t="inlineStr">
        <x:is>
          <x:t xml:space="preserve">OKCountyRecords official index, Roger Mills County (instrument 2003-006070); searched 06/11/2026</x:t>
        </x:is>
      </x:c>
      <x:c r="L1184" s="565" t="n"/>
      <x:c r="M1184" s="565" t="n"/>
      <x:c r="N1184" s="565" t="n"/>
      <x:c r="O1184" s="565" t="n"/>
      <x:c r="P1184" s="565" t="n"/>
      <x:c r="Q1184" s="565" t="n"/>
      <x:c r="R1184" s="565" t="n"/>
      <x:c r="S1184" s="613" t="n"/>
      <x:c r="T1184" s="565" t="n"/>
      <x:c r="U1184" s="613" t="n"/>
      <x:c r="V1184" s="565" t="n"/>
      <x:c r="W1184" s="565" t="n"/>
      <x:c r="X1184" s="565" t="n"/>
      <x:c r="Y1184" s="565" t="n"/>
      <x:c r="Z1184" s="565" t="n"/>
    </x:row>
    <x:row r="1185">
      <x:c r="A1185" s="527" t="inlineStr">
        <x:is>
          <x:t xml:space="preserve">2004-000099</x:t>
        </x:is>
      </x:c>
      <x:c r="B1185" s="527" t="n"/>
      <x:c r="C1185" s="527" t="inlineStr">
        <x:is>
          <x:t xml:space="preserve">Final Decree</x:t>
        </x:is>
      </x:c>
      <x:c r="D1185" s="527" t="inlineStr">
        <x:is>
          <x:t xml:space="preserve">1734/0014</x:t>
        </x:is>
      </x:c>
      <x:c r="E1185" s="529" t="inlineStr">
        <x:is>
          <x:t xml:space="preserve">01/08/2004</x:t>
        </x:is>
      </x:c>
      <x:c r="F1185" s="529" t="n">
        <x:v>37990</x:v>
      </x:c>
      <x:c r="G1185" s="527" t="inlineStr">
        <x:is>
          <x:t xml:space="preserve">Evelyn Louise McLerran, Deceased</x:t>
        </x:is>
      </x:c>
      <x:c r="H1185" s="527" t="inlineStr">
        <x:is>
          <x:t xml:space="preserve">The Public</x:t>
        </x:is>
      </x:c>
      <x:c r="I1185" s="527" t="inlineStr">
        <x:is>
          <x:t xml:space="preserve">E/2 NW/4, N/2 NE/4 SW/4, NE/4 SE/4, SE/4 NE/4 of 31-12N-24W (AOL)</x:t>
        </x:is>
      </x:c>
      <x:c r="J1185" s="527" t="inlineStr">
        <x:is>
          <x:t xml:space="preserve">Fee / as stated</x:t>
        </x:is>
      </x:c>
      <x:c r="K1185" s="527" t="inlineStr">
        <x:is>
          <x:t xml:space="preserve">OKCountyRecords official index, Roger Mills County (instrument 2004-000099); searched 06/11/2026</x:t>
        </x:is>
      </x:c>
      <x:c r="L1185" s="565" t="n"/>
      <x:c r="M1185" s="565" t="n"/>
      <x:c r="N1185" s="565" t="n"/>
      <x:c r="O1185" s="565" t="n"/>
      <x:c r="P1185" s="565" t="n"/>
      <x:c r="Q1185" s="565" t="n"/>
      <x:c r="R1185" s="565" t="n"/>
      <x:c r="S1185" s="613" t="n"/>
      <x:c r="T1185" s="565" t="n"/>
      <x:c r="U1185" s="613" t="n"/>
      <x:c r="V1185" s="565" t="n"/>
      <x:c r="W1185" s="565" t="n"/>
      <x:c r="X1185" s="565" t="n"/>
      <x:c r="Y1185" s="565" t="n"/>
      <x:c r="Z1185" s="565" t="n"/>
    </x:row>
    <x:row r="1186">
      <x:c r="A1186" s="527" t="inlineStr">
        <x:is>
          <x:t xml:space="preserve">2004-000364</x:t>
        </x:is>
      </x:c>
      <x:c r="B1186" s="527" t="n"/>
      <x:c r="C1186" s="527" t="inlineStr">
        <x:is>
          <x:t xml:space="preserve">Quit Claim Deed</x:t>
        </x:is>
      </x:c>
      <x:c r="D1186" s="527" t="inlineStr">
        <x:is>
          <x:t xml:space="preserve">1735/0133</x:t>
        </x:is>
      </x:c>
      <x:c r="E1186" s="529" t="inlineStr">
        <x:is>
          <x:t xml:space="preserve">01/22/2004</x:t>
        </x:is>
      </x:c>
      <x:c r="F1186" s="529" t="n">
        <x:v>37959</x:v>
      </x:c>
      <x:c r="G1186" s="527" t="inlineStr">
        <x:is>
          <x:t xml:space="preserve">John E. Mahoney, Trustee</x:t>
        </x:is>
      </x:c>
      <x:c r="H1186" s="527" t="inlineStr">
        <x:is>
          <x:t xml:space="preserve">Kathy Bryant,
William Bryant</x:t>
        </x:is>
      </x:c>
      <x:c r="I1186" s="527" t="inlineStr">
        <x:is>
          <x:t xml:space="preserve">Lots 1 of 31-12N-24W</x:t>
        </x:is>
      </x:c>
      <x:c r="J1186" s="527" t="inlineStr">
        <x:is>
          <x:t xml:space="preserve">Fee / as stated</x:t>
        </x:is>
      </x:c>
      <x:c r="K1186" s="527" t="inlineStr">
        <x:is>
          <x:t xml:space="preserve">OKCountyRecords official index, Roger Mills County (instrument 2004-000364); searched 06/11/2026</x:t>
        </x:is>
      </x:c>
      <x:c r="L1186" s="565" t="n"/>
      <x:c r="M1186" s="565" t="n"/>
      <x:c r="N1186" s="565" t="n"/>
      <x:c r="O1186" s="565" t="n"/>
      <x:c r="P1186" s="565" t="n"/>
      <x:c r="Q1186" s="565" t="n"/>
      <x:c r="R1186" s="565" t="n"/>
      <x:c r="S1186" s="613" t="n"/>
      <x:c r="T1186" s="565" t="n"/>
      <x:c r="U1186" s="613" t="n"/>
      <x:c r="V1186" s="565" t="n"/>
      <x:c r="W1186" s="565" t="n"/>
      <x:c r="X1186" s="565" t="n"/>
      <x:c r="Y1186" s="565" t="n"/>
      <x:c r="Z1186" s="565" t="n"/>
    </x:row>
    <x:row r="1187">
      <x:c r="A1187" s="527" t="inlineStr">
        <x:is>
          <x:t xml:space="preserve">2004-000579</x:t>
        </x:is>
      </x:c>
      <x:c r="B1187" s="527" t="n"/>
      <x:c r="C1187" s="527" t="inlineStr">
        <x:is>
          <x:t xml:space="preserve">Oil and Gas Lease</x:t>
        </x:is>
      </x:c>
      <x:c r="D1187" s="527" t="inlineStr">
        <x:is>
          <x:t xml:space="preserve">1736/0193</x:t>
        </x:is>
      </x:c>
      <x:c r="E1187" s="529" t="inlineStr">
        <x:is>
          <x:t xml:space="preserve">02/03/2004</x:t>
        </x:is>
      </x:c>
      <x:c r="F1187" s="529" t="n">
        <x:v>38001</x:v>
      </x:c>
      <x:c r="G1187" s="527" t="inlineStr">
        <x:is>
          <x:t xml:space="preserve">Wilda E. Jensen</x:t>
        </x:is>
      </x:c>
      <x:c r="H1187" s="527" t="inlineStr">
        <x:is>
          <x:t xml:space="preserve">R. Michael Lortz</x:t>
        </x:is>
      </x:c>
      <x:c r="I1187" s="527" t="inlineStr">
        <x:is>
          <x:t xml:space="preserve">NW/4 SE/4, S/2 SE/4, SW/4 NE/4 of 31-12N-24W</x:t>
        </x:is>
      </x:c>
      <x:c r="J1187" s="527" t="inlineStr">
        <x:is>
          <x:t xml:space="preserve">Leasehold / WI</x:t>
        </x:is>
      </x:c>
      <x:c r="K1187" s="527" t="inlineStr">
        <x:is>
          <x:t xml:space="preserve">OKCountyRecords official index, Roger Mills County (instrument 2004-000579); searched 06/11/2026</x:t>
        </x:is>
      </x:c>
      <x:c r="L1187" s="565" t="n"/>
      <x:c r="M1187" s="565" t="n"/>
      <x:c r="N1187" s="565" t="n"/>
      <x:c r="O1187" s="565" t="n"/>
      <x:c r="P1187" s="565" t="n"/>
      <x:c r="Q1187" s="565" t="n"/>
      <x:c r="R1187" s="565" t="n"/>
      <x:c r="S1187" s="613" t="n"/>
      <x:c r="T1187" s="565" t="n"/>
      <x:c r="U1187" s="613" t="n"/>
      <x:c r="V1187" s="565" t="n"/>
      <x:c r="W1187" s="565" t="n"/>
      <x:c r="X1187" s="565" t="n"/>
      <x:c r="Y1187" s="565" t="n"/>
      <x:c r="Z1187" s="565" t="n"/>
    </x:row>
    <x:row r="1188">
      <x:c r="A1188" s="527" t="inlineStr">
        <x:is>
          <x:t xml:space="preserve">2004-000580</x:t>
        </x:is>
      </x:c>
      <x:c r="B1188" s="527" t="n"/>
      <x:c r="C1188" s="527" t="inlineStr">
        <x:is>
          <x:t xml:space="preserve">Oil and Gas Lease</x:t>
        </x:is>
      </x:c>
      <x:c r="D1188" s="527" t="inlineStr">
        <x:is>
          <x:t xml:space="preserve">1736/0195</x:t>
        </x:is>
      </x:c>
      <x:c r="E1188" s="529" t="inlineStr">
        <x:is>
          <x:t xml:space="preserve">02/03/2004</x:t>
        </x:is>
      </x:c>
      <x:c r="F1188" s="529" t="n">
        <x:v>38001</x:v>
      </x:c>
      <x:c r="G1188" s="527" t="inlineStr">
        <x:is>
          <x:t xml:space="preserve">Hans W. Jensen</x:t>
        </x:is>
      </x:c>
      <x:c r="H1188" s="527" t="inlineStr">
        <x:is>
          <x:t xml:space="preserve">R. Michael Lortz</x:t>
        </x:is>
      </x:c>
      <x:c r="I1188" s="527" t="inlineStr">
        <x:is>
          <x:t xml:space="preserve">NW/4 SE/4, S/2 SE/4, SW/4 NE/4 of 31-12N-24W</x:t>
        </x:is>
      </x:c>
      <x:c r="J1188" s="527" t="inlineStr">
        <x:is>
          <x:t xml:space="preserve">Leasehold / WI</x:t>
        </x:is>
      </x:c>
      <x:c r="K1188" s="527" t="inlineStr">
        <x:is>
          <x:t xml:space="preserve">OKCountyRecords official index, Roger Mills County (instrument 2004-000580); searched 06/11/2026</x:t>
        </x:is>
      </x:c>
      <x:c r="L1188" s="565" t="n"/>
      <x:c r="M1188" s="565" t="n"/>
      <x:c r="N1188" s="565" t="n"/>
      <x:c r="O1188" s="565" t="n"/>
      <x:c r="P1188" s="565" t="n"/>
      <x:c r="Q1188" s="565" t="n"/>
      <x:c r="R1188" s="565" t="n"/>
      <x:c r="S1188" s="613" t="n"/>
      <x:c r="T1188" s="565" t="n"/>
      <x:c r="U1188" s="613" t="n"/>
      <x:c r="V1188" s="565" t="n"/>
      <x:c r="W1188" s="565" t="n"/>
      <x:c r="X1188" s="565" t="n"/>
      <x:c r="Y1188" s="565" t="n"/>
      <x:c r="Z1188" s="565" t="n"/>
    </x:row>
    <x:row r="1189">
      <x:c r="A1189" s="527" t="inlineStr">
        <x:is>
          <x:t xml:space="preserve">2004-000581</x:t>
        </x:is>
      </x:c>
      <x:c r="B1189" s="527" t="n"/>
      <x:c r="C1189" s="527" t="inlineStr">
        <x:is>
          <x:t xml:space="preserve">Oil and Gas Lease</x:t>
        </x:is>
      </x:c>
      <x:c r="D1189" s="527" t="inlineStr">
        <x:is>
          <x:t xml:space="preserve">1736/0197</x:t>
        </x:is>
      </x:c>
      <x:c r="E1189" s="529" t="inlineStr">
        <x:is>
          <x:t xml:space="preserve">02/03/2004</x:t>
        </x:is>
      </x:c>
      <x:c r="F1189" s="529" t="n">
        <x:v>38007</x:v>
      </x:c>
      <x:c r="G1189" s="527" t="inlineStr">
        <x:is>
          <x:t xml:space="preserve">A. C. Campbell</x:t>
        </x:is>
      </x:c>
      <x:c r="H1189" s="527" t="inlineStr">
        <x:is>
          <x:t xml:space="preserve">R. Michael Lortz</x:t>
        </x:is>
      </x:c>
      <x:c r="I1189" s="527" t="inlineStr">
        <x:is>
          <x:t xml:space="preserve">S/2 NE/4 SW/4, SE/4 SW/4, Lots 3, 4 of 31-12N-24W</x:t>
        </x:is>
      </x:c>
      <x:c r="J1189" s="527" t="inlineStr">
        <x:is>
          <x:t xml:space="preserve">Leasehold / WI</x:t>
        </x:is>
      </x:c>
      <x:c r="K1189" s="527" t="inlineStr">
        <x:is>
          <x:t xml:space="preserve">OKCountyRecords official index, Roger Mills County (instrument 2004-000581); searched 06/11/2026</x:t>
        </x:is>
      </x:c>
      <x:c r="L1189" s="565" t="n"/>
      <x:c r="M1189" s="565" t="n"/>
      <x:c r="N1189" s="565" t="n"/>
      <x:c r="O1189" s="565" t="n"/>
      <x:c r="P1189" s="565" t="n"/>
      <x:c r="Q1189" s="565" t="n"/>
      <x:c r="R1189" s="565" t="n"/>
      <x:c r="S1189" s="613" t="n"/>
      <x:c r="T1189" s="565" t="n"/>
      <x:c r="U1189" s="613" t="n"/>
      <x:c r="V1189" s="565" t="n"/>
      <x:c r="W1189" s="565" t="n"/>
      <x:c r="X1189" s="565" t="n"/>
      <x:c r="Y1189" s="565" t="n"/>
      <x:c r="Z1189" s="565" t="n"/>
    </x:row>
    <x:row r="1190">
      <x:c r="A1190" s="527" t="inlineStr">
        <x:is>
          <x:t xml:space="preserve">2004-000582</x:t>
        </x:is>
      </x:c>
      <x:c r="B1190" s="527" t="n"/>
      <x:c r="C1190" s="527" t="inlineStr">
        <x:is>
          <x:t xml:space="preserve">Oil and Gas Lease</x:t>
        </x:is>
      </x:c>
      <x:c r="D1190" s="527" t="inlineStr">
        <x:is>
          <x:t xml:space="preserve">1736/0199</x:t>
        </x:is>
      </x:c>
      <x:c r="E1190" s="529" t="inlineStr">
        <x:is>
          <x:t xml:space="preserve">02/03/2004</x:t>
        </x:is>
      </x:c>
      <x:c r="F1190" s="529" t="n">
        <x:v>38001</x:v>
      </x:c>
      <x:c r="G1190" s="527" t="inlineStr">
        <x:is>
          <x:t xml:space="preserve">Tim E. Jensen</x:t>
        </x:is>
      </x:c>
      <x:c r="H1190" s="527" t="inlineStr">
        <x:is>
          <x:t xml:space="preserve">R. Michael Lortz</x:t>
        </x:is>
      </x:c>
      <x:c r="I1190" s="527" t="inlineStr">
        <x:is>
          <x:t xml:space="preserve">NW/4 SE/4, S/2 SE/4, SW/4 NE/4 of 31-12N-24W</x:t>
        </x:is>
      </x:c>
      <x:c r="J1190" s="527" t="inlineStr">
        <x:is>
          <x:t xml:space="preserve">Leasehold / WI</x:t>
        </x:is>
      </x:c>
      <x:c r="K1190" s="527" t="inlineStr">
        <x:is>
          <x:t xml:space="preserve">OKCountyRecords official index, Roger Mills County (instrument 2004-000582); searched 06/11/2026</x:t>
        </x:is>
      </x:c>
      <x:c r="L1190" s="565" t="n"/>
      <x:c r="M1190" s="565" t="n"/>
      <x:c r="N1190" s="565" t="n"/>
      <x:c r="O1190" s="565" t="n"/>
      <x:c r="P1190" s="565" t="n"/>
      <x:c r="Q1190" s="565" t="n"/>
      <x:c r="R1190" s="565" t="n"/>
      <x:c r="S1190" s="613" t="n"/>
      <x:c r="T1190" s="565" t="n"/>
      <x:c r="U1190" s="613" t="n"/>
      <x:c r="V1190" s="565" t="n"/>
      <x:c r="W1190" s="565" t="n"/>
      <x:c r="X1190" s="565" t="n"/>
      <x:c r="Y1190" s="565" t="n"/>
      <x:c r="Z1190" s="565" t="n"/>
    </x:row>
    <x:row r="1191">
      <x:c r="A1191" s="527" t="inlineStr">
        <x:is>
          <x:t xml:space="preserve">2004-000679</x:t>
        </x:is>
      </x:c>
      <x:c r="B1191" s="527" t="n">
        <x:v>25</x:v>
      </x:c>
      <x:c r="C1191" s="527" t="inlineStr">
        <x:is>
          <x:t xml:space="preserve">Oil and Gas Lease</x:t>
        </x:is>
      </x:c>
      <x:c r="D1191" s="527" t="inlineStr">
        <x:is>
          <x:t xml:space="preserve">1736/0473</x:t>
        </x:is>
      </x:c>
      <x:c r="E1191" s="529" t="inlineStr">
        <x:is>
          <x:t xml:space="preserve">02/10/2004</x:t>
        </x:is>
      </x:c>
      <x:c r="F1191" s="529" t="n">
        <x:v>38025</x:v>
      </x:c>
      <x:c r="G1191" s="527" t="inlineStr">
        <x:is>
          <x:t xml:space="preserve">Charles Allen Atha</x:t>
        </x:is>
      </x:c>
      <x:c r="H1191" s="527" t="inlineStr">
        <x:is>
          <x:t xml:space="preserve">R. Michael Lortz</x:t>
        </x:is>
      </x:c>
      <x:c r="I1191" s="527" t="inlineStr">
        <x:is>
          <x:t xml:space="preserve">Lots 1 of 31-12N-24W</x:t>
        </x:is>
      </x:c>
      <x:c r="J1191" s="527" t="inlineStr">
        <x:is>
          <x:t xml:space="preserve">Leasehold / WI</x:t>
        </x:is>
      </x:c>
      <x:c r="K1191" s="527" t="inlineStr">
        <x:is>
          <x:t xml:space="preserve">OKCountyRecords official index, Roger Mills County (instrument 2004-000679); searched 06/11/2026</x:t>
        </x:is>
      </x:c>
      <x:c r="L1191" s="565" t="n"/>
      <x:c r="M1191" s="565" t="n"/>
      <x:c r="N1191" s="565" t="n"/>
      <x:c r="O1191" s="565" t="n"/>
      <x:c r="P1191" s="565" t="n"/>
      <x:c r="Q1191" s="565" t="n"/>
      <x:c r="R1191" s="565" t="n"/>
      <x:c r="S1191" s="613" t="n"/>
      <x:c r="T1191" s="565" t="n"/>
      <x:c r="U1191" s="613" t="n"/>
      <x:c r="V1191" s="565" t="n"/>
      <x:c r="W1191" s="565" t="n"/>
      <x:c r="X1191" s="565" t="n"/>
      <x:c r="Y1191" s="565" t="n"/>
      <x:c r="Z1191" s="565" t="n"/>
    </x:row>
    <x:row r="1192">
      <x:c r="A1192" s="527" t="inlineStr">
        <x:is>
          <x:t xml:space="preserve">2004-000685</x:t>
        </x:is>
      </x:c>
      <x:c r="B1192" s="527" t="n"/>
      <x:c r="C1192" s="527" t="inlineStr">
        <x:is>
          <x:t xml:space="preserve">Oil and Gas Lease</x:t>
        </x:is>
      </x:c>
      <x:c r="D1192" s="527" t="inlineStr">
        <x:is>
          <x:t xml:space="preserve">1736/0485</x:t>
        </x:is>
      </x:c>
      <x:c r="E1192" s="529" t="inlineStr">
        <x:is>
          <x:t xml:space="preserve">02/10/2004</x:t>
        </x:is>
      </x:c>
      <x:c r="F1192" s="529" t="n">
        <x:v>38019</x:v>
      </x:c>
      <x:c r="G1192" s="527" t="inlineStr">
        <x:is>
          <x:t xml:space="preserve">L. E. Thurman</x:t>
        </x:is>
      </x:c>
      <x:c r="H1192" s="527" t="inlineStr">
        <x:is>
          <x:t xml:space="preserve">R. Michael Lortz</x:t>
        </x:is>
      </x:c>
      <x:c r="I1192" s="527" t="inlineStr">
        <x:is>
          <x:t xml:space="preserve">E/2 NW/4, N/2 NE/4 SW/4, NE/4 SE/4, SE/4 NE/4 of 31-12N-24W</x:t>
        </x:is>
      </x:c>
      <x:c r="J1192" s="527" t="inlineStr">
        <x:is>
          <x:t xml:space="preserve">Leasehold / WI</x:t>
        </x:is>
      </x:c>
      <x:c r="K1192" s="527" t="inlineStr">
        <x:is>
          <x:t xml:space="preserve">OKCountyRecords official index, Roger Mills County (instrument 2004-000685); searched 06/11/2026</x:t>
        </x:is>
      </x:c>
      <x:c r="L1192" s="565" t="n"/>
      <x:c r="M1192" s="565" t="n"/>
      <x:c r="N1192" s="565" t="n"/>
      <x:c r="O1192" s="565" t="n"/>
      <x:c r="P1192" s="565" t="n"/>
      <x:c r="Q1192" s="565" t="n"/>
      <x:c r="R1192" s="565" t="n"/>
      <x:c r="S1192" s="613" t="n"/>
      <x:c r="T1192" s="565" t="n"/>
      <x:c r="U1192" s="613" t="n"/>
      <x:c r="V1192" s="565" t="n"/>
      <x:c r="W1192" s="565" t="n"/>
      <x:c r="X1192" s="565" t="n"/>
      <x:c r="Y1192" s="565" t="n"/>
      <x:c r="Z1192" s="565" t="n"/>
    </x:row>
    <x:row r="1193">
      <x:c r="A1193" s="527" t="inlineStr">
        <x:is>
          <x:t xml:space="preserve">2004-000690</x:t>
        </x:is>
      </x:c>
      <x:c r="B1193" s="527" t="n"/>
      <x:c r="C1193" s="527" t="inlineStr">
        <x:is>
          <x:t xml:space="preserve">Oil and Gas Lease</x:t>
        </x:is>
      </x:c>
      <x:c r="D1193" s="527" t="inlineStr">
        <x:is>
          <x:t xml:space="preserve">1736/0496</x:t>
        </x:is>
      </x:c>
      <x:c r="E1193" s="529" t="inlineStr">
        <x:is>
          <x:t xml:space="preserve">02/10/2004</x:t>
        </x:is>
      </x:c>
      <x:c r="F1193" s="529" t="n">
        <x:v>38012</x:v>
      </x:c>
      <x:c r="G1193" s="527" t="inlineStr">
        <x:is>
          <x:t xml:space="preserve">John W. Bain,
Joseph A. Bain,
Anna T. Gibson</x:t>
        </x:is>
      </x:c>
      <x:c r="H1193" s="527" t="inlineStr">
        <x:is>
          <x:t xml:space="preserve">R. Michael Lortz</x:t>
        </x:is>
      </x:c>
      <x:c r="I1193" s="527" t="inlineStr">
        <x:is>
          <x:t xml:space="preserve">NW/4 SE/4, S/2 SE/4, SW/4 NE/4 of 31-12N-24W</x:t>
        </x:is>
      </x:c>
      <x:c r="J1193" s="527" t="inlineStr">
        <x:is>
          <x:t xml:space="preserve">Leasehold / WI</x:t>
        </x:is>
      </x:c>
      <x:c r="K1193" s="527" t="inlineStr">
        <x:is>
          <x:t xml:space="preserve">OKCountyRecords official index, Roger Mills County (instrument 2004-000690); searched 06/11/2026</x:t>
        </x:is>
      </x:c>
      <x:c r="L1193" s="565" t="n"/>
      <x:c r="M1193" s="565" t="n"/>
      <x:c r="N1193" s="565" t="n"/>
      <x:c r="O1193" s="565" t="n"/>
      <x:c r="P1193" s="565" t="n"/>
      <x:c r="Q1193" s="565" t="n"/>
      <x:c r="R1193" s="565" t="n"/>
      <x:c r="S1193" s="613" t="n"/>
      <x:c r="T1193" s="565" t="n"/>
      <x:c r="U1193" s="613" t="n"/>
      <x:c r="V1193" s="565" t="n"/>
      <x:c r="W1193" s="565" t="n"/>
      <x:c r="X1193" s="565" t="n"/>
      <x:c r="Y1193" s="565" t="n"/>
      <x:c r="Z1193" s="565" t="n"/>
    </x:row>
    <x:row r="1194">
      <x:c r="A1194" s="527" t="inlineStr">
        <x:is>
          <x:t xml:space="preserve">2004-000691</x:t>
        </x:is>
      </x:c>
      <x:c r="B1194" s="527" t="n"/>
      <x:c r="C1194" s="527" t="inlineStr">
        <x:is>
          <x:t xml:space="preserve">Proof Of Death</x:t>
        </x:is>
      </x:c>
      <x:c r="D1194" s="527" t="inlineStr">
        <x:is>
          <x:t xml:space="preserve">1736/0498</x:t>
        </x:is>
      </x:c>
      <x:c r="E1194" s="529" t="inlineStr">
        <x:is>
          <x:t xml:space="preserve">02/10/2004</x:t>
        </x:is>
      </x:c>
      <x:c r="F1194" s="529" t="n">
        <x:v>38014</x:v>
      </x:c>
      <x:c r="G1194" s="527" t="inlineStr">
        <x:is>
          <x:t xml:space="preserve">John W. Bain</x:t>
        </x:is>
      </x:c>
      <x:c r="H1194" s="527" t="inlineStr">
        <x:is>
          <x:t xml:space="preserve">The Public</x:t>
        </x:is>
      </x:c>
      <x:c r="I1194" s="527" t="inlineStr">
        <x:is>
          <x:t xml:space="preserve">NW/4 SE/4, S/2 SE/4, SW/4 NE/4 of 31-12N-24W</x:t>
        </x:is>
      </x:c>
      <x:c r="J1194" s="527" t="inlineStr">
        <x:is>
          <x:t xml:space="preserve">Fee / as stated</x:t>
        </x:is>
      </x:c>
      <x:c r="K1194" s="527" t="inlineStr">
        <x:is>
          <x:t xml:space="preserve">OKCountyRecords official index, Roger Mills County (instrument 2004-000691); searched 06/11/2026</x:t>
        </x:is>
      </x:c>
      <x:c r="L1194" s="565" t="n"/>
      <x:c r="M1194" s="565" t="n"/>
      <x:c r="N1194" s="565" t="n"/>
      <x:c r="O1194" s="565" t="n"/>
      <x:c r="P1194" s="565" t="n"/>
      <x:c r="Q1194" s="565" t="n"/>
      <x:c r="R1194" s="565" t="n"/>
      <x:c r="S1194" s="613" t="n"/>
      <x:c r="T1194" s="565" t="n"/>
      <x:c r="U1194" s="613" t="n"/>
      <x:c r="V1194" s="565" t="n"/>
      <x:c r="W1194" s="565" t="n"/>
      <x:c r="X1194" s="565" t="n"/>
      <x:c r="Y1194" s="565" t="n"/>
      <x:c r="Z1194" s="565" t="n"/>
    </x:row>
    <x:row r="1195">
      <x:c r="A1195" s="527" t="inlineStr">
        <x:is>
          <x:t xml:space="preserve">2004-000721</x:t>
        </x:is>
      </x:c>
      <x:c r="B1195" s="527" t="n"/>
      <x:c r="C1195" s="527" t="inlineStr">
        <x:is>
          <x:t xml:space="preserve">Oil and Gas Lease</x:t>
        </x:is>
      </x:c>
      <x:c r="D1195" s="527" t="inlineStr">
        <x:is>
          <x:t xml:space="preserve">1736/0590</x:t>
        </x:is>
      </x:c>
      <x:c r="E1195" s="529" t="inlineStr">
        <x:is>
          <x:t xml:space="preserve">02/12/2004</x:t>
        </x:is>
      </x:c>
      <x:c r="F1195" s="529" t="n">
        <x:v>38001</x:v>
      </x:c>
      <x:c r="G1195" s="527" t="inlineStr">
        <x:is>
          <x:t xml:space="preserve">Juanita M. Wolff</x:t>
        </x:is>
      </x:c>
      <x:c r="H1195" s="527" t="inlineStr">
        <x:is>
          <x:t xml:space="preserve">R. Michael Lortz</x:t>
        </x:is>
      </x:c>
      <x:c r="I1195" s="527" t="inlineStr">
        <x:is>
          <x:t xml:space="preserve">NW/4 SE/4, S/2 SE/4, SW/4 NE/4 of 31-12N-24W</x:t>
        </x:is>
      </x:c>
      <x:c r="J1195" s="527" t="inlineStr">
        <x:is>
          <x:t xml:space="preserve">Leasehold / WI</x:t>
        </x:is>
      </x:c>
      <x:c r="K1195" s="527" t="inlineStr">
        <x:is>
          <x:t xml:space="preserve">OKCountyRecords official index, Roger Mills County (instrument 2004-000721); searched 06/11/2026</x:t>
        </x:is>
      </x:c>
      <x:c r="L1195" s="565" t="n"/>
      <x:c r="M1195" s="565" t="n"/>
      <x:c r="N1195" s="565" t="n"/>
      <x:c r="O1195" s="565" t="n"/>
      <x:c r="P1195" s="565" t="n"/>
      <x:c r="Q1195" s="565" t="n"/>
      <x:c r="R1195" s="565" t="n"/>
      <x:c r="S1195" s="613" t="n"/>
      <x:c r="T1195" s="565" t="n"/>
      <x:c r="U1195" s="613" t="n"/>
      <x:c r="V1195" s="565" t="n"/>
      <x:c r="W1195" s="565" t="n"/>
      <x:c r="X1195" s="565" t="n"/>
      <x:c r="Y1195" s="565" t="n"/>
      <x:c r="Z1195" s="565" t="n"/>
    </x:row>
    <x:row r="1196">
      <x:c r="A1196" s="527" t="inlineStr">
        <x:is>
          <x:t xml:space="preserve">2004-000722</x:t>
        </x:is>
      </x:c>
      <x:c r="B1196" s="527" t="n">
        <x:v>22</x:v>
      </x:c>
      <x:c r="C1196" s="527" t="inlineStr">
        <x:is>
          <x:t xml:space="preserve">Oil and Gas Lease</x:t>
        </x:is>
      </x:c>
      <x:c r="D1196" s="527" t="inlineStr">
        <x:is>
          <x:t xml:space="preserve">1736/0592</x:t>
        </x:is>
      </x:c>
      <x:c r="E1196" s="529" t="inlineStr">
        <x:is>
          <x:t xml:space="preserve">02/12/2004</x:t>
        </x:is>
      </x:c>
      <x:c r="F1196" s="529" t="n">
        <x:v>37999</x:v>
      </x:c>
      <x:c r="G1196" s="527" t="inlineStr">
        <x:is>
          <x:t xml:space="preserve">Nancy Mitchell Williams</x:t>
        </x:is>
      </x:c>
      <x:c r="H1196" s="527" t="inlineStr">
        <x:is>
          <x:t xml:space="preserve">R. Michael Lortz</x:t>
        </x:is>
      </x:c>
      <x:c r="I1196" s="527" t="inlineStr">
        <x:is>
          <x:t xml:space="preserve">E/2 NW/4, N/2 NE/4, N/2 NE/4 SW/4, NE/4 SE/4, S/2 NE/4 SW/4, SE/4 NE/4, SE/4 SW/4, Lots 4 of 31-12N-24W</x:t>
        </x:is>
      </x:c>
      <x:c r="J1196" s="527" t="inlineStr">
        <x:is>
          <x:t xml:space="preserve">Leasehold / WI</x:t>
        </x:is>
      </x:c>
      <x:c r="K1196" s="527" t="inlineStr">
        <x:is>
          <x:t xml:space="preserve">OKCountyRecords official index, Roger Mills County (instrument 2004-000722); searched 06/11/2026</x:t>
        </x:is>
      </x:c>
      <x:c r="L1196" s="565" t="n"/>
      <x:c r="M1196" s="565" t="n"/>
      <x:c r="N1196" s="565" t="n"/>
      <x:c r="O1196" s="565" t="n"/>
      <x:c r="P1196" s="565" t="n"/>
      <x:c r="Q1196" s="565" t="n"/>
      <x:c r="R1196" s="565" t="n"/>
      <x:c r="S1196" s="613" t="n"/>
      <x:c r="T1196" s="565" t="n"/>
      <x:c r="U1196" s="613" t="n"/>
      <x:c r="V1196" s="565" t="n"/>
      <x:c r="W1196" s="565" t="n"/>
      <x:c r="X1196" s="565" t="n"/>
      <x:c r="Y1196" s="565" t="n"/>
      <x:c r="Z1196" s="565" t="n"/>
    </x:row>
    <x:row r="1197">
      <x:c r="A1197" s="527" t="inlineStr">
        <x:is>
          <x:t xml:space="preserve">2004-000723</x:t>
        </x:is>
      </x:c>
      <x:c r="B1197" s="527" t="n"/>
      <x:c r="C1197" s="527" t="inlineStr">
        <x:is>
          <x:t xml:space="preserve">Oil and Gas Lease</x:t>
        </x:is>
      </x:c>
      <x:c r="D1197" s="527" t="inlineStr">
        <x:is>
          <x:t xml:space="preserve">1736/0594</x:t>
        </x:is>
      </x:c>
      <x:c r="E1197" s="529" t="inlineStr">
        <x:is>
          <x:t xml:space="preserve">02/12/2004</x:t>
        </x:is>
      </x:c>
      <x:c r="F1197" s="529" t="n">
        <x:v>37999</x:v>
      </x:c>
      <x:c r="G1197" s="527" t="inlineStr">
        <x:is>
          <x:t xml:space="preserve">Carrie Leeann Mitchell</x:t>
        </x:is>
      </x:c>
      <x:c r="H1197" s="527" t="inlineStr">
        <x:is>
          <x:t xml:space="preserve">R. Michael Lortz</x:t>
        </x:is>
      </x:c>
      <x:c r="I1197" s="527" t="inlineStr">
        <x:is>
          <x:t xml:space="preserve">E/2 NW/4, N/2 NE/4, N/2 NE/4 SW/4, NE/4 SE/4, S/2 NE/4 SW/4, SE/4 NE/4, SE/4 SW/4, Lots 4 of 31-12N-24W</x:t>
        </x:is>
      </x:c>
      <x:c r="J1197" s="527" t="inlineStr">
        <x:is>
          <x:t xml:space="preserve">Leasehold / WI</x:t>
        </x:is>
      </x:c>
      <x:c r="K1197" s="527" t="inlineStr">
        <x:is>
          <x:t xml:space="preserve">OKCountyRecords official index, Roger Mills County (instrument 2004-000723); searched 06/11/2026</x:t>
        </x:is>
      </x:c>
      <x:c r="L1197" s="565" t="n"/>
      <x:c r="M1197" s="565" t="n"/>
      <x:c r="N1197" s="565" t="n"/>
      <x:c r="O1197" s="565" t="n"/>
      <x:c r="P1197" s="565" t="n"/>
      <x:c r="Q1197" s="565" t="n"/>
      <x:c r="R1197" s="565" t="n"/>
      <x:c r="S1197" s="613" t="n"/>
      <x:c r="T1197" s="565" t="n"/>
      <x:c r="U1197" s="613" t="n"/>
      <x:c r="V1197" s="565" t="n"/>
      <x:c r="W1197" s="565" t="n"/>
      <x:c r="X1197" s="565" t="n"/>
      <x:c r="Y1197" s="565" t="n"/>
      <x:c r="Z1197" s="565" t="n"/>
    </x:row>
    <x:row r="1198">
      <x:c r="A1198" s="527" t="inlineStr">
        <x:is>
          <x:t xml:space="preserve">2004-000724</x:t>
        </x:is>
      </x:c>
      <x:c r="B1198" s="527" t="n"/>
      <x:c r="C1198" s="527" t="inlineStr">
        <x:is>
          <x:t xml:space="preserve">Oil and Gas Lease</x:t>
        </x:is>
      </x:c>
      <x:c r="D1198" s="527" t="inlineStr">
        <x:is>
          <x:t xml:space="preserve">1736/0596</x:t>
        </x:is>
      </x:c>
      <x:c r="E1198" s="529" t="inlineStr">
        <x:is>
          <x:t xml:space="preserve">02/12/2004</x:t>
        </x:is>
      </x:c>
      <x:c r="F1198" s="529" t="n">
        <x:v>38001</x:v>
      </x:c>
      <x:c r="G1198" s="527" t="inlineStr">
        <x:is>
          <x:t xml:space="preserve">Carl L. Bain</x:t>
        </x:is>
      </x:c>
      <x:c r="H1198" s="527" t="inlineStr">
        <x:is>
          <x:t xml:space="preserve">R. Michael Lortz</x:t>
        </x:is>
      </x:c>
      <x:c r="I1198" s="527" t="inlineStr">
        <x:is>
          <x:t xml:space="preserve">NW/4 SE/4, S/2 SE/4, SW/4 NE/4 of 31-12N-24W</x:t>
        </x:is>
      </x:c>
      <x:c r="J1198" s="527" t="inlineStr">
        <x:is>
          <x:t xml:space="preserve">Leasehold / WI</x:t>
        </x:is>
      </x:c>
      <x:c r="K1198" s="527" t="inlineStr">
        <x:is>
          <x:t xml:space="preserve">OKCountyRecords official index, Roger Mills County (instrument 2004-000724); searched 06/11/2026</x:t>
        </x:is>
      </x:c>
      <x:c r="L1198" s="565" t="n"/>
      <x:c r="M1198" s="565" t="n"/>
      <x:c r="N1198" s="565" t="n"/>
      <x:c r="O1198" s="565" t="n"/>
      <x:c r="P1198" s="565" t="n"/>
      <x:c r="Q1198" s="565" t="n"/>
      <x:c r="R1198" s="565" t="n"/>
      <x:c r="S1198" s="613" t="n"/>
      <x:c r="T1198" s="565" t="n"/>
      <x:c r="U1198" s="613" t="n"/>
      <x:c r="V1198" s="565" t="n"/>
      <x:c r="W1198" s="565" t="n"/>
      <x:c r="X1198" s="565" t="n"/>
      <x:c r="Y1198" s="565" t="n"/>
      <x:c r="Z1198" s="565" t="n"/>
    </x:row>
    <x:row r="1199">
      <x:c r="A1199" s="527" t="inlineStr">
        <x:is>
          <x:t xml:space="preserve">2004-000725</x:t>
        </x:is>
      </x:c>
      <x:c r="B1199" s="527" t="n"/>
      <x:c r="C1199" s="527" t="inlineStr">
        <x:is>
          <x:t xml:space="preserve">Oil and Gas Lease</x:t>
        </x:is>
      </x:c>
      <x:c r="D1199" s="527" t="inlineStr">
        <x:is>
          <x:t xml:space="preserve">1736/0598</x:t>
        </x:is>
      </x:c>
      <x:c r="E1199" s="529" t="inlineStr">
        <x:is>
          <x:t xml:space="preserve">02/12/2004</x:t>
        </x:is>
      </x:c>
      <x:c r="F1199" s="529" t="n">
        <x:v>38001</x:v>
      </x:c>
      <x:c r="G1199" s="527" t="inlineStr">
        <x:is>
          <x:t xml:space="preserve">Dow C. Etux Bain</x:t>
        </x:is>
      </x:c>
      <x:c r="H1199" s="527" t="inlineStr">
        <x:is>
          <x:t xml:space="preserve">R. Michael Lortz</x:t>
        </x:is>
      </x:c>
      <x:c r="I1199" s="527" t="inlineStr">
        <x:is>
          <x:t xml:space="preserve">NW/4 SE/4, S/2 SE/4, SW/4 NE/4 of 31-12N-24W</x:t>
        </x:is>
      </x:c>
      <x:c r="J1199" s="527" t="inlineStr">
        <x:is>
          <x:t xml:space="preserve">Leasehold / WI</x:t>
        </x:is>
      </x:c>
      <x:c r="K1199" s="527" t="inlineStr">
        <x:is>
          <x:t xml:space="preserve">OKCountyRecords official index, Roger Mills County (instrument 2004-000725); searched 06/11/2026</x:t>
        </x:is>
      </x:c>
      <x:c r="L1199" s="565" t="n"/>
      <x:c r="M1199" s="565" t="n"/>
      <x:c r="N1199" s="565" t="n"/>
      <x:c r="O1199" s="565" t="n"/>
      <x:c r="P1199" s="565" t="n"/>
      <x:c r="Q1199" s="565" t="n"/>
      <x:c r="R1199" s="565" t="n"/>
      <x:c r="S1199" s="613" t="n"/>
      <x:c r="T1199" s="565" t="n"/>
      <x:c r="U1199" s="613" t="n"/>
      <x:c r="V1199" s="565" t="n"/>
      <x:c r="W1199" s="565" t="n"/>
      <x:c r="X1199" s="565" t="n"/>
      <x:c r="Y1199" s="565" t="n"/>
      <x:c r="Z1199" s="565" t="n"/>
    </x:row>
    <x:row r="1200">
      <x:c r="A1200" s="527" t="inlineStr">
        <x:is>
          <x:t xml:space="preserve">2004-000726</x:t>
        </x:is>
      </x:c>
      <x:c r="B1200" s="527" t="n"/>
      <x:c r="C1200" s="527" t="inlineStr">
        <x:is>
          <x:t xml:space="preserve">Oil and Gas Lease</x:t>
        </x:is>
      </x:c>
      <x:c r="D1200" s="527" t="inlineStr">
        <x:is>
          <x:t xml:space="preserve">1736/0600</x:t>
        </x:is>
      </x:c>
      <x:c r="E1200" s="529" t="inlineStr">
        <x:is>
          <x:t xml:space="preserve">02/12/2004</x:t>
        </x:is>
      </x:c>
      <x:c r="F1200" s="529" t="n">
        <x:v>37999</x:v>
      </x:c>
      <x:c r="G1200" s="527" t="inlineStr">
        <x:is>
          <x:t xml:space="preserve">Nancy Susan Mitchell</x:t>
        </x:is>
      </x:c>
      <x:c r="H1200" s="527" t="inlineStr">
        <x:is>
          <x:t xml:space="preserve">R. Michael Lortz</x:t>
        </x:is>
      </x:c>
      <x:c r="I1200" s="527" t="inlineStr">
        <x:is>
          <x:t xml:space="preserve">E/2 NW/4, N/2 NE/4, N/2 NE/4 SW/4, NE/4 SE/4, S/2 NE/4 SW/4, SE/4 NE/4, SE/4 SW/4, Lots 4 of 31-12N-24W</x:t>
        </x:is>
      </x:c>
      <x:c r="J1200" s="527" t="inlineStr">
        <x:is>
          <x:t xml:space="preserve">Leasehold / WI</x:t>
        </x:is>
      </x:c>
      <x:c r="K1200" s="527" t="inlineStr">
        <x:is>
          <x:t xml:space="preserve">OKCountyRecords official index, Roger Mills County (instrument 2004-000726); searched 06/11/2026</x:t>
        </x:is>
      </x:c>
      <x:c r="L1200" s="565" t="n"/>
      <x:c r="M1200" s="565" t="n"/>
      <x:c r="N1200" s="565" t="n"/>
      <x:c r="O1200" s="565" t="n"/>
      <x:c r="P1200" s="565" t="n"/>
      <x:c r="Q1200" s="565" t="n"/>
      <x:c r="R1200" s="565" t="n"/>
      <x:c r="S1200" s="613" t="n"/>
      <x:c r="T1200" s="565" t="n"/>
      <x:c r="U1200" s="613" t="n"/>
      <x:c r="V1200" s="565" t="n"/>
      <x:c r="W1200" s="565" t="n"/>
      <x:c r="X1200" s="565" t="n"/>
      <x:c r="Y1200" s="565" t="n"/>
      <x:c r="Z1200" s="565" t="n"/>
    </x:row>
    <x:row r="1201">
      <x:c r="A1201" s="527" t="inlineStr">
        <x:is>
          <x:t xml:space="preserve">2004-000727</x:t>
        </x:is>
      </x:c>
      <x:c r="B1201" s="527" t="n"/>
      <x:c r="C1201" s="527" t="inlineStr">
        <x:is>
          <x:t xml:space="preserve">Oil and Gas Lease</x:t>
        </x:is>
      </x:c>
      <x:c r="D1201" s="527" t="inlineStr">
        <x:is>
          <x:t xml:space="preserve">1736/0602</x:t>
        </x:is>
      </x:c>
      <x:c r="E1201" s="529" t="inlineStr">
        <x:is>
          <x:t xml:space="preserve">02/12/2004</x:t>
        </x:is>
      </x:c>
      <x:c r="F1201" s="529" t="n">
        <x:v>37999</x:v>
      </x:c>
      <x:c r="G1201" s="527" t="inlineStr">
        <x:is>
          <x:t xml:space="preserve">Gena W. Moore</x:t>
        </x:is>
      </x:c>
      <x:c r="H1201" s="527" t="inlineStr">
        <x:is>
          <x:t xml:space="preserve">R. Michael Lortz</x:t>
        </x:is>
      </x:c>
      <x:c r="I1201" s="527" t="inlineStr">
        <x:is>
          <x:t xml:space="preserve">E/2 NW/4, N/2 NE/4, N/2 NE/4 SW/4, NE/4 SE/4, S/2 NE/4 SW/4, SE/4 NE/4, SE/4 SW/4, Lots 4 of 31-12N-24W</x:t>
        </x:is>
      </x:c>
      <x:c r="J1201" s="527" t="inlineStr">
        <x:is>
          <x:t xml:space="preserve">Leasehold / WI</x:t>
        </x:is>
      </x:c>
      <x:c r="K1201" s="527" t="inlineStr">
        <x:is>
          <x:t xml:space="preserve">OKCountyRecords official index, Roger Mills County (instrument 2004-000727); searched 06/11/2026</x:t>
        </x:is>
      </x:c>
      <x:c r="L1201" s="565" t="n"/>
      <x:c r="M1201" s="565" t="n"/>
      <x:c r="N1201" s="565" t="n"/>
      <x:c r="O1201" s="565" t="n"/>
      <x:c r="P1201" s="565" t="n"/>
      <x:c r="Q1201" s="565" t="n"/>
      <x:c r="R1201" s="565" t="n"/>
      <x:c r="S1201" s="613" t="n"/>
      <x:c r="T1201" s="565" t="n"/>
      <x:c r="U1201" s="613" t="n"/>
      <x:c r="V1201" s="565" t="n"/>
      <x:c r="W1201" s="565" t="n"/>
      <x:c r="X1201" s="565" t="n"/>
      <x:c r="Y1201" s="565" t="n"/>
      <x:c r="Z1201" s="565" t="n"/>
    </x:row>
    <x:row r="1202">
      <x:c r="A1202" s="527" t="inlineStr">
        <x:is>
          <x:t xml:space="preserve">2004-000720</x:t>
        </x:is>
      </x:c>
      <x:c r="B1202" s="527" t="n">
        <x:v>23</x:v>
      </x:c>
      <x:c r="C1202" s="527" t="inlineStr">
        <x:is>
          <x:t xml:space="preserve">Oil and Gas Lease</x:t>
        </x:is>
      </x:c>
      <x:c r="D1202" s="527" t="inlineStr">
        <x:is>
          <x:t xml:space="preserve">1736/0588</x:t>
        </x:is>
      </x:c>
      <x:c r="E1202" s="529" t="inlineStr">
        <x:is>
          <x:t xml:space="preserve">02/12/2004</x:t>
        </x:is>
      </x:c>
      <x:c r="F1202" s="529" t="n">
        <x:v>38007</x:v>
      </x:c>
      <x:c r="G1202" s="527" t="inlineStr">
        <x:is>
          <x:t xml:space="preserve">Clarence C. Bain, Trustee</x:t>
        </x:is>
      </x:c>
      <x:c r="H1202" s="527" t="inlineStr">
        <x:is>
          <x:t xml:space="preserve">R. Michael Lortz</x:t>
        </x:is>
      </x:c>
      <x:c r="I1202" s="527" t="inlineStr">
        <x:is>
          <x:t xml:space="preserve">NW/4 SE/4, S/2 SE/4, SW/4 NE/4 of 31-12N-24W</x:t>
        </x:is>
      </x:c>
      <x:c r="J1202" s="527" t="inlineStr">
        <x:is>
          <x:t xml:space="preserve">Leasehold / WI</x:t>
        </x:is>
      </x:c>
      <x:c r="K1202" s="527" t="inlineStr">
        <x:is>
          <x:t xml:space="preserve">OKCountyRecords official index, Roger Mills County (instrument 2004-000720); searched 06/11/2026</x:t>
        </x:is>
      </x:c>
      <x:c r="L1202" s="565" t="n"/>
      <x:c r="M1202" s="565" t="n"/>
      <x:c r="N1202" s="565" t="n"/>
      <x:c r="O1202" s="565" t="n"/>
      <x:c r="P1202" s="565" t="n"/>
      <x:c r="Q1202" s="565" t="n"/>
      <x:c r="R1202" s="565" t="n"/>
      <x:c r="S1202" s="613" t="n"/>
      <x:c r="T1202" s="565" t="n"/>
      <x:c r="U1202" s="613" t="n"/>
      <x:c r="V1202" s="565" t="n"/>
      <x:c r="W1202" s="565" t="n"/>
      <x:c r="X1202" s="565" t="n"/>
      <x:c r="Y1202" s="565" t="n"/>
      <x:c r="Z1202" s="565" t="n"/>
    </x:row>
    <x:row r="1203">
      <x:c r="A1203" s="527" t="inlineStr">
        <x:is>
          <x:t xml:space="preserve">2004-000880</x:t>
        </x:is>
      </x:c>
      <x:c r="B1203" s="527" t="n"/>
      <x:c r="C1203" s="527" t="inlineStr">
        <x:is>
          <x:t xml:space="preserve">Oil and Gas Lease</x:t>
        </x:is>
      </x:c>
      <x:c r="D1203" s="527" t="inlineStr">
        <x:is>
          <x:t xml:space="preserve">1737/0580</x:t>
        </x:is>
      </x:c>
      <x:c r="E1203" s="529" t="inlineStr">
        <x:is>
          <x:t xml:space="preserve">02/23/2004</x:t>
        </x:is>
      </x:c>
      <x:c r="F1203" s="529" t="n">
        <x:v>38032</x:v>
      </x:c>
      <x:c r="G1203" s="527" t="inlineStr">
        <x:is>
          <x:t xml:space="preserve">Sandra Lorrain York</x:t>
        </x:is>
      </x:c>
      <x:c r="H1203" s="527" t="inlineStr">
        <x:is>
          <x:t xml:space="preserve">Kodiak Production Company</x:t>
        </x:is>
      </x:c>
      <x:c r="I1203" s="527" t="inlineStr">
        <x:is>
          <x:t xml:space="preserve">Lots 1 of 31-12N-24W</x:t>
        </x:is>
      </x:c>
      <x:c r="J1203" s="527" t="inlineStr">
        <x:is>
          <x:t xml:space="preserve">Leasehold / WI</x:t>
        </x:is>
      </x:c>
      <x:c r="K1203" s="527" t="inlineStr">
        <x:is>
          <x:t xml:space="preserve">OKCountyRecords official index, Roger Mills County (instrument 2004-000880); searched 06/11/2026</x:t>
        </x:is>
      </x:c>
      <x:c r="L1203" s="565" t="n"/>
      <x:c r="M1203" s="565" t="n"/>
      <x:c r="N1203" s="565" t="n"/>
      <x:c r="O1203" s="565" t="n"/>
      <x:c r="P1203" s="565" t="n"/>
      <x:c r="Q1203" s="565" t="n"/>
      <x:c r="R1203" s="565" t="n"/>
      <x:c r="S1203" s="613" t="n"/>
      <x:c r="T1203" s="565" t="n"/>
      <x:c r="U1203" s="613" t="n"/>
      <x:c r="V1203" s="565" t="n"/>
      <x:c r="W1203" s="565" t="n"/>
      <x:c r="X1203" s="565" t="n"/>
      <x:c r="Y1203" s="565" t="n"/>
      <x:c r="Z1203" s="565" t="n"/>
    </x:row>
    <x:row r="1204">
      <x:c r="A1204" s="527" t="inlineStr">
        <x:is>
          <x:t xml:space="preserve">2004-001053</x:t>
        </x:is>
      </x:c>
      <x:c r="B1204" s="527" t="n">
        <x:v>24</x:v>
      </x:c>
      <x:c r="C1204" s="527" t="inlineStr">
        <x:is>
          <x:t xml:space="preserve">Oil and Gas Lease</x:t>
        </x:is>
      </x:c>
      <x:c r="D1204" s="527" t="inlineStr">
        <x:is>
          <x:t xml:space="preserve">1738/0479</x:t>
        </x:is>
      </x:c>
      <x:c r="E1204" s="529" t="inlineStr">
        <x:is>
          <x:t xml:space="preserve">03/03/2004</x:t>
        </x:is>
      </x:c>
      <x:c r="F1204" s="529" t="n">
        <x:v>38022</x:v>
      </x:c>
      <x:c r="G1204" s="527" t="inlineStr">
        <x:is>
          <x:t xml:space="preserve">Lola F. Richards</x:t>
        </x:is>
      </x:c>
      <x:c r="H1204" s="527" t="inlineStr">
        <x:is>
          <x:t xml:space="preserve">R. Michael Lortz</x:t>
        </x:is>
      </x:c>
      <x:c r="I1204" s="527" t="inlineStr">
        <x:is>
          <x:t xml:space="preserve">NW/4 SE/4, S/2 SE/4, SW/4 NE/4 of 31-12N-24W</x:t>
        </x:is>
      </x:c>
      <x:c r="J1204" s="527" t="inlineStr">
        <x:is>
          <x:t xml:space="preserve">Leasehold / WI</x:t>
        </x:is>
      </x:c>
      <x:c r="K1204" s="527" t="inlineStr">
        <x:is>
          <x:t xml:space="preserve">OKCountyRecords official index, Roger Mills County (instrument 2004-001053); searched 06/11/2026</x:t>
        </x:is>
      </x:c>
      <x:c r="L1204" s="565" t="n"/>
      <x:c r="M1204" s="565" t="n"/>
      <x:c r="N1204" s="565" t="n"/>
      <x:c r="O1204" s="565" t="n"/>
      <x:c r="P1204" s="565" t="n"/>
      <x:c r="Q1204" s="565" t="n"/>
      <x:c r="R1204" s="565" t="n"/>
      <x:c r="S1204" s="613" t="n"/>
      <x:c r="T1204" s="565" t="n"/>
      <x:c r="U1204" s="613" t="n"/>
      <x:c r="V1204" s="565" t="n"/>
      <x:c r="W1204" s="565" t="n"/>
      <x:c r="X1204" s="565" t="n"/>
      <x:c r="Y1204" s="565" t="n"/>
      <x:c r="Z1204" s="565" t="n"/>
    </x:row>
    <x:row r="1205">
      <x:c r="A1205" s="527" t="inlineStr">
        <x:is>
          <x:t xml:space="preserve">2004-001426</x:t>
        </x:is>
      </x:c>
      <x:c r="B1205" s="527" t="n"/>
      <x:c r="C1205" s="527" t="inlineStr">
        <x:is>
          <x:t xml:space="preserve">Assignment</x:t>
        </x:is>
      </x:c>
      <x:c r="D1205" s="527" t="inlineStr">
        <x:is>
          <x:t xml:space="preserve">1740/0424</x:t>
        </x:is>
      </x:c>
      <x:c r="E1205" s="529" t="inlineStr">
        <x:is>
          <x:t xml:space="preserve">03/22/2004</x:t>
        </x:is>
      </x:c>
      <x:c r="F1205" s="529" t="n">
        <x:v>38022</x:v>
      </x:c>
      <x:c r="G1205" s="527" t="inlineStr">
        <x:is>
          <x:t xml:space="preserve">R. Michael Lortz</x:t>
        </x:is>
      </x:c>
      <x:c r="H1205" s="527" t="inlineStr">
        <x:is>
          <x:t xml:space="preserve">Axis Exploration, LLC</x:t>
        </x:is>
      </x:c>
      <x:c r="I1205" s="527" t="inlineStr">
        <x:is>
          <x:t xml:space="preserve">NW/4 SE/4, S/2 NE/4 SW/4, S/2 SE/4, SE/4 SW/4, SW/4 NE/4, Lots 3, 4 of 31-12N-24W</x:t>
        </x:is>
      </x:c>
      <x:c r="J1205" s="527" t="inlineStr">
        <x:is>
          <x:t xml:space="preserve">Leasehold / WI</x:t>
        </x:is>
      </x:c>
      <x:c r="K1205" s="527" t="inlineStr">
        <x:is>
          <x:t xml:space="preserve">OKCountyRecords official index, Roger Mills County (instrument 2004-001426); searched 06/11/2026</x:t>
        </x:is>
      </x:c>
      <x:c r="L1205" s="565" t="n"/>
      <x:c r="M1205" s="565" t="n"/>
      <x:c r="N1205" s="565" t="n"/>
      <x:c r="O1205" s="565" t="n"/>
      <x:c r="P1205" s="565" t="n"/>
      <x:c r="Q1205" s="565" t="n"/>
      <x:c r="R1205" s="565" t="n"/>
      <x:c r="S1205" s="613" t="n"/>
      <x:c r="T1205" s="565" t="n"/>
      <x:c r="U1205" s="613" t="n"/>
      <x:c r="V1205" s="565" t="n"/>
      <x:c r="W1205" s="565" t="n"/>
      <x:c r="X1205" s="565" t="n"/>
      <x:c r="Y1205" s="565" t="n"/>
      <x:c r="Z1205" s="565" t="n"/>
    </x:row>
    <x:row r="1206">
      <x:c r="A1206" s="527" t="inlineStr">
        <x:is>
          <x:t xml:space="preserve">2004-001493</x:t>
        </x:is>
      </x:c>
      <x:c r="B1206" s="527" t="n"/>
      <x:c r="C1206" s="527" t="inlineStr">
        <x:is>
          <x:t xml:space="preserve">Assignment</x:t>
        </x:is>
      </x:c>
      <x:c r="D1206" s="527" t="inlineStr">
        <x:is>
          <x:t xml:space="preserve">1741/0070</x:t>
        </x:is>
      </x:c>
      <x:c r="E1206" s="529" t="inlineStr">
        <x:is>
          <x:t xml:space="preserve">03/25/2004</x:t>
        </x:is>
      </x:c>
      <x:c r="F1206" s="529" t="n">
        <x:v>38041</x:v>
      </x:c>
      <x:c r="G1206" s="527" t="inlineStr">
        <x:is>
          <x:t xml:space="preserve">R. Michael Lortz</x:t>
        </x:is>
      </x:c>
      <x:c r="H1206" s="527" t="inlineStr">
        <x:is>
          <x:t xml:space="preserve">Cirrus Production Company</x:t>
        </x:is>
      </x:c>
      <x:c r="I1206" s="527" t="inlineStr">
        <x:is>
          <x:t xml:space="preserve">E/2 NW/4, N/2 NE/4 SW/4, NE/4 SE/4, SE/4 NE/4 of 31-12N-24W</x:t>
        </x:is>
      </x:c>
      <x:c r="J1206" s="527" t="inlineStr">
        <x:is>
          <x:t xml:space="preserve">Leasehold / WI</x:t>
        </x:is>
      </x:c>
      <x:c r="K1206" s="527" t="inlineStr">
        <x:is>
          <x:t xml:space="preserve">OKCountyRecords official index, Roger Mills County (instrument 2004-001493); searched 06/11/2026</x:t>
        </x:is>
      </x:c>
      <x:c r="L1206" s="565" t="n"/>
      <x:c r="M1206" s="565" t="n"/>
      <x:c r="N1206" s="565" t="n"/>
      <x:c r="O1206" s="565" t="n"/>
      <x:c r="P1206" s="565" t="n"/>
      <x:c r="Q1206" s="565" t="n"/>
      <x:c r="R1206" s="565" t="n"/>
      <x:c r="S1206" s="613" t="n"/>
      <x:c r="T1206" s="565" t="n"/>
      <x:c r="U1206" s="613" t="n"/>
      <x:c r="V1206" s="565" t="n"/>
      <x:c r="W1206" s="565" t="n"/>
      <x:c r="X1206" s="565" t="n"/>
      <x:c r="Y1206" s="565" t="n"/>
      <x:c r="Z1206" s="565" t="n"/>
    </x:row>
    <x:row r="1207">
      <x:c r="A1207" s="527" t="inlineStr">
        <x:is>
          <x:t xml:space="preserve">2004-001735</x:t>
        </x:is>
      </x:c>
      <x:c r="B1207" s="527" t="n"/>
      <x:c r="C1207" s="527" t="inlineStr">
        <x:is>
          <x:t xml:space="preserve">Affidavit</x:t>
        </x:is>
      </x:c>
      <x:c r="D1207" s="527" t="inlineStr">
        <x:is>
          <x:t xml:space="preserve">1742/0271</x:t>
        </x:is>
      </x:c>
      <x:c r="E1207" s="529" t="inlineStr">
        <x:is>
          <x:t xml:space="preserve">04/07/2004</x:t>
        </x:is>
      </x:c>
      <x:c r="F1207" s="529" t="n">
        <x:v>38078</x:v>
      </x:c>
      <x:c r="G1207" s="527" t="inlineStr">
        <x:is>
          <x:t xml:space="preserve">Joe H. Britton</x:t>
        </x:is>
      </x:c>
      <x:c r="H1207" s="527" t="inlineStr">
        <x:is>
          <x:t xml:space="preserve">The Public</x:t>
        </x:is>
      </x:c>
      <x:c r="I1207" s="527" t="inlineStr">
        <x:is>
          <x:t xml:space="preserve">E/2 NW/4, N/2 NE/4 SW/4, NE/4 SE/4, SE/4 NE/4 of 31-12N-24W (AOL)</x:t>
        </x:is>
      </x:c>
      <x:c r="J1207" s="527" t="inlineStr">
        <x:is>
          <x:t xml:space="preserve">See instrument</x:t>
        </x:is>
      </x:c>
      <x:c r="K1207" s="527" t="inlineStr">
        <x:is>
          <x:t xml:space="preserve">OKCountyRecords official index, Roger Mills County (instrument 2004-001735); searched 06/11/2026</x:t>
        </x:is>
      </x:c>
      <x:c r="L1207" s="565" t="n"/>
      <x:c r="M1207" s="565" t="n"/>
      <x:c r="N1207" s="565" t="n"/>
      <x:c r="O1207" s="565" t="n"/>
      <x:c r="P1207" s="565" t="n"/>
      <x:c r="Q1207" s="565" t="n"/>
      <x:c r="R1207" s="565" t="n"/>
      <x:c r="S1207" s="613" t="n"/>
      <x:c r="T1207" s="565" t="n"/>
      <x:c r="U1207" s="613" t="n"/>
      <x:c r="V1207" s="565" t="n"/>
      <x:c r="W1207" s="565" t="n"/>
      <x:c r="X1207" s="565" t="n"/>
      <x:c r="Y1207" s="565" t="n"/>
      <x:c r="Z1207" s="565" t="n"/>
    </x:row>
    <x:row r="1208">
      <x:c r="A1208" s="527" t="inlineStr">
        <x:is>
          <x:t xml:space="preserve">2004-002305</x:t>
        </x:is>
      </x:c>
      <x:c r="B1208" s="527" t="n"/>
      <x:c r="C1208" s="527" t="inlineStr">
        <x:is>
          <x:t xml:space="preserve">Assignment</x:t>
        </x:is>
      </x:c>
      <x:c r="D1208" s="527" t="inlineStr">
        <x:is>
          <x:t xml:space="preserve">1745/0048</x:t>
        </x:is>
      </x:c>
      <x:c r="E1208" s="529" t="inlineStr">
        <x:is>
          <x:t xml:space="preserve">05/10/2004</x:t>
        </x:is>
      </x:c>
      <x:c r="F1208" s="529" t="n">
        <x:v>38029</x:v>
      </x:c>
      <x:c r="G1208" s="527" t="inlineStr">
        <x:is>
          <x:t xml:space="preserve">R. Michael Lortz</x:t>
        </x:is>
      </x:c>
      <x:c r="H1208" s="527" t="inlineStr">
        <x:is>
          <x:t xml:space="preserve">B. &amp; W. Exploration, Inc.</x:t>
        </x:is>
      </x:c>
      <x:c r="I1208" s="527" t="inlineStr">
        <x:is>
          <x:t xml:space="preserve">E/2 NW/4, N/2 NE/4, N/2 NE/4 SW/4, NE/4 SE/4, S/2 NE/4 SW/4, SE/4 NE/4, SE/4 SW/4 of 31-12N-24W</x:t>
        </x:is>
      </x:c>
      <x:c r="J1208" s="527" t="inlineStr">
        <x:is>
          <x:t xml:space="preserve">Leasehold / WI</x:t>
        </x:is>
      </x:c>
      <x:c r="K1208" s="527" t="inlineStr">
        <x:is>
          <x:t xml:space="preserve">OKCountyRecords official index, Roger Mills County (instrument 2004-002305); searched 06/11/2026</x:t>
        </x:is>
      </x:c>
      <x:c r="L1208" s="565" t="n"/>
      <x:c r="M1208" s="565" t="n"/>
      <x:c r="N1208" s="565" t="n"/>
      <x:c r="O1208" s="565" t="n"/>
      <x:c r="P1208" s="565" t="n"/>
      <x:c r="Q1208" s="565" t="n"/>
      <x:c r="R1208" s="565" t="n"/>
      <x:c r="S1208" s="613" t="n"/>
      <x:c r="T1208" s="565" t="n"/>
      <x:c r="U1208" s="613" t="n"/>
      <x:c r="V1208" s="565" t="n"/>
      <x:c r="W1208" s="565" t="n"/>
      <x:c r="X1208" s="565" t="n"/>
      <x:c r="Y1208" s="565" t="n"/>
      <x:c r="Z1208" s="565" t="n"/>
    </x:row>
    <x:row r="1209">
      <x:c r="A1209" s="527" t="inlineStr">
        <x:is>
          <x:t xml:space="preserve">2004-002491</x:t>
        </x:is>
      </x:c>
      <x:c r="B1209" s="527" t="n"/>
      <x:c r="C1209" s="527" t="inlineStr">
        <x:is>
          <x:t xml:space="preserve">Affidavit</x:t>
        </x:is>
      </x:c>
      <x:c r="D1209" s="527" t="inlineStr">
        <x:is>
          <x:t xml:space="preserve">1746/0158</x:t>
        </x:is>
      </x:c>
      <x:c r="E1209" s="529" t="inlineStr">
        <x:is>
          <x:t xml:space="preserve">05/14/2004</x:t>
        </x:is>
      </x:c>
      <x:c r="F1209" s="529" t="n">
        <x:v>38112</x:v>
      </x:c>
      <x:c r="G1209" s="527" t="inlineStr">
        <x:is>
          <x:t xml:space="preserve">Peggy Brawner</x:t>
        </x:is>
      </x:c>
      <x:c r="H1209" s="527" t="inlineStr">
        <x:is>
          <x:t xml:space="preserve">The Public</x:t>
        </x:is>
      </x:c>
      <x:c r="I1209" s="527" t="inlineStr">
        <x:is>
          <x:t xml:space="preserve">NW/4 SE/4, S/2 SE/4, SW/4 NE/4 of 31-12N-24W (AOL)</x:t>
        </x:is>
      </x:c>
      <x:c r="J1209" s="527" t="inlineStr">
        <x:is>
          <x:t xml:space="preserve">See instrument</x:t>
        </x:is>
      </x:c>
      <x:c r="K1209" s="527" t="inlineStr">
        <x:is>
          <x:t xml:space="preserve">OKCountyRecords official index, Roger Mills County (instrument 2004-002491); searched 06/11/2026</x:t>
        </x:is>
      </x:c>
      <x:c r="L1209" s="565" t="n"/>
      <x:c r="M1209" s="565" t="n"/>
      <x:c r="N1209" s="565" t="n"/>
      <x:c r="O1209" s="565" t="n"/>
      <x:c r="P1209" s="565" t="n"/>
      <x:c r="Q1209" s="565" t="n"/>
      <x:c r="R1209" s="565" t="n"/>
      <x:c r="S1209" s="613" t="n"/>
      <x:c r="T1209" s="565" t="n"/>
      <x:c r="U1209" s="613" t="n"/>
      <x:c r="V1209" s="565" t="n"/>
      <x:c r="W1209" s="565" t="n"/>
      <x:c r="X1209" s="565" t="n"/>
      <x:c r="Y1209" s="565" t="n"/>
      <x:c r="Z1209" s="565" t="n"/>
    </x:row>
    <x:row r="1210">
      <x:c r="A1210" s="527" t="inlineStr">
        <x:is>
          <x:t xml:space="preserve">2004-002933</x:t>
        </x:is>
      </x:c>
      <x:c r="B1210" s="527" t="n"/>
      <x:c r="C1210" s="527" t="inlineStr">
        <x:is>
          <x:t xml:space="preserve">Assignment</x:t>
        </x:is>
      </x:c>
      <x:c r="D1210" s="527" t="inlineStr">
        <x:is>
          <x:t xml:space="preserve">1749/0049</x:t>
        </x:is>
      </x:c>
      <x:c r="E1210" s="529" t="inlineStr">
        <x:is>
          <x:t xml:space="preserve">06/07/2004</x:t>
        </x:is>
      </x:c>
      <x:c r="F1210" s="529" t="n">
        <x:v>38127</x:v>
      </x:c>
      <x:c r="G1210" s="527" t="inlineStr">
        <x:is>
          <x:t xml:space="preserve">B. &amp; W. Exploration, Inc.</x:t>
        </x:is>
      </x:c>
      <x:c r="H1210" s="527" t="inlineStr">
        <x:is>
          <x:t xml:space="preserve">R. Michael Lortz</x:t>
        </x:is>
      </x:c>
      <x:c r="I1210" s="527" t="inlineStr">
        <x:is>
          <x:t xml:space="preserve">E/2 NW/4, E/2 SW/4, N/2 NE/4, NE/4 SE/4, SE/4 NE/4, Lots 3 of 31-12N-24W</x:t>
        </x:is>
      </x:c>
      <x:c r="J1210" s="527" t="inlineStr">
        <x:is>
          <x:t xml:space="preserve">Leasehold / WI</x:t>
        </x:is>
      </x:c>
      <x:c r="K1210" s="527" t="inlineStr">
        <x:is>
          <x:t xml:space="preserve">OKCountyRecords official index, Roger Mills County (instrument 2004-002933); searched 06/11/2026</x:t>
        </x:is>
      </x:c>
      <x:c r="L1210" s="565" t="n"/>
      <x:c r="M1210" s="565" t="n"/>
      <x:c r="N1210" s="565" t="n"/>
      <x:c r="O1210" s="565" t="n"/>
      <x:c r="P1210" s="565" t="n"/>
      <x:c r="Q1210" s="565" t="n"/>
      <x:c r="R1210" s="565" t="n"/>
      <x:c r="S1210" s="613" t="n"/>
      <x:c r="T1210" s="565" t="n"/>
      <x:c r="U1210" s="613" t="n"/>
      <x:c r="V1210" s="565" t="n"/>
      <x:c r="W1210" s="565" t="n"/>
      <x:c r="X1210" s="565" t="n"/>
      <x:c r="Y1210" s="565" t="n"/>
      <x:c r="Z1210" s="565" t="n"/>
    </x:row>
    <x:row r="1211">
      <x:c r="A1211" s="527" t="inlineStr">
        <x:is>
          <x:t xml:space="preserve">2004-002934</x:t>
        </x:is>
      </x:c>
      <x:c r="B1211" s="527" t="n"/>
      <x:c r="C1211" s="527" t="inlineStr">
        <x:is>
          <x:t xml:space="preserve">Assignment</x:t>
        </x:is>
      </x:c>
      <x:c r="D1211" s="527" t="inlineStr">
        <x:is>
          <x:t xml:space="preserve">1749/0051</x:t>
        </x:is>
      </x:c>
      <x:c r="E1211" s="529" t="inlineStr">
        <x:is>
          <x:t xml:space="preserve">06/07/2004</x:t>
        </x:is>
      </x:c>
      <x:c r="F1211" s="529" t="n">
        <x:v>38139</x:v>
      </x:c>
      <x:c r="G1211" s="527" t="inlineStr">
        <x:is>
          <x:t xml:space="preserve">R. Michael Lortz</x:t>
        </x:is>
      </x:c>
      <x:c r="H1211" s="527" t="inlineStr">
        <x:is>
          <x:t xml:space="preserve">Newfield Exploration Mid Cont, Inc.</x:t>
        </x:is>
      </x:c>
      <x:c r="I1211" s="527" t="inlineStr">
        <x:is>
          <x:t xml:space="preserve">E/2 NW/4, E/2 SW/4, N/2 NE/4, NE/4 SE/4, SE/4 NE/4, Lots 3 of 31-12N-24W</x:t>
        </x:is>
      </x:c>
      <x:c r="J1211" s="527" t="inlineStr">
        <x:is>
          <x:t xml:space="preserve">Leasehold / WI</x:t>
        </x:is>
      </x:c>
      <x:c r="K1211" s="527" t="inlineStr">
        <x:is>
          <x:t xml:space="preserve">OKCountyRecords official index, Roger Mills County (instrument 2004-002934); searched 06/11/2026</x:t>
        </x:is>
      </x:c>
      <x:c r="L1211" s="565" t="n"/>
      <x:c r="M1211" s="565" t="n"/>
      <x:c r="N1211" s="565" t="n"/>
      <x:c r="O1211" s="565" t="n"/>
      <x:c r="P1211" s="565" t="n"/>
      <x:c r="Q1211" s="565" t="n"/>
      <x:c r="R1211" s="565" t="n"/>
      <x:c r="S1211" s="613" t="n"/>
      <x:c r="T1211" s="565" t="n"/>
      <x:c r="U1211" s="613" t="n"/>
      <x:c r="V1211" s="565" t="n"/>
      <x:c r="W1211" s="565" t="n"/>
      <x:c r="X1211" s="565" t="n"/>
      <x:c r="Y1211" s="565" t="n"/>
      <x:c r="Z1211" s="565" t="n"/>
    </x:row>
    <x:row r="1212">
      <x:c r="A1212" s="527" t="inlineStr">
        <x:is>
          <x:t xml:space="preserve">2004-003392</x:t>
        </x:is>
      </x:c>
      <x:c r="B1212" s="527" t="n"/>
      <x:c r="C1212" s="527" t="inlineStr">
        <x:is>
          <x:t xml:space="preserve">Assignment</x:t>
        </x:is>
      </x:c>
      <x:c r="D1212" s="527" t="inlineStr">
        <x:is>
          <x:t xml:space="preserve">1751/0168</x:t>
        </x:is>
      </x:c>
      <x:c r="E1212" s="529" t="inlineStr">
        <x:is>
          <x:t xml:space="preserve">06/30/2004</x:t>
        </x:is>
      </x:c>
      <x:c r="F1212" s="529" t="n">
        <x:v>38041</x:v>
      </x:c>
      <x:c r="G1212" s="527" t="inlineStr">
        <x:is>
          <x:t xml:space="preserve">R. Michael Lortz</x:t>
        </x:is>
      </x:c>
      <x:c r="H1212" s="527" t="inlineStr">
        <x:is>
          <x:t xml:space="preserve">Yale Oil Association in</x:t>
        </x:is>
      </x:c>
      <x:c r="I1212" s="527" t="inlineStr">
        <x:is>
          <x:t xml:space="preserve">Lots 1, 3 of 31-12N-24W</x:t>
        </x:is>
      </x:c>
      <x:c r="J1212" s="527" t="inlineStr">
        <x:is>
          <x:t xml:space="preserve">Leasehold / WI</x:t>
        </x:is>
      </x:c>
      <x:c r="K1212" s="527" t="inlineStr">
        <x:is>
          <x:t xml:space="preserve">OKCountyRecords official index, Roger Mills County (instrument 2004-003392); searched 06/11/2026</x:t>
        </x:is>
      </x:c>
      <x:c r="L1212" s="565" t="n"/>
      <x:c r="M1212" s="565" t="n"/>
      <x:c r="N1212" s="565" t="n"/>
      <x:c r="O1212" s="565" t="n"/>
      <x:c r="P1212" s="565" t="n"/>
      <x:c r="Q1212" s="565" t="n"/>
      <x:c r="R1212" s="565" t="n"/>
      <x:c r="S1212" s="613" t="n"/>
      <x:c r="T1212" s="565" t="n"/>
      <x:c r="U1212" s="613" t="n"/>
      <x:c r="V1212" s="565" t="n"/>
      <x:c r="W1212" s="565" t="n"/>
      <x:c r="X1212" s="565" t="n"/>
      <x:c r="Y1212" s="565" t="n"/>
      <x:c r="Z1212" s="565" t="n"/>
    </x:row>
    <x:row r="1213">
      <x:c r="A1213" s="527" t="inlineStr">
        <x:is>
          <x:t xml:space="preserve">2004-005686</x:t>
        </x:is>
      </x:c>
      <x:c r="B1213" s="527" t="n"/>
      <x:c r="C1213" s="527" t="inlineStr">
        <x:is>
          <x:t xml:space="preserve">Oil and Gas Lease</x:t>
        </x:is>
      </x:c>
      <x:c r="D1213" s="527" t="inlineStr">
        <x:is>
          <x:t xml:space="preserve">1764/0122</x:t>
        </x:is>
      </x:c>
      <x:c r="E1213" s="529" t="inlineStr">
        <x:is>
          <x:t xml:space="preserve">10/12/2004</x:t>
        </x:is>
      </x:c>
      <x:c r="F1213" s="529" t="n">
        <x:v>38251</x:v>
      </x:c>
      <x:c r="G1213" s="527" t="inlineStr">
        <x:is>
          <x:t xml:space="preserve">Farrell E. Hamilton</x:t>
        </x:is>
      </x:c>
      <x:c r="H1213" s="527" t="inlineStr">
        <x:is>
          <x:t xml:space="preserve">R. Michael Lortz</x:t>
        </x:is>
      </x:c>
      <x:c r="I1213" s="527" t="inlineStr">
        <x:is>
          <x:t xml:space="preserve">NW/4 SE/4, S/2 SE/4, SW/4 NE/4 of 31-12N-24W</x:t>
        </x:is>
      </x:c>
      <x:c r="J1213" s="527" t="inlineStr">
        <x:is>
          <x:t xml:space="preserve">Leasehold / WI</x:t>
        </x:is>
      </x:c>
      <x:c r="K1213" s="527" t="inlineStr">
        <x:is>
          <x:t xml:space="preserve">OKCountyRecords official index, Roger Mills County (instrument 2004-005686); searched 06/11/2026</x:t>
        </x:is>
      </x:c>
      <x:c r="L1213" s="565" t="n"/>
      <x:c r="M1213" s="565" t="n"/>
      <x:c r="N1213" s="565" t="n"/>
      <x:c r="O1213" s="565" t="n"/>
      <x:c r="P1213" s="565" t="n"/>
      <x:c r="Q1213" s="565" t="n"/>
      <x:c r="R1213" s="565" t="n"/>
      <x:c r="S1213" s="613" t="n"/>
      <x:c r="T1213" s="565" t="n"/>
      <x:c r="U1213" s="613" t="n"/>
      <x:c r="V1213" s="565" t="n"/>
      <x:c r="W1213" s="565" t="n"/>
      <x:c r="X1213" s="565" t="n"/>
      <x:c r="Y1213" s="565" t="n"/>
      <x:c r="Z1213" s="565" t="n"/>
    </x:row>
    <x:row r="1214">
      <x:c r="A1214" s="527" t="inlineStr">
        <x:is>
          <x:t xml:space="preserve">2004-005687</x:t>
        </x:is>
      </x:c>
      <x:c r="B1214" s="527" t="n"/>
      <x:c r="C1214" s="527" t="inlineStr">
        <x:is>
          <x:t xml:space="preserve">Oil and Gas Lease</x:t>
        </x:is>
      </x:c>
      <x:c r="D1214" s="527" t="inlineStr">
        <x:is>
          <x:t xml:space="preserve">1764/0124</x:t>
        </x:is>
      </x:c>
      <x:c r="E1214" s="529" t="inlineStr">
        <x:is>
          <x:t xml:space="preserve">10/12/2004</x:t>
        </x:is>
      </x:c>
      <x:c r="F1214" s="529" t="n">
        <x:v>38251</x:v>
      </x:c>
      <x:c r="G1214" s="527" t="inlineStr">
        <x:is>
          <x:t xml:space="preserve">Deeanne Browning</x:t>
        </x:is>
      </x:c>
      <x:c r="H1214" s="527" t="inlineStr">
        <x:is>
          <x:t xml:space="preserve">R. Michael Lortz</x:t>
        </x:is>
      </x:c>
      <x:c r="I1214" s="527" t="inlineStr">
        <x:is>
          <x:t xml:space="preserve">NW/4 SE/4, S/2 SE/4, SW/4 NE/4 of 31-12N-24W</x:t>
        </x:is>
      </x:c>
      <x:c r="J1214" s="527" t="inlineStr">
        <x:is>
          <x:t xml:space="preserve">Leasehold / WI</x:t>
        </x:is>
      </x:c>
      <x:c r="K1214" s="527" t="inlineStr">
        <x:is>
          <x:t xml:space="preserve">OKCountyRecords official index, Roger Mills County (instrument 2004-005687); searched 06/11/2026</x:t>
        </x:is>
      </x:c>
      <x:c r="L1214" s="565" t="n"/>
      <x:c r="M1214" s="565" t="n"/>
      <x:c r="N1214" s="565" t="n"/>
      <x:c r="O1214" s="565" t="n"/>
      <x:c r="P1214" s="565" t="n"/>
      <x:c r="Q1214" s="565" t="n"/>
      <x:c r="R1214" s="565" t="n"/>
      <x:c r="S1214" s="613" t="n"/>
      <x:c r="T1214" s="565" t="n"/>
      <x:c r="U1214" s="613" t="n"/>
      <x:c r="V1214" s="565" t="n"/>
      <x:c r="W1214" s="565" t="n"/>
      <x:c r="X1214" s="565" t="n"/>
      <x:c r="Y1214" s="565" t="n"/>
      <x:c r="Z1214" s="565" t="n"/>
    </x:row>
    <x:row r="1215">
      <x:c r="A1215" s="527" t="inlineStr">
        <x:is>
          <x:t xml:space="preserve">2004-005689</x:t>
        </x:is>
      </x:c>
      <x:c r="B1215" s="527" t="n"/>
      <x:c r="C1215" s="527" t="inlineStr">
        <x:is>
          <x:t xml:space="preserve">Oil and Gas Lease</x:t>
        </x:is>
      </x:c>
      <x:c r="D1215" s="527" t="inlineStr">
        <x:is>
          <x:t xml:space="preserve">1764/0128</x:t>
        </x:is>
      </x:c>
      <x:c r="E1215" s="529" t="inlineStr">
        <x:is>
          <x:t xml:space="preserve">10/12/2004</x:t>
        </x:is>
      </x:c>
      <x:c r="F1215" s="529" t="n">
        <x:v>38251</x:v>
      </x:c>
      <x:c r="G1215" s="527" t="inlineStr">
        <x:is>
          <x:t xml:space="preserve">Travis L. Smith</x:t>
        </x:is>
      </x:c>
      <x:c r="H1215" s="527" t="inlineStr">
        <x:is>
          <x:t xml:space="preserve">R. Michael Lortz</x:t>
        </x:is>
      </x:c>
      <x:c r="I1215" s="527" t="inlineStr">
        <x:is>
          <x:t xml:space="preserve">NW/4 SE/4, S/2 SE/4, SW/4 NW/4 of 31-12N-24W</x:t>
        </x:is>
      </x:c>
      <x:c r="J1215" s="527" t="inlineStr">
        <x:is>
          <x:t xml:space="preserve">Leasehold / WI</x:t>
        </x:is>
      </x:c>
      <x:c r="K1215" s="527" t="inlineStr">
        <x:is>
          <x:t xml:space="preserve">OKCountyRecords official index, Roger Mills County (instrument 2004-005689); searched 06/11/2026</x:t>
        </x:is>
      </x:c>
      <x:c r="L1215" s="565" t="n"/>
      <x:c r="M1215" s="565" t="n"/>
      <x:c r="N1215" s="565" t="n"/>
      <x:c r="O1215" s="565" t="n"/>
      <x:c r="P1215" s="565" t="n"/>
      <x:c r="Q1215" s="565" t="n"/>
      <x:c r="R1215" s="565" t="n"/>
      <x:c r="S1215" s="613" t="n"/>
      <x:c r="T1215" s="565" t="n"/>
      <x:c r="U1215" s="613" t="n"/>
      <x:c r="V1215" s="565" t="n"/>
      <x:c r="W1215" s="565" t="n"/>
      <x:c r="X1215" s="565" t="n"/>
      <x:c r="Y1215" s="565" t="n"/>
      <x:c r="Z1215" s="565" t="n"/>
    </x:row>
    <x:row r="1216">
      <x:c r="A1216" s="527" t="inlineStr">
        <x:is>
          <x:t xml:space="preserve">2004-005692</x:t>
        </x:is>
      </x:c>
      <x:c r="B1216" s="527" t="n"/>
      <x:c r="C1216" s="527" t="inlineStr">
        <x:is>
          <x:t xml:space="preserve">Assignment</x:t>
        </x:is>
      </x:c>
      <x:c r="D1216" s="527" t="inlineStr">
        <x:is>
          <x:t xml:space="preserve">1764/0133</x:t>
        </x:is>
      </x:c>
      <x:c r="E1216" s="529" t="inlineStr">
        <x:is>
          <x:t xml:space="preserve">10/12/2004</x:t>
        </x:is>
      </x:c>
      <x:c r="F1216" s="529" t="n">
        <x:v>38266</x:v>
      </x:c>
      <x:c r="G1216" s="527" t="inlineStr">
        <x:is>
          <x:t xml:space="preserve">R. Michael Lortz</x:t>
        </x:is>
      </x:c>
      <x:c r="H1216" s="527" t="inlineStr">
        <x:is>
          <x:t xml:space="preserve">Panhandle Royalty Company</x:t>
        </x:is>
      </x:c>
      <x:c r="I1216" s="527" t="inlineStr">
        <x:is>
          <x:t xml:space="preserve">NW/4 SE/4, S/2 SE/4, SW/4 NE/4 of 31-12N-24W</x:t>
        </x:is>
      </x:c>
      <x:c r="J1216" s="527" t="inlineStr">
        <x:is>
          <x:t xml:space="preserve">Leasehold / WI</x:t>
        </x:is>
      </x:c>
      <x:c r="K1216" s="527" t="inlineStr">
        <x:is>
          <x:t xml:space="preserve">OKCountyRecords official index, Roger Mills County (instrument 2004-005692); searched 06/11/2026</x:t>
        </x:is>
      </x:c>
      <x:c r="L1216" s="565" t="n"/>
      <x:c r="M1216" s="565" t="n"/>
      <x:c r="N1216" s="565" t="n"/>
      <x:c r="O1216" s="565" t="n"/>
      <x:c r="P1216" s="565" t="n"/>
      <x:c r="Q1216" s="565" t="n"/>
      <x:c r="R1216" s="565" t="n"/>
      <x:c r="S1216" s="613" t="n"/>
      <x:c r="T1216" s="565" t="n"/>
      <x:c r="U1216" s="613" t="n"/>
      <x:c r="V1216" s="565" t="n"/>
      <x:c r="W1216" s="565" t="n"/>
      <x:c r="X1216" s="565" t="n"/>
      <x:c r="Y1216" s="565" t="n"/>
      <x:c r="Z1216" s="565" t="n"/>
    </x:row>
    <x:row r="1217">
      <x:c r="A1217" s="527" t="inlineStr">
        <x:is>
          <x:t xml:space="preserve">2004-005738</x:t>
        </x:is>
      </x:c>
      <x:c r="B1217" s="527" t="n"/>
      <x:c r="C1217" s="527" t="inlineStr">
        <x:is>
          <x:t xml:space="preserve">Mineral Deed</x:t>
        </x:is>
      </x:c>
      <x:c r="D1217" s="527" t="inlineStr">
        <x:is>
          <x:t xml:space="preserve">1764/0344</x:t>
        </x:is>
      </x:c>
      <x:c r="E1217" s="529" t="inlineStr">
        <x:is>
          <x:t xml:space="preserve">10/14/2004</x:t>
        </x:is>
      </x:c>
      <x:c r="F1217" s="529" t="n">
        <x:v>38260</x:v>
      </x:c>
      <x:c r="G1217" s="527" t="inlineStr">
        <x:is>
          <x:t xml:space="preserve">Sandra Lorraine York</x:t>
        </x:is>
      </x:c>
      <x:c r="H1217" s="527" t="inlineStr">
        <x:is>
          <x:t xml:space="preserve">Koala Production Company</x:t>
        </x:is>
      </x:c>
      <x:c r="I1217" s="527" t="inlineStr">
        <x:is>
          <x:t xml:space="preserve">Lots 1 of 31-12N-24W</x:t>
        </x:is>
      </x:c>
      <x:c r="J1217" s="527" t="inlineStr">
        <x:is>
          <x:t xml:space="preserve">Mineral</x:t>
        </x:is>
      </x:c>
      <x:c r="K1217" s="527" t="inlineStr">
        <x:is>
          <x:t xml:space="preserve">OKCountyRecords official index, Roger Mills County (instrument 2004-005738); searched 06/11/2026</x:t>
        </x:is>
      </x:c>
      <x:c r="L1217" s="565" t="n"/>
      <x:c r="M1217" s="565" t="n"/>
      <x:c r="N1217" s="565" t="n"/>
      <x:c r="O1217" s="565" t="n"/>
      <x:c r="P1217" s="565" t="n"/>
      <x:c r="Q1217" s="565" t="n"/>
      <x:c r="R1217" s="565" t="n"/>
      <x:c r="S1217" s="613" t="n"/>
      <x:c r="T1217" s="565" t="n"/>
      <x:c r="U1217" s="613" t="n"/>
      <x:c r="V1217" s="565" t="n"/>
      <x:c r="W1217" s="565" t="n"/>
      <x:c r="X1217" s="565" t="n"/>
      <x:c r="Y1217" s="565" t="n"/>
      <x:c r="Z1217" s="565" t="n"/>
    </x:row>
    <x:row r="1218">
      <x:c r="A1218" s="527" t="inlineStr">
        <x:is>
          <x:t xml:space="preserve">2004-005739</x:t>
        </x:is>
      </x:c>
      <x:c r="B1218" s="527" t="n"/>
      <x:c r="C1218" s="527" t="inlineStr">
        <x:is>
          <x:t xml:space="preserve">Mineral Deed</x:t>
        </x:is>
      </x:c>
      <x:c r="D1218" s="527" t="inlineStr">
        <x:is>
          <x:t xml:space="preserve">1764/0345</x:t>
        </x:is>
      </x:c>
      <x:c r="E1218" s="529" t="inlineStr">
        <x:is>
          <x:t xml:space="preserve">10/14/2004</x:t>
        </x:is>
      </x:c>
      <x:c r="F1218" s="529" t="n">
        <x:v>38267</x:v>
      </x:c>
      <x:c r="G1218" s="527" t="inlineStr">
        <x:is>
          <x:t xml:space="preserve">Sandra Lorraine York</x:t>
        </x:is>
      </x:c>
      <x:c r="H1218" s="527" t="inlineStr">
        <x:is>
          <x:t xml:space="preserve">Koala Production Company</x:t>
        </x:is>
      </x:c>
      <x:c r="I1218" s="527" t="inlineStr">
        <x:is>
          <x:t xml:space="preserve">Lots 1 of 31-12N-24W</x:t>
        </x:is>
      </x:c>
      <x:c r="J1218" s="527" t="inlineStr">
        <x:is>
          <x:t xml:space="preserve">Mineral</x:t>
        </x:is>
      </x:c>
      <x:c r="K1218" s="527" t="inlineStr">
        <x:is>
          <x:t xml:space="preserve">OKCountyRecords official index, Roger Mills County (instrument 2004-005739); searched 06/11/2026</x:t>
        </x:is>
      </x:c>
      <x:c r="L1218" s="565" t="n"/>
      <x:c r="M1218" s="565" t="n"/>
      <x:c r="N1218" s="565" t="n"/>
      <x:c r="O1218" s="565" t="n"/>
      <x:c r="P1218" s="565" t="n"/>
      <x:c r="Q1218" s="565" t="n"/>
      <x:c r="R1218" s="565" t="n"/>
      <x:c r="S1218" s="613" t="n"/>
      <x:c r="T1218" s="565" t="n"/>
      <x:c r="U1218" s="613" t="n"/>
      <x:c r="V1218" s="565" t="n"/>
      <x:c r="W1218" s="565" t="n"/>
      <x:c r="X1218" s="565" t="n"/>
      <x:c r="Y1218" s="565" t="n"/>
      <x:c r="Z1218" s="565" t="n"/>
    </x:row>
    <x:row r="1219">
      <x:c r="A1219" s="527" t="inlineStr">
        <x:is>
          <x:t xml:space="preserve">2004-005901</x:t>
        </x:is>
      </x:c>
      <x:c r="B1219" s="527" t="n"/>
      <x:c r="C1219" s="527" t="inlineStr">
        <x:is>
          <x:t xml:space="preserve">Mineral Deed</x:t>
        </x:is>
      </x:c>
      <x:c r="D1219" s="527" t="inlineStr">
        <x:is>
          <x:t xml:space="preserve">1765/0306</x:t>
        </x:is>
      </x:c>
      <x:c r="E1219" s="529" t="inlineStr">
        <x:is>
          <x:t xml:space="preserve">10/21/2004</x:t>
        </x:is>
      </x:c>
      <x:c r="F1219" s="529" t="n">
        <x:v>38275</x:v>
      </x:c>
      <x:c r="G1219" s="527" t="inlineStr">
        <x:is>
          <x:t xml:space="preserve">Aspen Energy Group, Inc.</x:t>
        </x:is>
      </x:c>
      <x:c r="H1219" s="527" t="inlineStr">
        <x:is>
          <x:t xml:space="preserve">Crusader Energy Corporation</x:t>
        </x:is>
      </x:c>
      <x:c r="I1219" s="527" t="inlineStr">
        <x:is>
          <x:t xml:space="preserve">E/2 NW/4, N/2 NE/4 SW/4, NE/4 SE/4, SE/4 NE/4 of 31-12N-24W (AOL)</x:t>
        </x:is>
      </x:c>
      <x:c r="J1219" s="527" t="inlineStr">
        <x:is>
          <x:t xml:space="preserve">Mineral</x:t>
        </x:is>
      </x:c>
      <x:c r="K1219" s="527" t="inlineStr">
        <x:is>
          <x:t xml:space="preserve">OKCountyRecords official index, Roger Mills County (instrument 2004-005901); searched 06/11/2026</x:t>
        </x:is>
      </x:c>
      <x:c r="L1219" s="565" t="n"/>
      <x:c r="M1219" s="565" t="n"/>
      <x:c r="N1219" s="565" t="n"/>
      <x:c r="O1219" s="565" t="n"/>
      <x:c r="P1219" s="565" t="n"/>
      <x:c r="Q1219" s="565" t="n"/>
      <x:c r="R1219" s="565" t="n"/>
      <x:c r="S1219" s="613" t="n"/>
      <x:c r="T1219" s="565" t="n"/>
      <x:c r="U1219" s="613" t="n"/>
      <x:c r="V1219" s="565" t="n"/>
      <x:c r="W1219" s="565" t="n"/>
      <x:c r="X1219" s="565" t="n"/>
      <x:c r="Y1219" s="565" t="n"/>
      <x:c r="Z1219" s="565" t="n"/>
    </x:row>
    <x:row r="1220">
      <x:c r="A1220" s="527" t="inlineStr">
        <x:is>
          <x:t xml:space="preserve">2004-006577</x:t>
        </x:is>
      </x:c>
      <x:c r="B1220" s="527" t="n"/>
      <x:c r="C1220" s="527" t="inlineStr">
        <x:is>
          <x:t xml:space="preserve">Mineral Deed</x:t>
        </x:is>
      </x:c>
      <x:c r="D1220" s="527" t="inlineStr">
        <x:is>
          <x:t xml:space="preserve">1768/0339</x:t>
        </x:is>
      </x:c>
      <x:c r="E1220" s="529" t="inlineStr">
        <x:is>
          <x:t xml:space="preserve">11/17/2004</x:t>
        </x:is>
      </x:c>
      <x:c r="F1220" s="529" t="n">
        <x:v>38292</x:v>
      </x:c>
      <x:c r="G1220" s="527" t="inlineStr">
        <x:is>
          <x:t xml:space="preserve">Sandra York</x:t>
        </x:is>
      </x:c>
      <x:c r="H1220" s="527" t="inlineStr">
        <x:is>
          <x:t xml:space="preserve">Arrowhead Resources, Inc.</x:t>
        </x:is>
      </x:c>
      <x:c r="I1220" s="527" t="inlineStr">
        <x:is>
          <x:t xml:space="preserve">W/2 NW/4, Lots 1, 3 of 31-12N-24W</x:t>
        </x:is>
      </x:c>
      <x:c r="J1220" s="527" t="inlineStr">
        <x:is>
          <x:t xml:space="preserve">Mineral</x:t>
        </x:is>
      </x:c>
      <x:c r="K1220" s="527" t="inlineStr">
        <x:is>
          <x:t xml:space="preserve">OKCountyRecords official index, Roger Mills County (instrument 2004-006577); searched 06/11/2026</x:t>
        </x:is>
      </x:c>
      <x:c r="L1220" s="565" t="n"/>
      <x:c r="M1220" s="565" t="n"/>
      <x:c r="N1220" s="565" t="n"/>
      <x:c r="O1220" s="565" t="n"/>
      <x:c r="P1220" s="565" t="n"/>
      <x:c r="Q1220" s="565" t="n"/>
      <x:c r="R1220" s="565" t="n"/>
      <x:c r="S1220" s="613" t="n"/>
      <x:c r="T1220" s="565" t="n"/>
      <x:c r="U1220" s="613" t="n"/>
      <x:c r="V1220" s="565" t="n"/>
      <x:c r="W1220" s="565" t="n"/>
      <x:c r="X1220" s="565" t="n"/>
      <x:c r="Y1220" s="565" t="n"/>
      <x:c r="Z1220" s="565" t="n"/>
    </x:row>
    <x:row r="1221">
      <x:c r="A1221" s="527" t="inlineStr">
        <x:is>
          <x:t xml:space="preserve">2005-000158</x:t>
        </x:is>
      </x:c>
      <x:c r="B1221" s="527" t="n"/>
      <x:c r="C1221" s="527" t="inlineStr">
        <x:is>
          <x:t xml:space="preserve">Mineral Deed</x:t>
        </x:is>
      </x:c>
      <x:c r="D1221" s="527" t="inlineStr">
        <x:is>
          <x:t xml:space="preserve">1774/0309</x:t>
        </x:is>
      </x:c>
      <x:c r="E1221" s="529" t="inlineStr">
        <x:is>
          <x:t xml:space="preserve">01/13/2005</x:t>
        </x:is>
      </x:c>
      <x:c r="F1221" s="529" t="n">
        <x:v>38362</x:v>
      </x:c>
      <x:c r="G1221" s="527" t="inlineStr">
        <x:is>
          <x:t xml:space="preserve">Minion Investment Co,
Brian L. Rice</x:t>
        </x:is>
      </x:c>
      <x:c r="H1221" s="527" t="inlineStr">
        <x:is>
          <x:t xml:space="preserve">Prism Energy, Inc.</x:t>
        </x:is>
      </x:c>
      <x:c r="I1221" s="527" t="inlineStr">
        <x:is>
          <x:t xml:space="preserve">E/2 NW/4, N/2 NE/4 SW/4, NE/4 SE/4, SE/4 NE/4 of 31-12N-24W (AOL)</x:t>
        </x:is>
      </x:c>
      <x:c r="J1221" s="527" t="inlineStr">
        <x:is>
          <x:t xml:space="preserve">Mineral</x:t>
        </x:is>
      </x:c>
      <x:c r="K1221" s="527" t="inlineStr">
        <x:is>
          <x:t xml:space="preserve">OKCountyRecords official index, Roger Mills County (instrument 2005-000158); searched 06/11/2026</x:t>
        </x:is>
      </x:c>
      <x:c r="L1221" s="565" t="n"/>
      <x:c r="M1221" s="565" t="n"/>
      <x:c r="N1221" s="565" t="n"/>
      <x:c r="O1221" s="565" t="n"/>
      <x:c r="P1221" s="565" t="n"/>
      <x:c r="Q1221" s="565" t="n"/>
      <x:c r="R1221" s="565" t="n"/>
      <x:c r="S1221" s="613" t="n"/>
      <x:c r="T1221" s="565" t="n"/>
      <x:c r="U1221" s="613" t="n"/>
      <x:c r="V1221" s="565" t="n"/>
      <x:c r="W1221" s="565" t="n"/>
      <x:c r="X1221" s="565" t="n"/>
      <x:c r="Y1221" s="565" t="n"/>
      <x:c r="Z1221" s="565" t="n"/>
    </x:row>
    <x:row r="1222">
      <x:c r="A1222" s="527" t="inlineStr">
        <x:is>
          <x:t xml:space="preserve">2005-000347</x:t>
        </x:is>
      </x:c>
      <x:c r="B1222" s="527" t="n"/>
      <x:c r="C1222" s="527" t="inlineStr">
        <x:is>
          <x:t xml:space="preserve">Deed</x:t>
        </x:is>
      </x:c>
      <x:c r="D1222" s="527" t="inlineStr">
        <x:is>
          <x:t xml:space="preserve">1775/0296</x:t>
        </x:is>
      </x:c>
      <x:c r="E1222" s="529" t="inlineStr">
        <x:is>
          <x:t xml:space="preserve">01/24/2005</x:t>
        </x:is>
      </x:c>
      <x:c r="F1222" s="529" t="n">
        <x:v>38338</x:v>
      </x:c>
      <x:c r="G1222" s="527" t="inlineStr">
        <x:is>
          <x:t xml:space="preserve">Norbert J. Co-prsnl Repres Dickman,
Robert, Co-prsnl Repres Dickson,
Fasken, Barbara Estate of</x:t>
        </x:is>
      </x:c>
      <x:c r="H1222" s="527" t="inlineStr">
        <x:is>
          <x:t xml:space="preserve">Fasken Land and Minerals, Ltd.</x:t>
        </x:is>
      </x:c>
      <x:c r="I1222" s="527" t="inlineStr">
        <x:is>
          <x:t xml:space="preserve">NW/4 SE/4, S/2 SE/4, SW/4 NE/4, Lots 1 of 31-12N-24W (AOL)</x:t>
        </x:is>
      </x:c>
      <x:c r="J1222" s="527" t="inlineStr">
        <x:is>
          <x:t xml:space="preserve">Fee / as stated</x:t>
        </x:is>
      </x:c>
      <x:c r="K1222" s="527" t="inlineStr">
        <x:is>
          <x:t xml:space="preserve">OKCountyRecords official index, Roger Mills County (instrument 2005-000347); searched 06/11/2026</x:t>
        </x:is>
      </x:c>
      <x:c r="L1222" s="565" t="n"/>
      <x:c r="M1222" s="565" t="n"/>
      <x:c r="N1222" s="565" t="n"/>
      <x:c r="O1222" s="565" t="n"/>
      <x:c r="P1222" s="565" t="n"/>
      <x:c r="Q1222" s="565" t="n"/>
      <x:c r="R1222" s="565" t="n"/>
      <x:c r="S1222" s="613" t="n"/>
      <x:c r="T1222" s="565" t="n"/>
      <x:c r="U1222" s="613" t="n"/>
      <x:c r="V1222" s="565" t="n"/>
      <x:c r="W1222" s="565" t="n"/>
      <x:c r="X1222" s="565" t="n"/>
      <x:c r="Y1222" s="565" t="n"/>
      <x:c r="Z1222" s="565" t="n"/>
    </x:row>
    <x:row r="1223">
      <x:c r="A1223" s="527" t="inlineStr">
        <x:is>
          <x:t xml:space="preserve">2005-001365</x:t>
        </x:is>
      </x:c>
      <x:c r="B1223" s="527" t="n"/>
      <x:c r="C1223" s="527" t="inlineStr">
        <x:is>
          <x:t xml:space="preserve">Oil and Gas Lease</x:t>
        </x:is>
      </x:c>
      <x:c r="D1223" s="527" t="inlineStr">
        <x:is>
          <x:t xml:space="preserve">1780/0409</x:t>
        </x:is>
      </x:c>
      <x:c r="E1223" s="529" t="inlineStr">
        <x:is>
          <x:t xml:space="preserve">03/09/2005</x:t>
        </x:is>
      </x:c>
      <x:c r="F1223" s="529" t="n">
        <x:v>38406</x:v>
      </x:c>
      <x:c r="G1223" s="527" t="inlineStr">
        <x:is>
          <x:t xml:space="preserve">Jesse W. Fuchs</x:t>
        </x:is>
      </x:c>
      <x:c r="H1223" s="527" t="inlineStr">
        <x:is>
          <x:t xml:space="preserve">N/g Discovery, LLC</x:t>
        </x:is>
      </x:c>
      <x:c r="I1223" s="527" t="inlineStr">
        <x:is>
          <x:t xml:space="preserve">NW/4 SE/4, S/2 SE/4, SW/4 NE/4 of 31-12N-24W</x:t>
        </x:is>
      </x:c>
      <x:c r="J1223" s="527" t="inlineStr">
        <x:is>
          <x:t xml:space="preserve">Leasehold / WI</x:t>
        </x:is>
      </x:c>
      <x:c r="K1223" s="527" t="inlineStr">
        <x:is>
          <x:t xml:space="preserve">OKCountyRecords official index, Roger Mills County (instrument 2005-001365); searched 06/11/2026</x:t>
        </x:is>
      </x:c>
      <x:c r="L1223" s="565" t="n"/>
      <x:c r="M1223" s="565" t="n"/>
      <x:c r="N1223" s="565" t="n"/>
      <x:c r="O1223" s="565" t="n"/>
      <x:c r="P1223" s="565" t="n"/>
      <x:c r="Q1223" s="565" t="n"/>
      <x:c r="R1223" s="565" t="n"/>
      <x:c r="S1223" s="613" t="n"/>
      <x:c r="T1223" s="565" t="n"/>
      <x:c r="U1223" s="613" t="n"/>
      <x:c r="V1223" s="565" t="n"/>
      <x:c r="W1223" s="565" t="n"/>
      <x:c r="X1223" s="565" t="n"/>
      <x:c r="Y1223" s="565" t="n"/>
      <x:c r="Z1223" s="565" t="n"/>
    </x:row>
    <x:row r="1224">
      <x:c r="A1224" s="527" t="inlineStr">
        <x:is>
          <x:t xml:space="preserve">2005-001515</x:t>
        </x:is>
      </x:c>
      <x:c r="B1224" s="527" t="n"/>
      <x:c r="C1224" s="527" t="inlineStr">
        <x:is>
          <x:t xml:space="preserve">Oil and Gas Lease</x:t>
        </x:is>
      </x:c>
      <x:c r="D1224" s="527" t="inlineStr">
        <x:is>
          <x:t xml:space="preserve">1781/0204</x:t>
        </x:is>
      </x:c>
      <x:c r="E1224" s="529" t="inlineStr">
        <x:is>
          <x:t xml:space="preserve">03/15/2005</x:t>
        </x:is>
      </x:c>
      <x:c r="F1224" s="529" t="n">
        <x:v>38411</x:v>
      </x:c>
      <x:c r="G1224" s="527" t="inlineStr">
        <x:is>
          <x:t xml:space="preserve">Raymond M. Fuchs</x:t>
        </x:is>
      </x:c>
      <x:c r="H1224" s="527" t="inlineStr">
        <x:is>
          <x:t xml:space="preserve">N/g Discovery, LLC</x:t>
        </x:is>
      </x:c>
      <x:c r="I1224" s="527" t="inlineStr">
        <x:is>
          <x:t xml:space="preserve">NW/4 SE/4, S/2 SE/4, SW/4 NE/4 of 31-12N-24W</x:t>
        </x:is>
      </x:c>
      <x:c r="J1224" s="527" t="inlineStr">
        <x:is>
          <x:t xml:space="preserve">Leasehold / WI</x:t>
        </x:is>
      </x:c>
      <x:c r="K1224" s="527" t="inlineStr">
        <x:is>
          <x:t xml:space="preserve">OKCountyRecords official index, Roger Mills County (instrument 2005-001515); searched 06/11/2026</x:t>
        </x:is>
      </x:c>
      <x:c r="L1224" s="565" t="n"/>
      <x:c r="M1224" s="565" t="n"/>
      <x:c r="N1224" s="565" t="n"/>
      <x:c r="O1224" s="565" t="n"/>
      <x:c r="P1224" s="565" t="n"/>
      <x:c r="Q1224" s="565" t="n"/>
      <x:c r="R1224" s="565" t="n"/>
      <x:c r="S1224" s="613" t="n"/>
      <x:c r="T1224" s="565" t="n"/>
      <x:c r="U1224" s="613" t="n"/>
      <x:c r="V1224" s="565" t="n"/>
      <x:c r="W1224" s="565" t="n"/>
      <x:c r="X1224" s="565" t="n"/>
      <x:c r="Y1224" s="565" t="n"/>
      <x:c r="Z1224" s="565" t="n"/>
    </x:row>
    <x:row r="1225">
      <x:c r="A1225" s="527" t="inlineStr">
        <x:is>
          <x:t xml:space="preserve">2005-001688</x:t>
        </x:is>
      </x:c>
      <x:c r="B1225" s="527" t="n"/>
      <x:c r="C1225" s="527" t="inlineStr">
        <x:is>
          <x:t xml:space="preserve">Oil and Gas Lease</x:t>
        </x:is>
      </x:c>
      <x:c r="D1225" s="527" t="inlineStr">
        <x:is>
          <x:t xml:space="preserve">1782/0261</x:t>
        </x:is>
      </x:c>
      <x:c r="E1225" s="529" t="inlineStr">
        <x:is>
          <x:t xml:space="preserve">03/21/2005</x:t>
        </x:is>
      </x:c>
      <x:c r="F1225" s="529" t="n">
        <x:v>38407</x:v>
      </x:c>
      <x:c r="G1225" s="527" t="inlineStr">
        <x:is>
          <x:t xml:space="preserve">Isa May Smith</x:t>
        </x:is>
      </x:c>
      <x:c r="H1225" s="527" t="inlineStr">
        <x:is>
          <x:t xml:space="preserve">N/g Discovery, LLC</x:t>
        </x:is>
      </x:c>
      <x:c r="I1225" s="527" t="inlineStr">
        <x:is>
          <x:t xml:space="preserve">NW/4 SE/4, S/2 SE/4, SW/4 NE/4 of 31-12N-24W</x:t>
        </x:is>
      </x:c>
      <x:c r="J1225" s="527" t="inlineStr">
        <x:is>
          <x:t xml:space="preserve">Leasehold / WI</x:t>
        </x:is>
      </x:c>
      <x:c r="K1225" s="527" t="inlineStr">
        <x:is>
          <x:t xml:space="preserve">OKCountyRecords official index, Roger Mills County (instrument 2005-001688); searched 06/11/2026</x:t>
        </x:is>
      </x:c>
      <x:c r="L1225" s="565" t="n"/>
      <x:c r="M1225" s="565" t="n"/>
      <x:c r="N1225" s="565" t="n"/>
      <x:c r="O1225" s="565" t="n"/>
      <x:c r="P1225" s="565" t="n"/>
      <x:c r="Q1225" s="565" t="n"/>
      <x:c r="R1225" s="565" t="n"/>
      <x:c r="S1225" s="613" t="n"/>
      <x:c r="T1225" s="565" t="n"/>
      <x:c r="U1225" s="613" t="n"/>
      <x:c r="V1225" s="565" t="n"/>
      <x:c r="W1225" s="565" t="n"/>
      <x:c r="X1225" s="565" t="n"/>
      <x:c r="Y1225" s="565" t="n"/>
      <x:c r="Z1225" s="565" t="n"/>
    </x:row>
    <x:row r="1226">
      <x:c r="A1226" s="527" t="inlineStr">
        <x:is>
          <x:t xml:space="preserve">2005-001690</x:t>
        </x:is>
      </x:c>
      <x:c r="B1226" s="527" t="n"/>
      <x:c r="C1226" s="527" t="inlineStr">
        <x:is>
          <x:t xml:space="preserve">Oil and Gas Lease</x:t>
        </x:is>
      </x:c>
      <x:c r="D1226" s="527" t="inlineStr">
        <x:is>
          <x:t xml:space="preserve">1782/0267</x:t>
        </x:is>
      </x:c>
      <x:c r="E1226" s="529" t="inlineStr">
        <x:is>
          <x:t xml:space="preserve">03/21/2005</x:t>
        </x:is>
      </x:c>
      <x:c r="F1226" s="529" t="n">
        <x:v>38411</x:v>
      </x:c>
      <x:c r="G1226" s="527" t="inlineStr">
        <x:is>
          <x:t xml:space="preserve">Mark J. Fuchs</x:t>
        </x:is>
      </x:c>
      <x:c r="H1226" s="527" t="inlineStr">
        <x:is>
          <x:t xml:space="preserve">N/g Discovery, LLC</x:t>
        </x:is>
      </x:c>
      <x:c r="I1226" s="527" t="inlineStr">
        <x:is>
          <x:t xml:space="preserve">NW/4 SE/4, S/2 SE/4, SW/4 NE/4 of 31-12N-24W</x:t>
        </x:is>
      </x:c>
      <x:c r="J1226" s="527" t="inlineStr">
        <x:is>
          <x:t xml:space="preserve">Leasehold / WI</x:t>
        </x:is>
      </x:c>
      <x:c r="K1226" s="527" t="inlineStr">
        <x:is>
          <x:t xml:space="preserve">OKCountyRecords official index, Roger Mills County (instrument 2005-001690); searched 06/11/2026</x:t>
        </x:is>
      </x:c>
      <x:c r="L1226" s="565" t="n"/>
      <x:c r="M1226" s="565" t="n"/>
      <x:c r="N1226" s="565" t="n"/>
      <x:c r="O1226" s="565" t="n"/>
      <x:c r="P1226" s="565" t="n"/>
      <x:c r="Q1226" s="565" t="n"/>
      <x:c r="R1226" s="565" t="n"/>
      <x:c r="S1226" s="613" t="n"/>
      <x:c r="T1226" s="565" t="n"/>
      <x:c r="U1226" s="613" t="n"/>
      <x:c r="V1226" s="565" t="n"/>
      <x:c r="W1226" s="565" t="n"/>
      <x:c r="X1226" s="565" t="n"/>
      <x:c r="Y1226" s="565" t="n"/>
      <x:c r="Z1226" s="565" t="n"/>
    </x:row>
    <x:row r="1227">
      <x:c r="A1227" s="527" t="inlineStr">
        <x:is>
          <x:t xml:space="preserve">2005-001839</x:t>
        </x:is>
      </x:c>
      <x:c r="B1227" s="527" t="n"/>
      <x:c r="C1227" s="527" t="inlineStr">
        <x:is>
          <x:t xml:space="preserve">Affidavit</x:t>
        </x:is>
      </x:c>
      <x:c r="D1227" s="527" t="inlineStr">
        <x:is>
          <x:t xml:space="preserve">1783/0099</x:t>
        </x:is>
      </x:c>
      <x:c r="E1227" s="529" t="inlineStr">
        <x:is>
          <x:t xml:space="preserve">03/29/2005</x:t>
        </x:is>
      </x:c>
      <x:c r="F1227" s="529" t="n">
        <x:v>38427</x:v>
      </x:c>
      <x:c r="G1227" s="527" t="inlineStr">
        <x:is>
          <x:t xml:space="preserve">Clarence Bain</x:t>
        </x:is>
      </x:c>
      <x:c r="H1227" s="527" t="inlineStr">
        <x:is>
          <x:t xml:space="preserve">The Public</x:t>
        </x:is>
      </x:c>
      <x:c r="I1227" s="527" t="inlineStr">
        <x:is>
          <x:t xml:space="preserve">NW/4 SE/4, SW/4 NE/4 of 31-12N-24W (AOL)</x:t>
        </x:is>
      </x:c>
      <x:c r="J1227" s="527" t="inlineStr">
        <x:is>
          <x:t xml:space="preserve">See instrument</x:t>
        </x:is>
      </x:c>
      <x:c r="K1227" s="527" t="inlineStr">
        <x:is>
          <x:t xml:space="preserve">OKCountyRecords official index, Roger Mills County (instrument 2005-001839); searched 06/11/2026</x:t>
        </x:is>
      </x:c>
      <x:c r="L1227" s="565" t="n"/>
      <x:c r="M1227" s="565" t="n"/>
      <x:c r="N1227" s="565" t="n"/>
      <x:c r="O1227" s="565" t="n"/>
      <x:c r="P1227" s="565" t="n"/>
      <x:c r="Q1227" s="565" t="n"/>
      <x:c r="R1227" s="565" t="n"/>
      <x:c r="S1227" s="613" t="n"/>
      <x:c r="T1227" s="565" t="n"/>
      <x:c r="U1227" s="613" t="n"/>
      <x:c r="V1227" s="565" t="n"/>
      <x:c r="W1227" s="565" t="n"/>
      <x:c r="X1227" s="565" t="n"/>
      <x:c r="Y1227" s="565" t="n"/>
      <x:c r="Z1227" s="565" t="n"/>
    </x:row>
    <x:row r="1228">
      <x:c r="A1228" s="527" t="inlineStr">
        <x:is>
          <x:t xml:space="preserve">2005-001909</x:t>
        </x:is>
      </x:c>
      <x:c r="B1228" s="527" t="n"/>
      <x:c r="C1228" s="527" t="inlineStr">
        <x:is>
          <x:t xml:space="preserve">Mineral Deed</x:t>
        </x:is>
      </x:c>
      <x:c r="D1228" s="527" t="inlineStr">
        <x:is>
          <x:t xml:space="preserve">1783/0306</x:t>
        </x:is>
      </x:c>
      <x:c r="E1228" s="529" t="inlineStr">
        <x:is>
          <x:t xml:space="preserve">04/04/2005</x:t>
        </x:is>
      </x:c>
      <x:c r="F1228" s="529" t="n">
        <x:v>38446</x:v>
      </x:c>
      <x:c r="G1228" s="527" t="inlineStr">
        <x:is>
          <x:t xml:space="preserve">John William Bain</x:t>
        </x:is>
      </x:c>
      <x:c r="H1228" s="527" t="inlineStr">
        <x:is>
          <x:t xml:space="preserve">G. &amp; T. Partnership</x:t>
        </x:is>
      </x:c>
      <x:c r="I1228" s="527" t="inlineStr">
        <x:is>
          <x:t xml:space="preserve">NW/4 SE/4, S/2 SE/4, SW/4 NE/4 of 31-12N-24W (AOL)</x:t>
        </x:is>
      </x:c>
      <x:c r="J1228" s="527" t="inlineStr">
        <x:is>
          <x:t xml:space="preserve">Mineral</x:t>
        </x:is>
      </x:c>
      <x:c r="K1228" s="527" t="inlineStr">
        <x:is>
          <x:t xml:space="preserve">OKCountyRecords official index, Roger Mills County (instrument 2005-001909); searched 06/11/2026</x:t>
        </x:is>
      </x:c>
      <x:c r="L1228" s="565" t="n"/>
      <x:c r="M1228" s="565" t="n"/>
      <x:c r="N1228" s="565" t="n"/>
      <x:c r="O1228" s="565" t="n"/>
      <x:c r="P1228" s="565" t="n"/>
      <x:c r="Q1228" s="565" t="n"/>
      <x:c r="R1228" s="565" t="n"/>
      <x:c r="S1228" s="613" t="n"/>
      <x:c r="T1228" s="565" t="n"/>
      <x:c r="U1228" s="613" t="n"/>
      <x:c r="V1228" s="565" t="n"/>
      <x:c r="W1228" s="565" t="n"/>
      <x:c r="X1228" s="565" t="n"/>
      <x:c r="Y1228" s="565" t="n"/>
      <x:c r="Z1228" s="565" t="n"/>
    </x:row>
    <x:row r="1229">
      <x:c r="A1229" s="527" t="inlineStr">
        <x:is>
          <x:t xml:space="preserve">2005-002196</x:t>
        </x:is>
      </x:c>
      <x:c r="B1229" s="527" t="n"/>
      <x:c r="C1229" s="527" t="inlineStr">
        <x:is>
          <x:t xml:space="preserve">Decree</x:t>
        </x:is>
      </x:c>
      <x:c r="D1229" s="527" t="inlineStr">
        <x:is>
          <x:t xml:space="preserve">1784/0591</x:t>
        </x:is>
      </x:c>
      <x:c r="E1229" s="529" t="inlineStr">
        <x:is>
          <x:t xml:space="preserve">04/13/2005</x:t>
        </x:is>
      </x:c>
      <x:c r="F1229" s="529" t="n">
        <x:v>38455</x:v>
      </x:c>
      <x:c r="G1229" s="527" t="inlineStr">
        <x:is>
          <x:t xml:space="preserve">Virgil Mark Hambrook, Deceased</x:t>
        </x:is>
      </x:c>
      <x:c r="H1229" s="527" t="inlineStr">
        <x:is>
          <x:t xml:space="preserve">The Public</x:t>
        </x:is>
      </x:c>
      <x:c r="I1229" s="527" t="inlineStr">
        <x:is>
          <x:t xml:space="preserve">W/2 NW/4, Lots 1 of 31-12N-24W</x:t>
        </x:is>
      </x:c>
      <x:c r="J1229" s="527" t="inlineStr">
        <x:is>
          <x:t xml:space="preserve">Fee / as stated</x:t>
        </x:is>
      </x:c>
      <x:c r="K1229" s="527" t="inlineStr">
        <x:is>
          <x:t xml:space="preserve">OKCountyRecords official index, Roger Mills County (instrument 2005-002196); searched 06/11/2026</x:t>
        </x:is>
      </x:c>
      <x:c r="L1229" s="565" t="n"/>
      <x:c r="M1229" s="565" t="n"/>
      <x:c r="N1229" s="565" t="n"/>
      <x:c r="O1229" s="565" t="n"/>
      <x:c r="P1229" s="565" t="n"/>
      <x:c r="Q1229" s="565" t="n"/>
      <x:c r="R1229" s="565" t="n"/>
      <x:c r="S1229" s="613" t="n"/>
      <x:c r="T1229" s="565" t="n"/>
      <x:c r="U1229" s="613" t="n"/>
      <x:c r="V1229" s="565" t="n"/>
      <x:c r="W1229" s="565" t="n"/>
      <x:c r="X1229" s="565" t="n"/>
      <x:c r="Y1229" s="565" t="n"/>
      <x:c r="Z1229" s="565" t="n"/>
    </x:row>
    <x:row r="1230">
      <x:c r="A1230" s="527" t="inlineStr">
        <x:is>
          <x:t xml:space="preserve">2005-002326</x:t>
        </x:is>
      </x:c>
      <x:c r="B1230" s="527" t="n"/>
      <x:c r="C1230" s="527" t="inlineStr">
        <x:is>
          <x:t xml:space="preserve">Oil and Gas Lease</x:t>
        </x:is>
      </x:c>
      <x:c r="D1230" s="527" t="inlineStr">
        <x:is>
          <x:t xml:space="preserve">1785/0274</x:t>
        </x:is>
      </x:c>
      <x:c r="E1230" s="529" t="inlineStr">
        <x:is>
          <x:t xml:space="preserve">04/15/2005</x:t>
        </x:is>
      </x:c>
      <x:c r="F1230" s="529" t="n">
        <x:v>38419</x:v>
      </x:c>
      <x:c r="G1230" s="527" t="inlineStr">
        <x:is>
          <x:t xml:space="preserve">Joe Devenas Jr.</x:t>
        </x:is>
      </x:c>
      <x:c r="H1230" s="527" t="inlineStr">
        <x:is>
          <x:t xml:space="preserve">EOG Resources, Inc.</x:t>
        </x:is>
      </x:c>
      <x:c r="I1230" s="527" t="inlineStr">
        <x:is>
          <x:t xml:space="preserve">SE/4 SW/4 of 31-12N-24W</x:t>
        </x:is>
      </x:c>
      <x:c r="J1230" s="527" t="inlineStr">
        <x:is>
          <x:t xml:space="preserve">Leasehold / WI</x:t>
        </x:is>
      </x:c>
      <x:c r="K1230" s="527" t="inlineStr">
        <x:is>
          <x:t xml:space="preserve">OKCountyRecords official index, Roger Mills County (instrument 2005-002326); searched 06/11/2026</x:t>
        </x:is>
      </x:c>
      <x:c r="L1230" s="565" t="n"/>
      <x:c r="M1230" s="565" t="n"/>
      <x:c r="N1230" s="565" t="n"/>
      <x:c r="O1230" s="565" t="n"/>
      <x:c r="P1230" s="565" t="n"/>
      <x:c r="Q1230" s="565" t="n"/>
      <x:c r="R1230" s="565" t="n"/>
      <x:c r="S1230" s="613" t="n"/>
      <x:c r="T1230" s="565" t="n"/>
      <x:c r="U1230" s="613" t="n"/>
      <x:c r="V1230" s="565" t="n"/>
      <x:c r="W1230" s="565" t="n"/>
      <x:c r="X1230" s="565" t="n"/>
      <x:c r="Y1230" s="565" t="n"/>
      <x:c r="Z1230" s="565" t="n"/>
    </x:row>
    <x:row r="1231">
      <x:c r="A1231" s="527" t="inlineStr">
        <x:is>
          <x:t xml:space="preserve">2005-002327</x:t>
        </x:is>
      </x:c>
      <x:c r="B1231" s="527" t="n"/>
      <x:c r="C1231" s="527" t="inlineStr">
        <x:is>
          <x:t xml:space="preserve">Oil and Gas Lease</x:t>
        </x:is>
      </x:c>
      <x:c r="D1231" s="527" t="inlineStr">
        <x:is>
          <x:t xml:space="preserve">1785/0276</x:t>
        </x:is>
      </x:c>
      <x:c r="E1231" s="529" t="inlineStr">
        <x:is>
          <x:t xml:space="preserve">04/15/2005</x:t>
        </x:is>
      </x:c>
      <x:c r="F1231" s="529" t="n">
        <x:v>38420</x:v>
      </x:c>
      <x:c r="G1231" s="527" t="inlineStr">
        <x:is>
          <x:t xml:space="preserve">Eleanore Wheeler</x:t>
        </x:is>
      </x:c>
      <x:c r="H1231" s="527" t="inlineStr">
        <x:is>
          <x:t xml:space="preserve">EOG Resources, Inc.</x:t>
        </x:is>
      </x:c>
      <x:c r="I1231" s="527" t="inlineStr">
        <x:is>
          <x:t xml:space="preserve">S/2, S/2 NE/4 SW/4, SE/4 SW/4, Lots 3, 4 of 31-12N-24W</x:t>
        </x:is>
      </x:c>
      <x:c r="J1231" s="527" t="inlineStr">
        <x:is>
          <x:t xml:space="preserve">Leasehold / WI</x:t>
        </x:is>
      </x:c>
      <x:c r="K1231" s="527" t="inlineStr">
        <x:is>
          <x:t xml:space="preserve">OKCountyRecords official index, Roger Mills County (instrument 2005-002327); searched 06/11/2026</x:t>
        </x:is>
      </x:c>
      <x:c r="L1231" s="565" t="n"/>
      <x:c r="M1231" s="565" t="n"/>
      <x:c r="N1231" s="565" t="n"/>
      <x:c r="O1231" s="565" t="n"/>
      <x:c r="P1231" s="565" t="n"/>
      <x:c r="Q1231" s="565" t="n"/>
      <x:c r="R1231" s="565" t="n"/>
      <x:c r="S1231" s="613" t="n"/>
      <x:c r="T1231" s="565" t="n"/>
      <x:c r="U1231" s="613" t="n"/>
      <x:c r="V1231" s="565" t="n"/>
      <x:c r="W1231" s="565" t="n"/>
      <x:c r="X1231" s="565" t="n"/>
      <x:c r="Y1231" s="565" t="n"/>
      <x:c r="Z1231" s="565" t="n"/>
    </x:row>
    <x:row r="1232">
      <x:c r="A1232" s="527" t="inlineStr">
        <x:is>
          <x:t xml:space="preserve">2005-002328</x:t>
        </x:is>
      </x:c>
      <x:c r="B1232" s="527" t="n"/>
      <x:c r="C1232" s="527" t="inlineStr">
        <x:is>
          <x:t xml:space="preserve">Oil and Gas Lease</x:t>
        </x:is>
      </x:c>
      <x:c r="D1232" s="527" t="inlineStr">
        <x:is>
          <x:t xml:space="preserve">1785/0278</x:t>
        </x:is>
      </x:c>
      <x:c r="E1232" s="529" t="inlineStr">
        <x:is>
          <x:t xml:space="preserve">04/15/2005</x:t>
        </x:is>
      </x:c>
      <x:c r="F1232" s="529" t="n">
        <x:v>38419</x:v>
      </x:c>
      <x:c r="G1232" s="527" t="inlineStr">
        <x:is>
          <x:t xml:space="preserve">Joseph Devenas, Trustee</x:t>
        </x:is>
      </x:c>
      <x:c r="H1232" s="527" t="inlineStr">
        <x:is>
          <x:t xml:space="preserve">EOG Resources, Inc.</x:t>
        </x:is>
      </x:c>
      <x:c r="I1232" s="527" t="inlineStr">
        <x:is>
          <x:t xml:space="preserve">SE/4 SW/4 of 31-12N-24W</x:t>
        </x:is>
      </x:c>
      <x:c r="J1232" s="527" t="inlineStr">
        <x:is>
          <x:t xml:space="preserve">Leasehold / WI</x:t>
        </x:is>
      </x:c>
      <x:c r="K1232" s="527" t="inlineStr">
        <x:is>
          <x:t xml:space="preserve">OKCountyRecords official index, Roger Mills County (instrument 2005-002328); searched 06/11/2026</x:t>
        </x:is>
      </x:c>
      <x:c r="L1232" s="565" t="n"/>
      <x:c r="M1232" s="565" t="n"/>
      <x:c r="N1232" s="565" t="n"/>
      <x:c r="O1232" s="565" t="n"/>
      <x:c r="P1232" s="565" t="n"/>
      <x:c r="Q1232" s="565" t="n"/>
      <x:c r="R1232" s="565" t="n"/>
      <x:c r="S1232" s="613" t="n"/>
      <x:c r="T1232" s="565" t="n"/>
      <x:c r="U1232" s="613" t="n"/>
      <x:c r="V1232" s="565" t="n"/>
      <x:c r="W1232" s="565" t="n"/>
      <x:c r="X1232" s="565" t="n"/>
      <x:c r="Y1232" s="565" t="n"/>
      <x:c r="Z1232" s="565" t="n"/>
    </x:row>
    <x:row r="1233">
      <x:c r="A1233" s="527" t="inlineStr">
        <x:is>
          <x:t xml:space="preserve">2005-002552</x:t>
        </x:is>
      </x:c>
      <x:c r="B1233" s="527" t="n"/>
      <x:c r="C1233" s="527" t="inlineStr">
        <x:is>
          <x:t xml:space="preserve">Oil and Gas Lease</x:t>
        </x:is>
      </x:c>
      <x:c r="D1233" s="527" t="inlineStr">
        <x:is>
          <x:t xml:space="preserve">1786/0335</x:t>
        </x:is>
      </x:c>
      <x:c r="E1233" s="529" t="inlineStr">
        <x:is>
          <x:t xml:space="preserve">04/20/2005</x:t>
        </x:is>
      </x:c>
      <x:c r="F1233" s="529" t="n">
        <x:v>38447</x:v>
      </x:c>
      <x:c r="G1233" s="527" t="inlineStr">
        <x:is>
          <x:t xml:space="preserve">Linda Klopfenstein,
Roger Klopfenstein</x:t>
        </x:is>
      </x:c>
      <x:c r="H1233" s="527" t="inlineStr">
        <x:is>
          <x:t xml:space="preserve">Chesapeake Explor Ltd Ptnrshp</x:t>
        </x:is>
      </x:c>
      <x:c r="I1233" s="527" t="inlineStr">
        <x:is>
          <x:t xml:space="preserve">S/2 NE/4 SW/4, SE/4 SW/4 of 31-12N-24W</x:t>
        </x:is>
      </x:c>
      <x:c r="J1233" s="527" t="inlineStr">
        <x:is>
          <x:t xml:space="preserve">Leasehold / WI</x:t>
        </x:is>
      </x:c>
      <x:c r="K1233" s="527" t="inlineStr">
        <x:is>
          <x:t xml:space="preserve">OKCountyRecords official index, Roger Mills County (instrument 2005-002552); searched 06/11/2026</x:t>
        </x:is>
      </x:c>
      <x:c r="L1233" s="565" t="n"/>
      <x:c r="M1233" s="565" t="n"/>
      <x:c r="N1233" s="565" t="n"/>
      <x:c r="O1233" s="565" t="n"/>
      <x:c r="P1233" s="565" t="n"/>
      <x:c r="Q1233" s="565" t="n"/>
      <x:c r="R1233" s="565" t="n"/>
      <x:c r="S1233" s="613" t="n"/>
      <x:c r="T1233" s="565" t="n"/>
      <x:c r="U1233" s="613" t="n"/>
      <x:c r="V1233" s="565" t="n"/>
      <x:c r="W1233" s="565" t="n"/>
      <x:c r="X1233" s="565" t="n"/>
      <x:c r="Y1233" s="565" t="n"/>
      <x:c r="Z1233" s="565" t="n"/>
    </x:row>
    <x:row r="1234">
      <x:c r="A1234" s="527" t="inlineStr">
        <x:is>
          <x:t xml:space="preserve">2005-002646</x:t>
        </x:is>
      </x:c>
      <x:c r="B1234" s="527" t="n"/>
      <x:c r="C1234" s="527" t="inlineStr">
        <x:is>
          <x:t xml:space="preserve">Oil and Gas Lease</x:t>
        </x:is>
      </x:c>
      <x:c r="D1234" s="527" t="inlineStr">
        <x:is>
          <x:t xml:space="preserve">1787/0047</x:t>
        </x:is>
      </x:c>
      <x:c r="E1234" s="529" t="inlineStr">
        <x:is>
          <x:t xml:space="preserve">04/22/2005</x:t>
        </x:is>
      </x:c>
      <x:c r="F1234" s="529" t="n">
        <x:v>38435</x:v>
      </x:c>
      <x:c r="G1234" s="527" t="inlineStr">
        <x:is>
          <x:t xml:space="preserve">Marchelle Sorenson Daigle, Trustee,
Michelle Sorenson Johnson, Trustee,
Sorenson Oil &amp; Gas Trust</x:t>
        </x:is>
      </x:c>
      <x:c r="H1234" s="527" t="inlineStr">
        <x:is>
          <x:t xml:space="preserve">N/g Discovery, LLC</x:t>
        </x:is>
      </x:c>
      <x:c r="I1234" s="527" t="inlineStr">
        <x:is>
          <x:t xml:space="preserve">E/2 NW/4, N/2 NE/4 SW/4, NE/4 SE/4, SE/4 NE/4 of 31-12N-24W</x:t>
        </x:is>
      </x:c>
      <x:c r="J1234" s="527" t="inlineStr">
        <x:is>
          <x:t xml:space="preserve">Leasehold / WI</x:t>
        </x:is>
      </x:c>
      <x:c r="K1234" s="527" t="inlineStr">
        <x:is>
          <x:t xml:space="preserve">OKCountyRecords official index, Roger Mills County (instrument 2005-002646); searched 06/11/2026</x:t>
        </x:is>
      </x:c>
      <x:c r="L1234" s="565" t="n"/>
      <x:c r="M1234" s="565" t="n"/>
      <x:c r="N1234" s="565" t="n"/>
      <x:c r="O1234" s="565" t="n"/>
      <x:c r="P1234" s="565" t="n"/>
      <x:c r="Q1234" s="565" t="n"/>
      <x:c r="R1234" s="565" t="n"/>
      <x:c r="S1234" s="613" t="n"/>
      <x:c r="T1234" s="565" t="n"/>
      <x:c r="U1234" s="613" t="n"/>
      <x:c r="V1234" s="565" t="n"/>
      <x:c r="W1234" s="565" t="n"/>
      <x:c r="X1234" s="565" t="n"/>
      <x:c r="Y1234" s="565" t="n"/>
      <x:c r="Z1234" s="565" t="n"/>
    </x:row>
    <x:row r="1235">
      <x:c r="A1235" s="527" t="inlineStr">
        <x:is>
          <x:t xml:space="preserve">2005-002831</x:t>
        </x:is>
      </x:c>
      <x:c r="B1235" s="527" t="n"/>
      <x:c r="C1235" s="527" t="inlineStr">
        <x:is>
          <x:t xml:space="preserve">Oil and Gas Lease</x:t>
        </x:is>
      </x:c>
      <x:c r="D1235" s="527" t="inlineStr">
        <x:is>
          <x:t xml:space="preserve">1788/0024</x:t>
        </x:is>
      </x:c>
      <x:c r="E1235" s="529" t="inlineStr">
        <x:is>
          <x:t xml:space="preserve">05/02/2005</x:t>
        </x:is>
      </x:c>
      <x:c r="F1235" s="529" t="n">
        <x:v>38457</x:v>
      </x:c>
      <x:c r="G1235" s="527" t="inlineStr">
        <x:is>
          <x:t xml:space="preserve">Arrowhead Resources, Inc.</x:t>
        </x:is>
      </x:c>
      <x:c r="H1235" s="527" t="inlineStr">
        <x:is>
          <x:t xml:space="preserve">Arrowhead Explor &amp; Prod Co</x:t>
        </x:is>
      </x:c>
      <x:c r="I1235" s="527" t="inlineStr">
        <x:is>
          <x:t xml:space="preserve">SE/4 SW/4 of 31-12N-24W</x:t>
        </x:is>
      </x:c>
      <x:c r="J1235" s="527" t="inlineStr">
        <x:is>
          <x:t xml:space="preserve">Leasehold / WI</x:t>
        </x:is>
      </x:c>
      <x:c r="K1235" s="527" t="inlineStr">
        <x:is>
          <x:t xml:space="preserve">OKCountyRecords official index, Roger Mills County (instrument 2005-002831); searched 06/11/2026</x:t>
        </x:is>
      </x:c>
      <x:c r="L1235" s="565" t="n"/>
      <x:c r="M1235" s="565" t="n"/>
      <x:c r="N1235" s="565" t="n"/>
      <x:c r="O1235" s="565" t="n"/>
      <x:c r="P1235" s="565" t="n"/>
      <x:c r="Q1235" s="565" t="n"/>
      <x:c r="R1235" s="565" t="n"/>
      <x:c r="S1235" s="613" t="n"/>
      <x:c r="T1235" s="565" t="n"/>
      <x:c r="U1235" s="613" t="n"/>
      <x:c r="V1235" s="565" t="n"/>
      <x:c r="W1235" s="565" t="n"/>
      <x:c r="X1235" s="565" t="n"/>
      <x:c r="Y1235" s="565" t="n"/>
      <x:c r="Z1235" s="565" t="n"/>
    </x:row>
    <x:row r="1236">
      <x:c r="A1236" s="527" t="inlineStr">
        <x:is>
          <x:t xml:space="preserve">2005-003389</x:t>
        </x:is>
      </x:c>
      <x:c r="B1236" s="527" t="n"/>
      <x:c r="C1236" s="527" t="inlineStr">
        <x:is>
          <x:t xml:space="preserve">Mineral Deed</x:t>
        </x:is>
      </x:c>
      <x:c r="D1236" s="527" t="inlineStr">
        <x:is>
          <x:t xml:space="preserve">1790/0386</x:t>
        </x:is>
      </x:c>
      <x:c r="E1236" s="529" t="inlineStr">
        <x:is>
          <x:t xml:space="preserve">05/18/2005</x:t>
        </x:is>
      </x:c>
      <x:c r="F1236" s="529" t="n">
        <x:v>38483</x:v>
      </x:c>
      <x:c r="G1236" s="527" t="inlineStr">
        <x:is>
          <x:t xml:space="preserve">Laura Snyder Robertson</x:t>
        </x:is>
      </x:c>
      <x:c r="H1236" s="527" t="inlineStr">
        <x:is>
          <x:t xml:space="preserve">James M. Robertson,
Rose E. Robertson</x:t>
        </x:is>
      </x:c>
      <x:c r="I1236" s="527" t="inlineStr">
        <x:is>
          <x:t xml:space="preserve">NW/4 SE/4, S/2 SE/4, SW/4 NE/4 of 31-12N-24W (AOL)</x:t>
        </x:is>
      </x:c>
      <x:c r="J1236" s="527" t="inlineStr">
        <x:is>
          <x:t xml:space="preserve">Mineral</x:t>
        </x:is>
      </x:c>
      <x:c r="K1236" s="527" t="inlineStr">
        <x:is>
          <x:t xml:space="preserve">OKCountyRecords official index, Roger Mills County (instrument 2005-003389); searched 06/11/2026</x:t>
        </x:is>
      </x:c>
      <x:c r="L1236" s="565" t="n"/>
      <x:c r="M1236" s="565" t="n"/>
      <x:c r="N1236" s="565" t="n"/>
      <x:c r="O1236" s="565" t="n"/>
      <x:c r="P1236" s="565" t="n"/>
      <x:c r="Q1236" s="565" t="n"/>
      <x:c r="R1236" s="565" t="n"/>
      <x:c r="S1236" s="613" t="n"/>
      <x:c r="T1236" s="565" t="n"/>
      <x:c r="U1236" s="613" t="n"/>
      <x:c r="V1236" s="565" t="n"/>
      <x:c r="W1236" s="565" t="n"/>
      <x:c r="X1236" s="565" t="n"/>
      <x:c r="Y1236" s="565" t="n"/>
      <x:c r="Z1236" s="565" t="n"/>
    </x:row>
    <x:row r="1237">
      <x:c r="A1237" s="527" t="inlineStr">
        <x:is>
          <x:t xml:space="preserve">2005-003691</x:t>
        </x:is>
      </x:c>
      <x:c r="B1237" s="527" t="n"/>
      <x:c r="C1237" s="527" t="inlineStr">
        <x:is>
          <x:t xml:space="preserve">Partial Assignment</x:t>
        </x:is>
      </x:c>
      <x:c r="D1237" s="527" t="inlineStr">
        <x:is>
          <x:t xml:space="preserve">1791/0515</x:t>
        </x:is>
      </x:c>
      <x:c r="E1237" s="529" t="inlineStr">
        <x:is>
          <x:t xml:space="preserve">05/27/2005</x:t>
        </x:is>
      </x:c>
      <x:c r="F1237" s="529" t="n">
        <x:v>38497</x:v>
      </x:c>
      <x:c r="G1237" s="527" t="inlineStr">
        <x:is>
          <x:t xml:space="preserve">N/g Discovery, LLC</x:t>
        </x:is>
      </x:c>
      <x:c r="H1237" s="527" t="inlineStr">
        <x:is>
          <x:t xml:space="preserve">Sierra Resources, Inc.</x:t>
        </x:is>
      </x:c>
      <x:c r="I1237" s="527" t="inlineStr">
        <x:is>
          <x:t xml:space="preserve">E/2 NW/4, N/2 NE/4 SW/4, NE/4 SE/4, NW/4 SE/4, S/2 SE/4, SE/4 NE/4, SW/4 NE/4 of 31-12N-24W (AOL)</x:t>
        </x:is>
      </x:c>
      <x:c r="J1237" s="527" t="inlineStr">
        <x:is>
          <x:t xml:space="preserve">Leasehold / WI</x:t>
        </x:is>
      </x:c>
      <x:c r="K1237" s="527" t="inlineStr">
        <x:is>
          <x:t xml:space="preserve">OKCountyRecords official index, Roger Mills County (instrument 2005-003691); searched 06/11/2026</x:t>
        </x:is>
      </x:c>
      <x:c r="L1237" s="565" t="n"/>
      <x:c r="M1237" s="565" t="n"/>
      <x:c r="N1237" s="565" t="n"/>
      <x:c r="O1237" s="565" t="n"/>
      <x:c r="P1237" s="565" t="n"/>
      <x:c r="Q1237" s="565" t="n"/>
      <x:c r="R1237" s="565" t="n"/>
      <x:c r="S1237" s="613" t="n"/>
      <x:c r="T1237" s="565" t="n"/>
      <x:c r="U1237" s="613" t="n"/>
      <x:c r="V1237" s="565" t="n"/>
      <x:c r="W1237" s="565" t="n"/>
      <x:c r="X1237" s="565" t="n"/>
      <x:c r="Y1237" s="565" t="n"/>
      <x:c r="Z1237" s="565" t="n"/>
    </x:row>
    <x:row r="1238">
      <x:c r="A1238" s="527" t="inlineStr">
        <x:is>
          <x:t xml:space="preserve">2005-003756</x:t>
        </x:is>
      </x:c>
      <x:c r="B1238" s="527" t="n">
        <x:v>26</x:v>
      </x:c>
      <x:c r="C1238" s="527" t="inlineStr">
        <x:is>
          <x:t xml:space="preserve">Oil and Gas Lease</x:t>
        </x:is>
      </x:c>
      <x:c r="D1238" s="527" t="inlineStr">
        <x:is>
          <x:t xml:space="preserve">1792/0517</x:t>
        </x:is>
      </x:c>
      <x:c r="E1238" s="529" t="inlineStr">
        <x:is>
          <x:t xml:space="preserve">06/01/2005</x:t>
        </x:is>
      </x:c>
      <x:c r="F1238" s="529" t="n">
        <x:v>38440</x:v>
      </x:c>
      <x:c r="G1238" s="527" t="inlineStr">
        <x:is>
          <x:t xml:space="preserve">Martha Ann Devenas</x:t>
        </x:is>
      </x:c>
      <x:c r="H1238" s="527" t="inlineStr">
        <x:is>
          <x:t xml:space="preserve">EOG Resources, Inc.</x:t>
        </x:is>
      </x:c>
      <x:c r="I1238" s="527" t="inlineStr">
        <x:is>
          <x:t xml:space="preserve">SE/4 SW/4 of 31-12N-24W</x:t>
        </x:is>
      </x:c>
      <x:c r="J1238" s="527" t="inlineStr">
        <x:is>
          <x:t xml:space="preserve">Leasehold / WI</x:t>
        </x:is>
      </x:c>
      <x:c r="K1238" s="527" t="inlineStr">
        <x:is>
          <x:t xml:space="preserve">OKCountyRecords official index, Roger Mills County (instrument 2005-003756); searched 06/11/2026</x:t>
        </x:is>
      </x:c>
      <x:c r="L1238" s="565" t="n"/>
      <x:c r="M1238" s="565" t="n"/>
      <x:c r="N1238" s="565" t="n"/>
      <x:c r="O1238" s="565" t="n"/>
      <x:c r="P1238" s="565" t="n"/>
      <x:c r="Q1238" s="565" t="n"/>
      <x:c r="R1238" s="565" t="n"/>
      <x:c r="S1238" s="613" t="n"/>
      <x:c r="T1238" s="565" t="n"/>
      <x:c r="U1238" s="613" t="n"/>
      <x:c r="V1238" s="565" t="n"/>
      <x:c r="W1238" s="565" t="n"/>
      <x:c r="X1238" s="565" t="n"/>
      <x:c r="Y1238" s="565" t="n"/>
      <x:c r="Z1238" s="565" t="n"/>
    </x:row>
    <x:row r="1239">
      <x:c r="A1239" s="527" t="inlineStr">
        <x:is>
          <x:t xml:space="preserve">2005-003939</x:t>
        </x:is>
      </x:c>
      <x:c r="B1239" s="527" t="n"/>
      <x:c r="C1239" s="527" t="inlineStr">
        <x:is>
          <x:t xml:space="preserve">Ratification</x:t>
        </x:is>
      </x:c>
      <x:c r="D1239" s="527" t="inlineStr">
        <x:is>
          <x:t xml:space="preserve">1793/0501</x:t>
        </x:is>
      </x:c>
      <x:c r="E1239" s="529" t="inlineStr">
        <x:is>
          <x:t xml:space="preserve">06/08/2005</x:t>
        </x:is>
      </x:c>
      <x:c r="F1239" s="529" t="n">
        <x:v>38441</x:v>
      </x:c>
      <x:c r="G1239" s="527" t="inlineStr">
        <x:is>
          <x:t xml:space="preserve">Molly Devenas</x:t>
        </x:is>
      </x:c>
      <x:c r="H1239" s="527" t="inlineStr">
        <x:is>
          <x:t xml:space="preserve">EOG Resources, Inc.</x:t>
        </x:is>
      </x:c>
      <x:c r="I1239" s="527" t="inlineStr">
        <x:is>
          <x:t xml:space="preserve">SE/4 SW/4 of 31-12N-24W</x:t>
        </x:is>
      </x:c>
      <x:c r="J1239" s="527" t="inlineStr">
        <x:is>
          <x:t xml:space="preserve">Leasehold / WI</x:t>
        </x:is>
      </x:c>
      <x:c r="K1239" s="527" t="inlineStr">
        <x:is>
          <x:t xml:space="preserve">OKCountyRecords official index, Roger Mills County (instrument 2005-003939); searched 06/11/2026</x:t>
        </x:is>
      </x:c>
      <x:c r="L1239" s="565" t="n"/>
      <x:c r="M1239" s="565" t="n"/>
      <x:c r="N1239" s="565" t="n"/>
      <x:c r="O1239" s="565" t="n"/>
      <x:c r="P1239" s="565" t="n"/>
      <x:c r="Q1239" s="565" t="n"/>
      <x:c r="R1239" s="565" t="n"/>
      <x:c r="S1239" s="613" t="n"/>
      <x:c r="T1239" s="565" t="n"/>
      <x:c r="U1239" s="613" t="n"/>
      <x:c r="V1239" s="565" t="n"/>
      <x:c r="W1239" s="565" t="n"/>
      <x:c r="X1239" s="565" t="n"/>
      <x:c r="Y1239" s="565" t="n"/>
      <x:c r="Z1239" s="565" t="n"/>
    </x:row>
    <x:row r="1240">
      <x:c r="A1240" s="527" t="inlineStr">
        <x:is>
          <x:t xml:space="preserve">2005-003940</x:t>
        </x:is>
      </x:c>
      <x:c r="B1240" s="527" t="n"/>
      <x:c r="C1240" s="527" t="inlineStr">
        <x:is>
          <x:t xml:space="preserve">Ratification</x:t>
        </x:is>
      </x:c>
      <x:c r="D1240" s="527" t="inlineStr">
        <x:is>
          <x:t xml:space="preserve">1793/0502</x:t>
        </x:is>
      </x:c>
      <x:c r="E1240" s="529" t="inlineStr">
        <x:is>
          <x:t xml:space="preserve">06/08/2005</x:t>
        </x:is>
      </x:c>
      <x:c r="F1240" s="529" t="n">
        <x:v>38441</x:v>
      </x:c>
      <x:c r="G1240" s="527" t="inlineStr">
        <x:is>
          <x:t xml:space="preserve">Joe Deveanas</x:t>
        </x:is>
      </x:c>
      <x:c r="H1240" s="527" t="inlineStr">
        <x:is>
          <x:t xml:space="preserve">EOG Resources, Inc.</x:t>
        </x:is>
      </x:c>
      <x:c r="I1240" s="527" t="inlineStr">
        <x:is>
          <x:t xml:space="preserve">SE/4 SW/4 of 31-12N-24W</x:t>
        </x:is>
      </x:c>
      <x:c r="J1240" s="527" t="inlineStr">
        <x:is>
          <x:t xml:space="preserve">Leasehold / WI</x:t>
        </x:is>
      </x:c>
      <x:c r="K1240" s="527" t="inlineStr">
        <x:is>
          <x:t xml:space="preserve">OKCountyRecords official index, Roger Mills County (instrument 2005-003940); searched 06/11/2026</x:t>
        </x:is>
      </x:c>
      <x:c r="L1240" s="565" t="n"/>
      <x:c r="M1240" s="565" t="n"/>
      <x:c r="N1240" s="565" t="n"/>
      <x:c r="O1240" s="565" t="n"/>
      <x:c r="P1240" s="565" t="n"/>
      <x:c r="Q1240" s="565" t="n"/>
      <x:c r="R1240" s="565" t="n"/>
      <x:c r="S1240" s="613" t="n"/>
      <x:c r="T1240" s="565" t="n"/>
      <x:c r="U1240" s="613" t="n"/>
      <x:c r="V1240" s="565" t="n"/>
      <x:c r="W1240" s="565" t="n"/>
      <x:c r="X1240" s="565" t="n"/>
      <x:c r="Y1240" s="565" t="n"/>
      <x:c r="Z1240" s="565" t="n"/>
    </x:row>
    <x:row r="1241">
      <x:c r="A1241" s="527" t="inlineStr">
        <x:is>
          <x:t xml:space="preserve">2005-004044</x:t>
        </x:is>
      </x:c>
      <x:c r="B1241" s="527" t="n"/>
      <x:c r="C1241" s="527" t="inlineStr">
        <x:is>
          <x:t xml:space="preserve">Mineral Deed</x:t>
        </x:is>
      </x:c>
      <x:c r="D1241" s="527" t="inlineStr">
        <x:is>
          <x:t xml:space="preserve">1794/0173</x:t>
        </x:is>
      </x:c>
      <x:c r="E1241" s="529" t="inlineStr">
        <x:is>
          <x:t xml:space="preserve">06/14/2005</x:t>
        </x:is>
      </x:c>
      <x:c r="F1241" s="529" t="n">
        <x:v>38516</x:v>
      </x:c>
      <x:c r="G1241" s="527" t="inlineStr">
        <x:is>
          <x:t xml:space="preserve">Koala Pordution Company</x:t>
        </x:is>
      </x:c>
      <x:c r="H1241" s="527" t="inlineStr">
        <x:is>
          <x:t xml:space="preserve">Chisholm Royalty Partners</x:t>
        </x:is>
      </x:c>
      <x:c r="I1241" s="527" t="inlineStr">
        <x:is>
          <x:t xml:space="preserve">Lots 1, 3 of 31-12N-24W</x:t>
        </x:is>
      </x:c>
      <x:c r="J1241" s="527" t="inlineStr">
        <x:is>
          <x:t xml:space="preserve">Mineral</x:t>
        </x:is>
      </x:c>
      <x:c r="K1241" s="527" t="inlineStr">
        <x:is>
          <x:t xml:space="preserve">OKCountyRecords official index, Roger Mills County (instrument 2005-004044); searched 06/11/2026</x:t>
        </x:is>
      </x:c>
      <x:c r="L1241" s="565" t="n"/>
      <x:c r="M1241" s="565" t="n"/>
      <x:c r="N1241" s="565" t="n"/>
      <x:c r="O1241" s="565" t="n"/>
      <x:c r="P1241" s="565" t="n"/>
      <x:c r="Q1241" s="565" t="n"/>
      <x:c r="R1241" s="565" t="n"/>
      <x:c r="S1241" s="613" t="n"/>
      <x:c r="T1241" s="565" t="n"/>
      <x:c r="U1241" s="613" t="n"/>
      <x:c r="V1241" s="565" t="n"/>
      <x:c r="W1241" s="565" t="n"/>
      <x:c r="X1241" s="565" t="n"/>
      <x:c r="Y1241" s="565" t="n"/>
      <x:c r="Z1241" s="565" t="n"/>
    </x:row>
    <x:row r="1242">
      <x:c r="A1242" s="527" t="inlineStr">
        <x:is>
          <x:t xml:space="preserve">2005-004681</x:t>
        </x:is>
      </x:c>
      <x:c r="B1242" s="527" t="n">
        <x:v>28</x:v>
      </x:c>
      <x:c r="C1242" s="527" t="inlineStr">
        <x:is>
          <x:t xml:space="preserve">Oil and Gas Lease</x:t>
        </x:is>
      </x:c>
      <x:c r="D1242" s="527" t="inlineStr">
        <x:is>
          <x:t xml:space="preserve">1797/0167</x:t>
        </x:is>
      </x:c>
      <x:c r="E1242" s="529" t="inlineStr">
        <x:is>
          <x:t xml:space="preserve">07/08/2005</x:t>
        </x:is>
      </x:c>
      <x:c r="F1242" s="529" t="n">
        <x:v>38482</x:v>
      </x:c>
      <x:c r="G1242" s="527" t="inlineStr">
        <x:is>
          <x:t xml:space="preserve">Peggy J. Brawner</x:t>
        </x:is>
      </x:c>
      <x:c r="H1242" s="527" t="inlineStr">
        <x:is>
          <x:t xml:space="preserve">EOG Resources, Inc.</x:t>
        </x:is>
      </x:c>
      <x:c r="I1242" s="527" t="inlineStr">
        <x:is>
          <x:t xml:space="preserve">NW/4 SE/4, S/2 SE/4, SW/4 NE/4 of 31-12N-24W</x:t>
        </x:is>
      </x:c>
      <x:c r="J1242" s="527" t="inlineStr">
        <x:is>
          <x:t xml:space="preserve">Leasehold / WI</x:t>
        </x:is>
      </x:c>
      <x:c r="K1242" s="527" t="inlineStr">
        <x:is>
          <x:t xml:space="preserve">OKCountyRecords official index, Roger Mills County (instrument 2005-004681); searched 06/11/2026</x:t>
        </x:is>
      </x:c>
      <x:c r="L1242" s="565" t="n"/>
      <x:c r="M1242" s="565" t="n"/>
      <x:c r="N1242" s="565" t="n"/>
      <x:c r="O1242" s="565" t="n"/>
      <x:c r="P1242" s="565" t="n"/>
      <x:c r="Q1242" s="565" t="n"/>
      <x:c r="R1242" s="565" t="n"/>
      <x:c r="S1242" s="613" t="n"/>
      <x:c r="T1242" s="565" t="n"/>
      <x:c r="U1242" s="613" t="n"/>
      <x:c r="V1242" s="565" t="n"/>
      <x:c r="W1242" s="565" t="n"/>
      <x:c r="X1242" s="565" t="n"/>
      <x:c r="Y1242" s="565" t="n"/>
      <x:c r="Z1242" s="565" t="n"/>
    </x:row>
    <x:row r="1243">
      <x:c r="A1243" s="527" t="inlineStr">
        <x:is>
          <x:t xml:space="preserve">2005-004793</x:t>
        </x:is>
      </x:c>
      <x:c r="B1243" s="527" t="n"/>
      <x:c r="C1243" s="527" t="inlineStr">
        <x:is>
          <x:t xml:space="preserve">Mineral Deed</x:t>
        </x:is>
      </x:c>
      <x:c r="D1243" s="527" t="inlineStr">
        <x:is>
          <x:t xml:space="preserve">1797/0463</x:t>
        </x:is>
      </x:c>
      <x:c r="E1243" s="529" t="inlineStr">
        <x:is>
          <x:t xml:space="preserve">07/15/2005</x:t>
        </x:is>
      </x:c>
      <x:c r="F1243" s="529" t="n">
        <x:v>38473</x:v>
      </x:c>
      <x:c r="G1243" s="527" t="inlineStr">
        <x:is>
          <x:t xml:space="preserve">Arrowhead Resources, Inc.</x:t>
        </x:is>
      </x:c>
      <x:c r="H1243" s="527" t="inlineStr">
        <x:is>
          <x:t xml:space="preserve">Map2004-ok</x:t>
        </x:is>
      </x:c>
      <x:c r="I1243" s="527" t="inlineStr">
        <x:is>
          <x:t xml:space="preserve">N/2, W/2 NW/4, Lots 1, 3 of 31-12N-24W</x:t>
        </x:is>
      </x:c>
      <x:c r="J1243" s="527" t="inlineStr">
        <x:is>
          <x:t xml:space="preserve">Mineral</x:t>
        </x:is>
      </x:c>
      <x:c r="K1243" s="527" t="inlineStr">
        <x:is>
          <x:t xml:space="preserve">OKCountyRecords official index, Roger Mills County (instrument 2005-004793); searched 06/11/2026</x:t>
        </x:is>
      </x:c>
      <x:c r="L1243" s="565" t="n"/>
      <x:c r="M1243" s="565" t="n"/>
      <x:c r="N1243" s="565" t="n"/>
      <x:c r="O1243" s="565" t="n"/>
      <x:c r="P1243" s="565" t="n"/>
      <x:c r="Q1243" s="565" t="n"/>
      <x:c r="R1243" s="565" t="n"/>
      <x:c r="S1243" s="613" t="n"/>
      <x:c r="T1243" s="565" t="n"/>
      <x:c r="U1243" s="613" t="n"/>
      <x:c r="V1243" s="565" t="n"/>
      <x:c r="W1243" s="565" t="n"/>
      <x:c r="X1243" s="565" t="n"/>
      <x:c r="Y1243" s="565" t="n"/>
      <x:c r="Z1243" s="565" t="n"/>
    </x:row>
    <x:row r="1244">
      <x:c r="A1244" s="527" t="inlineStr">
        <x:is>
          <x:t xml:space="preserve">2005-004816</x:t>
        </x:is>
      </x:c>
      <x:c r="B1244" s="527" t="n">
        <x:v>27</x:v>
      </x:c>
      <x:c r="C1244" s="527" t="inlineStr">
        <x:is>
          <x:t xml:space="preserve">Oil and Gas Lease</x:t>
        </x:is>
      </x:c>
      <x:c r="D1244" s="527" t="inlineStr">
        <x:is>
          <x:t xml:space="preserve">1798/0146</x:t>
        </x:is>
      </x:c>
      <x:c r="E1244" s="529" t="inlineStr">
        <x:is>
          <x:t xml:space="preserve">07/18/2005</x:t>
        </x:is>
      </x:c>
      <x:c r="F1244" s="529" t="n">
        <x:v>38468</x:v>
      </x:c>
      <x:c r="G1244" s="527" t="inlineStr">
        <x:is>
          <x:t xml:space="preserve">Williams Jon T. Trust,
Williams, Rogene E. Trust,
Rogene E. Williams, Trustee</x:t>
        </x:is>
      </x:c>
      <x:c r="H1244" s="527" t="inlineStr">
        <x:is>
          <x:t xml:space="preserve">Chesapeake Exploration Ltd Ptnrshp</x:t>
        </x:is>
      </x:c>
      <x:c r="I1244" s="527" t="inlineStr">
        <x:is>
          <x:t xml:space="preserve">NW/4 SE/4, S/2 SE/4, SW/4 NE/4 of 31-12N-24W</x:t>
        </x:is>
      </x:c>
      <x:c r="J1244" s="527" t="inlineStr">
        <x:is>
          <x:t xml:space="preserve">Leasehold / WI</x:t>
        </x:is>
      </x:c>
      <x:c r="K1244" s="527" t="inlineStr">
        <x:is>
          <x:t xml:space="preserve">OKCountyRecords official index, Roger Mills County (instrument 2005-004816); searched 06/11/2026</x:t>
        </x:is>
      </x:c>
      <x:c r="L1244" s="565" t="n"/>
      <x:c r="M1244" s="565" t="n"/>
      <x:c r="N1244" s="565" t="n"/>
      <x:c r="O1244" s="565" t="n"/>
      <x:c r="P1244" s="565" t="n"/>
      <x:c r="Q1244" s="565" t="n"/>
      <x:c r="R1244" s="565" t="n"/>
      <x:c r="S1244" s="613" t="n"/>
      <x:c r="T1244" s="565" t="n"/>
      <x:c r="U1244" s="613" t="n"/>
      <x:c r="V1244" s="565" t="n"/>
      <x:c r="W1244" s="565" t="n"/>
      <x:c r="X1244" s="565" t="n"/>
      <x:c r="Y1244" s="565" t="n"/>
      <x:c r="Z1244" s="565" t="n"/>
    </x:row>
    <x:row r="1245">
      <x:c r="A1245" s="527" t="inlineStr">
        <x:is>
          <x:t xml:space="preserve">2005-004817</x:t>
        </x:is>
      </x:c>
      <x:c r="B1245" s="527" t="n"/>
      <x:c r="C1245" s="527" t="inlineStr">
        <x:is>
          <x:t xml:space="preserve">Oil and Gas Lease</x:t>
        </x:is>
      </x:c>
      <x:c r="D1245" s="527" t="inlineStr">
        <x:is>
          <x:t xml:space="preserve">1798/0148</x:t>
        </x:is>
      </x:c>
      <x:c r="E1245" s="529" t="inlineStr">
        <x:is>
          <x:t xml:space="preserve">07/18/2005</x:t>
        </x:is>
      </x:c>
      <x:c r="F1245" s="529" t="n">
        <x:v>38468</x:v>
      </x:c>
      <x:c r="G1245" s="527" t="inlineStr">
        <x:is>
          <x:t xml:space="preserve">Dwight J. Williams</x:t>
        </x:is>
      </x:c>
      <x:c r="H1245" s="527" t="inlineStr">
        <x:is>
          <x:t xml:space="preserve">Chesapeake Explor Ltd Ptnrshp</x:t>
        </x:is>
      </x:c>
      <x:c r="I1245" s="527" t="inlineStr">
        <x:is>
          <x:t xml:space="preserve">NW/4 SE/4, S/2 SE/4, SW/4 NE/4 of 31-12N-24W</x:t>
        </x:is>
      </x:c>
      <x:c r="J1245" s="527" t="inlineStr">
        <x:is>
          <x:t xml:space="preserve">Leasehold / WI</x:t>
        </x:is>
      </x:c>
      <x:c r="K1245" s="527" t="inlineStr">
        <x:is>
          <x:t xml:space="preserve">OKCountyRecords official index, Roger Mills County (instrument 2005-004817); searched 06/11/2026</x:t>
        </x:is>
      </x:c>
      <x:c r="L1245" s="565" t="n"/>
      <x:c r="M1245" s="565" t="n"/>
      <x:c r="N1245" s="565" t="n"/>
      <x:c r="O1245" s="565" t="n"/>
      <x:c r="P1245" s="565" t="n"/>
      <x:c r="Q1245" s="565" t="n"/>
      <x:c r="R1245" s="565" t="n"/>
      <x:c r="S1245" s="613" t="n"/>
      <x:c r="T1245" s="565" t="n"/>
      <x:c r="U1245" s="613" t="n"/>
      <x:c r="V1245" s="565" t="n"/>
      <x:c r="W1245" s="565" t="n"/>
      <x:c r="X1245" s="565" t="n"/>
      <x:c r="Y1245" s="565" t="n"/>
      <x:c r="Z1245" s="565" t="n"/>
    </x:row>
    <x:row r="1246">
      <x:c r="A1246" s="527" t="inlineStr">
        <x:is>
          <x:t xml:space="preserve">2005-004818</x:t>
        </x:is>
      </x:c>
      <x:c r="B1246" s="527" t="n"/>
      <x:c r="C1246" s="527" t="inlineStr">
        <x:is>
          <x:t xml:space="preserve">Oil and Gas Lease</x:t>
        </x:is>
      </x:c>
      <x:c r="D1246" s="527" t="inlineStr">
        <x:is>
          <x:t xml:space="preserve">1798/0150</x:t>
        </x:is>
      </x:c>
      <x:c r="E1246" s="529" t="inlineStr">
        <x:is>
          <x:t xml:space="preserve">07/18/2005</x:t>
        </x:is>
      </x:c>
      <x:c r="F1246" s="529" t="n">
        <x:v>38468</x:v>
      </x:c>
      <x:c r="G1246" s="527" t="inlineStr">
        <x:is>
          <x:t xml:space="preserve">Stephen M. Criser, Trustee,
McCaul Rive Lind Trust</x:t>
        </x:is>
      </x:c>
      <x:c r="H1246" s="527" t="inlineStr">
        <x:is>
          <x:t xml:space="preserve">Chesapeake Explor Ltd Ptnrshp</x:t>
        </x:is>
      </x:c>
      <x:c r="I1246" s="527" t="inlineStr">
        <x:is>
          <x:t xml:space="preserve">NW/4 SE/4, SW/4 NE/4 of 31-12N-24W (AOL)</x:t>
        </x:is>
      </x:c>
      <x:c r="J1246" s="527" t="inlineStr">
        <x:is>
          <x:t xml:space="preserve">Leasehold / WI</x:t>
        </x:is>
      </x:c>
      <x:c r="K1246" s="527" t="inlineStr">
        <x:is>
          <x:t xml:space="preserve">OKCountyRecords official index, Roger Mills County (instrument 2005-004818); searched 06/11/2026</x:t>
        </x:is>
      </x:c>
      <x:c r="L1246" s="565" t="n"/>
      <x:c r="M1246" s="565" t="n"/>
      <x:c r="N1246" s="565" t="n"/>
      <x:c r="O1246" s="565" t="n"/>
      <x:c r="P1246" s="565" t="n"/>
      <x:c r="Q1246" s="565" t="n"/>
      <x:c r="R1246" s="565" t="n"/>
      <x:c r="S1246" s="613" t="n"/>
      <x:c r="T1246" s="565" t="n"/>
      <x:c r="U1246" s="613" t="n"/>
      <x:c r="V1246" s="565" t="n"/>
      <x:c r="W1246" s="565" t="n"/>
      <x:c r="X1246" s="565" t="n"/>
      <x:c r="Y1246" s="565" t="n"/>
      <x:c r="Z1246" s="565" t="n"/>
    </x:row>
    <x:row r="1247">
      <x:c r="A1247" s="527" t="inlineStr">
        <x:is>
          <x:t xml:space="preserve">2005-004863</x:t>
        </x:is>
      </x:c>
      <x:c r="B1247" s="527" t="n"/>
      <x:c r="C1247" s="527" t="inlineStr">
        <x:is>
          <x:t xml:space="preserve">Oil and Gas Lease</x:t>
        </x:is>
      </x:c>
      <x:c r="D1247" s="527" t="inlineStr">
        <x:is>
          <x:t xml:space="preserve">1798/0292</x:t>
        </x:is>
      </x:c>
      <x:c r="E1247" s="529" t="inlineStr">
        <x:is>
          <x:t xml:space="preserve">07/19/2005</x:t>
        </x:is>
      </x:c>
      <x:c r="F1247" s="529" t="n">
        <x:v>38468</x:v>
      </x:c>
      <x:c r="G1247" s="527" t="inlineStr">
        <x:is>
          <x:t xml:space="preserve">Jan A. Schroff, Trustee</x:t>
        </x:is>
      </x:c>
      <x:c r="H1247" s="527" t="inlineStr">
        <x:is>
          <x:t xml:space="preserve">Chesapeake Explor Ltd Ptnrsh</x:t>
        </x:is>
      </x:c>
      <x:c r="I1247" s="527" t="inlineStr">
        <x:is>
          <x:t xml:space="preserve">NW/4 SE/4, S/2 SE/4, SW/4 NE/4 of 31-12N-24W</x:t>
        </x:is>
      </x:c>
      <x:c r="J1247" s="527" t="inlineStr">
        <x:is>
          <x:t xml:space="preserve">Leasehold / WI</x:t>
        </x:is>
      </x:c>
      <x:c r="K1247" s="527" t="inlineStr">
        <x:is>
          <x:t xml:space="preserve">OKCountyRecords official index, Roger Mills County (instrument 2005-004863); searched 06/11/2026</x:t>
        </x:is>
      </x:c>
      <x:c r="L1247" s="565" t="n"/>
      <x:c r="M1247" s="565" t="n"/>
      <x:c r="N1247" s="565" t="n"/>
      <x:c r="O1247" s="565" t="n"/>
      <x:c r="P1247" s="565" t="n"/>
      <x:c r="Q1247" s="565" t="n"/>
      <x:c r="R1247" s="565" t="n"/>
      <x:c r="S1247" s="613" t="n"/>
      <x:c r="T1247" s="565" t="n"/>
      <x:c r="U1247" s="613" t="n"/>
      <x:c r="V1247" s="565" t="n"/>
      <x:c r="W1247" s="565" t="n"/>
      <x:c r="X1247" s="565" t="n"/>
      <x:c r="Y1247" s="565" t="n"/>
      <x:c r="Z1247" s="565" t="n"/>
    </x:row>
    <x:row r="1248">
      <x:c r="A1248" s="527" t="inlineStr">
        <x:is>
          <x:t xml:space="preserve">2005-004938</x:t>
        </x:is>
      </x:c>
      <x:c r="B1248" s="527" t="n"/>
      <x:c r="C1248" s="527" t="inlineStr">
        <x:is>
          <x:t xml:space="preserve">Oil and Gas Lease</x:t>
        </x:is>
      </x:c>
      <x:c r="D1248" s="527" t="inlineStr">
        <x:is>
          <x:t xml:space="preserve">1798/0573</x:t>
        </x:is>
      </x:c>
      <x:c r="E1248" s="529" t="inlineStr">
        <x:is>
          <x:t xml:space="preserve">07/21/2005</x:t>
        </x:is>
      </x:c>
      <x:c r="F1248" s="529" t="n">
        <x:v>38482</x:v>
      </x:c>
      <x:c r="G1248" s="527" t="inlineStr">
        <x:is>
          <x:t xml:space="preserve">Leona I. De Grande</x:t>
        </x:is>
      </x:c>
      <x:c r="H1248" s="527" t="inlineStr">
        <x:is>
          <x:t xml:space="preserve">EOG Resources, Inc.</x:t>
        </x:is>
      </x:c>
      <x:c r="I1248" s="527" t="inlineStr">
        <x:is>
          <x:t xml:space="preserve">NW/4 SE/4, S/2 SE/4, SW/4 NE/4 of 31-12N-24W</x:t>
        </x:is>
      </x:c>
      <x:c r="J1248" s="527" t="inlineStr">
        <x:is>
          <x:t xml:space="preserve">Leasehold / WI</x:t>
        </x:is>
      </x:c>
      <x:c r="K1248" s="527" t="inlineStr">
        <x:is>
          <x:t xml:space="preserve">OKCountyRecords official index, Roger Mills County (instrument 2005-004938); searched 06/11/2026</x:t>
        </x:is>
      </x:c>
      <x:c r="L1248" s="565" t="n"/>
      <x:c r="M1248" s="565" t="n"/>
      <x:c r="N1248" s="565" t="n"/>
      <x:c r="O1248" s="565" t="n"/>
      <x:c r="P1248" s="565" t="n"/>
      <x:c r="Q1248" s="565" t="n"/>
      <x:c r="R1248" s="565" t="n"/>
      <x:c r="S1248" s="613" t="n"/>
      <x:c r="T1248" s="565" t="n"/>
      <x:c r="U1248" s="613" t="n"/>
      <x:c r="V1248" s="565" t="n"/>
      <x:c r="W1248" s="565" t="n"/>
      <x:c r="X1248" s="565" t="n"/>
      <x:c r="Y1248" s="565" t="n"/>
      <x:c r="Z1248" s="565" t="n"/>
    </x:row>
    <x:row r="1249">
      <x:c r="A1249" s="527" t="inlineStr">
        <x:is>
          <x:t xml:space="preserve">2005-004939</x:t>
        </x:is>
      </x:c>
      <x:c r="B1249" s="527" t="n"/>
      <x:c r="C1249" s="527" t="inlineStr">
        <x:is>
          <x:t xml:space="preserve">Oil and Gas Lease</x:t>
        </x:is>
      </x:c>
      <x:c r="D1249" s="527" t="inlineStr">
        <x:is>
          <x:t xml:space="preserve">1798/0576</x:t>
        </x:is>
      </x:c>
      <x:c r="E1249" s="529" t="inlineStr">
        <x:is>
          <x:t xml:space="preserve">07/21/2005</x:t>
        </x:is>
      </x:c>
      <x:c r="F1249" s="529" t="n">
        <x:v>38482</x:v>
      </x:c>
      <x:c r="G1249" s="527" t="inlineStr">
        <x:is>
          <x:t xml:space="preserve">Donald R. Bain</x:t>
        </x:is>
      </x:c>
      <x:c r="H1249" s="527" t="inlineStr">
        <x:is>
          <x:t xml:space="preserve">EOG Resources, Inc.</x:t>
        </x:is>
      </x:c>
      <x:c r="I1249" s="527" t="inlineStr">
        <x:is>
          <x:t xml:space="preserve">NW/4 SE/4, S/2 SE/4, SW/4 NE/4 of 31-12N-24W</x:t>
        </x:is>
      </x:c>
      <x:c r="J1249" s="527" t="inlineStr">
        <x:is>
          <x:t xml:space="preserve">Leasehold / WI</x:t>
        </x:is>
      </x:c>
      <x:c r="K1249" s="527" t="inlineStr">
        <x:is>
          <x:t xml:space="preserve">OKCountyRecords official index, Roger Mills County (instrument 2005-004939); searched 06/11/2026</x:t>
        </x:is>
      </x:c>
      <x:c r="L1249" s="565" t="n"/>
      <x:c r="M1249" s="565" t="n"/>
      <x:c r="N1249" s="565" t="n"/>
      <x:c r="O1249" s="565" t="n"/>
      <x:c r="P1249" s="565" t="n"/>
      <x:c r="Q1249" s="565" t="n"/>
      <x:c r="R1249" s="565" t="n"/>
      <x:c r="S1249" s="613" t="n"/>
      <x:c r="T1249" s="565" t="n"/>
      <x:c r="U1249" s="613" t="n"/>
      <x:c r="V1249" s="565" t="n"/>
      <x:c r="W1249" s="565" t="n"/>
      <x:c r="X1249" s="565" t="n"/>
      <x:c r="Y1249" s="565" t="n"/>
      <x:c r="Z1249" s="565" t="n"/>
    </x:row>
    <x:row r="1250">
      <x:c r="A1250" s="527" t="inlineStr">
        <x:is>
          <x:t xml:space="preserve">2005-004940</x:t>
        </x:is>
      </x:c>
      <x:c r="B1250" s="527" t="n"/>
      <x:c r="C1250" s="527" t="inlineStr">
        <x:is>
          <x:t xml:space="preserve">Oil and Gas Lease</x:t>
        </x:is>
      </x:c>
      <x:c r="D1250" s="527" t="inlineStr">
        <x:is>
          <x:t xml:space="preserve">1798/0579</x:t>
        </x:is>
      </x:c>
      <x:c r="E1250" s="529" t="inlineStr">
        <x:is>
          <x:t xml:space="preserve">07/21/2005</x:t>
        </x:is>
      </x:c>
      <x:c r="F1250" s="529" t="n">
        <x:v>38482</x:v>
      </x:c>
      <x:c r="G1250" s="527" t="inlineStr">
        <x:is>
          <x:t xml:space="preserve">Charlotte F. Willert</x:t>
        </x:is>
      </x:c>
      <x:c r="H1250" s="527" t="inlineStr">
        <x:is>
          <x:t xml:space="preserve">EOG Resources, Inc.</x:t>
        </x:is>
      </x:c>
      <x:c r="I1250" s="527" t="inlineStr">
        <x:is>
          <x:t xml:space="preserve">NW/4 SE/4, S/2 SE/4, SW/4 NE/4 of 31-12N-24W</x:t>
        </x:is>
      </x:c>
      <x:c r="J1250" s="527" t="inlineStr">
        <x:is>
          <x:t xml:space="preserve">Leasehold / WI</x:t>
        </x:is>
      </x:c>
      <x:c r="K1250" s="527" t="inlineStr">
        <x:is>
          <x:t xml:space="preserve">OKCountyRecords official index, Roger Mills County (instrument 2005-004940); searched 06/11/2026</x:t>
        </x:is>
      </x:c>
      <x:c r="L1250" s="565" t="n"/>
      <x:c r="M1250" s="565" t="n"/>
      <x:c r="N1250" s="565" t="n"/>
      <x:c r="O1250" s="565" t="n"/>
      <x:c r="P1250" s="565" t="n"/>
      <x:c r="Q1250" s="565" t="n"/>
      <x:c r="R1250" s="565" t="n"/>
      <x:c r="S1250" s="613" t="n"/>
      <x:c r="T1250" s="565" t="n"/>
      <x:c r="U1250" s="613" t="n"/>
      <x:c r="V1250" s="565" t="n"/>
      <x:c r="W1250" s="565" t="n"/>
      <x:c r="X1250" s="565" t="n"/>
      <x:c r="Y1250" s="565" t="n"/>
      <x:c r="Z1250" s="565" t="n"/>
    </x:row>
    <x:row r="1251">
      <x:c r="A1251" s="527" t="inlineStr">
        <x:is>
          <x:t xml:space="preserve">2005-004941</x:t>
        </x:is>
      </x:c>
      <x:c r="B1251" s="527" t="n"/>
      <x:c r="C1251" s="527" t="inlineStr">
        <x:is>
          <x:t xml:space="preserve">Oil and Gas Lease</x:t>
        </x:is>
      </x:c>
      <x:c r="D1251" s="527" t="inlineStr">
        <x:is>
          <x:t xml:space="preserve">1798/0582</x:t>
        </x:is>
      </x:c>
      <x:c r="E1251" s="529" t="inlineStr">
        <x:is>
          <x:t xml:space="preserve">07/21/2005</x:t>
        </x:is>
      </x:c>
      <x:c r="F1251" s="529" t="n">
        <x:v>38482</x:v>
      </x:c>
      <x:c r="G1251" s="527" t="inlineStr">
        <x:is>
          <x:t xml:space="preserve">Melvin F. Bain</x:t>
        </x:is>
      </x:c>
      <x:c r="H1251" s="527" t="inlineStr">
        <x:is>
          <x:t xml:space="preserve">EOG Resources, Inc.</x:t>
        </x:is>
      </x:c>
      <x:c r="I1251" s="527" t="inlineStr">
        <x:is>
          <x:t xml:space="preserve">NW/4 SE/4, S/2 SE/4, SW/4 NE/4 of 31-12N-24W</x:t>
        </x:is>
      </x:c>
      <x:c r="J1251" s="527" t="inlineStr">
        <x:is>
          <x:t xml:space="preserve">Leasehold / WI</x:t>
        </x:is>
      </x:c>
      <x:c r="K1251" s="527" t="inlineStr">
        <x:is>
          <x:t xml:space="preserve">OKCountyRecords official index, Roger Mills County (instrument 2005-004941); searched 06/11/2026</x:t>
        </x:is>
      </x:c>
      <x:c r="L1251" s="565" t="n"/>
      <x:c r="M1251" s="565" t="n"/>
      <x:c r="N1251" s="565" t="n"/>
      <x:c r="O1251" s="565" t="n"/>
      <x:c r="P1251" s="565" t="n"/>
      <x:c r="Q1251" s="565" t="n"/>
      <x:c r="R1251" s="565" t="n"/>
      <x:c r="S1251" s="613" t="n"/>
      <x:c r="T1251" s="565" t="n"/>
      <x:c r="U1251" s="613" t="n"/>
      <x:c r="V1251" s="565" t="n"/>
      <x:c r="W1251" s="565" t="n"/>
      <x:c r="X1251" s="565" t="n"/>
      <x:c r="Y1251" s="565" t="n"/>
      <x:c r="Z1251" s="565" t="n"/>
    </x:row>
    <x:row r="1252">
      <x:c r="A1252" s="527" t="inlineStr">
        <x:is>
          <x:t xml:space="preserve">2005-004951</x:t>
        </x:is>
      </x:c>
      <x:c r="B1252" s="527" t="n"/>
      <x:c r="C1252" s="527" t="inlineStr">
        <x:is>
          <x:t xml:space="preserve">Oil and Gas Lease</x:t>
        </x:is>
      </x:c>
      <x:c r="D1252" s="527" t="inlineStr">
        <x:is>
          <x:t xml:space="preserve">1799/0030</x:t>
        </x:is>
      </x:c>
      <x:c r="E1252" s="529" t="inlineStr">
        <x:is>
          <x:t xml:space="preserve">07/22/2005</x:t>
        </x:is>
      </x:c>
      <x:c r="F1252" s="529" t="n">
        <x:v>38482</x:v>
      </x:c>
      <x:c r="G1252" s="527" t="inlineStr">
        <x:is>
          <x:t xml:space="preserve">Marilyn L. Broyles</x:t>
        </x:is>
      </x:c>
      <x:c r="H1252" s="527" t="inlineStr">
        <x:is>
          <x:t xml:space="preserve">EOG Resources, Inc.</x:t>
        </x:is>
      </x:c>
      <x:c r="I1252" s="527" t="inlineStr">
        <x:is>
          <x:t xml:space="preserve">NW/4 SE/4, S/2 SE/4, SW/4 NE/4 of 31-12N-24W</x:t>
        </x:is>
      </x:c>
      <x:c r="J1252" s="527" t="inlineStr">
        <x:is>
          <x:t xml:space="preserve">Leasehold / WI</x:t>
        </x:is>
      </x:c>
      <x:c r="K1252" s="527" t="inlineStr">
        <x:is>
          <x:t xml:space="preserve">OKCountyRecords official index, Roger Mills County (instrument 2005-004951); searched 06/11/2026</x:t>
        </x:is>
      </x:c>
      <x:c r="L1252" s="565" t="n"/>
      <x:c r="M1252" s="565" t="n"/>
      <x:c r="N1252" s="565" t="n"/>
      <x:c r="O1252" s="565" t="n"/>
      <x:c r="P1252" s="565" t="n"/>
      <x:c r="Q1252" s="565" t="n"/>
      <x:c r="R1252" s="565" t="n"/>
      <x:c r="S1252" s="613" t="n"/>
      <x:c r="T1252" s="565" t="n"/>
      <x:c r="U1252" s="613" t="n"/>
      <x:c r="V1252" s="565" t="n"/>
      <x:c r="W1252" s="565" t="n"/>
      <x:c r="X1252" s="565" t="n"/>
      <x:c r="Y1252" s="565" t="n"/>
      <x:c r="Z1252" s="565" t="n"/>
    </x:row>
    <x:row r="1253">
      <x:c r="A1253" s="527" t="inlineStr">
        <x:is>
          <x:t xml:space="preserve">2005-005251</x:t>
        </x:is>
      </x:c>
      <x:c r="B1253" s="527" t="n"/>
      <x:c r="C1253" s="527" t="inlineStr">
        <x:is>
          <x:t xml:space="preserve">Mineral Deed</x:t>
        </x:is>
      </x:c>
      <x:c r="D1253" s="527" t="inlineStr">
        <x:is>
          <x:t xml:space="preserve">1800/0453</x:t>
        </x:is>
      </x:c>
      <x:c r="E1253" s="529" t="inlineStr">
        <x:is>
          <x:t xml:space="preserve">08/09/2005</x:t>
        </x:is>
      </x:c>
      <x:c r="F1253" s="529" t="n">
        <x:v>38473</x:v>
      </x:c>
      <x:c r="G1253" s="527" t="inlineStr">
        <x:is>
          <x:t xml:space="preserve">Arrowhead Resources, Inc.</x:t>
        </x:is>
      </x:c>
      <x:c r="H1253" s="527" t="inlineStr">
        <x:is>
          <x:t xml:space="preserve">Map 2004 - OK</x:t>
        </x:is>
      </x:c>
      <x:c r="I1253" s="527" t="inlineStr">
        <x:is>
          <x:t xml:space="preserve">SE/4 SW/4 of 31-12N-24W</x:t>
        </x:is>
      </x:c>
      <x:c r="J1253" s="527" t="inlineStr">
        <x:is>
          <x:t xml:space="preserve">Mineral</x:t>
        </x:is>
      </x:c>
      <x:c r="K1253" s="527" t="inlineStr">
        <x:is>
          <x:t xml:space="preserve">OKCountyRecords official index, Roger Mills County (instrument 2005-005251); searched 06/11/2026</x:t>
        </x:is>
      </x:c>
      <x:c r="L1253" s="565" t="n"/>
      <x:c r="M1253" s="565" t="n"/>
      <x:c r="N1253" s="565" t="n"/>
      <x:c r="O1253" s="565" t="n"/>
      <x:c r="P1253" s="565" t="n"/>
      <x:c r="Q1253" s="565" t="n"/>
      <x:c r="R1253" s="565" t="n"/>
      <x:c r="S1253" s="613" t="n"/>
      <x:c r="T1253" s="565" t="n"/>
      <x:c r="U1253" s="613" t="n"/>
      <x:c r="V1253" s="565" t="n"/>
      <x:c r="W1253" s="565" t="n"/>
      <x:c r="X1253" s="565" t="n"/>
      <x:c r="Y1253" s="565" t="n"/>
      <x:c r="Z1253" s="565" t="n"/>
    </x:row>
    <x:row r="1254">
      <x:c r="A1254" s="527" t="inlineStr">
        <x:is>
          <x:t xml:space="preserve">2005-005406</x:t>
        </x:is>
      </x:c>
      <x:c r="B1254" s="527" t="n"/>
      <x:c r="C1254" s="527" t="inlineStr">
        <x:is>
          <x:t xml:space="preserve">Partial Assignment</x:t>
        </x:is>
      </x:c>
      <x:c r="D1254" s="527" t="inlineStr">
        <x:is>
          <x:t xml:space="preserve">1802/0107</x:t>
        </x:is>
      </x:c>
      <x:c r="E1254" s="529" t="inlineStr">
        <x:is>
          <x:t xml:space="preserve">08/15/2005</x:t>
        </x:is>
      </x:c>
      <x:c r="F1254" s="529" t="n">
        <x:v>38523</x:v>
      </x:c>
      <x:c r="G1254" s="527" t="inlineStr">
        <x:is>
          <x:t xml:space="preserve">N/g Discovery, LLC</x:t>
        </x:is>
      </x:c>
      <x:c r="H1254" s="527" t="inlineStr">
        <x:is>
          <x:t xml:space="preserve">Norwich Petroleum Corporation</x:t>
        </x:is>
      </x:c>
      <x:c r="I1254" s="527" t="inlineStr">
        <x:is>
          <x:t xml:space="preserve">E/2 NW/4, N/2 NE/4 SW/4, NE/4 SE/4, NW/4 SE/4, S/2 SE/4, SE/4 NE/4, SW/4 NE/4 of 31-12N-24W (AOL)</x:t>
        </x:is>
      </x:c>
      <x:c r="J1254" s="527" t="inlineStr">
        <x:is>
          <x:t xml:space="preserve">Leasehold / WI</x:t>
        </x:is>
      </x:c>
      <x:c r="K1254" s="527" t="inlineStr">
        <x:is>
          <x:t xml:space="preserve">OKCountyRecords official index, Roger Mills County (instrument 2005-005406); searched 06/11/2026</x:t>
        </x:is>
      </x:c>
      <x:c r="L1254" s="565" t="n"/>
      <x:c r="M1254" s="565" t="n"/>
      <x:c r="N1254" s="565" t="n"/>
      <x:c r="O1254" s="565" t="n"/>
      <x:c r="P1254" s="565" t="n"/>
      <x:c r="Q1254" s="565" t="n"/>
      <x:c r="R1254" s="565" t="n"/>
      <x:c r="S1254" s="613" t="n"/>
      <x:c r="T1254" s="565" t="n"/>
      <x:c r="U1254" s="613" t="n"/>
      <x:c r="V1254" s="565" t="n"/>
      <x:c r="W1254" s="565" t="n"/>
      <x:c r="X1254" s="565" t="n"/>
      <x:c r="Y1254" s="565" t="n"/>
      <x:c r="Z1254" s="565" t="n"/>
    </x:row>
    <x:row r="1255">
      <x:c r="A1255" s="527" t="inlineStr">
        <x:is>
          <x:t xml:space="preserve">2005-006992</x:t>
        </x:is>
      </x:c>
      <x:c r="B1255" s="527" t="n"/>
      <x:c r="C1255" s="527" t="inlineStr">
        <x:is>
          <x:t xml:space="preserve">Assignment</x:t>
        </x:is>
      </x:c>
      <x:c r="D1255" s="527" t="inlineStr">
        <x:is>
          <x:t xml:space="preserve">1809/0264</x:t>
        </x:is>
      </x:c>
      <x:c r="E1255" s="529" t="inlineStr">
        <x:is>
          <x:t xml:space="preserve">10/07/2005</x:t>
        </x:is>
      </x:c>
      <x:c r="F1255" s="529" t="n">
        <x:v>38629</x:v>
      </x:c>
      <x:c r="G1255" s="527" t="inlineStr">
        <x:is>
          <x:t xml:space="preserve">Hamilton, Dorothy G. Estate of,
Harold D. Co-executor Rogers,
Heather H. Co-executor Tedford</x:t>
        </x:is>
      </x:c>
      <x:c r="H1255" s="527" t="inlineStr">
        <x:is>
          <x:t xml:space="preserve">Heather Hamilton Tedford</x:t>
        </x:is>
      </x:c>
      <x:c r="I1255" s="527" t="inlineStr">
        <x:is>
          <x:t xml:space="preserve">E/2 NW/4, N/2 NE/4 SW/4, NE/4 SE/4, SE/4 NE/4 of 31-12N-24W (AOL)</x:t>
        </x:is>
      </x:c>
      <x:c r="J1255" s="527" t="inlineStr">
        <x:is>
          <x:t xml:space="preserve">Leasehold / WI</x:t>
        </x:is>
      </x:c>
      <x:c r="K1255" s="527" t="inlineStr">
        <x:is>
          <x:t xml:space="preserve">OKCountyRecords official index, Roger Mills County (instrument 2005-006992); searched 06/11/2026</x:t>
        </x:is>
      </x:c>
      <x:c r="L1255" s="565" t="n"/>
      <x:c r="M1255" s="565" t="n"/>
      <x:c r="N1255" s="565" t="n"/>
      <x:c r="O1255" s="565" t="n"/>
      <x:c r="P1255" s="565" t="n"/>
      <x:c r="Q1255" s="565" t="n"/>
      <x:c r="R1255" s="565" t="n"/>
      <x:c r="S1255" s="613" t="n"/>
      <x:c r="T1255" s="565" t="n"/>
      <x:c r="U1255" s="613" t="n"/>
      <x:c r="V1255" s="565" t="n"/>
      <x:c r="W1255" s="565" t="n"/>
      <x:c r="X1255" s="565" t="n"/>
      <x:c r="Y1255" s="565" t="n"/>
      <x:c r="Z1255" s="565" t="n"/>
    </x:row>
    <x:row r="1256">
      <x:c r="A1256" s="527" t="inlineStr">
        <x:is>
          <x:t xml:space="preserve">2005-007116</x:t>
        </x:is>
      </x:c>
      <x:c r="B1256" s="527" t="n"/>
      <x:c r="C1256" s="527" t="inlineStr">
        <x:is>
          <x:t xml:space="preserve">Mineral Deed</x:t>
        </x:is>
      </x:c>
      <x:c r="D1256" s="527" t="inlineStr">
        <x:is>
          <x:t xml:space="preserve">1810/0015</x:t>
        </x:is>
      </x:c>
      <x:c r="E1256" s="529" t="inlineStr">
        <x:is>
          <x:t xml:space="preserve">10/17/2005</x:t>
        </x:is>
      </x:c>
      <x:c r="F1256" s="529" t="n">
        <x:v>38625</x:v>
      </x:c>
      <x:c r="G1256" s="527" t="inlineStr">
        <x:is>
          <x:t xml:space="preserve">Peggy J. Brawner</x:t>
        </x:is>
      </x:c>
      <x:c r="H1256" s="527" t="inlineStr">
        <x:is>
          <x:t xml:space="preserve">Mare Oil Company</x:t>
        </x:is>
      </x:c>
      <x:c r="I1256" s="527" t="inlineStr">
        <x:is>
          <x:t xml:space="preserve">NW/4 SE/4, S/2 SE/4, SW/4 NE/4 of 31-12N-24W</x:t>
        </x:is>
      </x:c>
      <x:c r="J1256" s="527" t="inlineStr">
        <x:is>
          <x:t xml:space="preserve">Mineral</x:t>
        </x:is>
      </x:c>
      <x:c r="K1256" s="527" t="inlineStr">
        <x:is>
          <x:t xml:space="preserve">OKCountyRecords official index, Roger Mills County (instrument 2005-007116); searched 06/11/2026</x:t>
        </x:is>
      </x:c>
      <x:c r="L1256" s="565" t="n"/>
      <x:c r="M1256" s="565" t="n"/>
      <x:c r="N1256" s="565" t="n"/>
      <x:c r="O1256" s="565" t="n"/>
      <x:c r="P1256" s="565" t="n"/>
      <x:c r="Q1256" s="565" t="n"/>
      <x:c r="R1256" s="565" t="n"/>
      <x:c r="S1256" s="613" t="n"/>
      <x:c r="T1256" s="565" t="n"/>
      <x:c r="U1256" s="613" t="n"/>
      <x:c r="V1256" s="565" t="n"/>
      <x:c r="W1256" s="565" t="n"/>
      <x:c r="X1256" s="565" t="n"/>
      <x:c r="Y1256" s="565" t="n"/>
      <x:c r="Z1256" s="565" t="n"/>
    </x:row>
    <x:row r="1257">
      <x:c r="A1257" s="527" t="inlineStr">
        <x:is>
          <x:t xml:space="preserve">2005-007117</x:t>
        </x:is>
      </x:c>
      <x:c r="B1257" s="527" t="n"/>
      <x:c r="C1257" s="527" t="inlineStr">
        <x:is>
          <x:t xml:space="preserve">Mineral Deed</x:t>
        </x:is>
      </x:c>
      <x:c r="D1257" s="527" t="inlineStr">
        <x:is>
          <x:t xml:space="preserve">1810/0016</x:t>
        </x:is>
      </x:c>
      <x:c r="E1257" s="529" t="inlineStr">
        <x:is>
          <x:t xml:space="preserve">10/17/2005</x:t>
        </x:is>
      </x:c>
      <x:c r="F1257" s="529" t="n">
        <x:v>38624</x:v>
      </x:c>
      <x:c r="G1257" s="527" t="inlineStr">
        <x:is>
          <x:t xml:space="preserve">Charlotte F. Willert</x:t>
        </x:is>
      </x:c>
      <x:c r="H1257" s="527" t="inlineStr">
        <x:is>
          <x:t xml:space="preserve">Mare Oil Company</x:t>
        </x:is>
      </x:c>
      <x:c r="I1257" s="527" t="inlineStr">
        <x:is>
          <x:t xml:space="preserve">NW/4 SE/4, S/2 SE/4, SW/4 NE/4 of 31-12N-24W</x:t>
        </x:is>
      </x:c>
      <x:c r="J1257" s="527" t="inlineStr">
        <x:is>
          <x:t xml:space="preserve">Mineral</x:t>
        </x:is>
      </x:c>
      <x:c r="K1257" s="527" t="inlineStr">
        <x:is>
          <x:t xml:space="preserve">OKCountyRecords official index, Roger Mills County (instrument 2005-007117); searched 06/11/2026</x:t>
        </x:is>
      </x:c>
      <x:c r="L1257" s="565" t="n"/>
      <x:c r="M1257" s="565" t="n"/>
      <x:c r="N1257" s="565" t="n"/>
      <x:c r="O1257" s="565" t="n"/>
      <x:c r="P1257" s="565" t="n"/>
      <x:c r="Q1257" s="565" t="n"/>
      <x:c r="R1257" s="565" t="n"/>
      <x:c r="S1257" s="613" t="n"/>
      <x:c r="T1257" s="565" t="n"/>
      <x:c r="U1257" s="613" t="n"/>
      <x:c r="V1257" s="565" t="n"/>
      <x:c r="W1257" s="565" t="n"/>
      <x:c r="X1257" s="565" t="n"/>
      <x:c r="Y1257" s="565" t="n"/>
      <x:c r="Z1257" s="565" t="n"/>
    </x:row>
    <x:row r="1258">
      <x:c r="A1258" s="527" t="inlineStr">
        <x:is>
          <x:t xml:space="preserve">2005-007119</x:t>
        </x:is>
      </x:c>
      <x:c r="B1258" s="527" t="n"/>
      <x:c r="C1258" s="527" t="inlineStr">
        <x:is>
          <x:t xml:space="preserve">Mineral Deed</x:t>
        </x:is>
      </x:c>
      <x:c r="D1258" s="527" t="inlineStr">
        <x:is>
          <x:t xml:space="preserve">1810/0018</x:t>
        </x:is>
      </x:c>
      <x:c r="E1258" s="529" t="inlineStr">
        <x:is>
          <x:t xml:space="preserve">10/17/2005</x:t>
        </x:is>
      </x:c>
      <x:c r="F1258" s="529" t="n">
        <x:v>38626</x:v>
      </x:c>
      <x:c r="G1258" s="527" t="inlineStr">
        <x:is>
          <x:t xml:space="preserve">Leona I. Degrande</x:t>
        </x:is>
      </x:c>
      <x:c r="H1258" s="527" t="inlineStr">
        <x:is>
          <x:t xml:space="preserve">Mare Oil Company</x:t>
        </x:is>
      </x:c>
      <x:c r="I1258" s="527" t="inlineStr">
        <x:is>
          <x:t xml:space="preserve">NW/4 SE/4, S/2 SE/4, SW/4 NE/4 of 31-12N-24W</x:t>
        </x:is>
      </x:c>
      <x:c r="J1258" s="527" t="inlineStr">
        <x:is>
          <x:t xml:space="preserve">Mineral</x:t>
        </x:is>
      </x:c>
      <x:c r="K1258" s="527" t="inlineStr">
        <x:is>
          <x:t xml:space="preserve">OKCountyRecords official index, Roger Mills County (instrument 2005-007119); searched 06/11/2026</x:t>
        </x:is>
      </x:c>
      <x:c r="L1258" s="565" t="n"/>
      <x:c r="M1258" s="565" t="n"/>
      <x:c r="N1258" s="565" t="n"/>
      <x:c r="O1258" s="565" t="n"/>
      <x:c r="P1258" s="565" t="n"/>
      <x:c r="Q1258" s="565" t="n"/>
      <x:c r="R1258" s="565" t="n"/>
      <x:c r="S1258" s="613" t="n"/>
      <x:c r="T1258" s="565" t="n"/>
      <x:c r="U1258" s="613" t="n"/>
      <x:c r="V1258" s="565" t="n"/>
      <x:c r="W1258" s="565" t="n"/>
      <x:c r="X1258" s="565" t="n"/>
      <x:c r="Y1258" s="565" t="n"/>
      <x:c r="Z1258" s="565" t="n"/>
    </x:row>
    <x:row r="1259">
      <x:c r="A1259" s="527" t="inlineStr">
        <x:is>
          <x:t xml:space="preserve">2005-007120</x:t>
        </x:is>
      </x:c>
      <x:c r="B1259" s="527" t="n"/>
      <x:c r="C1259" s="527" t="inlineStr">
        <x:is>
          <x:t xml:space="preserve">Mineral Deed</x:t>
        </x:is>
      </x:c>
      <x:c r="D1259" s="527" t="inlineStr">
        <x:is>
          <x:t xml:space="preserve">1810/0019</x:t>
        </x:is>
      </x:c>
      <x:c r="E1259" s="529" t="inlineStr">
        <x:is>
          <x:t xml:space="preserve">10/17/2005</x:t>
        </x:is>
      </x:c>
      <x:c r="F1259" s="529" t="n">
        <x:v>38626</x:v>
      </x:c>
      <x:c r="G1259" s="527" t="inlineStr">
        <x:is>
          <x:t xml:space="preserve">Leona I. Degrande</x:t>
        </x:is>
      </x:c>
      <x:c r="H1259" s="527" t="inlineStr">
        <x:is>
          <x:t xml:space="preserve">Mare Oil Company</x:t>
        </x:is>
      </x:c>
      <x:c r="I1259" s="527" t="inlineStr">
        <x:is>
          <x:t xml:space="preserve">NW/4 SE/4, S/2 SE/4, SW/4 NE/4 of 31-12N-24W</x:t>
        </x:is>
      </x:c>
      <x:c r="J1259" s="527" t="inlineStr">
        <x:is>
          <x:t xml:space="preserve">Mineral</x:t>
        </x:is>
      </x:c>
      <x:c r="K1259" s="527" t="inlineStr">
        <x:is>
          <x:t xml:space="preserve">OKCountyRecords official index, Roger Mills County (instrument 2005-007120); searched 06/11/2026</x:t>
        </x:is>
      </x:c>
      <x:c r="L1259" s="565" t="n"/>
      <x:c r="M1259" s="565" t="n"/>
      <x:c r="N1259" s="565" t="n"/>
      <x:c r="O1259" s="565" t="n"/>
      <x:c r="P1259" s="565" t="n"/>
      <x:c r="Q1259" s="565" t="n"/>
      <x:c r="R1259" s="565" t="n"/>
      <x:c r="S1259" s="613" t="n"/>
      <x:c r="T1259" s="565" t="n"/>
      <x:c r="U1259" s="613" t="n"/>
      <x:c r="V1259" s="565" t="n"/>
      <x:c r="W1259" s="565" t="n"/>
      <x:c r="X1259" s="565" t="n"/>
      <x:c r="Y1259" s="565" t="n"/>
      <x:c r="Z1259" s="565" t="n"/>
    </x:row>
    <x:row r="1260">
      <x:c r="A1260" s="527" t="inlineStr">
        <x:is>
          <x:t xml:space="preserve">2005-007202</x:t>
        </x:is>
      </x:c>
      <x:c r="B1260" s="527" t="n"/>
      <x:c r="C1260" s="527" t="inlineStr">
        <x:is>
          <x:t xml:space="preserve">Oil and Gas Lease</x:t>
        </x:is>
      </x:c>
      <x:c r="D1260" s="527" t="inlineStr">
        <x:is>
          <x:t xml:space="preserve">1810/0310</x:t>
        </x:is>
      </x:c>
      <x:c r="E1260" s="529" t="inlineStr">
        <x:is>
          <x:t xml:space="preserve">10/19/2005</x:t>
        </x:is>
      </x:c>
      <x:c r="F1260" s="529" t="n">
        <x:v>38632</x:v>
      </x:c>
      <x:c r="G1260" s="527" t="inlineStr">
        <x:is>
          <x:t xml:space="preserve">Hayhurst Peggy J. Revoc Trust,
Hayhurst Peggy J. Trustee</x:t>
        </x:is>
      </x:c>
      <x:c r="H1260" s="527" t="inlineStr">
        <x:is>
          <x:t xml:space="preserve">Fleshman Agency, Inc.</x:t>
        </x:is>
      </x:c>
      <x:c r="I1260" s="527" t="inlineStr">
        <x:is>
          <x:t xml:space="preserve">E/2 NW/4, N/2 NE/4 SW/4, NE/4 SE/4, SE/4 NE/4 of 31-12N-24W</x:t>
        </x:is>
      </x:c>
      <x:c r="J1260" s="527" t="inlineStr">
        <x:is>
          <x:t xml:space="preserve">Leasehold / WI</x:t>
        </x:is>
      </x:c>
      <x:c r="K1260" s="527" t="inlineStr">
        <x:is>
          <x:t xml:space="preserve">OKCountyRecords official index, Roger Mills County (instrument 2005-007202); searched 06/11/2026</x:t>
        </x:is>
      </x:c>
      <x:c r="L1260" s="565" t="n"/>
      <x:c r="M1260" s="565" t="n"/>
      <x:c r="N1260" s="565" t="n"/>
      <x:c r="O1260" s="565" t="n"/>
      <x:c r="P1260" s="565" t="n"/>
      <x:c r="Q1260" s="565" t="n"/>
      <x:c r="R1260" s="565" t="n"/>
      <x:c r="S1260" s="613" t="n"/>
      <x:c r="T1260" s="565" t="n"/>
      <x:c r="U1260" s="613" t="n"/>
      <x:c r="V1260" s="565" t="n"/>
      <x:c r="W1260" s="565" t="n"/>
      <x:c r="X1260" s="565" t="n"/>
      <x:c r="Y1260" s="565" t="n"/>
      <x:c r="Z1260" s="565" t="n"/>
    </x:row>
    <x:row r="1261">
      <x:c r="A1261" s="527" t="inlineStr">
        <x:is>
          <x:t xml:space="preserve">2005-007540</x:t>
        </x:is>
      </x:c>
      <x:c r="B1261" s="527" t="n"/>
      <x:c r="C1261" s="527" t="inlineStr">
        <x:is>
          <x:t xml:space="preserve">Mineral Deed</x:t>
        </x:is>
      </x:c>
      <x:c r="D1261" s="527" t="inlineStr">
        <x:is>
          <x:t xml:space="preserve">1812/0120</x:t>
        </x:is>
      </x:c>
      <x:c r="E1261" s="529" t="inlineStr">
        <x:is>
          <x:t xml:space="preserve">11/02/2005</x:t>
        </x:is>
      </x:c>
      <x:c r="F1261" s="529" t="n">
        <x:v>38608</x:v>
      </x:c>
      <x:c r="G1261" s="527" t="inlineStr">
        <x:is>
          <x:t xml:space="preserve">Melvin F. Bain</x:t>
        </x:is>
      </x:c>
      <x:c r="H1261" s="527" t="inlineStr">
        <x:is>
          <x:t xml:space="preserve">Omega Royalty Co, LLC</x:t>
        </x:is>
      </x:c>
      <x:c r="I1261" s="527" t="inlineStr">
        <x:is>
          <x:t xml:space="preserve">NW/4 SE/4, S/2 SE/4, SW/4 NE/4 of 31-12N-24W (AOL)</x:t>
        </x:is>
      </x:c>
      <x:c r="J1261" s="527" t="inlineStr">
        <x:is>
          <x:t xml:space="preserve">Mineral</x:t>
        </x:is>
      </x:c>
      <x:c r="K1261" s="527" t="inlineStr">
        <x:is>
          <x:t xml:space="preserve">OKCountyRecords official index, Roger Mills County (instrument 2005-007540); searched 06/11/2026</x:t>
        </x:is>
      </x:c>
      <x:c r="L1261" s="565" t="n"/>
      <x:c r="M1261" s="565" t="n"/>
      <x:c r="N1261" s="565" t="n"/>
      <x:c r="O1261" s="565" t="n"/>
      <x:c r="P1261" s="565" t="n"/>
      <x:c r="Q1261" s="565" t="n"/>
      <x:c r="R1261" s="565" t="n"/>
      <x:c r="S1261" s="613" t="n"/>
      <x:c r="T1261" s="565" t="n"/>
      <x:c r="U1261" s="613" t="n"/>
      <x:c r="V1261" s="565" t="n"/>
      <x:c r="W1261" s="565" t="n"/>
      <x:c r="X1261" s="565" t="n"/>
      <x:c r="Y1261" s="565" t="n"/>
      <x:c r="Z1261" s="565" t="n"/>
    </x:row>
    <x:row r="1262">
      <x:c r="A1262" s="527" t="inlineStr">
        <x:is>
          <x:t xml:space="preserve">2005-007541</x:t>
        </x:is>
      </x:c>
      <x:c r="B1262" s="527" t="n"/>
      <x:c r="C1262" s="527" t="inlineStr">
        <x:is>
          <x:t xml:space="preserve">Mineral Deed</x:t>
        </x:is>
      </x:c>
      <x:c r="D1262" s="527" t="inlineStr">
        <x:is>
          <x:t xml:space="preserve">1812/0121</x:t>
        </x:is>
      </x:c>
      <x:c r="E1262" s="529" t="inlineStr">
        <x:is>
          <x:t xml:space="preserve">11/02/2005</x:t>
        </x:is>
      </x:c>
      <x:c r="F1262" s="529" t="n">
        <x:v>38655</x:v>
      </x:c>
      <x:c r="G1262" s="527" t="inlineStr">
        <x:is>
          <x:t xml:space="preserve">Omega Royalty Co, LLC</x:t>
        </x:is>
      </x:c>
      <x:c r="H1262" s="527" t="inlineStr">
        <x:is>
          <x:t xml:space="preserve">Geotech Production, Inc.,
Jack B. Searle,
Tamara D. Searle</x:t>
        </x:is>
      </x:c>
      <x:c r="I1262" s="527" t="inlineStr">
        <x:is>
          <x:t xml:space="preserve">NW/4 SE/4, S/2 SE/4, SW/4 NE/4 of 31-12N-24W (AOL)</x:t>
        </x:is>
      </x:c>
      <x:c r="J1262" s="527" t="inlineStr">
        <x:is>
          <x:t xml:space="preserve">Mineral</x:t>
        </x:is>
      </x:c>
      <x:c r="K1262" s="527" t="inlineStr">
        <x:is>
          <x:t xml:space="preserve">OKCountyRecords official index, Roger Mills County (instrument 2005-007541); searched 06/11/2026</x:t>
        </x:is>
      </x:c>
      <x:c r="L1262" s="565" t="n"/>
      <x:c r="M1262" s="565" t="n"/>
      <x:c r="N1262" s="565" t="n"/>
      <x:c r="O1262" s="565" t="n"/>
      <x:c r="P1262" s="565" t="n"/>
      <x:c r="Q1262" s="565" t="n"/>
      <x:c r="R1262" s="565" t="n"/>
      <x:c r="S1262" s="613" t="n"/>
      <x:c r="T1262" s="565" t="n"/>
      <x:c r="U1262" s="613" t="n"/>
      <x:c r="V1262" s="565" t="n"/>
      <x:c r="W1262" s="565" t="n"/>
      <x:c r="X1262" s="565" t="n"/>
      <x:c r="Y1262" s="565" t="n"/>
      <x:c r="Z1262" s="565" t="n"/>
    </x:row>
    <x:row r="1263">
      <x:c r="A1263" s="527" t="inlineStr">
        <x:is>
          <x:t xml:space="preserve">2005-007551</x:t>
        </x:is>
      </x:c>
      <x:c r="B1263" s="527" t="n"/>
      <x:c r="C1263" s="527" t="inlineStr">
        <x:is>
          <x:t xml:space="preserve">Mineral Deed</x:t>
        </x:is>
      </x:c>
      <x:c r="D1263" s="527" t="inlineStr">
        <x:is>
          <x:t xml:space="preserve">1812/0138</x:t>
        </x:is>
      </x:c>
      <x:c r="E1263" s="529" t="inlineStr">
        <x:is>
          <x:t xml:space="preserve">11/02/2005</x:t>
        </x:is>
      </x:c>
      <x:c r="F1263" s="529" t="n">
        <x:v>38650</x:v>
      </x:c>
      <x:c r="G1263" s="527" t="inlineStr">
        <x:is>
          <x:t xml:space="preserve">Tripco, Inc.</x:t>
        </x:is>
      </x:c>
      <x:c r="H1263" s="527" t="inlineStr">
        <x:is>
          <x:t xml:space="preserve">Prism Energy, Inc.</x:t>
        </x:is>
      </x:c>
      <x:c r="I1263" s="527" t="inlineStr">
        <x:is>
          <x:t xml:space="preserve">E/2 NW/4, N/2 NE/4 SW/4, NE/4 SE/4, SE/4 NE/4 of 31-12N-24W (AOL)</x:t>
        </x:is>
      </x:c>
      <x:c r="J1263" s="527" t="inlineStr">
        <x:is>
          <x:t xml:space="preserve">Mineral</x:t>
        </x:is>
      </x:c>
      <x:c r="K1263" s="527" t="inlineStr">
        <x:is>
          <x:t xml:space="preserve">OKCountyRecords official index, Roger Mills County (instrument 2005-007551); searched 06/11/2026</x:t>
        </x:is>
      </x:c>
      <x:c r="L1263" s="565" t="n"/>
      <x:c r="M1263" s="565" t="n"/>
      <x:c r="N1263" s="565" t="n"/>
      <x:c r="O1263" s="565" t="n"/>
      <x:c r="P1263" s="565" t="n"/>
      <x:c r="Q1263" s="565" t="n"/>
      <x:c r="R1263" s="565" t="n"/>
      <x:c r="S1263" s="613" t="n"/>
      <x:c r="T1263" s="565" t="n"/>
      <x:c r="U1263" s="613" t="n"/>
      <x:c r="V1263" s="565" t="n"/>
      <x:c r="W1263" s="565" t="n"/>
      <x:c r="X1263" s="565" t="n"/>
      <x:c r="Y1263" s="565" t="n"/>
      <x:c r="Z1263" s="565" t="n"/>
    </x:row>
    <x:row r="1264">
      <x:c r="A1264" s="527" t="inlineStr">
        <x:is>
          <x:t xml:space="preserve">2005-008247</x:t>
        </x:is>
      </x:c>
      <x:c r="B1264" s="527" t="n"/>
      <x:c r="C1264" s="527" t="inlineStr">
        <x:is>
          <x:t xml:space="preserve">Assignment</x:t>
        </x:is>
      </x:c>
      <x:c r="D1264" s="527" t="inlineStr">
        <x:is>
          <x:t xml:space="preserve">1815/0247</x:t>
        </x:is>
      </x:c>
      <x:c r="E1264" s="529" t="inlineStr">
        <x:is>
          <x:t xml:space="preserve">12/06/2005</x:t>
        </x:is>
      </x:c>
      <x:c r="F1264" s="529" t="n">
        <x:v>38657</x:v>
      </x:c>
      <x:c r="G1264" s="527" t="inlineStr">
        <x:is>
          <x:t xml:space="preserve">Bruce H. C. Hill,
Ellen S. Hill</x:t>
        </x:is>
      </x:c>
      <x:c r="H1264" s="527" t="inlineStr">
        <x:is>
          <x:t xml:space="preserve">Fredericksburg Royalty, Ltd.</x:t>
        </x:is>
      </x:c>
      <x:c r="I1264" s="527" t="inlineStr">
        <x:is>
          <x:t xml:space="preserve">E/2 NW/4, N/2 NE/4 SW/4, NE/4 SE/4, SE/4 NE/4 of 31-12N-24W (AOL)</x:t>
        </x:is>
      </x:c>
      <x:c r="J1264" s="527" t="inlineStr">
        <x:is>
          <x:t xml:space="preserve">Leasehold / WI</x:t>
        </x:is>
      </x:c>
      <x:c r="K1264" s="527" t="inlineStr">
        <x:is>
          <x:t xml:space="preserve">OKCountyRecords official index, Roger Mills County (instrument 2005-008247); searched 06/11/2026</x:t>
        </x:is>
      </x:c>
      <x:c r="L1264" s="565" t="n"/>
      <x:c r="M1264" s="565" t="n"/>
      <x:c r="N1264" s="565" t="n"/>
      <x:c r="O1264" s="565" t="n"/>
      <x:c r="P1264" s="565" t="n"/>
      <x:c r="Q1264" s="565" t="n"/>
      <x:c r="R1264" s="565" t="n"/>
      <x:c r="S1264" s="613" t="n"/>
      <x:c r="T1264" s="565" t="n"/>
      <x:c r="U1264" s="613" t="n"/>
      <x:c r="V1264" s="565" t="n"/>
      <x:c r="W1264" s="565" t="n"/>
      <x:c r="X1264" s="565" t="n"/>
      <x:c r="Y1264" s="565" t="n"/>
      <x:c r="Z1264" s="565" t="n"/>
    </x:row>
    <x:row r="1265">
      <x:c r="A1265" s="527" t="inlineStr">
        <x:is>
          <x:t xml:space="preserve">2005-008386</x:t>
        </x:is>
      </x:c>
      <x:c r="B1265" s="527" t="n"/>
      <x:c r="C1265" s="527" t="inlineStr">
        <x:is>
          <x:t xml:space="preserve">Final Decree</x:t>
        </x:is>
      </x:c>
      <x:c r="D1265" s="527" t="inlineStr">
        <x:is>
          <x:t xml:space="preserve">1816/0041</x:t>
        </x:is>
      </x:c>
      <x:c r="E1265" s="529" t="inlineStr">
        <x:is>
          <x:t xml:space="preserve">12/09/2005</x:t>
        </x:is>
      </x:c>
      <x:c r="F1265" s="529" t="n">
        <x:v>12655</x:v>
      </x:c>
      <x:c r="G1265" s="527" t="inlineStr">
        <x:is>
          <x:t xml:space="preserve">Louis E. Jaques, Deceased</x:t>
        </x:is>
      </x:c>
      <x:c r="H1265" s="527" t="inlineStr">
        <x:is>
          <x:t xml:space="preserve">The Public</x:t>
        </x:is>
      </x:c>
      <x:c r="I1265" s="527" t="inlineStr">
        <x:is>
          <x:t xml:space="preserve">N/2 NE/4 of 31-12N-24W (AOL)</x:t>
        </x:is>
      </x:c>
      <x:c r="J1265" s="527" t="inlineStr">
        <x:is>
          <x:t xml:space="preserve">Fee / as stated</x:t>
        </x:is>
      </x:c>
      <x:c r="K1265" s="527" t="inlineStr">
        <x:is>
          <x:t xml:space="preserve">OKCountyRecords official index, Roger Mills County (instrument 2005-008386); searched 06/11/2026</x:t>
        </x:is>
      </x:c>
      <x:c r="L1265" s="565" t="n"/>
      <x:c r="M1265" s="565" t="n"/>
      <x:c r="N1265" s="565" t="n"/>
      <x:c r="O1265" s="565" t="n"/>
      <x:c r="P1265" s="565" t="n"/>
      <x:c r="Q1265" s="565" t="n"/>
      <x:c r="R1265" s="565" t="n"/>
      <x:c r="S1265" s="613" t="n"/>
      <x:c r="T1265" s="565" t="n"/>
      <x:c r="U1265" s="613" t="n"/>
      <x:c r="V1265" s="565" t="n"/>
      <x:c r="W1265" s="565" t="n"/>
      <x:c r="X1265" s="565" t="n"/>
      <x:c r="Y1265" s="565" t="n"/>
      <x:c r="Z1265" s="565" t="n"/>
    </x:row>
    <x:row r="1266">
      <x:c r="A1266" s="527" t="inlineStr">
        <x:is>
          <x:t xml:space="preserve">2005-008515</x:t>
        </x:is>
      </x:c>
      <x:c r="B1266" s="527" t="n">
        <x:v>30</x:v>
      </x:c>
      <x:c r="C1266" s="527" t="inlineStr">
        <x:is>
          <x:t xml:space="preserve">Oil and Gas Lease</x:t>
        </x:is>
      </x:c>
      <x:c r="D1266" s="527" t="inlineStr">
        <x:is>
          <x:t xml:space="preserve">1816/0352</x:t>
        </x:is>
      </x:c>
      <x:c r="E1266" s="529" t="inlineStr">
        <x:is>
          <x:t xml:space="preserve">12/15/2005</x:t>
        </x:is>
      </x:c>
      <x:c r="F1266" s="529" t="n">
        <x:v>38636</x:v>
      </x:c>
      <x:c r="G1266" s="527" t="inlineStr">
        <x:is>
          <x:t xml:space="preserve">Shawn S. Walters</x:t>
        </x:is>
      </x:c>
      <x:c r="H1266" s="527" t="inlineStr">
        <x:is>
          <x:t xml:space="preserve">Harris Jess III, Inc.</x:t>
        </x:is>
      </x:c>
      <x:c r="I1266" s="527" t="inlineStr">
        <x:is>
          <x:t xml:space="preserve">SE/4 SW/4 of 31-12N-24W</x:t>
        </x:is>
      </x:c>
      <x:c r="J1266" s="527" t="inlineStr">
        <x:is>
          <x:t xml:space="preserve">Leasehold / WI</x:t>
        </x:is>
      </x:c>
      <x:c r="K1266" s="527" t="inlineStr">
        <x:is>
          <x:t xml:space="preserve">OKCountyRecords official index, Roger Mills County (instrument 2005-008515); searched 06/11/2026</x:t>
        </x:is>
      </x:c>
      <x:c r="L1266" s="565" t="n"/>
      <x:c r="M1266" s="565" t="n"/>
      <x:c r="N1266" s="565" t="n"/>
      <x:c r="O1266" s="565" t="n"/>
      <x:c r="P1266" s="565" t="n"/>
      <x:c r="Q1266" s="565" t="n"/>
      <x:c r="R1266" s="565" t="n"/>
      <x:c r="S1266" s="613" t="n"/>
      <x:c r="T1266" s="565" t="n"/>
      <x:c r="U1266" s="613" t="n"/>
      <x:c r="V1266" s="565" t="n"/>
      <x:c r="W1266" s="565" t="n"/>
      <x:c r="X1266" s="565" t="n"/>
      <x:c r="Y1266" s="565" t="n"/>
      <x:c r="Z1266" s="565" t="n"/>
    </x:row>
    <x:row r="1267">
      <x:c r="A1267" s="527" t="inlineStr">
        <x:is>
          <x:t xml:space="preserve">2005-008517</x:t>
        </x:is>
      </x:c>
      <x:c r="B1267" s="527" t="n">
        <x:v>31</x:v>
      </x:c>
      <x:c r="C1267" s="527" t="inlineStr">
        <x:is>
          <x:t xml:space="preserve">Oil and Gas Lease</x:t>
        </x:is>
      </x:c>
      <x:c r="D1267" s="527" t="inlineStr">
        <x:is>
          <x:t xml:space="preserve">1816/0358</x:t>
        </x:is>
      </x:c>
      <x:c r="E1267" s="529" t="inlineStr">
        <x:is>
          <x:t xml:space="preserve">12/15/2005</x:t>
        </x:is>
      </x:c>
      <x:c r="F1267" s="529" t="n">
        <x:v>38636</x:v>
      </x:c>
      <x:c r="G1267" s="527" t="inlineStr">
        <x:is>
          <x:t xml:space="preserve">Eddie Tom Lakey</x:t>
        </x:is>
      </x:c>
      <x:c r="H1267" s="527" t="inlineStr">
        <x:is>
          <x:t xml:space="preserve">Harris Jess III, Inc.</x:t>
        </x:is>
      </x:c>
      <x:c r="I1267" s="527" t="inlineStr">
        <x:is>
          <x:t xml:space="preserve">Lots 1 of 31-12N-24W</x:t>
        </x:is>
      </x:c>
      <x:c r="J1267" s="527" t="inlineStr">
        <x:is>
          <x:t xml:space="preserve">Leasehold / WI</x:t>
        </x:is>
      </x:c>
      <x:c r="K1267" s="527" t="inlineStr">
        <x:is>
          <x:t xml:space="preserve">OKCountyRecords official index, Roger Mills County (instrument 2005-008517); searched 06/11/2026</x:t>
        </x:is>
      </x:c>
      <x:c r="L1267" s="565" t="n"/>
      <x:c r="M1267" s="565" t="n"/>
      <x:c r="N1267" s="565" t="n"/>
      <x:c r="O1267" s="565" t="n"/>
      <x:c r="P1267" s="565" t="n"/>
      <x:c r="Q1267" s="565" t="n"/>
      <x:c r="R1267" s="565" t="n"/>
      <x:c r="S1267" s="613" t="n"/>
      <x:c r="T1267" s="565" t="n"/>
      <x:c r="U1267" s="613" t="n"/>
      <x:c r="V1267" s="565" t="n"/>
      <x:c r="W1267" s="565" t="n"/>
      <x:c r="X1267" s="565" t="n"/>
      <x:c r="Y1267" s="565" t="n"/>
      <x:c r="Z1267" s="565" t="n"/>
    </x:row>
    <x:row r="1268">
      <x:c r="A1268" s="527" t="inlineStr">
        <x:is>
          <x:t xml:space="preserve">2005-008522</x:t>
        </x:is>
      </x:c>
      <x:c r="B1268" s="527" t="n">
        <x:v>34</x:v>
      </x:c>
      <x:c r="C1268" s="527" t="inlineStr">
        <x:is>
          <x:t xml:space="preserve">Oil and Gas Lease</x:t>
        </x:is>
      </x:c>
      <x:c r="D1268" s="527" t="inlineStr">
        <x:is>
          <x:t xml:space="preserve">1816/0374</x:t>
        </x:is>
      </x:c>
      <x:c r="E1268" s="529" t="inlineStr">
        <x:is>
          <x:t xml:space="preserve">12/15/2005</x:t>
        </x:is>
      </x:c>
      <x:c r="F1268" s="529" t="n">
        <x:v>38670</x:v>
      </x:c>
      <x:c r="G1268" s="527" t="inlineStr">
        <x:is>
          <x:t xml:space="preserve">Margaret Kirk</x:t>
        </x:is>
      </x:c>
      <x:c r="H1268" s="527" t="inlineStr">
        <x:is>
          <x:t xml:space="preserve">Harris Jess III, Inc.</x:t>
        </x:is>
      </x:c>
      <x:c r="I1268" s="527" t="inlineStr">
        <x:is>
          <x:t xml:space="preserve">S/2 N/2 SW/4, SE/4 SW/4, Lots 3 of 31-12N-24W</x:t>
        </x:is>
      </x:c>
      <x:c r="J1268" s="527" t="inlineStr">
        <x:is>
          <x:t xml:space="preserve">Leasehold / WI</x:t>
        </x:is>
      </x:c>
      <x:c r="K1268" s="527" t="inlineStr">
        <x:is>
          <x:t xml:space="preserve">OKCountyRecords official index, Roger Mills County (instrument 2005-008522); searched 06/11/2026</x:t>
        </x:is>
      </x:c>
      <x:c r="L1268" s="565" t="n"/>
      <x:c r="M1268" s="565" t="n"/>
      <x:c r="N1268" s="565" t="n"/>
      <x:c r="O1268" s="565" t="n"/>
      <x:c r="P1268" s="565" t="n"/>
      <x:c r="Q1268" s="565" t="n"/>
      <x:c r="R1268" s="565" t="n"/>
      <x:c r="S1268" s="613" t="n"/>
      <x:c r="T1268" s="565" t="n"/>
      <x:c r="U1268" s="613" t="n"/>
      <x:c r="V1268" s="565" t="n"/>
      <x:c r="W1268" s="565" t="n"/>
      <x:c r="X1268" s="565" t="n"/>
      <x:c r="Y1268" s="565" t="n"/>
      <x:c r="Z1268" s="565" t="n"/>
    </x:row>
    <x:row r="1269">
      <x:c r="A1269" s="527" t="inlineStr">
        <x:is>
          <x:t xml:space="preserve">2005-008523</x:t>
        </x:is>
      </x:c>
      <x:c r="B1269" s="527" t="n"/>
      <x:c r="C1269" s="527" t="inlineStr">
        <x:is>
          <x:t xml:space="preserve">Oil and Gas Lease</x:t>
        </x:is>
      </x:c>
      <x:c r="D1269" s="527" t="inlineStr">
        <x:is>
          <x:t xml:space="preserve">1816/0376</x:t>
        </x:is>
      </x:c>
      <x:c r="E1269" s="529" t="inlineStr">
        <x:is>
          <x:t xml:space="preserve">12/15/2005</x:t>
        </x:is>
      </x:c>
      <x:c r="F1269" s="529" t="n">
        <x:v>38657</x:v>
      </x:c>
      <x:c r="G1269" s="527" t="inlineStr">
        <x:is>
          <x:t xml:space="preserve">Deborah A. Deutsch,
Paul R. Deutsch</x:t>
        </x:is>
      </x:c>
      <x:c r="H1269" s="527" t="inlineStr">
        <x:is>
          <x:t xml:space="preserve">Harris Jess III, Inc.</x:t>
        </x:is>
      </x:c>
      <x:c r="I1269" s="527" t="inlineStr">
        <x:is>
          <x:t xml:space="preserve">SE/4 SE/4, SW/4 NE/4, W/2 SE/4 of 31-12N-24W</x:t>
        </x:is>
      </x:c>
      <x:c r="J1269" s="527" t="inlineStr">
        <x:is>
          <x:t xml:space="preserve">Leasehold / WI</x:t>
        </x:is>
      </x:c>
      <x:c r="K1269" s="527" t="inlineStr">
        <x:is>
          <x:t xml:space="preserve">OKCountyRecords official index, Roger Mills County (instrument 2005-008523); searched 06/11/2026</x:t>
        </x:is>
      </x:c>
      <x:c r="L1269" s="565" t="n"/>
      <x:c r="M1269" s="565" t="n"/>
      <x:c r="N1269" s="565" t="n"/>
      <x:c r="O1269" s="565" t="n"/>
      <x:c r="P1269" s="565" t="n"/>
      <x:c r="Q1269" s="565" t="n"/>
      <x:c r="R1269" s="565" t="n"/>
      <x:c r="S1269" s="613" t="n"/>
      <x:c r="T1269" s="565" t="n"/>
      <x:c r="U1269" s="613" t="n"/>
      <x:c r="V1269" s="565" t="n"/>
      <x:c r="W1269" s="565" t="n"/>
      <x:c r="X1269" s="565" t="n"/>
      <x:c r="Y1269" s="565" t="n"/>
      <x:c r="Z1269" s="565" t="n"/>
    </x:row>
    <x:row r="1270">
      <x:c r="A1270" s="527" t="inlineStr">
        <x:is>
          <x:t xml:space="preserve">2005-008528</x:t>
        </x:is>
      </x:c>
      <x:c r="B1270" s="527" t="n">
        <x:v>32</x:v>
      </x:c>
      <x:c r="C1270" s="527" t="inlineStr">
        <x:is>
          <x:t xml:space="preserve">Oil and Gas Lease</x:t>
        </x:is>
      </x:c>
      <x:c r="D1270" s="527" t="inlineStr">
        <x:is>
          <x:t xml:space="preserve">1816/0386</x:t>
        </x:is>
      </x:c>
      <x:c r="E1270" s="529" t="inlineStr">
        <x:is>
          <x:t xml:space="preserve">12/15/2005</x:t>
        </x:is>
      </x:c>
      <x:c r="F1270" s="529" t="n">
        <x:v>38637</x:v>
      </x:c>
      <x:c r="G1270" s="527" t="inlineStr">
        <x:is>
          <x:t xml:space="preserve">Myron Slobin</x:t>
        </x:is>
      </x:c>
      <x:c r="H1270" s="527" t="inlineStr">
        <x:is>
          <x:t xml:space="preserve">Harris Jess III, Inc.</x:t>
        </x:is>
      </x:c>
      <x:c r="I1270" s="527" t="inlineStr">
        <x:is>
          <x:t xml:space="preserve">SE/4 SE/4, SW/4 NE/4, W/2 SE/4 of 31-12N-24W</x:t>
        </x:is>
      </x:c>
      <x:c r="J1270" s="527" t="inlineStr">
        <x:is>
          <x:t xml:space="preserve">Leasehold / WI</x:t>
        </x:is>
      </x:c>
      <x:c r="K1270" s="527" t="inlineStr">
        <x:is>
          <x:t xml:space="preserve">OKCountyRecords official index, Roger Mills County (instrument 2005-008528); searched 06/11/2026</x:t>
        </x:is>
      </x:c>
      <x:c r="L1270" s="565" t="n"/>
      <x:c r="M1270" s="565" t="n"/>
      <x:c r="N1270" s="565" t="n"/>
      <x:c r="O1270" s="565" t="n"/>
      <x:c r="P1270" s="565" t="n"/>
      <x:c r="Q1270" s="565" t="n"/>
      <x:c r="R1270" s="565" t="n"/>
      <x:c r="S1270" s="613" t="n"/>
      <x:c r="T1270" s="565" t="n"/>
      <x:c r="U1270" s="613" t="n"/>
      <x:c r="V1270" s="565" t="n"/>
      <x:c r="W1270" s="565" t="n"/>
      <x:c r="X1270" s="565" t="n"/>
      <x:c r="Y1270" s="565" t="n"/>
      <x:c r="Z1270" s="565" t="n"/>
    </x:row>
    <x:row r="1271">
      <x:c r="A1271" s="527" t="inlineStr">
        <x:is>
          <x:t xml:space="preserve">2005-008530</x:t>
        </x:is>
      </x:c>
      <x:c r="B1271" s="527" t="n"/>
      <x:c r="C1271" s="527" t="inlineStr">
        <x:is>
          <x:t xml:space="preserve">Oil and Gas Lease</x:t>
        </x:is>
      </x:c>
      <x:c r="D1271" s="527" t="inlineStr">
        <x:is>
          <x:t xml:space="preserve">1816/0389</x:t>
        </x:is>
      </x:c>
      <x:c r="E1271" s="529" t="inlineStr">
        <x:is>
          <x:t xml:space="preserve">12/15/2005</x:t>
        </x:is>
      </x:c>
      <x:c r="F1271" s="529" t="n">
        <x:v>38653</x:v>
      </x:c>
      <x:c r="G1271" s="527" t="inlineStr">
        <x:is>
          <x:t xml:space="preserve">Gregory J. Wiinneke</x:t>
        </x:is>
      </x:c>
      <x:c r="H1271" s="527" t="inlineStr">
        <x:is>
          <x:t xml:space="preserve">Harris Jess III, Inc.</x:t>
        </x:is>
      </x:c>
      <x:c r="I1271" s="527" t="inlineStr">
        <x:is>
          <x:t xml:space="preserve">SE/4 SE/4, SW/4 NE/4, W/2 SE/4 of 31-12N-24W</x:t>
        </x:is>
      </x:c>
      <x:c r="J1271" s="527" t="inlineStr">
        <x:is>
          <x:t xml:space="preserve">Leasehold / WI</x:t>
        </x:is>
      </x:c>
      <x:c r="K1271" s="527" t="inlineStr">
        <x:is>
          <x:t xml:space="preserve">OKCountyRecords official index, Roger Mills County (instrument 2005-008530); searched 06/11/2026</x:t>
        </x:is>
      </x:c>
      <x:c r="L1271" s="565" t="n"/>
      <x:c r="M1271" s="565" t="n"/>
      <x:c r="N1271" s="565" t="n"/>
      <x:c r="O1271" s="565" t="n"/>
      <x:c r="P1271" s="565" t="n"/>
      <x:c r="Q1271" s="565" t="n"/>
      <x:c r="R1271" s="565" t="n"/>
      <x:c r="S1271" s="613" t="n"/>
      <x:c r="T1271" s="565" t="n"/>
      <x:c r="U1271" s="613" t="n"/>
      <x:c r="V1271" s="565" t="n"/>
      <x:c r="W1271" s="565" t="n"/>
      <x:c r="X1271" s="565" t="n"/>
      <x:c r="Y1271" s="565" t="n"/>
      <x:c r="Z1271" s="565" t="n"/>
    </x:row>
    <x:row r="1272">
      <x:c r="A1272" s="527" t="inlineStr">
        <x:is>
          <x:t xml:space="preserve">2005-008721</x:t>
        </x:is>
      </x:c>
      <x:c r="B1272" s="527" t="n">
        <x:v>29</x:v>
      </x:c>
      <x:c r="C1272" s="527" t="inlineStr">
        <x:is>
          <x:t xml:space="preserve">Oil and Gas Lease</x:t>
        </x:is>
      </x:c>
      <x:c r="D1272" s="527" t="inlineStr">
        <x:is>
          <x:t xml:space="preserve">1817/0386</x:t>
        </x:is>
      </x:c>
      <x:c r="E1272" s="529" t="inlineStr">
        <x:is>
          <x:t xml:space="preserve">12/23/2005</x:t>
        </x:is>
      </x:c>
      <x:c r="F1272" s="529" t="n">
        <x:v>38621</x:v>
      </x:c>
      <x:c r="G1272" s="527" t="inlineStr">
        <x:is>
          <x:t xml:space="preserve">Joe H. Britton</x:t>
        </x:is>
      </x:c>
      <x:c r="H1272" s="527" t="inlineStr">
        <x:is>
          <x:t xml:space="preserve">Todco Properties, Inc.</x:t>
        </x:is>
      </x:c>
      <x:c r="I1272" s="527" t="inlineStr">
        <x:is>
          <x:t xml:space="preserve">E/2 NW/4, N/2 NE/4 SW/4, NE/4 SE/4, SE/4 NE/4 of 31-12N-24W</x:t>
        </x:is>
      </x:c>
      <x:c r="J1272" s="527" t="inlineStr">
        <x:is>
          <x:t xml:space="preserve">Leasehold / WI</x:t>
        </x:is>
      </x:c>
      <x:c r="K1272" s="527" t="inlineStr">
        <x:is>
          <x:t xml:space="preserve">OKCountyRecords official index, Roger Mills County (instrument 2005-008721); searched 06/11/2026</x:t>
        </x:is>
      </x:c>
      <x:c r="L1272" s="565" t="n"/>
      <x:c r="M1272" s="565" t="n"/>
      <x:c r="N1272" s="565" t="n"/>
      <x:c r="O1272" s="565" t="n"/>
      <x:c r="P1272" s="565" t="n"/>
      <x:c r="Q1272" s="565" t="n"/>
      <x:c r="R1272" s="565" t="n"/>
      <x:c r="S1272" s="613" t="n"/>
      <x:c r="T1272" s="565" t="n"/>
      <x:c r="U1272" s="613" t="n"/>
      <x:c r="V1272" s="565" t="n"/>
      <x:c r="W1272" s="565" t="n"/>
      <x:c r="X1272" s="565" t="n"/>
      <x:c r="Y1272" s="565" t="n"/>
      <x:c r="Z1272" s="565" t="n"/>
    </x:row>
    <x:row r="1273">
      <x:c r="A1273" s="527" t="inlineStr">
        <x:is>
          <x:t xml:space="preserve">2005-008722</x:t>
        </x:is>
      </x:c>
      <x:c r="B1273" s="527" t="n"/>
      <x:c r="C1273" s="527" t="inlineStr">
        <x:is>
          <x:t xml:space="preserve">Oil and Gas Lease</x:t>
        </x:is>
      </x:c>
      <x:c r="D1273" s="527" t="inlineStr">
        <x:is>
          <x:t xml:space="preserve">1817/0388</x:t>
        </x:is>
      </x:c>
      <x:c r="E1273" s="529" t="inlineStr">
        <x:is>
          <x:t xml:space="preserve">12/23/2005</x:t>
        </x:is>
      </x:c>
      <x:c r="F1273" s="529" t="n">
        <x:v>38621</x:v>
      </x:c>
      <x:c r="G1273" s="527" t="inlineStr">
        <x:is>
          <x:t xml:space="preserve">James E. Menehan</x:t>
        </x:is>
      </x:c>
      <x:c r="H1273" s="527" t="inlineStr">
        <x:is>
          <x:t xml:space="preserve">Todco Properties, Inc.</x:t>
        </x:is>
      </x:c>
      <x:c r="I1273" s="527" t="inlineStr">
        <x:is>
          <x:t xml:space="preserve">NW/4 SE/4, S/2 SE/4, SW/4 NE/4 of 31-12N-24W</x:t>
        </x:is>
      </x:c>
      <x:c r="J1273" s="527" t="inlineStr">
        <x:is>
          <x:t xml:space="preserve">Leasehold / WI</x:t>
        </x:is>
      </x:c>
      <x:c r="K1273" s="527" t="inlineStr">
        <x:is>
          <x:t xml:space="preserve">OKCountyRecords official index, Roger Mills County (instrument 2005-008722); searched 06/11/2026</x:t>
        </x:is>
      </x:c>
      <x:c r="L1273" s="565" t="n"/>
      <x:c r="M1273" s="565" t="n"/>
      <x:c r="N1273" s="565" t="n"/>
      <x:c r="O1273" s="565" t="n"/>
      <x:c r="P1273" s="565" t="n"/>
      <x:c r="Q1273" s="565" t="n"/>
      <x:c r="R1273" s="565" t="n"/>
      <x:c r="S1273" s="613" t="n"/>
      <x:c r="T1273" s="565" t="n"/>
      <x:c r="U1273" s="613" t="n"/>
      <x:c r="V1273" s="565" t="n"/>
      <x:c r="W1273" s="565" t="n"/>
      <x:c r="X1273" s="565" t="n"/>
      <x:c r="Y1273" s="565" t="n"/>
      <x:c r="Z1273" s="565" t="n"/>
    </x:row>
    <x:row r="1274">
      <x:c r="A1274" s="527" t="inlineStr">
        <x:is>
          <x:t xml:space="preserve">2006-000151</x:t>
        </x:is>
      </x:c>
      <x:c r="B1274" s="527" t="n"/>
      <x:c r="C1274" s="527" t="inlineStr">
        <x:is>
          <x:t xml:space="preserve">Disclaimer</x:t>
        </x:is>
      </x:c>
      <x:c r="D1274" s="527" t="inlineStr">
        <x:is>
          <x:t xml:space="preserve">1819/0154</x:t>
        </x:is>
      </x:c>
      <x:c r="E1274" s="529" t="inlineStr">
        <x:is>
          <x:t xml:space="preserve">01/10/2006</x:t>
        </x:is>
      </x:c>
      <x:c r="F1274" s="529" t="n">
        <x:v>38698</x:v>
      </x:c>
      <x:c r="G1274" s="527" t="inlineStr">
        <x:is>
          <x:t xml:space="preserve">Greg Winneke</x:t>
        </x:is>
      </x:c>
      <x:c r="H1274" s="527" t="inlineStr">
        <x:is>
          <x:t xml:space="preserve">Publc</x:t>
        </x:is>
      </x:c>
      <x:c r="I1274" s="527" t="inlineStr">
        <x:is>
          <x:t xml:space="preserve">NW/4 SE/4, S/2 SE/4, SW/4 NE/4 of 31-12N-24W (AOL)</x:t>
        </x:is>
      </x:c>
      <x:c r="J1274" s="527" t="inlineStr">
        <x:is>
          <x:t xml:space="preserve">See instrument</x:t>
        </x:is>
      </x:c>
      <x:c r="K1274" s="527" t="inlineStr">
        <x:is>
          <x:t xml:space="preserve">OKCountyRecords official index, Roger Mills County (instrument 2006-000151); searched 06/11/2026</x:t>
        </x:is>
      </x:c>
      <x:c r="L1274" s="565" t="n"/>
      <x:c r="M1274" s="565" t="n"/>
      <x:c r="N1274" s="565" t="n"/>
      <x:c r="O1274" s="565" t="n"/>
      <x:c r="P1274" s="565" t="n"/>
      <x:c r="Q1274" s="565" t="n"/>
      <x:c r="R1274" s="565" t="n"/>
      <x:c r="S1274" s="613" t="n"/>
      <x:c r="T1274" s="565" t="n"/>
      <x:c r="U1274" s="613" t="n"/>
      <x:c r="V1274" s="565" t="n"/>
      <x:c r="W1274" s="565" t="n"/>
      <x:c r="X1274" s="565" t="n"/>
      <x:c r="Y1274" s="565" t="n"/>
      <x:c r="Z1274" s="565" t="n"/>
    </x:row>
    <x:row r="1275">
      <x:c r="A1275" s="527" t="inlineStr">
        <x:is>
          <x:t xml:space="preserve">2006-000153</x:t>
        </x:is>
      </x:c>
      <x:c r="B1275" s="527" t="n"/>
      <x:c r="C1275" s="527" t="inlineStr">
        <x:is>
          <x:t xml:space="preserve">Disclaimer</x:t>
        </x:is>
      </x:c>
      <x:c r="D1275" s="527" t="inlineStr">
        <x:is>
          <x:t xml:space="preserve">1819/0156</x:t>
        </x:is>
      </x:c>
      <x:c r="E1275" s="529" t="inlineStr">
        <x:is>
          <x:t xml:space="preserve">01/10/2006</x:t>
        </x:is>
      </x:c>
      <x:c r="F1275" s="529" t="n">
        <x:v>38694</x:v>
      </x:c>
      <x:c r="G1275" s="527" t="inlineStr">
        <x:is>
          <x:t xml:space="preserve">Eddie Tom Lakey</x:t>
        </x:is>
      </x:c>
      <x:c r="H1275" s="527" t="inlineStr">
        <x:is>
          <x:t xml:space="preserve">The Public</x:t>
        </x:is>
      </x:c>
      <x:c r="I1275" s="527" t="inlineStr">
        <x:is>
          <x:t xml:space="preserve">W/2 NW/4, Lots 1 of 31-12N-24W</x:t>
        </x:is>
      </x:c>
      <x:c r="J1275" s="527" t="inlineStr">
        <x:is>
          <x:t xml:space="preserve">See instrument</x:t>
        </x:is>
      </x:c>
      <x:c r="K1275" s="527" t="inlineStr">
        <x:is>
          <x:t xml:space="preserve">OKCountyRecords official index, Roger Mills County (instrument 2006-000153); searched 06/11/2026</x:t>
        </x:is>
      </x:c>
      <x:c r="L1275" s="565" t="n"/>
      <x:c r="M1275" s="565" t="n"/>
      <x:c r="N1275" s="565" t="n"/>
      <x:c r="O1275" s="565" t="n"/>
      <x:c r="P1275" s="565" t="n"/>
      <x:c r="Q1275" s="565" t="n"/>
      <x:c r="R1275" s="565" t="n"/>
      <x:c r="S1275" s="613" t="n"/>
      <x:c r="T1275" s="565" t="n"/>
      <x:c r="U1275" s="613" t="n"/>
      <x:c r="V1275" s="565" t="n"/>
      <x:c r="W1275" s="565" t="n"/>
      <x:c r="X1275" s="565" t="n"/>
      <x:c r="Y1275" s="565" t="n"/>
      <x:c r="Z1275" s="565" t="n"/>
    </x:row>
    <x:row r="1276">
      <x:c r="A1276" s="527" t="inlineStr">
        <x:is>
          <x:t xml:space="preserve">2006-000154</x:t>
        </x:is>
      </x:c>
      <x:c r="B1276" s="527" t="n"/>
      <x:c r="C1276" s="527" t="inlineStr">
        <x:is>
          <x:t xml:space="preserve">Disclaimer</x:t>
        </x:is>
      </x:c>
      <x:c r="D1276" s="527" t="inlineStr">
        <x:is>
          <x:t xml:space="preserve">1819/0157</x:t>
        </x:is>
      </x:c>
      <x:c r="E1276" s="529" t="inlineStr">
        <x:is>
          <x:t xml:space="preserve">01/10/2006</x:t>
        </x:is>
      </x:c>
      <x:c r="F1276" s="529" t="n">
        <x:v>38699</x:v>
      </x:c>
      <x:c r="G1276" s="527" t="inlineStr">
        <x:is>
          <x:t xml:space="preserve">Glenda A. Palmer, Trustee</x:t>
        </x:is>
      </x:c>
      <x:c r="H1276" s="527" t="inlineStr">
        <x:is>
          <x:t xml:space="preserve">The Public</x:t>
        </x:is>
      </x:c>
      <x:c r="I1276" s="527" t="inlineStr">
        <x:is>
          <x:t xml:space="preserve">E/2 NW/4, N/2 NE/4 SW/4, NE/4 SE/4, SE/4 NE/4 of 31-12N-24W</x:t>
        </x:is>
      </x:c>
      <x:c r="J1276" s="527" t="inlineStr">
        <x:is>
          <x:t xml:space="preserve">See instrument</x:t>
        </x:is>
      </x:c>
      <x:c r="K1276" s="527" t="inlineStr">
        <x:is>
          <x:t xml:space="preserve">OKCountyRecords official index, Roger Mills County (instrument 2006-000154); searched 06/11/2026</x:t>
        </x:is>
      </x:c>
      <x:c r="L1276" s="565" t="n"/>
      <x:c r="M1276" s="565" t="n"/>
      <x:c r="N1276" s="565" t="n"/>
      <x:c r="O1276" s="565" t="n"/>
      <x:c r="P1276" s="565" t="n"/>
      <x:c r="Q1276" s="565" t="n"/>
      <x:c r="R1276" s="565" t="n"/>
      <x:c r="S1276" s="613" t="n"/>
      <x:c r="T1276" s="565" t="n"/>
      <x:c r="U1276" s="613" t="n"/>
      <x:c r="V1276" s="565" t="n"/>
      <x:c r="W1276" s="565" t="n"/>
      <x:c r="X1276" s="565" t="n"/>
      <x:c r="Y1276" s="565" t="n"/>
      <x:c r="Z1276" s="565" t="n"/>
    </x:row>
    <x:row r="1277">
      <x:c r="A1277" s="527" t="inlineStr">
        <x:is>
          <x:t xml:space="preserve">2006-000321</x:t>
        </x:is>
      </x:c>
      <x:c r="B1277" s="527" t="n">
        <x:v>36</x:v>
      </x:c>
      <x:c r="C1277" s="527" t="inlineStr">
        <x:is>
          <x:t xml:space="preserve">Oil and Gas Lease</x:t>
        </x:is>
      </x:c>
      <x:c r="D1277" s="527" t="inlineStr">
        <x:is>
          <x:t xml:space="preserve">1820/0015</x:t>
        </x:is>
      </x:c>
      <x:c r="E1277" s="529" t="inlineStr">
        <x:is>
          <x:t xml:space="preserve">01/16/2006</x:t>
        </x:is>
      </x:c>
      <x:c r="F1277" s="529" t="n">
        <x:v>38708</x:v>
      </x:c>
      <x:c r="G1277" s="527" t="inlineStr">
        <x:is>
          <x:t xml:space="preserve">Myron V. Slobin</x:t>
        </x:is>
      </x:c>
      <x:c r="H1277" s="527" t="inlineStr">
        <x:is>
          <x:t xml:space="preserve">Devon Energy Production Company</x:t>
        </x:is>
      </x:c>
      <x:c r="I1277" s="527" t="inlineStr">
        <x:is>
          <x:t xml:space="preserve">NW/4 SE/4, S/2 SE/4, SW/4 NE/4 of 31-12N-24W</x:t>
        </x:is>
      </x:c>
      <x:c r="J1277" s="527" t="inlineStr">
        <x:is>
          <x:t xml:space="preserve">Leasehold / WI</x:t>
        </x:is>
      </x:c>
      <x:c r="K1277" s="527" t="inlineStr">
        <x:is>
          <x:t xml:space="preserve">OKCountyRecords official index, Roger Mills County (instrument 2006-000321); searched 06/11/2026</x:t>
        </x:is>
      </x:c>
      <x:c r="L1277" s="565" t="n"/>
      <x:c r="M1277" s="565" t="n"/>
      <x:c r="N1277" s="565" t="n"/>
      <x:c r="O1277" s="565" t="n"/>
      <x:c r="P1277" s="565" t="n"/>
      <x:c r="Q1277" s="565" t="n"/>
      <x:c r="R1277" s="565" t="n"/>
      <x:c r="S1277" s="613" t="n"/>
      <x:c r="T1277" s="565" t="n"/>
      <x:c r="U1277" s="613" t="n"/>
      <x:c r="V1277" s="565" t="n"/>
      <x:c r="W1277" s="565" t="n"/>
      <x:c r="X1277" s="565" t="n"/>
      <x:c r="Y1277" s="565" t="n"/>
      <x:c r="Z1277" s="565" t="n"/>
    </x:row>
    <x:row r="1278">
      <x:c r="A1278" s="527" t="inlineStr">
        <x:is>
          <x:t xml:space="preserve">2006-000583</x:t>
        </x:is>
      </x:c>
      <x:c r="B1278" s="527" t="n">
        <x:v>37</x:v>
      </x:c>
      <x:c r="C1278" s="527" t="inlineStr">
        <x:is>
          <x:t xml:space="preserve">Oil and Gas Lease</x:t>
        </x:is>
      </x:c>
      <x:c r="D1278" s="527" t="inlineStr">
        <x:is>
          <x:t xml:space="preserve">1821/0092</x:t>
        </x:is>
      </x:c>
      <x:c r="E1278" s="529" t="inlineStr">
        <x:is>
          <x:t xml:space="preserve">01/25/2006</x:t>
        </x:is>
      </x:c>
      <x:c r="F1278" s="529" t="n">
        <x:v>38725</x:v>
      </x:c>
      <x:c r="G1278" s="527" t="inlineStr">
        <x:is>
          <x:t xml:space="preserve">Anna Tamise Gibson</x:t>
        </x:is>
      </x:c>
      <x:c r="H1278" s="527" t="inlineStr">
        <x:is>
          <x:t xml:space="preserve">Devon Energy Prod Co</x:t>
        </x:is>
      </x:c>
      <x:c r="I1278" s="527" t="inlineStr">
        <x:is>
          <x:t xml:space="preserve">NW/4 SE/4, S/2 SE/4, SW/4 NE/4 of 31-12N-24W</x:t>
        </x:is>
      </x:c>
      <x:c r="J1278" s="527" t="inlineStr">
        <x:is>
          <x:t xml:space="preserve">Leasehold / WI</x:t>
        </x:is>
      </x:c>
      <x:c r="K1278" s="527" t="inlineStr">
        <x:is>
          <x:t xml:space="preserve">OKCountyRecords official index, Roger Mills County (instrument 2006-000583); searched 06/11/2026</x:t>
        </x:is>
      </x:c>
      <x:c r="L1278" s="565" t="n"/>
      <x:c r="M1278" s="565" t="n"/>
      <x:c r="N1278" s="565" t="n"/>
      <x:c r="O1278" s="565" t="n"/>
      <x:c r="P1278" s="565" t="n"/>
      <x:c r="Q1278" s="565" t="n"/>
      <x:c r="R1278" s="565" t="n"/>
      <x:c r="S1278" s="613" t="n"/>
      <x:c r="T1278" s="565" t="n"/>
      <x:c r="U1278" s="613" t="n"/>
      <x:c r="V1278" s="565" t="n"/>
      <x:c r="W1278" s="565" t="n"/>
      <x:c r="X1278" s="565" t="n"/>
      <x:c r="Y1278" s="565" t="n"/>
      <x:c r="Z1278" s="565" t="n"/>
    </x:row>
    <x:row r="1279">
      <x:c r="A1279" s="527" t="inlineStr">
        <x:is>
          <x:t xml:space="preserve">2006-000702</x:t>
        </x:is>
      </x:c>
      <x:c r="B1279" s="527" t="n">
        <x:v>38</x:v>
      </x:c>
      <x:c r="C1279" s="527" t="inlineStr">
        <x:is>
          <x:t xml:space="preserve">Oil and Gas Lease</x:t>
        </x:is>
      </x:c>
      <x:c r="D1279" s="527" t="inlineStr">
        <x:is>
          <x:t xml:space="preserve">1821/0465</x:t>
        </x:is>
      </x:c>
      <x:c r="E1279" s="529" t="inlineStr">
        <x:is>
          <x:t xml:space="preserve">01/30/2006</x:t>
        </x:is>
      </x:c>
      <x:c r="F1279" s="529" t="n">
        <x:v>38732</x:v>
      </x:c>
      <x:c r="G1279" s="527" t="inlineStr">
        <x:is>
          <x:t xml:space="preserve">James M. Robertson,
Rose Elaine Robertson</x:t>
        </x:is>
      </x:c>
      <x:c r="H1279" s="527" t="inlineStr">
        <x:is>
          <x:t xml:space="preserve">Devon Energy Prod Co</x:t>
        </x:is>
      </x:c>
      <x:c r="I1279" s="527" t="inlineStr">
        <x:is>
          <x:t xml:space="preserve">NW/4 SE/4, S/2 SE/4, SW/4 NE/4 of 31-12N-24W</x:t>
        </x:is>
      </x:c>
      <x:c r="J1279" s="527" t="inlineStr">
        <x:is>
          <x:t xml:space="preserve">Leasehold / WI</x:t>
        </x:is>
      </x:c>
      <x:c r="K1279" s="527" t="inlineStr">
        <x:is>
          <x:t xml:space="preserve">OKCountyRecords official index, Roger Mills County (instrument 2006-000702); searched 06/11/2026</x:t>
        </x:is>
      </x:c>
      <x:c r="L1279" s="565" t="n"/>
      <x:c r="M1279" s="565" t="n"/>
      <x:c r="N1279" s="565" t="n"/>
      <x:c r="O1279" s="565" t="n"/>
      <x:c r="P1279" s="565" t="n"/>
      <x:c r="Q1279" s="565" t="n"/>
      <x:c r="R1279" s="565" t="n"/>
      <x:c r="S1279" s="613" t="n"/>
      <x:c r="T1279" s="565" t="n"/>
      <x:c r="U1279" s="613" t="n"/>
      <x:c r="V1279" s="565" t="n"/>
      <x:c r="W1279" s="565" t="n"/>
      <x:c r="X1279" s="565" t="n"/>
      <x:c r="Y1279" s="565" t="n"/>
      <x:c r="Z1279" s="565" t="n"/>
    </x:row>
    <x:row r="1280">
      <x:c r="A1280" s="527" t="inlineStr">
        <x:is>
          <x:t xml:space="preserve">2006-000762</x:t>
        </x:is>
      </x:c>
      <x:c r="B1280" s="527" t="n"/>
      <x:c r="C1280" s="527" t="inlineStr">
        <x:is>
          <x:t xml:space="preserve">Assignment</x:t>
        </x:is>
      </x:c>
      <x:c r="D1280" s="527" t="inlineStr">
        <x:is>
          <x:t xml:space="preserve">1822/0013</x:t>
        </x:is>
      </x:c>
      <x:c r="E1280" s="529" t="inlineStr">
        <x:is>
          <x:t xml:space="preserve">02/01/2006</x:t>
        </x:is>
      </x:c>
      <x:c r="F1280" s="529" t="n">
        <x:v>38723</x:v>
      </x:c>
      <x:c r="G1280" s="527" t="inlineStr">
        <x:is>
          <x:t xml:space="preserve">Kodiak Production Company</x:t>
        </x:is>
      </x:c>
      <x:c r="H1280" s="527" t="inlineStr">
        <x:is>
          <x:t xml:space="preserve">Newfield Exploration Mid Cont, Inc.</x:t>
        </x:is>
      </x:c>
      <x:c r="I1280" s="527" t="inlineStr">
        <x:is>
          <x:t xml:space="preserve">Lots 1 of 31-12N-24W</x:t>
        </x:is>
      </x:c>
      <x:c r="J1280" s="527" t="inlineStr">
        <x:is>
          <x:t xml:space="preserve">Leasehold / WI</x:t>
        </x:is>
      </x:c>
      <x:c r="K1280" s="527" t="inlineStr">
        <x:is>
          <x:t xml:space="preserve">OKCountyRecords official index, Roger Mills County (instrument 2006-000762); searched 06/11/2026</x:t>
        </x:is>
      </x:c>
      <x:c r="L1280" s="565" t="n"/>
      <x:c r="M1280" s="565" t="n"/>
      <x:c r="N1280" s="565" t="n"/>
      <x:c r="O1280" s="565" t="n"/>
      <x:c r="P1280" s="565" t="n"/>
      <x:c r="Q1280" s="565" t="n"/>
      <x:c r="R1280" s="565" t="n"/>
      <x:c r="S1280" s="613" t="n"/>
      <x:c r="T1280" s="565" t="n"/>
      <x:c r="U1280" s="613" t="n"/>
      <x:c r="V1280" s="565" t="n"/>
      <x:c r="W1280" s="565" t="n"/>
      <x:c r="X1280" s="565" t="n"/>
      <x:c r="Y1280" s="565" t="n"/>
      <x:c r="Z1280" s="565" t="n"/>
    </x:row>
    <x:row r="1281">
      <x:c r="A1281" s="527" t="inlineStr">
        <x:is>
          <x:t xml:space="preserve">2006-000766</x:t>
        </x:is>
      </x:c>
      <x:c r="B1281" s="527" t="n"/>
      <x:c r="C1281" s="527" t="inlineStr">
        <x:is>
          <x:t xml:space="preserve">Assignment</x:t>
        </x:is>
      </x:c>
      <x:c r="D1281" s="527" t="inlineStr">
        <x:is>
          <x:t xml:space="preserve">1822/0017</x:t>
        </x:is>
      </x:c>
      <x:c r="E1281" s="529" t="inlineStr">
        <x:is>
          <x:t xml:space="preserve">02/01/2006</x:t>
        </x:is>
      </x:c>
      <x:c r="F1281" s="529" t="n">
        <x:v>38677</x:v>
      </x:c>
      <x:c r="G1281" s="527" t="inlineStr">
        <x:is>
          <x:t xml:space="preserve">Harris Jess III, Inc.</x:t>
        </x:is>
      </x:c>
      <x:c r="H1281" s="527" t="inlineStr">
        <x:is>
          <x:t xml:space="preserve">Newfield Exploration Mid Cont, Inc.</x:t>
        </x:is>
      </x:c>
      <x:c r="I1281" s="527" t="inlineStr">
        <x:is>
          <x:t xml:space="preserve">SE/4 SW/4 of 31-12N-24W</x:t>
        </x:is>
      </x:c>
      <x:c r="J1281" s="527" t="inlineStr">
        <x:is>
          <x:t xml:space="preserve">Leasehold / WI</x:t>
        </x:is>
      </x:c>
      <x:c r="K1281" s="527" t="inlineStr">
        <x:is>
          <x:t xml:space="preserve">OKCountyRecords official index, Roger Mills County (instrument 2006-000766); searched 06/11/2026</x:t>
        </x:is>
      </x:c>
      <x:c r="L1281" s="565" t="n"/>
      <x:c r="M1281" s="565" t="n"/>
      <x:c r="N1281" s="565" t="n"/>
      <x:c r="O1281" s="565" t="n"/>
      <x:c r="P1281" s="565" t="n"/>
      <x:c r="Q1281" s="565" t="n"/>
      <x:c r="R1281" s="565" t="n"/>
      <x:c r="S1281" s="613" t="n"/>
      <x:c r="T1281" s="565" t="n"/>
      <x:c r="U1281" s="613" t="n"/>
      <x:c r="V1281" s="565" t="n"/>
      <x:c r="W1281" s="565" t="n"/>
      <x:c r="X1281" s="565" t="n"/>
      <x:c r="Y1281" s="565" t="n"/>
      <x:c r="Z1281" s="565" t="n"/>
    </x:row>
    <x:row r="1282">
      <x:c r="A1282" s="527" t="inlineStr">
        <x:is>
          <x:t xml:space="preserve">2006-000767</x:t>
        </x:is>
      </x:c>
      <x:c r="B1282" s="527" t="n"/>
      <x:c r="C1282" s="527" t="inlineStr">
        <x:is>
          <x:t xml:space="preserve">Assignment</x:t>
        </x:is>
      </x:c>
      <x:c r="D1282" s="527" t="inlineStr">
        <x:is>
          <x:t xml:space="preserve">1822/0018</x:t>
        </x:is>
      </x:c>
      <x:c r="E1282" s="529" t="inlineStr">
        <x:is>
          <x:t xml:space="preserve">02/01/2006</x:t>
        </x:is>
      </x:c>
      <x:c r="F1282" s="529" t="n">
        <x:v>38651</x:v>
      </x:c>
      <x:c r="G1282" s="527" t="inlineStr">
        <x:is>
          <x:t xml:space="preserve">Harris Jess III, Inc.</x:t>
        </x:is>
      </x:c>
      <x:c r="H1282" s="527" t="inlineStr">
        <x:is>
          <x:t xml:space="preserve">Newfield Exploration Mid Cont, Inc.</x:t>
        </x:is>
      </x:c>
      <x:c r="I1282" s="527" t="inlineStr">
        <x:is>
          <x:t xml:space="preserve">W/2 NW/4, Lots 1 of 31-12N-24W</x:t>
        </x:is>
      </x:c>
      <x:c r="J1282" s="527" t="inlineStr">
        <x:is>
          <x:t xml:space="preserve">Leasehold / WI</x:t>
        </x:is>
      </x:c>
      <x:c r="K1282" s="527" t="inlineStr">
        <x:is>
          <x:t xml:space="preserve">OKCountyRecords official index, Roger Mills County (instrument 2006-000767); searched 06/11/2026</x:t>
        </x:is>
      </x:c>
      <x:c r="L1282" s="565" t="n"/>
      <x:c r="M1282" s="565" t="n"/>
      <x:c r="N1282" s="565" t="n"/>
      <x:c r="O1282" s="565" t="n"/>
      <x:c r="P1282" s="565" t="n"/>
      <x:c r="Q1282" s="565" t="n"/>
      <x:c r="R1282" s="565" t="n"/>
      <x:c r="S1282" s="613" t="n"/>
      <x:c r="T1282" s="565" t="n"/>
      <x:c r="U1282" s="613" t="n"/>
      <x:c r="V1282" s="565" t="n"/>
      <x:c r="W1282" s="565" t="n"/>
      <x:c r="X1282" s="565" t="n"/>
      <x:c r="Y1282" s="565" t="n"/>
      <x:c r="Z1282" s="565" t="n"/>
    </x:row>
    <x:row r="1283">
      <x:c r="A1283" s="527" t="inlineStr">
        <x:is>
          <x:t xml:space="preserve">2006-000770</x:t>
        </x:is>
      </x:c>
      <x:c r="B1283" s="527" t="n"/>
      <x:c r="C1283" s="527" t="inlineStr">
        <x:is>
          <x:t xml:space="preserve">Assignment</x:t>
        </x:is>
      </x:c>
      <x:c r="D1283" s="527" t="inlineStr">
        <x:is>
          <x:t xml:space="preserve">1822/0021</x:t>
        </x:is>
      </x:c>
      <x:c r="E1283" s="529" t="inlineStr">
        <x:is>
          <x:t xml:space="preserve">02/01/2006</x:t>
        </x:is>
      </x:c>
      <x:c r="F1283" s="529" t="n">
        <x:v>38686</x:v>
      </x:c>
      <x:c r="G1283" s="527" t="inlineStr">
        <x:is>
          <x:t xml:space="preserve">Harris Jess III, Inc.</x:t>
        </x:is>
      </x:c>
      <x:c r="H1283" s="527" t="inlineStr">
        <x:is>
          <x:t xml:space="preserve">Newfield Exploration Mid Cont, Inc.</x:t>
        </x:is>
      </x:c>
      <x:c r="I1283" s="527" t="inlineStr">
        <x:is>
          <x:t xml:space="preserve">S/2 NE/4 SW/4, S/2 S/2 SW/4, SE/4 SW/4, Lots 3 of 31-12N-24W</x:t>
        </x:is>
      </x:c>
      <x:c r="J1283" s="527" t="inlineStr">
        <x:is>
          <x:t xml:space="preserve">Leasehold / WI</x:t>
        </x:is>
      </x:c>
      <x:c r="K1283" s="527" t="inlineStr">
        <x:is>
          <x:t xml:space="preserve">OKCountyRecords official index, Roger Mills County (instrument 2006-000770); searched 06/11/2026</x:t>
        </x:is>
      </x:c>
      <x:c r="L1283" s="565" t="n"/>
      <x:c r="M1283" s="565" t="n"/>
      <x:c r="N1283" s="565" t="n"/>
      <x:c r="O1283" s="565" t="n"/>
      <x:c r="P1283" s="565" t="n"/>
      <x:c r="Q1283" s="565" t="n"/>
      <x:c r="R1283" s="565" t="n"/>
      <x:c r="S1283" s="613" t="n"/>
      <x:c r="T1283" s="565" t="n"/>
      <x:c r="U1283" s="613" t="n"/>
      <x:c r="V1283" s="565" t="n"/>
      <x:c r="W1283" s="565" t="n"/>
      <x:c r="X1283" s="565" t="n"/>
      <x:c r="Y1283" s="565" t="n"/>
      <x:c r="Z1283" s="565" t="n"/>
    </x:row>
    <x:row r="1284">
      <x:c r="A1284" s="527" t="inlineStr">
        <x:is>
          <x:t xml:space="preserve">2006-000776</x:t>
        </x:is>
      </x:c>
      <x:c r="B1284" s="527" t="n"/>
      <x:c r="C1284" s="527" t="inlineStr">
        <x:is>
          <x:t xml:space="preserve">Assignment</x:t>
        </x:is>
      </x:c>
      <x:c r="D1284" s="527" t="inlineStr">
        <x:is>
          <x:t xml:space="preserve">1822/0027</x:t>
        </x:is>
      </x:c>
      <x:c r="E1284" s="529" t="inlineStr">
        <x:is>
          <x:t xml:space="preserve">02/01/2006</x:t>
        </x:is>
      </x:c>
      <x:c r="F1284" s="529" t="n">
        <x:v>38666</x:v>
      </x:c>
      <x:c r="G1284" s="527" t="inlineStr">
        <x:is>
          <x:t xml:space="preserve">Harris Jess III, Inc.</x:t>
        </x:is>
      </x:c>
      <x:c r="H1284" s="527" t="inlineStr">
        <x:is>
          <x:t xml:space="preserve">Newfield Exploration Mid Con Tinc</x:t>
        </x:is>
      </x:c>
      <x:c r="I1284" s="527" t="inlineStr">
        <x:is>
          <x:t xml:space="preserve">SE/4 SE/4, SW/4 NE/4, W/2 SE/4 of 31-12N-24W</x:t>
        </x:is>
      </x:c>
      <x:c r="J1284" s="527" t="inlineStr">
        <x:is>
          <x:t xml:space="preserve">Leasehold / WI</x:t>
        </x:is>
      </x:c>
      <x:c r="K1284" s="527" t="inlineStr">
        <x:is>
          <x:t xml:space="preserve">OKCountyRecords official index, Roger Mills County (instrument 2006-000776); searched 06/11/2026</x:t>
        </x:is>
      </x:c>
      <x:c r="L1284" s="565" t="n"/>
      <x:c r="M1284" s="565" t="n"/>
      <x:c r="N1284" s="565" t="n"/>
      <x:c r="O1284" s="565" t="n"/>
      <x:c r="P1284" s="565" t="n"/>
      <x:c r="Q1284" s="565" t="n"/>
      <x:c r="R1284" s="565" t="n"/>
      <x:c r="S1284" s="613" t="n"/>
      <x:c r="T1284" s="565" t="n"/>
      <x:c r="U1284" s="613" t="n"/>
      <x:c r="V1284" s="565" t="n"/>
      <x:c r="W1284" s="565" t="n"/>
      <x:c r="X1284" s="565" t="n"/>
      <x:c r="Y1284" s="565" t="n"/>
      <x:c r="Z1284" s="565" t="n"/>
    </x:row>
    <x:row r="1285">
      <x:c r="A1285" s="527" t="inlineStr">
        <x:is>
          <x:t xml:space="preserve">2006-000778</x:t>
        </x:is>
      </x:c>
      <x:c r="B1285" s="527" t="n"/>
      <x:c r="C1285" s="527" t="inlineStr">
        <x:is>
          <x:t xml:space="preserve">Assignment</x:t>
        </x:is>
      </x:c>
      <x:c r="D1285" s="527" t="inlineStr">
        <x:is>
          <x:t xml:space="preserve">1822/0029</x:t>
        </x:is>
      </x:c>
      <x:c r="E1285" s="529" t="inlineStr">
        <x:is>
          <x:t xml:space="preserve">02/01/2006</x:t>
        </x:is>
      </x:c>
      <x:c r="F1285" s="529" t="n">
        <x:v>38666</x:v>
      </x:c>
      <x:c r="G1285" s="527" t="inlineStr">
        <x:is>
          <x:t xml:space="preserve">Harris Jess III, Inc.</x:t>
        </x:is>
      </x:c>
      <x:c r="H1285" s="527" t="inlineStr">
        <x:is>
          <x:t xml:space="preserve">Newfield Exploration Mid Cont, Inc.</x:t>
        </x:is>
      </x:c>
      <x:c r="I1285" s="527" t="inlineStr">
        <x:is>
          <x:t xml:space="preserve">SE/4 SE/4, SW/4 NE/4, W/2 SE/4 of 31-12N-24W</x:t>
        </x:is>
      </x:c>
      <x:c r="J1285" s="527" t="inlineStr">
        <x:is>
          <x:t xml:space="preserve">Leasehold / WI</x:t>
        </x:is>
      </x:c>
      <x:c r="K1285" s="527" t="inlineStr">
        <x:is>
          <x:t xml:space="preserve">OKCountyRecords official index, Roger Mills County (instrument 2006-000778); searched 06/11/2026</x:t>
        </x:is>
      </x:c>
      <x:c r="L1285" s="565" t="n"/>
      <x:c r="M1285" s="565" t="n"/>
      <x:c r="N1285" s="565" t="n"/>
      <x:c r="O1285" s="565" t="n"/>
      <x:c r="P1285" s="565" t="n"/>
      <x:c r="Q1285" s="565" t="n"/>
      <x:c r="R1285" s="565" t="n"/>
      <x:c r="S1285" s="613" t="n"/>
      <x:c r="T1285" s="565" t="n"/>
      <x:c r="U1285" s="613" t="n"/>
      <x:c r="V1285" s="565" t="n"/>
      <x:c r="W1285" s="565" t="n"/>
      <x:c r="X1285" s="565" t="n"/>
      <x:c r="Y1285" s="565" t="n"/>
      <x:c r="Z1285" s="565" t="n"/>
    </x:row>
    <x:row r="1286">
      <x:c r="A1286" s="527" t="inlineStr">
        <x:is>
          <x:t xml:space="preserve">2006-000870</x:t>
        </x:is>
      </x:c>
      <x:c r="B1286" s="527" t="n"/>
      <x:c r="C1286" s="527" t="inlineStr">
        <x:is>
          <x:t xml:space="preserve">Correction</x:t>
        </x:is>
      </x:c>
      <x:c r="D1286" s="527" t="inlineStr">
        <x:is>
          <x:t xml:space="preserve">1822/0291</x:t>
        </x:is>
      </x:c>
      <x:c r="E1286" s="529" t="inlineStr">
        <x:is>
          <x:t xml:space="preserve">02/03/2006</x:t>
        </x:is>
      </x:c>
      <x:c r="F1286" s="529" t="n">
        <x:v>38733</x:v>
      </x:c>
      <x:c r="G1286" s="527" t="inlineStr">
        <x:is>
          <x:t xml:space="preserve">Arrowhead Resources, Inc.</x:t>
        </x:is>
      </x:c>
      <x:c r="H1286" s="527" t="inlineStr">
        <x:is>
          <x:t xml:space="preserve">Map2004-ok</x:t>
        </x:is>
      </x:c>
      <x:c r="I1286" s="527" t="inlineStr">
        <x:is>
          <x:t xml:space="preserve">SE/4 SW/4 of 31-12N-24W</x:t>
        </x:is>
      </x:c>
      <x:c r="J1286" s="527" t="inlineStr">
        <x:is>
          <x:t xml:space="preserve">See instrument</x:t>
        </x:is>
      </x:c>
      <x:c r="K1286" s="527" t="inlineStr">
        <x:is>
          <x:t xml:space="preserve">OKCountyRecords official index, Roger Mills County (instrument 2006-000870); searched 06/11/2026</x:t>
        </x:is>
      </x:c>
      <x:c r="L1286" s="565" t="n"/>
      <x:c r="M1286" s="565" t="n"/>
      <x:c r="N1286" s="565" t="n"/>
      <x:c r="O1286" s="565" t="n"/>
      <x:c r="P1286" s="565" t="n"/>
      <x:c r="Q1286" s="565" t="n"/>
      <x:c r="R1286" s="565" t="n"/>
      <x:c r="S1286" s="613" t="n"/>
      <x:c r="T1286" s="565" t="n"/>
      <x:c r="U1286" s="613" t="n"/>
      <x:c r="V1286" s="565" t="n"/>
      <x:c r="W1286" s="565" t="n"/>
      <x:c r="X1286" s="565" t="n"/>
      <x:c r="Y1286" s="565" t="n"/>
      <x:c r="Z1286" s="565" t="n"/>
    </x:row>
    <x:row r="1287">
      <x:c r="A1287" s="527" t="inlineStr">
        <x:is>
          <x:t xml:space="preserve">2006-000931</x:t>
        </x:is>
      </x:c>
      <x:c r="B1287" s="527" t="n">
        <x:v>35</x:v>
      </x:c>
      <x:c r="C1287" s="527" t="inlineStr">
        <x:is>
          <x:t xml:space="preserve">Oil and Gas Lease</x:t>
        </x:is>
      </x:c>
      <x:c r="D1287" s="527" t="inlineStr">
        <x:is>
          <x:t xml:space="preserve">1822/0562</x:t>
        </x:is>
      </x:c>
      <x:c r="E1287" s="529" t="inlineStr">
        <x:is>
          <x:t xml:space="preserve">02/06/2006</x:t>
        </x:is>
      </x:c>
      <x:c r="F1287" s="529" t="n">
        <x:v>38693</x:v>
      </x:c>
      <x:c r="G1287" s="527" t="inlineStr">
        <x:is>
          <x:t xml:space="preserve">Clyde A. Pine</x:t>
        </x:is>
      </x:c>
      <x:c r="H1287" s="527" t="inlineStr">
        <x:is>
          <x:t xml:space="preserve">Harris Jess III, Inc.</x:t>
        </x:is>
      </x:c>
      <x:c r="I1287" s="527" t="inlineStr">
        <x:is>
          <x:t xml:space="preserve">E/2 NW/4 of 31-12N-24W</x:t>
        </x:is>
      </x:c>
      <x:c r="J1287" s="527" t="inlineStr">
        <x:is>
          <x:t xml:space="preserve">Leasehold / WI</x:t>
        </x:is>
      </x:c>
      <x:c r="K1287" s="527" t="inlineStr">
        <x:is>
          <x:t xml:space="preserve">OKCountyRecords official index, Roger Mills County (instrument 2006-000931); searched 06/11/2026</x:t>
        </x:is>
      </x:c>
      <x:c r="L1287" s="565" t="n"/>
      <x:c r="M1287" s="565" t="n"/>
      <x:c r="N1287" s="565" t="n"/>
      <x:c r="O1287" s="565" t="n"/>
      <x:c r="P1287" s="565" t="n"/>
      <x:c r="Q1287" s="565" t="n"/>
      <x:c r="R1287" s="565" t="n"/>
      <x:c r="S1287" s="613" t="n"/>
      <x:c r="T1287" s="565" t="n"/>
      <x:c r="U1287" s="613" t="n"/>
      <x:c r="V1287" s="565" t="n"/>
      <x:c r="W1287" s="565" t="n"/>
      <x:c r="X1287" s="565" t="n"/>
      <x:c r="Y1287" s="565" t="n"/>
      <x:c r="Z1287" s="565" t="n"/>
    </x:row>
    <x:row r="1288">
      <x:c r="A1288" s="527" t="inlineStr">
        <x:is>
          <x:t xml:space="preserve">2006-000936</x:t>
        </x:is>
      </x:c>
      <x:c r="B1288" s="527" t="n">
        <x:v>33</x:v>
      </x:c>
      <x:c r="C1288" s="527" t="inlineStr">
        <x:is>
          <x:t xml:space="preserve">Oil and Gas Lease</x:t>
        </x:is>
      </x:c>
      <x:c r="D1288" s="527" t="inlineStr">
        <x:is>
          <x:t xml:space="preserve">1822/0572</x:t>
        </x:is>
      </x:c>
      <x:c r="E1288" s="529" t="inlineStr">
        <x:is>
          <x:t xml:space="preserve">02/06/2006</x:t>
        </x:is>
      </x:c>
      <x:c r="F1288" s="529" t="n">
        <x:v>38657</x:v>
      </x:c>
      <x:c r="G1288" s="527" t="inlineStr">
        <x:is>
          <x:t xml:space="preserve">David S. Silverberg</x:t>
        </x:is>
      </x:c>
      <x:c r="H1288" s="527" t="inlineStr">
        <x:is>
          <x:t xml:space="preserve">Harris Jess III, Inc.</x:t>
        </x:is>
      </x:c>
      <x:c r="I1288" s="527" t="inlineStr">
        <x:is>
          <x:t xml:space="preserve">SE/4 SE/4, SW/4 NE/4, W/2 SE/4 of 31-12N-24W</x:t>
        </x:is>
      </x:c>
      <x:c r="J1288" s="527" t="inlineStr">
        <x:is>
          <x:t xml:space="preserve">Leasehold / WI</x:t>
        </x:is>
      </x:c>
      <x:c r="K1288" s="527" t="inlineStr">
        <x:is>
          <x:t xml:space="preserve">OKCountyRecords official index, Roger Mills County (instrument 2006-000936); searched 06/11/2026</x:t>
        </x:is>
      </x:c>
      <x:c r="L1288" s="565" t="n"/>
      <x:c r="M1288" s="565" t="n"/>
      <x:c r="N1288" s="565" t="n"/>
      <x:c r="O1288" s="565" t="n"/>
      <x:c r="P1288" s="565" t="n"/>
      <x:c r="Q1288" s="565" t="n"/>
      <x:c r="R1288" s="565" t="n"/>
      <x:c r="S1288" s="613" t="n"/>
      <x:c r="T1288" s="565" t="n"/>
      <x:c r="U1288" s="613" t="n"/>
      <x:c r="V1288" s="565" t="n"/>
      <x:c r="W1288" s="565" t="n"/>
      <x:c r="X1288" s="565" t="n"/>
      <x:c r="Y1288" s="565" t="n"/>
      <x:c r="Z1288" s="565" t="n"/>
    </x:row>
    <x:row r="1289">
      <x:c r="A1289" s="527" t="inlineStr">
        <x:is>
          <x:t xml:space="preserve">2006-000937</x:t>
        </x:is>
      </x:c>
      <x:c r="B1289" s="527" t="n"/>
      <x:c r="C1289" s="527" t="inlineStr">
        <x:is>
          <x:t xml:space="preserve">Oil and Gas Lease</x:t>
        </x:is>
      </x:c>
      <x:c r="D1289" s="527" t="inlineStr">
        <x:is>
          <x:t xml:space="preserve">1822/0574</x:t>
        </x:is>
      </x:c>
      <x:c r="E1289" s="529" t="inlineStr">
        <x:is>
          <x:t xml:space="preserve">02/06/2006</x:t>
        </x:is>
      </x:c>
      <x:c r="F1289" s="529" t="n">
        <x:v>38657</x:v>
      </x:c>
      <x:c r="G1289" s="527" t="inlineStr">
        <x:is>
          <x:t xml:space="preserve">Mary Ellen Sitzmann</x:t>
        </x:is>
      </x:c>
      <x:c r="H1289" s="527" t="inlineStr">
        <x:is>
          <x:t xml:space="preserve">Harris Jess III, Inc.</x:t>
        </x:is>
      </x:c>
      <x:c r="I1289" s="527" t="inlineStr">
        <x:is>
          <x:t xml:space="preserve">SE/4 SE/4, SW/4 NE/4, W/2 SE/4 of 31-12N-24W</x:t>
        </x:is>
      </x:c>
      <x:c r="J1289" s="527" t="inlineStr">
        <x:is>
          <x:t xml:space="preserve">Leasehold / WI</x:t>
        </x:is>
      </x:c>
      <x:c r="K1289" s="527" t="inlineStr">
        <x:is>
          <x:t xml:space="preserve">OKCountyRecords official index, Roger Mills County (instrument 2006-000937); searched 06/11/2026</x:t>
        </x:is>
      </x:c>
      <x:c r="L1289" s="565" t="n"/>
      <x:c r="M1289" s="565" t="n"/>
      <x:c r="N1289" s="565" t="n"/>
      <x:c r="O1289" s="565" t="n"/>
      <x:c r="P1289" s="565" t="n"/>
      <x:c r="Q1289" s="565" t="n"/>
      <x:c r="R1289" s="565" t="n"/>
      <x:c r="S1289" s="613" t="n"/>
      <x:c r="T1289" s="565" t="n"/>
      <x:c r="U1289" s="613" t="n"/>
      <x:c r="V1289" s="565" t="n"/>
      <x:c r="W1289" s="565" t="n"/>
      <x:c r="X1289" s="565" t="n"/>
      <x:c r="Y1289" s="565" t="n"/>
      <x:c r="Z1289" s="565" t="n"/>
    </x:row>
    <x:row r="1290">
      <x:c r="A1290" s="527" t="inlineStr">
        <x:is>
          <x:t xml:space="preserve">2006-000938</x:t>
        </x:is>
      </x:c>
      <x:c r="B1290" s="527" t="n"/>
      <x:c r="C1290" s="527" t="inlineStr">
        <x:is>
          <x:t xml:space="preserve">Oil and Gas Lease</x:t>
        </x:is>
      </x:c>
      <x:c r="D1290" s="527" t="inlineStr">
        <x:is>
          <x:t xml:space="preserve">1822/0576</x:t>
        </x:is>
      </x:c>
      <x:c r="E1290" s="529" t="inlineStr">
        <x:is>
          <x:t xml:space="preserve">02/06/2006</x:t>
        </x:is>
      </x:c>
      <x:c r="F1290" s="529" t="n">
        <x:v>38677</x:v>
      </x:c>
      <x:c r="G1290" s="527" t="inlineStr">
        <x:is>
          <x:t xml:space="preserve">Charles D. Ray</x:t>
        </x:is>
      </x:c>
      <x:c r="H1290" s="527" t="inlineStr">
        <x:is>
          <x:t xml:space="preserve">Harris Jess III, Inc.</x:t>
        </x:is>
      </x:c>
      <x:c r="I1290" s="527" t="inlineStr">
        <x:is>
          <x:t xml:space="preserve">E/2 NW/4 of 31-12N-24W</x:t>
        </x:is>
      </x:c>
      <x:c r="J1290" s="527" t="inlineStr">
        <x:is>
          <x:t xml:space="preserve">Leasehold / WI</x:t>
        </x:is>
      </x:c>
      <x:c r="K1290" s="527" t="inlineStr">
        <x:is>
          <x:t xml:space="preserve">OKCountyRecords official index, Roger Mills County (instrument 2006-000938); searched 06/11/2026</x:t>
        </x:is>
      </x:c>
      <x:c r="L1290" s="565" t="n"/>
      <x:c r="M1290" s="565" t="n"/>
      <x:c r="N1290" s="565" t="n"/>
      <x:c r="O1290" s="565" t="n"/>
      <x:c r="P1290" s="565" t="n"/>
      <x:c r="Q1290" s="565" t="n"/>
      <x:c r="R1290" s="565" t="n"/>
      <x:c r="S1290" s="613" t="n"/>
      <x:c r="T1290" s="565" t="n"/>
      <x:c r="U1290" s="613" t="n"/>
      <x:c r="V1290" s="565" t="n"/>
      <x:c r="W1290" s="565" t="n"/>
      <x:c r="X1290" s="565" t="n"/>
      <x:c r="Y1290" s="565" t="n"/>
      <x:c r="Z1290" s="565" t="n"/>
    </x:row>
    <x:row r="1291">
      <x:c r="A1291" s="527" t="inlineStr">
        <x:is>
          <x:t xml:space="preserve">2006-000939</x:t>
        </x:is>
      </x:c>
      <x:c r="B1291" s="527" t="n"/>
      <x:c r="C1291" s="527" t="inlineStr">
        <x:is>
          <x:t xml:space="preserve">Oil and Gas Lease</x:t>
        </x:is>
      </x:c>
      <x:c r="D1291" s="527" t="inlineStr">
        <x:is>
          <x:t xml:space="preserve">1822/0578</x:t>
        </x:is>
      </x:c>
      <x:c r="E1291" s="529" t="inlineStr">
        <x:is>
          <x:t xml:space="preserve">02/06/2006</x:t>
        </x:is>
      </x:c>
      <x:c r="F1291" s="529" t="n">
        <x:v>38657</x:v>
      </x:c>
      <x:c r="G1291" s="527" t="inlineStr">
        <x:is>
          <x:t xml:space="preserve">Lyle T. Ibeling</x:t>
        </x:is>
      </x:c>
      <x:c r="H1291" s="527" t="inlineStr">
        <x:is>
          <x:t xml:space="preserve">Harris Jess III, Inc.</x:t>
        </x:is>
      </x:c>
      <x:c r="I1291" s="527" t="inlineStr">
        <x:is>
          <x:t xml:space="preserve">SE/4 SE/4, SW/4 NE/4, W/2 SE/4 of 31-12N-24W</x:t>
        </x:is>
      </x:c>
      <x:c r="J1291" s="527" t="inlineStr">
        <x:is>
          <x:t xml:space="preserve">Leasehold / WI</x:t>
        </x:is>
      </x:c>
      <x:c r="K1291" s="527" t="inlineStr">
        <x:is>
          <x:t xml:space="preserve">OKCountyRecords official index, Roger Mills County (instrument 2006-000939); searched 06/11/2026</x:t>
        </x:is>
      </x:c>
      <x:c r="L1291" s="565" t="n"/>
      <x:c r="M1291" s="565" t="n"/>
      <x:c r="N1291" s="565" t="n"/>
      <x:c r="O1291" s="565" t="n"/>
      <x:c r="P1291" s="565" t="n"/>
      <x:c r="Q1291" s="565" t="n"/>
      <x:c r="R1291" s="565" t="n"/>
      <x:c r="S1291" s="613" t="n"/>
      <x:c r="T1291" s="565" t="n"/>
      <x:c r="U1291" s="613" t="n"/>
      <x:c r="V1291" s="565" t="n"/>
      <x:c r="W1291" s="565" t="n"/>
      <x:c r="X1291" s="565" t="n"/>
      <x:c r="Y1291" s="565" t="n"/>
      <x:c r="Z1291" s="565" t="n"/>
    </x:row>
    <x:row r="1292">
      <x:c r="A1292" s="527" t="inlineStr">
        <x:is>
          <x:t xml:space="preserve">2006-001223</x:t>
        </x:is>
      </x:c>
      <x:c r="B1292" s="527" t="n"/>
      <x:c r="C1292" s="527" t="inlineStr">
        <x:is>
          <x:t xml:space="preserve">Oil and Gas Lease</x:t>
        </x:is>
      </x:c>
      <x:c r="D1292" s="527" t="inlineStr">
        <x:is>
          <x:t xml:space="preserve">1824/0181</x:t>
        </x:is>
      </x:c>
      <x:c r="E1292" s="529" t="inlineStr">
        <x:is>
          <x:t xml:space="preserve">02/14/2006</x:t>
        </x:is>
      </x:c>
      <x:c r="F1292" s="529" t="n">
        <x:v>38001</x:v>
      </x:c>
      <x:c r="G1292" s="527" t="inlineStr">
        <x:is>
          <x:t xml:space="preserve">Wilda E. Jensen</x:t>
        </x:is>
      </x:c>
      <x:c r="H1292" s="527" t="inlineStr">
        <x:is>
          <x:t xml:space="preserve">R. Michael Lortz</x:t>
        </x:is>
      </x:c>
      <x:c r="I1292" s="527" t="inlineStr">
        <x:is>
          <x:t xml:space="preserve">NW/4 SE/4, S/2 SE/4, SW/4 NE/4 of 31-12N-24W</x:t>
        </x:is>
      </x:c>
      <x:c r="J1292" s="527" t="inlineStr">
        <x:is>
          <x:t xml:space="preserve">Leasehold / WI</x:t>
        </x:is>
      </x:c>
      <x:c r="K1292" s="527" t="inlineStr">
        <x:is>
          <x:t xml:space="preserve">OKCountyRecords official index, Roger Mills County (instrument 2006-001223); searched 06/11/2026</x:t>
        </x:is>
      </x:c>
      <x:c r="L1292" s="565" t="n"/>
      <x:c r="M1292" s="565" t="n"/>
      <x:c r="N1292" s="565" t="n"/>
      <x:c r="O1292" s="565" t="n"/>
      <x:c r="P1292" s="565" t="n"/>
      <x:c r="Q1292" s="565" t="n"/>
      <x:c r="R1292" s="565" t="n"/>
      <x:c r="S1292" s="613" t="n"/>
      <x:c r="T1292" s="565" t="n"/>
      <x:c r="U1292" s="613" t="n"/>
      <x:c r="V1292" s="565" t="n"/>
      <x:c r="W1292" s="565" t="n"/>
      <x:c r="X1292" s="565" t="n"/>
      <x:c r="Y1292" s="565" t="n"/>
      <x:c r="Z1292" s="565" t="n"/>
    </x:row>
    <x:row r="1293">
      <x:c r="A1293" s="527" t="inlineStr">
        <x:is>
          <x:t xml:space="preserve">2006-001349</x:t>
        </x:is>
      </x:c>
      <x:c r="B1293" s="527" t="n"/>
      <x:c r="C1293" s="527" t="inlineStr">
        <x:is>
          <x:t xml:space="preserve">Assignment</x:t>
        </x:is>
      </x:c>
      <x:c r="D1293" s="527" t="inlineStr">
        <x:is>
          <x:t xml:space="preserve">1825/0037</x:t>
        </x:is>
      </x:c>
      <x:c r="E1293" s="529" t="inlineStr">
        <x:is>
          <x:t xml:space="preserve">02/17/2006</x:t>
        </x:is>
      </x:c>
      <x:c r="F1293" s="529" t="n">
        <x:v>38748</x:v>
      </x:c>
      <x:c r="G1293" s="527" t="inlineStr">
        <x:is>
          <x:t xml:space="preserve">Todco Properties, Inc.</x:t>
        </x:is>
      </x:c>
      <x:c r="H1293" s="527" t="inlineStr">
        <x:is>
          <x:t xml:space="preserve">Samson Resources Company</x:t>
        </x:is>
      </x:c>
      <x:c r="I1293" s="527" t="inlineStr">
        <x:is>
          <x:t xml:space="preserve">E/2 NW/4, N/2 NE/4, NE/4 SE/4, NW/4 SE/4, S/2 NE/4, SE/4 NE/4, SW/4 NE/4 of 31-12N-24W</x:t>
        </x:is>
      </x:c>
      <x:c r="J1293" s="527" t="inlineStr">
        <x:is>
          <x:t xml:space="preserve">Leasehold / WI</x:t>
        </x:is>
      </x:c>
      <x:c r="K1293" s="527" t="inlineStr">
        <x:is>
          <x:t xml:space="preserve">OKCountyRecords official index, Roger Mills County (instrument 2006-001349); searched 06/11/2026</x:t>
        </x:is>
      </x:c>
      <x:c r="L1293" s="565" t="n"/>
      <x:c r="M1293" s="565" t="n"/>
      <x:c r="N1293" s="565" t="n"/>
      <x:c r="O1293" s="565" t="n"/>
      <x:c r="P1293" s="565" t="n"/>
      <x:c r="Q1293" s="565" t="n"/>
      <x:c r="R1293" s="565" t="n"/>
      <x:c r="S1293" s="613" t="n"/>
      <x:c r="T1293" s="565" t="n"/>
      <x:c r="U1293" s="613" t="n"/>
      <x:c r="V1293" s="565" t="n"/>
      <x:c r="W1293" s="565" t="n"/>
      <x:c r="X1293" s="565" t="n"/>
      <x:c r="Y1293" s="565" t="n"/>
      <x:c r="Z1293" s="565" t="n"/>
    </x:row>
    <x:row r="1294">
      <x:c r="A1294" s="527" t="inlineStr">
        <x:is>
          <x:t xml:space="preserve">2006-001886</x:t>
        </x:is>
      </x:c>
      <x:c r="B1294" s="527" t="n"/>
      <x:c r="C1294" s="527" t="inlineStr">
        <x:is>
          <x:t xml:space="preserve">Oil and Gas Lease</x:t>
        </x:is>
      </x:c>
      <x:c r="D1294" s="527" t="inlineStr">
        <x:is>
          <x:t xml:space="preserve">1827/0548</x:t>
        </x:is>
      </x:c>
      <x:c r="E1294" s="529" t="inlineStr">
        <x:is>
          <x:t xml:space="preserve">03/09/2006</x:t>
        </x:is>
      </x:c>
      <x:c r="F1294" s="529" t="n">
        <x:v>38720</x:v>
      </x:c>
      <x:c r="G1294" s="527" t="inlineStr">
        <x:is>
          <x:t xml:space="preserve">B. H. C. H. Mineral, Ltd.,
B. H. C. H. Properties, Ltd.</x:t>
        </x:is>
      </x:c>
      <x:c r="H1294" s="527" t="inlineStr">
        <x:is>
          <x:t xml:space="preserve">Harris Jess III, Inc.</x:t>
        </x:is>
      </x:c>
      <x:c r="I1294" s="527" t="inlineStr">
        <x:is>
          <x:t xml:space="preserve">E/2 NW/4, N/2 NE/4 SW/4, NE/4 SE/4, SE/4 NE/4 of 31-12N-24W</x:t>
        </x:is>
      </x:c>
      <x:c r="J1294" s="527" t="inlineStr">
        <x:is>
          <x:t xml:space="preserve">Leasehold / WI</x:t>
        </x:is>
      </x:c>
      <x:c r="K1294" s="527" t="inlineStr">
        <x:is>
          <x:t xml:space="preserve">OKCountyRecords official index, Roger Mills County (instrument 2006-001886); searched 06/11/2026</x:t>
        </x:is>
      </x:c>
      <x:c r="L1294" s="565" t="n"/>
      <x:c r="M1294" s="565" t="n"/>
      <x:c r="N1294" s="565" t="n"/>
      <x:c r="O1294" s="565" t="n"/>
      <x:c r="P1294" s="565" t="n"/>
      <x:c r="Q1294" s="565" t="n"/>
      <x:c r="R1294" s="565" t="n"/>
      <x:c r="S1294" s="613" t="n"/>
      <x:c r="T1294" s="565" t="n"/>
      <x:c r="U1294" s="613" t="n"/>
      <x:c r="V1294" s="565" t="n"/>
      <x:c r="W1294" s="565" t="n"/>
      <x:c r="X1294" s="565" t="n"/>
      <x:c r="Y1294" s="565" t="n"/>
      <x:c r="Z1294" s="565" t="n"/>
    </x:row>
    <x:row r="1295">
      <x:c r="A1295" s="527" t="inlineStr">
        <x:is>
          <x:t xml:space="preserve">2006-001930</x:t>
        </x:is>
      </x:c>
      <x:c r="B1295" s="527" t="n"/>
      <x:c r="C1295" s="527" t="inlineStr">
        <x:is>
          <x:t xml:space="preserve">Assignment</x:t>
        </x:is>
      </x:c>
      <x:c r="D1295" s="527" t="inlineStr">
        <x:is>
          <x:t xml:space="preserve">1828/0302</x:t>
        </x:is>
      </x:c>
      <x:c r="E1295" s="529" t="inlineStr">
        <x:is>
          <x:t xml:space="preserve">03/13/2006</x:t>
        </x:is>
      </x:c>
      <x:c r="F1295" s="529" t="n">
        <x:v>38737</x:v>
      </x:c>
      <x:c r="G1295" s="527" t="inlineStr">
        <x:is>
          <x:t xml:space="preserve">Harris, Jess III, Inc.</x:t>
        </x:is>
      </x:c>
      <x:c r="H1295" s="527" t="inlineStr">
        <x:is>
          <x:t xml:space="preserve">Newfield Exploration Mid Cont, Inc.</x:t>
        </x:is>
      </x:c>
      <x:c r="I1295" s="527" t="inlineStr">
        <x:is>
          <x:t xml:space="preserve">E/2 NW/4 of 31-12N-24W</x:t>
        </x:is>
      </x:c>
      <x:c r="J1295" s="527" t="inlineStr">
        <x:is>
          <x:t xml:space="preserve">Leasehold / WI</x:t>
        </x:is>
      </x:c>
      <x:c r="K1295" s="527" t="inlineStr">
        <x:is>
          <x:t xml:space="preserve">OKCountyRecords official index, Roger Mills County (instrument 2006-001930); searched 06/11/2026</x:t>
        </x:is>
      </x:c>
      <x:c r="L1295" s="565" t="n"/>
      <x:c r="M1295" s="565" t="n"/>
      <x:c r="N1295" s="565" t="n"/>
      <x:c r="O1295" s="565" t="n"/>
      <x:c r="P1295" s="565" t="n"/>
      <x:c r="Q1295" s="565" t="n"/>
      <x:c r="R1295" s="565" t="n"/>
      <x:c r="S1295" s="613" t="n"/>
      <x:c r="T1295" s="565" t="n"/>
      <x:c r="U1295" s="613" t="n"/>
      <x:c r="V1295" s="565" t="n"/>
      <x:c r="W1295" s="565" t="n"/>
      <x:c r="X1295" s="565" t="n"/>
      <x:c r="Y1295" s="565" t="n"/>
      <x:c r="Z1295" s="565" t="n"/>
    </x:row>
    <x:row r="1296">
      <x:c r="A1296" s="527" t="inlineStr">
        <x:is>
          <x:t xml:space="preserve">2006-002044</x:t>
        </x:is>
      </x:c>
      <x:c r="B1296" s="527" t="n"/>
      <x:c r="C1296" s="527" t="inlineStr">
        <x:is>
          <x:t xml:space="preserve">Oil and Gas Lease</x:t>
        </x:is>
      </x:c>
      <x:c r="D1296" s="527" t="inlineStr">
        <x:is>
          <x:t xml:space="preserve">1829/0026</x:t>
        </x:is>
      </x:c>
      <x:c r="E1296" s="529" t="inlineStr">
        <x:is>
          <x:t xml:space="preserve">03/16/2006</x:t>
        </x:is>
      </x:c>
      <x:c r="F1296" s="529" t="n">
        <x:v>38760</x:v>
      </x:c>
      <x:c r="G1296" s="527" t="inlineStr">
        <x:is>
          <x:t xml:space="preserve">Termo Company</x:t>
        </x:is>
      </x:c>
      <x:c r="H1296" s="527" t="inlineStr">
        <x:is>
          <x:t xml:space="preserve">Devon Energy Prod Co</x:t>
        </x:is>
      </x:c>
      <x:c r="I1296" s="527" t="inlineStr">
        <x:is>
          <x:t xml:space="preserve">E/2 NW/4, N/2 NE/4 SW/4, NE/4 SE/4, SE/4 NE/4 of 31-12N-24W</x:t>
        </x:is>
      </x:c>
      <x:c r="J1296" s="527" t="inlineStr">
        <x:is>
          <x:t xml:space="preserve">Leasehold / WI</x:t>
        </x:is>
      </x:c>
      <x:c r="K1296" s="527" t="inlineStr">
        <x:is>
          <x:t xml:space="preserve">OKCountyRecords official index, Roger Mills County (instrument 2006-002044); searched 06/11/2026</x:t>
        </x:is>
      </x:c>
      <x:c r="L1296" s="565" t="n"/>
      <x:c r="M1296" s="565" t="n"/>
      <x:c r="N1296" s="565" t="n"/>
      <x:c r="O1296" s="565" t="n"/>
      <x:c r="P1296" s="565" t="n"/>
      <x:c r="Q1296" s="565" t="n"/>
      <x:c r="R1296" s="565" t="n"/>
      <x:c r="S1296" s="613" t="n"/>
      <x:c r="T1296" s="565" t="n"/>
      <x:c r="U1296" s="613" t="n"/>
      <x:c r="V1296" s="565" t="n"/>
      <x:c r="W1296" s="565" t="n"/>
      <x:c r="X1296" s="565" t="n"/>
      <x:c r="Y1296" s="565" t="n"/>
      <x:c r="Z1296" s="565" t="n"/>
    </x:row>
    <x:row r="1297">
      <x:c r="A1297" s="527" t="inlineStr">
        <x:is>
          <x:t xml:space="preserve">2006-002339</x:t>
        </x:is>
      </x:c>
      <x:c r="B1297" s="527" t="n"/>
      <x:c r="C1297" s="527" t="inlineStr">
        <x:is>
          <x:t xml:space="preserve">Assignment</x:t>
        </x:is>
      </x:c>
      <x:c r="D1297" s="527" t="inlineStr">
        <x:is>
          <x:t xml:space="preserve">1830/0242</x:t>
        </x:is>
      </x:c>
      <x:c r="E1297" s="529" t="inlineStr">
        <x:is>
          <x:t xml:space="preserve">03/28/2006</x:t>
        </x:is>
      </x:c>
      <x:c r="F1297" s="529" t="n">
        <x:v>38757</x:v>
      </x:c>
      <x:c r="G1297" s="527" t="inlineStr">
        <x:is>
          <x:t xml:space="preserve">Axis Exploration, LLC</x:t>
        </x:is>
      </x:c>
      <x:c r="H1297" s="527" t="inlineStr">
        <x:is>
          <x:t xml:space="preserve">EOG Resources, Inc.</x:t>
        </x:is>
      </x:c>
      <x:c r="I1297" s="527" t="inlineStr">
        <x:is>
          <x:t xml:space="preserve">NW/4 SE/4, S/2 SE/4, SW/4 NE/4 of 31-12N-24W</x:t>
        </x:is>
      </x:c>
      <x:c r="J1297" s="527" t="inlineStr">
        <x:is>
          <x:t xml:space="preserve">Leasehold / WI</x:t>
        </x:is>
      </x:c>
      <x:c r="K1297" s="527" t="inlineStr">
        <x:is>
          <x:t xml:space="preserve">OKCountyRecords official index, Roger Mills County (instrument 2006-002339); searched 06/11/2026</x:t>
        </x:is>
      </x:c>
      <x:c r="L1297" s="565" t="n"/>
      <x:c r="M1297" s="565" t="n"/>
      <x:c r="N1297" s="565" t="n"/>
      <x:c r="O1297" s="565" t="n"/>
      <x:c r="P1297" s="565" t="n"/>
      <x:c r="Q1297" s="565" t="n"/>
      <x:c r="R1297" s="565" t="n"/>
      <x:c r="S1297" s="613" t="n"/>
      <x:c r="T1297" s="565" t="n"/>
      <x:c r="U1297" s="613" t="n"/>
      <x:c r="V1297" s="565" t="n"/>
      <x:c r="W1297" s="565" t="n"/>
      <x:c r="X1297" s="565" t="n"/>
      <x:c r="Y1297" s="565" t="n"/>
      <x:c r="Z1297" s="565" t="n"/>
    </x:row>
    <x:row r="1298">
      <x:c r="A1298" s="527" t="inlineStr">
        <x:is>
          <x:t xml:space="preserve">2006-002436</x:t>
        </x:is>
      </x:c>
      <x:c r="B1298" s="527" t="n"/>
      <x:c r="C1298" s="527" t="inlineStr">
        <x:is>
          <x:t xml:space="preserve">Assignment</x:t>
        </x:is>
      </x:c>
      <x:c r="D1298" s="527" t="inlineStr">
        <x:is>
          <x:t xml:space="preserve">1830/0516</x:t>
        </x:is>
      </x:c>
      <x:c r="E1298" s="529" t="inlineStr">
        <x:is>
          <x:t xml:space="preserve">03/30/2006</x:t>
        </x:is>
      </x:c>
      <x:c r="F1298" s="529" t="n">
        <x:v>38687</x:v>
      </x:c>
      <x:c r="G1298" s="527" t="inlineStr">
        <x:is>
          <x:t xml:space="preserve">Harris, Jess III, Inc.</x:t>
        </x:is>
      </x:c>
      <x:c r="H1298" s="527" t="inlineStr">
        <x:is>
          <x:t xml:space="preserve">Newfield Ex Mid-cont</x:t>
        </x:is>
      </x:c>
      <x:c r="I1298" s="527" t="inlineStr">
        <x:is>
          <x:t xml:space="preserve">NW/4 SE/4, SE/4 SE/4, SW/4 NE/4, W/2 SE/4 of 31-12N-24W</x:t>
        </x:is>
      </x:c>
      <x:c r="J1298" s="527" t="inlineStr">
        <x:is>
          <x:t xml:space="preserve">Leasehold / WI</x:t>
        </x:is>
      </x:c>
      <x:c r="K1298" s="527" t="inlineStr">
        <x:is>
          <x:t xml:space="preserve">OKCountyRecords official index, Roger Mills County (instrument 2006-002436); searched 06/11/2026</x:t>
        </x:is>
      </x:c>
      <x:c r="L1298" s="565" t="n"/>
      <x:c r="M1298" s="565" t="n"/>
      <x:c r="N1298" s="565" t="n"/>
      <x:c r="O1298" s="565" t="n"/>
      <x:c r="P1298" s="565" t="n"/>
      <x:c r="Q1298" s="565" t="n"/>
      <x:c r="R1298" s="565" t="n"/>
      <x:c r="S1298" s="613" t="n"/>
      <x:c r="T1298" s="565" t="n"/>
      <x:c r="U1298" s="613" t="n"/>
      <x:c r="V1298" s="565" t="n"/>
      <x:c r="W1298" s="565" t="n"/>
      <x:c r="X1298" s="565" t="n"/>
      <x:c r="Y1298" s="565" t="n"/>
      <x:c r="Z1298" s="565" t="n"/>
    </x:row>
    <x:row r="1299">
      <x:c r="A1299" s="527" t="inlineStr">
        <x:is>
          <x:t xml:space="preserve">2006-002437</x:t>
        </x:is>
      </x:c>
      <x:c r="B1299" s="527" t="n"/>
      <x:c r="C1299" s="527" t="inlineStr">
        <x:is>
          <x:t xml:space="preserve">Assignment</x:t>
        </x:is>
      </x:c>
      <x:c r="D1299" s="527" t="inlineStr">
        <x:is>
          <x:t xml:space="preserve">1830/0517</x:t>
        </x:is>
      </x:c>
      <x:c r="E1299" s="529" t="inlineStr">
        <x:is>
          <x:t xml:space="preserve">03/30/2006</x:t>
        </x:is>
      </x:c>
      <x:c r="F1299" s="529" t="n">
        <x:v>38687</x:v>
      </x:c>
      <x:c r="G1299" s="527" t="inlineStr">
        <x:is>
          <x:t xml:space="preserve">Harris, Jess III, Inc.</x:t>
        </x:is>
      </x:c>
      <x:c r="H1299" s="527" t="inlineStr">
        <x:is>
          <x:t xml:space="preserve">Newfield Ex Mid-cont</x:t>
        </x:is>
      </x:c>
      <x:c r="I1299" s="527" t="inlineStr">
        <x:is>
          <x:t xml:space="preserve">NW/4 SE/4, SE/4 SE/4, SW/4 NE/4, W/2 SE/4 of 31-12N-24W</x:t>
        </x:is>
      </x:c>
      <x:c r="J1299" s="527" t="inlineStr">
        <x:is>
          <x:t xml:space="preserve">Leasehold / WI</x:t>
        </x:is>
      </x:c>
      <x:c r="K1299" s="527" t="inlineStr">
        <x:is>
          <x:t xml:space="preserve">OKCountyRecords official index, Roger Mills County (instrument 2006-002437); searched 06/11/2026</x:t>
        </x:is>
      </x:c>
      <x:c r="L1299" s="565" t="n"/>
      <x:c r="M1299" s="565" t="n"/>
      <x:c r="N1299" s="565" t="n"/>
      <x:c r="O1299" s="565" t="n"/>
      <x:c r="P1299" s="565" t="n"/>
      <x:c r="Q1299" s="565" t="n"/>
      <x:c r="R1299" s="565" t="n"/>
      <x:c r="S1299" s="613" t="n"/>
      <x:c r="T1299" s="565" t="n"/>
      <x:c r="U1299" s="613" t="n"/>
      <x:c r="V1299" s="565" t="n"/>
      <x:c r="W1299" s="565" t="n"/>
      <x:c r="X1299" s="565" t="n"/>
      <x:c r="Y1299" s="565" t="n"/>
      <x:c r="Z1299" s="565" t="n"/>
    </x:row>
    <x:row r="1300">
      <x:c r="A1300" s="527" t="inlineStr">
        <x:is>
          <x:t xml:space="preserve">2006-002438</x:t>
        </x:is>
      </x:c>
      <x:c r="B1300" s="527" t="n"/>
      <x:c r="C1300" s="527" t="inlineStr">
        <x:is>
          <x:t xml:space="preserve">Assignment</x:t>
        </x:is>
      </x:c>
      <x:c r="D1300" s="527" t="inlineStr">
        <x:is>
          <x:t xml:space="preserve">1830/0518</x:t>
        </x:is>
      </x:c>
      <x:c r="E1300" s="529" t="inlineStr">
        <x:is>
          <x:t xml:space="preserve">03/30/2006</x:t>
        </x:is>
      </x:c>
      <x:c r="F1300" s="529" t="n">
        <x:v>38702</x:v>
      </x:c>
      <x:c r="G1300" s="527" t="inlineStr">
        <x:is>
          <x:t xml:space="preserve">Harris, Jess III, Inc.</x:t>
        </x:is>
      </x:c>
      <x:c r="H1300" s="527" t="inlineStr">
        <x:is>
          <x:t xml:space="preserve">Newfield Ex Mid-cont</x:t>
        </x:is>
      </x:c>
      <x:c r="I1300" s="527" t="inlineStr">
        <x:is>
          <x:t xml:space="preserve">E/2 NW/4 of 31-12N-24W</x:t>
        </x:is>
      </x:c>
      <x:c r="J1300" s="527" t="inlineStr">
        <x:is>
          <x:t xml:space="preserve">Leasehold / WI</x:t>
        </x:is>
      </x:c>
      <x:c r="K1300" s="527" t="inlineStr">
        <x:is>
          <x:t xml:space="preserve">OKCountyRecords official index, Roger Mills County (instrument 2006-002438); searched 06/11/2026</x:t>
        </x:is>
      </x:c>
      <x:c r="L1300" s="565" t="n"/>
      <x:c r="M1300" s="565" t="n"/>
      <x:c r="N1300" s="565" t="n"/>
      <x:c r="O1300" s="565" t="n"/>
      <x:c r="P1300" s="565" t="n"/>
      <x:c r="Q1300" s="565" t="n"/>
      <x:c r="R1300" s="565" t="n"/>
      <x:c r="S1300" s="613" t="n"/>
      <x:c r="T1300" s="565" t="n"/>
      <x:c r="U1300" s="613" t="n"/>
      <x:c r="V1300" s="565" t="n"/>
      <x:c r="W1300" s="565" t="n"/>
      <x:c r="X1300" s="565" t="n"/>
      <x:c r="Y1300" s="565" t="n"/>
      <x:c r="Z1300" s="565" t="n"/>
    </x:row>
    <x:row r="1301">
      <x:c r="A1301" s="527" t="inlineStr">
        <x:is>
          <x:t xml:space="preserve">2006-002508</x:t>
        </x:is>
      </x:c>
      <x:c r="B1301" s="527" t="n"/>
      <x:c r="C1301" s="527" t="inlineStr">
        <x:is>
          <x:t xml:space="preserve">Agreement</x:t>
        </x:is>
      </x:c>
      <x:c r="D1301" s="527" t="inlineStr">
        <x:is>
          <x:t xml:space="preserve">1831/0055</x:t>
        </x:is>
      </x:c>
      <x:c r="E1301" s="529" t="inlineStr">
        <x:is>
          <x:t xml:space="preserve">03/31/2006</x:t>
        </x:is>
      </x:c>
      <x:c r="F1301" s="529" t="n">
        <x:v>38691</x:v>
      </x:c>
      <x:c r="G1301" s="527" t="inlineStr">
        <x:is>
          <x:t xml:space="preserve">Charles D. Ray</x:t>
        </x:is>
      </x:c>
      <x:c r="H1301" s="527" t="inlineStr">
        <x:is>
          <x:t xml:space="preserve">Harris, Jess III, Inc.</x:t>
        </x:is>
      </x:c>
      <x:c r="I1301" s="527" t="inlineStr">
        <x:is>
          <x:t xml:space="preserve">31-12N-24W</x:t>
        </x:is>
      </x:c>
      <x:c r="J1301" s="527" t="inlineStr">
        <x:is>
          <x:t xml:space="preserve">See instrument</x:t>
        </x:is>
      </x:c>
      <x:c r="K1301" s="527" t="inlineStr">
        <x:is>
          <x:t xml:space="preserve">OKCountyRecords official index, Roger Mills County (instrument 2006-002508); searched 06/11/2026</x:t>
        </x:is>
      </x:c>
      <x:c r="L1301" s="565" t="n"/>
      <x:c r="M1301" s="565" t="n"/>
      <x:c r="N1301" s="565" t="n"/>
      <x:c r="O1301" s="565" t="n"/>
      <x:c r="P1301" s="565" t="n"/>
      <x:c r="Q1301" s="565" t="n"/>
      <x:c r="R1301" s="565" t="n"/>
      <x:c r="S1301" s="613" t="n"/>
      <x:c r="T1301" s="565" t="n"/>
      <x:c r="U1301" s="613" t="n"/>
      <x:c r="V1301" s="565" t="n"/>
      <x:c r="W1301" s="565" t="n"/>
      <x:c r="X1301" s="565" t="n"/>
      <x:c r="Y1301" s="565" t="n"/>
      <x:c r="Z1301" s="565" t="n"/>
    </x:row>
    <x:row r="1302">
      <x:c r="A1302" s="527" t="inlineStr">
        <x:is>
          <x:t xml:space="preserve">2006-002590</x:t>
        </x:is>
      </x:c>
      <x:c r="B1302" s="527" t="n"/>
      <x:c r="C1302" s="527" t="inlineStr">
        <x:is>
          <x:t xml:space="preserve">Amendment Oil Lease</x:t>
        </x:is>
      </x:c>
      <x:c r="D1302" s="527" t="inlineStr">
        <x:is>
          <x:t xml:space="preserve">1831/0229</x:t>
        </x:is>
      </x:c>
      <x:c r="E1302" s="529" t="inlineStr">
        <x:is>
          <x:t xml:space="preserve">04/03/2006</x:t>
        </x:is>
      </x:c>
      <x:c r="F1302" s="529" t="n">
        <x:v>38748</x:v>
      </x:c>
      <x:c r="G1302" s="527" t="inlineStr">
        <x:is>
          <x:t xml:space="preserve">Fleshman Agency, Inc.</x:t>
        </x:is>
      </x:c>
      <x:c r="H1302" s="527" t="inlineStr">
        <x:is>
          <x:t xml:space="preserve">Newfield Explor Mid Cont, Inc.</x:t>
        </x:is>
      </x:c>
      <x:c r="I1302" s="527" t="inlineStr">
        <x:is>
          <x:t xml:space="preserve">E/2 NW/4, N/2 NE/4 SW/4, NE/4 SE/4, SE/4 NE/4 of 31-12N-24W</x:t>
        </x:is>
      </x:c>
      <x:c r="J1302" s="527" t="inlineStr">
        <x:is>
          <x:t xml:space="preserve">Leasehold / WI</x:t>
        </x:is>
      </x:c>
      <x:c r="K1302" s="527" t="inlineStr">
        <x:is>
          <x:t xml:space="preserve">OKCountyRecords official index, Roger Mills County (instrument 2006-002590); searched 06/11/2026</x:t>
        </x:is>
      </x:c>
      <x:c r="L1302" s="565" t="n"/>
      <x:c r="M1302" s="565" t="n"/>
      <x:c r="N1302" s="565" t="n"/>
      <x:c r="O1302" s="565" t="n"/>
      <x:c r="P1302" s="565" t="n"/>
      <x:c r="Q1302" s="565" t="n"/>
      <x:c r="R1302" s="565" t="n"/>
      <x:c r="S1302" s="613" t="n"/>
      <x:c r="T1302" s="565" t="n"/>
      <x:c r="U1302" s="613" t="n"/>
      <x:c r="V1302" s="565" t="n"/>
      <x:c r="W1302" s="565" t="n"/>
      <x:c r="X1302" s="565" t="n"/>
      <x:c r="Y1302" s="565" t="n"/>
      <x:c r="Z1302" s="565" t="n"/>
    </x:row>
    <x:row r="1303">
      <x:c r="A1303" s="527" t="inlineStr">
        <x:is>
          <x:t xml:space="preserve">2006-002685</x:t>
        </x:is>
      </x:c>
      <x:c r="B1303" s="527" t="n"/>
      <x:c r="C1303" s="527" t="inlineStr">
        <x:is>
          <x:t xml:space="preserve">Partial Assignment</x:t>
        </x:is>
      </x:c>
      <x:c r="D1303" s="527" t="inlineStr">
        <x:is>
          <x:t xml:space="preserve">1831/0481</x:t>
        </x:is>
      </x:c>
      <x:c r="E1303" s="529" t="inlineStr">
        <x:is>
          <x:t xml:space="preserve">04/06/2006</x:t>
        </x:is>
      </x:c>
      <x:c r="F1303" s="529" t="n">
        <x:v>38798</x:v>
      </x:c>
      <x:c r="G1303" s="527" t="inlineStr">
        <x:is>
          <x:t xml:space="preserve">EOG Resources, Inc.</x:t>
        </x:is>
      </x:c>
      <x:c r="H1303" s="527" t="inlineStr">
        <x:is>
          <x:t xml:space="preserve">Trilogy Oil &amp;gas, LLC</x:t>
        </x:is>
      </x:c>
      <x:c r="I1303" s="527" t="inlineStr">
        <x:is>
          <x:t xml:space="preserve">NW/4 SE/4, S/2 SE/4, SW/4 NE/4 of 31-12N-24W</x:t>
        </x:is>
      </x:c>
      <x:c r="J1303" s="527" t="inlineStr">
        <x:is>
          <x:t xml:space="preserve">Leasehold / WI</x:t>
        </x:is>
      </x:c>
      <x:c r="K1303" s="527" t="inlineStr">
        <x:is>
          <x:t xml:space="preserve">OKCountyRecords official index, Roger Mills County (instrument 2006-002685); searched 06/11/2026</x:t>
        </x:is>
      </x:c>
      <x:c r="L1303" s="565" t="n"/>
      <x:c r="M1303" s="565" t="n"/>
      <x:c r="N1303" s="565" t="n"/>
      <x:c r="O1303" s="565" t="n"/>
      <x:c r="P1303" s="565" t="n"/>
      <x:c r="Q1303" s="565" t="n"/>
      <x:c r="R1303" s="565" t="n"/>
      <x:c r="S1303" s="613" t="n"/>
      <x:c r="T1303" s="565" t="n"/>
      <x:c r="U1303" s="613" t="n"/>
      <x:c r="V1303" s="565" t="n"/>
      <x:c r="W1303" s="565" t="n"/>
      <x:c r="X1303" s="565" t="n"/>
      <x:c r="Y1303" s="565" t="n"/>
      <x:c r="Z1303" s="565" t="n"/>
    </x:row>
    <x:row r="1304">
      <x:c r="A1304" s="527" t="inlineStr">
        <x:is>
          <x:t xml:space="preserve">2006-002915</x:t>
        </x:is>
      </x:c>
      <x:c r="B1304" s="527" t="n"/>
      <x:c r="C1304" s="527" t="inlineStr">
        <x:is>
          <x:t xml:space="preserve">Oil and Gas Lease</x:t>
        </x:is>
      </x:c>
      <x:c r="D1304" s="527" t="inlineStr">
        <x:is>
          <x:t xml:space="preserve">1833/0218</x:t>
        </x:is>
      </x:c>
      <x:c r="E1304" s="529" t="inlineStr">
        <x:is>
          <x:t xml:space="preserve">04/17/2006</x:t>
        </x:is>
      </x:c>
      <x:c r="F1304" s="529" t="n">
        <x:v>38748</x:v>
      </x:c>
      <x:c r="G1304" s="527" t="inlineStr">
        <x:is>
          <x:t xml:space="preserve">Ella Pearl Kirk</x:t>
        </x:is>
      </x:c>
      <x:c r="H1304" s="527" t="inlineStr">
        <x:is>
          <x:t xml:space="preserve">Harris Jess III, Inc.</x:t>
        </x:is>
      </x:c>
      <x:c r="I1304" s="527" t="inlineStr">
        <x:is>
          <x:t xml:space="preserve">Lots 1 of 31-12N-24W</x:t>
        </x:is>
      </x:c>
      <x:c r="J1304" s="527" t="inlineStr">
        <x:is>
          <x:t xml:space="preserve">Leasehold / WI</x:t>
        </x:is>
      </x:c>
      <x:c r="K1304" s="527" t="inlineStr">
        <x:is>
          <x:t xml:space="preserve">OKCountyRecords official index, Roger Mills County (instrument 2006-002915); searched 06/11/2026</x:t>
        </x:is>
      </x:c>
      <x:c r="L1304" s="565" t="n"/>
      <x:c r="M1304" s="565" t="n"/>
      <x:c r="N1304" s="565" t="n"/>
      <x:c r="O1304" s="565" t="n"/>
      <x:c r="P1304" s="565" t="n"/>
      <x:c r="Q1304" s="565" t="n"/>
      <x:c r="R1304" s="565" t="n"/>
      <x:c r="S1304" s="613" t="n"/>
      <x:c r="T1304" s="565" t="n"/>
      <x:c r="U1304" s="613" t="n"/>
      <x:c r="V1304" s="565" t="n"/>
      <x:c r="W1304" s="565" t="n"/>
      <x:c r="X1304" s="565" t="n"/>
      <x:c r="Y1304" s="565" t="n"/>
      <x:c r="Z1304" s="565" t="n"/>
    </x:row>
    <x:row r="1305">
      <x:c r="A1305" s="527" t="inlineStr">
        <x:is>
          <x:t xml:space="preserve">2006-003765</x:t>
        </x:is>
      </x:c>
      <x:c r="B1305" s="527" t="n"/>
      <x:c r="C1305" s="527" t="inlineStr">
        <x:is>
          <x:t xml:space="preserve">Mineral Deed</x:t>
        </x:is>
      </x:c>
      <x:c r="D1305" s="527" t="inlineStr">
        <x:is>
          <x:t xml:space="preserve">1838/0136</x:t>
        </x:is>
      </x:c>
      <x:c r="E1305" s="529" t="inlineStr">
        <x:is>
          <x:t xml:space="preserve">05/19/2006</x:t>
        </x:is>
      </x:c>
      <x:c r="F1305" s="529" t="n">
        <x:v>38855</x:v>
      </x:c>
      <x:c r="G1305" s="527" t="inlineStr">
        <x:is>
          <x:t xml:space="preserve">G. &amp; T. Partnership</x:t>
        </x:is>
      </x:c>
      <x:c r="H1305" s="527" t="inlineStr">
        <x:is>
          <x:t xml:space="preserve">Datt Investment Company,
Four A. Investments</x:t>
        </x:is>
      </x:c>
      <x:c r="I1305" s="527" t="inlineStr">
        <x:is>
          <x:t xml:space="preserve">NW/4 SE/4, S/2 SE/4, SW/4 NE/4 of 31-12N-24W (AOL)</x:t>
        </x:is>
      </x:c>
      <x:c r="J1305" s="527" t="inlineStr">
        <x:is>
          <x:t xml:space="preserve">Mineral</x:t>
        </x:is>
      </x:c>
      <x:c r="K1305" s="527" t="inlineStr">
        <x:is>
          <x:t xml:space="preserve">OKCountyRecords official index, Roger Mills County (instrument 2006-003765); searched 06/11/2026</x:t>
        </x:is>
      </x:c>
      <x:c r="L1305" s="565" t="n"/>
      <x:c r="M1305" s="565" t="n"/>
      <x:c r="N1305" s="565" t="n"/>
      <x:c r="O1305" s="565" t="n"/>
      <x:c r="P1305" s="565" t="n"/>
      <x:c r="Q1305" s="565" t="n"/>
      <x:c r="R1305" s="565" t="n"/>
      <x:c r="S1305" s="613" t="n"/>
      <x:c r="T1305" s="565" t="n"/>
      <x:c r="U1305" s="613" t="n"/>
      <x:c r="V1305" s="565" t="n"/>
      <x:c r="W1305" s="565" t="n"/>
      <x:c r="X1305" s="565" t="n"/>
      <x:c r="Y1305" s="565" t="n"/>
      <x:c r="Z1305" s="565" t="n"/>
    </x:row>
    <x:row r="1306">
      <x:c r="A1306" s="527" t="inlineStr">
        <x:is>
          <x:t xml:space="preserve">2006-003963</x:t>
        </x:is>
      </x:c>
      <x:c r="B1306" s="527" t="n"/>
      <x:c r="C1306" s="527" t="inlineStr">
        <x:is>
          <x:t xml:space="preserve">Assignment</x:t>
        </x:is>
      </x:c>
      <x:c r="D1306" s="527" t="inlineStr">
        <x:is>
          <x:t xml:space="preserve">1839/0009</x:t>
        </x:is>
      </x:c>
      <x:c r="E1306" s="529" t="inlineStr">
        <x:is>
          <x:t xml:space="preserve">05/26/2006</x:t>
        </x:is>
      </x:c>
      <x:c r="F1306" s="529" t="n">
        <x:v>38769</x:v>
      </x:c>
      <x:c r="G1306" s="527" t="inlineStr">
        <x:is>
          <x:t xml:space="preserve">Harris, Jess III, Inc.</x:t>
        </x:is>
      </x:c>
      <x:c r="H1306" s="527" t="inlineStr">
        <x:is>
          <x:t xml:space="preserve">Newfield Explor Mid Cont, Inc.</x:t>
        </x:is>
      </x:c>
      <x:c r="I1306" s="527" t="inlineStr">
        <x:is>
          <x:t xml:space="preserve">E/2 NW/4, N/2 NE/4 SW/4, NE/4 SE/4, SE/4 NE/4 of 31-12N-24W</x:t>
        </x:is>
      </x:c>
      <x:c r="J1306" s="527" t="inlineStr">
        <x:is>
          <x:t xml:space="preserve">Leasehold / WI</x:t>
        </x:is>
      </x:c>
      <x:c r="K1306" s="527" t="inlineStr">
        <x:is>
          <x:t xml:space="preserve">OKCountyRecords official index, Roger Mills County (instrument 2006-003963); searched 06/11/2026</x:t>
        </x:is>
      </x:c>
      <x:c r="L1306" s="565" t="n"/>
      <x:c r="M1306" s="565" t="n"/>
      <x:c r="N1306" s="565" t="n"/>
      <x:c r="O1306" s="565" t="n"/>
      <x:c r="P1306" s="565" t="n"/>
      <x:c r="Q1306" s="565" t="n"/>
      <x:c r="R1306" s="565" t="n"/>
      <x:c r="S1306" s="613" t="n"/>
      <x:c r="T1306" s="565" t="n"/>
      <x:c r="U1306" s="613" t="n"/>
      <x:c r="V1306" s="565" t="n"/>
      <x:c r="W1306" s="565" t="n"/>
      <x:c r="X1306" s="565" t="n"/>
      <x:c r="Y1306" s="565" t="n"/>
      <x:c r="Z1306" s="565" t="n"/>
    </x:row>
    <x:row r="1307">
      <x:c r="A1307" s="527" t="inlineStr">
        <x:is>
          <x:t xml:space="preserve">2006-003993</x:t>
        </x:is>
      </x:c>
      <x:c r="B1307" s="527" t="n"/>
      <x:c r="C1307" s="527" t="inlineStr">
        <x:is>
          <x:t xml:space="preserve">Partial Assignment</x:t>
        </x:is>
      </x:c>
      <x:c r="D1307" s="527" t="inlineStr">
        <x:is>
          <x:t xml:space="preserve">1839/0066</x:t>
        </x:is>
      </x:c>
      <x:c r="E1307" s="529" t="inlineStr">
        <x:is>
          <x:t xml:space="preserve">05/30/2006</x:t>
        </x:is>
      </x:c>
      <x:c r="F1307" s="529" t="n">
        <x:v>38862</x:v>
      </x:c>
      <x:c r="G1307" s="527" t="inlineStr">
        <x:is>
          <x:t xml:space="preserve">Trilogy Oil &amp; Gas, LLC</x:t>
        </x:is>
      </x:c>
      <x:c r="H1307" s="527" t="inlineStr">
        <x:is>
          <x:t xml:space="preserve">Butera John,
Stewart Geological, Inc.,
St George Coal Co</x:t>
        </x:is>
      </x:c>
      <x:c r="I1307" s="527" t="inlineStr">
        <x:is>
          <x:t xml:space="preserve">NW/4 SE/4, S/2 SE/4, SW/4 NE/4 of 31-12N-24W</x:t>
        </x:is>
      </x:c>
      <x:c r="J1307" s="527" t="inlineStr">
        <x:is>
          <x:t xml:space="preserve">Leasehold / WI</x:t>
        </x:is>
      </x:c>
      <x:c r="K1307" s="527" t="inlineStr">
        <x:is>
          <x:t xml:space="preserve">OKCountyRecords official index, Roger Mills County (instrument 2006-003993); searched 06/11/2026</x:t>
        </x:is>
      </x:c>
      <x:c r="L1307" s="565" t="n"/>
      <x:c r="M1307" s="565" t="n"/>
      <x:c r="N1307" s="565" t="n"/>
      <x:c r="O1307" s="565" t="n"/>
      <x:c r="P1307" s="565" t="n"/>
      <x:c r="Q1307" s="565" t="n"/>
      <x:c r="R1307" s="565" t="n"/>
      <x:c r="S1307" s="613" t="n"/>
      <x:c r="T1307" s="565" t="n"/>
      <x:c r="U1307" s="613" t="n"/>
      <x:c r="V1307" s="565" t="n"/>
      <x:c r="W1307" s="565" t="n"/>
      <x:c r="X1307" s="565" t="n"/>
      <x:c r="Y1307" s="565" t="n"/>
      <x:c r="Z1307" s="565" t="n"/>
    </x:row>
    <x:row r="1308">
      <x:c r="A1308" s="527" t="inlineStr">
        <x:is>
          <x:t xml:space="preserve">2006-004747</x:t>
        </x:is>
      </x:c>
      <x:c r="B1308" s="527" t="n"/>
      <x:c r="C1308" s="527" t="inlineStr">
        <x:is>
          <x:t xml:space="preserve">Partial Assignment</x:t>
        </x:is>
      </x:c>
      <x:c r="D1308" s="527" t="inlineStr">
        <x:is>
          <x:t xml:space="preserve">1842/0453</x:t>
        </x:is>
      </x:c>
      <x:c r="E1308" s="529" t="inlineStr">
        <x:is>
          <x:t xml:space="preserve">06/29/2006</x:t>
        </x:is>
      </x:c>
      <x:c r="F1308" s="529" t="n">
        <x:v>38890</x:v>
      </x:c>
      <x:c r="G1308" s="527" t="inlineStr">
        <x:is>
          <x:t xml:space="preserve">John Butera</x:t>
        </x:is>
      </x:c>
      <x:c r="H1308" s="527" t="inlineStr">
        <x:is>
          <x:t xml:space="preserve">John Butera,
Double L., LLC,
Wolf Point Ex, LLC</x:t>
        </x:is>
      </x:c>
      <x:c r="I1308" s="527" t="inlineStr">
        <x:is>
          <x:t xml:space="preserve">NW/4 SE/4, S/2 SE/4, SW/4 NE/4 of 31-12N-24W</x:t>
        </x:is>
      </x:c>
      <x:c r="J1308" s="527" t="inlineStr">
        <x:is>
          <x:t xml:space="preserve">Leasehold / WI</x:t>
        </x:is>
      </x:c>
      <x:c r="K1308" s="527" t="inlineStr">
        <x:is>
          <x:t xml:space="preserve">OKCountyRecords official index, Roger Mills County (instrument 2006-004747); searched 06/11/2026</x:t>
        </x:is>
      </x:c>
      <x:c r="L1308" s="565" t="n"/>
      <x:c r="M1308" s="565" t="n"/>
      <x:c r="N1308" s="565" t="n"/>
      <x:c r="O1308" s="565" t="n"/>
      <x:c r="P1308" s="565" t="n"/>
      <x:c r="Q1308" s="565" t="n"/>
      <x:c r="R1308" s="565" t="n"/>
      <x:c r="S1308" s="613" t="n"/>
      <x:c r="T1308" s="565" t="n"/>
      <x:c r="U1308" s="613" t="n"/>
      <x:c r="V1308" s="565" t="n"/>
      <x:c r="W1308" s="565" t="n"/>
      <x:c r="X1308" s="565" t="n"/>
      <x:c r="Y1308" s="565" t="n"/>
      <x:c r="Z1308" s="565" t="n"/>
    </x:row>
    <x:row r="1309">
      <x:c r="A1309" s="527" t="inlineStr">
        <x:is>
          <x:t xml:space="preserve">2006-005043</x:t>
        </x:is>
      </x:c>
      <x:c r="B1309" s="527" t="n"/>
      <x:c r="C1309" s="527" t="inlineStr">
        <x:is>
          <x:t xml:space="preserve">Assignment</x:t>
        </x:is>
      </x:c>
      <x:c r="D1309" s="527" t="inlineStr">
        <x:is>
          <x:t xml:space="preserve">1844/0584</x:t>
        </x:is>
      </x:c>
      <x:c r="E1309" s="529" t="inlineStr">
        <x:is>
          <x:t xml:space="preserve">07/13/2006</x:t>
        </x:is>
      </x:c>
      <x:c r="F1309" s="529" t="n">
        <x:v>38905</x:v>
      </x:c>
      <x:c r="G1309" s="527" t="inlineStr">
        <x:is>
          <x:t xml:space="preserve">St George Coal Co</x:t>
        </x:is>
      </x:c>
      <x:c r="H1309" s="527" t="inlineStr">
        <x:is>
          <x:t xml:space="preserve">Duke George B.</x:t>
        </x:is>
      </x:c>
      <x:c r="I1309" s="527" t="inlineStr">
        <x:is>
          <x:t xml:space="preserve">NW/4 SE/4, S/2 SE/4, SW/4 NE/4 of 31-12N-24W</x:t>
        </x:is>
      </x:c>
      <x:c r="J1309" s="527" t="inlineStr">
        <x:is>
          <x:t xml:space="preserve">Leasehold / WI</x:t>
        </x:is>
      </x:c>
      <x:c r="K1309" s="527" t="inlineStr">
        <x:is>
          <x:t xml:space="preserve">OKCountyRecords official index, Roger Mills County (instrument 2006-005043); searched 06/11/2026</x:t>
        </x:is>
      </x:c>
      <x:c r="L1309" s="565" t="n"/>
      <x:c r="M1309" s="565" t="n"/>
      <x:c r="N1309" s="565" t="n"/>
      <x:c r="O1309" s="565" t="n"/>
      <x:c r="P1309" s="565" t="n"/>
      <x:c r="Q1309" s="565" t="n"/>
      <x:c r="R1309" s="565" t="n"/>
      <x:c r="S1309" s="613" t="n"/>
      <x:c r="T1309" s="565" t="n"/>
      <x:c r="U1309" s="613" t="n"/>
      <x:c r="V1309" s="565" t="n"/>
      <x:c r="W1309" s="565" t="n"/>
      <x:c r="X1309" s="565" t="n"/>
      <x:c r="Y1309" s="565" t="n"/>
      <x:c r="Z1309" s="565" t="n"/>
    </x:row>
    <x:row r="1310">
      <x:c r="A1310" s="527" t="inlineStr">
        <x:is>
          <x:t xml:space="preserve">2006-005081</x:t>
        </x:is>
      </x:c>
      <x:c r="B1310" s="527" t="n"/>
      <x:c r="C1310" s="527" t="inlineStr">
        <x:is>
          <x:t xml:space="preserve">Assignment</x:t>
        </x:is>
      </x:c>
      <x:c r="D1310" s="527" t="inlineStr">
        <x:is>
          <x:t xml:space="preserve">1845/0128</x:t>
        </x:is>
      </x:c>
      <x:c r="E1310" s="529" t="inlineStr">
        <x:is>
          <x:t xml:space="preserve">07/14/2006</x:t>
        </x:is>
      </x:c>
      <x:c r="F1310" s="529" t="n">
        <x:v>38909</x:v>
      </x:c>
      <x:c r="G1310" s="527" t="inlineStr">
        <x:is>
          <x:t xml:space="preserve">Jourdan George</x:t>
        </x:is>
      </x:c>
      <x:c r="H1310" s="527" t="inlineStr">
        <x:is>
          <x:t xml:space="preserve">Jh Famiy, LLC</x:t>
        </x:is>
      </x:c>
      <x:c r="I1310" s="527" t="inlineStr">
        <x:is>
          <x:t xml:space="preserve">NW/4 SE/4, S/2 SE/4, SW/4 NE/4 of 31-12N-24W</x:t>
        </x:is>
      </x:c>
      <x:c r="J1310" s="527" t="inlineStr">
        <x:is>
          <x:t xml:space="preserve">Leasehold / WI</x:t>
        </x:is>
      </x:c>
      <x:c r="K1310" s="527" t="inlineStr">
        <x:is>
          <x:t xml:space="preserve">OKCountyRecords official index, Roger Mills County (instrument 2006-005081); searched 06/11/2026</x:t>
        </x:is>
      </x:c>
      <x:c r="L1310" s="565" t="n"/>
      <x:c r="M1310" s="565" t="n"/>
      <x:c r="N1310" s="565" t="n"/>
      <x:c r="O1310" s="565" t="n"/>
      <x:c r="P1310" s="565" t="n"/>
      <x:c r="Q1310" s="565" t="n"/>
      <x:c r="R1310" s="565" t="n"/>
      <x:c r="S1310" s="613" t="n"/>
      <x:c r="T1310" s="565" t="n"/>
      <x:c r="U1310" s="613" t="n"/>
      <x:c r="V1310" s="565" t="n"/>
      <x:c r="W1310" s="565" t="n"/>
      <x:c r="X1310" s="565" t="n"/>
      <x:c r="Y1310" s="565" t="n"/>
      <x:c r="Z1310" s="565" t="n"/>
    </x:row>
    <x:row r="1311">
      <x:c r="A1311" s="527" t="inlineStr">
        <x:is>
          <x:t xml:space="preserve">2006-005146</x:t>
        </x:is>
      </x:c>
      <x:c r="B1311" s="527" t="n"/>
      <x:c r="C1311" s="527" t="inlineStr">
        <x:is>
          <x:t xml:space="preserve">Memorandum</x:t>
        </x:is>
      </x:c>
      <x:c r="D1311" s="527" t="inlineStr">
        <x:is>
          <x:t xml:space="preserve">1845/0333</x:t>
        </x:is>
      </x:c>
      <x:c r="E1311" s="529" t="inlineStr">
        <x:is>
          <x:t xml:space="preserve">07/17/2006</x:t>
        </x:is>
      </x:c>
      <x:c r="F1311" s="529" t="n">
        <x:v>38869</x:v>
      </x:c>
      <x:c r="G1311" s="527" t="inlineStr">
        <x:is>
          <x:t xml:space="preserve">Ruth Olson</x:t>
        </x:is>
      </x:c>
      <x:c r="H1311" s="527" t="inlineStr">
        <x:is>
          <x:t xml:space="preserve">The Public</x:t>
        </x:is>
      </x:c>
      <x:c r="I1311" s="527" t="inlineStr">
        <x:is>
          <x:t xml:space="preserve">E/2 NW/4 of 31-12N-24W (AOL)</x:t>
        </x:is>
      </x:c>
      <x:c r="J1311" s="527" t="inlineStr">
        <x:is>
          <x:t xml:space="preserve">Leasehold / WI</x:t>
        </x:is>
      </x:c>
      <x:c r="K1311" s="527" t="inlineStr">
        <x:is>
          <x:t xml:space="preserve">OKCountyRecords official index, Roger Mills County (instrument 2006-005146); searched 06/11/2026</x:t>
        </x:is>
      </x:c>
      <x:c r="L1311" s="565" t="n"/>
      <x:c r="M1311" s="565" t="n"/>
      <x:c r="N1311" s="565" t="n"/>
      <x:c r="O1311" s="565" t="n"/>
      <x:c r="P1311" s="565" t="n"/>
      <x:c r="Q1311" s="565" t="n"/>
      <x:c r="R1311" s="565" t="n"/>
      <x:c r="S1311" s="613" t="n"/>
      <x:c r="T1311" s="565" t="n"/>
      <x:c r="U1311" s="613" t="n"/>
      <x:c r="V1311" s="565" t="n"/>
      <x:c r="W1311" s="565" t="n"/>
      <x:c r="X1311" s="565" t="n"/>
      <x:c r="Y1311" s="565" t="n"/>
      <x:c r="Z1311" s="565" t="n"/>
    </x:row>
    <x:row r="1312">
      <x:c r="A1312" s="527" t="inlineStr">
        <x:is>
          <x:t xml:space="preserve">2006-006122</x:t>
        </x:is>
      </x:c>
      <x:c r="B1312" s="527" t="n"/>
      <x:c r="C1312" s="527" t="inlineStr">
        <x:is>
          <x:t xml:space="preserve">Correction</x:t>
        </x:is>
      </x:c>
      <x:c r="D1312" s="527" t="inlineStr">
        <x:is>
          <x:t xml:space="preserve">1852/0008</x:t>
        </x:is>
      </x:c>
      <x:c r="E1312" s="529" t="inlineStr">
        <x:is>
          <x:t xml:space="preserve">09/01/2006</x:t>
        </x:is>
      </x:c>
      <x:c r="F1312" s="529" t="n">
        <x:v>38861</x:v>
      </x:c>
      <x:c r="G1312" s="527" t="inlineStr">
        <x:is>
          <x:t xml:space="preserve">Rogene E. Williams</x:t>
        </x:is>
      </x:c>
      <x:c r="H1312" s="527" t="inlineStr">
        <x:is>
          <x:t xml:space="preserve">Rogene E. Williams, Trustee</x:t>
        </x:is>
      </x:c>
      <x:c r="I1312" s="527" t="inlineStr">
        <x:is>
          <x:t xml:space="preserve">NW/4 SE/4, S/2 SE/4, SW/4 NE/4 of 31-12N-24W (AOL)</x:t>
        </x:is>
      </x:c>
      <x:c r="J1312" s="527" t="inlineStr">
        <x:is>
          <x:t xml:space="preserve">See instrument</x:t>
        </x:is>
      </x:c>
      <x:c r="K1312" s="527" t="inlineStr">
        <x:is>
          <x:t xml:space="preserve">OKCountyRecords official index, Roger Mills County (instrument 2006-006122); searched 06/11/2026</x:t>
        </x:is>
      </x:c>
      <x:c r="L1312" s="565" t="n"/>
      <x:c r="M1312" s="565" t="n"/>
      <x:c r="N1312" s="565" t="n"/>
      <x:c r="O1312" s="565" t="n"/>
      <x:c r="P1312" s="565" t="n"/>
      <x:c r="Q1312" s="565" t="n"/>
      <x:c r="R1312" s="565" t="n"/>
      <x:c r="S1312" s="613" t="n"/>
      <x:c r="T1312" s="565" t="n"/>
      <x:c r="U1312" s="613" t="n"/>
      <x:c r="V1312" s="565" t="n"/>
      <x:c r="W1312" s="565" t="n"/>
      <x:c r="X1312" s="565" t="n"/>
      <x:c r="Y1312" s="565" t="n"/>
      <x:c r="Z1312" s="565" t="n"/>
    </x:row>
    <x:row r="1313">
      <x:c r="A1313" s="527" t="inlineStr">
        <x:is>
          <x:t xml:space="preserve">2006-006475</x:t>
        </x:is>
      </x:c>
      <x:c r="B1313" s="527" t="n"/>
      <x:c r="C1313" s="527" t="inlineStr">
        <x:is>
          <x:t xml:space="preserve">Stipulation</x:t>
        </x:is>
      </x:c>
      <x:c r="D1313" s="527" t="inlineStr">
        <x:is>
          <x:t xml:space="preserve">1853/0546</x:t>
        </x:is>
      </x:c>
      <x:c r="E1313" s="529" t="inlineStr">
        <x:is>
          <x:t xml:space="preserve">09/22/2006</x:t>
        </x:is>
      </x:c>
      <x:c r="F1313" s="529" t="n">
        <x:v>38717</x:v>
      </x:c>
      <x:c r="G1313" s="527" t="inlineStr">
        <x:is>
          <x:t xml:space="preserve">Leede Ex</x:t>
        </x:is>
      </x:c>
      <x:c r="H1313" s="527" t="inlineStr">
        <x:is>
          <x:t xml:space="preserve">Asarco Oil &amp; Gas,
Colt Dev, LLC,
Robert H. Fraizier,
Jerry L. Hudgenons,
Clyde A. Ine,
Leede Ex,
Thomas A. Morgan,
Oil Energy, Inc.,
Charles D. Ray,
Roca Dev, LLC</x:t>
        </x:is>
      </x:c>
      <x:c r="I1313" s="527" t="inlineStr">
        <x:is>
          <x:t xml:space="preserve">E/2 NW/4 of 31-12N-24W</x:t>
        </x:is>
      </x:c>
      <x:c r="J1313" s="527" t="inlineStr">
        <x:is>
          <x:t xml:space="preserve">Leasehold / WI</x:t>
        </x:is>
      </x:c>
      <x:c r="K1313" s="527" t="inlineStr">
        <x:is>
          <x:t xml:space="preserve">OKCountyRecords official index, Roger Mills County (instrument 2006-006475); searched 06/11/2026</x:t>
        </x:is>
      </x:c>
      <x:c r="L1313" s="565" t="n"/>
      <x:c r="M1313" s="565" t="n"/>
      <x:c r="N1313" s="565" t="n"/>
      <x:c r="O1313" s="565" t="n"/>
      <x:c r="P1313" s="565" t="n"/>
      <x:c r="Q1313" s="565" t="n"/>
      <x:c r="R1313" s="565" t="n"/>
      <x:c r="S1313" s="613" t="n"/>
      <x:c r="T1313" s="565" t="n"/>
      <x:c r="U1313" s="613" t="n"/>
      <x:c r="V1313" s="565" t="n"/>
      <x:c r="W1313" s="565" t="n"/>
      <x:c r="X1313" s="565" t="n"/>
      <x:c r="Y1313" s="565" t="n"/>
      <x:c r="Z1313" s="565" t="n"/>
    </x:row>
    <x:row r="1314">
      <x:c r="A1314" s="527" t="inlineStr">
        <x:is>
          <x:t xml:space="preserve">2006-007198</x:t>
        </x:is>
      </x:c>
      <x:c r="B1314" s="527" t="n"/>
      <x:c r="C1314" s="527" t="inlineStr">
        <x:is>
          <x:t xml:space="preserve">Partial Assignment</x:t>
        </x:is>
      </x:c>
      <x:c r="D1314" s="527" t="inlineStr">
        <x:is>
          <x:t xml:space="preserve">1858/0052</x:t>
        </x:is>
      </x:c>
      <x:c r="E1314" s="529" t="inlineStr">
        <x:is>
          <x:t xml:space="preserve">11/08/2006</x:t>
        </x:is>
      </x:c>
      <x:c r="F1314" s="529" t="n">
        <x:v>39009</x:v>
      </x:c>
      <x:c r="G1314" s="527" t="inlineStr">
        <x:is>
          <x:t xml:space="preserve">Butera John</x:t>
        </x:is>
      </x:c>
      <x:c r="H1314" s="527" t="inlineStr">
        <x:is>
          <x:t xml:space="preserve">Double L., LLC,
Wolf Point Explor, LLC</x:t>
        </x:is>
      </x:c>
      <x:c r="I1314" s="527" t="inlineStr">
        <x:is>
          <x:t xml:space="preserve">NW/4 SE/4, S/2 SE/4, SW/4 NE/4 of 31-12N-24W</x:t>
        </x:is>
      </x:c>
      <x:c r="J1314" s="527" t="inlineStr">
        <x:is>
          <x:t xml:space="preserve">Leasehold / WI</x:t>
        </x:is>
      </x:c>
      <x:c r="K1314" s="527" t="inlineStr">
        <x:is>
          <x:t xml:space="preserve">OKCountyRecords official index, Roger Mills County (instrument 2006-007198); searched 06/11/2026</x:t>
        </x:is>
      </x:c>
      <x:c r="L1314" s="565" t="n"/>
      <x:c r="M1314" s="565" t="n"/>
      <x:c r="N1314" s="565" t="n"/>
      <x:c r="O1314" s="565" t="n"/>
      <x:c r="P1314" s="565" t="n"/>
      <x:c r="Q1314" s="565" t="n"/>
      <x:c r="R1314" s="565" t="n"/>
      <x:c r="S1314" s="613" t="n"/>
      <x:c r="T1314" s="565" t="n"/>
      <x:c r="U1314" s="613" t="n"/>
      <x:c r="V1314" s="565" t="n"/>
      <x:c r="W1314" s="565" t="n"/>
      <x:c r="X1314" s="565" t="n"/>
      <x:c r="Y1314" s="565" t="n"/>
      <x:c r="Z1314" s="565" t="n"/>
    </x:row>
    <x:row r="1315">
      <x:c r="A1315" s="527" t="inlineStr">
        <x:is>
          <x:t xml:space="preserve">2007-000328</x:t>
        </x:is>
      </x:c>
      <x:c r="B1315" s="527" t="n"/>
      <x:c r="C1315" s="527" t="inlineStr">
        <x:is>
          <x:t xml:space="preserve">Assignment</x:t>
        </x:is>
      </x:c>
      <x:c r="D1315" s="527" t="inlineStr">
        <x:is>
          <x:t xml:space="preserve">1864/0096</x:t>
        </x:is>
      </x:c>
      <x:c r="E1315" s="529" t="inlineStr">
        <x:is>
          <x:t xml:space="preserve">01/22/2007</x:t>
        </x:is>
      </x:c>
      <x:c r="F1315" s="529" t="n">
        <x:v>39052</x:v>
      </x:c>
      <x:c r="G1315" s="527" t="inlineStr">
        <x:is>
          <x:t xml:space="preserve">B. Kole Killion</x:t>
        </x:is>
      </x:c>
      <x:c r="H1315" s="527" t="inlineStr">
        <x:is>
          <x:t xml:space="preserve">Rhett L. Frazier</x:t>
        </x:is>
      </x:c>
      <x:c r="I1315" s="527" t="inlineStr">
        <x:is>
          <x:t xml:space="preserve">NW/4 SE/4, S/2 SE/4, SW/4 NE/4 of 31-12N-24W</x:t>
        </x:is>
      </x:c>
      <x:c r="J1315" s="527" t="inlineStr">
        <x:is>
          <x:t xml:space="preserve">Leasehold / WI</x:t>
        </x:is>
      </x:c>
      <x:c r="K1315" s="527" t="inlineStr">
        <x:is>
          <x:t xml:space="preserve">OKCountyRecords official index, Roger Mills County (instrument 2007-000328); searched 06/11/2026</x:t>
        </x:is>
      </x:c>
      <x:c r="L1315" s="565" t="n"/>
      <x:c r="M1315" s="565" t="n"/>
      <x:c r="N1315" s="565" t="n"/>
      <x:c r="O1315" s="565" t="n"/>
      <x:c r="P1315" s="565" t="n"/>
      <x:c r="Q1315" s="565" t="n"/>
      <x:c r="R1315" s="565" t="n"/>
      <x:c r="S1315" s="613" t="n"/>
      <x:c r="T1315" s="565" t="n"/>
      <x:c r="U1315" s="613" t="n"/>
      <x:c r="V1315" s="565" t="n"/>
      <x:c r="W1315" s="565" t="n"/>
      <x:c r="X1315" s="565" t="n"/>
      <x:c r="Y1315" s="565" t="n"/>
      <x:c r="Z1315" s="565" t="n"/>
    </x:row>
    <x:row r="1316">
      <x:c r="A1316" s="527" t="inlineStr">
        <x:is>
          <x:t xml:space="preserve">2007-000723</x:t>
        </x:is>
      </x:c>
      <x:c r="B1316" s="527" t="n"/>
      <x:c r="C1316" s="527" t="inlineStr">
        <x:is>
          <x:t xml:space="preserve">Order</x:t>
        </x:is>
      </x:c>
      <x:c r="D1316" s="527" t="inlineStr">
        <x:is>
          <x:t xml:space="preserve">1866/0238</x:t>
        </x:is>
      </x:c>
      <x:c r="E1316" s="529" t="inlineStr">
        <x:is>
          <x:t xml:space="preserve">02/20/2007</x:t>
        </x:is>
      </x:c>
      <x:c r="F1316" s="529" t="n">
        <x:v>36835</x:v>
      </x:c>
      <x:c r="G1316" s="527" t="inlineStr">
        <x:is>
          <x:t xml:space="preserve">Paul Devenas, Deceased</x:t>
        </x:is>
      </x:c>
      <x:c r="H1316" s="527" t="inlineStr">
        <x:is>
          <x:t xml:space="preserve">The Public</x:t>
        </x:is>
      </x:c>
      <x:c r="I1316" s="527" t="inlineStr">
        <x:is>
          <x:t xml:space="preserve">SW/4 of 31-12N-24W (AOL)</x:t>
        </x:is>
      </x:c>
      <x:c r="J1316" s="527" t="inlineStr">
        <x:is>
          <x:t xml:space="preserve">See instrument</x:t>
        </x:is>
      </x:c>
      <x:c r="K1316" s="527" t="inlineStr">
        <x:is>
          <x:t xml:space="preserve">OKCountyRecords official index, Roger Mills County (instrument 2007-000723); searched 06/11/2026</x:t>
        </x:is>
      </x:c>
      <x:c r="L1316" s="565" t="n"/>
      <x:c r="M1316" s="565" t="n"/>
      <x:c r="N1316" s="565" t="n"/>
      <x:c r="O1316" s="565" t="n"/>
      <x:c r="P1316" s="565" t="n"/>
      <x:c r="Q1316" s="565" t="n"/>
      <x:c r="R1316" s="565" t="n"/>
      <x:c r="S1316" s="613" t="n"/>
      <x:c r="T1316" s="565" t="n"/>
      <x:c r="U1316" s="613" t="n"/>
      <x:c r="V1316" s="565" t="n"/>
      <x:c r="W1316" s="565" t="n"/>
      <x:c r="X1316" s="565" t="n"/>
      <x:c r="Y1316" s="565" t="n"/>
      <x:c r="Z1316" s="565" t="n"/>
    </x:row>
    <x:row r="1317">
      <x:c r="A1317" s="527" t="inlineStr">
        <x:is>
          <x:t xml:space="preserve">2007-001310</x:t>
        </x:is>
      </x:c>
      <x:c r="B1317" s="527" t="n"/>
      <x:c r="C1317" s="527" t="inlineStr">
        <x:is>
          <x:t xml:space="preserve">Assignment</x:t>
        </x:is>
      </x:c>
      <x:c r="D1317" s="527" t="inlineStr">
        <x:is>
          <x:t xml:space="preserve">1869/0164</x:t>
        </x:is>
      </x:c>
      <x:c r="E1317" s="529" t="inlineStr">
        <x:is>
          <x:t xml:space="preserve">03/21/2007</x:t>
        </x:is>
      </x:c>
      <x:c r="F1317" s="529" t="n">
        <x:v>38861</x:v>
      </x:c>
      <x:c r="G1317" s="527" t="inlineStr">
        <x:is>
          <x:t xml:space="preserve">Samson Resources Co</x:t>
        </x:is>
      </x:c>
      <x:c r="H1317" s="527" t="inlineStr">
        <x:is>
          <x:t xml:space="preserve">Gary Reid</x:t>
        </x:is>
      </x:c>
      <x:c r="I1317" s="527" t="inlineStr">
        <x:is>
          <x:t xml:space="preserve">E/2 NW/4, N/2 NE/4 SW/4, NE/4 SE/4, NW/4 SE/4, S/2 SE/4, SE/4 NE/4, SW/4 NE/4 of 31-12N-24W</x:t>
        </x:is>
      </x:c>
      <x:c r="J1317" s="527" t="inlineStr">
        <x:is>
          <x:t xml:space="preserve">Leasehold / WI</x:t>
        </x:is>
      </x:c>
      <x:c r="K1317" s="527" t="inlineStr">
        <x:is>
          <x:t xml:space="preserve">OKCountyRecords official index, Roger Mills County (instrument 2007-001310); searched 06/11/2026</x:t>
        </x:is>
      </x:c>
      <x:c r="L1317" s="565" t="n"/>
      <x:c r="M1317" s="565" t="n"/>
      <x:c r="N1317" s="565" t="n"/>
      <x:c r="O1317" s="565" t="n"/>
      <x:c r="P1317" s="565" t="n"/>
      <x:c r="Q1317" s="565" t="n"/>
      <x:c r="R1317" s="565" t="n"/>
      <x:c r="S1317" s="613" t="n"/>
      <x:c r="T1317" s="565" t="n"/>
      <x:c r="U1317" s="613" t="n"/>
      <x:c r="V1317" s="565" t="n"/>
      <x:c r="W1317" s="565" t="n"/>
      <x:c r="X1317" s="565" t="n"/>
      <x:c r="Y1317" s="565" t="n"/>
      <x:c r="Z1317" s="565" t="n"/>
    </x:row>
    <x:row r="1318">
      <x:c r="A1318" s="527" t="inlineStr">
        <x:is>
          <x:t xml:space="preserve">2007-001374</x:t>
        </x:is>
      </x:c>
      <x:c r="B1318" s="527" t="n"/>
      <x:c r="C1318" s="527" t="inlineStr">
        <x:is>
          <x:t xml:space="preserve">Mineral Deed</x:t>
        </x:is>
      </x:c>
      <x:c r="D1318" s="527" t="inlineStr">
        <x:is>
          <x:t xml:space="preserve">1869/0351</x:t>
        </x:is>
      </x:c>
      <x:c r="E1318" s="529" t="inlineStr">
        <x:is>
          <x:t xml:space="preserve">03/26/2007</x:t>
        </x:is>
      </x:c>
      <x:c r="F1318" s="529" t="n">
        <x:v>39160</x:v>
      </x:c>
      <x:c r="G1318" s="527" t="inlineStr">
        <x:is>
          <x:t xml:space="preserve">Lola F. Ricards</x:t>
        </x:is>
      </x:c>
      <x:c r="H1318" s="527" t="inlineStr">
        <x:is>
          <x:t xml:space="preserve">Arrowhead Resources, Inc.</x:t>
        </x:is>
      </x:c>
      <x:c r="I1318" s="527" t="inlineStr">
        <x:is>
          <x:t xml:space="preserve">NW/4 SE/4, S/2 SE/4, SW/4 NE/4 of 31-12N-24W (AOL)</x:t>
        </x:is>
      </x:c>
      <x:c r="J1318" s="527" t="inlineStr">
        <x:is>
          <x:t xml:space="preserve">Mineral</x:t>
        </x:is>
      </x:c>
      <x:c r="K1318" s="527" t="inlineStr">
        <x:is>
          <x:t xml:space="preserve">OKCountyRecords official index, Roger Mills County (instrument 2007-001374); searched 06/11/2026</x:t>
        </x:is>
      </x:c>
      <x:c r="L1318" s="565" t="n"/>
      <x:c r="M1318" s="565" t="n"/>
      <x:c r="N1318" s="565" t="n"/>
      <x:c r="O1318" s="565" t="n"/>
      <x:c r="P1318" s="565" t="n"/>
      <x:c r="Q1318" s="565" t="n"/>
      <x:c r="R1318" s="565" t="n"/>
      <x:c r="S1318" s="613" t="n"/>
      <x:c r="T1318" s="565" t="n"/>
      <x:c r="U1318" s="613" t="n"/>
      <x:c r="V1318" s="565" t="n"/>
      <x:c r="W1318" s="565" t="n"/>
      <x:c r="X1318" s="565" t="n"/>
      <x:c r="Y1318" s="565" t="n"/>
      <x:c r="Z1318" s="565" t="n"/>
    </x:row>
    <x:row r="1319">
      <x:c r="A1319" s="527" t="inlineStr">
        <x:is>
          <x:t xml:space="preserve">2007-001848</x:t>
        </x:is>
      </x:c>
      <x:c r="B1319" s="527" t="n"/>
      <x:c r="C1319" s="527" t="inlineStr">
        <x:is>
          <x:t xml:space="preserve">Quit Claim Deed</x:t>
        </x:is>
      </x:c>
      <x:c r="D1319" s="527" t="inlineStr">
        <x:is>
          <x:t xml:space="preserve">1872/0277</x:t>
        </x:is>
      </x:c>
      <x:c r="E1319" s="529" t="inlineStr">
        <x:is>
          <x:t xml:space="preserve">04/25/2007</x:t>
        </x:is>
      </x:c>
      <x:c r="F1319" s="529" t="n">
        <x:v>39162</x:v>
      </x:c>
      <x:c r="G1319" s="527" t="inlineStr">
        <x:is>
          <x:t xml:space="preserve">Floyd W. Atha,
Atha Nancy D.</x:t>
        </x:is>
      </x:c>
      <x:c r="H1319" s="527" t="inlineStr">
        <x:is>
          <x:t xml:space="preserve">Atha Floyd Revoc Trust,
Floyd Atha, Trustee,
Atha Nancy Revoc Trust,
Atha Nancy Trustee</x:t>
        </x:is>
      </x:c>
      <x:c r="I1319" s="527" t="inlineStr">
        <x:is>
          <x:t xml:space="preserve">E/2 W/2 E/2, N/2 NE/4, NE/4 SE/4, SE/4 NE/4, Lots 1 of 31-12N-24W</x:t>
        </x:is>
      </x:c>
      <x:c r="J1319" s="527" t="inlineStr">
        <x:is>
          <x:t xml:space="preserve">Fee / as stated</x:t>
        </x:is>
      </x:c>
      <x:c r="K1319" s="527" t="inlineStr">
        <x:is>
          <x:t xml:space="preserve">OKCountyRecords official index, Roger Mills County (instrument 2007-001848); searched 06/11/2026</x:t>
        </x:is>
      </x:c>
      <x:c r="L1319" s="565" t="n"/>
      <x:c r="M1319" s="565" t="n"/>
      <x:c r="N1319" s="565" t="n"/>
      <x:c r="O1319" s="565" t="n"/>
      <x:c r="P1319" s="565" t="n"/>
      <x:c r="Q1319" s="565" t="n"/>
      <x:c r="R1319" s="565" t="n"/>
      <x:c r="S1319" s="613" t="n"/>
      <x:c r="T1319" s="565" t="n"/>
      <x:c r="U1319" s="613" t="n"/>
      <x:c r="V1319" s="565" t="n"/>
      <x:c r="W1319" s="565" t="n"/>
      <x:c r="X1319" s="565" t="n"/>
      <x:c r="Y1319" s="565" t="n"/>
      <x:c r="Z1319" s="565" t="n"/>
    </x:row>
    <x:row r="1320">
      <x:c r="A1320" s="527" t="inlineStr">
        <x:is>
          <x:t xml:space="preserve">2007-002804</x:t>
        </x:is>
      </x:c>
      <x:c r="B1320" s="527" t="n"/>
      <x:c r="C1320" s="527" t="inlineStr">
        <x:is>
          <x:t xml:space="preserve">Correction</x:t>
        </x:is>
      </x:c>
      <x:c r="D1320" s="527" t="inlineStr">
        <x:is>
          <x:t xml:space="preserve">1878/0109</x:t>
        </x:is>
      </x:c>
      <x:c r="E1320" s="529" t="inlineStr">
        <x:is>
          <x:t xml:space="preserve">06/29/2007</x:t>
        </x:is>
      </x:c>
      <x:c r="F1320" s="529" t="n">
        <x:v>38798</x:v>
      </x:c>
      <x:c r="G1320" s="527" t="inlineStr">
        <x:is>
          <x:t xml:space="preserve">EOG Resources, Inc.</x:t>
        </x:is>
      </x:c>
      <x:c r="H1320" s="527" t="inlineStr">
        <x:is>
          <x:t xml:space="preserve">Trilogy Oil and Gas, LLC</x:t>
        </x:is>
      </x:c>
      <x:c r="I1320" s="527" t="inlineStr">
        <x:is>
          <x:t xml:space="preserve">NW/4 SE/4, S/2 SE/4, SW/4 NE/4 of 31-12N-24W</x:t>
        </x:is>
      </x:c>
      <x:c r="J1320" s="527" t="inlineStr">
        <x:is>
          <x:t xml:space="preserve">See instrument</x:t>
        </x:is>
      </x:c>
      <x:c r="K1320" s="527" t="inlineStr">
        <x:is>
          <x:t xml:space="preserve">OKCountyRecords official index, Roger Mills County (instrument 2007-002804); searched 06/11/2026</x:t>
        </x:is>
      </x:c>
      <x:c r="L1320" s="565" t="n"/>
      <x:c r="M1320" s="565" t="n"/>
      <x:c r="N1320" s="565" t="n"/>
      <x:c r="O1320" s="565" t="n"/>
      <x:c r="P1320" s="565" t="n"/>
      <x:c r="Q1320" s="565" t="n"/>
      <x:c r="R1320" s="565" t="n"/>
      <x:c r="S1320" s="613" t="n"/>
      <x:c r="T1320" s="565" t="n"/>
      <x:c r="U1320" s="613" t="n"/>
      <x:c r="V1320" s="565" t="n"/>
      <x:c r="W1320" s="565" t="n"/>
      <x:c r="X1320" s="565" t="n"/>
      <x:c r="Y1320" s="565" t="n"/>
      <x:c r="Z1320" s="565" t="n"/>
    </x:row>
    <x:row r="1321">
      <x:c r="A1321" s="527" t="inlineStr">
        <x:is>
          <x:t xml:space="preserve">2007-002874</x:t>
        </x:is>
      </x:c>
      <x:c r="B1321" s="527" t="n"/>
      <x:c r="C1321" s="527" t="inlineStr">
        <x:is>
          <x:t xml:space="preserve">Correction</x:t>
        </x:is>
      </x:c>
      <x:c r="D1321" s="527" t="inlineStr">
        <x:is>
          <x:t xml:space="preserve">1878/0327</x:t>
        </x:is>
      </x:c>
      <x:c r="E1321" s="529" t="inlineStr">
        <x:is>
          <x:t xml:space="preserve">07/06/2007</x:t>
        </x:is>
      </x:c>
      <x:c r="F1321" s="529" t="n">
        <x:v>39268</x:v>
      </x:c>
      <x:c r="G1321" s="527" t="inlineStr">
        <x:is>
          <x:t xml:space="preserve">Axis Exploration, LLC</x:t>
        </x:is>
      </x:c>
      <x:c r="H1321" s="527" t="inlineStr">
        <x:is>
          <x:t xml:space="preserve">EOG Resources, Inc.</x:t>
        </x:is>
      </x:c>
      <x:c r="I1321" s="527" t="inlineStr">
        <x:is>
          <x:t xml:space="preserve">S/2 NE/4 SW/4, SE/4 SW/4, Lots 3 of 31-12N-24W</x:t>
        </x:is>
      </x:c>
      <x:c r="J1321" s="527" t="inlineStr">
        <x:is>
          <x:t xml:space="preserve">See instrument</x:t>
        </x:is>
      </x:c>
      <x:c r="K1321" s="527" t="inlineStr">
        <x:is>
          <x:t xml:space="preserve">OKCountyRecords official index, Roger Mills County (instrument 2007-002874); searched 06/11/2026</x:t>
        </x:is>
      </x:c>
      <x:c r="L1321" s="565" t="n"/>
      <x:c r="M1321" s="565" t="n"/>
      <x:c r="N1321" s="565" t="n"/>
      <x:c r="O1321" s="565" t="n"/>
      <x:c r="P1321" s="565" t="n"/>
      <x:c r="Q1321" s="565" t="n"/>
      <x:c r="R1321" s="565" t="n"/>
      <x:c r="S1321" s="613" t="n"/>
      <x:c r="T1321" s="565" t="n"/>
      <x:c r="U1321" s="613" t="n"/>
      <x:c r="V1321" s="565" t="n"/>
      <x:c r="W1321" s="565" t="n"/>
      <x:c r="X1321" s="565" t="n"/>
      <x:c r="Y1321" s="565" t="n"/>
      <x:c r="Z1321" s="565" t="n"/>
    </x:row>
    <x:row r="1322">
      <x:c r="A1322" s="527" t="inlineStr">
        <x:is>
          <x:t xml:space="preserve">2007-003914</x:t>
        </x:is>
      </x:c>
      <x:c r="B1322" s="527" t="n"/>
      <x:c r="C1322" s="527" t="inlineStr">
        <x:is>
          <x:t xml:space="preserve">Memorandum</x:t>
        </x:is>
      </x:c>
      <x:c r="D1322" s="527" t="inlineStr">
        <x:is>
          <x:t xml:space="preserve">1883/0582</x:t>
        </x:is>
      </x:c>
      <x:c r="E1322" s="529" t="inlineStr">
        <x:is>
          <x:t xml:space="preserve">08/31/2007</x:t>
        </x:is>
      </x:c>
      <x:c r="F1322" s="529" t="n">
        <x:v>39145</x:v>
      </x:c>
      <x:c r="G1322" s="527" t="inlineStr">
        <x:is>
          <x:t xml:space="preserve">Floyd W. Atha,
Nancy D. Atha</x:t>
        </x:is>
      </x:c>
      <x:c r="H1322" s="527" t="inlineStr">
        <x:is>
          <x:t xml:space="preserve">Boulevard Associates, LLC</x:t>
        </x:is>
      </x:c>
      <x:c r="I1322" s="527" t="inlineStr">
        <x:is>
          <x:t xml:space="preserve">N/2 NE/4, NE/4 SE/4, SE/4 NE/4 of 31-12N-24W (AOL)</x:t>
        </x:is>
      </x:c>
      <x:c r="J1322" s="527" t="inlineStr">
        <x:is>
          <x:t xml:space="preserve">Leasehold / WI</x:t>
        </x:is>
      </x:c>
      <x:c r="K1322" s="527" t="inlineStr">
        <x:is>
          <x:t xml:space="preserve">OKCountyRecords official index, Roger Mills County (instrument 2007-003914); searched 06/11/2026</x:t>
        </x:is>
      </x:c>
      <x:c r="L1322" s="565" t="n"/>
      <x:c r="M1322" s="565" t="n"/>
      <x:c r="N1322" s="565" t="n"/>
      <x:c r="O1322" s="565" t="n"/>
      <x:c r="P1322" s="565" t="n"/>
      <x:c r="Q1322" s="565" t="n"/>
      <x:c r="R1322" s="565" t="n"/>
      <x:c r="S1322" s="613" t="n"/>
      <x:c r="T1322" s="565" t="n"/>
      <x:c r="U1322" s="613" t="n"/>
      <x:c r="V1322" s="565" t="n"/>
      <x:c r="W1322" s="565" t="n"/>
      <x:c r="X1322" s="565" t="n"/>
      <x:c r="Y1322" s="565" t="n"/>
      <x:c r="Z1322" s="565" t="n"/>
    </x:row>
    <x:row r="1323">
      <x:c r="A1323" s="527" t="inlineStr">
        <x:is>
          <x:t xml:space="preserve">2007-004018</x:t>
        </x:is>
      </x:c>
      <x:c r="B1323" s="527" t="n"/>
      <x:c r="C1323" s="527" t="inlineStr">
        <x:is>
          <x:t xml:space="preserve">Power Of Attorney</x:t>
        </x:is>
      </x:c>
      <x:c r="D1323" s="527" t="inlineStr">
        <x:is>
          <x:t xml:space="preserve">1884/0508</x:t>
        </x:is>
      </x:c>
      <x:c r="E1323" s="529" t="inlineStr">
        <x:is>
          <x:t xml:space="preserve">09/04/2007</x:t>
        </x:is>
      </x:c>
      <x:c r="F1323" s="529" t="n">
        <x:v>39315</x:v>
      </x:c>
      <x:c r="G1323" s="527" t="inlineStr">
        <x:is>
          <x:t xml:space="preserve">Kaiser Francis Oil Company</x:t>
        </x:is>
      </x:c>
      <x:c r="H1323" s="527" t="inlineStr">
        <x:is>
          <x:t xml:space="preserve">The Public</x:t>
        </x:is>
      </x:c>
      <x:c r="I1323" s="527" t="inlineStr">
        <x:is>
          <x:t xml:space="preserve">All of 31-12N-24W (AOL)</x:t>
        </x:is>
      </x:c>
      <x:c r="J1323" s="527" t="inlineStr">
        <x:is>
          <x:t xml:space="preserve">See instrument</x:t>
        </x:is>
      </x:c>
      <x:c r="K1323" s="527" t="inlineStr">
        <x:is>
          <x:t xml:space="preserve">OKCountyRecords official index, Roger Mills County (instrument 2007-004018); searched 06/11/2026</x:t>
        </x:is>
      </x:c>
      <x:c r="L1323" s="565" t="n"/>
      <x:c r="M1323" s="565" t="n"/>
      <x:c r="N1323" s="565" t="n"/>
      <x:c r="O1323" s="565" t="n"/>
      <x:c r="P1323" s="565" t="n"/>
      <x:c r="Q1323" s="565" t="n"/>
      <x:c r="R1323" s="565" t="n"/>
      <x:c r="S1323" s="613" t="n"/>
      <x:c r="T1323" s="565" t="n"/>
      <x:c r="U1323" s="613" t="n"/>
      <x:c r="V1323" s="565" t="n"/>
      <x:c r="W1323" s="565" t="n"/>
      <x:c r="X1323" s="565" t="n"/>
      <x:c r="Y1323" s="565" t="n"/>
      <x:c r="Z1323" s="565" t="n"/>
    </x:row>
    <x:row r="1324">
      <x:c r="A1324" s="527" t="inlineStr">
        <x:is>
          <x:t xml:space="preserve">1998-000843</x:t>
        </x:is>
      </x:c>
      <x:c r="B1324" s="527" t="n">
        <x:v>40</x:v>
      </x:c>
      <x:c r="C1324" s="527" t="inlineStr">
        <x:is>
          <x:t xml:space="preserve">Assignment</x:t>
        </x:is>
      </x:c>
      <x:c r="D1324" s="527" t="inlineStr">
        <x:is>
          <x:t xml:space="preserve">1567/0006</x:t>
        </x:is>
      </x:c>
      <x:c r="E1324" s="529" t="inlineStr">
        <x:is>
          <x:t xml:space="preserve">09/11/2007</x:t>
        </x:is>
      </x:c>
      <x:c r="F1324" s="529" t="n">
        <x:v>39336</x:v>
      </x:c>
      <x:c r="G1324" s="527" t="inlineStr">
        <x:is>
          <x:t xml:space="preserve">Ocean Energy, Inc.</x:t>
        </x:is>
      </x:c>
      <x:c r="H1324" s="527" t="inlineStr">
        <x:is>
          <x:t xml:space="preserve">Ocean Energy Resources, Inc.</x:t>
        </x:is>
      </x:c>
      <x:c r="I1324" s="527" t="inlineStr">
        <x:is>
          <x:t xml:space="preserve">E/2 NW/4, NE/4 SE/4, SE/4 NE/4, W/2 NE/4 of 31-12N-24W (AOL)</x:t>
        </x:is>
      </x:c>
      <x:c r="J1324" s="527" t="inlineStr">
        <x:is>
          <x:t xml:space="preserve">Leasehold / WI</x:t>
        </x:is>
      </x:c>
      <x:c r="K1324" s="527" t="inlineStr">
        <x:is>
          <x:t xml:space="preserve">OKCountyRecords official index, Roger Mills County (instrument 1998-000843); searched 06/11/2026</x:t>
        </x:is>
      </x:c>
      <x:c r="L1324" s="565" t="n"/>
      <x:c r="M1324" s="565" t="n"/>
      <x:c r="N1324" s="565" t="n"/>
      <x:c r="O1324" s="565" t="n"/>
      <x:c r="P1324" s="565" t="n"/>
      <x:c r="Q1324" s="565" t="n"/>
      <x:c r="R1324" s="565" t="n"/>
      <x:c r="S1324" s="613" t="n"/>
      <x:c r="T1324" s="565" t="n"/>
      <x:c r="U1324" s="613" t="n"/>
      <x:c r="V1324" s="565" t="n"/>
      <x:c r="W1324" s="565" t="n"/>
      <x:c r="X1324" s="565" t="n"/>
      <x:c r="Y1324" s="565" t="n"/>
      <x:c r="Z1324" s="565" t="n"/>
    </x:row>
    <x:row r="1325">
      <x:c r="A1325" s="527" t="inlineStr">
        <x:is>
          <x:t xml:space="preserve">2007-005167</x:t>
        </x:is>
      </x:c>
      <x:c r="B1325" s="527" t="n"/>
      <x:c r="C1325" s="527" t="inlineStr">
        <x:is>
          <x:t xml:space="preserve">Final Decree</x:t>
        </x:is>
      </x:c>
      <x:c r="D1325" s="527" t="inlineStr">
        <x:is>
          <x:t xml:space="preserve">1892/0567</x:t>
        </x:is>
      </x:c>
      <x:c r="E1325" s="529" t="inlineStr">
        <x:is>
          <x:t xml:space="preserve">11/14/2007</x:t>
        </x:is>
      </x:c>
      <x:c r="F1325" s="529" t="n">
        <x:v>39400</x:v>
      </x:c>
      <x:c r="G1325" s="527" t="inlineStr">
        <x:is>
          <x:t xml:space="preserve">Billy Wayne Bain</x:t>
        </x:is>
      </x:c>
      <x:c r="H1325" s="527" t="inlineStr">
        <x:is>
          <x:t xml:space="preserve">The Public</x:t>
        </x:is>
      </x:c>
      <x:c r="I1325" s="527" t="inlineStr">
        <x:is>
          <x:t xml:space="preserve">NW/4 SE/4, S/2 SE/4, SW/4 NE/4 of 31-12N-24W (AOL)</x:t>
        </x:is>
      </x:c>
      <x:c r="J1325" s="527" t="inlineStr">
        <x:is>
          <x:t xml:space="preserve">Fee / as stated</x:t>
        </x:is>
      </x:c>
      <x:c r="K1325" s="527" t="inlineStr">
        <x:is>
          <x:t xml:space="preserve">OKCountyRecords official index, Roger Mills County (instrument 2007-005167); searched 06/11/2026</x:t>
        </x:is>
      </x:c>
      <x:c r="L1325" s="565" t="n"/>
      <x:c r="M1325" s="565" t="n"/>
      <x:c r="N1325" s="565" t="n"/>
      <x:c r="O1325" s="565" t="n"/>
      <x:c r="P1325" s="565" t="n"/>
      <x:c r="Q1325" s="565" t="n"/>
      <x:c r="R1325" s="565" t="n"/>
      <x:c r="S1325" s="613" t="n"/>
      <x:c r="T1325" s="565" t="n"/>
      <x:c r="U1325" s="613" t="n"/>
      <x:c r="V1325" s="565" t="n"/>
      <x:c r="W1325" s="565" t="n"/>
      <x:c r="X1325" s="565" t="n"/>
      <x:c r="Y1325" s="565" t="n"/>
      <x:c r="Z1325" s="565" t="n"/>
    </x:row>
    <x:row r="1326">
      <x:c r="A1326" s="527" t="inlineStr">
        <x:is>
          <x:t xml:space="preserve">2008-003157</x:t>
        </x:is>
      </x:c>
      <x:c r="B1326" s="527" t="n"/>
      <x:c r="C1326" s="527" t="inlineStr">
        <x:is>
          <x:t xml:space="preserve">Joint Tenancy Warranty Deed</x:t>
        </x:is>
      </x:c>
      <x:c r="D1326" s="527" t="inlineStr">
        <x:is>
          <x:t xml:space="preserve">1914/0155</x:t>
        </x:is>
      </x:c>
      <x:c r="E1326" s="529" t="inlineStr">
        <x:is>
          <x:t xml:space="preserve">06/13/2008</x:t>
        </x:is>
      </x:c>
      <x:c r="F1326" s="529" t="n">
        <x:v>39609</x:v>
      </x:c>
      <x:c r="G1326" s="527" t="inlineStr">
        <x:is>
          <x:t xml:space="preserve">Floyd Co Atha, Trustee,
Nancy Co Atha, Trustee</x:t>
        </x:is>
      </x:c>
      <x:c r="H1326" s="527" t="inlineStr">
        <x:is>
          <x:t xml:space="preserve">Danielle Delane Tucker,
Monte Earl Tucker</x:t>
        </x:is>
      </x:c>
      <x:c r="I1326" s="527" t="inlineStr">
        <x:is>
          <x:t xml:space="preserve">N/2 NE/4, NE/4 SE/4, SE/4 NE/4 of 31-12N-24W</x:t>
        </x:is>
      </x:c>
      <x:c r="J1326" s="527" t="inlineStr">
        <x:is>
          <x:t xml:space="preserve">Fee / as stated</x:t>
        </x:is>
      </x:c>
      <x:c r="K1326" s="527" t="inlineStr">
        <x:is>
          <x:t xml:space="preserve">OKCountyRecords official index, Roger Mills County (instrument 2008-003157); searched 06/11/2026</x:t>
        </x:is>
      </x:c>
      <x:c r="L1326" s="565" t="n"/>
      <x:c r="M1326" s="565" t="n"/>
      <x:c r="N1326" s="565" t="n"/>
      <x:c r="O1326" s="565" t="n"/>
      <x:c r="P1326" s="565" t="n"/>
      <x:c r="Q1326" s="565" t="n"/>
      <x:c r="R1326" s="565" t="n"/>
      <x:c r="S1326" s="613" t="n"/>
      <x:c r="T1326" s="565" t="n"/>
      <x:c r="U1326" s="613" t="n"/>
      <x:c r="V1326" s="565" t="n"/>
      <x:c r="W1326" s="565" t="n"/>
      <x:c r="X1326" s="565" t="n"/>
      <x:c r="Y1326" s="565" t="n"/>
      <x:c r="Z1326" s="565" t="n"/>
    </x:row>
    <x:row r="1327">
      <x:c r="A1327" s="527" t="inlineStr">
        <x:is>
          <x:t xml:space="preserve">2008-004060</x:t>
        </x:is>
      </x:c>
      <x:c r="B1327" s="527" t="n"/>
      <x:c r="C1327" s="527" t="inlineStr">
        <x:is>
          <x:t xml:space="preserve">Quit Claim Mineral Deed</x:t>
        </x:is>
      </x:c>
      <x:c r="D1327" s="527" t="inlineStr">
        <x:is>
          <x:t xml:space="preserve">1919/0359</x:t>
        </x:is>
      </x:c>
      <x:c r="E1327" s="529" t="inlineStr">
        <x:is>
          <x:t xml:space="preserve">07/23/2008</x:t>
        </x:is>
      </x:c>
      <x:c r="F1327" s="529" t="n">
        <x:v>39645</x:v>
      </x:c>
      <x:c r="G1327" s="527" t="inlineStr">
        <x:is>
          <x:t xml:space="preserve">Shawn S. Walters,
Wayne A. Walters</x:t>
        </x:is>
      </x:c>
      <x:c r="H1327" s="527" t="inlineStr">
        <x:is>
          <x:t xml:space="preserve">Shawn S. Walters, Trustee,
Wayne A. Walters, Trustee</x:t>
        </x:is>
      </x:c>
      <x:c r="I1327" s="527" t="inlineStr">
        <x:is>
          <x:t xml:space="preserve">SE/4 SW/4 of 31-12N-24W (AOL)</x:t>
        </x:is>
      </x:c>
      <x:c r="J1327" s="527" t="inlineStr">
        <x:is>
          <x:t xml:space="preserve">Mineral</x:t>
        </x:is>
      </x:c>
      <x:c r="K1327" s="527" t="inlineStr">
        <x:is>
          <x:t xml:space="preserve">OKCountyRecords official index, Roger Mills County (instrument 2008-004060); searched 06/11/2026</x:t>
        </x:is>
      </x:c>
      <x:c r="L1327" s="565" t="n"/>
      <x:c r="M1327" s="565" t="n"/>
      <x:c r="N1327" s="565" t="n"/>
      <x:c r="O1327" s="565" t="n"/>
      <x:c r="P1327" s="565" t="n"/>
      <x:c r="Q1327" s="565" t="n"/>
      <x:c r="R1327" s="565" t="n"/>
      <x:c r="S1327" s="613" t="n"/>
      <x:c r="T1327" s="565" t="n"/>
      <x:c r="U1327" s="613" t="n"/>
      <x:c r="V1327" s="565" t="n"/>
      <x:c r="W1327" s="565" t="n"/>
      <x:c r="X1327" s="565" t="n"/>
      <x:c r="Y1327" s="565" t="n"/>
      <x:c r="Z1327" s="565" t="n"/>
    </x:row>
    <x:row r="1328">
      <x:c r="A1328" s="527" t="inlineStr">
        <x:is>
          <x:t xml:space="preserve">2008-006536</x:t>
        </x:is>
      </x:c>
      <x:c r="B1328" s="527" t="n"/>
      <x:c r="C1328" s="527" t="inlineStr">
        <x:is>
          <x:t xml:space="preserve">Mineral Deed</x:t>
        </x:is>
      </x:c>
      <x:c r="D1328" s="527" t="inlineStr">
        <x:is>
          <x:t xml:space="preserve">1937/0418</x:t>
        </x:is>
      </x:c>
      <x:c r="E1328" s="529" t="inlineStr">
        <x:is>
          <x:t xml:space="preserve">10/27/2008</x:t>
        </x:is>
      </x:c>
      <x:c r="F1328" s="529" t="n">
        <x:v>38286</x:v>
      </x:c>
      <x:c r="G1328" s="527" t="inlineStr">
        <x:is>
          <x:t xml:space="preserve">Koala Production Co</x:t>
        </x:is>
      </x:c>
      <x:c r="H1328" s="527" t="inlineStr">
        <x:is>
          <x:t xml:space="preserve">Fleshman Agency, Inc.</x:t>
        </x:is>
      </x:c>
      <x:c r="I1328" s="527" t="inlineStr">
        <x:is>
          <x:t xml:space="preserve">NW/4 NW/4, Lots 1 of 31-12N-24W</x:t>
        </x:is>
      </x:c>
      <x:c r="J1328" s="527" t="inlineStr">
        <x:is>
          <x:t xml:space="preserve">Mineral</x:t>
        </x:is>
      </x:c>
      <x:c r="K1328" s="527" t="inlineStr">
        <x:is>
          <x:t xml:space="preserve">OKCountyRecords official index, Roger Mills County (instrument 2008-006536); searched 06/11/2026</x:t>
        </x:is>
      </x:c>
      <x:c r="L1328" s="565" t="n"/>
      <x:c r="M1328" s="565" t="n"/>
      <x:c r="N1328" s="565" t="n"/>
      <x:c r="O1328" s="565" t="n"/>
      <x:c r="P1328" s="565" t="n"/>
      <x:c r="Q1328" s="565" t="n"/>
      <x:c r="R1328" s="565" t="n"/>
      <x:c r="S1328" s="613" t="n"/>
      <x:c r="T1328" s="565" t="n"/>
      <x:c r="U1328" s="613" t="n"/>
      <x:c r="V1328" s="565" t="n"/>
      <x:c r="W1328" s="565" t="n"/>
      <x:c r="X1328" s="565" t="n"/>
      <x:c r="Y1328" s="565" t="n"/>
      <x:c r="Z1328" s="565" t="n"/>
    </x:row>
    <x:row r="1329">
      <x:c r="A1329" s="527" t="inlineStr">
        <x:is>
          <x:t xml:space="preserve">2008-007080</x:t>
        </x:is>
      </x:c>
      <x:c r="B1329" s="527" t="n"/>
      <x:c r="C1329" s="527" t="inlineStr">
        <x:is>
          <x:t xml:space="preserve">Memorandum</x:t>
        </x:is>
      </x:c>
      <x:c r="D1329" s="527" t="inlineStr">
        <x:is>
          <x:t xml:space="preserve">1940/0420</x:t>
        </x:is>
      </x:c>
      <x:c r="E1329" s="529" t="inlineStr">
        <x:is>
          <x:t xml:space="preserve">11/18/2008</x:t>
        </x:is>
      </x:c>
      <x:c r="F1329" s="529" t="n">
        <x:v>39756</x:v>
      </x:c>
      <x:c r="G1329" s="527" t="inlineStr">
        <x:is>
          <x:t xml:space="preserve">Shawn S. Walters,
Wayne A. Walters</x:t>
        </x:is>
      </x:c>
      <x:c r="H1329" s="527" t="inlineStr">
        <x:is>
          <x:t xml:space="preserve">Shawn S. Walters, Trustee,
Wayne A. Walters, Trustee</x:t>
        </x:is>
      </x:c>
      <x:c r="I1329" s="527" t="inlineStr">
        <x:is>
          <x:t xml:space="preserve">SE/4 SW/4 of 31-12N-24W (AOL)</x:t>
        </x:is>
      </x:c>
      <x:c r="J1329" s="527" t="inlineStr">
        <x:is>
          <x:t xml:space="preserve">Leasehold / WI</x:t>
        </x:is>
      </x:c>
      <x:c r="K1329" s="527" t="inlineStr">
        <x:is>
          <x:t xml:space="preserve">OKCountyRecords official index, Roger Mills County (instrument 2008-007080); searched 06/11/2026</x:t>
        </x:is>
      </x:c>
      <x:c r="L1329" s="565" t="n"/>
      <x:c r="M1329" s="565" t="n"/>
      <x:c r="N1329" s="565" t="n"/>
      <x:c r="O1329" s="565" t="n"/>
      <x:c r="P1329" s="565" t="n"/>
      <x:c r="Q1329" s="565" t="n"/>
      <x:c r="R1329" s="565" t="n"/>
      <x:c r="S1329" s="613" t="n"/>
      <x:c r="T1329" s="565" t="n"/>
      <x:c r="U1329" s="613" t="n"/>
      <x:c r="V1329" s="565" t="n"/>
      <x:c r="W1329" s="565" t="n"/>
      <x:c r="X1329" s="565" t="n"/>
      <x:c r="Y1329" s="565" t="n"/>
      <x:c r="Z1329" s="565" t="n"/>
    </x:row>
    <x:row r="1330">
      <x:c r="A1330" s="527" t="inlineStr">
        <x:is>
          <x:t xml:space="preserve">2008-007325</x:t>
        </x:is>
      </x:c>
      <x:c r="B1330" s="527" t="n"/>
      <x:c r="C1330" s="527" t="inlineStr">
        <x:is>
          <x:t xml:space="preserve">Mineral Deed</x:t>
        </x:is>
      </x:c>
      <x:c r="D1330" s="527" t="inlineStr">
        <x:is>
          <x:t xml:space="preserve">1941/0550</x:t>
        </x:is>
      </x:c>
      <x:c r="E1330" s="529" t="inlineStr">
        <x:is>
          <x:t xml:space="preserve">12/01/2008</x:t>
        </x:is>
      </x:c>
      <x:c r="F1330" s="529" t="n">
        <x:v>39751</x:v>
      </x:c>
      <x:c r="G1330" s="527" t="inlineStr">
        <x:is>
          <x:t xml:space="preserve">Jan A. Indepedent Executor Schroff</x:t>
        </x:is>
      </x:c>
      <x:c r="H1330" s="527" t="inlineStr">
        <x:is>
          <x:t xml:space="preserve">Williams , Rogene E. Revocable Living Trust</x:t>
        </x:is>
      </x:c>
      <x:c r="I1330" s="527" t="inlineStr">
        <x:is>
          <x:t xml:space="preserve">NW/4 SE/4, S/2 SE/4, SW/4 NE/4 of 31-12N-24W (AOL)</x:t>
        </x:is>
      </x:c>
      <x:c r="J1330" s="527" t="inlineStr">
        <x:is>
          <x:t xml:space="preserve">Mineral</x:t>
        </x:is>
      </x:c>
      <x:c r="K1330" s="527" t="inlineStr">
        <x:is>
          <x:t xml:space="preserve">OKCountyRecords official index, Roger Mills County (instrument 2008-007325); searched 06/11/2026</x:t>
        </x:is>
      </x:c>
      <x:c r="L1330" s="565" t="n"/>
      <x:c r="M1330" s="565" t="n"/>
      <x:c r="N1330" s="565" t="n"/>
      <x:c r="O1330" s="565" t="n"/>
      <x:c r="P1330" s="565" t="n"/>
      <x:c r="Q1330" s="565" t="n"/>
      <x:c r="R1330" s="565" t="n"/>
      <x:c r="S1330" s="613" t="n"/>
      <x:c r="T1330" s="565" t="n"/>
      <x:c r="U1330" s="613" t="n"/>
      <x:c r="V1330" s="565" t="n"/>
      <x:c r="W1330" s="565" t="n"/>
      <x:c r="X1330" s="565" t="n"/>
      <x:c r="Y1330" s="565" t="n"/>
      <x:c r="Z1330" s="565" t="n"/>
    </x:row>
    <x:row r="1331">
      <x:c r="A1331" s="527" t="inlineStr">
        <x:is>
          <x:t xml:space="preserve">2009-000222</x:t>
        </x:is>
      </x:c>
      <x:c r="B1331" s="527" t="n"/>
      <x:c r="C1331" s="527" t="inlineStr">
        <x:is>
          <x:t xml:space="preserve">Assignment</x:t>
        </x:is>
      </x:c>
      <x:c r="D1331" s="527" t="inlineStr">
        <x:is>
          <x:t xml:space="preserve">1945/0410</x:t>
        </x:is>
      </x:c>
      <x:c r="E1331" s="529" t="inlineStr">
        <x:is>
          <x:t xml:space="preserve">01/15/2009</x:t>
        </x:is>
      </x:c>
      <x:c r="F1331" s="529" t="n">
        <x:v>39815</x:v>
      </x:c>
      <x:c r="G1331" s="527" t="inlineStr">
        <x:is>
          <x:t xml:space="preserve">Encore Operating, LP</x:t>
        </x:is>
      </x:c>
      <x:c r="H1331" s="527" t="inlineStr">
        <x:is>
          <x:t xml:space="preserve">Encore Energy Partners Operating, LLC</x:t>
        </x:is>
      </x:c>
      <x:c r="I1331" s="527" t="inlineStr">
        <x:is>
          <x:t xml:space="preserve">E/2 NW/4, N/2 NE/4 SW/4, NE/4 SE/4, SE/4 NE/4 of 31-12N-24W (AOL)</x:t>
        </x:is>
      </x:c>
      <x:c r="J1331" s="527" t="inlineStr">
        <x:is>
          <x:t xml:space="preserve">Leasehold / WI</x:t>
        </x:is>
      </x:c>
      <x:c r="K1331" s="527" t="inlineStr">
        <x:is>
          <x:t xml:space="preserve">OKCountyRecords official index, Roger Mills County (instrument 2009-000222); searched 06/11/2026</x:t>
        </x:is>
      </x:c>
      <x:c r="L1331" s="565" t="n"/>
      <x:c r="M1331" s="565" t="n"/>
      <x:c r="N1331" s="565" t="n"/>
      <x:c r="O1331" s="565" t="n"/>
      <x:c r="P1331" s="565" t="n"/>
      <x:c r="Q1331" s="565" t="n"/>
      <x:c r="R1331" s="565" t="n"/>
      <x:c r="S1331" s="613" t="n"/>
      <x:c r="T1331" s="565" t="n"/>
      <x:c r="U1331" s="613" t="n"/>
      <x:c r="V1331" s="565" t="n"/>
      <x:c r="W1331" s="565" t="n"/>
      <x:c r="X1331" s="565" t="n"/>
      <x:c r="Y1331" s="565" t="n"/>
      <x:c r="Z1331" s="565" t="n"/>
    </x:row>
    <x:row r="1332">
      <x:c r="A1332" s="527" t="inlineStr">
        <x:is>
          <x:t xml:space="preserve">2009-000272</x:t>
        </x:is>
      </x:c>
      <x:c r="B1332" s="527" t="n"/>
      <x:c r="C1332" s="527" t="inlineStr">
        <x:is>
          <x:t xml:space="preserve">Assignment</x:t>
        </x:is>
      </x:c>
      <x:c r="D1332" s="527" t="inlineStr">
        <x:is>
          <x:t xml:space="preserve">1945/0594</x:t>
        </x:is>
      </x:c>
      <x:c r="E1332" s="529" t="inlineStr">
        <x:is>
          <x:t xml:space="preserve">01/20/2009</x:t>
        </x:is>
      </x:c>
      <x:c r="F1332" s="529" t="n">
        <x:v>38701</x:v>
      </x:c>
      <x:c r="G1332" s="527" t="inlineStr">
        <x:is>
          <x:t xml:space="preserve">Jess Harris III, Inc.</x:t>
        </x:is>
      </x:c>
      <x:c r="H1332" s="527" t="inlineStr">
        <x:is>
          <x:t xml:space="preserve">Newfield Exploration Mid-continent, Inc.</x:t>
        </x:is>
      </x:c>
      <x:c r="I1332" s="527" t="inlineStr">
        <x:is>
          <x:t xml:space="preserve">SE/4 SE/4, SW/4 NE/4, W/2 SE/4 of 31-12N-24W</x:t>
        </x:is>
      </x:c>
      <x:c r="J1332" s="527" t="inlineStr">
        <x:is>
          <x:t xml:space="preserve">Leasehold / WI</x:t>
        </x:is>
      </x:c>
      <x:c r="K1332" s="527" t="inlineStr">
        <x:is>
          <x:t xml:space="preserve">OKCountyRecords official index, Roger Mills County (instrument 2009-000272); searched 06/11/2026</x:t>
        </x:is>
      </x:c>
      <x:c r="L1332" s="565" t="n"/>
      <x:c r="M1332" s="565" t="n"/>
      <x:c r="N1332" s="565" t="n"/>
      <x:c r="O1332" s="565" t="n"/>
      <x:c r="P1332" s="565" t="n"/>
      <x:c r="Q1332" s="565" t="n"/>
      <x:c r="R1332" s="565" t="n"/>
      <x:c r="S1332" s="613" t="n"/>
      <x:c r="T1332" s="565" t="n"/>
      <x:c r="U1332" s="613" t="n"/>
      <x:c r="V1332" s="565" t="n"/>
      <x:c r="W1332" s="565" t="n"/>
      <x:c r="X1332" s="565" t="n"/>
      <x:c r="Y1332" s="565" t="n"/>
      <x:c r="Z1332" s="565" t="n"/>
    </x:row>
    <x:row r="1333">
      <x:c r="A1333" s="527" t="inlineStr">
        <x:is>
          <x:t xml:space="preserve">2009-000273</x:t>
        </x:is>
      </x:c>
      <x:c r="B1333" s="527" t="n"/>
      <x:c r="C1333" s="527" t="inlineStr">
        <x:is>
          <x:t xml:space="preserve">Assignment</x:t>
        </x:is>
      </x:c>
      <x:c r="D1333" s="527" t="inlineStr">
        <x:is>
          <x:t xml:space="preserve">1945/0595</x:t>
        </x:is>
      </x:c>
      <x:c r="E1333" s="529" t="inlineStr">
        <x:is>
          <x:t xml:space="preserve">01/20/2009</x:t>
        </x:is>
      </x:c>
      <x:c r="F1333" s="529" t="n">
        <x:v>38760</x:v>
      </x:c>
      <x:c r="G1333" s="527" t="inlineStr">
        <x:is>
          <x:t xml:space="preserve">Jess Harris III, Inc.</x:t>
        </x:is>
      </x:c>
      <x:c r="H1333" s="527" t="inlineStr">
        <x:is>
          <x:t xml:space="preserve">Newfield Exploration Mid-continent, Inc.</x:t>
        </x:is>
      </x:c>
      <x:c r="I1333" s="527" t="inlineStr">
        <x:is>
          <x:t xml:space="preserve">Lots 1 of 31-12N-24W</x:t>
        </x:is>
      </x:c>
      <x:c r="J1333" s="527" t="inlineStr">
        <x:is>
          <x:t xml:space="preserve">Leasehold / WI</x:t>
        </x:is>
      </x:c>
      <x:c r="K1333" s="527" t="inlineStr">
        <x:is>
          <x:t xml:space="preserve">OKCountyRecords official index, Roger Mills County (instrument 2009-000273); searched 06/11/2026</x:t>
        </x:is>
      </x:c>
      <x:c r="L1333" s="565" t="n"/>
      <x:c r="M1333" s="565" t="n"/>
      <x:c r="N1333" s="565" t="n"/>
      <x:c r="O1333" s="565" t="n"/>
      <x:c r="P1333" s="565" t="n"/>
      <x:c r="Q1333" s="565" t="n"/>
      <x:c r="R1333" s="565" t="n"/>
      <x:c r="S1333" s="613" t="n"/>
      <x:c r="T1333" s="565" t="n"/>
      <x:c r="U1333" s="613" t="n"/>
      <x:c r="V1333" s="565" t="n"/>
      <x:c r="W1333" s="565" t="n"/>
      <x:c r="X1333" s="565" t="n"/>
      <x:c r="Y1333" s="565" t="n"/>
      <x:c r="Z1333" s="565" t="n"/>
    </x:row>
    <x:row r="1334">
      <x:c r="A1334" s="527" t="inlineStr">
        <x:is>
          <x:t xml:space="preserve">2009-000477</x:t>
        </x:is>
      </x:c>
      <x:c r="B1334" s="527" t="n"/>
      <x:c r="C1334" s="527" t="inlineStr">
        <x:is>
          <x:t xml:space="preserve">Release</x:t>
        </x:is>
      </x:c>
      <x:c r="D1334" s="527" t="inlineStr">
        <x:is>
          <x:t xml:space="preserve">1946/0513</x:t>
        </x:is>
      </x:c>
      <x:c r="E1334" s="529" t="inlineStr">
        <x:is>
          <x:t xml:space="preserve">02/02/2009</x:t>
        </x:is>
      </x:c>
      <x:c r="F1334" s="529" t="n">
        <x:v>39811</x:v>
      </x:c>
      <x:c r="G1334" s="527" t="inlineStr">
        <x:is>
          <x:t xml:space="preserve">Bank of America</x:t>
        </x:is>
      </x:c>
      <x:c r="H1334" s="527" t="inlineStr">
        <x:is>
          <x:t xml:space="preserve">Encore Energy Partners Operating, LLC,
Encore Operating, LP</x:t>
        </x:is>
      </x:c>
      <x:c r="I1334" s="527" t="inlineStr">
        <x:is>
          <x:t xml:space="preserve">E/2 NW/4, N/2 NE/4 SW/4, NE/4 SE/4, SE/4 NE/4 of 31-12N-24W (AOL)</x:t>
        </x:is>
      </x:c>
      <x:c r="J1334" s="527" t="inlineStr">
        <x:is>
          <x:t xml:space="preserve">Leasehold / WI</x:t>
        </x:is>
      </x:c>
      <x:c r="K1334" s="527" t="inlineStr">
        <x:is>
          <x:t xml:space="preserve">OKCountyRecords official index, Roger Mills County (instrument 2009-000477); searched 06/11/2026</x:t>
        </x:is>
      </x:c>
      <x:c r="L1334" s="565" t="n"/>
      <x:c r="M1334" s="565" t="n"/>
      <x:c r="N1334" s="565" t="n"/>
      <x:c r="O1334" s="565" t="n"/>
      <x:c r="P1334" s="565" t="n"/>
      <x:c r="Q1334" s="565" t="n"/>
      <x:c r="R1334" s="565" t="n"/>
      <x:c r="S1334" s="613" t="n"/>
      <x:c r="T1334" s="565" t="n"/>
      <x:c r="U1334" s="613" t="n"/>
      <x:c r="V1334" s="565" t="n"/>
      <x:c r="W1334" s="565" t="n"/>
      <x:c r="X1334" s="565" t="n"/>
      <x:c r="Y1334" s="565" t="n"/>
      <x:c r="Z1334" s="565" t="n"/>
    </x:row>
    <x:row r="1335">
      <x:c r="A1335" s="527" t="inlineStr">
        <x:is>
          <x:t xml:space="preserve">2009-000702</x:t>
        </x:is>
      </x:c>
      <x:c r="B1335" s="527" t="n"/>
      <x:c r="C1335" s="527" t="inlineStr">
        <x:is>
          <x:t xml:space="preserve">Affidavit Of Heirship</x:t>
        </x:is>
      </x:c>
      <x:c r="D1335" s="527" t="inlineStr">
        <x:is>
          <x:t xml:space="preserve">1948/0262</x:t>
        </x:is>
      </x:c>
      <x:c r="E1335" s="529" t="inlineStr">
        <x:is>
          <x:t xml:space="preserve">02/17/2009</x:t>
        </x:is>
      </x:c>
      <x:c r="F1335" s="529" t="n">
        <x:v>39854</x:v>
      </x:c>
      <x:c r="G1335" s="527" t="inlineStr">
        <x:is>
          <x:t xml:space="preserve">Willa Hambrook</x:t>
        </x:is>
      </x:c>
      <x:c r="H1335" s="527" t="inlineStr">
        <x:is>
          <x:t xml:space="preserve">The Public</x:t>
        </x:is>
      </x:c>
      <x:c r="I1335" s="527" t="inlineStr">
        <x:is>
          <x:t xml:space="preserve">All of 31-12N-24W</x:t>
        </x:is>
      </x:c>
      <x:c r="J1335" s="527" t="inlineStr">
        <x:is>
          <x:t xml:space="preserve">Fee / as stated</x:t>
        </x:is>
      </x:c>
      <x:c r="K1335" s="527" t="inlineStr">
        <x:is>
          <x:t xml:space="preserve">OKCountyRecords official index, Roger Mills County (instrument 2009-000702); searched 06/11/2026</x:t>
        </x:is>
      </x:c>
      <x:c r="L1335" s="565" t="n"/>
      <x:c r="M1335" s="565" t="n"/>
      <x:c r="N1335" s="565" t="n"/>
      <x:c r="O1335" s="565" t="n"/>
      <x:c r="P1335" s="565" t="n"/>
      <x:c r="Q1335" s="565" t="n"/>
      <x:c r="R1335" s="565" t="n"/>
      <x:c r="S1335" s="613" t="n"/>
      <x:c r="T1335" s="565" t="n"/>
      <x:c r="U1335" s="613" t="n"/>
      <x:c r="V1335" s="565" t="n"/>
      <x:c r="W1335" s="565" t="n"/>
      <x:c r="X1335" s="565" t="n"/>
      <x:c r="Y1335" s="565" t="n"/>
      <x:c r="Z1335" s="565" t="n"/>
    </x:row>
    <x:row r="1336">
      <x:c r="A1336" s="527" t="inlineStr">
        <x:is>
          <x:t xml:space="preserve">2009-000895</x:t>
        </x:is>
      </x:c>
      <x:c r="B1336" s="527" t="n"/>
      <x:c r="C1336" s="527" t="inlineStr">
        <x:is>
          <x:t xml:space="preserve">Mineral Deed</x:t>
        </x:is>
      </x:c>
      <x:c r="D1336" s="527" t="inlineStr">
        <x:is>
          <x:t xml:space="preserve">1949/0217</x:t>
        </x:is>
      </x:c>
      <x:c r="E1336" s="529" t="inlineStr">
        <x:is>
          <x:t xml:space="preserve">03/02/2009</x:t>
        </x:is>
      </x:c>
      <x:c r="F1336" s="529" t="n">
        <x:v>39871</x:v>
      </x:c>
      <x:c r="G1336" s="527" t="inlineStr">
        <x:is>
          <x:t xml:space="preserve">Jesse W. Fuchs,
Jinkee Acuero Fuchs</x:t>
        </x:is>
      </x:c>
      <x:c r="H1336" s="527" t="inlineStr">
        <x:is>
          <x:t xml:space="preserve">Jessica Corry Fuchs</x:t>
        </x:is>
      </x:c>
      <x:c r="I1336" s="527" t="inlineStr">
        <x:is>
          <x:t xml:space="preserve">NW/4 SE/4, S/2 SE/4, SW/4 NE/4 of 31-12N-24W (AOL)</x:t>
        </x:is>
      </x:c>
      <x:c r="J1336" s="527" t="inlineStr">
        <x:is>
          <x:t xml:space="preserve">Mineral</x:t>
        </x:is>
      </x:c>
      <x:c r="K1336" s="527" t="inlineStr">
        <x:is>
          <x:t xml:space="preserve">OKCountyRecords official index, Roger Mills County (instrument 2009-000895); searched 06/11/2026</x:t>
        </x:is>
      </x:c>
      <x:c r="L1336" s="565" t="n"/>
      <x:c r="M1336" s="565" t="n"/>
      <x:c r="N1336" s="565" t="n"/>
      <x:c r="O1336" s="565" t="n"/>
      <x:c r="P1336" s="565" t="n"/>
      <x:c r="Q1336" s="565" t="n"/>
      <x:c r="R1336" s="565" t="n"/>
      <x:c r="S1336" s="613" t="n"/>
      <x:c r="T1336" s="565" t="n"/>
      <x:c r="U1336" s="613" t="n"/>
      <x:c r="V1336" s="565" t="n"/>
      <x:c r="W1336" s="565" t="n"/>
      <x:c r="X1336" s="565" t="n"/>
      <x:c r="Y1336" s="565" t="n"/>
      <x:c r="Z1336" s="565" t="n"/>
    </x:row>
    <x:row r="1337">
      <x:c r="A1337" s="527" t="inlineStr">
        <x:is>
          <x:t xml:space="preserve">2009-002005</x:t>
        </x:is>
      </x:c>
      <x:c r="B1337" s="527" t="n"/>
      <x:c r="C1337" s="527" t="inlineStr">
        <x:is>
          <x:t xml:space="preserve">Warranty Deed</x:t>
        </x:is>
      </x:c>
      <x:c r="D1337" s="527" t="inlineStr">
        <x:is>
          <x:t xml:space="preserve">1956/0354</x:t>
        </x:is>
      </x:c>
      <x:c r="E1337" s="529" t="inlineStr">
        <x:is>
          <x:t xml:space="preserve">05/08/2009</x:t>
        </x:is>
      </x:c>
      <x:c r="F1337" s="529" t="n">
        <x:v>39939</x:v>
      </x:c>
      <x:c r="G1337" s="527" t="inlineStr">
        <x:is>
          <x:t xml:space="preserve">Atha, Floyd and Nancy Rev Trust,
Floyd Co- Atha, Trustee,
Floyd W. Atha,
Nancy Co- Atha, Trustee,
Nancy D. Atha</x:t>
        </x:is>
      </x:c>
      <x:c r="H1337" s="527" t="inlineStr">
        <x:is>
          <x:t xml:space="preserve">Fuchs, Donnaleta Rev Trust,
Donnaleta Fuchs, Trustee,
Fuchs, Y. C. Jr. Rev Trust,
Y. C. Fuchs Jr., Trustee</x:t>
        </x:is>
      </x:c>
      <x:c r="I1337" s="527" t="inlineStr">
        <x:is>
          <x:t xml:space="preserve">E/2 W/2, Lots 1 of 31-12N-24W</x:t>
        </x:is>
      </x:c>
      <x:c r="J1337" s="527" t="inlineStr">
        <x:is>
          <x:t xml:space="preserve">Fee / as stated</x:t>
        </x:is>
      </x:c>
      <x:c r="K1337" s="527" t="inlineStr">
        <x:is>
          <x:t xml:space="preserve">OKCountyRecords official index, Roger Mills County (instrument 2009-002005); searched 06/11/2026</x:t>
        </x:is>
      </x:c>
      <x:c r="L1337" s="565" t="n"/>
      <x:c r="M1337" s="565" t="n"/>
      <x:c r="N1337" s="565" t="n"/>
      <x:c r="O1337" s="565" t="n"/>
      <x:c r="P1337" s="565" t="n"/>
      <x:c r="Q1337" s="565" t="n"/>
      <x:c r="R1337" s="565" t="n"/>
      <x:c r="S1337" s="613" t="n"/>
      <x:c r="T1337" s="565" t="n"/>
      <x:c r="U1337" s="613" t="n"/>
      <x:c r="V1337" s="565" t="n"/>
      <x:c r="W1337" s="565" t="n"/>
      <x:c r="X1337" s="565" t="n"/>
      <x:c r="Y1337" s="565" t="n"/>
      <x:c r="Z1337" s="565" t="n"/>
    </x:row>
    <x:row r="1338">
      <x:c r="A1338" s="527" t="inlineStr">
        <x:is>
          <x:t xml:space="preserve">2009-002096</x:t>
        </x:is>
      </x:c>
      <x:c r="B1338" s="527" t="n"/>
      <x:c r="C1338" s="527" t="inlineStr">
        <x:is>
          <x:t xml:space="preserve">Quit Claim</x:t>
        </x:is>
      </x:c>
      <x:c r="D1338" s="527" t="inlineStr">
        <x:is>
          <x:t xml:space="preserve">1958/0060</x:t>
        </x:is>
      </x:c>
      <x:c r="E1338" s="529" t="inlineStr">
        <x:is>
          <x:t xml:space="preserve">05/14/2009</x:t>
        </x:is>
      </x:c>
      <x:c r="F1338" s="529" t="n">
        <x:v>39945</x:v>
      </x:c>
      <x:c r="G1338" s="527" t="inlineStr">
        <x:is>
          <x:t xml:space="preserve">Floyd Atha,
Nancy Atha,
Atha Revocable Trust, Floyd and Nancy</x:t>
        </x:is>
      </x:c>
      <x:c r="H1338" s="527" t="inlineStr">
        <x:is>
          <x:t xml:space="preserve">Kathy Bryant,
William E. Bryant</x:t>
        </x:is>
      </x:c>
      <x:c r="I1338" s="527" t="inlineStr">
        <x:is>
          <x:t xml:space="preserve">Lots 1 of 31-12N-24W</x:t>
        </x:is>
      </x:c>
      <x:c r="J1338" s="527" t="inlineStr">
        <x:is>
          <x:t xml:space="preserve">Fee / as stated</x:t>
        </x:is>
      </x:c>
      <x:c r="K1338" s="527" t="inlineStr">
        <x:is>
          <x:t xml:space="preserve">OKCountyRecords official index, Roger Mills County (instrument 2009-002096); searched 06/11/2026</x:t>
        </x:is>
      </x:c>
      <x:c r="L1338" s="565" t="n"/>
      <x:c r="M1338" s="565" t="n"/>
      <x:c r="N1338" s="565" t="n"/>
      <x:c r="O1338" s="565" t="n"/>
      <x:c r="P1338" s="565" t="n"/>
      <x:c r="Q1338" s="565" t="n"/>
      <x:c r="R1338" s="565" t="n"/>
      <x:c r="S1338" s="613" t="n"/>
      <x:c r="T1338" s="565" t="n"/>
      <x:c r="U1338" s="613" t="n"/>
      <x:c r="V1338" s="565" t="n"/>
      <x:c r="W1338" s="565" t="n"/>
      <x:c r="X1338" s="565" t="n"/>
      <x:c r="Y1338" s="565" t="n"/>
      <x:c r="Z1338" s="565" t="n"/>
    </x:row>
    <x:row r="1339">
      <x:c r="A1339" s="527" t="inlineStr">
        <x:is>
          <x:t xml:space="preserve">2009-002872</x:t>
        </x:is>
      </x:c>
      <x:c r="B1339" s="527" t="n"/>
      <x:c r="C1339" s="527" t="inlineStr">
        <x:is>
          <x:t xml:space="preserve">Quit Claim Deed</x:t>
        </x:is>
      </x:c>
      <x:c r="D1339" s="527" t="inlineStr">
        <x:is>
          <x:t xml:space="preserve">1963/0222</x:t>
        </x:is>
      </x:c>
      <x:c r="E1339" s="529" t="inlineStr">
        <x:is>
          <x:t xml:space="preserve">07/07/2009</x:t>
        </x:is>
      </x:c>
      <x:c r="F1339" s="529" t="n">
        <x:v>39981</x:v>
      </x:c>
      <x:c r="G1339" s="527" t="inlineStr">
        <x:is>
          <x:t xml:space="preserve">Clara Mae Bryan,
George Kendall Bryan,
George M. Bryan</x:t>
        </x:is>
      </x:c>
      <x:c r="H1339" s="527" t="inlineStr">
        <x:is>
          <x:t xml:space="preserve">Bryan Living Trust</x:t>
        </x:is>
      </x:c>
      <x:c r="I1339" s="527" t="inlineStr">
        <x:is>
          <x:t xml:space="preserve">SE/4 SW/4, Lots 4 of 31-12N-24W</x:t>
        </x:is>
      </x:c>
      <x:c r="J1339" s="527" t="inlineStr">
        <x:is>
          <x:t xml:space="preserve">Fee / as stated</x:t>
        </x:is>
      </x:c>
      <x:c r="K1339" s="527" t="inlineStr">
        <x:is>
          <x:t xml:space="preserve">OKCountyRecords official index, Roger Mills County (instrument 2009-002872); searched 06/11/2026</x:t>
        </x:is>
      </x:c>
      <x:c r="L1339" s="565" t="n"/>
      <x:c r="M1339" s="565" t="n"/>
      <x:c r="N1339" s="565" t="n"/>
      <x:c r="O1339" s="565" t="n"/>
      <x:c r="P1339" s="565" t="n"/>
      <x:c r="Q1339" s="565" t="n"/>
      <x:c r="R1339" s="565" t="n"/>
      <x:c r="S1339" s="613" t="n"/>
      <x:c r="T1339" s="565" t="n"/>
      <x:c r="U1339" s="613" t="n"/>
      <x:c r="V1339" s="565" t="n"/>
      <x:c r="W1339" s="565" t="n"/>
      <x:c r="X1339" s="565" t="n"/>
      <x:c r="Y1339" s="565" t="n"/>
      <x:c r="Z1339" s="565" t="n"/>
    </x:row>
    <x:row r="1340">
      <x:c r="A1340" s="527" t="inlineStr">
        <x:is>
          <x:t xml:space="preserve">2009-002996</x:t>
        </x:is>
      </x:c>
      <x:c r="B1340" s="527" t="n"/>
      <x:c r="C1340" s="527" t="inlineStr">
        <x:is>
          <x:t xml:space="preserve">Warranty Deed</x:t>
        </x:is>
      </x:c>
      <x:c r="D1340" s="527" t="inlineStr">
        <x:is>
          <x:t xml:space="preserve">1964/0097</x:t>
        </x:is>
      </x:c>
      <x:c r="E1340" s="529" t="inlineStr">
        <x:is>
          <x:t xml:space="preserve">07/17/2009</x:t>
        </x:is>
      </x:c>
      <x:c r="F1340" s="529" t="n">
        <x:v>40009</x:v>
      </x:c>
      <x:c r="G1340" s="527" t="inlineStr">
        <x:is>
          <x:t xml:space="preserve">Fuchs, Donnaletta Revoc Trust,
Donnaletta Fuchs, Trustee,
Fuchs, Y. C. Jr. Revoc Trust,
Y. C. Fuchs Jr., Trustee</x:t>
        </x:is>
      </x:c>
      <x:c r="H1340" s="527" t="inlineStr">
        <x:is>
          <x:t xml:space="preserve">Jesse Joe Newell,
Jill Ann Newell</x:t>
        </x:is>
      </x:c>
      <x:c r="I1340" s="527" t="inlineStr">
        <x:is>
          <x:t xml:space="preserve">E/2 W/2, Lots 1 of 31-12N-24W</x:t>
        </x:is>
      </x:c>
      <x:c r="J1340" s="527" t="inlineStr">
        <x:is>
          <x:t xml:space="preserve">Fee / as stated</x:t>
        </x:is>
      </x:c>
      <x:c r="K1340" s="527" t="inlineStr">
        <x:is>
          <x:t xml:space="preserve">OKCountyRecords official index, Roger Mills County (instrument 2009-002996); searched 06/11/2026</x:t>
        </x:is>
      </x:c>
      <x:c r="L1340" s="565" t="n"/>
      <x:c r="M1340" s="565" t="n"/>
      <x:c r="N1340" s="565" t="n"/>
      <x:c r="O1340" s="565" t="n"/>
      <x:c r="P1340" s="565" t="n"/>
      <x:c r="Q1340" s="565" t="n"/>
      <x:c r="R1340" s="565" t="n"/>
      <x:c r="S1340" s="613" t="n"/>
      <x:c r="T1340" s="565" t="n"/>
      <x:c r="U1340" s="613" t="n"/>
      <x:c r="V1340" s="565" t="n"/>
      <x:c r="W1340" s="565" t="n"/>
      <x:c r="X1340" s="565" t="n"/>
      <x:c r="Y1340" s="565" t="n"/>
      <x:c r="Z1340" s="565" t="n"/>
    </x:row>
    <x:row r="1341">
      <x:c r="A1341" s="527" t="inlineStr">
        <x:is>
          <x:t xml:space="preserve">2009-004292</x:t>
        </x:is>
      </x:c>
      <x:c r="B1341" s="527" t="n"/>
      <x:c r="C1341" s="527" t="inlineStr">
        <x:is>
          <x:t xml:space="preserve">Power Of Attorney</x:t>
        </x:is>
      </x:c>
      <x:c r="D1341" s="527" t="inlineStr">
        <x:is>
          <x:t xml:space="preserve">1972/0574</x:t>
        </x:is>
      </x:c>
      <x:c r="E1341" s="529" t="inlineStr">
        <x:is>
          <x:t xml:space="preserve">10/08/2009</x:t>
        </x:is>
      </x:c>
      <x:c r="F1341" s="529" t="n">
        <x:v>40059</x:v>
      </x:c>
      <x:c r="G1341" s="527" t="inlineStr">
        <x:is>
          <x:t xml:space="preserve">Kaiser-francis Oil Company</x:t>
        </x:is>
      </x:c>
      <x:c r="H1341" s="527" t="inlineStr">
        <x:is>
          <x:t xml:space="preserve">Craig Dolinsky</x:t>
        </x:is>
      </x:c>
      <x:c r="I1341" s="527" t="inlineStr">
        <x:is>
          <x:t xml:space="preserve">31-12N-24W (AOL)</x:t>
        </x:is>
      </x:c>
      <x:c r="J1341" s="527" t="inlineStr">
        <x:is>
          <x:t xml:space="preserve">See instrument</x:t>
        </x:is>
      </x:c>
      <x:c r="K1341" s="527" t="inlineStr">
        <x:is>
          <x:t xml:space="preserve">OKCountyRecords official index, Roger Mills County (instrument 2009-004292); searched 06/11/2026</x:t>
        </x:is>
      </x:c>
      <x:c r="L1341" s="565" t="n"/>
      <x:c r="M1341" s="565" t="n"/>
      <x:c r="N1341" s="565" t="n"/>
      <x:c r="O1341" s="565" t="n"/>
      <x:c r="P1341" s="565" t="n"/>
      <x:c r="Q1341" s="565" t="n"/>
      <x:c r="R1341" s="565" t="n"/>
      <x:c r="S1341" s="613" t="n"/>
      <x:c r="T1341" s="565" t="n"/>
      <x:c r="U1341" s="613" t="n"/>
      <x:c r="V1341" s="565" t="n"/>
      <x:c r="W1341" s="565" t="n"/>
      <x:c r="X1341" s="565" t="n"/>
      <x:c r="Y1341" s="565" t="n"/>
      <x:c r="Z1341" s="565" t="n"/>
    </x:row>
    <x:row r="1342">
      <x:c r="A1342" s="527" t="inlineStr">
        <x:is>
          <x:t xml:space="preserve">2009-006282</x:t>
        </x:is>
      </x:c>
      <x:c r="B1342" s="527" t="n"/>
      <x:c r="C1342" s="527" t="inlineStr">
        <x:is>
          <x:t xml:space="preserve">Stipulation</x:t>
        </x:is>
      </x:c>
      <x:c r="D1342" s="527" t="inlineStr">
        <x:is>
          <x:t xml:space="preserve">1984/0236</x:t>
        </x:is>
      </x:c>
      <x:c r="E1342" s="529" t="inlineStr">
        <x:is>
          <x:t xml:space="preserve">12/11/2009</x:t>
        </x:is>
      </x:c>
      <x:c r="F1342" s="529" t="n">
        <x:v>40133</x:v>
      </x:c>
      <x:c r="G1342" s="527" t="inlineStr">
        <x:is>
          <x:t xml:space="preserve">Arrowhead Resources, Inc.</x:t>
        </x:is>
      </x:c>
      <x:c r="H1342" s="527" t="inlineStr">
        <x:is>
          <x:t xml:space="preserve">Bhch Mineral, Ltd.,
Bhch Properties, Ltd.,
Garg Oil</x:t>
        </x:is>
      </x:c>
      <x:c r="I1342" s="527" t="inlineStr">
        <x:is>
          <x:t xml:space="preserve">All of 31-12N-24W (AOL)</x:t>
        </x:is>
      </x:c>
      <x:c r="J1342" s="527" t="inlineStr">
        <x:is>
          <x:t xml:space="preserve">Leasehold / WI</x:t>
        </x:is>
      </x:c>
      <x:c r="K1342" s="527" t="inlineStr">
        <x:is>
          <x:t xml:space="preserve">OKCountyRecords official index, Roger Mills County (instrument 2009-006282); searched 06/11/2026</x:t>
        </x:is>
      </x:c>
      <x:c r="L1342" s="565" t="n"/>
      <x:c r="M1342" s="565" t="n"/>
      <x:c r="N1342" s="565" t="n"/>
      <x:c r="O1342" s="565" t="n"/>
      <x:c r="P1342" s="565" t="n"/>
      <x:c r="Q1342" s="565" t="n"/>
      <x:c r="R1342" s="565" t="n"/>
      <x:c r="S1342" s="613" t="n"/>
      <x:c r="T1342" s="565" t="n"/>
      <x:c r="U1342" s="613" t="n"/>
      <x:c r="V1342" s="565" t="n"/>
      <x:c r="W1342" s="565" t="n"/>
      <x:c r="X1342" s="565" t="n"/>
      <x:c r="Y1342" s="565" t="n"/>
      <x:c r="Z1342" s="565" t="n"/>
    </x:row>
    <x:row r="1343">
      <x:c r="A1343" s="527" t="inlineStr">
        <x:is>
          <x:t xml:space="preserve">2010-002337</x:t>
        </x:is>
      </x:c>
      <x:c r="B1343" s="527" t="n"/>
      <x:c r="C1343" s="527" t="inlineStr">
        <x:is>
          <x:t xml:space="preserve">Quit Claim Mineral Deed</x:t>
        </x:is>
      </x:c>
      <x:c r="D1343" s="527" t="inlineStr">
        <x:is>
          <x:t xml:space="preserve">2002/0576</x:t>
        </x:is>
      </x:c>
      <x:c r="E1343" s="529" t="inlineStr">
        <x:is>
          <x:t xml:space="preserve">03/01/2010</x:t>
        </x:is>
      </x:c>
      <x:c r="F1343" s="529" t="n">
        <x:v>40067</x:v>
      </x:c>
      <x:c r="G1343" s="527" t="inlineStr">
        <x:is>
          <x:t xml:space="preserve">Dwight J. Williams,
Elizabeth M. Williams</x:t>
        </x:is>
      </x:c>
      <x:c r="H1343" s="527" t="inlineStr">
        <x:is>
          <x:t xml:space="preserve">Williams, Dwight J. Revocable Trust,
Dwight J. Williams, Trustee</x:t>
        </x:is>
      </x:c>
      <x:c r="I1343" s="527" t="inlineStr">
        <x:is>
          <x:t xml:space="preserve">NW/4 SE/4, S/2 SE/4, SW/4 NE/4 of 31-12N-24W (AOL)</x:t>
        </x:is>
      </x:c>
      <x:c r="J1343" s="527" t="inlineStr">
        <x:is>
          <x:t xml:space="preserve">Mineral</x:t>
        </x:is>
      </x:c>
      <x:c r="K1343" s="527" t="inlineStr">
        <x:is>
          <x:t xml:space="preserve">OKCountyRecords official index, Roger Mills County (instrument 2010-002337); searched 06/11/2026</x:t>
        </x:is>
      </x:c>
      <x:c r="L1343" s="565" t="n"/>
      <x:c r="M1343" s="565" t="n"/>
      <x:c r="N1343" s="565" t="n"/>
      <x:c r="O1343" s="565" t="n"/>
      <x:c r="P1343" s="565" t="n"/>
      <x:c r="Q1343" s="565" t="n"/>
      <x:c r="R1343" s="565" t="n"/>
      <x:c r="S1343" s="613" t="n"/>
      <x:c r="T1343" s="565" t="n"/>
      <x:c r="U1343" s="613" t="n"/>
      <x:c r="V1343" s="565" t="n"/>
      <x:c r="W1343" s="565" t="n"/>
      <x:c r="X1343" s="565" t="n"/>
      <x:c r="Y1343" s="565" t="n"/>
      <x:c r="Z1343" s="565" t="n"/>
    </x:row>
    <x:row r="1344">
      <x:c r="A1344" s="527" t="inlineStr">
        <x:is>
          <x:t xml:space="preserve">2010-005367</x:t>
        </x:is>
      </x:c>
      <x:c r="B1344" s="527" t="n"/>
      <x:c r="C1344" s="527" t="inlineStr">
        <x:is>
          <x:t xml:space="preserve">Letter</x:t>
        </x:is>
      </x:c>
      <x:c r="D1344" s="527" t="inlineStr">
        <x:is>
          <x:t xml:space="preserve">2019/0500</x:t>
        </x:is>
      </x:c>
      <x:c r="E1344" s="529" t="inlineStr">
        <x:is>
          <x:t xml:space="preserve">05/17/2010</x:t>
        </x:is>
      </x:c>
      <x:c r="F1344" s="529" t="n">
        <x:v>40298</x:v>
      </x:c>
      <x:c r="G1344" s="527" t="inlineStr">
        <x:is>
          <x:t xml:space="preserve">Clarence C. Dcd Bain,
Clarence Clifton Dcd Bain,
Clarence C. Bain, Trustee,
Michael L. Bain,
Michael L. Co- Bain, Trustee,
William C. Co- Bain, Trustee,
Cdb Trust</x:t>
        </x:is>
      </x:c>
      <x:c r="H1344" s="527" t="inlineStr">
        <x:is>
          <x:t xml:space="preserve">The Public</x:t>
        </x:is>
      </x:c>
      <x:c r="I1344" s="527" t="inlineStr">
        <x:is>
          <x:t xml:space="preserve">31-12N-24W (AOL)</x:t>
        </x:is>
      </x:c>
      <x:c r="J1344" s="527" t="inlineStr">
        <x:is>
          <x:t xml:space="preserve">See instrument</x:t>
        </x:is>
      </x:c>
      <x:c r="K1344" s="527" t="inlineStr">
        <x:is>
          <x:t xml:space="preserve">OKCountyRecords official index, Roger Mills County (instrument 2010-005367); searched 06/11/2026</x:t>
        </x:is>
      </x:c>
      <x:c r="L1344" s="565" t="n"/>
      <x:c r="M1344" s="565" t="n"/>
      <x:c r="N1344" s="565" t="n"/>
      <x:c r="O1344" s="565" t="n"/>
      <x:c r="P1344" s="565" t="n"/>
      <x:c r="Q1344" s="565" t="n"/>
      <x:c r="R1344" s="565" t="n"/>
      <x:c r="S1344" s="613" t="n"/>
      <x:c r="T1344" s="565" t="n"/>
      <x:c r="U1344" s="613" t="n"/>
      <x:c r="V1344" s="565" t="n"/>
      <x:c r="W1344" s="565" t="n"/>
      <x:c r="X1344" s="565" t="n"/>
      <x:c r="Y1344" s="565" t="n"/>
      <x:c r="Z1344" s="565" t="n"/>
    </x:row>
    <x:row r="1345">
      <x:c r="A1345" s="527" t="inlineStr">
        <x:is>
          <x:t xml:space="preserve">2010-005993</x:t>
        </x:is>
      </x:c>
      <x:c r="B1345" s="527" t="n"/>
      <x:c r="C1345" s="527" t="inlineStr">
        <x:is>
          <x:t xml:space="preserve">Mineral Deed</x:t>
        </x:is>
      </x:c>
      <x:c r="D1345" s="527" t="inlineStr">
        <x:is>
          <x:t xml:space="preserve">2022/0493</x:t>
        </x:is>
      </x:c>
      <x:c r="E1345" s="529" t="inlineStr">
        <x:is>
          <x:t xml:space="preserve">06/07/2010</x:t>
        </x:is>
      </x:c>
      <x:c r="F1345" s="529" t="n">
        <x:v>40333</x:v>
      </x:c>
      <x:c r="G1345" s="527" t="inlineStr">
        <x:is>
          <x:t xml:space="preserve">Wilda W. Jensen</x:t>
        </x:is>
      </x:c>
      <x:c r="H1345" s="527" t="inlineStr">
        <x:is>
          <x:t xml:space="preserve">Hans W. Jensen,
Tim E. Jensen</x:t>
        </x:is>
      </x:c>
      <x:c r="I1345" s="527" t="inlineStr">
        <x:is>
          <x:t xml:space="preserve">NW/4 SE/4, S/2 SE/4, SW/4 NE/4 of 31-12N-24W (AOL)</x:t>
        </x:is>
      </x:c>
      <x:c r="J1345" s="527" t="inlineStr">
        <x:is>
          <x:t xml:space="preserve">Mineral</x:t>
        </x:is>
      </x:c>
      <x:c r="K1345" s="527" t="inlineStr">
        <x:is>
          <x:t xml:space="preserve">OKCountyRecords official index, Roger Mills County (instrument 2010-005993); searched 06/11/2026</x:t>
        </x:is>
      </x:c>
      <x:c r="L1345" s="565" t="n"/>
      <x:c r="M1345" s="565" t="n"/>
      <x:c r="N1345" s="565" t="n"/>
      <x:c r="O1345" s="565" t="n"/>
      <x:c r="P1345" s="565" t="n"/>
      <x:c r="Q1345" s="565" t="n"/>
      <x:c r="R1345" s="565" t="n"/>
      <x:c r="S1345" s="613" t="n"/>
      <x:c r="T1345" s="565" t="n"/>
      <x:c r="U1345" s="613" t="n"/>
      <x:c r="V1345" s="565" t="n"/>
      <x:c r="W1345" s="565" t="n"/>
      <x:c r="X1345" s="565" t="n"/>
      <x:c r="Y1345" s="565" t="n"/>
      <x:c r="Z1345" s="565" t="n"/>
    </x:row>
    <x:row r="1346">
      <x:c r="A1346" s="527" t="inlineStr">
        <x:is>
          <x:t xml:space="preserve">2010-006265</x:t>
        </x:is>
      </x:c>
      <x:c r="B1346" s="527" t="n"/>
      <x:c r="C1346" s="527" t="inlineStr">
        <x:is>
          <x:t xml:space="preserve">Assignment</x:t>
        </x:is>
      </x:c>
      <x:c r="D1346" s="527" t="inlineStr">
        <x:is>
          <x:t xml:space="preserve">2024/0074</x:t>
        </x:is>
      </x:c>
      <x:c r="E1346" s="529" t="inlineStr">
        <x:is>
          <x:t xml:space="preserve">06/16/2010</x:t>
        </x:is>
      </x:c>
      <x:c r="F1346" s="529" t="n">
        <x:v>40338</x:v>
      </x:c>
      <x:c r="G1346" s="527" t="inlineStr">
        <x:is>
          <x:t xml:space="preserve">Rialto Production Company</x:t>
        </x:is>
      </x:c>
      <x:c r="H1346" s="527" t="inlineStr">
        <x:is>
          <x:t xml:space="preserve">Sydtran Management, LLC</x:t>
        </x:is>
      </x:c>
      <x:c r="I1346" s="527" t="inlineStr">
        <x:is>
          <x:t xml:space="preserve">E/2 NW/4 of 31-12N-24W (AOL)</x:t>
        </x:is>
      </x:c>
      <x:c r="J1346" s="527" t="inlineStr">
        <x:is>
          <x:t xml:space="preserve">Leasehold / WI</x:t>
        </x:is>
      </x:c>
      <x:c r="K1346" s="527" t="inlineStr">
        <x:is>
          <x:t xml:space="preserve">OKCountyRecords official index, Roger Mills County (instrument 2010-006265); searched 06/11/2026</x:t>
        </x:is>
      </x:c>
      <x:c r="L1346" s="565" t="n"/>
      <x:c r="M1346" s="565" t="n"/>
      <x:c r="N1346" s="565" t="n"/>
      <x:c r="O1346" s="565" t="n"/>
      <x:c r="P1346" s="565" t="n"/>
      <x:c r="Q1346" s="565" t="n"/>
      <x:c r="R1346" s="565" t="n"/>
      <x:c r="S1346" s="613" t="n"/>
      <x:c r="T1346" s="565" t="n"/>
      <x:c r="U1346" s="613" t="n"/>
      <x:c r="V1346" s="565" t="n"/>
      <x:c r="W1346" s="565" t="n"/>
      <x:c r="X1346" s="565" t="n"/>
      <x:c r="Y1346" s="565" t="n"/>
      <x:c r="Z1346" s="565" t="n"/>
    </x:row>
    <x:row r="1347">
      <x:c r="A1347" s="527" t="inlineStr">
        <x:is>
          <x:t xml:space="preserve">2010-006266</x:t>
        </x:is>
      </x:c>
      <x:c r="B1347" s="527" t="n"/>
      <x:c r="C1347" s="527" t="inlineStr">
        <x:is>
          <x:t xml:space="preserve">Assignment</x:t>
        </x:is>
      </x:c>
      <x:c r="D1347" s="527" t="inlineStr">
        <x:is>
          <x:t xml:space="preserve">2024/0085</x:t>
        </x:is>
      </x:c>
      <x:c r="E1347" s="529" t="inlineStr">
        <x:is>
          <x:t xml:space="preserve">06/16/2010</x:t>
        </x:is>
      </x:c>
      <x:c r="F1347" s="529" t="n">
        <x:v>40338</x:v>
      </x:c>
      <x:c r="G1347" s="527" t="inlineStr">
        <x:is>
          <x:t xml:space="preserve">Rialto Oil &amp; Gas Corporation</x:t>
        </x:is>
      </x:c>
      <x:c r="H1347" s="527" t="inlineStr">
        <x:is>
          <x:t xml:space="preserve">Sydtran, LP,
Sydtran Management, LLC</x:t>
        </x:is>
      </x:c>
      <x:c r="I1347" s="527" t="inlineStr">
        <x:is>
          <x:t xml:space="preserve">E/2 NW/4 of 31-12N-24W (AOL)</x:t>
        </x:is>
      </x:c>
      <x:c r="J1347" s="527" t="inlineStr">
        <x:is>
          <x:t xml:space="preserve">Leasehold / WI</x:t>
        </x:is>
      </x:c>
      <x:c r="K1347" s="527" t="inlineStr">
        <x:is>
          <x:t xml:space="preserve">OKCountyRecords official index, Roger Mills County (instrument 2010-006266); searched 06/11/2026</x:t>
        </x:is>
      </x:c>
      <x:c r="L1347" s="565" t="n"/>
      <x:c r="M1347" s="565" t="n"/>
      <x:c r="N1347" s="565" t="n"/>
      <x:c r="O1347" s="565" t="n"/>
      <x:c r="P1347" s="565" t="n"/>
      <x:c r="Q1347" s="565" t="n"/>
      <x:c r="R1347" s="565" t="n"/>
      <x:c r="S1347" s="613" t="n"/>
      <x:c r="T1347" s="565" t="n"/>
      <x:c r="U1347" s="613" t="n"/>
      <x:c r="V1347" s="565" t="n"/>
      <x:c r="W1347" s="565" t="n"/>
      <x:c r="X1347" s="565" t="n"/>
      <x:c r="Y1347" s="565" t="n"/>
      <x:c r="Z1347" s="565" t="n"/>
    </x:row>
    <x:row r="1348">
      <x:c r="A1348" s="527" t="inlineStr">
        <x:is>
          <x:t xml:space="preserve">2010-006561</x:t>
        </x:is>
      </x:c>
      <x:c r="B1348" s="527" t="n"/>
      <x:c r="C1348" s="527" t="inlineStr">
        <x:is>
          <x:t xml:space="preserve">Correction</x:t>
        </x:is>
      </x:c>
      <x:c r="D1348" s="527" t="inlineStr">
        <x:is>
          <x:t xml:space="preserve">2027/0085</x:t>
        </x:is>
      </x:c>
      <x:c r="E1348" s="529" t="inlineStr">
        <x:is>
          <x:t xml:space="preserve">06/28/2010</x:t>
        </x:is>
      </x:c>
      <x:c r="F1348" s="529" t="n">
        <x:v>40318</x:v>
      </x:c>
      <x:c r="G1348" s="527" t="inlineStr">
        <x:is>
          <x:t xml:space="preserve">Dwight James Successor Williams, Trustee,
Williams, Jon T. and Rogene E. Trust</x:t>
        </x:is>
      </x:c>
      <x:c r="H1348" s="527" t="inlineStr">
        <x:is>
          <x:t xml:space="preserve">Williams, Rogene E. Revocable Living Trust</x:t>
        </x:is>
      </x:c>
      <x:c r="I1348" s="527" t="inlineStr">
        <x:is>
          <x:t xml:space="preserve">NW/4 SE/4, S/2 SE/4, SW/4 NE/4 of 31-12N-24W (AOL)</x:t>
        </x:is>
      </x:c>
      <x:c r="J1348" s="527" t="inlineStr">
        <x:is>
          <x:t xml:space="preserve">See instrument</x:t>
        </x:is>
      </x:c>
      <x:c r="K1348" s="527" t="inlineStr">
        <x:is>
          <x:t xml:space="preserve">OKCountyRecords official index, Roger Mills County (instrument 2010-006561); searched 06/11/2026</x:t>
        </x:is>
      </x:c>
      <x:c r="L1348" s="565" t="n"/>
      <x:c r="M1348" s="565" t="n"/>
      <x:c r="N1348" s="565" t="n"/>
      <x:c r="O1348" s="565" t="n"/>
      <x:c r="P1348" s="565" t="n"/>
      <x:c r="Q1348" s="565" t="n"/>
      <x:c r="R1348" s="565" t="n"/>
      <x:c r="S1348" s="613" t="n"/>
      <x:c r="T1348" s="565" t="n"/>
      <x:c r="U1348" s="613" t="n"/>
      <x:c r="V1348" s="565" t="n"/>
      <x:c r="W1348" s="565" t="n"/>
      <x:c r="X1348" s="565" t="n"/>
      <x:c r="Y1348" s="565" t="n"/>
      <x:c r="Z1348" s="565" t="n"/>
    </x:row>
    <x:row r="1349">
      <x:c r="A1349" s="527" t="inlineStr">
        <x:is>
          <x:t xml:space="preserve">2010-007125</x:t>
        </x:is>
      </x:c>
      <x:c r="B1349" s="527" t="n"/>
      <x:c r="C1349" s="527" t="inlineStr">
        <x:is>
          <x:t xml:space="preserve">Mineral Deed</x:t>
        </x:is>
      </x:c>
      <x:c r="D1349" s="527" t="inlineStr">
        <x:is>
          <x:t xml:space="preserve">2031/0005</x:t>
        </x:is>
      </x:c>
      <x:c r="E1349" s="529" t="inlineStr">
        <x:is>
          <x:t xml:space="preserve">07/15/2010</x:t>
        </x:is>
      </x:c>
      <x:c r="F1349" s="529" t="n">
        <x:v>40357</x:v>
      </x:c>
      <x:c r="G1349" s="527" t="inlineStr">
        <x:is>
          <x:t xml:space="preserve">Leona I. Degrande</x:t>
        </x:is>
      </x:c>
      <x:c r="H1349" s="527" t="inlineStr">
        <x:is>
          <x:t xml:space="preserve">Mare Oil Company</x:t>
        </x:is>
      </x:c>
      <x:c r="I1349" s="527" t="inlineStr">
        <x:is>
          <x:t xml:space="preserve">NW/4 SE/4, S/2 SE/4, SW/4 NE/4 of 31-12N-24W</x:t>
        </x:is>
      </x:c>
      <x:c r="J1349" s="527" t="inlineStr">
        <x:is>
          <x:t xml:space="preserve">Mineral</x:t>
        </x:is>
      </x:c>
      <x:c r="K1349" s="527" t="inlineStr">
        <x:is>
          <x:t xml:space="preserve">OKCountyRecords official index, Roger Mills County (instrument 2010-007125); searched 06/11/2026</x:t>
        </x:is>
      </x:c>
      <x:c r="L1349" s="565" t="n"/>
      <x:c r="M1349" s="565" t="n"/>
      <x:c r="N1349" s="565" t="n"/>
      <x:c r="O1349" s="565" t="n"/>
      <x:c r="P1349" s="565" t="n"/>
      <x:c r="Q1349" s="565" t="n"/>
      <x:c r="R1349" s="565" t="n"/>
      <x:c r="S1349" s="613" t="n"/>
      <x:c r="T1349" s="565" t="n"/>
      <x:c r="U1349" s="613" t="n"/>
      <x:c r="V1349" s="565" t="n"/>
      <x:c r="W1349" s="565" t="n"/>
      <x:c r="X1349" s="565" t="n"/>
      <x:c r="Y1349" s="565" t="n"/>
      <x:c r="Z1349" s="565" t="n"/>
    </x:row>
    <x:row r="1350">
      <x:c r="A1350" s="527" t="inlineStr">
        <x:is>
          <x:t xml:space="preserve">2010-007953</x:t>
        </x:is>
      </x:c>
      <x:c r="B1350" s="527" t="n"/>
      <x:c r="C1350" s="527" t="inlineStr">
        <x:is>
          <x:t xml:space="preserve">Assignment</x:t>
        </x:is>
      </x:c>
      <x:c r="D1350" s="527" t="inlineStr">
        <x:is>
          <x:t xml:space="preserve">2036/0003</x:t>
        </x:is>
      </x:c>
      <x:c r="E1350" s="529" t="inlineStr">
        <x:is>
          <x:t xml:space="preserve">08/13/2010</x:t>
        </x:is>
      </x:c>
      <x:c r="F1350" s="529" t="n">
        <x:v>40396</x:v>
      </x:c>
      <x:c r="G1350" s="527" t="inlineStr">
        <x:is>
          <x:t xml:space="preserve">Boulevard Associates, LLC</x:t>
        </x:is>
      </x:c>
      <x:c r="H1350" s="527" t="inlineStr">
        <x:is>
          <x:t xml:space="preserve">Elk City II Wind, LLC</x:t>
        </x:is>
      </x:c>
      <x:c r="I1350" s="527" t="inlineStr">
        <x:is>
          <x:t xml:space="preserve">N/2 NE/4, NE/4 SE/4, SE/4 NE/4 of 31-12N-24W (AOL)</x:t>
        </x:is>
      </x:c>
      <x:c r="J1350" s="527" t="inlineStr">
        <x:is>
          <x:t xml:space="preserve">Leasehold / WI</x:t>
        </x:is>
      </x:c>
      <x:c r="K1350" s="527" t="inlineStr">
        <x:is>
          <x:t xml:space="preserve">OKCountyRecords official index, Roger Mills County (instrument 2010-007953); searched 06/11/2026</x:t>
        </x:is>
      </x:c>
      <x:c r="L1350" s="565" t="n"/>
      <x:c r="M1350" s="565" t="n"/>
      <x:c r="N1350" s="565" t="n"/>
      <x:c r="O1350" s="565" t="n"/>
      <x:c r="P1350" s="565" t="n"/>
      <x:c r="Q1350" s="565" t="n"/>
      <x:c r="R1350" s="565" t="n"/>
      <x:c r="S1350" s="613" t="n"/>
      <x:c r="T1350" s="565" t="n"/>
      <x:c r="U1350" s="613" t="n"/>
      <x:c r="V1350" s="565" t="n"/>
      <x:c r="W1350" s="565" t="n"/>
      <x:c r="X1350" s="565" t="n"/>
      <x:c r="Y1350" s="565" t="n"/>
      <x:c r="Z1350" s="565" t="n"/>
    </x:row>
    <x:row r="1351">
      <x:c r="A1351" s="527" t="inlineStr">
        <x:is>
          <x:t xml:space="preserve">2010-008922</x:t>
        </x:is>
      </x:c>
      <x:c r="B1351" s="527" t="n"/>
      <x:c r="C1351" s="527" t="inlineStr">
        <x:is>
          <x:t xml:space="preserve">Mineral Deed</x:t>
        </x:is>
      </x:c>
      <x:c r="D1351" s="527" t="inlineStr">
        <x:is>
          <x:t xml:space="preserve">2041/0379</x:t>
        </x:is>
      </x:c>
      <x:c r="E1351" s="529" t="inlineStr">
        <x:is>
          <x:t xml:space="preserve">09/17/2010</x:t>
        </x:is>
      </x:c>
      <x:c r="F1351" s="529" t="n">
        <x:v>40416</x:v>
      </x:c>
      <x:c r="G1351" s="527" t="inlineStr">
        <x:is>
          <x:t xml:space="preserve">Fausta J. Bish,
Terry Bish,
Tina Bish,
Datt Investment Company</x:t>
        </x:is>
      </x:c>
      <x:c r="H1351" s="527" t="inlineStr">
        <x:is>
          <x:t xml:space="preserve">Bish Family Trust,
Fausta J. Bish, Trustee,
Terry V. Bish, Trustee</x:t>
        </x:is>
      </x:c>
      <x:c r="I1351" s="527" t="inlineStr">
        <x:is>
          <x:t xml:space="preserve">NW/4 SE/4, S/2 SE/4, SW/4 NE/4 of 31-12N-24W (AOL)</x:t>
        </x:is>
      </x:c>
      <x:c r="J1351" s="527" t="inlineStr">
        <x:is>
          <x:t xml:space="preserve">Mineral</x:t>
        </x:is>
      </x:c>
      <x:c r="K1351" s="527" t="inlineStr">
        <x:is>
          <x:t xml:space="preserve">OKCountyRecords official index, Roger Mills County (instrument 2010-008922); searched 06/11/2026</x:t>
        </x:is>
      </x:c>
      <x:c r="L1351" s="565" t="n"/>
      <x:c r="M1351" s="565" t="n"/>
      <x:c r="N1351" s="565" t="n"/>
      <x:c r="O1351" s="565" t="n"/>
      <x:c r="P1351" s="565" t="n"/>
      <x:c r="Q1351" s="565" t="n"/>
      <x:c r="R1351" s="565" t="n"/>
      <x:c r="S1351" s="613" t="n"/>
      <x:c r="T1351" s="565" t="n"/>
      <x:c r="U1351" s="613" t="n"/>
      <x:c r="V1351" s="565" t="n"/>
      <x:c r="W1351" s="565" t="n"/>
      <x:c r="X1351" s="565" t="n"/>
      <x:c r="Y1351" s="565" t="n"/>
      <x:c r="Z1351" s="565" t="n"/>
    </x:row>
    <x:row r="1352">
      <x:c r="A1352" s="527" t="inlineStr">
        <x:is>
          <x:t xml:space="preserve">2010-008934</x:t>
        </x:is>
      </x:c>
      <x:c r="B1352" s="527" t="n"/>
      <x:c r="C1352" s="527" t="inlineStr">
        <x:is>
          <x:t xml:space="preserve">Mineral Deed</x:t>
        </x:is>
      </x:c>
      <x:c r="D1352" s="527" t="inlineStr">
        <x:is>
          <x:t xml:space="preserve">2041/0406</x:t>
        </x:is>
      </x:c>
      <x:c r="E1352" s="529" t="inlineStr">
        <x:is>
          <x:t xml:space="preserve">09/20/2010</x:t>
        </x:is>
      </x:c>
      <x:c r="F1352" s="529" t="n">
        <x:v>40437</x:v>
      </x:c>
      <x:c r="G1352" s="527" t="inlineStr">
        <x:is>
          <x:t xml:space="preserve">Petrohawk Energy Corporation</x:t>
        </x:is>
      </x:c>
      <x:c r="H1352" s="527" t="inlineStr">
        <x:is>
          <x:t xml:space="preserve">Petrohawk Properties, LP</x:t>
        </x:is>
      </x:c>
      <x:c r="I1352" s="527" t="inlineStr">
        <x:is>
          <x:t xml:space="preserve">E/2 NW/4 of 31-12N-24W (AOL)</x:t>
        </x:is>
      </x:c>
      <x:c r="J1352" s="527" t="inlineStr">
        <x:is>
          <x:t xml:space="preserve">Mineral</x:t>
        </x:is>
      </x:c>
      <x:c r="K1352" s="527" t="inlineStr">
        <x:is>
          <x:t xml:space="preserve">OKCountyRecords official index, Roger Mills County (instrument 2010-008934); searched 06/11/2026</x:t>
        </x:is>
      </x:c>
      <x:c r="L1352" s="565" t="n"/>
      <x:c r="M1352" s="565" t="n"/>
      <x:c r="N1352" s="565" t="n"/>
      <x:c r="O1352" s="565" t="n"/>
      <x:c r="P1352" s="565" t="n"/>
      <x:c r="Q1352" s="565" t="n"/>
      <x:c r="R1352" s="565" t="n"/>
      <x:c r="S1352" s="613" t="n"/>
      <x:c r="T1352" s="565" t="n"/>
      <x:c r="U1352" s="613" t="n"/>
      <x:c r="V1352" s="565" t="n"/>
      <x:c r="W1352" s="565" t="n"/>
      <x:c r="X1352" s="565" t="n"/>
      <x:c r="Y1352" s="565" t="n"/>
      <x:c r="Z1352" s="565" t="n"/>
    </x:row>
    <x:row r="1353">
      <x:c r="A1353" s="527" t="inlineStr">
        <x:is>
          <x:t xml:space="preserve">2010-010052</x:t>
        </x:is>
      </x:c>
      <x:c r="B1353" s="527" t="n"/>
      <x:c r="C1353" s="527" t="inlineStr">
        <x:is>
          <x:t xml:space="preserve">Notice</x:t>
        </x:is>
      </x:c>
      <x:c r="D1353" s="527" t="inlineStr">
        <x:is>
          <x:t xml:space="preserve">2048/0268</x:t>
        </x:is>
      </x:c>
      <x:c r="E1353" s="529" t="inlineStr">
        <x:is>
          <x:t xml:space="preserve">11/01/2010</x:t>
        </x:is>
      </x:c>
      <x:c r="F1353" s="529" t="n">
        <x:v>40360</x:v>
      </x:c>
      <x:c r="G1353" s="527" t="inlineStr">
        <x:is>
          <x:t xml:space="preserve">Boulevard Associates, LLC</x:t>
        </x:is>
      </x:c>
      <x:c r="H1353" s="527" t="inlineStr">
        <x:is>
          <x:t xml:space="preserve">Danielle Delane Tucker,
Monte Earl Tucker</x:t>
        </x:is>
      </x:c>
      <x:c r="I1353" s="527" t="inlineStr">
        <x:is>
          <x:t xml:space="preserve">N/2 NE/4, NE/4 SE/4, SE/4 NE/4 of 31-12N-24W</x:t>
        </x:is>
      </x:c>
      <x:c r="J1353" s="527" t="inlineStr">
        <x:is>
          <x:t xml:space="preserve">See instrument</x:t>
        </x:is>
      </x:c>
      <x:c r="K1353" s="527" t="inlineStr">
        <x:is>
          <x:t xml:space="preserve">OKCountyRecords official index, Roger Mills County (instrument 2010-010052); searched 06/11/2026</x:t>
        </x:is>
      </x:c>
      <x:c r="L1353" s="565" t="n"/>
      <x:c r="M1353" s="565" t="n"/>
      <x:c r="N1353" s="565" t="n"/>
      <x:c r="O1353" s="565" t="n"/>
      <x:c r="P1353" s="565" t="n"/>
      <x:c r="Q1353" s="565" t="n"/>
      <x:c r="R1353" s="565" t="n"/>
      <x:c r="S1353" s="613" t="n"/>
      <x:c r="T1353" s="565" t="n"/>
      <x:c r="U1353" s="613" t="n"/>
      <x:c r="V1353" s="565" t="n"/>
      <x:c r="W1353" s="565" t="n"/>
      <x:c r="X1353" s="565" t="n"/>
      <x:c r="Y1353" s="565" t="n"/>
      <x:c r="Z1353" s="565" t="n"/>
    </x:row>
    <x:row r="1354">
      <x:c r="A1354" s="527" t="inlineStr">
        <x:is>
          <x:t xml:space="preserve">2011-000110</x:t>
        </x:is>
      </x:c>
      <x:c r="B1354" s="527" t="n"/>
      <x:c r="C1354" s="527" t="inlineStr">
        <x:is>
          <x:t xml:space="preserve">Quit Claim</x:t>
        </x:is>
      </x:c>
      <x:c r="D1354" s="527" t="inlineStr">
        <x:is>
          <x:t xml:space="preserve">2057/0347</x:t>
        </x:is>
      </x:c>
      <x:c r="E1354" s="529" t="inlineStr">
        <x:is>
          <x:t xml:space="preserve">01/06/2011</x:t>
        </x:is>
      </x:c>
      <x:c r="F1354" s="529" t="n">
        <x:v>40513</x:v>
      </x:c>
      <x:c r="G1354" s="527" t="inlineStr">
        <x:is>
          <x:t xml:space="preserve">Hefner Company, Inc.</x:t>
        </x:is>
      </x:c>
      <x:c r="H1354" s="527" t="inlineStr">
        <x:is>
          <x:t xml:space="preserve">Cheyenne Resources, LLC</x:t>
        </x:is>
      </x:c>
      <x:c r="I1354" s="527" t="inlineStr">
        <x:is>
          <x:t xml:space="preserve">31-12N-24W (AOL)</x:t>
        </x:is>
      </x:c>
      <x:c r="J1354" s="527" t="inlineStr">
        <x:is>
          <x:t xml:space="preserve">Fee / as stated</x:t>
        </x:is>
      </x:c>
      <x:c r="K1354" s="527" t="inlineStr">
        <x:is>
          <x:t xml:space="preserve">OKCountyRecords official index, Roger Mills County (instrument 2011-000110); searched 06/11/2026</x:t>
        </x:is>
      </x:c>
      <x:c r="L1354" s="565" t="n"/>
      <x:c r="M1354" s="565" t="n"/>
      <x:c r="N1354" s="565" t="n"/>
      <x:c r="O1354" s="565" t="n"/>
      <x:c r="P1354" s="565" t="n"/>
      <x:c r="Q1354" s="565" t="n"/>
      <x:c r="R1354" s="565" t="n"/>
      <x:c r="S1354" s="613" t="n"/>
      <x:c r="T1354" s="565" t="n"/>
      <x:c r="U1354" s="613" t="n"/>
      <x:c r="V1354" s="565" t="n"/>
      <x:c r="W1354" s="565" t="n"/>
      <x:c r="X1354" s="565" t="n"/>
      <x:c r="Y1354" s="565" t="n"/>
      <x:c r="Z1354" s="565" t="n"/>
    </x:row>
    <x:row r="1355">
      <x:c r="A1355" s="527" t="inlineStr">
        <x:is>
          <x:t xml:space="preserve">2011-001007</x:t>
        </x:is>
      </x:c>
      <x:c r="B1355" s="527" t="n"/>
      <x:c r="C1355" s="527" t="inlineStr">
        <x:is>
          <x:t xml:space="preserve">Trustees Mineral Deed</x:t>
        </x:is>
      </x:c>
      <x:c r="D1355" s="527" t="inlineStr">
        <x:is>
          <x:t xml:space="preserve">2063/0491</x:t>
        </x:is>
      </x:c>
      <x:c r="E1355" s="529" t="inlineStr">
        <x:is>
          <x:t xml:space="preserve">02/18/2011</x:t>
        </x:is>
      </x:c>
      <x:c r="F1355" s="529" t="n">
        <x:v>40577</x:v>
      </x:c>
      <x:c r="G1355" s="527" t="inlineStr">
        <x:is>
          <x:t xml:space="preserve">Glenda Palmer,
Richard Palmer</x:t>
        </x:is>
      </x:c>
      <x:c r="H1355" s="527" t="inlineStr">
        <x:is>
          <x:t xml:space="preserve">Palmer Family Trust,
Glenda Ann Palmer, Trustee,
Richard Royce Palmer, Trustee</x:t>
        </x:is>
      </x:c>
      <x:c r="I1355" s="527" t="inlineStr">
        <x:is>
          <x:t xml:space="preserve">E/2 NW/4, N/2 NE/4 SE/4, NE/4 SE/4, SE/4 NE/4 of 31-12N-24W (AOL)</x:t>
        </x:is>
      </x:c>
      <x:c r="J1355" s="527" t="inlineStr">
        <x:is>
          <x:t xml:space="preserve">Mineral</x:t>
        </x:is>
      </x:c>
      <x:c r="K1355" s="527" t="inlineStr">
        <x:is>
          <x:t xml:space="preserve">OKCountyRecords official index, Roger Mills County (instrument 2011-001007); searched 06/11/2026</x:t>
        </x:is>
      </x:c>
      <x:c r="L1355" s="565" t="n"/>
      <x:c r="M1355" s="565" t="n"/>
      <x:c r="N1355" s="565" t="n"/>
      <x:c r="O1355" s="565" t="n"/>
      <x:c r="P1355" s="565" t="n"/>
      <x:c r="Q1355" s="565" t="n"/>
      <x:c r="R1355" s="565" t="n"/>
      <x:c r="S1355" s="613" t="n"/>
      <x:c r="T1355" s="565" t="n"/>
      <x:c r="U1355" s="613" t="n"/>
      <x:c r="V1355" s="565" t="n"/>
      <x:c r="W1355" s="565" t="n"/>
      <x:c r="X1355" s="565" t="n"/>
      <x:c r="Y1355" s="565" t="n"/>
      <x:c r="Z1355" s="565" t="n"/>
    </x:row>
    <x:row r="1356">
      <x:c r="A1356" s="527" t="inlineStr">
        <x:is>
          <x:t xml:space="preserve">2011-001008</x:t>
        </x:is>
      </x:c>
      <x:c r="B1356" s="527" t="n"/>
      <x:c r="C1356" s="527" t="inlineStr">
        <x:is>
          <x:t xml:space="preserve">Trustees Mineral Deed</x:t>
        </x:is>
      </x:c>
      <x:c r="D1356" s="527" t="inlineStr">
        <x:is>
          <x:t xml:space="preserve">2063/0494</x:t>
        </x:is>
      </x:c>
      <x:c r="E1356" s="529" t="inlineStr">
        <x:is>
          <x:t xml:space="preserve">02/18/2011</x:t>
        </x:is>
      </x:c>
      <x:c r="F1356" s="529" t="n">
        <x:v>40577</x:v>
      </x:c>
      <x:c r="G1356" s="527" t="inlineStr">
        <x:is>
          <x:t xml:space="preserve">Mitchel, Glenn Douglas and Hazel Pearl Trust,
Glenda Ann Palmer, Trustee</x:t>
        </x:is>
      </x:c>
      <x:c r="H1356" s="527" t="inlineStr">
        <x:is>
          <x:t xml:space="preserve">Mitchel, Jack D. and Shonna A. Family Trust,
Shanti Jonathan Mitchel,
Shonna Arlene Mitchel, Trustee,
Palmer Family Trust,
Glenda Ann Palmer, Trustee,
Richard Royce Palmer, Trustee</x:t>
        </x:is>
      </x:c>
      <x:c r="I1356" s="527" t="inlineStr">
        <x:is>
          <x:t xml:space="preserve">E/2 NW/4, N/2 NE/4 SE/4, NE/4 SE/4, SE/4 NE/4 of 31-12N-24W (AOL)</x:t>
        </x:is>
      </x:c>
      <x:c r="J1356" s="527" t="inlineStr">
        <x:is>
          <x:t xml:space="preserve">Mineral</x:t>
        </x:is>
      </x:c>
      <x:c r="K1356" s="527" t="inlineStr">
        <x:is>
          <x:t xml:space="preserve">OKCountyRecords official index, Roger Mills County (instrument 2011-001008); searched 06/11/2026</x:t>
        </x:is>
      </x:c>
      <x:c r="L1356" s="565" t="n"/>
      <x:c r="M1356" s="565" t="n"/>
      <x:c r="N1356" s="565" t="n"/>
      <x:c r="O1356" s="565" t="n"/>
      <x:c r="P1356" s="565" t="n"/>
      <x:c r="Q1356" s="565" t="n"/>
      <x:c r="R1356" s="565" t="n"/>
      <x:c r="S1356" s="613" t="n"/>
      <x:c r="T1356" s="565" t="n"/>
      <x:c r="U1356" s="613" t="n"/>
      <x:c r="V1356" s="565" t="n"/>
      <x:c r="W1356" s="565" t="n"/>
      <x:c r="X1356" s="565" t="n"/>
      <x:c r="Y1356" s="565" t="n"/>
      <x:c r="Z1356" s="565" t="n"/>
    </x:row>
    <x:row r="1357">
      <x:c r="A1357" s="527" t="inlineStr">
        <x:is>
          <x:t xml:space="preserve">2011-001009</x:t>
        </x:is>
      </x:c>
      <x:c r="B1357" s="527" t="n"/>
      <x:c r="C1357" s="527" t="inlineStr">
        <x:is>
          <x:t xml:space="preserve">Trustees Mineral Deed</x:t>
        </x:is>
      </x:c>
      <x:c r="D1357" s="527" t="inlineStr">
        <x:is>
          <x:t xml:space="preserve">2063/0497</x:t>
        </x:is>
      </x:c>
      <x:c r="E1357" s="529" t="inlineStr">
        <x:is>
          <x:t xml:space="preserve">02/18/2011</x:t>
        </x:is>
      </x:c>
      <x:c r="F1357" s="529" t="n">
        <x:v>40583</x:v>
      </x:c>
      <x:c r="G1357" s="527" t="inlineStr">
        <x:is>
          <x:t xml:space="preserve">Shonna Mitchel,
Shonna A. Mitchel,
Shonna Arlene Mitchel</x:t>
        </x:is>
      </x:c>
      <x:c r="H1357" s="527" t="inlineStr">
        <x:is>
          <x:t xml:space="preserve">Mitchel, Jack D. and Shonna A. Family Trust,
Shonna Arlene Mitchel,
Shonna A. Mitchel, Trustee</x:t>
        </x:is>
      </x:c>
      <x:c r="I1357" s="527" t="inlineStr">
        <x:is>
          <x:t xml:space="preserve">E/2 NW/4, N/2 NE/4 SE/4, NE/4 SE/4, SE/4 NE/4 of 31-12N-24W (AOL)</x:t>
        </x:is>
      </x:c>
      <x:c r="J1357" s="527" t="inlineStr">
        <x:is>
          <x:t xml:space="preserve">Mineral</x:t>
        </x:is>
      </x:c>
      <x:c r="K1357" s="527" t="inlineStr">
        <x:is>
          <x:t xml:space="preserve">OKCountyRecords official index, Roger Mills County (instrument 2011-001009); searched 06/11/2026</x:t>
        </x:is>
      </x:c>
      <x:c r="L1357" s="565" t="n"/>
      <x:c r="M1357" s="565" t="n"/>
      <x:c r="N1357" s="565" t="n"/>
      <x:c r="O1357" s="565" t="n"/>
      <x:c r="P1357" s="565" t="n"/>
      <x:c r="Q1357" s="565" t="n"/>
      <x:c r="R1357" s="565" t="n"/>
      <x:c r="S1357" s="613" t="n"/>
      <x:c r="T1357" s="565" t="n"/>
      <x:c r="U1357" s="613" t="n"/>
      <x:c r="V1357" s="565" t="n"/>
      <x:c r="W1357" s="565" t="n"/>
      <x:c r="X1357" s="565" t="n"/>
      <x:c r="Y1357" s="565" t="n"/>
      <x:c r="Z1357" s="565" t="n"/>
    </x:row>
    <x:row r="1358">
      <x:c r="A1358" s="527" t="inlineStr">
        <x:is>
          <x:t xml:space="preserve">2011-003023</x:t>
        </x:is>
      </x:c>
      <x:c r="B1358" s="527" t="n"/>
      <x:c r="C1358" s="527" t="inlineStr">
        <x:is>
          <x:t xml:space="preserve">Mineral Deed</x:t>
        </x:is>
      </x:c>
      <x:c r="D1358" s="527" t="inlineStr">
        <x:is>
          <x:t xml:space="preserve">2074/0536</x:t>
        </x:is>
      </x:c>
      <x:c r="E1358" s="529" t="inlineStr">
        <x:is>
          <x:t xml:space="preserve">05/02/2011</x:t>
        </x:is>
      </x:c>
      <x:c r="F1358" s="529" t="n">
        <x:v>40661</x:v>
      </x:c>
      <x:c r="G1358" s="527" t="inlineStr">
        <x:is>
          <x:t xml:space="preserve">4 A. Investments,
Bryon A. Hetherington</x:t>
        </x:is>
      </x:c>
      <x:c r="H1358" s="527" t="inlineStr">
        <x:is>
          <x:t xml:space="preserve">Bryon A. Hetherington, Trustee,
Hetherington, Byron A. Trust</x:t>
        </x:is>
      </x:c>
      <x:c r="I1358" s="527" t="inlineStr">
        <x:is>
          <x:t xml:space="preserve">NW/4 SE/4, S/2 SE/4, SW/4 NE/4 of 31-12N-24W (AOL)</x:t>
        </x:is>
      </x:c>
      <x:c r="J1358" s="527" t="inlineStr">
        <x:is>
          <x:t xml:space="preserve">Mineral</x:t>
        </x:is>
      </x:c>
      <x:c r="K1358" s="527" t="inlineStr">
        <x:is>
          <x:t xml:space="preserve">OKCountyRecords official index, Roger Mills County (instrument 2011-003023); searched 06/11/2026</x:t>
        </x:is>
      </x:c>
      <x:c r="L1358" s="565" t="n"/>
      <x:c r="M1358" s="565" t="n"/>
      <x:c r="N1358" s="565" t="n"/>
      <x:c r="O1358" s="565" t="n"/>
      <x:c r="P1358" s="565" t="n"/>
      <x:c r="Q1358" s="565" t="n"/>
      <x:c r="R1358" s="565" t="n"/>
      <x:c r="S1358" s="613" t="n"/>
      <x:c r="T1358" s="565" t="n"/>
      <x:c r="U1358" s="613" t="n"/>
      <x:c r="V1358" s="565" t="n"/>
      <x:c r="W1358" s="565" t="n"/>
      <x:c r="X1358" s="565" t="n"/>
      <x:c r="Y1358" s="565" t="n"/>
      <x:c r="Z1358" s="565" t="n"/>
    </x:row>
    <x:row r="1359">
      <x:c r="A1359" s="527" t="inlineStr">
        <x:is>
          <x:t xml:space="preserve">2011-005695</x:t>
        </x:is>
      </x:c>
      <x:c r="B1359" s="527" t="n"/>
      <x:c r="C1359" s="527" t="inlineStr">
        <x:is>
          <x:t xml:space="preserve">Mineral Deed</x:t>
        </x:is>
      </x:c>
      <x:c r="D1359" s="527" t="inlineStr">
        <x:is>
          <x:t xml:space="preserve">2092/0134</x:t>
        </x:is>
      </x:c>
      <x:c r="E1359" s="529" t="inlineStr">
        <x:is>
          <x:t xml:space="preserve">08/26/2011</x:t>
        </x:is>
      </x:c>
      <x:c r="F1359" s="529" t="n">
        <x:v>40778</x:v>
      </x:c>
      <x:c r="G1359" s="527" t="inlineStr">
        <x:is>
          <x:t xml:space="preserve">Sorenson Michelle Johnson,
Sorenson Oil and Gas Trust</x:t>
        </x:is>
      </x:c>
      <x:c r="H1359" s="527" t="inlineStr">
        <x:is>
          <x:t xml:space="preserve">Daigle, Kei Lee Trust,
Daigle, Mark Ashley Trust,
Johnson, Kevin Warner Trust</x:t>
        </x:is>
      </x:c>
      <x:c r="I1359" s="527" t="inlineStr">
        <x:is>
          <x:t xml:space="preserve">31-12N-24W</x:t>
        </x:is>
      </x:c>
      <x:c r="J1359" s="527" t="inlineStr">
        <x:is>
          <x:t xml:space="preserve">Mineral</x:t>
        </x:is>
      </x:c>
      <x:c r="K1359" s="527" t="inlineStr">
        <x:is>
          <x:t xml:space="preserve">OKCountyRecords official index, Roger Mills County (instrument 2011-005695); searched 06/11/2026</x:t>
        </x:is>
      </x:c>
      <x:c r="L1359" s="565" t="n"/>
      <x:c r="M1359" s="565" t="n"/>
      <x:c r="N1359" s="565" t="n"/>
      <x:c r="O1359" s="565" t="n"/>
      <x:c r="P1359" s="565" t="n"/>
      <x:c r="Q1359" s="565" t="n"/>
      <x:c r="R1359" s="565" t="n"/>
      <x:c r="S1359" s="613" t="n"/>
      <x:c r="T1359" s="565" t="n"/>
      <x:c r="U1359" s="613" t="n"/>
      <x:c r="V1359" s="565" t="n"/>
      <x:c r="W1359" s="565" t="n"/>
      <x:c r="X1359" s="565" t="n"/>
      <x:c r="Y1359" s="565" t="n"/>
      <x:c r="Z1359" s="565" t="n"/>
    </x:row>
    <x:row r="1360">
      <x:c r="A1360" s="527" t="inlineStr">
        <x:is>
          <x:t xml:space="preserve">2011-005926</x:t>
        </x:is>
      </x:c>
      <x:c r="B1360" s="527" t="n"/>
      <x:c r="C1360" s="527" t="inlineStr">
        <x:is>
          <x:t xml:space="preserve">Quit Claim Deed</x:t>
        </x:is>
      </x:c>
      <x:c r="D1360" s="527" t="inlineStr">
        <x:is>
          <x:t xml:space="preserve">2093/0461</x:t>
        </x:is>
      </x:c>
      <x:c r="E1360" s="529" t="inlineStr">
        <x:is>
          <x:t xml:space="preserve">09/07/2011</x:t>
        </x:is>
      </x:c>
      <x:c r="F1360" s="529" t="n">
        <x:v>40788</x:v>
      </x:c>
      <x:c r="G1360" s="527" t="inlineStr">
        <x:is>
          <x:t xml:space="preserve">Cheyenne Resources</x:t>
        </x:is>
      </x:c>
      <x:c r="H1360" s="527" t="inlineStr">
        <x:is>
          <x:t xml:space="preserve">Hefner Company</x:t>
        </x:is>
      </x:c>
      <x:c r="I1360" s="527" t="inlineStr">
        <x:is>
          <x:t xml:space="preserve">All of 31-12N-24W (AOL)</x:t>
        </x:is>
      </x:c>
      <x:c r="J1360" s="527" t="inlineStr">
        <x:is>
          <x:t xml:space="preserve">Fee / as stated</x:t>
        </x:is>
      </x:c>
      <x:c r="K1360" s="527" t="inlineStr">
        <x:is>
          <x:t xml:space="preserve">OKCountyRecords official index, Roger Mills County (instrument 2011-005926); searched 06/11/2026</x:t>
        </x:is>
      </x:c>
      <x:c r="L1360" s="565" t="n"/>
      <x:c r="M1360" s="565" t="n"/>
      <x:c r="N1360" s="565" t="n"/>
      <x:c r="O1360" s="565" t="n"/>
      <x:c r="P1360" s="565" t="n"/>
      <x:c r="Q1360" s="565" t="n"/>
      <x:c r="R1360" s="565" t="n"/>
      <x:c r="S1360" s="613" t="n"/>
      <x:c r="T1360" s="565" t="n"/>
      <x:c r="U1360" s="613" t="n"/>
      <x:c r="V1360" s="565" t="n"/>
      <x:c r="W1360" s="565" t="n"/>
      <x:c r="X1360" s="565" t="n"/>
      <x:c r="Y1360" s="565" t="n"/>
      <x:c r="Z1360" s="565" t="n"/>
    </x:row>
    <x:row r="1361">
      <x:c r="A1361" s="527" t="inlineStr">
        <x:is>
          <x:t xml:space="preserve">2011-007728</x:t>
        </x:is>
      </x:c>
      <x:c r="B1361" s="527" t="n"/>
      <x:c r="C1361" s="527" t="inlineStr">
        <x:is>
          <x:t xml:space="preserve">Deed</x:t>
        </x:is>
      </x:c>
      <x:c r="D1361" s="527" t="inlineStr">
        <x:is>
          <x:t xml:space="preserve">2104/0239</x:t>
        </x:is>
      </x:c>
      <x:c r="E1361" s="529" t="inlineStr">
        <x:is>
          <x:t xml:space="preserve">11/22/2011</x:t>
        </x:is>
      </x:c>
      <x:c r="F1361" s="529" t="n">
        <x:v>40839</x:v>
      </x:c>
      <x:c r="G1361" s="527" t="inlineStr">
        <x:is>
          <x:t xml:space="preserve">Michael L. Bain, Trustee,
William C. Bain, Trustee</x:t>
        </x:is>
      </x:c>
      <x:c r="H1361" s="527" t="inlineStr">
        <x:is>
          <x:t xml:space="preserve">Michael L. Bain, Trustee,
Paul M. Bain, Trustee,
William C. Bain, Trustee</x:t>
        </x:is>
      </x:c>
      <x:c r="I1361" s="527" t="inlineStr">
        <x:is>
          <x:t xml:space="preserve">SE/4 SE/4, SW/4 NE/4, W/2 SE/4 of 31-12N-24W (AOL)</x:t>
        </x:is>
      </x:c>
      <x:c r="J1361" s="527" t="inlineStr">
        <x:is>
          <x:t xml:space="preserve">Fee / as stated</x:t>
        </x:is>
      </x:c>
      <x:c r="K1361" s="527" t="inlineStr">
        <x:is>
          <x:t xml:space="preserve">OKCountyRecords official index, Roger Mills County (instrument 2011-007728); searched 06/11/2026</x:t>
        </x:is>
      </x:c>
      <x:c r="L1361" s="565" t="n"/>
      <x:c r="M1361" s="565" t="n"/>
      <x:c r="N1361" s="565" t="n"/>
      <x:c r="O1361" s="565" t="n"/>
      <x:c r="P1361" s="565" t="n"/>
      <x:c r="Q1361" s="565" t="n"/>
      <x:c r="R1361" s="565" t="n"/>
      <x:c r="S1361" s="613" t="n"/>
      <x:c r="T1361" s="565" t="n"/>
      <x:c r="U1361" s="613" t="n"/>
      <x:c r="V1361" s="565" t="n"/>
      <x:c r="W1361" s="565" t="n"/>
      <x:c r="X1361" s="565" t="n"/>
      <x:c r="Y1361" s="565" t="n"/>
      <x:c r="Z1361" s="565" t="n"/>
    </x:row>
    <x:row r="1362">
      <x:c r="A1362" s="527" t="inlineStr">
        <x:is>
          <x:t xml:space="preserve">2011-007729</x:t>
        </x:is>
      </x:c>
      <x:c r="B1362" s="527" t="n"/>
      <x:c r="C1362" s="527" t="inlineStr">
        <x:is>
          <x:t xml:space="preserve">Mineral Deed</x:t>
        </x:is>
      </x:c>
      <x:c r="D1362" s="527" t="inlineStr">
        <x:is>
          <x:t xml:space="preserve">2104/0242</x:t>
        </x:is>
      </x:c>
      <x:c r="E1362" s="529" t="inlineStr">
        <x:is>
          <x:t xml:space="preserve">11/22/2011</x:t>
        </x:is>
      </x:c>
      <x:c r="F1362" s="529" t="n">
        <x:v>40839</x:v>
      </x:c>
      <x:c r="G1362" s="527" t="inlineStr">
        <x:is>
          <x:t xml:space="preserve">Michael L. Bain, Trustee,
William C. Bain, Trustee</x:t>
        </x:is>
      </x:c>
      <x:c r="H1362" s="527" t="inlineStr">
        <x:is>
          <x:t xml:space="preserve">Michael L. Bain, Trustee,
Paul M. Bain, Trustee,
William C. Bain, Trustee</x:t>
        </x:is>
      </x:c>
      <x:c r="I1362" s="527" t="inlineStr">
        <x:is>
          <x:t xml:space="preserve">NW/4 SE/4, S/2 SE/4, SW/4 NE/4 of 31-12N-24W (AOL)</x:t>
        </x:is>
      </x:c>
      <x:c r="J1362" s="527" t="inlineStr">
        <x:is>
          <x:t xml:space="preserve">Mineral</x:t>
        </x:is>
      </x:c>
      <x:c r="K1362" s="527" t="inlineStr">
        <x:is>
          <x:t xml:space="preserve">OKCountyRecords official index, Roger Mills County (instrument 2011-007729); searched 06/11/2026</x:t>
        </x:is>
      </x:c>
      <x:c r="L1362" s="565" t="n"/>
      <x:c r="M1362" s="565" t="n"/>
      <x:c r="N1362" s="565" t="n"/>
      <x:c r="O1362" s="565" t="n"/>
      <x:c r="P1362" s="565" t="n"/>
      <x:c r="Q1362" s="565" t="n"/>
      <x:c r="R1362" s="565" t="n"/>
      <x:c r="S1362" s="613" t="n"/>
      <x:c r="T1362" s="565" t="n"/>
      <x:c r="U1362" s="613" t="n"/>
      <x:c r="V1362" s="565" t="n"/>
      <x:c r="W1362" s="565" t="n"/>
      <x:c r="X1362" s="565" t="n"/>
      <x:c r="Y1362" s="565" t="n"/>
      <x:c r="Z1362" s="565" t="n"/>
    </x:row>
    <x:row r="1363">
      <x:c r="A1363" s="527" t="inlineStr">
        <x:is>
          <x:t xml:space="preserve">2011-007727</x:t>
        </x:is>
      </x:c>
      <x:c r="B1363" s="527" t="n"/>
      <x:c r="C1363" s="527" t="inlineStr">
        <x:is>
          <x:t xml:space="preserve">Affidavit</x:t>
        </x:is>
      </x:c>
      <x:c r="D1363" s="527" t="inlineStr">
        <x:is>
          <x:t xml:space="preserve">2104/0234</x:t>
        </x:is>
      </x:c>
      <x:c r="E1363" s="529" t="inlineStr">
        <x:is>
          <x:t xml:space="preserve">11/22/2011</x:t>
        </x:is>
      </x:c>
      <x:c r="F1363" s="529" t="n">
        <x:v>40839</x:v>
      </x:c>
      <x:c r="G1363" s="527" t="inlineStr">
        <x:is>
          <x:t xml:space="preserve">Michael Bain,
William C. Bain</x:t>
        </x:is>
      </x:c>
      <x:c r="H1363" s="527" t="inlineStr">
        <x:is>
          <x:t xml:space="preserve">The Public</x:t>
        </x:is>
      </x:c>
      <x:c r="I1363" s="527" t="inlineStr">
        <x:is>
          <x:t xml:space="preserve">NW/4 SE/4, S/2 SE/4, SW/4 NE/4 of 31-12N-24W (AOL)</x:t>
        </x:is>
      </x:c>
      <x:c r="J1363" s="527" t="inlineStr">
        <x:is>
          <x:t xml:space="preserve">See instrument</x:t>
        </x:is>
      </x:c>
      <x:c r="K1363" s="527" t="inlineStr">
        <x:is>
          <x:t xml:space="preserve">OKCountyRecords official index, Roger Mills County (instrument 2011-007727); searched 06/11/2026</x:t>
        </x:is>
      </x:c>
      <x:c r="L1363" s="565" t="n"/>
      <x:c r="M1363" s="565" t="n"/>
      <x:c r="N1363" s="565" t="n"/>
      <x:c r="O1363" s="565" t="n"/>
      <x:c r="P1363" s="565" t="n"/>
      <x:c r="Q1363" s="565" t="n"/>
      <x:c r="R1363" s="565" t="n"/>
      <x:c r="S1363" s="613" t="n"/>
      <x:c r="T1363" s="565" t="n"/>
      <x:c r="U1363" s="613" t="n"/>
      <x:c r="V1363" s="565" t="n"/>
      <x:c r="W1363" s="565" t="n"/>
      <x:c r="X1363" s="565" t="n"/>
      <x:c r="Y1363" s="565" t="n"/>
      <x:c r="Z1363" s="565" t="n"/>
    </x:row>
    <x:row r="1364">
      <x:c r="A1364" s="527" t="inlineStr">
        <x:is>
          <x:t xml:space="preserve">2011-007826</x:t>
        </x:is>
      </x:c>
      <x:c r="B1364" s="527" t="n"/>
      <x:c r="C1364" s="527" t="inlineStr">
        <x:is>
          <x:t xml:space="preserve">Mineral Deed</x:t>
        </x:is>
      </x:c>
      <x:c r="D1364" s="527" t="inlineStr">
        <x:is>
          <x:t xml:space="preserve">2104/0537</x:t>
        </x:is>
      </x:c>
      <x:c r="E1364" s="529" t="inlineStr">
        <x:is>
          <x:t xml:space="preserve">11/29/2011</x:t>
        </x:is>
      </x:c>
      <x:c r="F1364" s="529" t="n">
        <x:v>40855</x:v>
      </x:c>
      <x:c r="G1364" s="527" t="inlineStr">
        <x:is>
          <x:t xml:space="preserve">Fleshman Agency</x:t>
        </x:is>
      </x:c>
      <x:c r="H1364" s="527" t="inlineStr">
        <x:is>
          <x:t xml:space="preserve">Mekusukey Oil Company, LLC</x:t>
        </x:is>
      </x:c>
      <x:c r="I1364" s="527" t="inlineStr">
        <x:is>
          <x:t xml:space="preserve">Lots 1, 3 of 31-12N-24W (AOL)</x:t>
        </x:is>
      </x:c>
      <x:c r="J1364" s="527" t="inlineStr">
        <x:is>
          <x:t xml:space="preserve">Mineral</x:t>
        </x:is>
      </x:c>
      <x:c r="K1364" s="527" t="inlineStr">
        <x:is>
          <x:t xml:space="preserve">OKCountyRecords official index, Roger Mills County (instrument 2011-007826); searched 06/11/2026</x:t>
        </x:is>
      </x:c>
      <x:c r="L1364" s="565" t="n"/>
      <x:c r="M1364" s="565" t="n"/>
      <x:c r="N1364" s="565" t="n"/>
      <x:c r="O1364" s="565" t="n"/>
      <x:c r="P1364" s="565" t="n"/>
      <x:c r="Q1364" s="565" t="n"/>
      <x:c r="R1364" s="565" t="n"/>
      <x:c r="S1364" s="613" t="n"/>
      <x:c r="T1364" s="565" t="n"/>
      <x:c r="U1364" s="613" t="n"/>
      <x:c r="V1364" s="565" t="n"/>
      <x:c r="W1364" s="565" t="n"/>
      <x:c r="X1364" s="565" t="n"/>
      <x:c r="Y1364" s="565" t="n"/>
      <x:c r="Z1364" s="565" t="n"/>
    </x:row>
    <x:row r="1365">
      <x:c r="A1365" s="527" t="inlineStr">
        <x:is>
          <x:t xml:space="preserve">2011-008134</x:t>
        </x:is>
      </x:c>
      <x:c r="B1365" s="527" t="n"/>
      <x:c r="C1365" s="527" t="inlineStr">
        <x:is>
          <x:t xml:space="preserve">Mineral Deed</x:t>
        </x:is>
      </x:c>
      <x:c r="D1365" s="527" t="inlineStr">
        <x:is>
          <x:t xml:space="preserve">2106/0387</x:t>
        </x:is>
      </x:c>
      <x:c r="E1365" s="529" t="inlineStr">
        <x:is>
          <x:t xml:space="preserve">12/09/2011</x:t>
        </x:is>
      </x:c>
      <x:c r="F1365" s="529" t="n">
        <x:v>40876</x:v>
      </x:c>
      <x:c r="G1365" s="527" t="inlineStr">
        <x:is>
          <x:t xml:space="preserve">Myron V. Slobin</x:t>
        </x:is>
      </x:c>
      <x:c r="H1365" s="527" t="inlineStr">
        <x:is>
          <x:t xml:space="preserve">Brian Herman Kortright</x:t>
        </x:is>
      </x:c>
      <x:c r="I1365" s="527" t="inlineStr">
        <x:is>
          <x:t xml:space="preserve">NW/4 SE/4, S/2 SE/4, SE/4 NE/4 of 31-12N-24W (AOL)</x:t>
        </x:is>
      </x:c>
      <x:c r="J1365" s="527" t="inlineStr">
        <x:is>
          <x:t xml:space="preserve">Mineral</x:t>
        </x:is>
      </x:c>
      <x:c r="K1365" s="527" t="inlineStr">
        <x:is>
          <x:t xml:space="preserve">OKCountyRecords official index, Roger Mills County (instrument 2011-008134); searched 06/11/2026</x:t>
        </x:is>
      </x:c>
      <x:c r="L1365" s="565" t="n"/>
      <x:c r="M1365" s="565" t="n"/>
      <x:c r="N1365" s="565" t="n"/>
      <x:c r="O1365" s="565" t="n"/>
      <x:c r="P1365" s="565" t="n"/>
      <x:c r="Q1365" s="565" t="n"/>
      <x:c r="R1365" s="565" t="n"/>
      <x:c r="S1365" s="613" t="n"/>
      <x:c r="T1365" s="565" t="n"/>
      <x:c r="U1365" s="613" t="n"/>
      <x:c r="V1365" s="565" t="n"/>
      <x:c r="W1365" s="565" t="n"/>
      <x:c r="X1365" s="565" t="n"/>
      <x:c r="Y1365" s="565" t="n"/>
      <x:c r="Z1365" s="565" t="n"/>
    </x:row>
    <x:row r="1366">
      <x:c r="A1366" s="527" t="inlineStr">
        <x:is>
          <x:t xml:space="preserve">2011-008366</x:t>
        </x:is>
      </x:c>
      <x:c r="B1366" s="527" t="n"/>
      <x:c r="C1366" s="527" t="inlineStr">
        <x:is>
          <x:t xml:space="preserve">Mineral Deed</x:t>
        </x:is>
      </x:c>
      <x:c r="D1366" s="527" t="inlineStr">
        <x:is>
          <x:t xml:space="preserve">2108/0102</x:t>
        </x:is>
      </x:c>
      <x:c r="E1366" s="529" t="inlineStr">
        <x:is>
          <x:t xml:space="preserve">12/19/2011</x:t>
        </x:is>
      </x:c>
      <x:c r="F1366" s="529" t="n">
        <x:v>40892</x:v>
      </x:c>
      <x:c r="G1366" s="527" t="inlineStr">
        <x:is>
          <x:t xml:space="preserve">Michelle Sorenson Johnson</x:t>
        </x:is>
      </x:c>
      <x:c r="H1366" s="527" t="inlineStr">
        <x:is>
          <x:t xml:space="preserve">Daigle, Mark Ashley Trust,
Kevin Warner Johnson,
Tucker, Keri Lee Daigle Trust</x:t>
        </x:is>
      </x:c>
      <x:c r="I1366" s="527" t="inlineStr">
        <x:is>
          <x:t xml:space="preserve">31-12N-24W</x:t>
        </x:is>
      </x:c>
      <x:c r="J1366" s="527" t="inlineStr">
        <x:is>
          <x:t xml:space="preserve">Mineral</x:t>
        </x:is>
      </x:c>
      <x:c r="K1366" s="527" t="inlineStr">
        <x:is>
          <x:t xml:space="preserve">OKCountyRecords official index, Roger Mills County (instrument 2011-008366); searched 06/11/2026</x:t>
        </x:is>
      </x:c>
      <x:c r="L1366" s="565" t="n"/>
      <x:c r="M1366" s="565" t="n"/>
      <x:c r="N1366" s="565" t="n"/>
      <x:c r="O1366" s="565" t="n"/>
      <x:c r="P1366" s="565" t="n"/>
      <x:c r="Q1366" s="565" t="n"/>
      <x:c r="R1366" s="565" t="n"/>
      <x:c r="S1366" s="613" t="n"/>
      <x:c r="T1366" s="565" t="n"/>
      <x:c r="U1366" s="613" t="n"/>
      <x:c r="V1366" s="565" t="n"/>
      <x:c r="W1366" s="565" t="n"/>
      <x:c r="X1366" s="565" t="n"/>
      <x:c r="Y1366" s="565" t="n"/>
      <x:c r="Z1366" s="565" t="n"/>
    </x:row>
    <x:row r="1367">
      <x:c r="A1367" s="527" t="inlineStr">
        <x:is>
          <x:t xml:space="preserve">2012-000970</x:t>
        </x:is>
      </x:c>
      <x:c r="B1367" s="527" t="n"/>
      <x:c r="C1367" s="527" t="inlineStr">
        <x:is>
          <x:t xml:space="preserve">Affidavit</x:t>
        </x:is>
      </x:c>
      <x:c r="D1367" s="527" t="inlineStr">
        <x:is>
          <x:t xml:space="preserve">2116/0016</x:t>
        </x:is>
      </x:c>
      <x:c r="E1367" s="529" t="inlineStr">
        <x:is>
          <x:t xml:space="preserve">02/10/2012</x:t>
        </x:is>
      </x:c>
      <x:c r="F1367" s="529" t="n">
        <x:v>40905</x:v>
      </x:c>
      <x:c r="G1367" s="527" t="inlineStr">
        <x:is>
          <x:t xml:space="preserve">Keri L. Tucker</x:t>
        </x:is>
      </x:c>
      <x:c r="H1367" s="527" t="inlineStr">
        <x:is>
          <x:t xml:space="preserve">The Public</x:t>
        </x:is>
      </x:c>
      <x:c r="I1367" s="527" t="inlineStr">
        <x:is>
          <x:t xml:space="preserve">31-12N-24W</x:t>
        </x:is>
      </x:c>
      <x:c r="J1367" s="527" t="inlineStr">
        <x:is>
          <x:t xml:space="preserve">See instrument</x:t>
        </x:is>
      </x:c>
      <x:c r="K1367" s="527" t="inlineStr">
        <x:is>
          <x:t xml:space="preserve">OKCountyRecords official index, Roger Mills County (instrument 2012-000970); searched 06/11/2026</x:t>
        </x:is>
      </x:c>
      <x:c r="L1367" s="565" t="n"/>
      <x:c r="M1367" s="565" t="n"/>
      <x:c r="N1367" s="565" t="n"/>
      <x:c r="O1367" s="565" t="n"/>
      <x:c r="P1367" s="565" t="n"/>
      <x:c r="Q1367" s="565" t="n"/>
      <x:c r="R1367" s="565" t="n"/>
      <x:c r="S1367" s="613" t="n"/>
      <x:c r="T1367" s="565" t="n"/>
      <x:c r="U1367" s="613" t="n"/>
      <x:c r="V1367" s="565" t="n"/>
      <x:c r="W1367" s="565" t="n"/>
      <x:c r="X1367" s="565" t="n"/>
      <x:c r="Y1367" s="565" t="n"/>
      <x:c r="Z1367" s="565" t="n"/>
    </x:row>
    <x:row r="1368">
      <x:c r="A1368" s="527" t="inlineStr">
        <x:is>
          <x:t xml:space="preserve">2012-001856</x:t>
        </x:is>
      </x:c>
      <x:c r="B1368" s="527" t="n"/>
      <x:c r="C1368" s="527" t="inlineStr">
        <x:is>
          <x:t xml:space="preserve">Partial Release</x:t>
        </x:is>
      </x:c>
      <x:c r="D1368" s="527" t="inlineStr">
        <x:is>
          <x:t xml:space="preserve">2121/0077</x:t>
        </x:is>
      </x:c>
      <x:c r="E1368" s="529" t="inlineStr">
        <x:is>
          <x:t xml:space="preserve">03/15/2012</x:t>
        </x:is>
      </x:c>
      <x:c r="F1368" s="529" t="n">
        <x:v>40973</x:v>
      </x:c>
      <x:c r="G1368" s="527" t="inlineStr">
        <x:is>
          <x:t xml:space="preserve">Wells Fargo Bank</x:t>
        </x:is>
      </x:c>
      <x:c r="H1368" s="527" t="inlineStr">
        <x:is>
          <x:t xml:space="preserve">Chesapeake Exploration, LLC</x:t>
        </x:is>
      </x:c>
      <x:c r="I1368" s="527" t="inlineStr">
        <x:is>
          <x:t xml:space="preserve">NW/4 SE/4, S/2 NE/4 SW/4, S/2 SE/4, SE/4 SW/4, SW/4 NE/4, Lots 3 of 31-12N-24W (AOL)</x:t>
        </x:is>
      </x:c>
      <x:c r="J1368" s="527" t="inlineStr">
        <x:is>
          <x:t xml:space="preserve">Leasehold / WI</x:t>
        </x:is>
      </x:c>
      <x:c r="K1368" s="527" t="inlineStr">
        <x:is>
          <x:t xml:space="preserve">OKCountyRecords official index, Roger Mills County (instrument 2012-001856); searched 06/11/2026</x:t>
        </x:is>
      </x:c>
      <x:c r="L1368" s="565" t="n"/>
      <x:c r="M1368" s="565" t="n"/>
      <x:c r="N1368" s="565" t="n"/>
      <x:c r="O1368" s="565" t="n"/>
      <x:c r="P1368" s="565" t="n"/>
      <x:c r="Q1368" s="565" t="n"/>
      <x:c r="R1368" s="565" t="n"/>
      <x:c r="S1368" s="613" t="n"/>
      <x:c r="T1368" s="565" t="n"/>
      <x:c r="U1368" s="613" t="n"/>
      <x:c r="V1368" s="565" t="n"/>
      <x:c r="W1368" s="565" t="n"/>
      <x:c r="X1368" s="565" t="n"/>
      <x:c r="Y1368" s="565" t="n"/>
      <x:c r="Z1368" s="565" t="n"/>
    </x:row>
    <x:row r="1369">
      <x:c r="A1369" s="527" t="inlineStr">
        <x:is>
          <x:t xml:space="preserve">2012-002191</x:t>
        </x:is>
      </x:c>
      <x:c r="B1369" s="527" t="n"/>
      <x:c r="C1369" s="527" t="inlineStr">
        <x:is>
          <x:t xml:space="preserve">Final Decree</x:t>
        </x:is>
      </x:c>
      <x:c r="D1369" s="527" t="inlineStr">
        <x:is>
          <x:t xml:space="preserve">2124/0117</x:t>
        </x:is>
      </x:c>
      <x:c r="E1369" s="529" t="inlineStr">
        <x:is>
          <x:t xml:space="preserve">03/22/2012</x:t>
        </x:is>
      </x:c>
      <x:c r="F1369" s="529" t="n">
        <x:v>40988</x:v>
      </x:c>
      <x:c r="G1369" s="527" t="inlineStr">
        <x:is>
          <x:t xml:space="preserve">Fred A. Standiford</x:t>
        </x:is>
      </x:c>
      <x:c r="H1369" s="527" t="inlineStr">
        <x:is>
          <x:t xml:space="preserve">The Public</x:t>
        </x:is>
      </x:c>
      <x:c r="I1369" s="527" t="inlineStr">
        <x:is>
          <x:t xml:space="preserve">SE/4 SW/4 of 31-12N-24W (AOL)</x:t>
        </x:is>
      </x:c>
      <x:c r="J1369" s="527" t="inlineStr">
        <x:is>
          <x:t xml:space="preserve">Fee / as stated</x:t>
        </x:is>
      </x:c>
      <x:c r="K1369" s="527" t="inlineStr">
        <x:is>
          <x:t xml:space="preserve">OKCountyRecords official index, Roger Mills County (instrument 2012-002191); searched 06/11/2026</x:t>
        </x:is>
      </x:c>
      <x:c r="L1369" s="565" t="n"/>
      <x:c r="M1369" s="565" t="n"/>
      <x:c r="N1369" s="565" t="n"/>
      <x:c r="O1369" s="565" t="n"/>
      <x:c r="P1369" s="565" t="n"/>
      <x:c r="Q1369" s="565" t="n"/>
      <x:c r="R1369" s="565" t="n"/>
      <x:c r="S1369" s="613" t="n"/>
      <x:c r="T1369" s="565" t="n"/>
      <x:c r="U1369" s="613" t="n"/>
      <x:c r="V1369" s="565" t="n"/>
      <x:c r="W1369" s="565" t="n"/>
      <x:c r="X1369" s="565" t="n"/>
      <x:c r="Y1369" s="565" t="n"/>
      <x:c r="Z1369" s="565" t="n"/>
    </x:row>
    <x:row r="1370">
      <x:c r="A1370" s="527" t="inlineStr">
        <x:is>
          <x:t xml:space="preserve">2012-002539</x:t>
        </x:is>
      </x:c>
      <x:c r="B1370" s="527" t="n"/>
      <x:c r="C1370" s="527" t="inlineStr">
        <x:is>
          <x:t xml:space="preserve">Assignment</x:t>
        </x:is>
      </x:c>
      <x:c r="D1370" s="527" t="inlineStr">
        <x:is>
          <x:t xml:space="preserve">2129/0001</x:t>
        </x:is>
      </x:c>
      <x:c r="E1370" s="529" t="inlineStr">
        <x:is>
          <x:t xml:space="preserve">04/03/2012</x:t>
        </x:is>
      </x:c>
      <x:c r="F1370" s="529" t="n">
        <x:v>41000</x:v>
      </x:c>
      <x:c r="G1370" s="527" t="inlineStr">
        <x:is>
          <x:t xml:space="preserve">Chesapeake Exploration, LLC</x:t>
        </x:is>
      </x:c>
      <x:c r="H1370" s="527" t="inlineStr">
        <x:is>
          <x:t xml:space="preserve">CHK Cleveland Tonkawa, LLC</x:t>
        </x:is>
      </x:c>
      <x:c r="I1370" s="527" t="inlineStr">
        <x:is>
          <x:t xml:space="preserve">All of 31-12N-24W (AOL)</x:t>
        </x:is>
      </x:c>
      <x:c r="J1370" s="527" t="inlineStr">
        <x:is>
          <x:t xml:space="preserve">Leasehold / WI</x:t>
        </x:is>
      </x:c>
      <x:c r="K1370" s="527" t="inlineStr">
        <x:is>
          <x:t xml:space="preserve">OKCountyRecords official index, Roger Mills County (instrument 2012-002539); searched 06/11/2026</x:t>
        </x:is>
      </x:c>
      <x:c r="L1370" s="565" t="n"/>
      <x:c r="M1370" s="565" t="n"/>
      <x:c r="N1370" s="565" t="n"/>
      <x:c r="O1370" s="565" t="n"/>
      <x:c r="P1370" s="565" t="n"/>
      <x:c r="Q1370" s="565" t="n"/>
      <x:c r="R1370" s="565" t="n"/>
      <x:c r="S1370" s="613" t="n"/>
      <x:c r="T1370" s="565" t="n"/>
      <x:c r="U1370" s="613" t="n"/>
      <x:c r="V1370" s="565" t="n"/>
      <x:c r="W1370" s="565" t="n"/>
      <x:c r="X1370" s="565" t="n"/>
      <x:c r="Y1370" s="565" t="n"/>
      <x:c r="Z1370" s="565" t="n"/>
    </x:row>
    <x:row r="1371">
      <x:c r="A1371" s="527" t="inlineStr">
        <x:is>
          <x:t xml:space="preserve">2012-002930</x:t>
        </x:is>
      </x:c>
      <x:c r="B1371" s="527" t="n"/>
      <x:c r="C1371" s="527" t="inlineStr">
        <x:is>
          <x:t xml:space="preserve">Mineral Deed</x:t>
        </x:is>
      </x:c>
      <x:c r="D1371" s="527" t="inlineStr">
        <x:is>
          <x:t xml:space="preserve">2131/0599</x:t>
        </x:is>
      </x:c>
      <x:c r="E1371" s="529" t="inlineStr">
        <x:is>
          <x:t xml:space="preserve">04/16/2012</x:t>
        </x:is>
      </x:c>
      <x:c r="F1371" s="529" t="n">
        <x:v>41011</x:v>
      </x:c>
      <x:c r="G1371" s="527" t="inlineStr">
        <x:is>
          <x:t xml:space="preserve">Doris Bain,
Jospeh A. Bain</x:t>
        </x:is>
      </x:c>
      <x:c r="H1371" s="527" t="inlineStr">
        <x:is>
          <x:t xml:space="preserve">Lighthouse Point, LLC</x:t>
        </x:is>
      </x:c>
      <x:c r="I1371" s="527" t="inlineStr">
        <x:is>
          <x:t xml:space="preserve">NW/4 SE/4, S/2 SE/4, SW/4 NE/4 of 31-12N-24W (AOL)</x:t>
        </x:is>
      </x:c>
      <x:c r="J1371" s="527" t="inlineStr">
        <x:is>
          <x:t xml:space="preserve">Mineral</x:t>
        </x:is>
      </x:c>
      <x:c r="K1371" s="527" t="inlineStr">
        <x:is>
          <x:t xml:space="preserve">OKCountyRecords official index, Roger Mills County (instrument 2012-002930); searched 06/11/2026</x:t>
        </x:is>
      </x:c>
      <x:c r="L1371" s="565" t="n"/>
      <x:c r="M1371" s="565" t="n"/>
      <x:c r="N1371" s="565" t="n"/>
      <x:c r="O1371" s="565" t="n"/>
      <x:c r="P1371" s="565" t="n"/>
      <x:c r="Q1371" s="565" t="n"/>
      <x:c r="R1371" s="565" t="n"/>
      <x:c r="S1371" s="613" t="n"/>
      <x:c r="T1371" s="565" t="n"/>
      <x:c r="U1371" s="613" t="n"/>
      <x:c r="V1371" s="565" t="n"/>
      <x:c r="W1371" s="565" t="n"/>
      <x:c r="X1371" s="565" t="n"/>
      <x:c r="Y1371" s="565" t="n"/>
      <x:c r="Z1371" s="565" t="n"/>
    </x:row>
    <x:row r="1372">
      <x:c r="A1372" s="527" t="inlineStr">
        <x:is>
          <x:t xml:space="preserve">2012-004060</x:t>
        </x:is>
      </x:c>
      <x:c r="B1372" s="527" t="n"/>
      <x:c r="C1372" s="527" t="inlineStr">
        <x:is>
          <x:t xml:space="preserve">Mineral Deed</x:t>
        </x:is>
      </x:c>
      <x:c r="D1372" s="527" t="inlineStr">
        <x:is>
          <x:t xml:space="preserve">2141/0003</x:t>
        </x:is>
      </x:c>
      <x:c r="E1372" s="529" t="inlineStr">
        <x:is>
          <x:t xml:space="preserve">06/01/2012</x:t>
        </x:is>
      </x:c>
      <x:c r="F1372" s="529" t="n">
        <x:v>41059</x:v>
      </x:c>
      <x:c r="G1372" s="527" t="inlineStr">
        <x:is>
          <x:t xml:space="preserve">Joel R. Ibeling,
Lyle T. Ibeling,
Michelle L. Ibeling,
Janelle Ibeling Ness,
OK Oil Ventures,
Myron V. Slobin,
Gregory J. Winneke,
Cassandra M. Wynia</x:t>
        </x:is>
      </x:c>
      <x:c r="H1372" s="527" t="inlineStr">
        <x:is>
          <x:t xml:space="preserve">Myron V. Slobin,
Gregory J. Winneke</x:t>
        </x:is>
      </x:c>
      <x:c r="I1372" s="527" t="inlineStr">
        <x:is>
          <x:t xml:space="preserve">NW/4 SE/4, S/2 SE/4, SE/4 NE/4 of 31-12N-24W (AOL)</x:t>
        </x:is>
      </x:c>
      <x:c r="J1372" s="527" t="inlineStr">
        <x:is>
          <x:t xml:space="preserve">Mineral</x:t>
        </x:is>
      </x:c>
      <x:c r="K1372" s="527" t="inlineStr">
        <x:is>
          <x:t xml:space="preserve">OKCountyRecords official index, Roger Mills County (instrument 2012-004060); searched 06/11/2026</x:t>
        </x:is>
      </x:c>
      <x:c r="L1372" s="565" t="n"/>
      <x:c r="M1372" s="565" t="n"/>
      <x:c r="N1372" s="565" t="n"/>
      <x:c r="O1372" s="565" t="n"/>
      <x:c r="P1372" s="565" t="n"/>
      <x:c r="Q1372" s="565" t="n"/>
      <x:c r="R1372" s="565" t="n"/>
      <x:c r="S1372" s="613" t="n"/>
      <x:c r="T1372" s="565" t="n"/>
      <x:c r="U1372" s="613" t="n"/>
      <x:c r="V1372" s="565" t="n"/>
      <x:c r="W1372" s="565" t="n"/>
      <x:c r="X1372" s="565" t="n"/>
      <x:c r="Y1372" s="565" t="n"/>
      <x:c r="Z1372" s="565" t="n"/>
    </x:row>
    <x:row r="1373">
      <x:c r="A1373" s="527" t="inlineStr">
        <x:is>
          <x:t xml:space="preserve">2012-004836</x:t>
        </x:is>
      </x:c>
      <x:c r="B1373" s="527" t="n"/>
      <x:c r="C1373" s="527" t="inlineStr">
        <x:is>
          <x:t xml:space="preserve">Power Of Attorney</x:t>
        </x:is>
      </x:c>
      <x:c r="D1373" s="527" t="inlineStr">
        <x:is>
          <x:t xml:space="preserve">2147/0239</x:t>
        </x:is>
      </x:c>
      <x:c r="E1373" s="529" t="inlineStr">
        <x:is>
          <x:t xml:space="preserve">07/05/2012</x:t>
        </x:is>
      </x:c>
      <x:c r="F1373" s="529" t="n">
        <x:v>41092</x:v>
      </x:c>
      <x:c r="G1373" s="527" t="inlineStr">
        <x:is>
          <x:t xml:space="preserve">Kaiser-francis Oil Co</x:t>
        </x:is>
      </x:c>
      <x:c r="H1373" s="527" t="inlineStr">
        <x:is>
          <x:t xml:space="preserve">Craig Aif Dolinsky</x:t>
        </x:is>
      </x:c>
      <x:c r="I1373" s="527" t="inlineStr">
        <x:is>
          <x:t xml:space="preserve">All of 31-12N-24W (AOL)</x:t>
        </x:is>
      </x:c>
      <x:c r="J1373" s="527" t="inlineStr">
        <x:is>
          <x:t xml:space="preserve">See instrument</x:t>
        </x:is>
      </x:c>
      <x:c r="K1373" s="527" t="inlineStr">
        <x:is>
          <x:t xml:space="preserve">OKCountyRecords official index, Roger Mills County (instrument 2012-004836); searched 06/11/2026</x:t>
        </x:is>
      </x:c>
      <x:c r="L1373" s="565" t="n"/>
      <x:c r="M1373" s="565" t="n"/>
      <x:c r="N1373" s="565" t="n"/>
      <x:c r="O1373" s="565" t="n"/>
      <x:c r="P1373" s="565" t="n"/>
      <x:c r="Q1373" s="565" t="n"/>
      <x:c r="R1373" s="565" t="n"/>
      <x:c r="S1373" s="613" t="n"/>
      <x:c r="T1373" s="565" t="n"/>
      <x:c r="U1373" s="613" t="n"/>
      <x:c r="V1373" s="565" t="n"/>
      <x:c r="W1373" s="565" t="n"/>
      <x:c r="X1373" s="565" t="n"/>
      <x:c r="Y1373" s="565" t="n"/>
      <x:c r="Z1373" s="565" t="n"/>
    </x:row>
    <x:row r="1374">
      <x:c r="A1374" s="527" t="inlineStr">
        <x:is>
          <x:t xml:space="preserve">2012-005041</x:t>
        </x:is>
      </x:c>
      <x:c r="B1374" s="527" t="n"/>
      <x:c r="C1374" s="527" t="inlineStr">
        <x:is>
          <x:t xml:space="preserve">Order</x:t>
        </x:is>
      </x:c>
      <x:c r="D1374" s="527" t="inlineStr">
        <x:is>
          <x:t xml:space="preserve">2148/0385</x:t>
        </x:is>
      </x:c>
      <x:c r="E1374" s="529" t="inlineStr">
        <x:is>
          <x:t xml:space="preserve">07/16/2012</x:t>
        </x:is>
      </x:c>
      <x:c r="F1374" s="529" t="n">
        <x:v>40961</x:v>
      </x:c>
      <x:c r="G1374" s="527" t="inlineStr">
        <x:is>
          <x:t xml:space="preserve">Standiford, Fred A. Jr. Trust</x:t>
        </x:is>
      </x:c>
      <x:c r="H1374" s="527" t="inlineStr">
        <x:is>
          <x:t xml:space="preserve">Kimberly D. Standiford,
Rosa C. Standiford</x:t>
        </x:is>
      </x:c>
      <x:c r="I1374" s="527" t="inlineStr">
        <x:is>
          <x:t xml:space="preserve">SE/4 SW/4 of 31-12N-24W (AOL)</x:t>
        </x:is>
      </x:c>
      <x:c r="J1374" s="527" t="inlineStr">
        <x:is>
          <x:t xml:space="preserve">See instrument</x:t>
        </x:is>
      </x:c>
      <x:c r="K1374" s="527" t="inlineStr">
        <x:is>
          <x:t xml:space="preserve">OKCountyRecords official index, Roger Mills County (instrument 2012-005041); searched 06/11/2026</x:t>
        </x:is>
      </x:c>
      <x:c r="L1374" s="565" t="n"/>
      <x:c r="M1374" s="565" t="n"/>
      <x:c r="N1374" s="565" t="n"/>
      <x:c r="O1374" s="565" t="n"/>
      <x:c r="P1374" s="565" t="n"/>
      <x:c r="Q1374" s="565" t="n"/>
      <x:c r="R1374" s="565" t="n"/>
      <x:c r="S1374" s="613" t="n"/>
      <x:c r="T1374" s="565" t="n"/>
      <x:c r="U1374" s="613" t="n"/>
      <x:c r="V1374" s="565" t="n"/>
      <x:c r="W1374" s="565" t="n"/>
      <x:c r="X1374" s="565" t="n"/>
      <x:c r="Y1374" s="565" t="n"/>
      <x:c r="Z1374" s="565" t="n"/>
    </x:row>
    <x:row r="1375">
      <x:c r="A1375" s="527" t="inlineStr">
        <x:is>
          <x:t xml:space="preserve">2012-005854</x:t>
        </x:is>
      </x:c>
      <x:c r="B1375" s="527" t="n"/>
      <x:c r="C1375" s="527" t="inlineStr">
        <x:is>
          <x:t xml:space="preserve">Amendment</x:t>
        </x:is>
      </x:c>
      <x:c r="D1375" s="527" t="inlineStr">
        <x:is>
          <x:t xml:space="preserve">2154/0229</x:t>
        </x:is>
      </x:c>
      <x:c r="E1375" s="529" t="inlineStr">
        <x:is>
          <x:t xml:space="preserve">08/24/2012</x:t>
        </x:is>
      </x:c>
      <x:c r="F1375" s="529" t="n">
        <x:v>41000</x:v>
      </x:c>
      <x:c r="G1375" s="527" t="inlineStr">
        <x:is>
          <x:t xml:space="preserve">Chesapeake Exploration, LLC</x:t>
        </x:is>
      </x:c>
      <x:c r="H1375" s="527" t="inlineStr">
        <x:is>
          <x:t xml:space="preserve">CHK Cleveland Tonkawa, LLC</x:t>
        </x:is>
      </x:c>
      <x:c r="I1375" s="527" t="inlineStr">
        <x:is>
          <x:t xml:space="preserve">All of 31-12N-24W (AOL)</x:t>
        </x:is>
      </x:c>
      <x:c r="J1375" s="527" t="inlineStr">
        <x:is>
          <x:t xml:space="preserve">Leasehold / WI</x:t>
        </x:is>
      </x:c>
      <x:c r="K1375" s="527" t="inlineStr">
        <x:is>
          <x:t xml:space="preserve">OKCountyRecords official index, Roger Mills County (instrument 2012-005854); searched 06/11/2026</x:t>
        </x:is>
      </x:c>
      <x:c r="L1375" s="565" t="n"/>
      <x:c r="M1375" s="565" t="n"/>
      <x:c r="N1375" s="565" t="n"/>
      <x:c r="O1375" s="565" t="n"/>
      <x:c r="P1375" s="565" t="n"/>
      <x:c r="Q1375" s="565" t="n"/>
      <x:c r="R1375" s="565" t="n"/>
      <x:c r="S1375" s="613" t="n"/>
      <x:c r="T1375" s="565" t="n"/>
      <x:c r="U1375" s="613" t="n"/>
      <x:c r="V1375" s="565" t="n"/>
      <x:c r="W1375" s="565" t="n"/>
      <x:c r="X1375" s="565" t="n"/>
      <x:c r="Y1375" s="565" t="n"/>
      <x:c r="Z1375" s="565" t="n"/>
    </x:row>
    <x:row r="1376">
      <x:c r="A1376" s="527" t="inlineStr">
        <x:is>
          <x:t xml:space="preserve">2012-006477</x:t>
        </x:is>
      </x:c>
      <x:c r="B1376" s="527" t="n"/>
      <x:c r="C1376" s="527" t="inlineStr">
        <x:is>
          <x:t xml:space="preserve">Assignment</x:t>
        </x:is>
      </x:c>
      <x:c r="D1376" s="527" t="inlineStr">
        <x:is>
          <x:t xml:space="preserve">2159/0361</x:t>
        </x:is>
      </x:c>
      <x:c r="E1376" s="529" t="inlineStr">
        <x:is>
          <x:t xml:space="preserve">09/21/2012</x:t>
        </x:is>
      </x:c>
      <x:c r="F1376" s="529" t="n">
        <x:v>41074</x:v>
      </x:c>
      <x:c r="G1376" s="527" t="inlineStr">
        <x:is>
          <x:t xml:space="preserve">Yale Oil Assoc, Inc.</x:t>
        </x:is>
      </x:c>
      <x:c r="H1376" s="527" t="inlineStr">
        <x:is>
          <x:t xml:space="preserve">Chelin H. Satherlie,
Gregg M. Satherlie</x:t>
        </x:is>
      </x:c>
      <x:c r="I1376" s="527" t="inlineStr">
        <x:is>
          <x:t xml:space="preserve">Lots 1 of 31-12N-24W</x:t>
        </x:is>
      </x:c>
      <x:c r="J1376" s="527" t="inlineStr">
        <x:is>
          <x:t xml:space="preserve">Leasehold / WI</x:t>
        </x:is>
      </x:c>
      <x:c r="K1376" s="527" t="inlineStr">
        <x:is>
          <x:t xml:space="preserve">OKCountyRecords official index, Roger Mills County (instrument 2012-006477); searched 06/11/2026</x:t>
        </x:is>
      </x:c>
      <x:c r="L1376" s="565" t="n"/>
      <x:c r="M1376" s="565" t="n"/>
      <x:c r="N1376" s="565" t="n"/>
      <x:c r="O1376" s="565" t="n"/>
      <x:c r="P1376" s="565" t="n"/>
      <x:c r="Q1376" s="565" t="n"/>
      <x:c r="R1376" s="565" t="n"/>
      <x:c r="S1376" s="613" t="n"/>
      <x:c r="T1376" s="565" t="n"/>
      <x:c r="U1376" s="613" t="n"/>
      <x:c r="V1376" s="565" t="n"/>
      <x:c r="W1376" s="565" t="n"/>
      <x:c r="X1376" s="565" t="n"/>
      <x:c r="Y1376" s="565" t="n"/>
      <x:c r="Z1376" s="565" t="n"/>
    </x:row>
    <x:row r="1377">
      <x:c r="A1377" s="527" t="inlineStr">
        <x:is>
          <x:t xml:space="preserve">2012-007511</x:t>
        </x:is>
      </x:c>
      <x:c r="B1377" s="527" t="n"/>
      <x:c r="C1377" s="527" t="inlineStr">
        <x:is>
          <x:t xml:space="preserve">Assignment</x:t>
        </x:is>
      </x:c>
      <x:c r="D1377" s="527" t="inlineStr">
        <x:is>
          <x:t xml:space="preserve">2166/0194</x:t>
        </x:is>
      </x:c>
      <x:c r="E1377" s="529" t="inlineStr">
        <x:is>
          <x:t xml:space="preserve">11/14/2012</x:t>
        </x:is>
      </x:c>
      <x:c r="F1377" s="529" t="n">
        <x:v>41215</x:v>
      </x:c>
      <x:c r="G1377" s="527" t="inlineStr">
        <x:is>
          <x:t xml:space="preserve">Yale Oil Association, Inc.</x:t>
        </x:is>
      </x:c>
      <x:c r="H1377" s="527" t="inlineStr">
        <x:is>
          <x:t xml:space="preserve">K. C. Production</x:t>
        </x:is>
      </x:c>
      <x:c r="I1377" s="527" t="inlineStr">
        <x:is>
          <x:t xml:space="preserve">Lots 1 of 31-12N-24W</x:t>
        </x:is>
      </x:c>
      <x:c r="J1377" s="527" t="inlineStr">
        <x:is>
          <x:t xml:space="preserve">Leasehold / WI</x:t>
        </x:is>
      </x:c>
      <x:c r="K1377" s="527" t="inlineStr">
        <x:is>
          <x:t xml:space="preserve">OKCountyRecords official index, Roger Mills County (instrument 2012-007511); searched 06/11/2026</x:t>
        </x:is>
      </x:c>
      <x:c r="L1377" s="565" t="n"/>
      <x:c r="M1377" s="565" t="n"/>
      <x:c r="N1377" s="565" t="n"/>
      <x:c r="O1377" s="565" t="n"/>
      <x:c r="P1377" s="565" t="n"/>
      <x:c r="Q1377" s="565" t="n"/>
      <x:c r="R1377" s="565" t="n"/>
      <x:c r="S1377" s="613" t="n"/>
      <x:c r="T1377" s="565" t="n"/>
      <x:c r="U1377" s="613" t="n"/>
      <x:c r="V1377" s="565" t="n"/>
      <x:c r="W1377" s="565" t="n"/>
      <x:c r="X1377" s="565" t="n"/>
      <x:c r="Y1377" s="565" t="n"/>
      <x:c r="Z1377" s="565" t="n"/>
    </x:row>
    <x:row r="1378">
      <x:c r="A1378" s="527" t="inlineStr">
        <x:is>
          <x:t xml:space="preserve">2013-000518</x:t>
        </x:is>
      </x:c>
      <x:c r="B1378" s="527" t="n"/>
      <x:c r="C1378" s="527" t="inlineStr">
        <x:is>
          <x:t xml:space="preserve">Final Decree</x:t>
        </x:is>
      </x:c>
      <x:c r="D1378" s="527" t="inlineStr">
        <x:is>
          <x:t xml:space="preserve">2177/0033</x:t>
        </x:is>
      </x:c>
      <x:c r="E1378" s="529" t="inlineStr">
        <x:is>
          <x:t xml:space="preserve">01/30/2013</x:t>
        </x:is>
      </x:c>
      <x:c r="F1378" s="529" t="n">
        <x:v>41290</x:v>
      </x:c>
      <x:c r="G1378" s="527" t="inlineStr">
        <x:is>
          <x:t xml:space="preserve">Gene G. Williams,
Nancy Mitchell Dcd Williams</x:t>
        </x:is>
      </x:c>
      <x:c r="H1378" s="527" t="inlineStr">
        <x:is>
          <x:t xml:space="preserve">The Public</x:t>
        </x:is>
      </x:c>
      <x:c r="I1378" s="527" t="inlineStr">
        <x:is>
          <x:t xml:space="preserve">E/2 NW/4, N/2 NE/4, N/2 NE/4 SW/4, NE/4 SE/4, SE/4 NE/4, SE/4 NE/4 SW/4, SE/4 SW/4 of 31-12N-24W (AOL)</x:t>
        </x:is>
      </x:c>
      <x:c r="J1378" s="527" t="inlineStr">
        <x:is>
          <x:t xml:space="preserve">Fee / as stated</x:t>
        </x:is>
      </x:c>
      <x:c r="K1378" s="527" t="inlineStr">
        <x:is>
          <x:t xml:space="preserve">OKCountyRecords official index, Roger Mills County (instrument 2013-000518); searched 06/11/2026</x:t>
        </x:is>
      </x:c>
      <x:c r="L1378" s="565" t="n"/>
      <x:c r="M1378" s="565" t="n"/>
      <x:c r="N1378" s="565" t="n"/>
      <x:c r="O1378" s="565" t="n"/>
      <x:c r="P1378" s="565" t="n"/>
      <x:c r="Q1378" s="565" t="n"/>
      <x:c r="R1378" s="565" t="n"/>
      <x:c r="S1378" s="613" t="n"/>
      <x:c r="T1378" s="565" t="n"/>
      <x:c r="U1378" s="613" t="n"/>
      <x:c r="V1378" s="565" t="n"/>
      <x:c r="W1378" s="565" t="n"/>
      <x:c r="X1378" s="565" t="n"/>
      <x:c r="Y1378" s="565" t="n"/>
      <x:c r="Z1378" s="565" t="n"/>
    </x:row>
    <x:row r="1379">
      <x:c r="A1379" s="527" t="inlineStr">
        <x:is>
          <x:t xml:space="preserve">2013-001272</x:t>
        </x:is>
      </x:c>
      <x:c r="B1379" s="527" t="n"/>
      <x:c r="C1379" s="527" t="inlineStr">
        <x:is>
          <x:t xml:space="preserve">Correction</x:t>
        </x:is>
      </x:c>
      <x:c r="D1379" s="527" t="inlineStr">
        <x:is>
          <x:t xml:space="preserve">2182/0095</x:t>
        </x:is>
      </x:c>
      <x:c r="E1379" s="529" t="inlineStr">
        <x:is>
          <x:t xml:space="preserve">03/13/2013</x:t>
        </x:is>
      </x:c>
      <x:c r="F1379" s="529" t="n">
        <x:v>41340</x:v>
      </x:c>
      <x:c r="G1379" s="527" t="inlineStr">
        <x:is>
          <x:t xml:space="preserve">Chisholm Royalty Partners</x:t>
        </x:is>
      </x:c>
      <x:c r="H1379" s="527" t="inlineStr">
        <x:is>
          <x:t xml:space="preserve">Fleshman Agency, Inc.</x:t>
        </x:is>
      </x:c>
      <x:c r="I1379" s="527" t="inlineStr">
        <x:is>
          <x:t xml:space="preserve">NW/4 NW/4, Lots 1 of 31-12N-24W</x:t>
        </x:is>
      </x:c>
      <x:c r="J1379" s="527" t="inlineStr">
        <x:is>
          <x:t xml:space="preserve">See instrument</x:t>
        </x:is>
      </x:c>
      <x:c r="K1379" s="527" t="inlineStr">
        <x:is>
          <x:t xml:space="preserve">OKCountyRecords official index, Roger Mills County (instrument 2013-001272); searched 06/11/2026</x:t>
        </x:is>
      </x:c>
      <x:c r="L1379" s="565" t="n"/>
      <x:c r="M1379" s="565" t="n"/>
      <x:c r="N1379" s="565" t="n"/>
      <x:c r="O1379" s="565" t="n"/>
      <x:c r="P1379" s="565" t="n"/>
      <x:c r="Q1379" s="565" t="n"/>
      <x:c r="R1379" s="565" t="n"/>
      <x:c r="S1379" s="613" t="n"/>
      <x:c r="T1379" s="565" t="n"/>
      <x:c r="U1379" s="613" t="n"/>
      <x:c r="V1379" s="565" t="n"/>
      <x:c r="W1379" s="565" t="n"/>
      <x:c r="X1379" s="565" t="n"/>
      <x:c r="Y1379" s="565" t="n"/>
      <x:c r="Z1379" s="565" t="n"/>
    </x:row>
    <x:row r="1380">
      <x:c r="A1380" s="527" t="inlineStr">
        <x:is>
          <x:t xml:space="preserve">2013-001724</x:t>
        </x:is>
      </x:c>
      <x:c r="B1380" s="527" t="n"/>
      <x:c r="C1380" s="527" t="inlineStr">
        <x:is>
          <x:t xml:space="preserve">Quit Claim Mineral Deed</x:t>
        </x:is>
      </x:c>
      <x:c r="D1380" s="527" t="inlineStr">
        <x:is>
          <x:t xml:space="preserve">2184/0570</x:t>
        </x:is>
      </x:c>
      <x:c r="E1380" s="529" t="inlineStr">
        <x:is>
          <x:t xml:space="preserve">04/08/2013</x:t>
        </x:is>
      </x:c>
      <x:c r="F1380" s="529" t="n">
        <x:v>41368</x:v>
      </x:c>
      <x:c r="G1380" s="527" t="inlineStr">
        <x:is>
          <x:t xml:space="preserve">Fleshman Agency, Inc.</x:t>
        </x:is>
      </x:c>
      <x:c r="H1380" s="527" t="inlineStr">
        <x:is>
          <x:t xml:space="preserve">Mekusukey Oil Company, LLC</x:t>
        </x:is>
      </x:c>
      <x:c r="I1380" s="527" t="inlineStr">
        <x:is>
          <x:t xml:space="preserve">NW/4 NW/4, Lots 1 of 31-12N-24W</x:t>
        </x:is>
      </x:c>
      <x:c r="J1380" s="527" t="inlineStr">
        <x:is>
          <x:t xml:space="preserve">Mineral</x:t>
        </x:is>
      </x:c>
      <x:c r="K1380" s="527" t="inlineStr">
        <x:is>
          <x:t xml:space="preserve">OKCountyRecords official index, Roger Mills County (instrument 2013-001724); searched 06/11/2026</x:t>
        </x:is>
      </x:c>
      <x:c r="L1380" s="565" t="n"/>
      <x:c r="M1380" s="565" t="n"/>
      <x:c r="N1380" s="565" t="n"/>
      <x:c r="O1380" s="565" t="n"/>
      <x:c r="P1380" s="565" t="n"/>
      <x:c r="Q1380" s="565" t="n"/>
      <x:c r="R1380" s="565" t="n"/>
      <x:c r="S1380" s="613" t="n"/>
      <x:c r="T1380" s="565" t="n"/>
      <x:c r="U1380" s="613" t="n"/>
      <x:c r="V1380" s="565" t="n"/>
      <x:c r="W1380" s="565" t="n"/>
      <x:c r="X1380" s="565" t="n"/>
      <x:c r="Y1380" s="565" t="n"/>
      <x:c r="Z1380" s="565" t="n"/>
    </x:row>
    <x:row r="1381">
      <x:c r="A1381" s="527" t="inlineStr">
        <x:is>
          <x:t xml:space="preserve">2013-002727</x:t>
        </x:is>
      </x:c>
      <x:c r="B1381" s="527" t="n"/>
      <x:c r="C1381" s="527" t="inlineStr">
        <x:is>
          <x:t xml:space="preserve">Memorandum</x:t>
        </x:is>
      </x:c>
      <x:c r="D1381" s="527" t="inlineStr">
        <x:is>
          <x:t xml:space="preserve">2193/0517</x:t>
        </x:is>
      </x:c>
      <x:c r="E1381" s="529" t="inlineStr">
        <x:is>
          <x:t xml:space="preserve">05/28/2013</x:t>
        </x:is>
      </x:c>
      <x:c r="F1381" s="529" t="n">
        <x:v>41404</x:v>
      </x:c>
      <x:c r="G1381" s="527" t="inlineStr">
        <x:is>
          <x:t xml:space="preserve">Devon Energy Production Co</x:t>
        </x:is>
      </x:c>
      <x:c r="H1381" s="527" t="inlineStr">
        <x:is>
          <x:t xml:space="preserve">Plains Marketing, LP</x:t>
        </x:is>
      </x:c>
      <x:c r="I1381" s="527" t="inlineStr">
        <x:is>
          <x:t xml:space="preserve">All of 31-12N-24W (AOL)</x:t>
        </x:is>
      </x:c>
      <x:c r="J1381" s="527" t="inlineStr">
        <x:is>
          <x:t xml:space="preserve">Leasehold / WI</x:t>
        </x:is>
      </x:c>
      <x:c r="K1381" s="527" t="inlineStr">
        <x:is>
          <x:t xml:space="preserve">OKCountyRecords official index, Roger Mills County (instrument 2013-002727); searched 06/11/2026</x:t>
        </x:is>
      </x:c>
      <x:c r="L1381" s="565" t="n"/>
      <x:c r="M1381" s="565" t="n"/>
      <x:c r="N1381" s="565" t="n"/>
      <x:c r="O1381" s="565" t="n"/>
      <x:c r="P1381" s="565" t="n"/>
      <x:c r="Q1381" s="565" t="n"/>
      <x:c r="R1381" s="565" t="n"/>
      <x:c r="S1381" s="613" t="n"/>
      <x:c r="T1381" s="565" t="n"/>
      <x:c r="U1381" s="613" t="n"/>
      <x:c r="V1381" s="565" t="n"/>
      <x:c r="W1381" s="565" t="n"/>
      <x:c r="X1381" s="565" t="n"/>
      <x:c r="Y1381" s="565" t="n"/>
      <x:c r="Z1381" s="565" t="n"/>
    </x:row>
    <x:row r="1382">
      <x:c r="A1382" s="527" t="inlineStr">
        <x:is>
          <x:t xml:space="preserve">2013-004038</x:t>
        </x:is>
      </x:c>
      <x:c r="B1382" s="527" t="n"/>
      <x:c r="C1382" s="527" t="inlineStr">
        <x:is>
          <x:t xml:space="preserve">Assignment</x:t>
        </x:is>
      </x:c>
      <x:c r="D1382" s="527" t="inlineStr">
        <x:is>
          <x:t xml:space="preserve">2202/0378</x:t>
        </x:is>
      </x:c>
      <x:c r="E1382" s="529" t="inlineStr">
        <x:is>
          <x:t xml:space="preserve">08/02/2013</x:t>
        </x:is>
      </x:c>
      <x:c r="F1382" s="529" t="n">
        <x:v>41474</x:v>
      </x:c>
      <x:c r="G1382" s="527" t="inlineStr">
        <x:is>
          <x:t xml:space="preserve">Gary Reid</x:t>
        </x:is>
      </x:c>
      <x:c r="H1382" s="527" t="inlineStr">
        <x:is>
          <x:t xml:space="preserve">Gary C. Reid, Trustee,
Reid Rev Trust,
Shannon D. Reid, Trustee</x:t>
        </x:is>
      </x:c>
      <x:c r="I1382" s="527" t="inlineStr">
        <x:is>
          <x:t xml:space="preserve">All of 31-12N-24W (AOL)</x:t>
        </x:is>
      </x:c>
      <x:c r="J1382" s="527" t="inlineStr">
        <x:is>
          <x:t xml:space="preserve">Leasehold / WI</x:t>
        </x:is>
      </x:c>
      <x:c r="K1382" s="527" t="inlineStr">
        <x:is>
          <x:t xml:space="preserve">OKCountyRecords official index, Roger Mills County (instrument 2013-004038); searched 06/11/2026</x:t>
        </x:is>
      </x:c>
      <x:c r="L1382" s="565" t="n"/>
      <x:c r="M1382" s="565" t="n"/>
      <x:c r="N1382" s="565" t="n"/>
      <x:c r="O1382" s="565" t="n"/>
      <x:c r="P1382" s="565" t="n"/>
      <x:c r="Q1382" s="565" t="n"/>
      <x:c r="R1382" s="565" t="n"/>
      <x:c r="S1382" s="613" t="n"/>
      <x:c r="T1382" s="565" t="n"/>
      <x:c r="U1382" s="613" t="n"/>
      <x:c r="V1382" s="565" t="n"/>
      <x:c r="W1382" s="565" t="n"/>
      <x:c r="X1382" s="565" t="n"/>
      <x:c r="Y1382" s="565" t="n"/>
      <x:c r="Z1382" s="565" t="n"/>
    </x:row>
    <x:row r="1383">
      <x:c r="A1383" s="527" t="inlineStr">
        <x:is>
          <x:t xml:space="preserve">2013-004163</x:t>
        </x:is>
      </x:c>
      <x:c r="B1383" s="527" t="n"/>
      <x:c r="C1383" s="527" t="inlineStr">
        <x:is>
          <x:t xml:space="preserve">Mineral Deed</x:t>
        </x:is>
      </x:c>
      <x:c r="D1383" s="527" t="inlineStr">
        <x:is>
          <x:t xml:space="preserve">2203/0395</x:t>
        </x:is>
      </x:c>
      <x:c r="E1383" s="529" t="inlineStr">
        <x:is>
          <x:t xml:space="preserve">08/09/2013</x:t>
        </x:is>
      </x:c>
      <x:c r="F1383" s="529" t="n">
        <x:v>41482</x:v>
      </x:c>
      <x:c r="G1383" s="527" t="inlineStr">
        <x:is>
          <x:t xml:space="preserve">Fleshman Agency, Inc.</x:t>
        </x:is>
      </x:c>
      <x:c r="H1383" s="527" t="inlineStr">
        <x:is>
          <x:t xml:space="preserve">Mekusukey Oil Company, LLC</x:t>
        </x:is>
      </x:c>
      <x:c r="I1383" s="527" t="inlineStr">
        <x:is>
          <x:t xml:space="preserve">Lots 1 of 31-12N-24W (AOL)</x:t>
        </x:is>
      </x:c>
      <x:c r="J1383" s="527" t="inlineStr">
        <x:is>
          <x:t xml:space="preserve">Mineral</x:t>
        </x:is>
      </x:c>
      <x:c r="K1383" s="527" t="inlineStr">
        <x:is>
          <x:t xml:space="preserve">OKCountyRecords official index, Roger Mills County (instrument 2013-004163); searched 06/11/2026</x:t>
        </x:is>
      </x:c>
      <x:c r="L1383" s="565" t="n"/>
      <x:c r="M1383" s="565" t="n"/>
      <x:c r="N1383" s="565" t="n"/>
      <x:c r="O1383" s="565" t="n"/>
      <x:c r="P1383" s="565" t="n"/>
      <x:c r="Q1383" s="565" t="n"/>
      <x:c r="R1383" s="565" t="n"/>
      <x:c r="S1383" s="613" t="n"/>
      <x:c r="T1383" s="565" t="n"/>
      <x:c r="U1383" s="613" t="n"/>
      <x:c r="V1383" s="565" t="n"/>
      <x:c r="W1383" s="565" t="n"/>
      <x:c r="X1383" s="565" t="n"/>
      <x:c r="Y1383" s="565" t="n"/>
      <x:c r="Z1383" s="565" t="n"/>
    </x:row>
    <x:row r="1384">
      <x:c r="A1384" s="527" t="inlineStr">
        <x:is>
          <x:t xml:space="preserve">2013-006083</x:t>
        </x:is>
      </x:c>
      <x:c r="B1384" s="527" t="n"/>
      <x:c r="C1384" s="527" t="inlineStr">
        <x:is>
          <x:t xml:space="preserve">Mineral Deed</x:t>
        </x:is>
      </x:c>
      <x:c r="D1384" s="527" t="inlineStr">
        <x:is>
          <x:t xml:space="preserve">2219/0516</x:t>
        </x:is>
      </x:c>
      <x:c r="E1384" s="529" t="inlineStr">
        <x:is>
          <x:t xml:space="preserve">11/14/2013</x:t>
        </x:is>
      </x:c>
      <x:c r="F1384" s="529" t="n">
        <x:v>40876</x:v>
      </x:c>
      <x:c r="G1384" s="527" t="inlineStr">
        <x:is>
          <x:t xml:space="preserve">Myron V. Slobin</x:t>
        </x:is>
      </x:c>
      <x:c r="H1384" s="527" t="inlineStr">
        <x:is>
          <x:t xml:space="preserve">Brian Herman Kortright</x:t>
        </x:is>
      </x:c>
      <x:c r="I1384" s="527" t="inlineStr">
        <x:is>
          <x:t xml:space="preserve">NW/4 SE/4, S/2 SE/4, SW/4 NE/4 of 31-12N-24W (AOL)</x:t>
        </x:is>
      </x:c>
      <x:c r="J1384" s="527" t="inlineStr">
        <x:is>
          <x:t xml:space="preserve">Mineral</x:t>
        </x:is>
      </x:c>
      <x:c r="K1384" s="527" t="inlineStr">
        <x:is>
          <x:t xml:space="preserve">OKCountyRecords official index, Roger Mills County (instrument 2013-006083); searched 06/11/2026</x:t>
        </x:is>
      </x:c>
      <x:c r="L1384" s="565" t="n"/>
      <x:c r="M1384" s="565" t="n"/>
      <x:c r="N1384" s="565" t="n"/>
      <x:c r="O1384" s="565" t="n"/>
      <x:c r="P1384" s="565" t="n"/>
      <x:c r="Q1384" s="565" t="n"/>
      <x:c r="R1384" s="565" t="n"/>
      <x:c r="S1384" s="613" t="n"/>
      <x:c r="T1384" s="565" t="n"/>
      <x:c r="U1384" s="613" t="n"/>
      <x:c r="V1384" s="565" t="n"/>
      <x:c r="W1384" s="565" t="n"/>
      <x:c r="X1384" s="565" t="n"/>
      <x:c r="Y1384" s="565" t="n"/>
      <x:c r="Z1384" s="565" t="n"/>
    </x:row>
    <x:row r="1385">
      <x:c r="A1385" s="527" t="inlineStr">
        <x:is>
          <x:t xml:space="preserve">2013-006129</x:t>
        </x:is>
      </x:c>
      <x:c r="B1385" s="527" t="n"/>
      <x:c r="C1385" s="527" t="inlineStr">
        <x:is>
          <x:t xml:space="preserve">Quit Claim Mineral Deed</x:t>
        </x:is>
      </x:c>
      <x:c r="D1385" s="527" t="inlineStr">
        <x:is>
          <x:t xml:space="preserve">2220/0118</x:t>
        </x:is>
      </x:c>
      <x:c r="E1385" s="529" t="inlineStr">
        <x:is>
          <x:t xml:space="preserve">11/18/2013</x:t>
        </x:is>
      </x:c>
      <x:c r="F1385" s="529" t="n">
        <x:v>41505</x:v>
      </x:c>
      <x:c r="G1385" s="527" t="inlineStr">
        <x:is>
          <x:t xml:space="preserve">Martha Ann Devenas</x:t>
        </x:is>
      </x:c>
      <x:c r="H1385" s="527" t="inlineStr">
        <x:is>
          <x:t xml:space="preserve">Joseph A. Devenas Jr.</x:t>
        </x:is>
      </x:c>
      <x:c r="I1385" s="527" t="inlineStr">
        <x:is>
          <x:t xml:space="preserve">SE/4 SW/4 of 31-12N-24W (AOL)</x:t>
        </x:is>
      </x:c>
      <x:c r="J1385" s="527" t="inlineStr">
        <x:is>
          <x:t xml:space="preserve">Mineral</x:t>
        </x:is>
      </x:c>
      <x:c r="K1385" s="527" t="inlineStr">
        <x:is>
          <x:t xml:space="preserve">OKCountyRecords official index, Roger Mills County (instrument 2013-006129); searched 06/11/2026</x:t>
        </x:is>
      </x:c>
      <x:c r="L1385" s="565" t="n"/>
      <x:c r="M1385" s="565" t="n"/>
      <x:c r="N1385" s="565" t="n"/>
      <x:c r="O1385" s="565" t="n"/>
      <x:c r="P1385" s="565" t="n"/>
      <x:c r="Q1385" s="565" t="n"/>
      <x:c r="R1385" s="565" t="n"/>
      <x:c r="S1385" s="613" t="n"/>
      <x:c r="T1385" s="565" t="n"/>
      <x:c r="U1385" s="613" t="n"/>
      <x:c r="V1385" s="565" t="n"/>
      <x:c r="W1385" s="565" t="n"/>
      <x:c r="X1385" s="565" t="n"/>
      <x:c r="Y1385" s="565" t="n"/>
      <x:c r="Z1385" s="565" t="n"/>
    </x:row>
    <x:row r="1386">
      <x:c r="A1386" s="527" t="inlineStr">
        <x:is>
          <x:t xml:space="preserve">2013-006188</x:t>
        </x:is>
      </x:c>
      <x:c r="B1386" s="527" t="n"/>
      <x:c r="C1386" s="527" t="inlineStr">
        <x:is>
          <x:t xml:space="preserve">Assignment</x:t>
        </x:is>
      </x:c>
      <x:c r="D1386" s="527" t="inlineStr">
        <x:is>
          <x:t xml:space="preserve">2220/0400</x:t>
        </x:is>
      </x:c>
      <x:c r="E1386" s="529" t="inlineStr">
        <x:is>
          <x:t xml:space="preserve">11/21/2013</x:t>
        </x:is>
      </x:c>
      <x:c r="F1386" s="529" t="n">
        <x:v>41543</x:v>
      </x:c>
      <x:c r="G1386" s="527" t="inlineStr">
        <x:is>
          <x:t xml:space="preserve">EOG Resources, Inc.</x:t>
        </x:is>
      </x:c>
      <x:c r="H1386" s="527" t="inlineStr">
        <x:is>
          <x:t xml:space="preserve">Linn Energy Holdings, LLC</x:t>
        </x:is>
      </x:c>
      <x:c r="I1386" s="527" t="inlineStr">
        <x:is>
          <x:t xml:space="preserve">All of 31-12N-24W (AOL)</x:t>
        </x:is>
      </x:c>
      <x:c r="J1386" s="527" t="inlineStr">
        <x:is>
          <x:t xml:space="preserve">Leasehold / WI</x:t>
        </x:is>
      </x:c>
      <x:c r="K1386" s="527" t="inlineStr">
        <x:is>
          <x:t xml:space="preserve">OKCountyRecords official index, Roger Mills County (instrument 2013-006188); searched 06/11/2026</x:t>
        </x:is>
      </x:c>
      <x:c r="L1386" s="565" t="n"/>
      <x:c r="M1386" s="565" t="n"/>
      <x:c r="N1386" s="565" t="n"/>
      <x:c r="O1386" s="565" t="n"/>
      <x:c r="P1386" s="565" t="n"/>
      <x:c r="Q1386" s="565" t="n"/>
      <x:c r="R1386" s="565" t="n"/>
      <x:c r="S1386" s="613" t="n"/>
      <x:c r="T1386" s="565" t="n"/>
      <x:c r="U1386" s="613" t="n"/>
      <x:c r="V1386" s="565" t="n"/>
      <x:c r="W1386" s="565" t="n"/>
      <x:c r="X1386" s="565" t="n"/>
      <x:c r="Y1386" s="565" t="n"/>
      <x:c r="Z1386" s="565" t="n"/>
    </x:row>
    <x:row r="1387">
      <x:c r="A1387" s="527" t="inlineStr">
        <x:is>
          <x:t xml:space="preserve">2013-006415</x:t>
        </x:is>
      </x:c>
      <x:c r="B1387" s="527" t="n"/>
      <x:c r="C1387" s="527" t="inlineStr">
        <x:is>
          <x:t xml:space="preserve">Joint Tenancy Warranty Deed</x:t>
        </x:is>
      </x:c>
      <x:c r="D1387" s="527" t="inlineStr">
        <x:is>
          <x:t xml:space="preserve">2222/0536</x:t>
        </x:is>
      </x:c>
      <x:c r="E1387" s="529" t="inlineStr">
        <x:is>
          <x:t xml:space="preserve">12/11/2013</x:t>
        </x:is>
      </x:c>
      <x:c r="F1387" s="529" t="n">
        <x:v>41582</x:v>
      </x:c>
      <x:c r="G1387" s="527" t="inlineStr">
        <x:is>
          <x:t xml:space="preserve">Barry Ross Kelley,
Jill Ann Kelley</x:t>
        </x:is>
      </x:c>
      <x:c r="H1387" s="527" t="inlineStr">
        <x:is>
          <x:t xml:space="preserve">Jesse Joe Newell,
Rachael Elzabeth Newell</x:t>
        </x:is>
      </x:c>
      <x:c r="I1387" s="527" t="inlineStr">
        <x:is>
          <x:t xml:space="preserve">E/2 W/2, Lots 1 of 31-12N-24W</x:t>
        </x:is>
      </x:c>
      <x:c r="J1387" s="527" t="inlineStr">
        <x:is>
          <x:t xml:space="preserve">Fee / as stated</x:t>
        </x:is>
      </x:c>
      <x:c r="K1387" s="527" t="inlineStr">
        <x:is>
          <x:t xml:space="preserve">OKCountyRecords official index, Roger Mills County (instrument 2013-006415); searched 06/11/2026</x:t>
        </x:is>
      </x:c>
      <x:c r="L1387" s="565" t="n"/>
      <x:c r="M1387" s="565" t="n"/>
      <x:c r="N1387" s="565" t="n"/>
      <x:c r="O1387" s="565" t="n"/>
      <x:c r="P1387" s="565" t="n"/>
      <x:c r="Q1387" s="565" t="n"/>
      <x:c r="R1387" s="565" t="n"/>
      <x:c r="S1387" s="613" t="n"/>
      <x:c r="T1387" s="565" t="n"/>
      <x:c r="U1387" s="613" t="n"/>
      <x:c r="V1387" s="565" t="n"/>
      <x:c r="W1387" s="565" t="n"/>
      <x:c r="X1387" s="565" t="n"/>
      <x:c r="Y1387" s="565" t="n"/>
      <x:c r="Z1387" s="565" t="n"/>
    </x:row>
    <x:row r="1388">
      <x:c r="A1388" s="527" t="inlineStr">
        <x:is>
          <x:t xml:space="preserve">2013-006501</x:t>
        </x:is>
      </x:c>
      <x:c r="B1388" s="527" t="n"/>
      <x:c r="C1388" s="527" t="inlineStr">
        <x:is>
          <x:t xml:space="preserve">Mineral Deed</x:t>
        </x:is>
      </x:c>
      <x:c r="D1388" s="527" t="inlineStr">
        <x:is>
          <x:t xml:space="preserve">2223/0305</x:t>
        </x:is>
      </x:c>
      <x:c r="E1388" s="529" t="inlineStr">
        <x:is>
          <x:t xml:space="preserve">12/13/2013</x:t>
        </x:is>
      </x:c>
      <x:c r="F1388" s="529" t="n">
        <x:v>41517</x:v>
      </x:c>
      <x:c r="G1388" s="527" t="inlineStr">
        <x:is>
          <x:t xml:space="preserve">David Silverberg</x:t>
        </x:is>
      </x:c>
      <x:c r="H1388" s="527" t="inlineStr">
        <x:is>
          <x:t xml:space="preserve">Cambria Energy, LLC</x:t>
        </x:is>
      </x:c>
      <x:c r="I1388" s="527" t="inlineStr">
        <x:is>
          <x:t xml:space="preserve">All of 31-12N-24W</x:t>
        </x:is>
      </x:c>
      <x:c r="J1388" s="527" t="inlineStr">
        <x:is>
          <x:t xml:space="preserve">Mineral</x:t>
        </x:is>
      </x:c>
      <x:c r="K1388" s="527" t="inlineStr">
        <x:is>
          <x:t xml:space="preserve">OKCountyRecords official index, Roger Mills County (instrument 2013-006501); searched 06/11/2026</x:t>
        </x:is>
      </x:c>
      <x:c r="L1388" s="565" t="n"/>
      <x:c r="M1388" s="565" t="n"/>
      <x:c r="N1388" s="565" t="n"/>
      <x:c r="O1388" s="565" t="n"/>
      <x:c r="P1388" s="565" t="n"/>
      <x:c r="Q1388" s="565" t="n"/>
      <x:c r="R1388" s="565" t="n"/>
      <x:c r="S1388" s="613" t="n"/>
      <x:c r="T1388" s="565" t="n"/>
      <x:c r="U1388" s="613" t="n"/>
      <x:c r="V1388" s="565" t="n"/>
      <x:c r="W1388" s="565" t="n"/>
      <x:c r="X1388" s="565" t="n"/>
      <x:c r="Y1388" s="565" t="n"/>
      <x:c r="Z1388" s="565" t="n"/>
    </x:row>
    <x:row r="1389">
      <x:c r="A1389" s="527" t="inlineStr">
        <x:is>
          <x:t xml:space="preserve">2013-006502</x:t>
        </x:is>
      </x:c>
      <x:c r="B1389" s="527" t="n"/>
      <x:c r="C1389" s="527" t="inlineStr">
        <x:is>
          <x:t xml:space="preserve">Mineral Deed</x:t>
        </x:is>
      </x:c>
      <x:c r="D1389" s="527" t="inlineStr">
        <x:is>
          <x:t xml:space="preserve">2223/0307</x:t>
        </x:is>
      </x:c>
      <x:c r="E1389" s="529" t="inlineStr">
        <x:is>
          <x:t xml:space="preserve">12/13/2013</x:t>
        </x:is>
      </x:c>
      <x:c r="F1389" s="529" t="n">
        <x:v>41575</x:v>
      </x:c>
      <x:c r="G1389" s="527" t="inlineStr">
        <x:is>
          <x:t xml:space="preserve">Mary Ellen Silverberg</x:t>
        </x:is>
      </x:c>
      <x:c r="H1389" s="527" t="inlineStr">
        <x:is>
          <x:t xml:space="preserve">Cambria Energy, LLC</x:t>
        </x:is>
      </x:c>
      <x:c r="I1389" s="527" t="inlineStr">
        <x:is>
          <x:t xml:space="preserve">All of 31-12N-24W</x:t>
        </x:is>
      </x:c>
      <x:c r="J1389" s="527" t="inlineStr">
        <x:is>
          <x:t xml:space="preserve">Mineral</x:t>
        </x:is>
      </x:c>
      <x:c r="K1389" s="527" t="inlineStr">
        <x:is>
          <x:t xml:space="preserve">OKCountyRecords official index, Roger Mills County (instrument 2013-006502); searched 06/11/2026</x:t>
        </x:is>
      </x:c>
      <x:c r="L1389" s="565" t="n"/>
      <x:c r="M1389" s="565" t="n"/>
      <x:c r="N1389" s="565" t="n"/>
      <x:c r="O1389" s="565" t="n"/>
      <x:c r="P1389" s="565" t="n"/>
      <x:c r="Q1389" s="565" t="n"/>
      <x:c r="R1389" s="565" t="n"/>
      <x:c r="S1389" s="613" t="n"/>
      <x:c r="T1389" s="565" t="n"/>
      <x:c r="U1389" s="613" t="n"/>
      <x:c r="V1389" s="565" t="n"/>
      <x:c r="W1389" s="565" t="n"/>
      <x:c r="X1389" s="565" t="n"/>
      <x:c r="Y1389" s="565" t="n"/>
      <x:c r="Z1389" s="565" t="n"/>
    </x:row>
    <x:row r="1390">
      <x:c r="A1390" s="527" t="inlineStr">
        <x:is>
          <x:t xml:space="preserve">2013-006584</x:t>
        </x:is>
      </x:c>
      <x:c r="B1390" s="527" t="n"/>
      <x:c r="C1390" s="527" t="inlineStr">
        <x:is>
          <x:t xml:space="preserve">Purchase Agreement</x:t>
        </x:is>
      </x:c>
      <x:c r="D1390" s="527" t="inlineStr">
        <x:is>
          <x:t xml:space="preserve">2224/0378</x:t>
        </x:is>
      </x:c>
      <x:c r="E1390" s="529" t="inlineStr">
        <x:is>
          <x:t xml:space="preserve">12/17/2013</x:t>
        </x:is>
      </x:c>
      <x:c r="F1390" s="529" t="n">
        <x:v>41526</x:v>
      </x:c>
      <x:c r="G1390" s="527" t="inlineStr">
        <x:is>
          <x:t xml:space="preserve">Joseph A. Bain</x:t>
        </x:is>
      </x:c>
      <x:c r="H1390" s="527" t="inlineStr">
        <x:is>
          <x:t xml:space="preserve">Anna T. Bain Gibson</x:t>
        </x:is>
      </x:c>
      <x:c r="I1390" s="527" t="inlineStr">
        <x:is>
          <x:t xml:space="preserve">NW/4 SE/4, S/2 SE/4, SW/4 of 31-12N-24W (AOL)</x:t>
        </x:is>
      </x:c>
      <x:c r="J1390" s="527" t="inlineStr">
        <x:is>
          <x:t xml:space="preserve">See instrument</x:t>
        </x:is>
      </x:c>
      <x:c r="K1390" s="527" t="inlineStr">
        <x:is>
          <x:t xml:space="preserve">OKCountyRecords official index, Roger Mills County (instrument 2013-006584); searched 06/11/2026</x:t>
        </x:is>
      </x:c>
      <x:c r="L1390" s="565" t="n"/>
      <x:c r="M1390" s="565" t="n"/>
      <x:c r="N1390" s="565" t="n"/>
      <x:c r="O1390" s="565" t="n"/>
      <x:c r="P1390" s="565" t="n"/>
      <x:c r="Q1390" s="565" t="n"/>
      <x:c r="R1390" s="565" t="n"/>
      <x:c r="S1390" s="613" t="n"/>
      <x:c r="T1390" s="565" t="n"/>
      <x:c r="U1390" s="613" t="n"/>
      <x:c r="V1390" s="565" t="n"/>
      <x:c r="W1390" s="565" t="n"/>
      <x:c r="X1390" s="565" t="n"/>
      <x:c r="Y1390" s="565" t="n"/>
      <x:c r="Z1390" s="565" t="n"/>
    </x:row>
    <x:row r="1391">
      <x:c r="A1391" s="527" t="inlineStr">
        <x:is>
          <x:t xml:space="preserve">2013-006585</x:t>
        </x:is>
      </x:c>
      <x:c r="B1391" s="527" t="n"/>
      <x:c r="C1391" s="527" t="inlineStr">
        <x:is>
          <x:t xml:space="preserve">Mineral Deed</x:t>
        </x:is>
      </x:c>
      <x:c r="D1391" s="527" t="inlineStr">
        <x:is>
          <x:t xml:space="preserve">2224/0382</x:t>
        </x:is>
      </x:c>
      <x:c r="E1391" s="529" t="inlineStr">
        <x:is>
          <x:t xml:space="preserve">12/17/2013</x:t>
        </x:is>
      </x:c>
      <x:c r="F1391" s="529" t="n">
        <x:v>41486</x:v>
      </x:c>
      <x:c r="G1391" s="527" t="inlineStr">
        <x:is>
          <x:t xml:space="preserve">Joseph A. Bain</x:t>
        </x:is>
      </x:c>
      <x:c r="H1391" s="527" t="inlineStr">
        <x:is>
          <x:t xml:space="preserve">Anna T. Bain Gibson</x:t>
        </x:is>
      </x:c>
      <x:c r="I1391" s="527" t="inlineStr">
        <x:is>
          <x:t xml:space="preserve">NW/4 SE/4, S/2 SE/4, SW/4 of 31-12N-24W (AOL)</x:t>
        </x:is>
      </x:c>
      <x:c r="J1391" s="527" t="inlineStr">
        <x:is>
          <x:t xml:space="preserve">Mineral</x:t>
        </x:is>
      </x:c>
      <x:c r="K1391" s="527" t="inlineStr">
        <x:is>
          <x:t xml:space="preserve">OKCountyRecords official index, Roger Mills County (instrument 2013-006585); searched 06/11/2026</x:t>
        </x:is>
      </x:c>
      <x:c r="L1391" s="565" t="n"/>
      <x:c r="M1391" s="565" t="n"/>
      <x:c r="N1391" s="565" t="n"/>
      <x:c r="O1391" s="565" t="n"/>
      <x:c r="P1391" s="565" t="n"/>
      <x:c r="Q1391" s="565" t="n"/>
      <x:c r="R1391" s="565" t="n"/>
      <x:c r="S1391" s="613" t="n"/>
      <x:c r="T1391" s="565" t="n"/>
      <x:c r="U1391" s="613" t="n"/>
      <x:c r="V1391" s="565" t="n"/>
      <x:c r="W1391" s="565" t="n"/>
      <x:c r="X1391" s="565" t="n"/>
      <x:c r="Y1391" s="565" t="n"/>
      <x:c r="Z1391" s="565" t="n"/>
    </x:row>
    <x:row r="1392">
      <x:c r="A1392" s="527" t="inlineStr">
        <x:is>
          <x:t xml:space="preserve">2013-006644</x:t>
        </x:is>
      </x:c>
      <x:c r="B1392" s="527" t="n"/>
      <x:c r="C1392" s="527" t="inlineStr">
        <x:is>
          <x:t xml:space="preserve">Proof Of Death</x:t>
        </x:is>
      </x:c>
      <x:c r="D1392" s="527" t="inlineStr">
        <x:is>
          <x:t xml:space="preserve">2224/0529</x:t>
        </x:is>
      </x:c>
      <x:c r="E1392" s="529" t="inlineStr">
        <x:is>
          <x:t xml:space="preserve">12/23/2013</x:t>
        </x:is>
      </x:c>
      <x:c r="F1392" s="529" t="n">
        <x:v>41624</x:v>
      </x:c>
      <x:c r="G1392" s="527" t="inlineStr">
        <x:is>
          <x:t xml:space="preserve">Edris Oleta Miller Dcd Bain,
Sheila Kay Salvo</x:t>
        </x:is>
      </x:c>
      <x:c r="H1392" s="527" t="inlineStr">
        <x:is>
          <x:t xml:space="preserve">The Public</x:t>
        </x:is>
      </x:c>
      <x:c r="I1392" s="527" t="inlineStr">
        <x:is>
          <x:t xml:space="preserve">NW/4 SE/4, S/2 SE/4, SW/4 NE/4 of 31-12N-24W (AOL)</x:t>
        </x:is>
      </x:c>
      <x:c r="J1392" s="527" t="inlineStr">
        <x:is>
          <x:t xml:space="preserve">Fee / as stated</x:t>
        </x:is>
      </x:c>
      <x:c r="K1392" s="527" t="inlineStr">
        <x:is>
          <x:t xml:space="preserve">OKCountyRecords official index, Roger Mills County (instrument 2013-006644); searched 06/11/2026</x:t>
        </x:is>
      </x:c>
      <x:c r="L1392" s="565" t="n"/>
      <x:c r="M1392" s="565" t="n"/>
      <x:c r="N1392" s="565" t="n"/>
      <x:c r="O1392" s="565" t="n"/>
      <x:c r="P1392" s="565" t="n"/>
      <x:c r="Q1392" s="565" t="n"/>
      <x:c r="R1392" s="565" t="n"/>
      <x:c r="S1392" s="613" t="n"/>
      <x:c r="T1392" s="565" t="n"/>
      <x:c r="U1392" s="613" t="n"/>
      <x:c r="V1392" s="565" t="n"/>
      <x:c r="W1392" s="565" t="n"/>
      <x:c r="X1392" s="565" t="n"/>
      <x:c r="Y1392" s="565" t="n"/>
      <x:c r="Z1392" s="565" t="n"/>
    </x:row>
    <x:row r="1393">
      <x:c r="A1393" s="527" t="inlineStr">
        <x:is>
          <x:t xml:space="preserve">2013-006645</x:t>
        </x:is>
      </x:c>
      <x:c r="B1393" s="527" t="n"/>
      <x:c r="C1393" s="527" t="inlineStr">
        <x:is>
          <x:t xml:space="preserve">Proof Of Death</x:t>
        </x:is>
      </x:c>
      <x:c r="D1393" s="527" t="inlineStr">
        <x:is>
          <x:t xml:space="preserve">2224/0535</x:t>
        </x:is>
      </x:c>
      <x:c r="E1393" s="529" t="inlineStr">
        <x:is>
          <x:t xml:space="preserve">12/23/2013</x:t>
        </x:is>
      </x:c>
      <x:c r="F1393" s="529" t="n">
        <x:v>41624</x:v>
      </x:c>
      <x:c r="G1393" s="527" t="inlineStr">
        <x:is>
          <x:t xml:space="preserve">Dow Conrad Dcd Bain,
Sheila Kay Salvo</x:t>
        </x:is>
      </x:c>
      <x:c r="H1393" s="527" t="inlineStr">
        <x:is>
          <x:t xml:space="preserve">The Public</x:t>
        </x:is>
      </x:c>
      <x:c r="I1393" s="527" t="inlineStr">
        <x:is>
          <x:t xml:space="preserve">NW/4 SE/4, S/2 SE/4, SW/4 NE/4 of 31-12N-24W (AOL)</x:t>
        </x:is>
      </x:c>
      <x:c r="J1393" s="527" t="inlineStr">
        <x:is>
          <x:t xml:space="preserve">Fee / as stated</x:t>
        </x:is>
      </x:c>
      <x:c r="K1393" s="527" t="inlineStr">
        <x:is>
          <x:t xml:space="preserve">OKCountyRecords official index, Roger Mills County (instrument 2013-006645); searched 06/11/2026</x:t>
        </x:is>
      </x:c>
      <x:c r="L1393" s="565" t="n"/>
      <x:c r="M1393" s="565" t="n"/>
      <x:c r="N1393" s="565" t="n"/>
      <x:c r="O1393" s="565" t="n"/>
      <x:c r="P1393" s="565" t="n"/>
      <x:c r="Q1393" s="565" t="n"/>
      <x:c r="R1393" s="565" t="n"/>
      <x:c r="S1393" s="613" t="n"/>
      <x:c r="T1393" s="565" t="n"/>
      <x:c r="U1393" s="613" t="n"/>
      <x:c r="V1393" s="565" t="n"/>
      <x:c r="W1393" s="565" t="n"/>
      <x:c r="X1393" s="565" t="n"/>
      <x:c r="Y1393" s="565" t="n"/>
      <x:c r="Z1393" s="565" t="n"/>
    </x:row>
    <x:row r="1394">
      <x:c r="A1394" s="527" t="inlineStr">
        <x:is>
          <x:t xml:space="preserve">2014-002337</x:t>
        </x:is>
      </x:c>
      <x:c r="B1394" s="527" t="n"/>
      <x:c r="C1394" s="527" t="inlineStr">
        <x:is>
          <x:t xml:space="preserve">Affidavit</x:t>
        </x:is>
      </x:c>
      <x:c r="D1394" s="527" t="inlineStr">
        <x:is>
          <x:t xml:space="preserve">2247/0183</x:t>
        </x:is>
      </x:c>
      <x:c r="E1394" s="529" t="inlineStr">
        <x:is>
          <x:t xml:space="preserve">04/17/2014</x:t>
        </x:is>
      </x:c>
      <x:c r="F1394" s="529" t="n">
        <x:v>41730</x:v>
      </x:c>
      <x:c r="G1394" s="527" t="inlineStr">
        <x:is>
          <x:t xml:space="preserve">Mekusukey Oil Company</x:t>
        </x:is>
      </x:c>
      <x:c r="H1394" s="527" t="inlineStr">
        <x:is>
          <x:t xml:space="preserve">The Public</x:t>
        </x:is>
      </x:c>
      <x:c r="I1394" s="527" t="inlineStr">
        <x:is>
          <x:t xml:space="preserve">All of 31-12N-24W (AOL)</x:t>
        </x:is>
      </x:c>
      <x:c r="J1394" s="527" t="inlineStr">
        <x:is>
          <x:t xml:space="preserve">See instrument</x:t>
        </x:is>
      </x:c>
      <x:c r="K1394" s="527" t="inlineStr">
        <x:is>
          <x:t xml:space="preserve">OKCountyRecords official index, Roger Mills County (instrument 2014-002337); searched 06/11/2026</x:t>
        </x:is>
      </x:c>
      <x:c r="L1394" s="565" t="n"/>
      <x:c r="M1394" s="565" t="n"/>
      <x:c r="N1394" s="565" t="n"/>
      <x:c r="O1394" s="565" t="n"/>
      <x:c r="P1394" s="565" t="n"/>
      <x:c r="Q1394" s="565" t="n"/>
      <x:c r="R1394" s="565" t="n"/>
      <x:c r="S1394" s="613" t="n"/>
      <x:c r="T1394" s="565" t="n"/>
      <x:c r="U1394" s="613" t="n"/>
      <x:c r="V1394" s="565" t="n"/>
      <x:c r="W1394" s="565" t="n"/>
      <x:c r="X1394" s="565" t="n"/>
      <x:c r="Y1394" s="565" t="n"/>
      <x:c r="Z1394" s="565" t="n"/>
    </x:row>
    <x:row r="1395">
      <x:c r="A1395" s="527" t="inlineStr">
        <x:is>
          <x:t xml:space="preserve">2014-002935</x:t>
        </x:is>
      </x:c>
      <x:c r="B1395" s="527" t="n"/>
      <x:c r="C1395" s="527" t="inlineStr">
        <x:is>
          <x:t xml:space="preserve">Mineral Deed</x:t>
        </x:is>
      </x:c>
      <x:c r="D1395" s="527" t="inlineStr">
        <x:is>
          <x:t xml:space="preserve">2251/0022</x:t>
        </x:is>
      </x:c>
      <x:c r="E1395" s="529" t="inlineStr">
        <x:is>
          <x:t xml:space="preserve">05/07/2014</x:t>
        </x:is>
      </x:c>
      <x:c r="F1395" s="529" t="n">
        <x:v>41734</x:v>
      </x:c>
      <x:c r="G1395" s="527" t="inlineStr">
        <x:is>
          <x:t xml:space="preserve">Jessica Corry Fuchs</x:t>
        </x:is>
      </x:c>
      <x:c r="H1395" s="527" t="inlineStr">
        <x:is>
          <x:t xml:space="preserve">Jesse William Fuchs</x:t>
        </x:is>
      </x:c>
      <x:c r="I1395" s="527" t="inlineStr">
        <x:is>
          <x:t xml:space="preserve">NW/4 SE/4, S/2 SE/4, SW/4 NE/4 of 31-12N-24W (AOL)</x:t>
        </x:is>
      </x:c>
      <x:c r="J1395" s="527" t="inlineStr">
        <x:is>
          <x:t xml:space="preserve">Mineral</x:t>
        </x:is>
      </x:c>
      <x:c r="K1395" s="527" t="inlineStr">
        <x:is>
          <x:t xml:space="preserve">OKCountyRecords official index, Roger Mills County (instrument 2014-002935); searched 06/11/2026</x:t>
        </x:is>
      </x:c>
      <x:c r="L1395" s="565" t="n"/>
      <x:c r="M1395" s="565" t="n"/>
      <x:c r="N1395" s="565" t="n"/>
      <x:c r="O1395" s="565" t="n"/>
      <x:c r="P1395" s="565" t="n"/>
      <x:c r="Q1395" s="565" t="n"/>
      <x:c r="R1395" s="565" t="n"/>
      <x:c r="S1395" s="613" t="n"/>
      <x:c r="T1395" s="565" t="n"/>
      <x:c r="U1395" s="613" t="n"/>
      <x:c r="V1395" s="565" t="n"/>
      <x:c r="W1395" s="565" t="n"/>
      <x:c r="X1395" s="565" t="n"/>
      <x:c r="Y1395" s="565" t="n"/>
      <x:c r="Z1395" s="565" t="n"/>
    </x:row>
    <x:row r="1396">
      <x:c r="A1396" s="527" t="inlineStr">
        <x:is>
          <x:t xml:space="preserve">2014-003089</x:t>
        </x:is>
      </x:c>
      <x:c r="B1396" s="527" t="n"/>
      <x:c r="C1396" s="527" t="inlineStr">
        <x:is>
          <x:t xml:space="preserve">Mineral Deed</x:t>
        </x:is>
      </x:c>
      <x:c r="D1396" s="527" t="inlineStr">
        <x:is>
          <x:t xml:space="preserve">2251/0529</x:t>
        </x:is>
      </x:c>
      <x:c r="E1396" s="529" t="inlineStr">
        <x:is>
          <x:t xml:space="preserve">05/15/2014</x:t>
        </x:is>
      </x:c>
      <x:c r="F1396" s="529" t="n">
        <x:v>41746</x:v>
      </x:c>
      <x:c r="G1396" s="527" t="inlineStr">
        <x:is>
          <x:t xml:space="preserve">Luther Ervin Thurman,
Veronica Gentry Thurman</x:t>
        </x:is>
      </x:c>
      <x:c r="H1396" s="527" t="inlineStr">
        <x:is>
          <x:t xml:space="preserve">Thurman, Luther and Veronica Liv Trust,
Luther Ervin Thurman, Trustee,
Veronica Gentry Thurman, Trustee</x:t>
        </x:is>
      </x:c>
      <x:c r="I1396" s="527" t="inlineStr">
        <x:is>
          <x:t xml:space="preserve">E/2 NW/4, N/2 NE/4 SW/4, NE/4 SE/4, SE/4 NE/4 of 31-12N-24W (AOL)</x:t>
        </x:is>
      </x:c>
      <x:c r="J1396" s="527" t="inlineStr">
        <x:is>
          <x:t xml:space="preserve">Mineral</x:t>
        </x:is>
      </x:c>
      <x:c r="K1396" s="527" t="inlineStr">
        <x:is>
          <x:t xml:space="preserve">OKCountyRecords official index, Roger Mills County (instrument 2014-003089); searched 06/11/2026</x:t>
        </x:is>
      </x:c>
      <x:c r="L1396" s="565" t="n"/>
      <x:c r="M1396" s="565" t="n"/>
      <x:c r="N1396" s="565" t="n"/>
      <x:c r="O1396" s="565" t="n"/>
      <x:c r="P1396" s="565" t="n"/>
      <x:c r="Q1396" s="565" t="n"/>
      <x:c r="R1396" s="565" t="n"/>
      <x:c r="S1396" s="613" t="n"/>
      <x:c r="T1396" s="565" t="n"/>
      <x:c r="U1396" s="613" t="n"/>
      <x:c r="V1396" s="565" t="n"/>
      <x:c r="W1396" s="565" t="n"/>
      <x:c r="X1396" s="565" t="n"/>
      <x:c r="Y1396" s="565" t="n"/>
      <x:c r="Z1396" s="565" t="n"/>
    </x:row>
    <x:row r="1397">
      <x:c r="A1397" s="527" t="inlineStr">
        <x:is>
          <x:t xml:space="preserve">2014-004286</x:t>
        </x:is>
      </x:c>
      <x:c r="B1397" s="527" t="n"/>
      <x:c r="C1397" s="527" t="inlineStr">
        <x:is>
          <x:t xml:space="preserve">Final Decree</x:t>
        </x:is>
      </x:c>
      <x:c r="D1397" s="527" t="inlineStr">
        <x:is>
          <x:t xml:space="preserve">2259/0397</x:t>
        </x:is>
      </x:c>
      <x:c r="E1397" s="529" t="inlineStr">
        <x:is>
          <x:t xml:space="preserve">07/01/2014</x:t>
        </x:is>
      </x:c>
      <x:c r="F1397" s="529" t="n">
        <x:v>41821</x:v>
      </x:c>
      <x:c r="G1397" s="527" t="inlineStr">
        <x:is>
          <x:t xml:space="preserve">Estate of Lyle Terrence Ibeling</x:t>
        </x:is>
      </x:c>
      <x:c r="H1397" s="527" t="inlineStr">
        <x:is>
          <x:t xml:space="preserve">The Public</x:t>
        </x:is>
      </x:c>
      <x:c r="I1397" s="527" t="inlineStr">
        <x:is>
          <x:t xml:space="preserve">NW/4 SE/4, S/2 SE/4, SW/4 NE/4 of 31-12N-24W (AOL)</x:t>
        </x:is>
      </x:c>
      <x:c r="J1397" s="527" t="inlineStr">
        <x:is>
          <x:t xml:space="preserve">Fee / as stated</x:t>
        </x:is>
      </x:c>
      <x:c r="K1397" s="527" t="inlineStr">
        <x:is>
          <x:t xml:space="preserve">OKCountyRecords official index, Roger Mills County (instrument 2014-004286); searched 06/11/2026</x:t>
        </x:is>
      </x:c>
      <x:c r="L1397" s="565" t="n"/>
      <x:c r="M1397" s="565" t="n"/>
      <x:c r="N1397" s="565" t="n"/>
      <x:c r="O1397" s="565" t="n"/>
      <x:c r="P1397" s="565" t="n"/>
      <x:c r="Q1397" s="565" t="n"/>
      <x:c r="R1397" s="565" t="n"/>
      <x:c r="S1397" s="613" t="n"/>
      <x:c r="T1397" s="565" t="n"/>
      <x:c r="U1397" s="613" t="n"/>
      <x:c r="V1397" s="565" t="n"/>
      <x:c r="W1397" s="565" t="n"/>
      <x:c r="X1397" s="565" t="n"/>
      <x:c r="Y1397" s="565" t="n"/>
      <x:c r="Z1397" s="565" t="n"/>
    </x:row>
    <x:row r="1398">
      <x:c r="A1398" s="527" t="inlineStr">
        <x:is>
          <x:t xml:space="preserve">2014-004525</x:t>
        </x:is>
      </x:c>
      <x:c r="B1398" s="527" t="n"/>
      <x:c r="C1398" s="527" t="inlineStr">
        <x:is>
          <x:t xml:space="preserve">Divorce Decree</x:t>
        </x:is>
      </x:c>
      <x:c r="D1398" s="527" t="inlineStr">
        <x:is>
          <x:t xml:space="preserve">2261/0255</x:t>
        </x:is>
      </x:c>
      <x:c r="E1398" s="529" t="inlineStr">
        <x:is>
          <x:t xml:space="preserve">07/14/2014</x:t>
        </x:is>
      </x:c>
      <x:c r="F1398" s="529" t="n">
        <x:v>41782</x:v>
      </x:c>
      <x:c r="G1398" s="527" t="inlineStr">
        <x:is>
          <x:t xml:space="preserve">William Edgar Bryant</x:t>
        </x:is>
      </x:c>
      <x:c r="H1398" s="527" t="inlineStr">
        <x:is>
          <x:t xml:space="preserve">Kathy Lynn Bryant</x:t>
        </x:is>
      </x:c>
      <x:c r="I1398" s="527" t="inlineStr">
        <x:is>
          <x:t xml:space="preserve">Lots 1 of 31-12N-24W</x:t>
        </x:is>
      </x:c>
      <x:c r="J1398" s="527" t="inlineStr">
        <x:is>
          <x:t xml:space="preserve">Fee / as stated</x:t>
        </x:is>
      </x:c>
      <x:c r="K1398" s="527" t="inlineStr">
        <x:is>
          <x:t xml:space="preserve">OKCountyRecords official index, Roger Mills County (instrument 2014-004525); searched 06/11/2026</x:t>
        </x:is>
      </x:c>
      <x:c r="L1398" s="565" t="n"/>
      <x:c r="M1398" s="565" t="n"/>
      <x:c r="N1398" s="565" t="n"/>
      <x:c r="O1398" s="565" t="n"/>
      <x:c r="P1398" s="565" t="n"/>
      <x:c r="Q1398" s="565" t="n"/>
      <x:c r="R1398" s="565" t="n"/>
      <x:c r="S1398" s="613" t="n"/>
      <x:c r="T1398" s="565" t="n"/>
      <x:c r="U1398" s="613" t="n"/>
      <x:c r="V1398" s="565" t="n"/>
      <x:c r="W1398" s="565" t="n"/>
      <x:c r="X1398" s="565" t="n"/>
      <x:c r="Y1398" s="565" t="n"/>
      <x:c r="Z1398" s="565" t="n"/>
    </x:row>
    <x:row r="1399">
      <x:c r="A1399" s="527" t="inlineStr">
        <x:is>
          <x:t xml:space="preserve">2014-005899</x:t>
        </x:is>
      </x:c>
      <x:c r="B1399" s="527" t="n"/>
      <x:c r="C1399" s="527" t="inlineStr">
        <x:is>
          <x:t xml:space="preserve">Mineral Deed</x:t>
        </x:is>
      </x:c>
      <x:c r="D1399" s="527" t="inlineStr">
        <x:is>
          <x:t xml:space="preserve">2270/0252</x:t>
        </x:is>
      </x:c>
      <x:c r="E1399" s="529" t="inlineStr">
        <x:is>
          <x:t xml:space="preserve">09/23/2014</x:t>
        </x:is>
      </x:c>
      <x:c r="F1399" s="529" t="n">
        <x:v>41851</x:v>
      </x:c>
      <x:c r="G1399" s="527" t="inlineStr">
        <x:is>
          <x:t xml:space="preserve">Eddie Tom Lakey,
Marinita Lakey</x:t>
        </x:is>
      </x:c>
      <x:c r="H1399" s="527" t="inlineStr">
        <x:is>
          <x:t xml:space="preserve">Lakey, Eddie Tom and Marinita Rev Trust,
Eddie Tom Lakey, Trustee,
Marinita Ann Lakey, Trustee</x:t>
        </x:is>
      </x:c>
      <x:c r="I1399" s="527" t="inlineStr">
        <x:is>
          <x:t xml:space="preserve">NW/4 of 31-12N-24W (AOL)</x:t>
        </x:is>
      </x:c>
      <x:c r="J1399" s="527" t="inlineStr">
        <x:is>
          <x:t xml:space="preserve">Mineral</x:t>
        </x:is>
      </x:c>
      <x:c r="K1399" s="527" t="inlineStr">
        <x:is>
          <x:t xml:space="preserve">OKCountyRecords official index, Roger Mills County (instrument 2014-005899); searched 06/11/2026</x:t>
        </x:is>
      </x:c>
      <x:c r="L1399" s="565" t="n"/>
      <x:c r="M1399" s="565" t="n"/>
      <x:c r="N1399" s="565" t="n"/>
      <x:c r="O1399" s="565" t="n"/>
      <x:c r="P1399" s="565" t="n"/>
      <x:c r="Q1399" s="565" t="n"/>
      <x:c r="R1399" s="565" t="n"/>
      <x:c r="S1399" s="613" t="n"/>
      <x:c r="T1399" s="565" t="n"/>
      <x:c r="U1399" s="613" t="n"/>
      <x:c r="V1399" s="565" t="n"/>
      <x:c r="W1399" s="565" t="n"/>
      <x:c r="X1399" s="565" t="n"/>
      <x:c r="Y1399" s="565" t="n"/>
      <x:c r="Z1399" s="565" t="n"/>
    </x:row>
    <x:row r="1400">
      <x:c r="A1400" s="527" t="inlineStr">
        <x:is>
          <x:t xml:space="preserve">2014-005920</x:t>
        </x:is>
      </x:c>
      <x:c r="B1400" s="527" t="n"/>
      <x:c r="C1400" s="527" t="inlineStr">
        <x:is>
          <x:t xml:space="preserve">Assignment</x:t>
        </x:is>
      </x:c>
      <x:c r="D1400" s="527" t="inlineStr">
        <x:is>
          <x:t xml:space="preserve">2270/0316</x:t>
        </x:is>
      </x:c>
      <x:c r="E1400" s="529" t="inlineStr">
        <x:is>
          <x:t xml:space="preserve">09/25/2014</x:t>
        </x:is>
      </x:c>
      <x:c r="F1400" s="529" t="n">
        <x:v>41821</x:v>
      </x:c>
      <x:c r="G1400" s="527" t="inlineStr">
        <x:is>
          <x:t xml:space="preserve">Newfield Exploartion Company,
Newfield Exploration Mid Continent, Inc.</x:t>
        </x:is>
      </x:c>
      <x:c r="H1400" s="527" t="inlineStr">
        <x:is>
          <x:t xml:space="preserve">Templar Energy, LLC</x:t>
        </x:is>
      </x:c>
      <x:c r="I1400" s="527" t="inlineStr">
        <x:is>
          <x:t xml:space="preserve">All of 31-12N-24W (AOL)</x:t>
        </x:is>
      </x:c>
      <x:c r="J1400" s="527" t="inlineStr">
        <x:is>
          <x:t xml:space="preserve">Leasehold / WI</x:t>
        </x:is>
      </x:c>
      <x:c r="K1400" s="527" t="inlineStr">
        <x:is>
          <x:t xml:space="preserve">OKCountyRecords official index, Roger Mills County (instrument 2014-005920); searched 06/11/2026</x:t>
        </x:is>
      </x:c>
      <x:c r="L1400" s="565" t="n"/>
      <x:c r="M1400" s="565" t="n"/>
      <x:c r="N1400" s="565" t="n"/>
      <x:c r="O1400" s="565" t="n"/>
      <x:c r="P1400" s="565" t="n"/>
      <x:c r="Q1400" s="565" t="n"/>
      <x:c r="R1400" s="565" t="n"/>
      <x:c r="S1400" s="613" t="n"/>
      <x:c r="T1400" s="565" t="n"/>
      <x:c r="U1400" s="613" t="n"/>
      <x:c r="V1400" s="565" t="n"/>
      <x:c r="W1400" s="565" t="n"/>
      <x:c r="X1400" s="565" t="n"/>
      <x:c r="Y1400" s="565" t="n"/>
      <x:c r="Z1400" s="565" t="n"/>
    </x:row>
    <x:row r="1401">
      <x:c r="A1401" s="527" t="inlineStr">
        <x:is>
          <x:t xml:space="preserve">2014-006293</x:t>
        </x:is>
      </x:c>
      <x:c r="B1401" s="527" t="n"/>
      <x:c r="C1401" s="527" t="inlineStr">
        <x:is>
          <x:t xml:space="preserve">Mineral Deed</x:t>
        </x:is>
      </x:c>
      <x:c r="D1401" s="527" t="inlineStr">
        <x:is>
          <x:t xml:space="preserve">2273/0223</x:t>
        </x:is>
      </x:c>
      <x:c r="E1401" s="529" t="inlineStr">
        <x:is>
          <x:t xml:space="preserve">10/15/2014</x:t>
        </x:is>
      </x:c>
      <x:c r="F1401" s="529" t="n">
        <x:v>41926</x:v>
      </x:c>
      <x:c r="G1401" s="527" t="inlineStr">
        <x:is>
          <x:t xml:space="preserve">Etta Britton,
Joe H. Britton</x:t>
        </x:is>
      </x:c>
      <x:c r="H1401" s="527" t="inlineStr">
        <x:is>
          <x:t xml:space="preserve">Linda C. Browning</x:t>
        </x:is>
      </x:c>
      <x:c r="I1401" s="527" t="inlineStr">
        <x:is>
          <x:t xml:space="preserve">E/2 NW/4, N/2 NE/4, NE/4 SE/4, SE/4 NE/4 of 31-12N-24W (AOL)</x:t>
        </x:is>
      </x:c>
      <x:c r="J1401" s="527" t="inlineStr">
        <x:is>
          <x:t xml:space="preserve">Mineral</x:t>
        </x:is>
      </x:c>
      <x:c r="K1401" s="527" t="inlineStr">
        <x:is>
          <x:t xml:space="preserve">OKCountyRecords official index, Roger Mills County (instrument 2014-006293); searched 06/11/2026</x:t>
        </x:is>
      </x:c>
      <x:c r="L1401" s="565" t="n"/>
      <x:c r="M1401" s="565" t="n"/>
      <x:c r="N1401" s="565" t="n"/>
      <x:c r="O1401" s="565" t="n"/>
      <x:c r="P1401" s="565" t="n"/>
      <x:c r="Q1401" s="565" t="n"/>
      <x:c r="R1401" s="565" t="n"/>
      <x:c r="S1401" s="613" t="n"/>
      <x:c r="T1401" s="565" t="n"/>
      <x:c r="U1401" s="613" t="n"/>
      <x:c r="V1401" s="565" t="n"/>
      <x:c r="W1401" s="565" t="n"/>
      <x:c r="X1401" s="565" t="n"/>
      <x:c r="Y1401" s="565" t="n"/>
      <x:c r="Z1401" s="565" t="n"/>
    </x:row>
    <x:row r="1402">
      <x:c r="A1402" s="527" t="inlineStr">
        <x:is>
          <x:t xml:space="preserve">2014-006352</x:t>
        </x:is>
      </x:c>
      <x:c r="B1402" s="527" t="n"/>
      <x:c r="C1402" s="527" t="inlineStr">
        <x:is>
          <x:t xml:space="preserve">Affidavit</x:t>
        </x:is>
      </x:c>
      <x:c r="D1402" s="527" t="inlineStr">
        <x:is>
          <x:t xml:space="preserve">2273/0539</x:t>
        </x:is>
      </x:c>
      <x:c r="E1402" s="529" t="inlineStr">
        <x:is>
          <x:t xml:space="preserve">10/20/2014</x:t>
        </x:is>
      </x:c>
      <x:c r="F1402" s="529" t="n">
        <x:v>41926</x:v>
      </x:c>
      <x:c r="G1402" s="527" t="inlineStr">
        <x:is>
          <x:t xml:space="preserve">Linda Aka Fields,
Linda Aka Klipfenstein,
Linda Mize,
Jon Wilkerson</x:t>
        </x:is>
      </x:c>
      <x:c r="H1402" s="527" t="inlineStr">
        <x:is>
          <x:t xml:space="preserve">The Public</x:t>
        </x:is>
      </x:c>
      <x:c r="I1402" s="527" t="inlineStr">
        <x:is>
          <x:t xml:space="preserve">All of 31-12N-24W (AOL)</x:t>
        </x:is>
      </x:c>
      <x:c r="J1402" s="527" t="inlineStr">
        <x:is>
          <x:t xml:space="preserve">See instrument</x:t>
        </x:is>
      </x:c>
      <x:c r="K1402" s="527" t="inlineStr">
        <x:is>
          <x:t xml:space="preserve">OKCountyRecords official index, Roger Mills County (instrument 2014-006352); searched 06/11/2026</x:t>
        </x:is>
      </x:c>
      <x:c r="L1402" s="565" t="n"/>
      <x:c r="M1402" s="565" t="n"/>
      <x:c r="N1402" s="565" t="n"/>
      <x:c r="O1402" s="565" t="n"/>
      <x:c r="P1402" s="565" t="n"/>
      <x:c r="Q1402" s="565" t="n"/>
      <x:c r="R1402" s="565" t="n"/>
      <x:c r="S1402" s="613" t="n"/>
      <x:c r="T1402" s="565" t="n"/>
      <x:c r="U1402" s="613" t="n"/>
      <x:c r="V1402" s="565" t="n"/>
      <x:c r="W1402" s="565" t="n"/>
      <x:c r="X1402" s="565" t="n"/>
      <x:c r="Y1402" s="565" t="n"/>
      <x:c r="Z1402" s="565" t="n"/>
    </x:row>
    <x:row r="1403">
      <x:c r="A1403" s="527" t="inlineStr">
        <x:is>
          <x:t xml:space="preserve">2015-000058</x:t>
        </x:is>
      </x:c>
      <x:c r="B1403" s="527" t="n"/>
      <x:c r="C1403" s="527" t="inlineStr">
        <x:is>
          <x:t xml:space="preserve">Assignment</x:t>
        </x:is>
      </x:c>
      <x:c r="D1403" s="527" t="inlineStr">
        <x:is>
          <x:t xml:space="preserve">2282/0234</x:t>
        </x:is>
      </x:c>
      <x:c r="E1403" s="529" t="inlineStr">
        <x:is>
          <x:t xml:space="preserve">01/07/2015</x:t>
        </x:is>
      </x:c>
      <x:c r="F1403" s="529" t="n">
        <x:v>41988</x:v>
      </x:c>
      <x:c r="G1403" s="527" t="inlineStr">
        <x:is>
          <x:t xml:space="preserve">Linn Energy Holdings Et Al.</x:t>
        </x:is>
      </x:c>
      <x:c r="H1403" s="527" t="inlineStr">
        <x:is>
          <x:t xml:space="preserve">Enervest,
Fourpoint</x:t>
        </x:is>
      </x:c>
      <x:c r="I1403" s="527" t="inlineStr">
        <x:is>
          <x:t xml:space="preserve">All of 31-12N-24W (AOL)</x:t>
        </x:is>
      </x:c>
      <x:c r="J1403" s="527" t="inlineStr">
        <x:is>
          <x:t xml:space="preserve">Leasehold / WI</x:t>
        </x:is>
      </x:c>
      <x:c r="K1403" s="527" t="inlineStr">
        <x:is>
          <x:t xml:space="preserve">OKCountyRecords official index, Roger Mills County (instrument 2015-000058); searched 06/11/2026</x:t>
        </x:is>
      </x:c>
      <x:c r="L1403" s="565" t="n"/>
      <x:c r="M1403" s="565" t="n"/>
      <x:c r="N1403" s="565" t="n"/>
      <x:c r="O1403" s="565" t="n"/>
      <x:c r="P1403" s="565" t="n"/>
      <x:c r="Q1403" s="565" t="n"/>
      <x:c r="R1403" s="565" t="n"/>
      <x:c r="S1403" s="613" t="n"/>
      <x:c r="T1403" s="565" t="n"/>
      <x:c r="U1403" s="613" t="n"/>
      <x:c r="V1403" s="565" t="n"/>
      <x:c r="W1403" s="565" t="n"/>
      <x:c r="X1403" s="565" t="n"/>
      <x:c r="Y1403" s="565" t="n"/>
      <x:c r="Z1403" s="565" t="n"/>
    </x:row>
    <x:row r="1404">
      <x:c r="A1404" s="527" t="inlineStr">
        <x:is>
          <x:t xml:space="preserve">2015-000877</x:t>
        </x:is>
      </x:c>
      <x:c r="B1404" s="527" t="n"/>
      <x:c r="C1404" s="527" t="inlineStr">
        <x:is>
          <x:t xml:space="preserve">Mineral Deed</x:t>
        </x:is>
      </x:c>
      <x:c r="D1404" s="527" t="inlineStr">
        <x:is>
          <x:t xml:space="preserve">2290/0178</x:t>
        </x:is>
      </x:c>
      <x:c r="E1404" s="529" t="inlineStr">
        <x:is>
          <x:t xml:space="preserve">03/05/2015</x:t>
        </x:is>
      </x:c>
      <x:c r="F1404" s="529" t="n">
        <x:v>42061</x:v>
      </x:c>
      <x:c r="G1404" s="527" t="inlineStr">
        <x:is>
          <x:t xml:space="preserve">Isa May Smith,
William A. Smith</x:t>
        </x:is>
      </x:c>
      <x:c r="H1404" s="527" t="inlineStr">
        <x:is>
          <x:t xml:space="preserve">Smith, William A. and Isa May Family Rev Trust</x:t>
        </x:is>
      </x:c>
      <x:c r="I1404" s="527" t="inlineStr">
        <x:is>
          <x:t xml:space="preserve">NW/4 SE/4, S/2 SE/4, SW/4 NE/4 of 31-12N-24W (AOL)</x:t>
        </x:is>
      </x:c>
      <x:c r="J1404" s="527" t="inlineStr">
        <x:is>
          <x:t xml:space="preserve">Mineral</x:t>
        </x:is>
      </x:c>
      <x:c r="K1404" s="527" t="inlineStr">
        <x:is>
          <x:t xml:space="preserve">OKCountyRecords official index, Roger Mills County (instrument 2015-000877); searched 06/11/2026</x:t>
        </x:is>
      </x:c>
      <x:c r="L1404" s="565" t="n"/>
      <x:c r="M1404" s="565" t="n"/>
      <x:c r="N1404" s="565" t="n"/>
      <x:c r="O1404" s="565" t="n"/>
      <x:c r="P1404" s="565" t="n"/>
      <x:c r="Q1404" s="565" t="n"/>
      <x:c r="R1404" s="565" t="n"/>
      <x:c r="S1404" s="613" t="n"/>
      <x:c r="T1404" s="565" t="n"/>
      <x:c r="U1404" s="613" t="n"/>
      <x:c r="V1404" s="565" t="n"/>
      <x:c r="W1404" s="565" t="n"/>
      <x:c r="X1404" s="565" t="n"/>
      <x:c r="Y1404" s="565" t="n"/>
      <x:c r="Z1404" s="565" t="n"/>
    </x:row>
    <x:row r="1405">
      <x:c r="A1405" s="527" t="inlineStr">
        <x:is>
          <x:t xml:space="preserve">2015-001388</x:t>
        </x:is>
      </x:c>
      <x:c r="B1405" s="527" t="n"/>
      <x:c r="C1405" s="527" t="inlineStr">
        <x:is>
          <x:t xml:space="preserve">Stipulation</x:t>
        </x:is>
      </x:c>
      <x:c r="D1405" s="527" t="inlineStr">
        <x:is>
          <x:t xml:space="preserve">2294/0047</x:t>
        </x:is>
      </x:c>
      <x:c r="E1405" s="529" t="inlineStr">
        <x:is>
          <x:t xml:space="preserve">04/21/2015</x:t>
        </x:is>
      </x:c>
      <x:c r="F1405" s="529" t="n">
        <x:v>42111</x:v>
      </x:c>
      <x:c r="G1405" s="527" t="inlineStr">
        <x:is>
          <x:t xml:space="preserve">Peggy J. Brawner</x:t>
        </x:is>
      </x:c>
      <x:c r="H1405" s="527" t="inlineStr">
        <x:is>
          <x:t xml:space="preserve">The Public</x:t>
        </x:is>
      </x:c>
      <x:c r="I1405" s="527" t="inlineStr">
        <x:is>
          <x:t xml:space="preserve">NW/4 SE/4, S/2 SE/4, SW/4 NE/4 of 31-12N-24W</x:t>
        </x:is>
      </x:c>
      <x:c r="J1405" s="527" t="inlineStr">
        <x:is>
          <x:t xml:space="preserve">Leasehold / WI</x:t>
        </x:is>
      </x:c>
      <x:c r="K1405" s="527" t="inlineStr">
        <x:is>
          <x:t xml:space="preserve">OKCountyRecords official index, Roger Mills County (instrument 2015-001388); searched 06/11/2026</x:t>
        </x:is>
      </x:c>
      <x:c r="L1405" s="565" t="n"/>
      <x:c r="M1405" s="565" t="n"/>
      <x:c r="N1405" s="565" t="n"/>
      <x:c r="O1405" s="565" t="n"/>
      <x:c r="P1405" s="565" t="n"/>
      <x:c r="Q1405" s="565" t="n"/>
      <x:c r="R1405" s="565" t="n"/>
      <x:c r="S1405" s="613" t="n"/>
      <x:c r="T1405" s="565" t="n"/>
      <x:c r="U1405" s="613" t="n"/>
      <x:c r="V1405" s="565" t="n"/>
      <x:c r="W1405" s="565" t="n"/>
      <x:c r="X1405" s="565" t="n"/>
      <x:c r="Y1405" s="565" t="n"/>
      <x:c r="Z1405" s="565" t="n"/>
    </x:row>
    <x:row r="1406">
      <x:c r="A1406" s="527" t="inlineStr">
        <x:is>
          <x:t xml:space="preserve">2015-001661</x:t>
        </x:is>
      </x:c>
      <x:c r="B1406" s="527" t="n"/>
      <x:c r="C1406" s="527" t="inlineStr">
        <x:is>
          <x:t xml:space="preserve">Assignment</x:t>
        </x:is>
      </x:c>
      <x:c r="D1406" s="527" t="inlineStr">
        <x:is>
          <x:t xml:space="preserve">2295/0372</x:t>
        </x:is>
      </x:c>
      <x:c r="E1406" s="529" t="inlineStr">
        <x:is>
          <x:t xml:space="preserve">05/15/2015</x:t>
        </x:is>
      </x:c>
      <x:c r="F1406" s="529" t="n">
        <x:v>42129</x:v>
      </x:c>
      <x:c r="G1406" s="527" t="inlineStr">
        <x:is>
          <x:t xml:space="preserve">Robert H. Frazier</x:t>
        </x:is>
      </x:c>
      <x:c r="H1406" s="527" t="inlineStr">
        <x:is>
          <x:t xml:space="preserve">Robert H. Frazier Royalty</x:t>
        </x:is>
      </x:c>
      <x:c r="I1406" s="527" t="inlineStr">
        <x:is>
          <x:t xml:space="preserve">All of 31-12N-24W (AOL)</x:t>
        </x:is>
      </x:c>
      <x:c r="J1406" s="527" t="inlineStr">
        <x:is>
          <x:t xml:space="preserve">Leasehold / WI</x:t>
        </x:is>
      </x:c>
      <x:c r="K1406" s="527" t="inlineStr">
        <x:is>
          <x:t xml:space="preserve">OKCountyRecords official index, Roger Mills County (instrument 2015-001661); searched 06/11/2026</x:t>
        </x:is>
      </x:c>
      <x:c r="L1406" s="565" t="n"/>
      <x:c r="M1406" s="565" t="n"/>
      <x:c r="N1406" s="565" t="n"/>
      <x:c r="O1406" s="565" t="n"/>
      <x:c r="P1406" s="565" t="n"/>
      <x:c r="Q1406" s="565" t="n"/>
      <x:c r="R1406" s="565" t="n"/>
      <x:c r="S1406" s="613" t="n"/>
      <x:c r="T1406" s="565" t="n"/>
      <x:c r="U1406" s="613" t="n"/>
      <x:c r="V1406" s="565" t="n"/>
      <x:c r="W1406" s="565" t="n"/>
      <x:c r="X1406" s="565" t="n"/>
      <x:c r="Y1406" s="565" t="n"/>
      <x:c r="Z1406" s="565" t="n"/>
    </x:row>
    <x:row r="1407">
      <x:c r="A1407" s="527" t="inlineStr">
        <x:is>
          <x:t xml:space="preserve">2015-001928</x:t>
        </x:is>
      </x:c>
      <x:c r="B1407" s="527" t="n"/>
      <x:c r="C1407" s="527" t="inlineStr">
        <x:is>
          <x:t xml:space="preserve">Assignment</x:t>
        </x:is>
      </x:c>
      <x:c r="D1407" s="527" t="inlineStr">
        <x:is>
          <x:t xml:space="preserve">2297/0234</x:t>
        </x:is>
      </x:c>
      <x:c r="E1407" s="529" t="inlineStr">
        <x:is>
          <x:t xml:space="preserve">06/15/2015</x:t>
        </x:is>
      </x:c>
      <x:c r="F1407" s="529" t="n">
        <x:v>42142</x:v>
      </x:c>
      <x:c r="G1407" s="527" t="inlineStr">
        <x:is>
          <x:t xml:space="preserve">Bank of America</x:t>
        </x:is>
      </x:c>
      <x:c r="H1407" s="527" t="inlineStr">
        <x:is>
          <x:t xml:space="preserve">Deutsche Bank Trust</x:t>
        </x:is>
      </x:c>
      <x:c r="I1407" s="527" t="inlineStr">
        <x:is>
          <x:t xml:space="preserve">All of 31-12N-24W (AOL)</x:t>
        </x:is>
      </x:c>
      <x:c r="J1407" s="527" t="inlineStr">
        <x:is>
          <x:t xml:space="preserve">Leasehold / WI</x:t>
        </x:is>
      </x:c>
      <x:c r="K1407" s="527" t="inlineStr">
        <x:is>
          <x:t xml:space="preserve">OKCountyRecords official index, Roger Mills County (instrument 2015-001928); searched 06/11/2026</x:t>
        </x:is>
      </x:c>
      <x:c r="L1407" s="565" t="n"/>
      <x:c r="M1407" s="565" t="n"/>
      <x:c r="N1407" s="565" t="n"/>
      <x:c r="O1407" s="565" t="n"/>
      <x:c r="P1407" s="565" t="n"/>
      <x:c r="Q1407" s="565" t="n"/>
      <x:c r="R1407" s="565" t="n"/>
      <x:c r="S1407" s="613" t="n"/>
      <x:c r="T1407" s="565" t="n"/>
      <x:c r="U1407" s="613" t="n"/>
      <x:c r="V1407" s="565" t="n"/>
      <x:c r="W1407" s="565" t="n"/>
      <x:c r="X1407" s="565" t="n"/>
      <x:c r="Y1407" s="565" t="n"/>
      <x:c r="Z1407" s="565" t="n"/>
    </x:row>
    <x:row r="1408">
      <x:c r="A1408" s="527" t="inlineStr">
        <x:is>
          <x:t xml:space="preserve">2015-002368</x:t>
        </x:is>
      </x:c>
      <x:c r="B1408" s="527" t="n"/>
      <x:c r="C1408" s="527" t="inlineStr">
        <x:is>
          <x:t xml:space="preserve">Memorandum</x:t>
        </x:is>
      </x:c>
      <x:c r="D1408" s="527" t="inlineStr">
        <x:is>
          <x:t xml:space="preserve">2302/0507</x:t>
        </x:is>
      </x:c>
      <x:c r="E1408" s="529" t="inlineStr">
        <x:is>
          <x:t xml:space="preserve">07/22/2015</x:t>
        </x:is>
      </x:c>
      <x:c r="F1408" s="529" t="n">
        <x:v>42199</x:v>
      </x:c>
      <x:c r="G1408" s="527" t="inlineStr">
        <x:is>
          <x:t xml:space="preserve">Enervest Energy Institutional Fund Xiii Wib, LP</x:t>
        </x:is>
      </x:c>
      <x:c r="H1408" s="527" t="inlineStr">
        <x:is>
          <x:t xml:space="preserve">Enervest Energy Institutional Fund Xiii B., LP</x:t>
        </x:is>
      </x:c>
      <x:c r="I1408" s="527" t="inlineStr">
        <x:is>
          <x:t xml:space="preserve">All of 31-12N-24W (AOL)</x:t>
        </x:is>
      </x:c>
      <x:c r="J1408" s="527" t="inlineStr">
        <x:is>
          <x:t xml:space="preserve">Leasehold / WI</x:t>
        </x:is>
      </x:c>
      <x:c r="K1408" s="527" t="inlineStr">
        <x:is>
          <x:t xml:space="preserve">OKCountyRecords official index, Roger Mills County (instrument 2015-002368); searched 06/11/2026</x:t>
        </x:is>
      </x:c>
      <x:c r="L1408" s="565" t="n"/>
      <x:c r="M1408" s="565" t="n"/>
      <x:c r="N1408" s="565" t="n"/>
      <x:c r="O1408" s="565" t="n"/>
      <x:c r="P1408" s="565" t="n"/>
      <x:c r="Q1408" s="565" t="n"/>
      <x:c r="R1408" s="565" t="n"/>
      <x:c r="S1408" s="613" t="n"/>
      <x:c r="T1408" s="565" t="n"/>
      <x:c r="U1408" s="613" t="n"/>
      <x:c r="V1408" s="565" t="n"/>
      <x:c r="W1408" s="565" t="n"/>
      <x:c r="X1408" s="565" t="n"/>
      <x:c r="Y1408" s="565" t="n"/>
      <x:c r="Z1408" s="565" t="n"/>
    </x:row>
    <x:row r="1409">
      <x:c r="A1409" s="527" t="inlineStr">
        <x:is>
          <x:t xml:space="preserve">2015-002369</x:t>
        </x:is>
      </x:c>
      <x:c r="B1409" s="527" t="n"/>
      <x:c r="C1409" s="527" t="inlineStr">
        <x:is>
          <x:t xml:space="preserve">Memorandum</x:t>
        </x:is>
      </x:c>
      <x:c r="D1409" s="527" t="inlineStr">
        <x:is>
          <x:t xml:space="preserve">2302/0512</x:t>
        </x:is>
      </x:c>
      <x:c r="E1409" s="529" t="inlineStr">
        <x:is>
          <x:t xml:space="preserve">07/22/2015</x:t>
        </x:is>
      </x:c>
      <x:c r="F1409" s="529" t="n">
        <x:v>42199</x:v>
      </x:c>
      <x:c r="G1409" s="527" t="inlineStr">
        <x:is>
          <x:t xml:space="preserve">Enervest Energy Institutional Fund Xiii Wic, LP</x:t>
        </x:is>
      </x:c>
      <x:c r="H1409" s="527" t="inlineStr">
        <x:is>
          <x:t xml:space="preserve">Enervest Energy Institutional Fund Xiii C., LP</x:t>
        </x:is>
      </x:c>
      <x:c r="I1409" s="527" t="inlineStr">
        <x:is>
          <x:t xml:space="preserve">All of 31-12N-24W (AOL)</x:t>
        </x:is>
      </x:c>
      <x:c r="J1409" s="527" t="inlineStr">
        <x:is>
          <x:t xml:space="preserve">Leasehold / WI</x:t>
        </x:is>
      </x:c>
      <x:c r="K1409" s="527" t="inlineStr">
        <x:is>
          <x:t xml:space="preserve">OKCountyRecords official index, Roger Mills County (instrument 2015-002369); searched 06/11/2026</x:t>
        </x:is>
      </x:c>
      <x:c r="L1409" s="565" t="n"/>
      <x:c r="M1409" s="565" t="n"/>
      <x:c r="N1409" s="565" t="n"/>
      <x:c r="O1409" s="565" t="n"/>
      <x:c r="P1409" s="565" t="n"/>
      <x:c r="Q1409" s="565" t="n"/>
      <x:c r="R1409" s="565" t="n"/>
      <x:c r="S1409" s="613" t="n"/>
      <x:c r="T1409" s="565" t="n"/>
      <x:c r="U1409" s="613" t="n"/>
      <x:c r="V1409" s="565" t="n"/>
      <x:c r="W1409" s="565" t="n"/>
      <x:c r="X1409" s="565" t="n"/>
      <x:c r="Y1409" s="565" t="n"/>
      <x:c r="Z1409" s="565" t="n"/>
    </x:row>
    <x:row r="1410">
      <x:c r="A1410" s="527" t="inlineStr">
        <x:is>
          <x:t xml:space="preserve">2015-002747</x:t>
        </x:is>
      </x:c>
      <x:c r="B1410" s="527" t="n"/>
      <x:c r="C1410" s="527" t="inlineStr">
        <x:is>
          <x:t xml:space="preserve">Assignment</x:t>
        </x:is>
      </x:c>
      <x:c r="D1410" s="527" t="inlineStr">
        <x:is>
          <x:t xml:space="preserve">2307/0001</x:t>
        </x:is>
      </x:c>
      <x:c r="E1410" s="529" t="inlineStr">
        <x:is>
          <x:t xml:space="preserve">09/03/2015</x:t>
        </x:is>
      </x:c>
      <x:c r="F1410" s="529" t="n">
        <x:v>41821</x:v>
      </x:c>
      <x:c r="G1410" s="527" t="inlineStr">
        <x:is>
          <x:t xml:space="preserve">Chesapeake Exploration</x:t>
        </x:is>
      </x:c>
      <x:c r="H1410" s="527" t="inlineStr">
        <x:is>
          <x:t xml:space="preserve">Fourpoint Energy, LLC</x:t>
        </x:is>
      </x:c>
      <x:c r="I1410" s="527" t="inlineStr">
        <x:is>
          <x:t xml:space="preserve">All of 31-12N-24W (AOL)</x:t>
        </x:is>
      </x:c>
      <x:c r="J1410" s="527" t="inlineStr">
        <x:is>
          <x:t xml:space="preserve">Leasehold / WI</x:t>
        </x:is>
      </x:c>
      <x:c r="K1410" s="527" t="inlineStr">
        <x:is>
          <x:t xml:space="preserve">OKCountyRecords official index, Roger Mills County (instrument 2015-002747); searched 06/11/2026</x:t>
        </x:is>
      </x:c>
      <x:c r="L1410" s="565" t="n"/>
      <x:c r="M1410" s="565" t="n"/>
      <x:c r="N1410" s="565" t="n"/>
      <x:c r="O1410" s="565" t="n"/>
      <x:c r="P1410" s="565" t="n"/>
      <x:c r="Q1410" s="565" t="n"/>
      <x:c r="R1410" s="565" t="n"/>
      <x:c r="S1410" s="613" t="n"/>
      <x:c r="T1410" s="565" t="n"/>
      <x:c r="U1410" s="613" t="n"/>
      <x:c r="V1410" s="565" t="n"/>
      <x:c r="W1410" s="565" t="n"/>
      <x:c r="X1410" s="565" t="n"/>
      <x:c r="Y1410" s="565" t="n"/>
      <x:c r="Z1410" s="565" t="n"/>
    </x:row>
    <x:row r="1411">
      <x:c r="A1411" s="527" t="inlineStr">
        <x:is>
          <x:t xml:space="preserve">2015-002749</x:t>
        </x:is>
      </x:c>
      <x:c r="B1411" s="527" t="n"/>
      <x:c r="C1411" s="527" t="inlineStr">
        <x:is>
          <x:t xml:space="preserve">Assignment</x:t>
        </x:is>
      </x:c>
      <x:c r="D1411" s="527" t="inlineStr">
        <x:is>
          <x:t xml:space="preserve">2308/0023</x:t>
        </x:is>
      </x:c>
      <x:c r="E1411" s="529" t="inlineStr">
        <x:is>
          <x:t xml:space="preserve">09/03/2015</x:t>
        </x:is>
      </x:c>
      <x:c r="F1411" s="529" t="n">
        <x:v>41944</x:v>
      </x:c>
      <x:c r="G1411" s="527" t="inlineStr">
        <x:is>
          <x:t xml:space="preserve">CHK Cleveland Tonkawa</x:t>
        </x:is>
      </x:c>
      <x:c r="H1411" s="527" t="inlineStr">
        <x:is>
          <x:t xml:space="preserve">Fourpoint Energy, LLC</x:t>
        </x:is>
      </x:c>
      <x:c r="I1411" s="527" t="inlineStr">
        <x:is>
          <x:t xml:space="preserve">All of 31-12N-24W (AOL)</x:t>
        </x:is>
      </x:c>
      <x:c r="J1411" s="527" t="inlineStr">
        <x:is>
          <x:t xml:space="preserve">Leasehold / WI</x:t>
        </x:is>
      </x:c>
      <x:c r="K1411" s="527" t="inlineStr">
        <x:is>
          <x:t xml:space="preserve">OKCountyRecords official index, Roger Mills County (instrument 2015-002749); searched 06/11/2026</x:t>
        </x:is>
      </x:c>
      <x:c r="L1411" s="565" t="n"/>
      <x:c r="M1411" s="565" t="n"/>
      <x:c r="N1411" s="565" t="n"/>
      <x:c r="O1411" s="565" t="n"/>
      <x:c r="P1411" s="565" t="n"/>
      <x:c r="Q1411" s="565" t="n"/>
      <x:c r="R1411" s="565" t="n"/>
      <x:c r="S1411" s="613" t="n"/>
      <x:c r="T1411" s="565" t="n"/>
      <x:c r="U1411" s="613" t="n"/>
      <x:c r="V1411" s="565" t="n"/>
      <x:c r="W1411" s="565" t="n"/>
      <x:c r="X1411" s="565" t="n"/>
      <x:c r="Y1411" s="565" t="n"/>
      <x:c r="Z1411" s="565" t="n"/>
    </x:row>
    <x:row r="1412">
      <x:c r="A1412" s="527" t="inlineStr">
        <x:is>
          <x:t xml:space="preserve">2015-002791</x:t>
        </x:is>
      </x:c>
      <x:c r="B1412" s="527" t="n"/>
      <x:c r="C1412" s="527" t="inlineStr">
        <x:is>
          <x:t xml:space="preserve">Mineral Deed</x:t>
        </x:is>
      </x:c>
      <x:c r="D1412" s="527" t="inlineStr">
        <x:is>
          <x:t xml:space="preserve">2309/0236</x:t>
        </x:is>
      </x:c>
      <x:c r="E1412" s="529" t="inlineStr">
        <x:is>
          <x:t xml:space="preserve">09/08/2015</x:t>
        </x:is>
      </x:c>
      <x:c r="F1412" s="529" t="n">
        <x:v>42242</x:v>
      </x:c>
      <x:c r="G1412" s="527" t="inlineStr">
        <x:is>
          <x:t xml:space="preserve">Jinkee D. Acuero Fuchs,
William Jesse Fuchs</x:t>
        </x:is>
      </x:c>
      <x:c r="H1412" s="527" t="inlineStr">
        <x:is>
          <x:t xml:space="preserve">Jinkee D. Acuero Fuchs, Trustee,
Fuchs, William Jesse and Jinkee D. Acuero Trust,
William Jesse Fuchs, Trustee</x:t>
        </x:is>
      </x:c>
      <x:c r="I1412" s="527" t="inlineStr">
        <x:is>
          <x:t xml:space="preserve">NW/4 SW/4, S/2 SE/4, SW/4 NE/4 of 31-12N-24W (AOL)</x:t>
        </x:is>
      </x:c>
      <x:c r="J1412" s="527" t="inlineStr">
        <x:is>
          <x:t xml:space="preserve">Mineral</x:t>
        </x:is>
      </x:c>
      <x:c r="K1412" s="527" t="inlineStr">
        <x:is>
          <x:t xml:space="preserve">OKCountyRecords official index, Roger Mills County (instrument 2015-002791); searched 06/11/2026</x:t>
        </x:is>
      </x:c>
      <x:c r="L1412" s="565" t="n"/>
      <x:c r="M1412" s="565" t="n"/>
      <x:c r="N1412" s="565" t="n"/>
      <x:c r="O1412" s="565" t="n"/>
      <x:c r="P1412" s="565" t="n"/>
      <x:c r="Q1412" s="565" t="n"/>
      <x:c r="R1412" s="565" t="n"/>
      <x:c r="S1412" s="613" t="n"/>
      <x:c r="T1412" s="565" t="n"/>
      <x:c r="U1412" s="613" t="n"/>
      <x:c r="V1412" s="565" t="n"/>
      <x:c r="W1412" s="565" t="n"/>
      <x:c r="X1412" s="565" t="n"/>
      <x:c r="Y1412" s="565" t="n"/>
      <x:c r="Z1412" s="565" t="n"/>
    </x:row>
    <x:row r="1413">
      <x:c r="A1413" s="527" t="inlineStr">
        <x:is>
          <x:t xml:space="preserve">2015-003022</x:t>
        </x:is>
      </x:c>
      <x:c r="B1413" s="527" t="n"/>
      <x:c r="C1413" s="527" t="inlineStr">
        <x:is>
          <x:t xml:space="preserve">Correction</x:t>
        </x:is>
      </x:c>
      <x:c r="D1413" s="527" t="inlineStr">
        <x:is>
          <x:t xml:space="preserve">2311/0333</x:t>
        </x:is>
      </x:c>
      <x:c r="E1413" s="529" t="inlineStr">
        <x:is>
          <x:t xml:space="preserve">10/08/2015</x:t>
        </x:is>
      </x:c>
      <x:c r="F1413" s="529" t="n">
        <x:v>42199</x:v>
      </x:c>
      <x:c r="G1413" s="527" t="inlineStr">
        <x:is>
          <x:t xml:space="preserve">Enervest Energy Fund Xii-wib</x:t>
        </x:is>
      </x:c>
      <x:c r="H1413" s="527" t="inlineStr">
        <x:is>
          <x:t xml:space="preserve">Enervest Energy Fund Xiii-c</x:t>
        </x:is>
      </x:c>
      <x:c r="I1413" s="527" t="inlineStr">
        <x:is>
          <x:t xml:space="preserve">All of 31-12N-24W (AOL)</x:t>
        </x:is>
      </x:c>
      <x:c r="J1413" s="527" t="inlineStr">
        <x:is>
          <x:t xml:space="preserve">See instrument</x:t>
        </x:is>
      </x:c>
      <x:c r="K1413" s="527" t="inlineStr">
        <x:is>
          <x:t xml:space="preserve">OKCountyRecords official index, Roger Mills County (instrument 2015-003022); searched 06/11/2026</x:t>
        </x:is>
      </x:c>
      <x:c r="L1413" s="565" t="n"/>
      <x:c r="M1413" s="565" t="n"/>
      <x:c r="N1413" s="565" t="n"/>
      <x:c r="O1413" s="565" t="n"/>
      <x:c r="P1413" s="565" t="n"/>
      <x:c r="Q1413" s="565" t="n"/>
      <x:c r="R1413" s="565" t="n"/>
      <x:c r="S1413" s="613" t="n"/>
      <x:c r="T1413" s="565" t="n"/>
      <x:c r="U1413" s="613" t="n"/>
      <x:c r="V1413" s="565" t="n"/>
      <x:c r="W1413" s="565" t="n"/>
      <x:c r="X1413" s="565" t="n"/>
      <x:c r="Y1413" s="565" t="n"/>
      <x:c r="Z1413" s="565" t="n"/>
    </x:row>
    <x:row r="1414">
      <x:c r="A1414" s="527" t="inlineStr">
        <x:is>
          <x:t xml:space="preserve">2015-003023</x:t>
        </x:is>
      </x:c>
      <x:c r="B1414" s="527" t="n"/>
      <x:c r="C1414" s="527" t="inlineStr">
        <x:is>
          <x:t xml:space="preserve">Correction</x:t>
        </x:is>
      </x:c>
      <x:c r="D1414" s="527" t="inlineStr">
        <x:is>
          <x:t xml:space="preserve">2311/0337</x:t>
        </x:is>
      </x:c>
      <x:c r="E1414" s="529" t="inlineStr">
        <x:is>
          <x:t xml:space="preserve">10/08/2015</x:t>
        </x:is>
      </x:c>
      <x:c r="F1414" s="529" t="n">
        <x:v>42199</x:v>
      </x:c>
      <x:c r="G1414" s="527" t="inlineStr">
        <x:is>
          <x:t xml:space="preserve">Enervest Energy Fund Xii-wib</x:t>
        </x:is>
      </x:c>
      <x:c r="H1414" s="527" t="inlineStr">
        <x:is>
          <x:t xml:space="preserve">Enervest Energy Fund Xiii-b</x:t>
        </x:is>
      </x:c>
      <x:c r="I1414" s="527" t="inlineStr">
        <x:is>
          <x:t xml:space="preserve">All of 31-12N-24W (AOL)</x:t>
        </x:is>
      </x:c>
      <x:c r="J1414" s="527" t="inlineStr">
        <x:is>
          <x:t xml:space="preserve">See instrument</x:t>
        </x:is>
      </x:c>
      <x:c r="K1414" s="527" t="inlineStr">
        <x:is>
          <x:t xml:space="preserve">OKCountyRecords official index, Roger Mills County (instrument 2015-003023); searched 06/11/2026</x:t>
        </x:is>
      </x:c>
      <x:c r="L1414" s="565" t="n"/>
      <x:c r="M1414" s="565" t="n"/>
      <x:c r="N1414" s="565" t="n"/>
      <x:c r="O1414" s="565" t="n"/>
      <x:c r="P1414" s="565" t="n"/>
      <x:c r="Q1414" s="565" t="n"/>
      <x:c r="R1414" s="565" t="n"/>
      <x:c r="S1414" s="613" t="n"/>
      <x:c r="T1414" s="565" t="n"/>
      <x:c r="U1414" s="613" t="n"/>
      <x:c r="V1414" s="565" t="n"/>
      <x:c r="W1414" s="565" t="n"/>
      <x:c r="X1414" s="565" t="n"/>
      <x:c r="Y1414" s="565" t="n"/>
      <x:c r="Z1414" s="565" t="n"/>
    </x:row>
    <x:row r="1415">
      <x:c r="A1415" s="527" t="inlineStr">
        <x:is>
          <x:t xml:space="preserve">2015-003284</x:t>
        </x:is>
      </x:c>
      <x:c r="B1415" s="527" t="n"/>
      <x:c r="C1415" s="527" t="inlineStr">
        <x:is>
          <x:t xml:space="preserve">Mineral Deed</x:t>
        </x:is>
      </x:c>
      <x:c r="D1415" s="527" t="inlineStr">
        <x:is>
          <x:t xml:space="preserve">2315/0042</x:t>
        </x:is>
      </x:c>
      <x:c r="E1415" s="529" t="inlineStr">
        <x:is>
          <x:t xml:space="preserve">11/05/2015</x:t>
        </x:is>
      </x:c>
      <x:c r="F1415" s="529" t="n">
        <x:v>42305</x:v>
      </x:c>
      <x:c r="G1415" s="527" t="inlineStr">
        <x:is>
          <x:t xml:space="preserve">Lighthouse Point, LLC</x:t>
        </x:is>
      </x:c>
      <x:c r="H1415" s="527" t="inlineStr">
        <x:is>
          <x:t xml:space="preserve">Greystone Energy</x:t>
        </x:is>
      </x:c>
      <x:c r="I1415" s="527" t="inlineStr">
        <x:is>
          <x:t xml:space="preserve">NW/4 SE/4, S/2 SE/4, SW/4 NE/4 of 31-12N-24W (AOL)</x:t>
        </x:is>
      </x:c>
      <x:c r="J1415" s="527" t="inlineStr">
        <x:is>
          <x:t xml:space="preserve">Mineral</x:t>
        </x:is>
      </x:c>
      <x:c r="K1415" s="527" t="inlineStr">
        <x:is>
          <x:t xml:space="preserve">OKCountyRecords official index, Roger Mills County (instrument 2015-003284); searched 06/11/2026</x:t>
        </x:is>
      </x:c>
      <x:c r="L1415" s="565" t="n"/>
      <x:c r="M1415" s="565" t="n"/>
      <x:c r="N1415" s="565" t="n"/>
      <x:c r="O1415" s="565" t="n"/>
      <x:c r="P1415" s="565" t="n"/>
      <x:c r="Q1415" s="565" t="n"/>
      <x:c r="R1415" s="565" t="n"/>
      <x:c r="S1415" s="613" t="n"/>
      <x:c r="T1415" s="565" t="n"/>
      <x:c r="U1415" s="613" t="n"/>
      <x:c r="V1415" s="565" t="n"/>
      <x:c r="W1415" s="565" t="n"/>
      <x:c r="X1415" s="565" t="n"/>
      <x:c r="Y1415" s="565" t="n"/>
      <x:c r="Z1415" s="565" t="n"/>
    </x:row>
    <x:row r="1416">
      <x:c r="A1416" s="527" t="inlineStr">
        <x:is>
          <x:t xml:space="preserve">2016-001244</x:t>
        </x:is>
      </x:c>
      <x:c r="B1416" s="527" t="n"/>
      <x:c r="C1416" s="527" t="inlineStr">
        <x:is>
          <x:t xml:space="preserve">Memorandum</x:t>
        </x:is>
      </x:c>
      <x:c r="D1416" s="527" t="inlineStr">
        <x:is>
          <x:t xml:space="preserve">2332/0223</x:t>
        </x:is>
      </x:c>
      <x:c r="E1416" s="529" t="inlineStr">
        <x:is>
          <x:t xml:space="preserve">05/23/2016</x:t>
        </x:is>
      </x:c>
      <x:c r="F1416" s="529" t="n">
        <x:v>42255</x:v>
      </x:c>
      <x:c r="G1416" s="527" t="inlineStr">
        <x:is>
          <x:t xml:space="preserve">Jesse William Fuchs,
Jinkee D. Acuero Fuchs</x:t>
        </x:is>
      </x:c>
      <x:c r="H1416" s="527" t="inlineStr">
        <x:is>
          <x:t xml:space="preserve">Fuchs, Jesse William Trust,
Fuchs, Jinkee D. Acuero Trust</x:t>
        </x:is>
      </x:c>
      <x:c r="I1416" s="527" t="inlineStr">
        <x:is>
          <x:t xml:space="preserve">NW/4 SW/4, S/2 SE/4, SW/4 NE/4 of 31-12N-24W (AOL)</x:t>
        </x:is>
      </x:c>
      <x:c r="J1416" s="527" t="inlineStr">
        <x:is>
          <x:t xml:space="preserve">Leasehold / WI</x:t>
        </x:is>
      </x:c>
      <x:c r="K1416" s="527" t="inlineStr">
        <x:is>
          <x:t xml:space="preserve">OKCountyRecords official index, Roger Mills County (instrument 2016-001244); searched 06/11/2026</x:t>
        </x:is>
      </x:c>
      <x:c r="L1416" s="565" t="n"/>
      <x:c r="M1416" s="565" t="n"/>
      <x:c r="N1416" s="565" t="n"/>
      <x:c r="O1416" s="565" t="n"/>
      <x:c r="P1416" s="565" t="n"/>
      <x:c r="Q1416" s="565" t="n"/>
      <x:c r="R1416" s="565" t="n"/>
      <x:c r="S1416" s="613" t="n"/>
      <x:c r="T1416" s="565" t="n"/>
      <x:c r="U1416" s="613" t="n"/>
      <x:c r="V1416" s="565" t="n"/>
      <x:c r="W1416" s="565" t="n"/>
      <x:c r="X1416" s="565" t="n"/>
      <x:c r="Y1416" s="565" t="n"/>
      <x:c r="Z1416" s="565" t="n"/>
    </x:row>
    <x:row r="1417">
      <x:c r="A1417" s="527" t="inlineStr">
        <x:is>
          <x:t xml:space="preserve">2016-001589</x:t>
        </x:is>
      </x:c>
      <x:c r="B1417" s="527" t="n"/>
      <x:c r="C1417" s="527" t="inlineStr">
        <x:is>
          <x:t xml:space="preserve">Quit Claim Deed</x:t>
        </x:is>
      </x:c>
      <x:c r="D1417" s="527" t="inlineStr">
        <x:is>
          <x:t xml:space="preserve">2337/0427</x:t>
        </x:is>
      </x:c>
      <x:c r="E1417" s="529" t="inlineStr">
        <x:is>
          <x:t xml:space="preserve">07/05/2016</x:t>
        </x:is>
      </x:c>
      <x:c r="F1417" s="529" t="n">
        <x:v>42547</x:v>
      </x:c>
      <x:c r="G1417" s="527" t="inlineStr">
        <x:is>
          <x:t xml:space="preserve">Bryan Living Trust,
Mariyln K. Bryan, Trustee,
Norman B. Bryan, Trustee</x:t>
        </x:is>
      </x:c>
      <x:c r="H1417" s="527" t="inlineStr">
        <x:is>
          <x:t xml:space="preserve">Katie C. Lucas,
Matthew B. Lucas</x:t>
        </x:is>
      </x:c>
      <x:c r="I1417" s="527" t="inlineStr">
        <x:is>
          <x:t xml:space="preserve">SE/4 SW/4, Lots 4 of 31-12N-24W</x:t>
        </x:is>
      </x:c>
      <x:c r="J1417" s="527" t="inlineStr">
        <x:is>
          <x:t xml:space="preserve">Fee / as stated</x:t>
        </x:is>
      </x:c>
      <x:c r="K1417" s="527" t="inlineStr">
        <x:is>
          <x:t xml:space="preserve">OKCountyRecords official index, Roger Mills County (instrument 2016-001589); searched 06/11/2026</x:t>
        </x:is>
      </x:c>
      <x:c r="L1417" s="565" t="n"/>
      <x:c r="M1417" s="565" t="n"/>
      <x:c r="N1417" s="565" t="n"/>
      <x:c r="O1417" s="565" t="n"/>
      <x:c r="P1417" s="565" t="n"/>
      <x:c r="Q1417" s="565" t="n"/>
      <x:c r="R1417" s="565" t="n"/>
      <x:c r="S1417" s="613" t="n"/>
      <x:c r="T1417" s="565" t="n"/>
      <x:c r="U1417" s="613" t="n"/>
      <x:c r="V1417" s="565" t="n"/>
      <x:c r="W1417" s="565" t="n"/>
      <x:c r="X1417" s="565" t="n"/>
      <x:c r="Y1417" s="565" t="n"/>
      <x:c r="Z1417" s="565" t="n"/>
    </x:row>
    <x:row r="1418">
      <x:c r="A1418" s="527" t="inlineStr">
        <x:is>
          <x:t xml:space="preserve">2016-001882</x:t>
        </x:is>
      </x:c>
      <x:c r="B1418" s="527" t="n"/>
      <x:c r="C1418" s="527" t="inlineStr">
        <x:is>
          <x:t xml:space="preserve">Quit Claim Mineral Deed</x:t>
        </x:is>
      </x:c>
      <x:c r="D1418" s="527" t="inlineStr">
        <x:is>
          <x:t xml:space="preserve">2342/0219</x:t>
        </x:is>
      </x:c>
      <x:c r="E1418" s="529" t="inlineStr">
        <x:is>
          <x:t xml:space="preserve">08/11/2016</x:t>
        </x:is>
      </x:c>
      <x:c r="F1418" s="529" t="n">
        <x:v>42370</x:v>
      </x:c>
      <x:c r="G1418" s="527" t="inlineStr">
        <x:is>
          <x:t xml:space="preserve">Devon Energy Production Co</x:t>
        </x:is>
      </x:c>
      <x:c r="H1418" s="527" t="inlineStr">
        <x:is>
          <x:t xml:space="preserve">Tecolote Holdings</x:t>
        </x:is>
      </x:c>
      <x:c r="I1418" s="527" t="inlineStr">
        <x:is>
          <x:t xml:space="preserve">N/2 NE/4, W/2 NW/4 of 31-12N-24W (AOL)</x:t>
        </x:is>
      </x:c>
      <x:c r="J1418" s="527" t="inlineStr">
        <x:is>
          <x:t xml:space="preserve">Mineral</x:t>
        </x:is>
      </x:c>
      <x:c r="K1418" s="527" t="inlineStr">
        <x:is>
          <x:t xml:space="preserve">OKCountyRecords official index, Roger Mills County (instrument 2016-001882); searched 06/11/2026</x:t>
        </x:is>
      </x:c>
      <x:c r="L1418" s="565" t="n"/>
      <x:c r="M1418" s="565" t="n"/>
      <x:c r="N1418" s="565" t="n"/>
      <x:c r="O1418" s="565" t="n"/>
      <x:c r="P1418" s="565" t="n"/>
      <x:c r="Q1418" s="565" t="n"/>
      <x:c r="R1418" s="565" t="n"/>
      <x:c r="S1418" s="613" t="n"/>
      <x:c r="T1418" s="565" t="n"/>
      <x:c r="U1418" s="613" t="n"/>
      <x:c r="V1418" s="565" t="n"/>
      <x:c r="W1418" s="565" t="n"/>
      <x:c r="X1418" s="565" t="n"/>
      <x:c r="Y1418" s="565" t="n"/>
      <x:c r="Z1418" s="565" t="n"/>
    </x:row>
    <x:row r="1419">
      <x:c r="A1419" s="527" t="inlineStr">
        <x:is>
          <x:t xml:space="preserve">2016-001883</x:t>
        </x:is>
      </x:c>
      <x:c r="B1419" s="527" t="n"/>
      <x:c r="C1419" s="527" t="inlineStr">
        <x:is>
          <x:t xml:space="preserve">Assignment</x:t>
        </x:is>
      </x:c>
      <x:c r="D1419" s="527" t="inlineStr">
        <x:is>
          <x:t xml:space="preserve">2343/0001</x:t>
        </x:is>
      </x:c>
      <x:c r="E1419" s="529" t="inlineStr">
        <x:is>
          <x:t xml:space="preserve">08/11/2016</x:t>
        </x:is>
      </x:c>
      <x:c r="F1419" s="529" t="n">
        <x:v>42370</x:v>
      </x:c>
      <x:c r="G1419" s="527" t="inlineStr">
        <x:is>
          <x:t xml:space="preserve">Devon Energy Production Co</x:t>
        </x:is>
      </x:c>
      <x:c r="H1419" s="527" t="inlineStr">
        <x:is>
          <x:t xml:space="preserve">Tecolote Holdings, LLC</x:t>
        </x:is>
      </x:c>
      <x:c r="I1419" s="527" t="inlineStr">
        <x:is>
          <x:t xml:space="preserve">All of 31-12N-24W (AOL)</x:t>
        </x:is>
      </x:c>
      <x:c r="J1419" s="527" t="inlineStr">
        <x:is>
          <x:t xml:space="preserve">Leasehold / WI</x:t>
        </x:is>
      </x:c>
      <x:c r="K1419" s="527" t="inlineStr">
        <x:is>
          <x:t xml:space="preserve">OKCountyRecords official index, Roger Mills County (instrument 2016-001883); searched 06/11/2026</x:t>
        </x:is>
      </x:c>
      <x:c r="L1419" s="565" t="n"/>
      <x:c r="M1419" s="565" t="n"/>
      <x:c r="N1419" s="565" t="n"/>
      <x:c r="O1419" s="565" t="n"/>
      <x:c r="P1419" s="565" t="n"/>
      <x:c r="Q1419" s="565" t="n"/>
      <x:c r="R1419" s="565" t="n"/>
      <x:c r="S1419" s="613" t="n"/>
      <x:c r="T1419" s="565" t="n"/>
      <x:c r="U1419" s="613" t="n"/>
      <x:c r="V1419" s="565" t="n"/>
      <x:c r="W1419" s="565" t="n"/>
      <x:c r="X1419" s="565" t="n"/>
      <x:c r="Y1419" s="565" t="n"/>
      <x:c r="Z1419" s="565" t="n"/>
    </x:row>
    <x:row r="1420">
      <x:c r="A1420" s="527" t="inlineStr">
        <x:is>
          <x:t xml:space="preserve">2016-002265</x:t>
        </x:is>
      </x:c>
      <x:c r="B1420" s="527" t="n"/>
      <x:c r="C1420" s="527" t="inlineStr">
        <x:is>
          <x:t xml:space="preserve">Certificate</x:t>
        </x:is>
      </x:c>
      <x:c r="D1420" s="527" t="inlineStr">
        <x:is>
          <x:t xml:space="preserve">2348/0288</x:t>
        </x:is>
      </x:c>
      <x:c r="E1420" s="529" t="inlineStr">
        <x:is>
          <x:t xml:space="preserve">09/29/2016</x:t>
        </x:is>
      </x:c>
      <x:c r="F1420" s="529" t="n">
        <x:v>36389</x:v>
      </x:c>
      <x:c r="G1420" s="527" t="inlineStr">
        <x:is>
          <x:t xml:space="preserve">Bryan Living Trust,
Marilyn K. Bryan, Trustee,
Norman B. Bryan, Trustee</x:t>
        </x:is>
      </x:c>
      <x:c r="H1420" s="527" t="inlineStr">
        <x:is>
          <x:t xml:space="preserve">The Public</x:t>
        </x:is>
      </x:c>
      <x:c r="I1420" s="527" t="inlineStr">
        <x:is>
          <x:t xml:space="preserve">SE/4 SW/4, Lots 4 of 31-12N-24W (AOL)</x:t>
        </x:is>
      </x:c>
      <x:c r="J1420" s="527" t="inlineStr">
        <x:is>
          <x:t xml:space="preserve">See instrument</x:t>
        </x:is>
      </x:c>
      <x:c r="K1420" s="527" t="inlineStr">
        <x:is>
          <x:t xml:space="preserve">OKCountyRecords official index, Roger Mills County (instrument 2016-002265); searched 06/11/2026</x:t>
        </x:is>
      </x:c>
      <x:c r="L1420" s="565" t="n"/>
      <x:c r="M1420" s="565" t="n"/>
      <x:c r="N1420" s="565" t="n"/>
      <x:c r="O1420" s="565" t="n"/>
      <x:c r="P1420" s="565" t="n"/>
      <x:c r="Q1420" s="565" t="n"/>
      <x:c r="R1420" s="565" t="n"/>
      <x:c r="S1420" s="613" t="n"/>
      <x:c r="T1420" s="565" t="n"/>
      <x:c r="U1420" s="613" t="n"/>
      <x:c r="V1420" s="565" t="n"/>
      <x:c r="W1420" s="565" t="n"/>
      <x:c r="X1420" s="565" t="n"/>
      <x:c r="Y1420" s="565" t="n"/>
      <x:c r="Z1420" s="565" t="n"/>
    </x:row>
    <x:row r="1421">
      <x:c r="A1421" s="527" t="inlineStr">
        <x:is>
          <x:t xml:space="preserve">2016-002793</x:t>
        </x:is>
      </x:c>
      <x:c r="B1421" s="527" t="n">
        <x:v>44</x:v>
      </x:c>
      <x:c r="C1421" s="527" t="inlineStr">
        <x:is>
          <x:t xml:space="preserve">Assignment</x:t>
        </x:is>
      </x:c>
      <x:c r="D1421" s="527" t="inlineStr">
        <x:is>
          <x:t xml:space="preserve">2354/0229</x:t>
        </x:is>
      </x:c>
      <x:c r="E1421" s="529" t="inlineStr">
        <x:is>
          <x:t xml:space="preserve">12/15/2016</x:t>
        </x:is>
      </x:c>
      <x:c r="F1421" s="529" t="n">
        <x:v>42673</x:v>
      </x:c>
      <x:c r="G1421" s="527" t="inlineStr">
        <x:is>
          <x:t xml:space="preserve">Hefner Company, Inc.</x:t>
        </x:is>
      </x:c>
      <x:c r="H1421" s="527" t="inlineStr">
        <x:is>
          <x:t xml:space="preserve">Cheyenne Resources, LLC</x:t>
        </x:is>
      </x:c>
      <x:c r="I1421" s="527" t="inlineStr">
        <x:is>
          <x:t xml:space="preserve">All of 31-12N-24W (AOL)</x:t>
        </x:is>
      </x:c>
      <x:c r="J1421" s="527" t="inlineStr">
        <x:is>
          <x:t xml:space="preserve">Leasehold / WI</x:t>
        </x:is>
      </x:c>
      <x:c r="K1421" s="527" t="inlineStr">
        <x:is>
          <x:t xml:space="preserve">OKCountyRecords official index, Roger Mills County (instrument 2016-002793); searched 06/11/2026</x:t>
        </x:is>
      </x:c>
      <x:c r="L1421" s="565" t="n"/>
      <x:c r="M1421" s="565" t="n"/>
      <x:c r="N1421" s="565" t="n"/>
      <x:c r="O1421" s="565" t="n"/>
      <x:c r="P1421" s="565" t="n"/>
      <x:c r="Q1421" s="565" t="n"/>
      <x:c r="R1421" s="565" t="n"/>
      <x:c r="S1421" s="613" t="n"/>
      <x:c r="T1421" s="565" t="n"/>
      <x:c r="U1421" s="613" t="n"/>
      <x:c r="V1421" s="565" t="n"/>
      <x:c r="W1421" s="565" t="n"/>
      <x:c r="X1421" s="565" t="n"/>
      <x:c r="Y1421" s="565" t="n"/>
      <x:c r="Z1421" s="565" t="n"/>
    </x:row>
    <x:row r="1422">
      <x:c r="A1422" s="527" t="inlineStr">
        <x:is>
          <x:t xml:space="preserve">2017-001880</x:t>
        </x:is>
      </x:c>
      <x:c r="B1422" s="527" t="n"/>
      <x:c r="C1422" s="527" t="inlineStr">
        <x:is>
          <x:t xml:space="preserve">Mineral Deed</x:t>
        </x:is>
      </x:c>
      <x:c r="D1422" s="527" t="inlineStr">
        <x:is>
          <x:t xml:space="preserve">2376/0100</x:t>
        </x:is>
      </x:c>
      <x:c r="E1422" s="529" t="inlineStr">
        <x:is>
          <x:t xml:space="preserve">09/18/2017</x:t>
        </x:is>
      </x:c>
      <x:c r="F1422" s="529" t="n">
        <x:v>42985</x:v>
      </x:c>
      <x:c r="G1422" s="527" t="inlineStr">
        <x:is>
          <x:t xml:space="preserve">Jon N. Wilkerson</x:t>
        </x:is>
      </x:c>
      <x:c r="H1422" s="527" t="inlineStr">
        <x:is>
          <x:t xml:space="preserve">Tamara K. Wilkerson</x:t>
        </x:is>
      </x:c>
      <x:c r="I1422" s="527" t="inlineStr">
        <x:is>
          <x:t xml:space="preserve">All of 31-12N-24W (AOL)</x:t>
        </x:is>
      </x:c>
      <x:c r="J1422" s="527" t="inlineStr">
        <x:is>
          <x:t xml:space="preserve">Mineral</x:t>
        </x:is>
      </x:c>
      <x:c r="K1422" s="527" t="inlineStr">
        <x:is>
          <x:t xml:space="preserve">OKCountyRecords official index, Roger Mills County (instrument 2017-001880); searched 06/11/2026</x:t>
        </x:is>
      </x:c>
      <x:c r="L1422" s="565" t="n"/>
      <x:c r="M1422" s="565" t="n"/>
      <x:c r="N1422" s="565" t="n"/>
      <x:c r="O1422" s="565" t="n"/>
      <x:c r="P1422" s="565" t="n"/>
      <x:c r="Q1422" s="565" t="n"/>
      <x:c r="R1422" s="565" t="n"/>
      <x:c r="S1422" s="613" t="n"/>
      <x:c r="T1422" s="565" t="n"/>
      <x:c r="U1422" s="613" t="n"/>
      <x:c r="V1422" s="565" t="n"/>
      <x:c r="W1422" s="565" t="n"/>
      <x:c r="X1422" s="565" t="n"/>
      <x:c r="Y1422" s="565" t="n"/>
      <x:c r="Z1422" s="565" t="n"/>
    </x:row>
    <x:row r="1423">
      <x:c r="A1423" s="527" t="inlineStr">
        <x:is>
          <x:t xml:space="preserve">2017-002694</x:t>
        </x:is>
      </x:c>
      <x:c r="B1423" s="527" t="n"/>
      <x:c r="C1423" s="527" t="inlineStr">
        <x:is>
          <x:t xml:space="preserve">Conveyance</x:t>
        </x:is>
      </x:c>
      <x:c r="D1423" s="527" t="inlineStr">
        <x:is>
          <x:t xml:space="preserve">2383/0169</x:t>
        </x:is>
      </x:c>
      <x:c r="E1423" s="529" t="inlineStr">
        <x:is>
          <x:t xml:space="preserve">12/19/2017</x:t>
        </x:is>
      </x:c>
      <x:c r="F1423" s="529" t="n">
        <x:v>43070</x:v>
      </x:c>
      <x:c r="G1423" s="527" t="inlineStr">
        <x:is>
          <x:t xml:space="preserve">Tecolote Holdings, LLC</x:t>
        </x:is>
      </x:c>
      <x:c r="H1423" s="527" t="inlineStr">
        <x:is>
          <x:t xml:space="preserve">Tecolote Royalty, LP</x:t>
        </x:is>
      </x:c>
      <x:c r="I1423" s="527" t="inlineStr">
        <x:is>
          <x:t xml:space="preserve">All of 31-12N-24W (AOL)</x:t>
        </x:is>
      </x:c>
      <x:c r="J1423" s="527" t="inlineStr">
        <x:is>
          <x:t xml:space="preserve">Fee / as stated</x:t>
        </x:is>
      </x:c>
      <x:c r="K1423" s="527" t="inlineStr">
        <x:is>
          <x:t xml:space="preserve">OKCountyRecords official index, Roger Mills County (instrument 2017-002694); searched 06/11/2026</x:t>
        </x:is>
      </x:c>
      <x:c r="L1423" s="565" t="n"/>
      <x:c r="M1423" s="565" t="n"/>
      <x:c r="N1423" s="565" t="n"/>
      <x:c r="O1423" s="565" t="n"/>
      <x:c r="P1423" s="565" t="n"/>
      <x:c r="Q1423" s="565" t="n"/>
      <x:c r="R1423" s="565" t="n"/>
      <x:c r="S1423" s="613" t="n"/>
      <x:c r="T1423" s="565" t="n"/>
      <x:c r="U1423" s="613" t="n"/>
      <x:c r="V1423" s="565" t="n"/>
      <x:c r="W1423" s="565" t="n"/>
      <x:c r="X1423" s="565" t="n"/>
      <x:c r="Y1423" s="565" t="n"/>
      <x:c r="Z1423" s="565" t="n"/>
    </x:row>
    <x:row r="1424">
      <x:c r="A1424" s="527" t="inlineStr">
        <x:is>
          <x:t xml:space="preserve">2018-001569</x:t>
        </x:is>
      </x:c>
      <x:c r="B1424" s="527" t="n"/>
      <x:c r="C1424" s="527" t="inlineStr">
        <x:is>
          <x:t xml:space="preserve">Affidavit</x:t>
        </x:is>
      </x:c>
      <x:c r="D1424" s="527" t="inlineStr">
        <x:is>
          <x:t xml:space="preserve">2394/0591</x:t>
        </x:is>
      </x:c>
      <x:c r="E1424" s="529" t="inlineStr">
        <x:is>
          <x:t xml:space="preserve">06/21/2018</x:t>
        </x:is>
      </x:c>
      <x:c r="F1424" s="529" t="n">
        <x:v>43249</x:v>
      </x:c>
      <x:c r="G1424" s="527" t="inlineStr">
        <x:is>
          <x:t xml:space="preserve">Fortune Natural Resources Corp,
Robin D. Vp McGuire</x:t>
        </x:is>
      </x:c>
      <x:c r="H1424" s="527" t="inlineStr">
        <x:is>
          <x:t xml:space="preserve">The Public</x:t>
        </x:is>
      </x:c>
      <x:c r="I1424" s="527" t="inlineStr">
        <x:is>
          <x:t xml:space="preserve">All of 31-12N-24W (AOL)</x:t>
        </x:is>
      </x:c>
      <x:c r="J1424" s="527" t="inlineStr">
        <x:is>
          <x:t xml:space="preserve">See instrument</x:t>
        </x:is>
      </x:c>
      <x:c r="K1424" s="527" t="inlineStr">
        <x:is>
          <x:t xml:space="preserve">OKCountyRecords official index, Roger Mills County (instrument 2018-001569); searched 06/11/2026</x:t>
        </x:is>
      </x:c>
      <x:c r="L1424" s="565" t="n"/>
      <x:c r="M1424" s="565" t="n"/>
      <x:c r="N1424" s="565" t="n"/>
      <x:c r="O1424" s="565" t="n"/>
      <x:c r="P1424" s="565" t="n"/>
      <x:c r="Q1424" s="565" t="n"/>
      <x:c r="R1424" s="565" t="n"/>
      <x:c r="S1424" s="613" t="n"/>
      <x:c r="T1424" s="565" t="n"/>
      <x:c r="U1424" s="613" t="n"/>
      <x:c r="V1424" s="565" t="n"/>
      <x:c r="W1424" s="565" t="n"/>
      <x:c r="X1424" s="565" t="n"/>
      <x:c r="Y1424" s="565" t="n"/>
      <x:c r="Z1424" s="565" t="n"/>
    </x:row>
    <x:row r="1425">
      <x:c r="A1425" s="527" t="inlineStr">
        <x:is>
          <x:t xml:space="preserve">2018-002049</x:t>
        </x:is>
      </x:c>
      <x:c r="B1425" s="527" t="n">
        <x:v>48</x:v>
      </x:c>
      <x:c r="C1425" s="527" t="inlineStr">
        <x:is>
          <x:t xml:space="preserve">Memorandum</x:t>
        </x:is>
      </x:c>
      <x:c r="D1425" s="527" t="inlineStr">
        <x:is>
          <x:t xml:space="preserve">2399/0188</x:t>
        </x:is>
      </x:c>
      <x:c r="E1425" s="529" t="inlineStr">
        <x:is>
          <x:t xml:space="preserve">08/15/2018</x:t>
        </x:is>
      </x:c>
      <x:c r="F1425" s="529" t="n">
        <x:v>43314</x:v>
      </x:c>
      <x:c r="G1425" s="527" t="inlineStr">
        <x:is>
          <x:t xml:space="preserve">Enervest Energy Institutional Fund Xiii A.,
Enervest Energy Institutional Fund Xiii B.,
Enervest Energy Institutional Fund Xiii C.,
Enervest Energy Institutional Fund Xiii Wib,
Enervest Energy Institutional Fund Xiii Wic,
Enervest Institutional Gp,
Enervest, Ltd.,
Enervest Operating,
Enervest Preferred Holdings Xiii</x:t>
        </x:is>
      </x:c>
      <x:c r="H1425" s="527" t="inlineStr">
        <x:is>
          <x:t xml:space="preserve">The Public</x:t>
        </x:is>
      </x:c>
      <x:c r="I1425" s="527" t="inlineStr">
        <x:is>
          <x:t xml:space="preserve">All of 31-12N-24W (AOL)</x:t>
        </x:is>
      </x:c>
      <x:c r="J1425" s="527" t="inlineStr">
        <x:is>
          <x:t xml:space="preserve">Leasehold / WI</x:t>
        </x:is>
      </x:c>
      <x:c r="K1425" s="527" t="inlineStr">
        <x:is>
          <x:t xml:space="preserve">OKCountyRecords official index, Roger Mills County (instrument 2018-002049); searched 06/11/2026</x:t>
        </x:is>
      </x:c>
      <x:c r="L1425" s="565" t="n"/>
      <x:c r="M1425" s="565" t="n"/>
      <x:c r="N1425" s="565" t="n"/>
      <x:c r="O1425" s="565" t="n"/>
      <x:c r="P1425" s="565" t="n"/>
      <x:c r="Q1425" s="565" t="n"/>
      <x:c r="R1425" s="565" t="n"/>
      <x:c r="S1425" s="613" t="n"/>
      <x:c r="T1425" s="565" t="n"/>
      <x:c r="U1425" s="613" t="n"/>
      <x:c r="V1425" s="565" t="n"/>
      <x:c r="W1425" s="565" t="n"/>
      <x:c r="X1425" s="565" t="n"/>
      <x:c r="Y1425" s="565" t="n"/>
      <x:c r="Z1425" s="565" t="n"/>
    </x:row>
    <x:row r="1426">
      <x:c r="A1426" s="527" t="inlineStr">
        <x:is>
          <x:t xml:space="preserve">2018-002306</x:t>
        </x:is>
      </x:c>
      <x:c r="B1426" s="527" t="n"/>
      <x:c r="C1426" s="527" t="inlineStr">
        <x:is>
          <x:t xml:space="preserve">Assignment</x:t>
        </x:is>
      </x:c>
      <x:c r="D1426" s="527" t="inlineStr">
        <x:is>
          <x:t xml:space="preserve">2401/0527</x:t>
        </x:is>
      </x:c>
      <x:c r="E1426" s="529" t="inlineStr">
        <x:is>
          <x:t xml:space="preserve">09/07/2018</x:t>
        </x:is>
      </x:c>
      <x:c r="F1426" s="529" t="n">
        <x:v>43291</x:v>
      </x:c>
      <x:c r="G1426" s="527" t="inlineStr">
        <x:is>
          <x:t xml:space="preserve">Elk City II Wind</x:t>
        </x:is>
      </x:c>
      <x:c r="H1426" s="527" t="inlineStr">
        <x:is>
          <x:t xml:space="preserve">Elk City Renewables II</x:t>
        </x:is>
      </x:c>
      <x:c r="I1426" s="527" t="inlineStr">
        <x:is>
          <x:t xml:space="preserve">N/2 NE/4, NE/4 SE/4, SE/4 NE/4 of 31-12N-24W (AOL)</x:t>
        </x:is>
      </x:c>
      <x:c r="J1426" s="527" t="inlineStr">
        <x:is>
          <x:t xml:space="preserve">Leasehold / WI</x:t>
        </x:is>
      </x:c>
      <x:c r="K1426" s="527" t="inlineStr">
        <x:is>
          <x:t xml:space="preserve">OKCountyRecords official index, Roger Mills County (instrument 2018-002306); searched 06/11/2026</x:t>
        </x:is>
      </x:c>
      <x:c r="L1426" s="565" t="n"/>
      <x:c r="M1426" s="565" t="n"/>
      <x:c r="N1426" s="565" t="n"/>
      <x:c r="O1426" s="565" t="n"/>
      <x:c r="P1426" s="565" t="n"/>
      <x:c r="Q1426" s="565" t="n"/>
      <x:c r="R1426" s="565" t="n"/>
      <x:c r="S1426" s="613" t="n"/>
      <x:c r="T1426" s="565" t="n"/>
      <x:c r="U1426" s="613" t="n"/>
      <x:c r="V1426" s="565" t="n"/>
      <x:c r="W1426" s="565" t="n"/>
      <x:c r="X1426" s="565" t="n"/>
      <x:c r="Y1426" s="565" t="n"/>
      <x:c r="Z1426" s="565" t="n"/>
    </x:row>
    <x:row r="1427">
      <x:c r="A1427" s="527" t="inlineStr">
        <x:is>
          <x:t xml:space="preserve">2018-002786</x:t>
        </x:is>
      </x:c>
      <x:c r="B1427" s="527" t="n"/>
      <x:c r="C1427" s="527" t="inlineStr">
        <x:is>
          <x:t xml:space="preserve">Mineral Deed</x:t>
        </x:is>
      </x:c>
      <x:c r="D1427" s="527" t="inlineStr">
        <x:is>
          <x:t xml:space="preserve">2407/0124</x:t>
        </x:is>
      </x:c>
      <x:c r="E1427" s="529" t="inlineStr">
        <x:is>
          <x:t xml:space="preserve">10/19/2018</x:t>
        </x:is>
      </x:c>
      <x:c r="F1427" s="529" t="n">
        <x:v>43281</x:v>
      </x:c>
      <x:c r="G1427" s="527" t="inlineStr">
        <x:is>
          <x:t xml:space="preserve">BHP Billiton Petroleum,
BHP Billiton Petroleum Properties,
Kcs Resources</x:t>
        </x:is>
      </x:c>
      <x:c r="H1427" s="527" t="inlineStr">
        <x:is>
          <x:t xml:space="preserve">BHP Billiton Petroleum</x:t>
        </x:is>
      </x:c>
      <x:c r="I1427" s="527" t="inlineStr">
        <x:is>
          <x:t xml:space="preserve">All of 31-12N-24W (AOL)</x:t>
        </x:is>
      </x:c>
      <x:c r="J1427" s="527" t="inlineStr">
        <x:is>
          <x:t xml:space="preserve">Mineral</x:t>
        </x:is>
      </x:c>
      <x:c r="K1427" s="527" t="inlineStr">
        <x:is>
          <x:t xml:space="preserve">OKCountyRecords official index, Roger Mills County (instrument 2018-002786); searched 06/11/2026</x:t>
        </x:is>
      </x:c>
      <x:c r="L1427" s="565" t="n"/>
      <x:c r="M1427" s="565" t="n"/>
      <x:c r="N1427" s="565" t="n"/>
      <x:c r="O1427" s="565" t="n"/>
      <x:c r="P1427" s="565" t="n"/>
      <x:c r="Q1427" s="565" t="n"/>
      <x:c r="R1427" s="565" t="n"/>
      <x:c r="S1427" s="613" t="n"/>
      <x:c r="T1427" s="565" t="n"/>
      <x:c r="U1427" s="613" t="n"/>
      <x:c r="V1427" s="565" t="n"/>
      <x:c r="W1427" s="565" t="n"/>
      <x:c r="X1427" s="565" t="n"/>
      <x:c r="Y1427" s="565" t="n"/>
      <x:c r="Z1427" s="565" t="n"/>
    </x:row>
    <x:row r="1428">
      <x:c r="A1428" s="527" t="inlineStr">
        <x:is>
          <x:t xml:space="preserve">2019-001747</x:t>
        </x:is>
      </x:c>
      <x:c r="B1428" s="527" t="n"/>
      <x:c r="C1428" s="527" t="inlineStr">
        <x:is>
          <x:t xml:space="preserve">Mineral Deed</x:t>
        </x:is>
      </x:c>
      <x:c r="D1428" s="527" t="inlineStr">
        <x:is>
          <x:t xml:space="preserve">2425/0225</x:t>
        </x:is>
      </x:c>
      <x:c r="E1428" s="529" t="inlineStr">
        <x:is>
          <x:t xml:space="preserve">08/16/2019</x:t>
        </x:is>
      </x:c>
      <x:c r="F1428" s="529" t="n">
        <x:v>43423</x:v>
      </x:c>
      <x:c r="G1428" s="527" t="inlineStr">
        <x:is>
          <x:t xml:space="preserve">Jonathan E. Jensen</x:t>
        </x:is>
      </x:c>
      <x:c r="H1428" s="527" t="inlineStr">
        <x:is>
          <x:t xml:space="preserve">Gregory J. Winneke</x:t>
        </x:is>
      </x:c>
      <x:c r="I1428" s="527" t="inlineStr">
        <x:is>
          <x:t xml:space="preserve">NW/4 SE/4, S/2 SE/4, SW/4 NE/4 of 31-12N-24W (AOL)</x:t>
        </x:is>
      </x:c>
      <x:c r="J1428" s="527" t="inlineStr">
        <x:is>
          <x:t xml:space="preserve">Mineral</x:t>
        </x:is>
      </x:c>
      <x:c r="K1428" s="527" t="inlineStr">
        <x:is>
          <x:t xml:space="preserve">OKCountyRecords official index, Roger Mills County (instrument 2019-001747); searched 06/11/2026</x:t>
        </x:is>
      </x:c>
      <x:c r="L1428" s="565" t="n"/>
      <x:c r="M1428" s="565" t="n"/>
      <x:c r="N1428" s="565" t="n"/>
      <x:c r="O1428" s="565" t="n"/>
      <x:c r="P1428" s="565" t="n"/>
      <x:c r="Q1428" s="565" t="n"/>
      <x:c r="R1428" s="565" t="n"/>
      <x:c r="S1428" s="613" t="n"/>
      <x:c r="T1428" s="565" t="n"/>
      <x:c r="U1428" s="613" t="n"/>
      <x:c r="V1428" s="565" t="n"/>
      <x:c r="W1428" s="565" t="n"/>
      <x:c r="X1428" s="565" t="n"/>
      <x:c r="Y1428" s="565" t="n"/>
      <x:c r="Z1428" s="565" t="n"/>
    </x:row>
    <x:row r="1429">
      <x:c r="A1429" s="527" t="inlineStr">
        <x:is>
          <x:t xml:space="preserve">2019-001779</x:t>
        </x:is>
      </x:c>
      <x:c r="B1429" s="527" t="n"/>
      <x:c r="C1429" s="527" t="inlineStr">
        <x:is>
          <x:t xml:space="preserve">Assignment</x:t>
        </x:is>
      </x:c>
      <x:c r="D1429" s="527" t="inlineStr">
        <x:is>
          <x:t xml:space="preserve">2425/0380</x:t>
        </x:is>
      </x:c>
      <x:c r="E1429" s="529" t="inlineStr">
        <x:is>
          <x:t xml:space="preserve">08/21/2019</x:t>
        </x:is>
      </x:c>
      <x:c r="F1429" s="529" t="n">
        <x:v>43564</x:v>
      </x:c>
      <x:c r="G1429" s="527" t="inlineStr">
        <x:is>
          <x:t xml:space="preserve">BHP Billiton Petroleum</x:t>
        </x:is>
      </x:c>
      <x:c r="H1429" s="527" t="inlineStr">
        <x:is>
          <x:t xml:space="preserve">Cohete Rojo, LLC</x:t>
        </x:is>
      </x:c>
      <x:c r="I1429" s="527" t="inlineStr">
        <x:is>
          <x:t xml:space="preserve">All of 31-12N-24W (AOL)</x:t>
        </x:is>
      </x:c>
      <x:c r="J1429" s="527" t="inlineStr">
        <x:is>
          <x:t xml:space="preserve">Leasehold / WI</x:t>
        </x:is>
      </x:c>
      <x:c r="K1429" s="527" t="inlineStr">
        <x:is>
          <x:t xml:space="preserve">OKCountyRecords official index, Roger Mills County (instrument 2019-001779); searched 06/11/2026</x:t>
        </x:is>
      </x:c>
      <x:c r="L1429" s="565" t="n"/>
      <x:c r="M1429" s="565" t="n"/>
      <x:c r="N1429" s="565" t="n"/>
      <x:c r="O1429" s="565" t="n"/>
      <x:c r="P1429" s="565" t="n"/>
      <x:c r="Q1429" s="565" t="n"/>
      <x:c r="R1429" s="565" t="n"/>
      <x:c r="S1429" s="613" t="n"/>
      <x:c r="T1429" s="565" t="n"/>
      <x:c r="U1429" s="613" t="n"/>
      <x:c r="V1429" s="565" t="n"/>
      <x:c r="W1429" s="565" t="n"/>
      <x:c r="X1429" s="565" t="n"/>
      <x:c r="Y1429" s="565" t="n"/>
      <x:c r="Z1429" s="565" t="n"/>
    </x:row>
    <x:row r="1430">
      <x:c r="A1430" s="527" t="inlineStr">
        <x:is>
          <x:t xml:space="preserve">2020-001279</x:t>
        </x:is>
      </x:c>
      <x:c r="B1430" s="527" t="n"/>
      <x:c r="C1430" s="527" t="inlineStr">
        <x:is>
          <x:t xml:space="preserve">Affidavit</x:t>
        </x:is>
      </x:c>
      <x:c r="D1430" s="527" t="inlineStr">
        <x:is>
          <x:t xml:space="preserve">2447/0081</x:t>
        </x:is>
      </x:c>
      <x:c r="E1430" s="529" t="inlineStr">
        <x:is>
          <x:t xml:space="preserve">08/17/2020</x:t>
        </x:is>
      </x:c>
      <x:c r="F1430" s="529" t="n">
        <x:v>44050</x:v>
      </x:c>
      <x:c r="G1430" s="527" t="inlineStr">
        <x:is>
          <x:t xml:space="preserve">Brett Vp Barnes,
Presidio Investment Holdings, LLC,
Presidio Wab, LLC</x:t>
        </x:is>
      </x:c>
      <x:c r="H1430" s="527" t="inlineStr">
        <x:is>
          <x:t xml:space="preserve">The Public</x:t>
        </x:is>
      </x:c>
      <x:c r="I1430" s="527" t="inlineStr">
        <x:is>
          <x:t xml:space="preserve">All of 31-12N-24W (AOL)</x:t>
        </x:is>
      </x:c>
      <x:c r="J1430" s="527" t="inlineStr">
        <x:is>
          <x:t xml:space="preserve">See instrument</x:t>
        </x:is>
      </x:c>
      <x:c r="K1430" s="527" t="inlineStr">
        <x:is>
          <x:t xml:space="preserve">OKCountyRecords official index, Roger Mills County (instrument 2020-001279); searched 06/11/2026</x:t>
        </x:is>
      </x:c>
      <x:c r="L1430" s="565" t="n"/>
      <x:c r="M1430" s="565" t="n"/>
      <x:c r="N1430" s="565" t="n"/>
      <x:c r="O1430" s="565" t="n"/>
      <x:c r="P1430" s="565" t="n"/>
      <x:c r="Q1430" s="565" t="n"/>
      <x:c r="R1430" s="565" t="n"/>
      <x:c r="S1430" s="613" t="n"/>
      <x:c r="T1430" s="565" t="n"/>
      <x:c r="U1430" s="613" t="n"/>
      <x:c r="V1430" s="565" t="n"/>
      <x:c r="W1430" s="565" t="n"/>
      <x:c r="X1430" s="565" t="n"/>
      <x:c r="Y1430" s="565" t="n"/>
      <x:c r="Z1430" s="565" t="n"/>
    </x:row>
    <x:row r="1431">
      <x:c r="A1431" s="527" t="inlineStr">
        <x:is>
          <x:t xml:space="preserve">2020-001282</x:t>
        </x:is>
      </x:c>
      <x:c r="B1431" s="527" t="n"/>
      <x:c r="C1431" s="527" t="inlineStr">
        <x:is>
          <x:t xml:space="preserve">Termination</x:t>
        </x:is>
      </x:c>
      <x:c r="D1431" s="527" t="inlineStr">
        <x:is>
          <x:t xml:space="preserve">2449/0001</x:t>
        </x:is>
      </x:c>
      <x:c r="E1431" s="529" t="inlineStr">
        <x:is>
          <x:t xml:space="preserve">08/17/2020</x:t>
        </x:is>
      </x:c>
      <x:c r="F1431" s="529" t="n">
        <x:v>44060</x:v>
      </x:c>
      <x:c r="G1431" s="527" t="inlineStr">
        <x:is>
          <x:t xml:space="preserve">Bank of America</x:t>
        </x:is>
      </x:c>
      <x:c r="H1431" s="527" t="inlineStr">
        <x:is>
          <x:t xml:space="preserve">Templar Energy</x:t>
        </x:is>
      </x:c>
      <x:c r="I1431" s="527" t="inlineStr">
        <x:is>
          <x:t xml:space="preserve">All of 31-12N-24W (AOL)</x:t>
        </x:is>
      </x:c>
      <x:c r="J1431" s="527" t="inlineStr">
        <x:is>
          <x:t xml:space="preserve">See instrument</x:t>
        </x:is>
      </x:c>
      <x:c r="K1431" s="527" t="inlineStr">
        <x:is>
          <x:t xml:space="preserve">OKCountyRecords official index, Roger Mills County (instrument 2020-001282); searched 06/11/2026</x:t>
        </x:is>
      </x:c>
      <x:c r="L1431" s="565" t="n"/>
      <x:c r="M1431" s="565" t="n"/>
      <x:c r="N1431" s="565" t="n"/>
      <x:c r="O1431" s="565" t="n"/>
      <x:c r="P1431" s="565" t="n"/>
      <x:c r="Q1431" s="565" t="n"/>
      <x:c r="R1431" s="565" t="n"/>
      <x:c r="S1431" s="613" t="n"/>
      <x:c r="T1431" s="565" t="n"/>
      <x:c r="U1431" s="613" t="n"/>
      <x:c r="V1431" s="565" t="n"/>
      <x:c r="W1431" s="565" t="n"/>
      <x:c r="X1431" s="565" t="n"/>
      <x:c r="Y1431" s="565" t="n"/>
      <x:c r="Z1431" s="565" t="n"/>
    </x:row>
    <x:row r="1432">
      <x:c r="A1432" s="527" t="inlineStr">
        <x:is>
          <x:t xml:space="preserve">2020-001283</x:t>
        </x:is>
      </x:c>
      <x:c r="B1432" s="527" t="n">
        <x:v>50</x:v>
      </x:c>
      <x:c r="C1432" s="527" t="inlineStr">
        <x:is>
          <x:t xml:space="preserve">Assignment</x:t>
        </x:is>
      </x:c>
      <x:c r="D1432" s="527" t="inlineStr">
        <x:is>
          <x:t xml:space="preserve">2449/0333</x:t>
        </x:is>
      </x:c>
      <x:c r="E1432" s="529" t="inlineStr">
        <x:is>
          <x:t xml:space="preserve">08/17/2020</x:t>
        </x:is>
      </x:c>
      <x:c r="F1432" s="529" t="n">
        <x:v>43831</x:v>
      </x:c>
      <x:c r="G1432" s="527" t="inlineStr">
        <x:is>
          <x:t xml:space="preserve">TE Holdcorp, LLC,
TE Holdings II, LLC,
TE Holdings, LLC,
Templar Energy, LLC,
Templar Midstream Ll,
Templar Operating, LLC</x:t>
        </x:is>
      </x:c>
      <x:c r="H1432" s="527" t="inlineStr">
        <x:is>
          <x:t xml:space="preserve">Presidio Wab, LLC</x:t>
        </x:is>
      </x:c>
      <x:c r="I1432" s="527" t="inlineStr">
        <x:is>
          <x:t xml:space="preserve">All of 31-12N-24W (AOL)</x:t>
        </x:is>
      </x:c>
      <x:c r="J1432" s="527" t="inlineStr">
        <x:is>
          <x:t xml:space="preserve">Leasehold / WI</x:t>
        </x:is>
      </x:c>
      <x:c r="K1432" s="527" t="inlineStr">
        <x:is>
          <x:t xml:space="preserve">OKCountyRecords official index, Roger Mills County (instrument 2020-001283); searched 06/11/2026</x:t>
        </x:is>
      </x:c>
      <x:c r="L1432" s="565" t="n"/>
      <x:c r="M1432" s="565" t="n"/>
      <x:c r="N1432" s="565" t="n"/>
      <x:c r="O1432" s="565" t="n"/>
      <x:c r="P1432" s="565" t="n"/>
      <x:c r="Q1432" s="565" t="n"/>
      <x:c r="R1432" s="565" t="n"/>
      <x:c r="S1432" s="613" t="n"/>
      <x:c r="T1432" s="565" t="n"/>
      <x:c r="U1432" s="613" t="n"/>
      <x:c r="V1432" s="565" t="n"/>
      <x:c r="W1432" s="565" t="n"/>
      <x:c r="X1432" s="565" t="n"/>
      <x:c r="Y1432" s="565" t="n"/>
      <x:c r="Z1432" s="565" t="n"/>
    </x:row>
    <x:row r="1433">
      <x:c r="A1433" s="527" t="inlineStr">
        <x:is>
          <x:t xml:space="preserve">2020-001374</x:t>
        </x:is>
      </x:c>
      <x:c r="B1433" s="527" t="n"/>
      <x:c r="C1433" s="527" t="inlineStr">
        <x:is>
          <x:t xml:space="preserve">Quit Claim Mineral Deed</x:t>
        </x:is>
      </x:c>
      <x:c r="D1433" s="527" t="inlineStr">
        <x:is>
          <x:t xml:space="preserve">2450/0598</x:t>
        </x:is>
      </x:c>
      <x:c r="E1433" s="529" t="inlineStr">
        <x:is>
          <x:t xml:space="preserve">09/02/2020</x:t>
        </x:is>
      </x:c>
      <x:c r="F1433" s="529" t="n">
        <x:v>44071</x:v>
      </x:c>
      <x:c r="G1433" s="527" t="inlineStr">
        <x:is>
          <x:t xml:space="preserve">Janis Fern Campbell</x:t>
        </x:is>
      </x:c>
      <x:c r="H1433" s="527" t="inlineStr">
        <x:is>
          <x:t xml:space="preserve">Campbell Family Trust, Audy and Janis</x:t>
        </x:is>
      </x:c>
      <x:c r="I1433" s="527" t="inlineStr">
        <x:is>
          <x:t xml:space="preserve">S/2 NE/4 SW/4, SE/4 SW/4 of 31-12N-24W (AOL)</x:t>
        </x:is>
      </x:c>
      <x:c r="J1433" s="527" t="inlineStr">
        <x:is>
          <x:t xml:space="preserve">Mineral</x:t>
        </x:is>
      </x:c>
      <x:c r="K1433" s="527" t="inlineStr">
        <x:is>
          <x:t xml:space="preserve">OKCountyRecords official index, Roger Mills County (instrument 2020-001374); searched 06/11/2026</x:t>
        </x:is>
      </x:c>
      <x:c r="L1433" s="565" t="n"/>
      <x:c r="M1433" s="565" t="n"/>
      <x:c r="N1433" s="565" t="n"/>
      <x:c r="O1433" s="565" t="n"/>
      <x:c r="P1433" s="565" t="n"/>
      <x:c r="Q1433" s="565" t="n"/>
      <x:c r="R1433" s="565" t="n"/>
      <x:c r="S1433" s="613" t="n"/>
      <x:c r="T1433" s="565" t="n"/>
      <x:c r="U1433" s="613" t="n"/>
      <x:c r="V1433" s="565" t="n"/>
      <x:c r="W1433" s="565" t="n"/>
      <x:c r="X1433" s="565" t="n"/>
      <x:c r="Y1433" s="565" t="n"/>
      <x:c r="Z1433" s="565" t="n"/>
    </x:row>
    <x:row r="1434">
      <x:c r="A1434" s="527" t="inlineStr">
        <x:is>
          <x:t xml:space="preserve">2020-001577</x:t>
        </x:is>
      </x:c>
      <x:c r="B1434" s="527" t="n">
        <x:v>51</x:v>
      </x:c>
      <x:c r="C1434" s="527" t="inlineStr">
        <x:is>
          <x:t xml:space="preserve">Assignment</x:t>
        </x:is>
      </x:c>
      <x:c r="D1434" s="527" t="inlineStr">
        <x:is>
          <x:t xml:space="preserve">2452/0235</x:t>
        </x:is>
      </x:c>
      <x:c r="E1434" s="529" t="inlineStr">
        <x:is>
          <x:t xml:space="preserve">10/14/2020</x:t>
        </x:is>
      </x:c>
      <x:c r="F1434" s="529" t="n">
        <x:v>44105</x:v>
      </x:c>
      <x:c r="G1434" s="527" t="inlineStr">
        <x:is>
          <x:t xml:space="preserve">Blackbeard Operating, LLC,
Tecolote Holdings, LLC,
Tecolote Royalty, LLC</x:t>
        </x:is>
      </x:c>
      <x:c r="H1434" s="527" t="inlineStr">
        <x:is>
          <x:t xml:space="preserve">Mustang Fuel Corporation</x:t>
        </x:is>
      </x:c>
      <x:c r="I1434" s="527" t="inlineStr">
        <x:is>
          <x:t xml:space="preserve">All of 31-12N-24W (AOL)</x:t>
        </x:is>
      </x:c>
      <x:c r="J1434" s="527" t="inlineStr">
        <x:is>
          <x:t xml:space="preserve">Leasehold / WI</x:t>
        </x:is>
      </x:c>
      <x:c r="K1434" s="527" t="inlineStr">
        <x:is>
          <x:t xml:space="preserve">OKCountyRecords official index, Roger Mills County (instrument 2020-001577); searched 06/11/2026</x:t>
        </x:is>
      </x:c>
      <x:c r="L1434" s="565" t="n"/>
      <x:c r="M1434" s="565" t="n"/>
      <x:c r="N1434" s="565" t="n"/>
      <x:c r="O1434" s="565" t="n"/>
      <x:c r="P1434" s="565" t="n"/>
      <x:c r="Q1434" s="565" t="n"/>
      <x:c r="R1434" s="565" t="n"/>
      <x:c r="S1434" s="613" t="n"/>
      <x:c r="T1434" s="565" t="n"/>
      <x:c r="U1434" s="613" t="n"/>
      <x:c r="V1434" s="565" t="n"/>
      <x:c r="W1434" s="565" t="n"/>
      <x:c r="X1434" s="565" t="n"/>
      <x:c r="Y1434" s="565" t="n"/>
      <x:c r="Z1434" s="565" t="n"/>
    </x:row>
    <x:row r="1435">
      <x:c r="A1435" s="527" t="inlineStr">
        <x:is>
          <x:t xml:space="preserve">2020-001650</x:t>
        </x:is>
      </x:c>
      <x:c r="B1435" s="527" t="n"/>
      <x:c r="C1435" s="527" t="inlineStr">
        <x:is>
          <x:t xml:space="preserve">Quit Claim Mineral Deed</x:t>
        </x:is>
      </x:c>
      <x:c r="D1435" s="527" t="inlineStr">
        <x:is>
          <x:t xml:space="preserve">2453/0219</x:t>
        </x:is>
      </x:c>
      <x:c r="E1435" s="529" t="inlineStr">
        <x:is>
          <x:t xml:space="preserve">10/29/2020</x:t>
        </x:is>
      </x:c>
      <x:c r="F1435" s="529" t="n">
        <x:v>44126</x:v>
      </x:c>
      <x:c r="G1435" s="527" t="inlineStr">
        <x:is>
          <x:t xml:space="preserve">Jack B. Searle,
Tamara D. Searle</x:t>
        </x:is>
      </x:c>
      <x:c r="H1435" s="527" t="inlineStr">
        <x:is>
          <x:t xml:space="preserve">GT Mineral Holdings, LLC</x:t>
        </x:is>
      </x:c>
      <x:c r="I1435" s="527" t="inlineStr">
        <x:is>
          <x:t xml:space="preserve">NW/4 SE/4, S/2 SE/4, SW/4 NE/4 of 31-12N-24W (AOL)</x:t>
        </x:is>
      </x:c>
      <x:c r="J1435" s="527" t="inlineStr">
        <x:is>
          <x:t xml:space="preserve">Mineral</x:t>
        </x:is>
      </x:c>
      <x:c r="K1435" s="527" t="inlineStr">
        <x:is>
          <x:t xml:space="preserve">OKCountyRecords official index, Roger Mills County (instrument 2020-001650); searched 06/11/2026</x:t>
        </x:is>
      </x:c>
      <x:c r="L1435" s="565" t="n"/>
      <x:c r="M1435" s="565" t="n"/>
      <x:c r="N1435" s="565" t="n"/>
      <x:c r="O1435" s="565" t="n"/>
      <x:c r="P1435" s="565" t="n"/>
      <x:c r="Q1435" s="565" t="n"/>
      <x:c r="R1435" s="565" t="n"/>
      <x:c r="S1435" s="613" t="n"/>
      <x:c r="T1435" s="565" t="n"/>
      <x:c r="U1435" s="613" t="n"/>
      <x:c r="V1435" s="565" t="n"/>
      <x:c r="W1435" s="565" t="n"/>
      <x:c r="X1435" s="565" t="n"/>
      <x:c r="Y1435" s="565" t="n"/>
      <x:c r="Z1435" s="565" t="n"/>
    </x:row>
    <x:row r="1436">
      <x:c r="A1436" s="527" t="inlineStr">
        <x:is>
          <x:t xml:space="preserve">2020-001708</x:t>
        </x:is>
      </x:c>
      <x:c r="B1436" s="527" t="n"/>
      <x:c r="C1436" s="527" t="inlineStr">
        <x:is>
          <x:t xml:space="preserve">Mineral Deed</x:t>
        </x:is>
      </x:c>
      <x:c r="D1436" s="527" t="inlineStr">
        <x:is>
          <x:t xml:space="preserve">2453/0452</x:t>
        </x:is>
      </x:c>
      <x:c r="E1436" s="529" t="inlineStr">
        <x:is>
          <x:t xml:space="preserve">11/09/2020</x:t>
        </x:is>
      </x:c>
      <x:c r="F1436" s="529" t="n">
        <x:v>44136</x:v>
      </x:c>
      <x:c r="G1436" s="527" t="inlineStr">
        <x:is>
          <x:t xml:space="preserve">Payday Holdings, LLC</x:t>
        </x:is>
      </x:c>
      <x:c r="H1436" s="527" t="inlineStr">
        <x:is>
          <x:t xml:space="preserve">Andrew Pennington</x:t>
        </x:is>
      </x:c>
      <x:c r="I1436" s="527" t="inlineStr">
        <x:is>
          <x:t xml:space="preserve">All of 31-12N-24W (AOL)</x:t>
        </x:is>
      </x:c>
      <x:c r="J1436" s="527" t="inlineStr">
        <x:is>
          <x:t xml:space="preserve">Mineral</x:t>
        </x:is>
      </x:c>
      <x:c r="K1436" s="527" t="inlineStr">
        <x:is>
          <x:t xml:space="preserve">OKCountyRecords official index, Roger Mills County (instrument 2020-001708); searched 06/11/2026</x:t>
        </x:is>
      </x:c>
      <x:c r="L1436" s="565" t="n"/>
      <x:c r="M1436" s="565" t="n"/>
      <x:c r="N1436" s="565" t="n"/>
      <x:c r="O1436" s="565" t="n"/>
      <x:c r="P1436" s="565" t="n"/>
      <x:c r="Q1436" s="565" t="n"/>
      <x:c r="R1436" s="565" t="n"/>
      <x:c r="S1436" s="613" t="n"/>
      <x:c r="T1436" s="565" t="n"/>
      <x:c r="U1436" s="613" t="n"/>
      <x:c r="V1436" s="565" t="n"/>
      <x:c r="W1436" s="565" t="n"/>
      <x:c r="X1436" s="565" t="n"/>
      <x:c r="Y1436" s="565" t="n"/>
      <x:c r="Z1436" s="565" t="n"/>
    </x:row>
    <x:row r="1437">
      <x:c r="A1437" s="527" t="inlineStr">
        <x:is>
          <x:t xml:space="preserve">2021-000697</x:t>
        </x:is>
      </x:c>
      <x:c r="B1437" s="527" t="n"/>
      <x:c r="C1437" s="527" t="inlineStr">
        <x:is>
          <x:t xml:space="preserve">Change Name</x:t>
        </x:is>
      </x:c>
      <x:c r="D1437" s="527" t="inlineStr">
        <x:is>
          <x:t xml:space="preserve">2463/0147</x:t>
        </x:is>
      </x:c>
      <x:c r="E1437" s="529" t="inlineStr">
        <x:is>
          <x:t xml:space="preserve">04/28/2021</x:t>
        </x:is>
      </x:c>
      <x:c r="F1437" s="529" t="n">
        <x:v>44182</x:v>
      </x:c>
      <x:c r="G1437" s="527" t="inlineStr">
        <x:is>
          <x:t xml:space="preserve">Fourpoint Energy, LLC</x:t>
        </x:is>
      </x:c>
      <x:c r="H1437" s="527" t="inlineStr">
        <x:is>
          <x:t xml:space="preserve">Unbridled Resources, LLC</x:t>
        </x:is>
      </x:c>
      <x:c r="I1437" s="527" t="inlineStr">
        <x:is>
          <x:t xml:space="preserve">All of 31-12N-24W (AOL)</x:t>
        </x:is>
      </x:c>
      <x:c r="J1437" s="527" t="inlineStr">
        <x:is>
          <x:t xml:space="preserve">Fee / as stated</x:t>
        </x:is>
      </x:c>
      <x:c r="K1437" s="527" t="inlineStr">
        <x:is>
          <x:t xml:space="preserve">OKCountyRecords official index, Roger Mills County (instrument 2021-000697); searched 06/11/2026</x:t>
        </x:is>
      </x:c>
      <x:c r="L1437" s="565" t="n"/>
      <x:c r="M1437" s="565" t="n"/>
      <x:c r="N1437" s="565" t="n"/>
      <x:c r="O1437" s="565" t="n"/>
      <x:c r="P1437" s="565" t="n"/>
      <x:c r="Q1437" s="565" t="n"/>
      <x:c r="R1437" s="565" t="n"/>
      <x:c r="S1437" s="613" t="n"/>
      <x:c r="T1437" s="565" t="n"/>
      <x:c r="U1437" s="613" t="n"/>
      <x:c r="V1437" s="565" t="n"/>
      <x:c r="W1437" s="565" t="n"/>
      <x:c r="X1437" s="565" t="n"/>
      <x:c r="Y1437" s="565" t="n"/>
      <x:c r="Z1437" s="565" t="n"/>
    </x:row>
    <x:row r="1438">
      <x:c r="A1438" s="527" t="inlineStr">
        <x:is>
          <x:t xml:space="preserve">2021-001068</x:t>
        </x:is>
      </x:c>
      <x:c r="B1438" s="527" t="n"/>
      <x:c r="C1438" s="527" t="inlineStr">
        <x:is>
          <x:t xml:space="preserve">Mineral Deed</x:t>
        </x:is>
      </x:c>
      <x:c r="D1438" s="527" t="inlineStr">
        <x:is>
          <x:t xml:space="preserve">2467/0476</x:t>
        </x:is>
      </x:c>
      <x:c r="E1438" s="529" t="inlineStr">
        <x:is>
          <x:t xml:space="preserve">06/30/2021</x:t>
        </x:is>
      </x:c>
      <x:c r="F1438" s="529" t="n">
        <x:v>44348</x:v>
      </x:c>
      <x:c r="G1438" s="527" t="inlineStr">
        <x:is>
          <x:t xml:space="preserve">Grizzly Operating, LLC,
Vanguard Operating, LLC</x:t>
        </x:is>
      </x:c>
      <x:c r="H1438" s="527" t="inlineStr">
        <x:is>
          <x:t xml:space="preserve">Psi Lke, LLC</x:t>
        </x:is>
      </x:c>
      <x:c r="I1438" s="527" t="inlineStr">
        <x:is>
          <x:t xml:space="preserve">E/2 NW/4, N/2 NE/4 SW/4, NE/4 SE/4, SE/4 NE/4 of 31-12N-24W (AOL)</x:t>
        </x:is>
      </x:c>
      <x:c r="J1438" s="527" t="inlineStr">
        <x:is>
          <x:t xml:space="preserve">Mineral</x:t>
        </x:is>
      </x:c>
      <x:c r="K1438" s="527" t="inlineStr">
        <x:is>
          <x:t xml:space="preserve">OKCountyRecords official index, Roger Mills County (instrument 2021-001068); searched 06/11/2026</x:t>
        </x:is>
      </x:c>
      <x:c r="L1438" s="565" t="n"/>
      <x:c r="M1438" s="565" t="n"/>
      <x:c r="N1438" s="565" t="n"/>
      <x:c r="O1438" s="565" t="n"/>
      <x:c r="P1438" s="565" t="n"/>
      <x:c r="Q1438" s="565" t="n"/>
      <x:c r="R1438" s="565" t="n"/>
      <x:c r="S1438" s="613" t="n"/>
      <x:c r="T1438" s="565" t="n"/>
      <x:c r="U1438" s="613" t="n"/>
      <x:c r="V1438" s="565" t="n"/>
      <x:c r="W1438" s="565" t="n"/>
      <x:c r="X1438" s="565" t="n"/>
      <x:c r="Y1438" s="565" t="n"/>
      <x:c r="Z1438" s="565" t="n"/>
    </x:row>
    <x:row r="1439">
      <x:c r="A1439" s="527" t="inlineStr">
        <x:is>
          <x:t xml:space="preserve">2021-001366</x:t>
        </x:is>
      </x:c>
      <x:c r="B1439" s="527" t="n"/>
      <x:c r="C1439" s="527" t="inlineStr">
        <x:is>
          <x:t xml:space="preserve">Release</x:t>
        </x:is>
      </x:c>
      <x:c r="D1439" s="527" t="inlineStr">
        <x:is>
          <x:t xml:space="preserve">2471/0590</x:t>
        </x:is>
      </x:c>
      <x:c r="E1439" s="529" t="inlineStr">
        <x:is>
          <x:t xml:space="preserve">08/24/2021</x:t>
        </x:is>
      </x:c>
      <x:c r="F1439" s="529" t="n">
        <x:v>44398</x:v>
      </x:c>
      <x:c r="G1439" s="527" t="inlineStr">
        <x:is>
          <x:t xml:space="preserve">Enable Gas Gathering</x:t>
        </x:is>
      </x:c>
      <x:c r="H1439" s="527" t="inlineStr">
        <x:is>
          <x:t xml:space="preserve">Sohio Petroleum,
Standard Oil Production</x:t>
        </x:is>
      </x:c>
      <x:c r="I1439" s="527" t="inlineStr">
        <x:is>
          <x:t xml:space="preserve">NE/4 of 31-12N-24W (AOL)</x:t>
        </x:is>
      </x:c>
      <x:c r="J1439" s="527" t="inlineStr">
        <x:is>
          <x:t xml:space="preserve">Leasehold / WI</x:t>
        </x:is>
      </x:c>
      <x:c r="K1439" s="527" t="inlineStr">
        <x:is>
          <x:t xml:space="preserve">OKCountyRecords official index, Roger Mills County (instrument 2021-001366); searched 06/11/2026</x:t>
        </x:is>
      </x:c>
      <x:c r="L1439" s="565" t="n"/>
      <x:c r="M1439" s="565" t="n"/>
      <x:c r="N1439" s="565" t="n"/>
      <x:c r="O1439" s="565" t="n"/>
      <x:c r="P1439" s="565" t="n"/>
      <x:c r="Q1439" s="565" t="n"/>
      <x:c r="R1439" s="565" t="n"/>
      <x:c r="S1439" s="613" t="n"/>
      <x:c r="T1439" s="565" t="n"/>
      <x:c r="U1439" s="613" t="n"/>
      <x:c r="V1439" s="565" t="n"/>
      <x:c r="W1439" s="565" t="n"/>
      <x:c r="X1439" s="565" t="n"/>
      <x:c r="Y1439" s="565" t="n"/>
      <x:c r="Z1439" s="565" t="n"/>
    </x:row>
    <x:row r="1440">
      <x:c r="A1440" s="527" t="inlineStr">
        <x:is>
          <x:t xml:space="preserve">2021-001486</x:t>
        </x:is>
      </x:c>
      <x:c r="B1440" s="527" t="n"/>
      <x:c r="C1440" s="527" t="inlineStr">
        <x:is>
          <x:t xml:space="preserve">Correction</x:t>
        </x:is>
      </x:c>
      <x:c r="D1440" s="527" t="inlineStr">
        <x:is>
          <x:t xml:space="preserve">2473/0001</x:t>
        </x:is>
      </x:c>
      <x:c r="E1440" s="529" t="inlineStr">
        <x:is>
          <x:t xml:space="preserve">09/10/2021</x:t>
        </x:is>
      </x:c>
      <x:c r="F1440" s="529" t="n">
        <x:v>44044</x:v>
      </x:c>
      <x:c r="G1440" s="527" t="inlineStr">
        <x:is>
          <x:t xml:space="preserve">Blackbeard Operating, LLC,
Tecolote Holdings, LLC,
Tecolote Royalty, LP</x:t>
        </x:is>
      </x:c>
      <x:c r="H1440" s="527" t="inlineStr">
        <x:is>
          <x:t xml:space="preserve">Mustang Fuel Corporation</x:t>
        </x:is>
      </x:c>
      <x:c r="I1440" s="527" t="inlineStr">
        <x:is>
          <x:t xml:space="preserve">All of 31-12N-24W (AOL)</x:t>
        </x:is>
      </x:c>
      <x:c r="J1440" s="527" t="inlineStr">
        <x:is>
          <x:t xml:space="preserve">See instrument</x:t>
        </x:is>
      </x:c>
      <x:c r="K1440" s="527" t="inlineStr">
        <x:is>
          <x:t xml:space="preserve">OKCountyRecords official index, Roger Mills County (instrument 2021-001486); searched 06/11/2026</x:t>
        </x:is>
      </x:c>
      <x:c r="L1440" s="565" t="n"/>
      <x:c r="M1440" s="565" t="n"/>
      <x:c r="N1440" s="565" t="n"/>
      <x:c r="O1440" s="565" t="n"/>
      <x:c r="P1440" s="565" t="n"/>
      <x:c r="Q1440" s="565" t="n"/>
      <x:c r="R1440" s="565" t="n"/>
      <x:c r="S1440" s="613" t="n"/>
      <x:c r="T1440" s="565" t="n"/>
      <x:c r="U1440" s="613" t="n"/>
      <x:c r="V1440" s="565" t="n"/>
      <x:c r="W1440" s="565" t="n"/>
      <x:c r="X1440" s="565" t="n"/>
      <x:c r="Y1440" s="565" t="n"/>
      <x:c r="Z1440" s="565" t="n"/>
    </x:row>
    <x:row r="1441">
      <x:c r="A1441" s="527" t="inlineStr">
        <x:is>
          <x:t xml:space="preserve">2021-001557</x:t>
        </x:is>
      </x:c>
      <x:c r="B1441" s="527" t="n"/>
      <x:c r="C1441" s="527" t="inlineStr">
        <x:is>
          <x:t xml:space="preserve">Affidavit</x:t>
        </x:is>
      </x:c>
      <x:c r="D1441" s="527" t="inlineStr">
        <x:is>
          <x:t xml:space="preserve">2476/0001</x:t>
        </x:is>
      </x:c>
      <x:c r="E1441" s="529" t="inlineStr">
        <x:is>
          <x:t xml:space="preserve">09/23/2021</x:t>
        </x:is>
      </x:c>
      <x:c r="F1441" s="529" t="n">
        <x:v>44407</x:v>
      </x:c>
      <x:c r="G1441" s="527" t="inlineStr">
        <x:is>
          <x:t xml:space="preserve">Presidio Investment Holdings</x:t>
        </x:is>
      </x:c>
      <x:c r="H1441" s="527" t="inlineStr">
        <x:is>
          <x:t xml:space="preserve">The Public</x:t>
        </x:is>
      </x:c>
      <x:c r="I1441" s="527" t="inlineStr">
        <x:is>
          <x:t xml:space="preserve">All of 31-12N-24W (AOL)</x:t>
        </x:is>
      </x:c>
      <x:c r="J1441" s="527" t="inlineStr">
        <x:is>
          <x:t xml:space="preserve">See instrument</x:t>
        </x:is>
      </x:c>
      <x:c r="K1441" s="527" t="inlineStr">
        <x:is>
          <x:t xml:space="preserve">OKCountyRecords official index, Roger Mills County (instrument 2021-001557); searched 06/11/2026</x:t>
        </x:is>
      </x:c>
      <x:c r="L1441" s="565" t="n"/>
      <x:c r="M1441" s="565" t="n"/>
      <x:c r="N1441" s="565" t="n"/>
      <x:c r="O1441" s="565" t="n"/>
      <x:c r="P1441" s="565" t="n"/>
      <x:c r="Q1441" s="565" t="n"/>
      <x:c r="R1441" s="565" t="n"/>
      <x:c r="S1441" s="613" t="n"/>
      <x:c r="T1441" s="565" t="n"/>
      <x:c r="U1441" s="613" t="n"/>
      <x:c r="V1441" s="565" t="n"/>
      <x:c r="W1441" s="565" t="n"/>
      <x:c r="X1441" s="565" t="n"/>
      <x:c r="Y1441" s="565" t="n"/>
      <x:c r="Z1441" s="565" t="n"/>
    </x:row>
    <x:row r="1442">
      <x:c r="A1442" s="527" t="inlineStr">
        <x:is>
          <x:t xml:space="preserve">2021-001559</x:t>
        </x:is>
      </x:c>
      <x:c r="B1442" s="527" t="n">
        <x:v>53</x:v>
      </x:c>
      <x:c r="C1442" s="527" t="inlineStr">
        <x:is>
          <x:t xml:space="preserve">Operating Agreement</x:t>
        </x:is>
      </x:c>
      <x:c r="D1442" s="527" t="inlineStr">
        <x:is>
          <x:t xml:space="preserve">2478/0001</x:t>
        </x:is>
      </x:c>
      <x:c r="E1442" s="529" t="inlineStr">
        <x:is>
          <x:t xml:space="preserve">09/23/2021</x:t>
        </x:is>
      </x:c>
      <x:c r="F1442" s="529" t="n">
        <x:v>44407</x:v>
      </x:c>
      <x:c r="G1442" s="527" t="inlineStr">
        <x:is>
          <x:t xml:space="preserve">Presidio Petroleum, LLC</x:t>
        </x:is>
      </x:c>
      <x:c r="H1442" s="527" t="inlineStr">
        <x:is>
          <x:t xml:space="preserve">Presidio Finance,
Presidio Finance Nominee</x:t>
        </x:is>
      </x:c>
      <x:c r="I1442" s="527" t="inlineStr">
        <x:is>
          <x:t xml:space="preserve">All of 31-12N-24W (AOL)</x:t>
        </x:is>
      </x:c>
      <x:c r="J1442" s="527" t="inlineStr">
        <x:is>
          <x:t xml:space="preserve">Leasehold / WI</x:t>
        </x:is>
      </x:c>
      <x:c r="K1442" s="527" t="inlineStr">
        <x:is>
          <x:t xml:space="preserve">OKCountyRecords official index, Roger Mills County (instrument 2021-001559); searched 06/11/2026</x:t>
        </x:is>
      </x:c>
      <x:c r="L1442" s="565" t="n"/>
      <x:c r="M1442" s="565" t="n"/>
      <x:c r="N1442" s="565" t="n"/>
      <x:c r="O1442" s="565" t="n"/>
      <x:c r="P1442" s="565" t="n"/>
      <x:c r="Q1442" s="565" t="n"/>
      <x:c r="R1442" s="565" t="n"/>
      <x:c r="S1442" s="613" t="n"/>
      <x:c r="T1442" s="565" t="n"/>
      <x:c r="U1442" s="613" t="n"/>
      <x:c r="V1442" s="565" t="n"/>
      <x:c r="W1442" s="565" t="n"/>
      <x:c r="X1442" s="565" t="n"/>
      <x:c r="Y1442" s="565" t="n"/>
      <x:c r="Z1442" s="565" t="n"/>
    </x:row>
    <x:row r="1443">
      <x:c r="A1443" s="527" t="inlineStr">
        <x:is>
          <x:t xml:space="preserve">2021-001561</x:t>
        </x:is>
      </x:c>
      <x:c r="B1443" s="527" t="n">
        <x:v>54</x:v>
      </x:c>
      <x:c r="C1443" s="527" t="inlineStr">
        <x:is>
          <x:t xml:space="preserve">Assignment</x:t>
        </x:is>
      </x:c>
      <x:c r="D1443" s="527" t="inlineStr">
        <x:is>
          <x:t xml:space="preserve">2479/0001</x:t>
        </x:is>
      </x:c>
      <x:c r="E1443" s="529" t="inlineStr">
        <x:is>
          <x:t xml:space="preserve">09/24/2021</x:t>
        </x:is>
      </x:c>
      <x:c r="F1443" s="529" t="n">
        <x:v>44348</x:v>
      </x:c>
      <x:c r="G1443" s="527" t="inlineStr">
        <x:is>
          <x:t xml:space="preserve">Fairway Resources III, LLC,
Fairway Resources Partners III Minerals, LLC</x:t>
        </x:is>
      </x:c>
      <x:c r="H1443" s="527" t="inlineStr">
        <x:is>
          <x:t xml:space="preserve">Mustang Fuel Corporation</x:t>
        </x:is>
      </x:c>
      <x:c r="I1443" s="527" t="inlineStr">
        <x:is>
          <x:t xml:space="preserve">E/2 NW/4, NE/4 SE/4, NW/4 SE/4, S/2 SE/4 of 31-12N-24W (AOL)</x:t>
        </x:is>
      </x:c>
      <x:c r="J1443" s="527" t="inlineStr">
        <x:is>
          <x:t xml:space="preserve">Leasehold / WI</x:t>
        </x:is>
      </x:c>
      <x:c r="K1443" s="527" t="inlineStr">
        <x:is>
          <x:t xml:space="preserve">OKCountyRecords official index, Roger Mills County (instrument 2021-001561); searched 06/11/2026</x:t>
        </x:is>
      </x:c>
      <x:c r="L1443" s="565" t="n"/>
      <x:c r="M1443" s="565" t="n"/>
      <x:c r="N1443" s="565" t="n"/>
      <x:c r="O1443" s="565" t="n"/>
      <x:c r="P1443" s="565" t="n"/>
      <x:c r="Q1443" s="565" t="n"/>
      <x:c r="R1443" s="565" t="n"/>
      <x:c r="S1443" s="613" t="n"/>
      <x:c r="T1443" s="565" t="n"/>
      <x:c r="U1443" s="613" t="n"/>
      <x:c r="V1443" s="565" t="n"/>
      <x:c r="W1443" s="565" t="n"/>
      <x:c r="X1443" s="565" t="n"/>
      <x:c r="Y1443" s="565" t="n"/>
      <x:c r="Z1443" s="565" t="n"/>
    </x:row>
    <x:row r="1444">
      <x:c r="A1444" s="527" t="inlineStr">
        <x:is>
          <x:t xml:space="preserve">2021-001669</x:t>
        </x:is>
      </x:c>
      <x:c r="B1444" s="527" t="n">
        <x:v>55</x:v>
      </x:c>
      <x:c r="C1444" s="527" t="inlineStr">
        <x:is>
          <x:t xml:space="preserve">Assignment</x:t>
        </x:is>
      </x:c>
      <x:c r="D1444" s="527" t="inlineStr">
        <x:is>
          <x:t xml:space="preserve">2480/0297</x:t>
        </x:is>
      </x:c>
      <x:c r="E1444" s="529" t="inlineStr">
        <x:is>
          <x:t xml:space="preserve">10/07/2021</x:t>
        </x:is>
      </x:c>
      <x:c r="F1444" s="529" t="n">
        <x:v>44440</x:v>
      </x:c>
      <x:c r="G1444" s="527" t="inlineStr">
        <x:is>
          <x:t xml:space="preserve">TLW Investments, LLC</x:t>
        </x:is>
      </x:c>
      <x:c r="H1444" s="527" t="inlineStr">
        <x:is>
          <x:t xml:space="preserve">Cannon Field Minerals Fund I., LP</x:t>
        </x:is>
      </x:c>
      <x:c r="I1444" s="527" t="inlineStr">
        <x:is>
          <x:t xml:space="preserve">All of 31-12N-24W (AOL)</x:t>
        </x:is>
      </x:c>
      <x:c r="J1444" s="527" t="inlineStr">
        <x:is>
          <x:t xml:space="preserve">Leasehold / WI</x:t>
        </x:is>
      </x:c>
      <x:c r="K1444" s="527" t="inlineStr">
        <x:is>
          <x:t xml:space="preserve">OKCountyRecords official index, Roger Mills County (instrument 2021-001669); searched 06/11/2026</x:t>
        </x:is>
      </x:c>
      <x:c r="L1444" s="565" t="n"/>
      <x:c r="M1444" s="565" t="n"/>
      <x:c r="N1444" s="565" t="n"/>
      <x:c r="O1444" s="565" t="n"/>
      <x:c r="P1444" s="565" t="n"/>
      <x:c r="Q1444" s="565" t="n"/>
      <x:c r="R1444" s="565" t="n"/>
      <x:c r="S1444" s="613" t="n"/>
      <x:c r="T1444" s="565" t="n"/>
      <x:c r="U1444" s="613" t="n"/>
      <x:c r="V1444" s="565" t="n"/>
      <x:c r="W1444" s="565" t="n"/>
      <x:c r="X1444" s="565" t="n"/>
      <x:c r="Y1444" s="565" t="n"/>
      <x:c r="Z1444" s="565" t="n"/>
    </x:row>
    <x:row r="1445">
      <x:c r="A1445" s="527" t="inlineStr">
        <x:is>
          <x:t xml:space="preserve">2021-002152</x:t>
        </x:is>
      </x:c>
      <x:c r="B1445" s="527" t="n"/>
      <x:c r="C1445" s="527" t="inlineStr">
        <x:is>
          <x:t xml:space="preserve">Assignment</x:t>
        </x:is>
      </x:c>
      <x:c r="D1445" s="527" t="inlineStr">
        <x:is>
          <x:t xml:space="preserve">2484/0025</x:t>
        </x:is>
      </x:c>
      <x:c r="E1445" s="529" t="inlineStr">
        <x:is>
          <x:t xml:space="preserve">12/13/2021</x:t>
        </x:is>
      </x:c>
      <x:c r="F1445" s="529" t="n">
        <x:v>44530</x:v>
      </x:c>
      <x:c r="G1445" s="527" t="inlineStr">
        <x:is>
          <x:t xml:space="preserve">TLW Investments, LLC</x:t>
        </x:is>
      </x:c>
      <x:c r="H1445" s="527" t="inlineStr">
        <x:is>
          <x:t xml:space="preserve">Hillman Royalties</x:t>
        </x:is>
      </x:c>
      <x:c r="I1445" s="527" t="inlineStr">
        <x:is>
          <x:t xml:space="preserve">All of 31-12N-24W (AOL)</x:t>
        </x:is>
      </x:c>
      <x:c r="J1445" s="527" t="inlineStr">
        <x:is>
          <x:t xml:space="preserve">Leasehold / WI</x:t>
        </x:is>
      </x:c>
      <x:c r="K1445" s="527" t="inlineStr">
        <x:is>
          <x:t xml:space="preserve">OKCountyRecords official index, Roger Mills County (instrument 2021-002152); searched 06/11/2026</x:t>
        </x:is>
      </x:c>
      <x:c r="L1445" s="565" t="n"/>
      <x:c r="M1445" s="565" t="n"/>
      <x:c r="N1445" s="565" t="n"/>
      <x:c r="O1445" s="565" t="n"/>
      <x:c r="P1445" s="565" t="n"/>
      <x:c r="Q1445" s="565" t="n"/>
      <x:c r="R1445" s="565" t="n"/>
      <x:c r="S1445" s="613" t="n"/>
      <x:c r="T1445" s="565" t="n"/>
      <x:c r="U1445" s="613" t="n"/>
      <x:c r="V1445" s="565" t="n"/>
      <x:c r="W1445" s="565" t="n"/>
      <x:c r="X1445" s="565" t="n"/>
      <x:c r="Y1445" s="565" t="n"/>
      <x:c r="Z1445" s="565" t="n"/>
    </x:row>
    <x:row r="1446">
      <x:c r="A1446" s="527" t="inlineStr">
        <x:is>
          <x:t xml:space="preserve">2022-000185</x:t>
        </x:is>
      </x:c>
      <x:c r="B1446" s="527" t="n"/>
      <x:c r="C1446" s="527" t="inlineStr">
        <x:is>
          <x:t xml:space="preserve">Mineral Deed</x:t>
        </x:is>
      </x:c>
      <x:c r="D1446" s="527" t="inlineStr">
        <x:is>
          <x:t xml:space="preserve">2486/0262</x:t>
        </x:is>
      </x:c>
      <x:c r="E1446" s="529" t="inlineStr">
        <x:is>
          <x:t xml:space="preserve">01/31/2022</x:t>
        </x:is>
      </x:c>
      <x:c r="F1446" s="529" t="n">
        <x:v>44571</x:v>
      </x:c>
      <x:c r="G1446" s="527" t="inlineStr">
        <x:is>
          <x:t xml:space="preserve">Psi Lke, LLC</x:t>
        </x:is>
      </x:c>
      <x:c r="H1446" s="527" t="inlineStr">
        <x:is>
          <x:t xml:space="preserve">Cummins Minerals, Ltd.,
Eagle Owl, LP</x:t>
        </x:is>
      </x:c>
      <x:c r="I1446" s="527" t="inlineStr">
        <x:is>
          <x:t xml:space="preserve">All of 31-12N-24W (AOL)</x:t>
        </x:is>
      </x:c>
      <x:c r="J1446" s="527" t="inlineStr">
        <x:is>
          <x:t xml:space="preserve">Mineral</x:t>
        </x:is>
      </x:c>
      <x:c r="K1446" s="527" t="inlineStr">
        <x:is>
          <x:t xml:space="preserve">OKCountyRecords official index, Roger Mills County (instrument 2022-000185); searched 06/11/2026</x:t>
        </x:is>
      </x:c>
      <x:c r="L1446" s="565" t="n"/>
      <x:c r="M1446" s="565" t="n"/>
      <x:c r="N1446" s="565" t="n"/>
      <x:c r="O1446" s="565" t="n"/>
      <x:c r="P1446" s="565" t="n"/>
      <x:c r="Q1446" s="565" t="n"/>
      <x:c r="R1446" s="565" t="n"/>
      <x:c r="S1446" s="613" t="n"/>
      <x:c r="T1446" s="565" t="n"/>
      <x:c r="U1446" s="613" t="n"/>
      <x:c r="V1446" s="565" t="n"/>
      <x:c r="W1446" s="565" t="n"/>
      <x:c r="X1446" s="565" t="n"/>
      <x:c r="Y1446" s="565" t="n"/>
      <x:c r="Z1446" s="565" t="n"/>
    </x:row>
    <x:row r="1447">
      <x:c r="A1447" s="527" t="inlineStr">
        <x:is>
          <x:t xml:space="preserve">2022-000354</x:t>
        </x:is>
      </x:c>
      <x:c r="B1447" s="527" t="n"/>
      <x:c r="C1447" s="527" t="inlineStr">
        <x:is>
          <x:t xml:space="preserve">Assignment</x:t>
        </x:is>
      </x:c>
      <x:c r="D1447" s="527" t="inlineStr">
        <x:is>
          <x:t xml:space="preserve">2488/0081</x:t>
        </x:is>
      </x:c>
      <x:c r="E1447" s="529" t="inlineStr">
        <x:is>
          <x:t xml:space="preserve">02/23/2022</x:t>
        </x:is>
      </x:c>
      <x:c r="F1447" s="529" t="n">
        <x:v>44562</x:v>
      </x:c>
      <x:c r="G1447" s="527" t="inlineStr">
        <x:is>
          <x:t xml:space="preserve">TLW Investments</x:t>
        </x:is>
      </x:c>
      <x:c r="H1447" s="527" t="inlineStr">
        <x:is>
          <x:t xml:space="preserve">Chanas Partners, LLC</x:t>
        </x:is>
      </x:c>
      <x:c r="I1447" s="527" t="inlineStr">
        <x:is>
          <x:t xml:space="preserve">All of 31-12N-24W (AOL)</x:t>
        </x:is>
      </x:c>
      <x:c r="J1447" s="527" t="inlineStr">
        <x:is>
          <x:t xml:space="preserve">Leasehold / WI</x:t>
        </x:is>
      </x:c>
      <x:c r="K1447" s="527" t="inlineStr">
        <x:is>
          <x:t xml:space="preserve">OKCountyRecords official index, Roger Mills County (instrument 2022-000354); searched 06/11/2026</x:t>
        </x:is>
      </x:c>
      <x:c r="L1447" s="565" t="n"/>
      <x:c r="M1447" s="565" t="n"/>
      <x:c r="N1447" s="565" t="n"/>
      <x:c r="O1447" s="565" t="n"/>
      <x:c r="P1447" s="565" t="n"/>
      <x:c r="Q1447" s="565" t="n"/>
      <x:c r="R1447" s="565" t="n"/>
      <x:c r="S1447" s="613" t="n"/>
      <x:c r="T1447" s="565" t="n"/>
      <x:c r="U1447" s="613" t="n"/>
      <x:c r="V1447" s="565" t="n"/>
      <x:c r="W1447" s="565" t="n"/>
      <x:c r="X1447" s="565" t="n"/>
      <x:c r="Y1447" s="565" t="n"/>
      <x:c r="Z1447" s="565" t="n"/>
    </x:row>
    <x:row r="1448">
      <x:c r="A1448" s="527" t="inlineStr">
        <x:is>
          <x:t xml:space="preserve">2022-001083</x:t>
        </x:is>
      </x:c>
      <x:c r="B1448" s="527" t="n"/>
      <x:c r="C1448" s="527" t="inlineStr">
        <x:is>
          <x:t xml:space="preserve">Affidavit</x:t>
        </x:is>
      </x:c>
      <x:c r="D1448" s="527" t="inlineStr">
        <x:is>
          <x:t xml:space="preserve">2495/0430</x:t>
        </x:is>
      </x:c>
      <x:c r="E1448" s="529" t="inlineStr">
        <x:is>
          <x:t xml:space="preserve">06/03/2022</x:t>
        </x:is>
      </x:c>
      <x:c r="F1448" s="529" t="n">
        <x:v>44713</x:v>
      </x:c>
      <x:c r="G1448" s="527" t="inlineStr">
        <x:is>
          <x:t xml:space="preserve">Phx Minerals (de), Inc.,
Phx Minerals, Inc.</x:t>
        </x:is>
      </x:c>
      <x:c r="H1448" s="527" t="inlineStr">
        <x:is>
          <x:t xml:space="preserve">The Public</x:t>
        </x:is>
      </x:c>
      <x:c r="I1448" s="527" t="inlineStr">
        <x:is>
          <x:t xml:space="preserve">All of 31-12N-24W (AOL)</x:t>
        </x:is>
      </x:c>
      <x:c r="J1448" s="527" t="inlineStr">
        <x:is>
          <x:t xml:space="preserve">See instrument</x:t>
        </x:is>
      </x:c>
      <x:c r="K1448" s="527" t="inlineStr">
        <x:is>
          <x:t xml:space="preserve">OKCountyRecords official index, Roger Mills County (instrument 2022-001083); searched 06/11/2026</x:t>
        </x:is>
      </x:c>
      <x:c r="L1448" s="565" t="n"/>
      <x:c r="M1448" s="565" t="n"/>
      <x:c r="N1448" s="565" t="n"/>
      <x:c r="O1448" s="565" t="n"/>
      <x:c r="P1448" s="565" t="n"/>
      <x:c r="Q1448" s="565" t="n"/>
      <x:c r="R1448" s="565" t="n"/>
      <x:c r="S1448" s="613" t="n"/>
      <x:c r="T1448" s="565" t="n"/>
      <x:c r="U1448" s="613" t="n"/>
      <x:c r="V1448" s="565" t="n"/>
      <x:c r="W1448" s="565" t="n"/>
      <x:c r="X1448" s="565" t="n"/>
      <x:c r="Y1448" s="565" t="n"/>
      <x:c r="Z1448" s="565" t="n"/>
    </x:row>
    <x:row r="1449">
      <x:c r="A1449" s="527" t="inlineStr">
        <x:is>
          <x:t xml:space="preserve">2023-002269</x:t>
        </x:is>
      </x:c>
      <x:c r="B1449" s="527" t="n"/>
      <x:c r="C1449" s="527" t="inlineStr">
        <x:is>
          <x:t xml:space="preserve">Mineral Deed</x:t>
        </x:is>
      </x:c>
      <x:c r="D1449" s="527" t="inlineStr">
        <x:is>
          <x:t xml:space="preserve">2529/0217</x:t>
        </x:is>
      </x:c>
      <x:c r="E1449" s="529" t="inlineStr">
        <x:is>
          <x:t xml:space="preserve">07/07/2023</x:t>
        </x:is>
      </x:c>
      <x:c r="F1449" s="529" t="n">
        <x:v>45061</x:v>
      </x:c>
      <x:c r="G1449" s="527" t="inlineStr">
        <x:is>
          <x:t xml:space="preserve">Gregory J. Winneke</x:t>
        </x:is>
      </x:c>
      <x:c r="H1449" s="527" t="inlineStr">
        <x:is>
          <x:t xml:space="preserve">Hasbany Nsurance,
Eric Jansen</x:t>
        </x:is>
      </x:c>
      <x:c r="I1449" s="527" t="inlineStr">
        <x:is>
          <x:t xml:space="preserve">NW/4 SE/4, S/2 SE/4, SW/4 NE/4 of 31-12N-24W (AOL)</x:t>
        </x:is>
      </x:c>
      <x:c r="J1449" s="527" t="inlineStr">
        <x:is>
          <x:t xml:space="preserve">Mineral</x:t>
        </x:is>
      </x:c>
      <x:c r="K1449" s="527" t="inlineStr">
        <x:is>
          <x:t xml:space="preserve">OKCountyRecords official index, Roger Mills County (instrument 2023-002269); searched 06/11/2026</x:t>
        </x:is>
      </x:c>
      <x:c r="L1449" s="565" t="n"/>
      <x:c r="M1449" s="565" t="n"/>
      <x:c r="N1449" s="565" t="n"/>
      <x:c r="O1449" s="565" t="n"/>
      <x:c r="P1449" s="565" t="n"/>
      <x:c r="Q1449" s="565" t="n"/>
      <x:c r="R1449" s="565" t="n"/>
      <x:c r="S1449" s="613" t="n"/>
      <x:c r="T1449" s="565" t="n"/>
      <x:c r="U1449" s="613" t="n"/>
      <x:c r="V1449" s="565" t="n"/>
      <x:c r="W1449" s="565" t="n"/>
      <x:c r="X1449" s="565" t="n"/>
      <x:c r="Y1449" s="565" t="n"/>
      <x:c r="Z1449" s="565" t="n"/>
    </x:row>
    <x:row r="1450">
      <x:c r="A1450" s="527" t="inlineStr">
        <x:is>
          <x:t xml:space="preserve">2023-003590</x:t>
        </x:is>
      </x:c>
      <x:c r="B1450" s="527" t="n"/>
      <x:c r="C1450" s="527" t="inlineStr">
        <x:is>
          <x:t xml:space="preserve">Welbore Assignment</x:t>
        </x:is>
      </x:c>
      <x:c r="D1450" s="527" t="inlineStr">
        <x:is>
          <x:t xml:space="preserve">2542/0413</x:t>
        </x:is>
      </x:c>
      <x:c r="E1450" s="529" t="inlineStr">
        <x:is>
          <x:t xml:space="preserve">11/17/2023</x:t>
        </x:is>
      </x:c>
      <x:c r="F1450" s="529" t="n">
        <x:v>45200</x:v>
      </x:c>
      <x:c r="G1450" s="527" t="inlineStr">
        <x:is>
          <x:t xml:space="preserve">Unbridled Resources, LLC</x:t>
        </x:is>
      </x:c>
      <x:c r="H1450" s="527" t="inlineStr">
        <x:is>
          <x:t xml:space="preserve">MNR ABS Issuer I., LLC</x:t>
        </x:is>
      </x:c>
      <x:c r="I1450" s="527" t="inlineStr">
        <x:is>
          <x:t xml:space="preserve">All of 31-12N-24W (AOL)</x:t>
        </x:is>
      </x:c>
      <x:c r="J1450" s="527" t="inlineStr">
        <x:is>
          <x:t xml:space="preserve">Leasehold / WI</x:t>
        </x:is>
      </x:c>
      <x:c r="K1450" s="527" t="inlineStr">
        <x:is>
          <x:t xml:space="preserve">OKCountyRecords official index, Roger Mills County (instrument 2023-003590); searched 06/11/2026</x:t>
        </x:is>
      </x:c>
      <x:c r="L1450" s="565" t="n"/>
      <x:c r="M1450" s="565" t="n"/>
      <x:c r="N1450" s="565" t="n"/>
      <x:c r="O1450" s="565" t="n"/>
      <x:c r="P1450" s="565" t="n"/>
      <x:c r="Q1450" s="565" t="n"/>
      <x:c r="R1450" s="565" t="n"/>
      <x:c r="S1450" s="613" t="n"/>
      <x:c r="T1450" s="565" t="n"/>
      <x:c r="U1450" s="613" t="n"/>
      <x:c r="V1450" s="565" t="n"/>
      <x:c r="W1450" s="565" t="n"/>
      <x:c r="X1450" s="565" t="n"/>
      <x:c r="Y1450" s="565" t="n"/>
      <x:c r="Z1450" s="565" t="n"/>
    </x:row>
    <x:row r="1451">
      <x:c r="A1451" s="527" t="inlineStr">
        <x:is>
          <x:t xml:space="preserve">2023-003594</x:t>
        </x:is>
      </x:c>
      <x:c r="B1451" s="527" t="n"/>
      <x:c r="C1451" s="527" t="inlineStr">
        <x:is>
          <x:t xml:space="preserve">Amendment</x:t>
        </x:is>
      </x:c>
      <x:c r="D1451" s="527" t="inlineStr">
        <x:is>
          <x:t xml:space="preserve">2545/0001</x:t>
        </x:is>
      </x:c>
      <x:c r="E1451" s="529" t="inlineStr">
        <x:is>
          <x:t xml:space="preserve">11/17/2023</x:t>
        </x:is>
      </x:c>
      <x:c r="F1451" s="529" t="n">
        <x:v>45225</x:v>
      </x:c>
      <x:c r="G1451" s="527" t="inlineStr">
        <x:is>
          <x:t xml:space="preserve">MNR ABS Agent Corp.,
MNR ABS Issuer I., LLC,
Unbridled Resources, LLC</x:t>
        </x:is>
      </x:c>
      <x:c r="H1451" s="527" t="inlineStr">
        <x:is>
          <x:t xml:space="preserve">MNR ABS Agent Corp.,
Mns ABS Issuer I., LLC</x:t>
        </x:is>
      </x:c>
      <x:c r="I1451" s="527" t="inlineStr">
        <x:is>
          <x:t xml:space="preserve">All of 31-12N-24W (AOL)</x:t>
        </x:is>
      </x:c>
      <x:c r="J1451" s="527" t="inlineStr">
        <x:is>
          <x:t xml:space="preserve">Leasehold / WI</x:t>
        </x:is>
      </x:c>
      <x:c r="K1451" s="527" t="inlineStr">
        <x:is>
          <x:t xml:space="preserve">OKCountyRecords official index, Roger Mills County (instrument 2023-003594); searched 06/11/2026</x:t>
        </x:is>
      </x:c>
      <x:c r="L1451" s="565" t="n"/>
      <x:c r="M1451" s="565" t="n"/>
      <x:c r="N1451" s="565" t="n"/>
      <x:c r="O1451" s="565" t="n"/>
      <x:c r="P1451" s="565" t="n"/>
      <x:c r="Q1451" s="565" t="n"/>
      <x:c r="R1451" s="565" t="n"/>
      <x:c r="S1451" s="613" t="n"/>
      <x:c r="T1451" s="565" t="n"/>
      <x:c r="U1451" s="613" t="n"/>
      <x:c r="V1451" s="565" t="n"/>
      <x:c r="W1451" s="565" t="n"/>
      <x:c r="X1451" s="565" t="n"/>
      <x:c r="Y1451" s="565" t="n"/>
      <x:c r="Z1451" s="565" t="n"/>
    </x:row>
    <x:row r="1452">
      <x:c r="A1452" s="527" t="inlineStr">
        <x:is>
          <x:t xml:space="preserve">2023-003598</x:t>
        </x:is>
      </x:c>
      <x:c r="B1452" s="527" t="n"/>
      <x:c r="C1452" s="527" t="inlineStr">
        <x:is>
          <x:t xml:space="preserve">Amendment</x:t>
        </x:is>
      </x:c>
      <x:c r="D1452" s="527" t="inlineStr">
        <x:is>
          <x:t xml:space="preserve">2546/0001</x:t>
        </x:is>
      </x:c>
      <x:c r="E1452" s="529" t="inlineStr">
        <x:is>
          <x:t xml:space="preserve">11/20/2023</x:t>
        </x:is>
      </x:c>
      <x:c r="F1452" s="529" t="n">
        <x:v>45250</x:v>
      </x:c>
      <x:c r="G1452" s="527" t="inlineStr">
        <x:is>
          <x:t xml:space="preserve">Unbridled Resources, LLC</x:t>
        </x:is>
      </x:c>
      <x:c r="H1452" s="527" t="inlineStr">
        <x:is>
          <x:t xml:space="preserve">Jp Morgan Chase Bank</x:t>
        </x:is>
      </x:c>
      <x:c r="I1452" s="527" t="inlineStr">
        <x:is>
          <x:t xml:space="preserve">All of 31-12N-24W (AOL)</x:t>
        </x:is>
      </x:c>
      <x:c r="J1452" s="527" t="inlineStr">
        <x:is>
          <x:t xml:space="preserve">Leasehold / WI</x:t>
        </x:is>
      </x:c>
      <x:c r="K1452" s="527" t="inlineStr">
        <x:is>
          <x:t xml:space="preserve">OKCountyRecords official index, Roger Mills County (instrument 2023-003598); searched 06/11/2026</x:t>
        </x:is>
      </x:c>
      <x:c r="L1452" s="565" t="n"/>
      <x:c r="M1452" s="565" t="n"/>
      <x:c r="N1452" s="565" t="n"/>
      <x:c r="O1452" s="565" t="n"/>
      <x:c r="P1452" s="565" t="n"/>
      <x:c r="Q1452" s="565" t="n"/>
      <x:c r="R1452" s="565" t="n"/>
      <x:c r="S1452" s="613" t="n"/>
      <x:c r="T1452" s="565" t="n"/>
      <x:c r="U1452" s="613" t="n"/>
      <x:c r="V1452" s="565" t="n"/>
      <x:c r="W1452" s="565" t="n"/>
      <x:c r="X1452" s="565" t="n"/>
      <x:c r="Y1452" s="565" t="n"/>
      <x:c r="Z1452" s="565" t="n"/>
    </x:row>
    <x:row r="1453">
      <x:c r="A1453" s="527" t="inlineStr">
        <x:is>
          <x:t xml:space="preserve">2024-002310</x:t>
        </x:is>
      </x:c>
      <x:c r="B1453" s="527" t="n">
        <x:v>57</x:v>
      </x:c>
      <x:c r="C1453" s="527" t="inlineStr">
        <x:is>
          <x:t xml:space="preserve">Assignment</x:t>
        </x:is>
      </x:c>
      <x:c r="D1453" s="527" t="inlineStr">
        <x:is>
          <x:t xml:space="preserve">2567/0102</x:t>
        </x:is>
      </x:c>
      <x:c r="E1453" s="529" t="inlineStr">
        <x:is>
          <x:t xml:space="preserve">04/19/2024</x:t>
        </x:is>
      </x:c>
      <x:c r="F1453" s="529" t="n">
        <x:v>45391</x:v>
      </x:c>
      <x:c r="G1453" s="527" t="inlineStr">
        <x:is>
          <x:t xml:space="preserve">Yale Oil Association, Inc.</x:t>
        </x:is>
      </x:c>
      <x:c r="H1453" s="527" t="inlineStr">
        <x:is>
          <x:t xml:space="preserve">K. C. Production, LLC</x:t>
        </x:is>
      </x:c>
      <x:c r="I1453" s="527" t="inlineStr">
        <x:is>
          <x:t xml:space="preserve">All of 31-12N-24W (AOL)</x:t>
        </x:is>
      </x:c>
      <x:c r="J1453" s="527" t="inlineStr">
        <x:is>
          <x:t xml:space="preserve">Leasehold / WI</x:t>
        </x:is>
      </x:c>
      <x:c r="K1453" s="527" t="inlineStr">
        <x:is>
          <x:t xml:space="preserve">OKCountyRecords official index, Roger Mills County (instrument 2024-002310); searched 06/11/2026</x:t>
        </x:is>
      </x:c>
      <x:c r="L1453" s="565" t="n"/>
      <x:c r="M1453" s="565" t="n"/>
      <x:c r="N1453" s="565" t="n"/>
      <x:c r="O1453" s="565" t="n"/>
      <x:c r="P1453" s="565" t="n"/>
      <x:c r="Q1453" s="565" t="n"/>
      <x:c r="R1453" s="565" t="n"/>
      <x:c r="S1453" s="613" t="n"/>
      <x:c r="T1453" s="565" t="n"/>
      <x:c r="U1453" s="613" t="n"/>
      <x:c r="V1453" s="565" t="n"/>
      <x:c r="W1453" s="565" t="n"/>
      <x:c r="X1453" s="565" t="n"/>
      <x:c r="Y1453" s="565" t="n"/>
      <x:c r="Z1453" s="565" t="n"/>
    </x:row>
    <x:row r="1454">
      <x:c r="A1454" s="527" t="inlineStr">
        <x:is>
          <x:t xml:space="preserve">2024-003107</x:t>
        </x:is>
      </x:c>
      <x:c r="B1454" s="527" t="n">
        <x:v>58</x:v>
      </x:c>
      <x:c r="C1454" s="527" t="inlineStr">
        <x:is>
          <x:t xml:space="preserve">Assignment</x:t>
        </x:is>
      </x:c>
      <x:c r="D1454" s="527" t="inlineStr">
        <x:is>
          <x:t xml:space="preserve">2571/0579</x:t>
        </x:is>
      </x:c>
      <x:c r="E1454" s="529" t="inlineStr">
        <x:is>
          <x:t xml:space="preserve">05/20/2024</x:t>
        </x:is>
      </x:c>
      <x:c r="F1454" s="529" t="n">
        <x:v>45399</x:v>
      </x:c>
      <x:c r="G1454" s="527" t="inlineStr">
        <x:is>
          <x:t xml:space="preserve">Yale Oil Association, Inc.</x:t>
        </x:is>
      </x:c>
      <x:c r="H1454" s="527" t="inlineStr">
        <x:is>
          <x:t xml:space="preserve">Greg Cox,
Kathy Merkel-cox</x:t>
        </x:is>
      </x:c>
      <x:c r="I1454" s="527" t="inlineStr">
        <x:is>
          <x:t xml:space="preserve">All of 31-12N-24W (AOL)</x:t>
        </x:is>
      </x:c>
      <x:c r="J1454" s="527" t="inlineStr">
        <x:is>
          <x:t xml:space="preserve">Leasehold / WI</x:t>
        </x:is>
      </x:c>
      <x:c r="K1454" s="527" t="inlineStr">
        <x:is>
          <x:t xml:space="preserve">OKCountyRecords official index, Roger Mills County (instrument 2024-003107); searched 06/11/2026</x:t>
        </x:is>
      </x:c>
      <x:c r="L1454" s="565" t="n"/>
      <x:c r="M1454" s="565" t="n"/>
      <x:c r="N1454" s="565" t="n"/>
      <x:c r="O1454" s="565" t="n"/>
      <x:c r="P1454" s="565" t="n"/>
      <x:c r="Q1454" s="565" t="n"/>
      <x:c r="R1454" s="565" t="n"/>
      <x:c r="S1454" s="613" t="n"/>
      <x:c r="T1454" s="565" t="n"/>
      <x:c r="U1454" s="613" t="n"/>
      <x:c r="V1454" s="565" t="n"/>
      <x:c r="W1454" s="565" t="n"/>
      <x:c r="X1454" s="565" t="n"/>
      <x:c r="Y1454" s="565" t="n"/>
      <x:c r="Z1454" s="565" t="n"/>
    </x:row>
    <x:row r="1455">
      <x:c r="A1455" s="527" t="inlineStr">
        <x:is>
          <x:t xml:space="preserve">2024-004961</x:t>
        </x:is>
      </x:c>
      <x:c r="B1455" s="527" t="n"/>
      <x:c r="C1455" s="527" t="inlineStr">
        <x:is>
          <x:t xml:space="preserve">Partial Assignment</x:t>
        </x:is>
      </x:c>
      <x:c r="D1455" s="527" t="inlineStr">
        <x:is>
          <x:t xml:space="preserve">2584/0149</x:t>
        </x:is>
      </x:c>
      <x:c r="E1455" s="529" t="inlineStr">
        <x:is>
          <x:t xml:space="preserve">08/05/2024</x:t>
        </x:is>
      </x:c>
      <x:c r="F1455" s="529" t="n">
        <x:v>45148</x:v>
      </x:c>
      <x:c r="G1455" s="527" t="inlineStr">
        <x:is>
          <x:t xml:space="preserve">Chanas Partners, LLC</x:t>
        </x:is>
      </x:c>
      <x:c r="H1455" s="527" t="inlineStr">
        <x:is>
          <x:t xml:space="preserve">NWR Mineral Partners, LLC</x:t>
        </x:is>
      </x:c>
      <x:c r="I1455" s="527" t="inlineStr">
        <x:is>
          <x:t xml:space="preserve">All of 31-12N-24W (AOL)</x:t>
        </x:is>
      </x:c>
      <x:c r="J1455" s="527" t="inlineStr">
        <x:is>
          <x:t xml:space="preserve">Leasehold / WI</x:t>
        </x:is>
      </x:c>
      <x:c r="K1455" s="527" t="inlineStr">
        <x:is>
          <x:t xml:space="preserve">OKCountyRecords official index, Roger Mills County (instrument 2024-004961); searched 06/11/2026</x:t>
        </x:is>
      </x:c>
      <x:c r="L1455" s="565" t="n"/>
      <x:c r="M1455" s="565" t="n"/>
      <x:c r="N1455" s="565" t="n"/>
      <x:c r="O1455" s="565" t="n"/>
      <x:c r="P1455" s="565" t="n"/>
      <x:c r="Q1455" s="565" t="n"/>
      <x:c r="R1455" s="565" t="n"/>
      <x:c r="S1455" s="613" t="n"/>
      <x:c r="T1455" s="565" t="n"/>
      <x:c r="U1455" s="613" t="n"/>
      <x:c r="V1455" s="565" t="n"/>
      <x:c r="W1455" s="565" t="n"/>
      <x:c r="X1455" s="565" t="n"/>
      <x:c r="Y1455" s="565" t="n"/>
      <x:c r="Z1455" s="565" t="n"/>
    </x:row>
    <x:row r="1456">
      <x:c r="A1456" s="527" t="inlineStr">
        <x:is>
          <x:t xml:space="preserve">2024-007198</x:t>
        </x:is>
      </x:c>
      <x:c r="B1456" s="527" t="n"/>
      <x:c r="C1456" s="527" t="inlineStr">
        <x:is>
          <x:t xml:space="preserve">Conveyance</x:t>
        </x:is>
      </x:c>
      <x:c r="D1456" s="527" t="inlineStr">
        <x:is>
          <x:t xml:space="preserve">2599/0463</x:t>
        </x:is>
      </x:c>
      <x:c r="E1456" s="529" t="inlineStr">
        <x:is>
          <x:t xml:space="preserve">11/18/2024</x:t>
        </x:is>
      </x:c>
      <x:c r="F1456" s="529" t="n">
        <x:v>45588</x:v>
      </x:c>
      <x:c r="G1456" s="527" t="inlineStr">
        <x:is>
          <x:t xml:space="preserve">Yale Oil Association, Inc.</x:t>
        </x:is>
      </x:c>
      <x:c r="H1456" s="527" t="inlineStr">
        <x:is>
          <x:t xml:space="preserve">Comanche Oil &amp; Gas, Inc.</x:t>
        </x:is>
      </x:c>
      <x:c r="I1456" s="527" t="inlineStr">
        <x:is>
          <x:t xml:space="preserve">All of 31-12N-24W (AOL)</x:t>
        </x:is>
      </x:c>
      <x:c r="J1456" s="527" t="inlineStr">
        <x:is>
          <x:t xml:space="preserve">Fee / as stated</x:t>
        </x:is>
      </x:c>
      <x:c r="K1456" s="527" t="inlineStr">
        <x:is>
          <x:t xml:space="preserve">OKCountyRecords official index, Roger Mills County (instrument 2024-007198); searched 06/11/2026</x:t>
        </x:is>
      </x:c>
      <x:c r="L1456" s="565" t="n"/>
      <x:c r="M1456" s="565" t="n"/>
      <x:c r="N1456" s="565" t="n"/>
      <x:c r="O1456" s="565" t="n"/>
      <x:c r="P1456" s="565" t="n"/>
      <x:c r="Q1456" s="565" t="n"/>
      <x:c r="R1456" s="565" t="n"/>
      <x:c r="S1456" s="613" t="n"/>
      <x:c r="T1456" s="565" t="n"/>
      <x:c r="U1456" s="613" t="n"/>
      <x:c r="V1456" s="565" t="n"/>
      <x:c r="W1456" s="565" t="n"/>
      <x:c r="X1456" s="565" t="n"/>
      <x:c r="Y1456" s="565" t="n"/>
      <x:c r="Z1456" s="565" t="n"/>
    </x:row>
    <x:row r="1457">
      <x:c r="A1457" s="527" t="inlineStr">
        <x:is>
          <x:t xml:space="preserve">2024-007203</x:t>
        </x:is>
      </x:c>
      <x:c r="B1457" s="527" t="n">
        <x:v>60</x:v>
      </x:c>
      <x:c r="C1457" s="527" t="inlineStr">
        <x:is>
          <x:t xml:space="preserve">Merger</x:t>
        </x:is>
      </x:c>
      <x:c r="D1457" s="527" t="inlineStr">
        <x:is>
          <x:t xml:space="preserve">2599/0505</x:t>
        </x:is>
      </x:c>
      <x:c r="E1457" s="529" t="inlineStr">
        <x:is>
          <x:t xml:space="preserve">11/18/2024</x:t>
        </x:is>
      </x:c>
      <x:c r="F1457" s="529" t="n">
        <x:v>45589</x:v>
      </x:c>
      <x:c r="G1457" s="527" t="inlineStr">
        <x:is>
          <x:t xml:space="preserve">Blue Mountain Midstream, LLC,
Citizen Energy Operating, LLC,
Pressburg, LLC,
Validus Energy II Midcon, LLC</x:t>
        </x:is>
      </x:c>
      <x:c r="H1457" s="527" t="inlineStr">
        <x:is>
          <x:t xml:space="preserve">The Public</x:t>
        </x:is>
      </x:c>
      <x:c r="I1457" s="527" t="inlineStr">
        <x:is>
          <x:t xml:space="preserve">All of 31-12N-24W (AOL)</x:t>
        </x:is>
      </x:c>
      <x:c r="J1457" s="527" t="inlineStr">
        <x:is>
          <x:t xml:space="preserve">Fee / as stated</x:t>
        </x:is>
      </x:c>
      <x:c r="K1457" s="527" t="inlineStr">
        <x:is>
          <x:t xml:space="preserve">OKCountyRecords official index, Roger Mills County (instrument 2024-007203); searched 06/11/2026</x:t>
        </x:is>
      </x:c>
      <x:c r="L1457" s="565" t="n"/>
      <x:c r="M1457" s="565" t="n"/>
      <x:c r="N1457" s="565" t="n"/>
      <x:c r="O1457" s="565" t="n"/>
      <x:c r="P1457" s="565" t="n"/>
      <x:c r="Q1457" s="565" t="n"/>
      <x:c r="R1457" s="565" t="n"/>
      <x:c r="S1457" s="613" t="n"/>
      <x:c r="T1457" s="565" t="n"/>
      <x:c r="U1457" s="613" t="n"/>
      <x:c r="V1457" s="565" t="n"/>
      <x:c r="W1457" s="565" t="n"/>
      <x:c r="X1457" s="565" t="n"/>
      <x:c r="Y1457" s="565" t="n"/>
      <x:c r="Z1457" s="565" t="n"/>
    </x:row>
    <x:row r="1458">
      <x:c r="A1458" s="527" t="inlineStr">
        <x:is>
          <x:t xml:space="preserve">2025-000252</x:t>
        </x:is>
      </x:c>
      <x:c r="B1458" s="527" t="n"/>
      <x:c r="C1458" s="527" t="inlineStr">
        <x:is>
          <x:t xml:space="preserve">Correction</x:t>
        </x:is>
      </x:c>
      <x:c r="D1458" s="527" t="inlineStr">
        <x:is>
          <x:t xml:space="preserve">2608/0397</x:t>
        </x:is>
      </x:c>
      <x:c r="E1458" s="529" t="inlineStr">
        <x:is>
          <x:t xml:space="preserve">01/15/2025</x:t>
        </x:is>
      </x:c>
      <x:c r="F1458" s="529" t="n">
        <x:v>45648</x:v>
      </x:c>
      <x:c r="G1458" s="527" t="inlineStr">
        <x:is>
          <x:t xml:space="preserve">Fairway Resources III, LLC,
Fairway Resources Partners III Minerals, LLC</x:t>
        </x:is>
      </x:c>
      <x:c r="H1458" s="527" t="inlineStr">
        <x:is>
          <x:t xml:space="preserve">Mustang Fuel Corporation</x:t>
        </x:is>
      </x:c>
      <x:c r="I1458" s="527" t="inlineStr">
        <x:is>
          <x:t xml:space="preserve">All of 31-12N-24W (AOL)</x:t>
        </x:is>
      </x:c>
      <x:c r="J1458" s="527" t="inlineStr">
        <x:is>
          <x:t xml:space="preserve">See instrument</x:t>
        </x:is>
      </x:c>
      <x:c r="K1458" s="527" t="inlineStr">
        <x:is>
          <x:t xml:space="preserve">OKCountyRecords official index, Roger Mills County (instrument 2025-000252); searched 06/11/2026</x:t>
        </x:is>
      </x:c>
      <x:c r="L1458" s="565" t="n"/>
      <x:c r="M1458" s="565" t="n"/>
      <x:c r="N1458" s="565" t="n"/>
      <x:c r="O1458" s="565" t="n"/>
      <x:c r="P1458" s="565" t="n"/>
      <x:c r="Q1458" s="565" t="n"/>
      <x:c r="R1458" s="565" t="n"/>
      <x:c r="S1458" s="613" t="n"/>
      <x:c r="T1458" s="565" t="n"/>
      <x:c r="U1458" s="613" t="n"/>
      <x:c r="V1458" s="565" t="n"/>
      <x:c r="W1458" s="565" t="n"/>
      <x:c r="X1458" s="565" t="n"/>
      <x:c r="Y1458" s="565" t="n"/>
      <x:c r="Z1458" s="565" t="n"/>
    </x:row>
    <x:row r="1459">
      <x:c r="A1459" s="527" t="inlineStr">
        <x:is>
          <x:t xml:space="preserve">2025-001343</x:t>
        </x:is>
      </x:c>
      <x:c r="B1459" s="527" t="n"/>
      <x:c r="C1459" s="527" t="inlineStr">
        <x:is>
          <x:t xml:space="preserve">Joint Tenancy Quit Claim Mineral Deed</x:t>
        </x:is>
      </x:c>
      <x:c r="D1459" s="527" t="inlineStr">
        <x:is>
          <x:t xml:space="preserve">2617/0228</x:t>
        </x:is>
      </x:c>
      <x:c r="E1459" s="529" t="inlineStr">
        <x:is>
          <x:t xml:space="preserve">03/12/2025</x:t>
        </x:is>
      </x:c>
      <x:c r="F1459" s="529" t="n">
        <x:v>45726</x:v>
      </x:c>
      <x:c r="G1459" s="527" t="inlineStr">
        <x:is>
          <x:t xml:space="preserve">Eleanor a/k/a Wheeler,
Eleanore Wheeler</x:t>
        </x:is>
      </x:c>
      <x:c r="H1459" s="527" t="inlineStr">
        <x:is>
          <x:t xml:space="preserve">Eleanore Wheeler,
Shirley Wheeler</x:t>
        </x:is>
      </x:c>
      <x:c r="I1459" s="527" t="inlineStr">
        <x:is>
          <x:t xml:space="preserve">S/2 NE/4 SW/4, SE/4 SW/4, Lots 3 of 31-12N-24W (AOL)</x:t>
        </x:is>
      </x:c>
      <x:c r="J1459" s="527" t="inlineStr">
        <x:is>
          <x:t xml:space="preserve">Mineral</x:t>
        </x:is>
      </x:c>
      <x:c r="K1459" s="527" t="inlineStr">
        <x:is>
          <x:t xml:space="preserve">OKCountyRecords official index, Roger Mills County (instrument 2025-001343); searched 06/11/2026</x:t>
        </x:is>
      </x:c>
      <x:c r="L1459" s="565" t="n"/>
      <x:c r="M1459" s="565" t="n"/>
      <x:c r="N1459" s="565" t="n"/>
      <x:c r="O1459" s="565" t="n"/>
      <x:c r="P1459" s="565" t="n"/>
      <x:c r="Q1459" s="565" t="n"/>
      <x:c r="R1459" s="565" t="n"/>
      <x:c r="S1459" s="613" t="n"/>
      <x:c r="T1459" s="565" t="n"/>
      <x:c r="U1459" s="613" t="n"/>
      <x:c r="V1459" s="565" t="n"/>
      <x:c r="W1459" s="565" t="n"/>
      <x:c r="X1459" s="565" t="n"/>
      <x:c r="Y1459" s="565" t="n"/>
      <x:c r="Z1459" s="565" t="n"/>
    </x:row>
    <x:row r="1460">
      <x:c r="A1460" s="527" t="inlineStr">
        <x:is>
          <x:t xml:space="preserve">2025-002923</x:t>
        </x:is>
      </x:c>
      <x:c r="B1460" s="527" t="n"/>
      <x:c r="C1460" s="527" t="inlineStr">
        <x:is>
          <x:t xml:space="preserve">Affidavit</x:t>
        </x:is>
      </x:c>
      <x:c r="D1460" s="527" t="inlineStr">
        <x:is>
          <x:t xml:space="preserve">2628/0429</x:t>
        </x:is>
      </x:c>
      <x:c r="E1460" s="529" t="inlineStr">
        <x:is>
          <x:t xml:space="preserve">05/15/2025</x:t>
        </x:is>
      </x:c>
      <x:c r="F1460" s="529" t="n">
        <x:v>45784</x:v>
      </x:c>
      <x:c r="G1460" s="527" t="inlineStr">
        <x:is>
          <x:t xml:space="preserve">Diversified Energy Company</x:t>
        </x:is>
      </x:c>
      <x:c r="H1460" s="527" t="inlineStr">
        <x:is>
          <x:t xml:space="preserve">Maverick Natural Resources, LLC,
The Public,
Remington Merger Sub, LLC,
Unbridled Resources, LLC</x:t>
        </x:is>
      </x:c>
      <x:c r="I1460" s="527" t="inlineStr">
        <x:is>
          <x:t xml:space="preserve">All of 31-12N-24W (AOL)</x:t>
        </x:is>
      </x:c>
      <x:c r="J1460" s="527" t="inlineStr">
        <x:is>
          <x:t xml:space="preserve">See instrument</x:t>
        </x:is>
      </x:c>
      <x:c r="K1460" s="527" t="inlineStr">
        <x:is>
          <x:t xml:space="preserve">OKCountyRecords official index, Roger Mills County (instrument 2025-002923); searched 06/11/2026</x:t>
        </x:is>
      </x:c>
      <x:c r="L1460" s="565" t="n"/>
      <x:c r="M1460" s="565" t="n"/>
      <x:c r="N1460" s="565" t="n"/>
      <x:c r="O1460" s="565" t="n"/>
      <x:c r="P1460" s="565" t="n"/>
      <x:c r="Q1460" s="565" t="n"/>
      <x:c r="R1460" s="565" t="n"/>
      <x:c r="S1460" s="613" t="n"/>
      <x:c r="T1460" s="565" t="n"/>
      <x:c r="U1460" s="613" t="n"/>
      <x:c r="V1460" s="565" t="n"/>
      <x:c r="W1460" s="565" t="n"/>
      <x:c r="X1460" s="565" t="n"/>
      <x:c r="Y1460" s="565" t="n"/>
      <x:c r="Z1460" s="565" t="n"/>
    </x:row>
    <x:row r="1461">
      <x:c r="A1461" s="527" t="inlineStr">
        <x:is>
          <x:t xml:space="preserve">2025-003963</x:t>
        </x:is>
      </x:c>
      <x:c r="B1461" s="527" t="n"/>
      <x:c r="C1461" s="527" t="inlineStr">
        <x:is>
          <x:t xml:space="preserve">Warranty Deed</x:t>
        </x:is>
      </x:c>
      <x:c r="D1461" s="527" t="inlineStr">
        <x:is>
          <x:t xml:space="preserve">2638/0058</x:t>
        </x:is>
      </x:c>
      <x:c r="E1461" s="529" t="inlineStr">
        <x:is>
          <x:t xml:space="preserve">07/02/2025</x:t>
        </x:is>
      </x:c>
      <x:c r="F1461" s="529" t="n">
        <x:v>45726</x:v>
      </x:c>
      <x:c r="G1461" s="527" t="inlineStr">
        <x:is>
          <x:t xml:space="preserve">Jesse Joe Newell,
Rachael Elizabeth Newell</x:t>
        </x:is>
      </x:c>
      <x:c r="H1461" s="527" t="inlineStr">
        <x:is>
          <x:t xml:space="preserve">Newell Farms Trust,
Jesse Joe Newell, Trustee,
Rachael Elizabeth Newell, Trustee</x:t>
        </x:is>
      </x:c>
      <x:c r="I1461" s="527" t="inlineStr">
        <x:is>
          <x:t xml:space="preserve">E/2 W/2, Lots 1 of 31-12N-24W (AOL)</x:t>
        </x:is>
      </x:c>
      <x:c r="J1461" s="527" t="inlineStr">
        <x:is>
          <x:t xml:space="preserve">Fee / as stated</x:t>
        </x:is>
      </x:c>
      <x:c r="K1461" s="527" t="inlineStr">
        <x:is>
          <x:t xml:space="preserve">OKCountyRecords official index, Roger Mills County (instrument 2025-003963); searched 06/11/2026</x:t>
        </x:is>
      </x:c>
      <x:c r="L1461" s="565" t="n"/>
      <x:c r="M1461" s="565" t="n"/>
      <x:c r="N1461" s="565" t="n"/>
      <x:c r="O1461" s="565" t="n"/>
      <x:c r="P1461" s="565" t="n"/>
      <x:c r="Q1461" s="565" t="n"/>
      <x:c r="R1461" s="565" t="n"/>
      <x:c r="S1461" s="613" t="n"/>
      <x:c r="T1461" s="565" t="n"/>
      <x:c r="U1461" s="613" t="n"/>
      <x:c r="V1461" s="565" t="n"/>
      <x:c r="W1461" s="565" t="n"/>
      <x:c r="X1461" s="565" t="n"/>
      <x:c r="Y1461" s="565" t="n"/>
      <x:c r="Z1461" s="565" t="n"/>
    </x:row>
    <x:row r="1462">
      <x:c r="A1462" s="527" t="inlineStr">
        <x:is>
          <x:t xml:space="preserve">2025-005448</x:t>
        </x:is>
      </x:c>
      <x:c r="B1462" s="527" t="n"/>
      <x:c r="C1462" s="527" t="inlineStr">
        <x:is>
          <x:t xml:space="preserve">Mineral Deed</x:t>
        </x:is>
      </x:c>
      <x:c r="D1462" s="527" t="inlineStr">
        <x:is>
          <x:t xml:space="preserve">2649/0286</x:t>
        </x:is>
      </x:c>
      <x:c r="E1462" s="529" t="inlineStr">
        <x:is>
          <x:t xml:space="preserve">09/08/2025</x:t>
        </x:is>
      </x:c>
      <x:c r="F1462" s="529" t="n">
        <x:v>45896</x:v>
      </x:c>
      <x:c r="G1462" s="527" t="inlineStr">
        <x:is>
          <x:t xml:space="preserve">GT Mineral Holdings, LLC</x:t>
        </x:is>
      </x:c>
      <x:c r="H1462" s="527" t="inlineStr">
        <x:is>
          <x:t xml:space="preserve">Berlain Limited Company</x:t>
        </x:is>
      </x:c>
      <x:c r="I1462" s="527" t="inlineStr">
        <x:is>
          <x:t xml:space="preserve">NW/4 SE/4, S/2 SE/4, SW/4 NE/4 of 31-12N-24W (AOL)</x:t>
        </x:is>
      </x:c>
      <x:c r="J1462" s="527" t="inlineStr">
        <x:is>
          <x:t xml:space="preserve">Mineral</x:t>
        </x:is>
      </x:c>
      <x:c r="K1462" s="527" t="inlineStr">
        <x:is>
          <x:t xml:space="preserve">OKCountyRecords official index, Roger Mills County (instrument 2025-005448); searched 06/11/2026</x:t>
        </x:is>
      </x:c>
      <x:c r="L1462" s="565" t="n"/>
      <x:c r="M1462" s="565" t="n"/>
      <x:c r="N1462" s="565" t="n"/>
      <x:c r="O1462" s="565" t="n"/>
      <x:c r="P1462" s="565" t="n"/>
      <x:c r="Q1462" s="565" t="n"/>
      <x:c r="R1462" s="565" t="n"/>
      <x:c r="S1462" s="613" t="n"/>
      <x:c r="T1462" s="565" t="n"/>
      <x:c r="U1462" s="613" t="n"/>
      <x:c r="V1462" s="565" t="n"/>
      <x:c r="W1462" s="565" t="n"/>
      <x:c r="X1462" s="565" t="n"/>
      <x:c r="Y1462" s="565" t="n"/>
      <x:c r="Z1462" s="565" t="n"/>
    </x:row>
    <x:row r="1463">
      <x:c r="A1463" s="527" t="inlineStr">
        <x:is>
          <x:t xml:space="preserve">2025-005451</x:t>
        </x:is>
      </x:c>
      <x:c r="B1463" s="527" t="n"/>
      <x:c r="C1463" s="527" t="inlineStr">
        <x:is>
          <x:t xml:space="preserve">Mineral Deed</x:t>
        </x:is>
      </x:c>
      <x:c r="D1463" s="527" t="inlineStr">
        <x:is>
          <x:t xml:space="preserve">2649/0298</x:t>
        </x:is>
      </x:c>
      <x:c r="E1463" s="529" t="inlineStr">
        <x:is>
          <x:t xml:space="preserve">09/08/2025</x:t>
        </x:is>
      </x:c>
      <x:c r="F1463" s="529" t="n">
        <x:v>45897</x:v>
      </x:c>
      <x:c r="G1463" s="527" t="inlineStr">
        <x:is>
          <x:t xml:space="preserve">Berlain Limited Company</x:t>
        </x:is>
      </x:c>
      <x:c r="H1463" s="527" t="inlineStr">
        <x:is>
          <x:t xml:space="preserve">Longreach Energy 2, LLC,
Royfin Natural Gas, LLC</x:t>
        </x:is>
      </x:c>
      <x:c r="I1463" s="527" t="inlineStr">
        <x:is>
          <x:t xml:space="preserve">NW/4 SE/4, S/2 SE/4, SW/4 NE/4 of 31-12N-24W (AOL)</x:t>
        </x:is>
      </x:c>
      <x:c r="J1463" s="527" t="inlineStr">
        <x:is>
          <x:t xml:space="preserve">Mineral</x:t>
        </x:is>
      </x:c>
      <x:c r="K1463" s="527" t="inlineStr">
        <x:is>
          <x:t xml:space="preserve">OKCountyRecords official index, Roger Mills County (instrument 2025-005451); searched 06/11/2026</x:t>
        </x:is>
      </x:c>
      <x:c r="L1463" s="565" t="n"/>
      <x:c r="M1463" s="565" t="n"/>
      <x:c r="N1463" s="565" t="n"/>
      <x:c r="O1463" s="565" t="n"/>
      <x:c r="P1463" s="565" t="n"/>
      <x:c r="Q1463" s="565" t="n"/>
      <x:c r="R1463" s="565" t="n"/>
      <x:c r="S1463" s="613" t="n"/>
      <x:c r="T1463" s="565" t="n"/>
      <x:c r="U1463" s="613" t="n"/>
      <x:c r="V1463" s="565" t="n"/>
      <x:c r="W1463" s="565" t="n"/>
      <x:c r="X1463" s="565" t="n"/>
      <x:c r="Y1463" s="565" t="n"/>
      <x:c r="Z1463" s="565" t="n"/>
    </x:row>
    <x:row r="1464">
      <x:c r="A1464" s="527" t="inlineStr">
        <x:is>
          <x:t xml:space="preserve">2025-006541</x:t>
        </x:is>
      </x:c>
      <x:c r="B1464" s="527" t="n">
        <x:v>62</x:v>
      </x:c>
      <x:c r="C1464" s="527" t="inlineStr">
        <x:is>
          <x:t xml:space="preserve">Memorandum</x:t>
        </x:is>
      </x:c>
      <x:c r="D1464" s="527" t="inlineStr">
        <x:is>
          <x:t xml:space="preserve">2660/0341</x:t>
        </x:is>
      </x:c>
      <x:c r="E1464" s="529" t="inlineStr">
        <x:is>
          <x:t xml:space="preserve">10/24/2025</x:t>
        </x:is>
      </x:c>
      <x:c r="F1464" s="529" t="n">
        <x:v>45926</x:v>
      </x:c>
      <x:c r="G1464" s="527" t="inlineStr">
        <x:is>
          <x:t xml:space="preserve">Midcon Buyerco, LLC,
Midcon Energy Development, LLC,
Midcon Energy Pdp, LLC,
Midcon Energy Production, LLC,
Windsor OK Development Sub, LLC,
Windsor OK, LLC,
Windsor OK Pdp, LLC,
Windsor OK Production Sub,llc</x:t>
        </x:is>
      </x:c>
      <x:c r="H1464" s="527" t="inlineStr">
        <x:is>
          <x:t xml:space="preserve">Midcon Energy Development, LLC,
Windsor OK Development Sub, LLC,
Windsor OK Pdp, LLC,
Windsor OK Production Sub, LLC</x:t>
        </x:is>
      </x:c>
      <x:c r="I1464" s="527" t="inlineStr">
        <x:is>
          <x:t xml:space="preserve">All of 31-12N-24W (AOL)</x:t>
        </x:is>
      </x:c>
      <x:c r="J1464" s="527" t="inlineStr">
        <x:is>
          <x:t xml:space="preserve">Leasehold / WI</x:t>
        </x:is>
      </x:c>
      <x:c r="K1464" s="527" t="inlineStr">
        <x:is>
          <x:t xml:space="preserve">OKCountyRecords official index, Roger Mills County (instrument 2025-006541); searched 06/11/2026</x:t>
        </x:is>
      </x:c>
      <x:c r="L1464" s="565" t="n"/>
      <x:c r="M1464" s="565" t="n"/>
      <x:c r="N1464" s="565" t="n"/>
      <x:c r="O1464" s="565" t="n"/>
      <x:c r="P1464" s="565" t="n"/>
      <x:c r="Q1464" s="565" t="n"/>
      <x:c r="R1464" s="565" t="n"/>
      <x:c r="S1464" s="613" t="n"/>
      <x:c r="T1464" s="565" t="n"/>
      <x:c r="U1464" s="613" t="n"/>
      <x:c r="V1464" s="565" t="n"/>
      <x:c r="W1464" s="565" t="n"/>
      <x:c r="X1464" s="565" t="n"/>
      <x:c r="Y1464" s="565" t="n"/>
      <x:c r="Z1464" s="565" t="n"/>
    </x:row>
    <x:row r="1465">
      <x:c r="A1465" s="527" t="inlineStr">
        <x:is>
          <x:t xml:space="preserve">2025-006987</x:t>
        </x:is>
      </x:c>
      <x:c r="B1465" s="527" t="n"/>
      <x:c r="C1465" s="527" t="inlineStr">
        <x:is>
          <x:t xml:space="preserve">Welbore Assignment</x:t>
        </x:is>
      </x:c>
      <x:c r="D1465" s="527" t="inlineStr">
        <x:is>
          <x:t xml:space="preserve">2664/0169</x:t>
        </x:is>
      </x:c>
      <x:c r="E1465" s="529" t="inlineStr">
        <x:is>
          <x:t xml:space="preserve">11/14/2025</x:t>
        </x:is>
      </x:c>
      <x:c r="F1465" s="529" t="n">
        <x:v>45931</x:v>
      </x:c>
      <x:c r="G1465" s="527" t="inlineStr">
        <x:is>
          <x:t xml:space="preserve">Presidio Finance, LLC</x:t>
        </x:is>
      </x:c>
      <x:c r="H1465" s="527" t="inlineStr">
        <x:is>
          <x:t xml:space="preserve">Martin's Empire, LLC</x:t>
        </x:is>
      </x:c>
      <x:c r="I1465" s="527" t="inlineStr">
        <x:is>
          <x:t xml:space="preserve">All of 31-12N-24W (AOL)</x:t>
        </x:is>
      </x:c>
      <x:c r="J1465" s="527" t="inlineStr">
        <x:is>
          <x:t xml:space="preserve">Leasehold / WI</x:t>
        </x:is>
      </x:c>
      <x:c r="K1465" s="527" t="inlineStr">
        <x:is>
          <x:t xml:space="preserve">OKCountyRecords official index, Roger Mills County (instrument 2025-006987); searched 06/11/2026</x:t>
        </x:is>
      </x:c>
      <x:c r="L1465" s="565" t="n"/>
      <x:c r="M1465" s="565" t="n"/>
      <x:c r="N1465" s="565" t="n"/>
      <x:c r="O1465" s="565" t="n"/>
      <x:c r="P1465" s="565" t="n"/>
      <x:c r="Q1465" s="565" t="n"/>
      <x:c r="R1465" s="565" t="n"/>
      <x:c r="S1465" s="613" t="n"/>
      <x:c r="T1465" s="565" t="n"/>
      <x:c r="U1465" s="613" t="n"/>
      <x:c r="V1465" s="565" t="n"/>
      <x:c r="W1465" s="565" t="n"/>
      <x:c r="X1465" s="565" t="n"/>
      <x:c r="Y1465" s="565" t="n"/>
      <x:c r="Z1465" s="565" t="n"/>
    </x:row>
    <x:row r="1466">
      <x:c r="A1466" s="527" t="inlineStr">
        <x:is>
          <x:t xml:space="preserve">2026-000506</x:t>
        </x:is>
      </x:c>
      <x:c r="B1466" s="527" t="n"/>
      <x:c r="C1466" s="527" t="inlineStr">
        <x:is>
          <x:t xml:space="preserve">Correction</x:t>
        </x:is>
      </x:c>
      <x:c r="D1466" s="527" t="inlineStr">
        <x:is>
          <x:t xml:space="preserve">2679/0001</x:t>
        </x:is>
      </x:c>
      <x:c r="E1466" s="529" t="inlineStr">
        <x:is>
          <x:t xml:space="preserve">01/30/2026</x:t>
        </x:is>
      </x:c>
      <x:c r="F1466" s="529" t="n">
        <x:v>46041</x:v>
      </x:c>
      <x:c r="G1466" s="527" t="inlineStr">
        <x:is>
          <x:t xml:space="preserve">Midcon Buyerco, LLC,
Midcon Energy Development, LLC,
Midcon Energy Pdp, LLC,
Midcon Energy Prodction, LLC,
Windsor OK, LLC</x:t>
        </x:is>
      </x:c>
      <x:c r="H1466" s="527" t="inlineStr">
        <x:is>
          <x:t xml:space="preserve">The Public</x:t>
        </x:is>
      </x:c>
      <x:c r="I1466" s="527" t="inlineStr">
        <x:is>
          <x:t xml:space="preserve">All of 31-12N-24W (AOL)</x:t>
        </x:is>
      </x:c>
      <x:c r="J1466" s="527" t="inlineStr">
        <x:is>
          <x:t xml:space="preserve">See instrument</x:t>
        </x:is>
      </x:c>
      <x:c r="K1466" s="527" t="inlineStr">
        <x:is>
          <x:t xml:space="preserve">OKCountyRecords official index, Roger Mills County (instrument 2026-000506); searched 06/11/2026</x:t>
        </x:is>
      </x:c>
      <x:c r="L1466" s="565" t="n"/>
      <x:c r="M1466" s="565" t="n"/>
      <x:c r="N1466" s="565" t="n"/>
      <x:c r="O1466" s="565" t="n"/>
      <x:c r="P1466" s="565" t="n"/>
      <x:c r="Q1466" s="565" t="n"/>
      <x:c r="R1466" s="565" t="n"/>
      <x:c r="S1466" s="613" t="n"/>
      <x:c r="T1466" s="565" t="n"/>
      <x:c r="U1466" s="613" t="n"/>
      <x:c r="V1466" s="565" t="n"/>
      <x:c r="W1466" s="565" t="n"/>
      <x:c r="X1466" s="565" t="n"/>
      <x:c r="Y1466" s="565" t="n"/>
      <x:c r="Z1466" s="565" t="n"/>
    </x:row>
    <x:row r="1467">
      <x:c r="A1467" s="527" t="inlineStr">
        <x:is>
          <x:t xml:space="preserve">2026-000691</x:t>
        </x:is>
      </x:c>
      <x:c r="B1467" s="527" t="n"/>
      <x:c r="C1467" s="527" t="inlineStr">
        <x:is>
          <x:t xml:space="preserve">Mineral Deed</x:t>
        </x:is>
      </x:c>
      <x:c r="D1467" s="527" t="inlineStr">
        <x:is>
          <x:t xml:space="preserve">2682/0183</x:t>
        </x:is>
      </x:c>
      <x:c r="E1467" s="529" t="inlineStr">
        <x:is>
          <x:t xml:space="preserve">02/09/2026</x:t>
        </x:is>
      </x:c>
      <x:c r="F1467" s="529" t="n">
        <x:v>45971</x:v>
      </x:c>
      <x:c r="G1467" s="527" t="inlineStr">
        <x:is>
          <x:t xml:space="preserve">Clint Roy Kirk</x:t>
        </x:is>
      </x:c>
      <x:c r="H1467" s="527" t="inlineStr">
        <x:is>
          <x:t xml:space="preserve">J. and A. Minerals, LLC</x:t>
        </x:is>
      </x:c>
      <x:c r="I1467" s="527" t="inlineStr">
        <x:is>
          <x:t xml:space="preserve">S/2 NE/4 SW/4, SE/4 SW/4, Lots 3, 4 of 31-12N-24W (AOL)</x:t>
        </x:is>
      </x:c>
      <x:c r="J1467" s="527" t="inlineStr">
        <x:is>
          <x:t xml:space="preserve">Mineral</x:t>
        </x:is>
      </x:c>
      <x:c r="K1467" s="527" t="inlineStr">
        <x:is>
          <x:t xml:space="preserve">OKCountyRecords official index, Roger Mills County (instrument 2026-000691); searched 06/11/2026</x:t>
        </x:is>
      </x:c>
      <x:c r="L1467" s="565" t="n"/>
      <x:c r="M1467" s="565" t="n"/>
      <x:c r="N1467" s="565" t="n"/>
      <x:c r="O1467" s="565" t="n"/>
      <x:c r="P1467" s="565" t="n"/>
      <x:c r="Q1467" s="565" t="n"/>
      <x:c r="R1467" s="565" t="n"/>
      <x:c r="S1467" s="613" t="n"/>
      <x:c r="T1467" s="565" t="n"/>
      <x:c r="U1467" s="613" t="n"/>
      <x:c r="V1467" s="565" t="n"/>
      <x:c r="W1467" s="565" t="n"/>
      <x:c r="X1467" s="565" t="n"/>
      <x:c r="Y1467" s="565" t="n"/>
      <x:c r="Z1467" s="565" t="n"/>
    </x:row>
    <x:row r="1468">
      <x:c r="A1468" s="527" t="inlineStr">
        <x:is>
          <x:t xml:space="preserve">2026-001374</x:t>
        </x:is>
      </x:c>
      <x:c r="B1468" s="527" t="n"/>
      <x:c r="C1468" s="527" t="inlineStr">
        <x:is>
          <x:t xml:space="preserve">Mineral Deed</x:t>
        </x:is>
      </x:c>
      <x:c r="D1468" s="527" t="inlineStr">
        <x:is>
          <x:t xml:space="preserve">2688/0409</x:t>
        </x:is>
      </x:c>
      <x:c r="E1468" s="529" t="inlineStr">
        <x:is>
          <x:t xml:space="preserve">03/11/2026</x:t>
        </x:is>
      </x:c>
      <x:c r="F1468" s="529" t="n">
        <x:v>46084</x:v>
      </x:c>
      <x:c r="G1468" s="527" t="inlineStr">
        <x:is>
          <x:t xml:space="preserve">J. and A. Minerals</x:t>
        </x:is>
      </x:c>
      <x:c r="H1468" s="527" t="inlineStr">
        <x:is>
          <x:t xml:space="preserve">Pine Tree Energy Partners, LLC</x:t>
        </x:is>
      </x:c>
      <x:c r="I1468" s="527" t="inlineStr">
        <x:is>
          <x:t xml:space="preserve">NE/4 SW/4, SE/4 SW/4, Lots 3, 4 of 31-12N-24W (AOL)</x:t>
        </x:is>
      </x:c>
      <x:c r="J1468" s="527" t="inlineStr">
        <x:is>
          <x:t xml:space="preserve">Mineral</x:t>
        </x:is>
      </x:c>
      <x:c r="K1468" s="527" t="inlineStr">
        <x:is>
          <x:t xml:space="preserve">OKCountyRecords official index, Roger Mills County (instrument 2026-001374); searched 06/11/2026</x:t>
        </x:is>
      </x:c>
      <x:c r="L1468" s="565" t="n"/>
      <x:c r="M1468" s="565" t="n"/>
      <x:c r="N1468" s="565" t="n"/>
      <x:c r="O1468" s="565" t="n"/>
      <x:c r="P1468" s="565" t="n"/>
      <x:c r="Q1468" s="565" t="n"/>
      <x:c r="R1468" s="565" t="n"/>
      <x:c r="S1468" s="613" t="n"/>
      <x:c r="T1468" s="565" t="n"/>
      <x:c r="U1468" s="613" t="n"/>
      <x:c r="V1468" s="565" t="n"/>
      <x:c r="W1468" s="565" t="n"/>
      <x:c r="X1468" s="565" t="n"/>
      <x:c r="Y1468" s="565" t="n"/>
      <x:c r="Z1468" s="565" t="n"/>
    </x:row>
    <x:row r="1469">
      <x:c r="A1469" s="527" t="inlineStr">
        <x:is>
          <x:t xml:space="preserve">2026-001844</x:t>
        </x:is>
      </x:c>
      <x:c r="B1469" s="527" t="n"/>
      <x:c r="C1469" s="527" t="inlineStr">
        <x:is>
          <x:t xml:space="preserve">Affidavit</x:t>
        </x:is>
      </x:c>
      <x:c r="D1469" s="527" t="inlineStr">
        <x:is>
          <x:t xml:space="preserve">2692/0412</x:t>
        </x:is>
      </x:c>
      <x:c r="E1469" s="529" t="inlineStr">
        <x:is>
          <x:t xml:space="preserve">04/07/2026</x:t>
        </x:is>
      </x:c>
      <x:c r="F1469" s="529" t="n">
        <x:v>46113</x:v>
      </x:c>
      <x:c r="G1469" s="527" t="inlineStr">
        <x:is>
          <x:t xml:space="preserve">Matthew, Vice President Long,
Midcon Energy Pdp, LLC</x:t>
        </x:is>
      </x:c>
      <x:c r="H1469" s="527" t="inlineStr">
        <x:is>
          <x:t xml:space="preserve">The Public</x:t>
        </x:is>
      </x:c>
      <x:c r="I1469" s="527" t="inlineStr">
        <x:is>
          <x:t xml:space="preserve">All of 31-12N-24W (AOL)</x:t>
        </x:is>
      </x:c>
      <x:c r="J1469" s="527" t="inlineStr">
        <x:is>
          <x:t xml:space="preserve">See instrument</x:t>
        </x:is>
      </x:c>
      <x:c r="K1469" s="527" t="inlineStr">
        <x:is>
          <x:t xml:space="preserve">OKCountyRecords official index, Roger Mills County (instrument 2026-001844); searched 06/11/2026</x:t>
        </x:is>
      </x:c>
      <x:c r="L1469" s="565" t="n"/>
      <x:c r="M1469" s="565" t="n"/>
      <x:c r="N1469" s="565" t="n"/>
      <x:c r="O1469" s="565" t="n"/>
      <x:c r="P1469" s="565" t="n"/>
      <x:c r="Q1469" s="565" t="n"/>
      <x:c r="R1469" s="565" t="n"/>
      <x:c r="S1469" s="613" t="n"/>
      <x:c r="T1469" s="565" t="n"/>
      <x:c r="U1469" s="613" t="n"/>
      <x:c r="V1469" s="565" t="n"/>
      <x:c r="W1469" s="565" t="n"/>
      <x:c r="X1469" s="565" t="n"/>
      <x:c r="Y1469" s="565" t="n"/>
      <x:c r="Z1469" s="565" t="n"/>
    </x:row>
    <x:row r="1470">
      <x:c r="A1470" s="527" t="inlineStr">
        <x:is>
          <x:t xml:space="preserve">2026-001845</x:t>
        </x:is>
      </x:c>
      <x:c r="B1470" s="527" t="n"/>
      <x:c r="C1470" s="527" t="inlineStr">
        <x:is>
          <x:t xml:space="preserve">Affidavit</x:t>
        </x:is>
      </x:c>
      <x:c r="D1470" s="527" t="inlineStr">
        <x:is>
          <x:t xml:space="preserve">2692/0431</x:t>
        </x:is>
      </x:c>
      <x:c r="E1470" s="529" t="inlineStr">
        <x:is>
          <x:t xml:space="preserve">04/07/2026</x:t>
        </x:is>
      </x:c>
      <x:c r="F1470" s="529" t="n">
        <x:v>46113</x:v>
      </x:c>
      <x:c r="G1470" s="527" t="inlineStr">
        <x:is>
          <x:t xml:space="preserve">Matthew, Vice President Long,
Midcon Energy Pdp, LLC</x:t>
        </x:is>
      </x:c>
      <x:c r="H1470" s="527" t="inlineStr">
        <x:is>
          <x:t xml:space="preserve">The Public</x:t>
        </x:is>
      </x:c>
      <x:c r="I1470" s="527" t="inlineStr">
        <x:is>
          <x:t xml:space="preserve">All of 31-12N-24W (AOL)</x:t>
        </x:is>
      </x:c>
      <x:c r="J1470" s="527" t="inlineStr">
        <x:is>
          <x:t xml:space="preserve">See instrument</x:t>
        </x:is>
      </x:c>
      <x:c r="K1470" s="527" t="inlineStr">
        <x:is>
          <x:t xml:space="preserve">OKCountyRecords official index, Roger Mills County (instrument 2026-001845); searched 06/11/2026</x:t>
        </x:is>
      </x:c>
      <x:c r="L1470" s="565" t="n"/>
      <x:c r="M1470" s="565" t="n"/>
      <x:c r="N1470" s="565" t="n"/>
      <x:c r="O1470" s="565" t="n"/>
      <x:c r="P1470" s="565" t="n"/>
      <x:c r="Q1470" s="565" t="n"/>
      <x:c r="R1470" s="565" t="n"/>
      <x:c r="S1470" s="613" t="n"/>
      <x:c r="T1470" s="565" t="n"/>
      <x:c r="U1470" s="613" t="n"/>
      <x:c r="V1470" s="565" t="n"/>
      <x:c r="W1470" s="565" t="n"/>
      <x:c r="X1470" s="565" t="n"/>
      <x:c r="Y1470" s="565" t="n"/>
      <x:c r="Z1470" s="565" t="n"/>
    </x:row>
    <x:row r="1471">
      <x:c r="A1471" s="543" t="inlineStr">
        <x:is>
          <x:t xml:space="preserve">1968-003144</x:t>
        </x:is>
      </x:c>
      <x:c r="B1471" s="543" t="n"/>
      <x:c r="C1471" s="543" t="inlineStr">
        <x:is>
          <x:t xml:space="preserve">Rental Division Order</x:t>
        </x:is>
      </x:c>
      <x:c r="D1471" s="543" t="inlineStr">
        <x:is>
          <x:t xml:space="preserve">MIS97/120</x:t>
        </x:is>
      </x:c>
      <x:c r="E1471" s="544" t="n">
        <x:v>25176</x:v>
      </x:c>
      <x:c r="F1471" s="544" t="n">
        <x:v>25176</x:v>
      </x:c>
      <x:c r="G1471" s="543" t="inlineStr">
        <x:is>
          <x:t xml:space="preserve">J. B. Campbell,
Lillie A. Campbell</x:t>
        </x:is>
      </x:c>
      <x:c r="H1471" s="543" t="inlineStr">
        <x:is>
          <x:t xml:space="preserve">J. R. Groves</x:t>
        </x:is>
      </x:c>
      <x:c r="I1471" s="543" t="inlineStr">
        <x:is>
          <x:t xml:space="preserve">31-12N-24W</x:t>
        </x:is>
      </x:c>
      <x:c r="J1471" s="543" t="inlineStr">
        <x:is>
          <x:t xml:space="preserve">Leasehold / WI</x:t>
        </x:is>
      </x:c>
      <x:c r="K1471" s="545" t="inlineStr">
        <x:is>
          <x:t xml:space="preserve">OKCountyRecords: 1968-003144</x:t>
        </x:is>
      </x:c>
      <x:c r="L1471" s="543" t="inlineStr">
        <x:is>
          <x:t xml:space="preserve">All (1-8)</x:t>
        </x:is>
      </x:c>
      <x:c r="M1471" s="543" t="inlineStr">
        <x:is>
          <x:t xml:space="preserve">Other</x:t>
        </x:is>
      </x:c>
      <x:c r="N1471" s="546" t="n"/>
      <x:c r="O1471" s="547" t="n">
        <x:v>640</x:v>
      </x:c>
      <x:c r="P1471" s="651" t="n"/>
      <x:c r="Q1471" s="651" t="n"/>
      <x:c r="R1471" s="652" t="n"/>
      <x:c r="S1471" s="543" t="inlineStr">
        <x:is>
          <x:t xml:space="preserve">Other (non-mineral; excluded from mineral NMA). All-section coverage. Gross=tract-map basis.</x:t>
        </x:is>
      </x:c>
      <x:c r="T1471" s="550" t="n"/>
      <x:c r="U1471" s="550" t="n"/>
      <x:c r="V1471" s="565" t="n"/>
      <x:c r="W1471" s="565" t="n"/>
      <x:c r="X1471" s="565" t="n"/>
      <x:c r="Y1471" s="565" t="n"/>
      <x:c r="Z1471" s="565" t="n"/>
    </x:row>
    <x:row r="1472">
      <x:c r="A1472" s="543" t="inlineStr">
        <x:is>
          <x:t xml:space="preserve">1970-003015</x:t>
        </x:is>
      </x:c>
      <x:c r="B1472" s="543" t="n"/>
      <x:c r="C1472" s="543" t="inlineStr">
        <x:is>
          <x:t xml:space="preserve">Rental Division Order</x:t>
        </x:is>
      </x:c>
      <x:c r="D1472" s="543" t="inlineStr">
        <x:is>
          <x:t xml:space="preserve">115/485</x:t>
        </x:is>
      </x:c>
      <x:c r="E1472" s="544" t="n">
        <x:v>25905</x:v>
      </x:c>
      <x:c r="F1472" s="544" t="n">
        <x:v>25905</x:v>
      </x:c>
      <x:c r="G1472" s="543" t="inlineStr">
        <x:is>
          <x:t xml:space="preserve">Marie Lister,
Robert O. Lister Jr.</x:t>
        </x:is>
      </x:c>
      <x:c r="H1472" s="543" t="inlineStr">
        <x:is>
          <x:t xml:space="preserve">W. V. Lister</x:t>
        </x:is>
      </x:c>
      <x:c r="I1472" s="543" t="inlineStr">
        <x:is>
          <x:t xml:space="preserve">31-12N-24W</x:t>
        </x:is>
      </x:c>
      <x:c r="J1472" s="543" t="inlineStr">
        <x:is>
          <x:t xml:space="preserve">Leasehold / WI</x:t>
        </x:is>
      </x:c>
      <x:c r="K1472" s="545" t="inlineStr">
        <x:is>
          <x:t xml:space="preserve">OKCountyRecords: 1970-003015</x:t>
        </x:is>
      </x:c>
      <x:c r="L1472" s="543" t="inlineStr">
        <x:is>
          <x:t xml:space="preserve">All (1-8)</x:t>
        </x:is>
      </x:c>
      <x:c r="M1472" s="543" t="inlineStr">
        <x:is>
          <x:t xml:space="preserve">Other</x:t>
        </x:is>
      </x:c>
      <x:c r="N1472" s="546" t="n"/>
      <x:c r="O1472" s="547" t="n">
        <x:v>640</x:v>
      </x:c>
      <x:c r="P1472" s="651" t="n"/>
      <x:c r="Q1472" s="651" t="n"/>
      <x:c r="R1472" s="652" t="n"/>
      <x:c r="S1472" s="543" t="inlineStr">
        <x:is>
          <x:t xml:space="preserve">Other (non-mineral; excluded from mineral NMA). All-section coverage. Gross=tract-map basis.</x:t>
        </x:is>
      </x:c>
      <x:c r="T1472" s="550" t="n"/>
      <x:c r="U1472" s="550" t="n"/>
      <x:c r="V1472" s="565" t="n"/>
      <x:c r="W1472" s="565" t="n"/>
      <x:c r="X1472" s="565" t="n"/>
      <x:c r="Y1472" s="565" t="n"/>
      <x:c r="Z1472" s="565" t="n"/>
    </x:row>
    <x:row r="1473">
      <x:c r="A1473" s="543" t="inlineStr">
        <x:is>
          <x:t xml:space="preserve">1978-005886</x:t>
        </x:is>
      </x:c>
      <x:c r="B1473" s="543" t="n"/>
      <x:c r="C1473" s="543" t="inlineStr">
        <x:is>
          <x:t xml:space="preserve">Rental Division Order</x:t>
        </x:is>
      </x:c>
      <x:c r="D1473" s="543" t="inlineStr">
        <x:is>
          <x:t xml:space="preserve">248/240</x:t>
        </x:is>
      </x:c>
      <x:c r="E1473" s="544" t="n">
        <x:v>28711</x:v>
      </x:c>
      <x:c r="F1473" s="544" t="n">
        <x:v>28711</x:v>
      </x:c>
      <x:c r="G1473" s="543" t="inlineStr">
        <x:is>
          <x:t xml:space="preserve">Panhandle Cooperative Royalty Company</x:t>
        </x:is>
      </x:c>
      <x:c r="H1473" s="543" t="inlineStr">
        <x:is>
          <x:t xml:space="preserve">C. W. Dobbins &amp; Sons, Inc.</x:t>
        </x:is>
      </x:c>
      <x:c r="I1473" s="543" t="inlineStr">
        <x:is>
          <x:t xml:space="preserve">31-12N-24W</x:t>
        </x:is>
      </x:c>
      <x:c r="J1473" s="543" t="inlineStr">
        <x:is>
          <x:t xml:space="preserve">Leasehold / WI</x:t>
        </x:is>
      </x:c>
      <x:c r="K1473" s="545" t="inlineStr">
        <x:is>
          <x:t xml:space="preserve">OKCountyRecords: 1978-005886</x:t>
        </x:is>
      </x:c>
      <x:c r="L1473" s="543" t="inlineStr">
        <x:is>
          <x:t xml:space="preserve">All (1-8)</x:t>
        </x:is>
      </x:c>
      <x:c r="M1473" s="543" t="inlineStr">
        <x:is>
          <x:t xml:space="preserve">Other</x:t>
        </x:is>
      </x:c>
      <x:c r="N1473" s="546" t="n"/>
      <x:c r="O1473" s="547" t="n">
        <x:v>640</x:v>
      </x:c>
      <x:c r="P1473" s="651" t="n"/>
      <x:c r="Q1473" s="651" t="n"/>
      <x:c r="R1473" s="652" t="n"/>
      <x:c r="S1473" s="543" t="inlineStr">
        <x:is>
          <x:t xml:space="preserve">Other (non-mineral; excluded from mineral NMA). All-section coverage. Gross=tract-map basis.</x:t>
        </x:is>
      </x:c>
      <x:c r="T1473" s="574" t="n"/>
      <x:c r="U1473" s="574" t="n"/>
      <x:c r="V1473" s="565" t="n"/>
      <x:c r="W1473" s="565" t="n"/>
      <x:c r="X1473" s="565" t="n"/>
      <x:c r="Y1473" s="565" t="n"/>
      <x:c r="Z1473" s="565" t="n"/>
    </x:row>
    <x:row r="1474">
      <x:c r="A1474" s="543" t="inlineStr">
        <x:is>
          <x:t xml:space="preserve">1979-005006</x:t>
        </x:is>
      </x:c>
      <x:c r="B1474" s="543" t="n"/>
      <x:c r="C1474" s="543" t="inlineStr">
        <x:is>
          <x:t xml:space="preserve">Rental Division Order</x:t>
        </x:is>
      </x:c>
      <x:c r="D1474" s="543" t="inlineStr">
        <x:is>
          <x:t xml:space="preserve">275/168</x:t>
        </x:is>
      </x:c>
      <x:c r="E1474" s="544" t="n">
        <x:v>29102</x:v>
      </x:c>
      <x:c r="F1474" s="544" t="n">
        <x:v>29102</x:v>
      </x:c>
      <x:c r="G1474" s="543" t="inlineStr">
        <x:is>
          <x:t xml:space="preserve">L. E. Thurman</x:t>
        </x:is>
      </x:c>
      <x:c r="H1474" s="543" t="inlineStr">
        <x:is>
          <x:t xml:space="preserve">Ghk Corporation</x:t>
        </x:is>
      </x:c>
      <x:c r="I1474" s="543" t="inlineStr">
        <x:is>
          <x:t xml:space="preserve">31-12N-24W, aol</x:t>
        </x:is>
      </x:c>
      <x:c r="J1474" s="543" t="inlineStr">
        <x:is>
          <x:t xml:space="preserve">Leasehold / WI</x:t>
        </x:is>
      </x:c>
      <x:c r="K1474" s="545" t="inlineStr">
        <x:is>
          <x:t xml:space="preserve">OKCountyRecords: 1979-005006</x:t>
        </x:is>
      </x:c>
      <x:c r="L1474" s="543" t="inlineStr">
        <x:is>
          <x:t xml:space="preserve">All (1-8)</x:t>
        </x:is>
      </x:c>
      <x:c r="M1474" s="543" t="inlineStr">
        <x:is>
          <x:t xml:space="preserve">Other</x:t>
        </x:is>
      </x:c>
      <x:c r="N1474" s="546" t="n"/>
      <x:c r="O1474" s="547" t="n">
        <x:v>640</x:v>
      </x:c>
      <x:c r="P1474" s="651" t="n"/>
      <x:c r="Q1474" s="651" t="n"/>
      <x:c r="R1474" s="652" t="n"/>
      <x:c r="S1474" s="543" t="inlineStr">
        <x:is>
          <x:t xml:space="preserve">Other (non-mineral; excluded from mineral NMA). All-section coverage. Gross=tract-map basis.</x:t>
        </x:is>
      </x:c>
      <x:c r="T1474" s="574" t="n"/>
      <x:c r="U1474" s="574" t="n"/>
      <x:c r="V1474" s="565" t="n"/>
      <x:c r="W1474" s="565" t="n"/>
      <x:c r="X1474" s="565" t="n"/>
      <x:c r="Y1474" s="565" t="n"/>
      <x:c r="Z1474" s="565" t="n"/>
    </x:row>
    <x:row r="1475">
      <x:c r="A1475" s="543" t="inlineStr">
        <x:is>
          <x:t xml:space="preserve">1979-005007</x:t>
        </x:is>
      </x:c>
      <x:c r="B1475" s="543" t="n"/>
      <x:c r="C1475" s="543" t="inlineStr">
        <x:is>
          <x:t xml:space="preserve">Rental Division Order</x:t>
        </x:is>
      </x:c>
      <x:c r="D1475" s="543" t="inlineStr">
        <x:is>
          <x:t xml:space="preserve">275/170</x:t>
        </x:is>
      </x:c>
      <x:c r="E1475" s="544" t="n">
        <x:v>29102</x:v>
      </x:c>
      <x:c r="F1475" s="544" t="n">
        <x:v>29102</x:v>
      </x:c>
      <x:c r="G1475" s="543" t="inlineStr">
        <x:is>
          <x:t xml:space="preserve">L. E. Thurman</x:t>
        </x:is>
      </x:c>
      <x:c r="H1475" s="543" t="inlineStr">
        <x:is>
          <x:t xml:space="preserve">Ghk Corporation</x:t>
        </x:is>
      </x:c>
      <x:c r="I1475" s="543" t="inlineStr">
        <x:is>
          <x:t xml:space="preserve">31-12N-24W, aol</x:t>
        </x:is>
      </x:c>
      <x:c r="J1475" s="543" t="inlineStr">
        <x:is>
          <x:t xml:space="preserve">Leasehold / WI</x:t>
        </x:is>
      </x:c>
      <x:c r="K1475" s="545" t="inlineStr">
        <x:is>
          <x:t xml:space="preserve">OKCountyRecords: 1979-005007</x:t>
        </x:is>
      </x:c>
      <x:c r="L1475" s="543" t="inlineStr">
        <x:is>
          <x:t xml:space="preserve">All (1-8)</x:t>
        </x:is>
      </x:c>
      <x:c r="M1475" s="543" t="inlineStr">
        <x:is>
          <x:t xml:space="preserve">Other</x:t>
        </x:is>
      </x:c>
      <x:c r="N1475" s="546" t="n"/>
      <x:c r="O1475" s="547" t="n">
        <x:v>640</x:v>
      </x:c>
      <x:c r="P1475" s="651" t="n"/>
      <x:c r="Q1475" s="651" t="n"/>
      <x:c r="R1475" s="652" t="n"/>
      <x:c r="S1475" s="543" t="inlineStr">
        <x:is>
          <x:t xml:space="preserve">Other (non-mineral; excluded from mineral NMA). All-section coverage. Gross=tract-map basis.</x:t>
        </x:is>
      </x:c>
      <x:c r="T1475" s="574" t="n"/>
      <x:c r="U1475" s="574" t="n"/>
      <x:c r="V1475" s="565" t="n"/>
      <x:c r="W1475" s="565" t="n"/>
      <x:c r="X1475" s="565" t="n"/>
      <x:c r="Y1475" s="565" t="n"/>
      <x:c r="Z1475" s="565" t="n"/>
    </x:row>
    <x:row r="1476">
      <x:c r="A1476" s="543" t="inlineStr">
        <x:is>
          <x:t xml:space="preserve">2000-006403</x:t>
        </x:is>
      </x:c>
      <x:c r="B1476" s="543" t="n"/>
      <x:c r="C1476" s="543" t="inlineStr">
        <x:is>
          <x:t xml:space="preserve">Oil and Gas Lease</x:t>
        </x:is>
      </x:c>
      <x:c r="D1476" s="543" t="inlineStr">
        <x:is>
          <x:t xml:space="preserve">1603/7</x:t>
        </x:is>
      </x:c>
      <x:c r="E1476" s="544" t="n">
        <x:v>36549</x:v>
      </x:c>
      <x:c r="F1476" s="544" t="n">
        <x:v>36549</x:v>
      </x:c>
      <x:c r="G1476" s="543" t="inlineStr">
        <x:is>
          <x:t xml:space="preserve">Raymond M. Fuchs
5502 100 Avenue,
Norman, OK 73071</x:t>
        </x:is>
      </x:c>
      <x:c r="H1476" s="543" t="inlineStr">
        <x:is>
          <x:t xml:space="preserve">Richard C. Cope</x:t>
        </x:is>
      </x:c>
      <x:c r="I1476" s="543" t="inlineStr">
        <x:is>
          <x:t xml:space="preserve">SE/4 SE/4, SW/4 NE/4, W/2 SE/4 of 31-12N-24W</x:t>
        </x:is>
      </x:c>
      <x:c r="J1476" s="543" t="inlineStr">
        <x:is>
          <x:t xml:space="preserve">160 gross acres 
3 years
3/16ths royalty</x:t>
        </x:is>
      </x:c>
      <x:c r="K1476" s="545" t="inlineStr">
        <x:is>
          <x:t xml:space="preserve">OKCountyRecords: 2000-006403</x:t>
        </x:is>
      </x:c>
      <x:c r="L1476" s="543" t="n">
        <x:v>2</x:v>
      </x:c>
      <x:c r="M1476" s="543" t="inlineStr">
        <x:is>
          <x:t xml:space="preserve">Leasehold</x:t>
        </x:is>
      </x:c>
      <x:c r="N1476" s="546" t="n"/>
      <x:c r="O1476" s="547" t="n">
        <x:v>160</x:v>
      </x:c>
      <x:c r="P1476" s="651" t="n"/>
      <x:c r="Q1476" s="651" t="n"/>
      <x:c r="R1476" s="652" t="n"/>
      <x:c r="S1476" s="543" t="inlineStr">
        <x:is>
          <x:t xml:space="preserve">Leasehold (non-mineral; excluded from mineral NMA). Gross=tract-map basis.</x:t>
        </x:is>
      </x:c>
      <x:c r="T1476" s="574" t="n"/>
      <x:c r="U1476" s="575" t="n"/>
      <x:c r="V1476" s="565" t="n"/>
      <x:c r="W1476" s="565" t="n"/>
      <x:c r="X1476" s="565" t="n"/>
      <x:c r="Y1476" s="565" t="n"/>
      <x:c r="Z1476" s="565" t="n"/>
    </x:row>
    <x:row r="1477">
      <x:c r="A1477" s="543" t="inlineStr">
        <x:is>
          <x:t xml:space="preserve">2000-006545</x:t>
        </x:is>
      </x:c>
      <x:c r="B1477" s="543" t="n"/>
      <x:c r="C1477" s="543" t="inlineStr">
        <x:is>
          <x:t xml:space="preserve">Oil and Gas Lease</x:t>
        </x:is>
      </x:c>
      <x:c r="D1477" s="543" t="inlineStr">
        <x:is>
          <x:t xml:space="preserve">1603/376</x:t>
        </x:is>
      </x:c>
      <x:c r="E1477" s="544" t="n">
        <x:v>36558</x:v>
      </x:c>
      <x:c r="F1477" s="544" t="n">
        <x:v>36558</x:v>
      </x:c>
      <x:c r="G1477" s="543" t="inlineStr">
        <x:is>
          <x:t xml:space="preserve">Minion Investment Company
P.O. Box 701473
Tulsa, OK 74170-1473</x:t>
        </x:is>
      </x:c>
      <x:c r="H1477" s="543" t="inlineStr">
        <x:is>
          <x:t xml:space="preserve">EOG Resources, Inc.</x:t>
        </x:is>
      </x:c>
      <x:c r="I1477" s="543" t="inlineStr">
        <x:is>
          <x:t xml:space="preserve">E/2 NW/4, N/2 NE/4 SW/4, NE/4 SE/4, SE/4 NE/4 of 31-12N-24W</x:t>
        </x:is>
      </x:c>
      <x:c r="J1477" s="543" t="inlineStr">
        <x:is>
          <x:t xml:space="preserve">160 gross acres 
2 years
1/4th royalty
Depth clause: Upon the expiration ofthe primary term hereof, this lease shall automatically terminate and expire as to all leasehold rights 100 feet below the stratigraphic equivalent of the deepest depth drilled in any well drilled under the terms of this lease. If, within the primary term of this lease, Lessee shall commence operations to drill or rework a well under the terms of this lease, the Lessee shall have the right to drillsuch well to completion
and/or complete reworking operations with reasonable diligence and dispatch, and if oil or gas be found in paying quantities, this lease shall terminate only as to those depths 100 feet below the stratigraphic equivalent
of the deepest depth drilled.</x:t>
        </x:is>
      </x:c>
      <x:c r="K1477" s="545" t="inlineStr">
        <x:is>
          <x:t xml:space="preserve">OKCountyRecords: 2000-006545</x:t>
        </x:is>
      </x:c>
      <x:c r="L1477" s="543" t="inlineStr">
        <x:is>
          <x:t xml:space="preserve">1, 3, 4, 7, 8</x:t>
        </x:is>
      </x:c>
      <x:c r="M1477" s="543" t="inlineStr">
        <x:is>
          <x:t xml:space="preserve">Leasehold</x:t>
        </x:is>
      </x:c>
      <x:c r="N1477" s="551" t="n"/>
      <x:c r="O1477" s="547" t="n">
        <x:v>280</x:v>
      </x:c>
      <x:c r="P1477" s="651" t="n"/>
      <x:c r="Q1477" s="651" t="n"/>
      <x:c r="R1477" s="652" t="n"/>
      <x:c r="S1477" s="543" t="inlineStr">
        <x:is>
          <x:t xml:space="preserve">Leasehold (non-mineral; excluded from mineral NMA). Gross=tract-map basis.</x:t>
        </x:is>
      </x:c>
      <x:c r="T1477" s="574" t="n"/>
      <x:c r="U1477" s="575" t="n"/>
      <x:c r="V1477" s="565" t="n"/>
      <x:c r="W1477" s="565" t="n"/>
      <x:c r="X1477" s="565" t="n"/>
      <x:c r="Y1477" s="565" t="n"/>
      <x:c r="Z1477" s="565" t="n"/>
    </x:row>
    <x:row r="1478">
      <x:c r="A1478" s="543" t="inlineStr">
        <x:is>
          <x:t xml:space="preserve">2000-006544</x:t>
        </x:is>
      </x:c>
      <x:c r="B1478" s="543" t="n"/>
      <x:c r="C1478" s="543" t="inlineStr">
        <x:is>
          <x:t xml:space="preserve">Oil and Gas Lease</x:t>
        </x:is>
      </x:c>
      <x:c r="D1478" s="543" t="inlineStr">
        <x:is>
          <x:t xml:space="preserve">1603/374</x:t>
        </x:is>
      </x:c>
      <x:c r="E1478" s="544" t="n">
        <x:v>36558</x:v>
      </x:c>
      <x:c r="F1478" s="544" t="n">
        <x:v>36558</x:v>
      </x:c>
      <x:c r="G1478" s="543" t="inlineStr">
        <x:is>
          <x:t xml:space="preserve">Oleta Florene Wylie, formerly Flanagan,
226 N. Louisiana Ave. 
Mangum, OK 73554</x:t>
        </x:is>
      </x:c>
      <x:c r="H1478" s="543" t="inlineStr">
        <x:is>
          <x:t xml:space="preserve">Richard C. Cope</x:t>
        </x:is>
      </x:c>
      <x:c r="I1478" s="543" t="inlineStr">
        <x:is>
          <x:t xml:space="preserve">SE/4 SW/4 of 31-12N-24W</x:t>
        </x:is>
      </x:c>
      <x:c r="J1478" s="543" t="inlineStr">
        <x:is>
          <x:t xml:space="preserve">40 gross acres 
3 years
3/16ths royalty</x:t>
        </x:is>
      </x:c>
      <x:c r="K1478" s="545" t="inlineStr">
        <x:is>
          <x:t xml:space="preserve">OKCountyRecords: 2000-006544</x:t>
        </x:is>
      </x:c>
      <x:c r="L1478" s="543" t="n">
        <x:v>5</x:v>
      </x:c>
      <x:c r="M1478" s="543" t="inlineStr">
        <x:is>
          <x:t xml:space="preserve">Leasehold</x:t>
        </x:is>
      </x:c>
      <x:c r="N1478" s="546" t="n"/>
      <x:c r="O1478" s="547" t="n">
        <x:v>120</x:v>
      </x:c>
      <x:c r="P1478" s="651" t="n"/>
      <x:c r="Q1478" s="651" t="n"/>
      <x:c r="R1478" s="652" t="n"/>
      <x:c r="S1478" s="543" t="inlineStr">
        <x:is>
          <x:t xml:space="preserve">Leasehold (non-mineral; excluded from mineral NMA). Gross=tract-map basis.</x:t>
        </x:is>
      </x:c>
      <x:c r="T1478" s="574" t="n"/>
      <x:c r="U1478" s="575" t="n"/>
      <x:c r="V1478" s="565" t="n"/>
      <x:c r="W1478" s="565" t="n"/>
      <x:c r="X1478" s="565" t="n"/>
      <x:c r="Y1478" s="565" t="n"/>
      <x:c r="Z1478" s="565" t="n"/>
    </x:row>
    <x:row r="1479">
      <x:c r="A1479" s="543" t="inlineStr">
        <x:is>
          <x:t xml:space="preserve">2000-006917</x:t>
        </x:is>
      </x:c>
      <x:c r="B1479" s="543" t="n"/>
      <x:c r="C1479" s="543" t="inlineStr">
        <x:is>
          <x:t xml:space="preserve">Oil and Gas Lease</x:t>
        </x:is>
      </x:c>
      <x:c r="D1479" s="543" t="inlineStr">
        <x:is>
          <x:t xml:space="preserve">1606/416</x:t>
        </x:is>
      </x:c>
      <x:c r="E1479" s="544" t="n">
        <x:v>36586</x:v>
      </x:c>
      <x:c r="F1479" s="544" t="n">
        <x:v>36586</x:v>
      </x:c>
      <x:c r="G1479" s="543" t="inlineStr">
        <x:is>
          <x:t xml:space="preserve">Charles D. Ray
P. O. Box 51608
Midland, TX 79710</x:t>
        </x:is>
      </x:c>
      <x:c r="H1479" s="543" t="inlineStr">
        <x:is>
          <x:t xml:space="preserve">Richard C. Cope</x:t>
        </x:is>
      </x:c>
      <x:c r="I1479" s="543" t="inlineStr">
        <x:is>
          <x:t xml:space="preserve">E/2 NW/4, NE/4 SE/4, SE/4 NE/4 of 31-12N-24W</x:t>
        </x:is>
      </x:c>
      <x:c r="J1479" s="543" t="inlineStr">
        <x:is>
          <x:t xml:space="preserve">180 gross acres 
3 years
1/4th royalty</x:t>
        </x:is>
      </x:c>
      <x:c r="K1479" s="545" t="inlineStr">
        <x:is>
          <x:t xml:space="preserve">OKCountyRecords: 2000-006917</x:t>
        </x:is>
      </x:c>
      <x:c r="L1479" s="543" t="inlineStr">
        <x:is>
          <x:t xml:space="preserve">3, 4, 8</x:t>
        </x:is>
      </x:c>
      <x:c r="M1479" s="543" t="inlineStr">
        <x:is>
          <x:t xml:space="preserve">Leasehold</x:t>
        </x:is>
      </x:c>
      <x:c r="N1479" s="551" t="n"/>
      <x:c r="O1479" s="547" t="n">
        <x:v>160</x:v>
      </x:c>
      <x:c r="P1479" s="651" t="n"/>
      <x:c r="Q1479" s="651" t="n"/>
      <x:c r="R1479" s="652" t="n"/>
      <x:c r="S1479" s="543" t="inlineStr">
        <x:is>
          <x:t xml:space="preserve">Leasehold (non-mineral; excluded from mineral NMA). Gross=tract-map basis.</x:t>
        </x:is>
      </x:c>
      <x:c r="T1479" s="574" t="n"/>
      <x:c r="U1479" s="575" t="n"/>
      <x:c r="V1479" s="565" t="n"/>
      <x:c r="W1479" s="565" t="n"/>
      <x:c r="X1479" s="565" t="n"/>
      <x:c r="Y1479" s="565" t="n"/>
      <x:c r="Z1479" s="565" t="n"/>
    </x:row>
    <x:row r="1480">
      <x:c r="A1480" s="543" t="inlineStr">
        <x:is>
          <x:t xml:space="preserve">2000-006918</x:t>
        </x:is>
      </x:c>
      <x:c r="B1480" s="543" t="n"/>
      <x:c r="C1480" s="543" t="inlineStr">
        <x:is>
          <x:t xml:space="preserve">Oil and Gas Lease</x:t>
        </x:is>
      </x:c>
      <x:c r="D1480" s="543" t="inlineStr">
        <x:is>
          <x:t xml:space="preserve">1606/418</x:t>
        </x:is>
      </x:c>
      <x:c r="E1480" s="544" t="n">
        <x:v>36586</x:v>
      </x:c>
      <x:c r="F1480" s="544" t="n">
        <x:v>36586</x:v>
      </x:c>
      <x:c r="G1480" s="543" t="inlineStr">
        <x:is>
          <x:t xml:space="preserve">Clyde A. Pine
4567 Globe Willow Drive,
El Paso. TX 79922-2223</x:t>
        </x:is>
      </x:c>
      <x:c r="H1480" s="543" t="inlineStr">
        <x:is>
          <x:t xml:space="preserve">Richard C. Cope</x:t>
        </x:is>
      </x:c>
      <x:c r="I1480" s="543" t="inlineStr">
        <x:is>
          <x:t xml:space="preserve">E/2 NW/4, NE/4 NE/4, NE/4 SE/4 of 31-12N-24W</x:t>
        </x:is>
      </x:c>
      <x:c r="J1480" s="543" t="inlineStr">
        <x:is>
          <x:t xml:space="preserve">180 gross acres 
3 years
1/4th royalty</x:t>
        </x:is>
      </x:c>
      <x:c r="K1480" s="545" t="inlineStr">
        <x:is>
          <x:t xml:space="preserve">OKCountyRecords: 2000-006918</x:t>
        </x:is>
      </x:c>
      <x:c r="L1480" s="543" t="inlineStr">
        <x:is>
          <x:t xml:space="preserve">1, 4, 8</x:t>
        </x:is>
      </x:c>
      <x:c r="M1480" s="543" t="inlineStr">
        <x:is>
          <x:t xml:space="preserve">Leasehold</x:t>
        </x:is>
      </x:c>
      <x:c r="N1480" s="551" t="n"/>
      <x:c r="O1480" s="547" t="n">
        <x:v>200</x:v>
      </x:c>
      <x:c r="P1480" s="651" t="n"/>
      <x:c r="Q1480" s="651" t="n"/>
      <x:c r="R1480" s="652" t="n"/>
      <x:c r="S1480" s="543" t="inlineStr">
        <x:is>
          <x:t xml:space="preserve">Leasehold (non-mineral; excluded from mineral NMA). Gross=tract-map basis.</x:t>
        </x:is>
      </x:c>
      <x:c r="T1480" s="574" t="n"/>
      <x:c r="U1480" s="575" t="n"/>
      <x:c r="V1480" s="565" t="n"/>
      <x:c r="W1480" s="565" t="n"/>
      <x:c r="X1480" s="565" t="n"/>
      <x:c r="Y1480" s="565" t="n"/>
      <x:c r="Z1480" s="565" t="n"/>
    </x:row>
    <x:row r="1481">
      <x:c r="A1481" s="543" t="inlineStr">
        <x:is>
          <x:t xml:space="preserve">2000-006986</x:t>
        </x:is>
      </x:c>
      <x:c r="B1481" s="543" t="n"/>
      <x:c r="C1481" s="543" t="inlineStr">
        <x:is>
          <x:t xml:space="preserve">Oil and Gas Lease</x:t>
        </x:is>
      </x:c>
      <x:c r="D1481" s="543" t="inlineStr">
        <x:is>
          <x:t xml:space="preserve">1607/327</x:t>
        </x:is>
      </x:c>
      <x:c r="E1481" s="544" t="n">
        <x:v>36593</x:v>
      </x:c>
      <x:c r="F1481" s="544" t="n">
        <x:v>36593</x:v>
      </x:c>
      <x:c r="G1481" s="543" t="inlineStr">
        <x:is>
          <x:t xml:space="preserve">Loulse McLerron (formerty, Louise Ormand)
206 Parkview Place
Elk City, OK 73644</x:t>
        </x:is>
      </x:c>
      <x:c r="H1481" s="543" t="inlineStr">
        <x:is>
          <x:t xml:space="preserve">EOG Resources, Inc.</x:t>
        </x:is>
      </x:c>
      <x:c r="I1481" s="543" t="inlineStr">
        <x:is>
          <x:t xml:space="preserve">E/2 NW/4, N/2 NE/4 SW/4, NE/4 SE/4, SE/4 NE/4 of 31-12N-24W</x:t>
        </x:is>
      </x:c>
      <x:c r="J1481" s="543" t="inlineStr">
        <x:is>
          <x:t xml:space="preserve">180 gross acres 
3 years
3/16ths royalty</x:t>
        </x:is>
      </x:c>
      <x:c r="K1481" s="545" t="inlineStr">
        <x:is>
          <x:t xml:space="preserve">OKCountyRecords: 2000-006986</x:t>
        </x:is>
      </x:c>
      <x:c r="L1481" s="543" t="inlineStr">
        <x:is>
          <x:t xml:space="preserve">1, 3, 4, 7, 8</x:t>
        </x:is>
      </x:c>
      <x:c r="M1481" s="543" t="inlineStr">
        <x:is>
          <x:t xml:space="preserve">Leasehold</x:t>
        </x:is>
      </x:c>
      <x:c r="N1481" s="551" t="n"/>
      <x:c r="O1481" s="547" t="n">
        <x:v>280</x:v>
      </x:c>
      <x:c r="P1481" s="651" t="n"/>
      <x:c r="Q1481" s="651" t="n"/>
      <x:c r="R1481" s="652" t="n"/>
      <x:c r="S1481" s="543" t="inlineStr">
        <x:is>
          <x:t xml:space="preserve">Leasehold (non-mineral; excluded from mineral NMA). Gross=tract-map basis.</x:t>
        </x:is>
      </x:c>
      <x:c r="T1481" s="574" t="n"/>
      <x:c r="U1481" s="575" t="n"/>
      <x:c r="V1481" s="565" t="n"/>
      <x:c r="W1481" s="565" t="n"/>
      <x:c r="X1481" s="565" t="n"/>
      <x:c r="Y1481" s="565" t="n"/>
      <x:c r="Z1481" s="565" t="n"/>
    </x:row>
    <x:row r="1482">
      <x:c r="A1482" s="543" t="inlineStr">
        <x:is>
          <x:t xml:space="preserve">2000-006985</x:t>
        </x:is>
      </x:c>
      <x:c r="B1482" s="543" t="n"/>
      <x:c r="C1482" s="543" t="inlineStr">
        <x:is>
          <x:t xml:space="preserve">Oil and Gas Lease</x:t>
        </x:is>
      </x:c>
      <x:c r="D1482" s="543" t="inlineStr">
        <x:is>
          <x:t xml:space="preserve">1607/325</x:t>
        </x:is>
      </x:c>
      <x:c r="E1482" s="544" t="n">
        <x:v>36593</x:v>
      </x:c>
      <x:c r="F1482" s="544" t="n">
        <x:v>36593</x:v>
      </x:c>
      <x:c r="G1482" s="543" t="inlineStr">
        <x:is>
          <x:t xml:space="preserve">Nancy Mitchell Williams
P.O, Box 673
Hobart, OK 73651</x:t>
        </x:is>
      </x:c>
      <x:c r="H1482" s="543" t="inlineStr">
        <x:is>
          <x:t xml:space="preserve">EOG Resources, Inc.</x:t>
        </x:is>
      </x:c>
      <x:c r="I1482" s="543" t="inlineStr">
        <x:is>
          <x:t xml:space="preserve">E/2 NW/4, E/2 SW/4, Lot 4, N/2 NE/4, NE/4 NE/4, S/2, Lot 3, SE/4 NE/4 of 31-12N-24W</x:t>
        </x:is>
      </x:c>
      <x:c r="J1482" s="543" t="inlineStr">
        <x:is>
          <x:t xml:space="preserve">375.34 gross acres 
3 years
3/16ths royalty</x:t>
        </x:is>
      </x:c>
      <x:c r="K1482" s="545" t="inlineStr">
        <x:is>
          <x:t xml:space="preserve">OKCountyRecords: 2000-006985</x:t>
        </x:is>
      </x:c>
      <x:c r="L1482" s="543" t="inlineStr">
        <x:is>
          <x:t xml:space="preserve">1, 3, 4, 5, 6, 7</x:t>
        </x:is>
      </x:c>
      <x:c r="M1482" s="543" t="inlineStr">
        <x:is>
          <x:t xml:space="preserve">Leasehold</x:t>
        </x:is>
      </x:c>
      <x:c r="N1482" s="546" t="n"/>
      <x:c r="O1482" s="547" t="n">
        <x:v>440</x:v>
      </x:c>
      <x:c r="P1482" s="651" t="n"/>
      <x:c r="Q1482" s="651" t="n"/>
      <x:c r="R1482" s="652" t="n"/>
      <x:c r="S1482" s="543" t="inlineStr">
        <x:is>
          <x:t xml:space="preserve">Leasehold (non-mineral; excluded from mineral NMA). Gross=tract-map basis.</x:t>
        </x:is>
      </x:c>
      <x:c r="T1482" s="574" t="n"/>
      <x:c r="U1482" s="575" t="n"/>
      <x:c r="V1482" s="565" t="n"/>
      <x:c r="W1482" s="565" t="n"/>
      <x:c r="X1482" s="565" t="n"/>
      <x:c r="Y1482" s="565" t="n"/>
      <x:c r="Z1482" s="565" t="n"/>
    </x:row>
    <x:row r="1483">
      <x:c r="A1483" s="543" t="inlineStr">
        <x:is>
          <x:t xml:space="preserve">2000-007332</x:t>
        </x:is>
      </x:c>
      <x:c r="B1483" s="543" t="n"/>
      <x:c r="C1483" s="543" t="inlineStr">
        <x:is>
          <x:t xml:space="preserve">Oil and Gas Lease</x:t>
        </x:is>
      </x:c>
      <x:c r="D1483" s="543" t="inlineStr">
        <x:is>
          <x:t xml:space="preserve">1609/199</x:t>
        </x:is>
      </x:c>
      <x:c r="E1483" s="544" t="n">
        <x:v>36616</x:v>
      </x:c>
      <x:c r="F1483" s="544" t="n">
        <x:v>36616</x:v>
      </x:c>
      <x:c r="G1483" s="543" t="inlineStr">
        <x:is>
          <x:t xml:space="preserve">Gena W. Moore (aka Gena Williams)
3890 Windvke Drive
Memphis. TN 38125</x:t>
        </x:is>
      </x:c>
      <x:c r="H1483" s="543" t="inlineStr">
        <x:is>
          <x:t xml:space="preserve">EOG Resources, Inc.</x:t>
        </x:is>
      </x:c>
      <x:c r="I1483" s="543" t="inlineStr">
        <x:is>
          <x:t xml:space="preserve">E/2 NW/4, E/2 SW/4, N/2 NE/4, NE/4 SE/4, Lots 3-4, SE/4 NE/4 of 31-12N-24W</x:t>
        </x:is>
      </x:c>
      <x:c r="J1483" s="543" t="inlineStr">
        <x:is>
          <x:t xml:space="preserve">375.34 gross acres 
3 years
3/16ths royalty</x:t>
        </x:is>
      </x:c>
      <x:c r="K1483" s="545" t="inlineStr">
        <x:is>
          <x:t xml:space="preserve">OKCountyRecords: 2000-007332</x:t>
        </x:is>
      </x:c>
      <x:c r="L1483" s="543" t="inlineStr">
        <x:is>
          <x:t xml:space="preserve">1, 3, 4, 5, 6, 7, 8</x:t>
        </x:is>
      </x:c>
      <x:c r="M1483" s="543" t="inlineStr">
        <x:is>
          <x:t xml:space="preserve">Leasehold</x:t>
        </x:is>
      </x:c>
      <x:c r="N1483" s="551" t="n"/>
      <x:c r="O1483" s="547" t="n">
        <x:v>480</x:v>
      </x:c>
      <x:c r="P1483" s="651" t="n"/>
      <x:c r="Q1483" s="651" t="n"/>
      <x:c r="R1483" s="652" t="n"/>
      <x:c r="S1483" s="543" t="inlineStr">
        <x:is>
          <x:t xml:space="preserve">Leasehold (non-mineral; excluded from mineral NMA). Gross=tract-map basis.</x:t>
        </x:is>
      </x:c>
      <x:c r="T1483" s="574" t="n"/>
      <x:c r="U1483" s="575" t="n"/>
      <x:c r="V1483" s="565" t="n"/>
      <x:c r="W1483" s="565" t="n"/>
      <x:c r="X1483" s="565" t="n"/>
      <x:c r="Y1483" s="565" t="n"/>
      <x:c r="Z1483" s="565" t="n"/>
    </x:row>
    <x:row r="1484">
      <x:c r="A1484" s="543" t="inlineStr">
        <x:is>
          <x:t xml:space="preserve">2000-007383</x:t>
        </x:is>
      </x:c>
      <x:c r="B1484" s="543" t="n"/>
      <x:c r="C1484" s="543" t="inlineStr">
        <x:is>
          <x:t xml:space="preserve">Oil and Gas Lease</x:t>
        </x:is>
      </x:c>
      <x:c r="D1484" s="543" t="inlineStr">
        <x:is>
          <x:t xml:space="preserve">1610/40</x:t>
        </x:is>
      </x:c>
      <x:c r="E1484" s="544" t="n">
        <x:v>36621</x:v>
      </x:c>
      <x:c r="F1484" s="544" t="n">
        <x:v>36621</x:v>
      </x:c>
      <x:c r="G1484" s="543" t="inlineStr">
        <x:is>
          <x:t xml:space="preserve">Richard M. Heins
6333 Odana Road,
Madison, WI 53716</x:t>
        </x:is>
      </x:c>
      <x:c r="H1484" s="543" t="inlineStr">
        <x:is>
          <x:t xml:space="preserve">Richard C. Cope</x:t>
        </x:is>
      </x:c>
      <x:c r="I1484" s="543" t="inlineStr">
        <x:is>
          <x:t xml:space="preserve">SE/4 SE/4, SW/4 NE/4, W/2 SE/4 of 31-12N-24W</x:t>
        </x:is>
      </x:c>
      <x:c r="J1484" s="543" t="inlineStr">
        <x:is>
          <x:t xml:space="preserve">160 gross acres 
3 years
3/16ths royalty</x:t>
        </x:is>
      </x:c>
      <x:c r="K1484" s="545" t="inlineStr">
        <x:is>
          <x:t xml:space="preserve">OKCountyRecords: 2000-007383</x:t>
        </x:is>
      </x:c>
      <x:c r="L1484" s="543" t="n">
        <x:v>2</x:v>
      </x:c>
      <x:c r="M1484" s="543" t="inlineStr">
        <x:is>
          <x:t xml:space="preserve">Leasehold</x:t>
        </x:is>
      </x:c>
      <x:c r="N1484" s="546" t="n"/>
      <x:c r="O1484" s="547" t="n">
        <x:v>160</x:v>
      </x:c>
      <x:c r="P1484" s="651" t="n"/>
      <x:c r="Q1484" s="651" t="n"/>
      <x:c r="R1484" s="652" t="n"/>
      <x:c r="S1484" s="543" t="inlineStr">
        <x:is>
          <x:t xml:space="preserve">Leasehold (non-mineral; excluded from mineral NMA). Gross=tract-map basis.</x:t>
        </x:is>
      </x:c>
      <x:c r="T1484" s="574" t="n"/>
      <x:c r="U1484" s="575" t="n"/>
      <x:c r="V1484" s="565" t="n"/>
      <x:c r="W1484" s="565" t="n"/>
      <x:c r="X1484" s="565" t="n"/>
      <x:c r="Y1484" s="565" t="n"/>
      <x:c r="Z1484" s="565" t="n"/>
    </x:row>
    <x:row r="1485">
      <x:c r="A1485" s="543" t="inlineStr">
        <x:is>
          <x:t xml:space="preserve">2000-007411</x:t>
        </x:is>
      </x:c>
      <x:c r="B1485" s="543" t="n"/>
      <x:c r="C1485" s="543" t="inlineStr">
        <x:is>
          <x:t xml:space="preserve">Oil and Gas Lease</x:t>
        </x:is>
      </x:c>
      <x:c r="D1485" s="543" t="inlineStr">
        <x:is>
          <x:t xml:space="preserve">1610/121</x:t>
        </x:is>
      </x:c>
      <x:c r="E1485" s="544" t="n">
        <x:v>36623</x:v>
      </x:c>
      <x:c r="F1485" s="544" t="n">
        <x:v>36623</x:v>
      </x:c>
      <x:c r="G1485" s="543" t="inlineStr">
        <x:is>
          <x:t xml:space="preserve">Robert H. Frazler
P. O. Box 50264
Midland, TX</x:t>
        </x:is>
      </x:c>
      <x:c r="H1485" s="543" t="inlineStr">
        <x:is>
          <x:t xml:space="preserve">Richard C. Cope</x:t>
        </x:is>
      </x:c>
      <x:c r="I1485" s="543" t="inlineStr">
        <x:is>
          <x:t xml:space="preserve">E/2 NW/4, N/2 NE/4 SW/4, NE/4 SE/4, SE/4 NE/4 of 31-12N-24W</x:t>
        </x:is>
      </x:c>
      <x:c r="J1485" s="543" t="inlineStr">
        <x:is>
          <x:t xml:space="preserve">180 gross acres 
3 years
1/4th royalty</x:t>
        </x:is>
      </x:c>
      <x:c r="K1485" s="545" t="inlineStr">
        <x:is>
          <x:t xml:space="preserve">OKCountyRecords: 2000-007411</x:t>
        </x:is>
      </x:c>
      <x:c r="L1485" s="543" t="inlineStr">
        <x:is>
          <x:t xml:space="preserve">1, 3, 4, 7, 8</x:t>
        </x:is>
      </x:c>
      <x:c r="M1485" s="543" t="inlineStr">
        <x:is>
          <x:t xml:space="preserve">Leasehold</x:t>
        </x:is>
      </x:c>
      <x:c r="N1485" s="551" t="n"/>
      <x:c r="O1485" s="547" t="n">
        <x:v>280</x:v>
      </x:c>
      <x:c r="P1485" s="651" t="n"/>
      <x:c r="Q1485" s="651" t="n"/>
      <x:c r="R1485" s="652" t="n"/>
      <x:c r="S1485" s="543" t="inlineStr">
        <x:is>
          <x:t xml:space="preserve">Leasehold (non-mineral; excluded from mineral NMA). Gross=tract-map basis.</x:t>
        </x:is>
      </x:c>
      <x:c r="T1485" s="574" t="n"/>
      <x:c r="U1485" s="575" t="n"/>
      <x:c r="V1485" s="565" t="n"/>
      <x:c r="W1485" s="565" t="n"/>
      <x:c r="X1485" s="565" t="n"/>
      <x:c r="Y1485" s="565" t="n"/>
      <x:c r="Z1485" s="565" t="n"/>
    </x:row>
    <x:row r="1486">
      <x:c r="A1486" s="543" t="inlineStr">
        <x:is>
          <x:t xml:space="preserve">2000-007634</x:t>
        </x:is>
      </x:c>
      <x:c r="B1486" s="543" t="n"/>
      <x:c r="C1486" s="543" t="inlineStr">
        <x:is>
          <x:t xml:space="preserve">Assignment</x:t>
        </x:is>
      </x:c>
      <x:c r="D1486" s="543" t="inlineStr">
        <x:is>
          <x:t xml:space="preserve">1611/352</x:t>
        </x:is>
      </x:c>
      <x:c r="E1486" s="544" t="n">
        <x:v>36643</x:v>
      </x:c>
      <x:c r="F1486" s="544" t="n">
        <x:v>36643</x:v>
      </x:c>
      <x:c r="G1486" s="543" t="inlineStr">
        <x:is>
          <x:t xml:space="preserve">Lortz R. Michael</x:t>
        </x:is>
      </x:c>
      <x:c r="H1486" s="543" t="inlineStr">
        <x:is>
          <x:t xml:space="preserve">Lariat Petroleum, Inc.</x:t>
        </x:is>
      </x:c>
      <x:c r="I1486" s="543" t="inlineStr">
        <x:is>
          <x:t xml:space="preserve">S/2 NE/4 SW/4 Lot 3, 4, SE/4 SW/4 of 31-12N-24W, aol</x:t>
        </x:is>
      </x:c>
      <x:c r="J1486" s="543" t="inlineStr">
        <x:is>
          <x:t xml:space="preserve">ARTI,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lease. If the interest herein assigned is less than the full and undivided leaschold estate in and to the lands covered by said leases, when the overriding royalty interest herein reserved shall be recduced proportionately.</x:t>
        </x:is>
      </x:c>
      <x:c r="K1486" s="545" t="inlineStr">
        <x:is>
          <x:t xml:space="preserve">OKCountyRecords: 2000-007634</x:t>
        </x:is>
      </x:c>
      <x:c r="L1486" s="543" t="inlineStr">
        <x:is>
          <x:t xml:space="preserve">2, 3, 5, 6, 7</x:t>
        </x:is>
      </x:c>
      <x:c r="M1486" s="543" t="inlineStr">
        <x:is>
          <x:t xml:space="preserve">Leasehold</x:t>
        </x:is>
      </x:c>
      <x:c r="N1486" s="546" t="n"/>
      <x:c r="O1486" s="547" t="n">
        <x:v>440</x:v>
      </x:c>
      <x:c r="P1486" s="651" t="n"/>
      <x:c r="Q1486" s="651" t="n"/>
      <x:c r="R1486" s="652" t="n"/>
      <x:c r="S1486" s="543" t="inlineStr">
        <x:is>
          <x:t xml:space="preserve">Leasehold (non-mineral; excluded from mineral NMA). Gross=tract-map basis.</x:t>
        </x:is>
      </x:c>
      <x:c r="T1486" s="574" t="n"/>
      <x:c r="U1486" s="575" t="n"/>
      <x:c r="V1486" s="565" t="n"/>
      <x:c r="W1486" s="565" t="n"/>
      <x:c r="X1486" s="565" t="n"/>
      <x:c r="Y1486" s="565" t="n"/>
      <x:c r="Z1486" s="565" t="n"/>
    </x:row>
    <x:row r="1487">
      <x:c r="A1487" s="543" t="inlineStr">
        <x:is>
          <x:t xml:space="preserve">2000-010908</x:t>
        </x:is>
      </x:c>
      <x:c r="B1487" s="543" t="n"/>
      <x:c r="C1487" s="543" t="inlineStr">
        <x:is>
          <x:t xml:space="preserve">Oil and Gas Lease</x:t>
        </x:is>
      </x:c>
      <x:c r="D1487" s="543" t="inlineStr">
        <x:is>
          <x:t xml:space="preserve">1629/523</x:t>
        </x:is>
      </x:c>
      <x:c r="E1487" s="544" t="n">
        <x:v>36824</x:v>
      </x:c>
      <x:c r="F1487" s="544" t="n">
        <x:v>36866</x:v>
      </x:c>
      <x:c r="G1487" s="543" t="inlineStr">
        <x:is>
          <x:t xml:space="preserve">Joe Devenas, Jr.
1302 Highland Avenue
Waukegan, IL 60085</x:t>
        </x:is>
      </x:c>
      <x:c r="H1487" s="543" t="inlineStr">
        <x:is>
          <x:t xml:space="preserve">EOG Resources, Inc.</x:t>
        </x:is>
      </x:c>
      <x:c r="I1487" s="543" t="inlineStr">
        <x:is>
          <x:t xml:space="preserve">SE/4 SW/4 of 31-12N-24W</x:t>
        </x:is>
      </x:c>
      <x:c r="J1487" s="543" t="inlineStr">
        <x:is>
          <x:t xml:space="preserve">40 gross acres 
3 years
3/16ths royalty</x:t>
        </x:is>
      </x:c>
      <x:c r="K1487" s="545" t="inlineStr">
        <x:is>
          <x:t xml:space="preserve">OKCountyRecords: 2000-010908</x:t>
        </x:is>
      </x:c>
      <x:c r="L1487" s="543" t="n">
        <x:v>5</x:v>
      </x:c>
      <x:c r="M1487" s="543" t="inlineStr">
        <x:is>
          <x:t xml:space="preserve">Leasehold</x:t>
        </x:is>
      </x:c>
      <x:c r="N1487" s="546" t="n"/>
      <x:c r="O1487" s="547" t="n">
        <x:v>120</x:v>
      </x:c>
      <x:c r="P1487" s="651" t="n"/>
      <x:c r="Q1487" s="651" t="n"/>
      <x:c r="R1487" s="652" t="n"/>
      <x:c r="S1487" s="543" t="inlineStr">
        <x:is>
          <x:t xml:space="preserve">Leasehold (non-mineral; excluded from mineral NMA). Gross=tract-map basis.</x:t>
        </x:is>
      </x:c>
      <x:c r="T1487" s="574" t="n"/>
      <x:c r="U1487" s="575" t="n"/>
      <x:c r="V1487" s="565" t="n"/>
      <x:c r="W1487" s="565" t="n"/>
      <x:c r="X1487" s="565" t="n"/>
      <x:c r="Y1487" s="565" t="n"/>
      <x:c r="Z1487" s="565" t="n"/>
    </x:row>
    <x:row r="1488">
      <x:c r="A1488" s="543" t="inlineStr">
        <x:is>
          <x:t xml:space="preserve">2000-010909</x:t>
        </x:is>
      </x:c>
      <x:c r="B1488" s="543" t="n"/>
      <x:c r="C1488" s="543" t="inlineStr">
        <x:is>
          <x:t xml:space="preserve">Oil and Gas Lease</x:t>
        </x:is>
      </x:c>
      <x:c r="D1488" s="543" t="inlineStr">
        <x:is>
          <x:t xml:space="preserve">1629/525</x:t>
        </x:is>
      </x:c>
      <x:c r="E1488" s="544" t="n">
        <x:v>36824</x:v>
      </x:c>
      <x:c r="F1488" s="544" t="n">
        <x:v>36866</x:v>
      </x:c>
      <x:c r="G1488" s="543" t="inlineStr">
        <x:is>
          <x:t xml:space="preserve">Joseph Devenas, Trustee of the Joseph Devenas Trust Declaration dated September 7, 1994
1302 Highland Avenue
Waukegan, IL 60085</x:t>
        </x:is>
      </x:c>
      <x:c r="H1488" s="543" t="inlineStr">
        <x:is>
          <x:t xml:space="preserve">EOG Resources, Inc.</x:t>
        </x:is>
      </x:c>
      <x:c r="I1488" s="543" t="inlineStr">
        <x:is>
          <x:t xml:space="preserve">SE/4 SW/4 of 31-12N-24W</x:t>
        </x:is>
      </x:c>
      <x:c r="J1488" s="543" t="inlineStr">
        <x:is>
          <x:t xml:space="preserve">40 gross acres 
3 years
3/16ths royalty</x:t>
        </x:is>
      </x:c>
      <x:c r="K1488" s="545" t="inlineStr">
        <x:is>
          <x:t xml:space="preserve">OKCountyRecords: 2000-010909</x:t>
        </x:is>
      </x:c>
      <x:c r="L1488" s="543" t="n">
        <x:v>5</x:v>
      </x:c>
      <x:c r="M1488" s="543" t="inlineStr">
        <x:is>
          <x:t xml:space="preserve">Leasehold</x:t>
        </x:is>
      </x:c>
      <x:c r="N1488" s="546" t="n"/>
      <x:c r="O1488" s="547" t="n">
        <x:v>120</x:v>
      </x:c>
      <x:c r="P1488" s="651" t="n"/>
      <x:c r="Q1488" s="651" t="n"/>
      <x:c r="R1488" s="652" t="n"/>
      <x:c r="S1488" s="543" t="inlineStr">
        <x:is>
          <x:t xml:space="preserve">Leasehold (non-mineral; excluded from mineral NMA). Gross=tract-map basis.</x:t>
        </x:is>
      </x:c>
      <x:c r="T1488" s="574" t="n"/>
      <x:c r="U1488" s="575" t="n"/>
      <x:c r="V1488" s="565" t="n"/>
      <x:c r="W1488" s="565" t="n"/>
      <x:c r="X1488" s="565" t="n"/>
      <x:c r="Y1488" s="565" t="n"/>
      <x:c r="Z1488" s="565" t="n"/>
    </x:row>
    <x:row r="1489">
      <x:c r="A1489" s="543" t="inlineStr">
        <x:is>
          <x:t xml:space="preserve">2001-001358</x:t>
        </x:is>
      </x:c>
      <x:c r="B1489" s="543" t="n"/>
      <x:c r="C1489" s="543" t="inlineStr">
        <x:is>
          <x:t xml:space="preserve">Oil and Gas Lease</x:t>
        </x:is>
      </x:c>
      <x:c r="D1489" s="543" t="inlineStr">
        <x:is>
          <x:t xml:space="preserve">1639/5</x:t>
        </x:is>
      </x:c>
      <x:c r="E1489" s="544" t="n">
        <x:v>36906</x:v>
      </x:c>
      <x:c r="F1489" s="544" t="n">
        <x:v>36985</x:v>
      </x:c>
      <x:c r="G1489" s="543" t="inlineStr">
        <x:is>
          <x:t xml:space="preserve">Carl L. Bain, aka Carl Leon Bain
1517 Twichell Avenue
Dumas,TX 79029</x:t>
        </x:is>
      </x:c>
      <x:c r="H1489" s="543" t="inlineStr">
        <x:is>
          <x:t xml:space="preserve">R. Michael Lortz</x:t>
        </x:is>
      </x:c>
      <x:c r="I1489" s="543" t="inlineStr">
        <x:is>
          <x:t xml:space="preserve">SE/4 SE/4, SW/4 NE/4, W/2 SE/4 of 31-12N-24W</x:t>
        </x:is>
      </x:c>
      <x:c r="J1489" s="543" t="inlineStr">
        <x:is>
          <x:t xml:space="preserve">160 gross acres 
3 years
3/16ths royalty</x:t>
        </x:is>
      </x:c>
      <x:c r="K1489" s="545" t="inlineStr">
        <x:is>
          <x:t xml:space="preserve">OKCountyRecords: 2001-001358</x:t>
        </x:is>
      </x:c>
      <x:c r="L1489" s="543" t="n">
        <x:v>2</x:v>
      </x:c>
      <x:c r="M1489" s="543" t="inlineStr">
        <x:is>
          <x:t xml:space="preserve">Leasehold</x:t>
        </x:is>
      </x:c>
      <x:c r="N1489" s="546" t="n"/>
      <x:c r="O1489" s="547" t="n">
        <x:v>160</x:v>
      </x:c>
      <x:c r="P1489" s="651" t="n"/>
      <x:c r="Q1489" s="651" t="n"/>
      <x:c r="R1489" s="652" t="n"/>
      <x:c r="S1489" s="543" t="inlineStr">
        <x:is>
          <x:t xml:space="preserve">Leasehold (non-mineral; excluded from mineral NMA). Gross=tract-map basis.</x:t>
        </x:is>
      </x:c>
      <x:c r="T1489" s="574" t="n"/>
      <x:c r="U1489" s="575" t="n"/>
      <x:c r="V1489" s="565" t="n"/>
      <x:c r="W1489" s="565" t="n"/>
      <x:c r="X1489" s="565" t="n"/>
      <x:c r="Y1489" s="565" t="n"/>
      <x:c r="Z1489" s="565" t="n"/>
    </x:row>
    <x:row r="1490">
      <x:c r="A1490" s="543" t="inlineStr">
        <x:is>
          <x:t xml:space="preserve">2001-001357</x:t>
        </x:is>
      </x:c>
      <x:c r="B1490" s="543" t="n"/>
      <x:c r="C1490" s="543" t="inlineStr">
        <x:is>
          <x:t xml:space="preserve">Oil and Gas Lease</x:t>
        </x:is>
      </x:c>
      <x:c r="D1490" s="543" t="inlineStr">
        <x:is>
          <x:t xml:space="preserve">1639/3</x:t>
        </x:is>
      </x:c>
      <x:c r="E1490" s="544" t="n">
        <x:v>36906</x:v>
      </x:c>
      <x:c r="F1490" s="544" t="n">
        <x:v>36985</x:v>
      </x:c>
      <x:c r="G1490" s="543" t="inlineStr">
        <x:is>
          <x:t xml:space="preserve">Clarence C. Bain and Dorothy J. Bain, Trustees of
3236 West Cactus Road
Phoenix, AZ 85029</x:t>
        </x:is>
      </x:c>
      <x:c r="H1490" s="543" t="inlineStr">
        <x:is>
          <x:t xml:space="preserve">R. Michael Lortz</x:t>
        </x:is>
      </x:c>
      <x:c r="I1490" s="543" t="inlineStr">
        <x:is>
          <x:t xml:space="preserve">SE/4 SE/4, SW/4 NE/4, W/2 SE/4 of 31-12N-24W</x:t>
        </x:is>
      </x:c>
      <x:c r="J1490" s="543" t="inlineStr">
        <x:is>
          <x:t xml:space="preserve">160 gross acres 
3 years
3/16ths royalty</x:t>
        </x:is>
      </x:c>
      <x:c r="K1490" s="545" t="inlineStr">
        <x:is>
          <x:t xml:space="preserve">OKCountyRecords: 2001-001357</x:t>
        </x:is>
      </x:c>
      <x:c r="L1490" s="543" t="n">
        <x:v>2</x:v>
      </x:c>
      <x:c r="M1490" s="543" t="inlineStr">
        <x:is>
          <x:t xml:space="preserve">Leasehold</x:t>
        </x:is>
      </x:c>
      <x:c r="N1490" s="546" t="n"/>
      <x:c r="O1490" s="547" t="n">
        <x:v>160</x:v>
      </x:c>
      <x:c r="P1490" s="651" t="n"/>
      <x:c r="Q1490" s="651" t="n"/>
      <x:c r="R1490" s="652" t="n"/>
      <x:c r="S1490" s="543" t="inlineStr">
        <x:is>
          <x:t xml:space="preserve">Leasehold (non-mineral; excluded from mineral NMA). Gross=tract-map basis.</x:t>
        </x:is>
      </x:c>
      <x:c r="T1490" s="574" t="n"/>
      <x:c r="U1490" s="575" t="n"/>
      <x:c r="V1490" s="565" t="n"/>
      <x:c r="W1490" s="565" t="n"/>
      <x:c r="X1490" s="565" t="n"/>
      <x:c r="Y1490" s="565" t="n"/>
      <x:c r="Z1490" s="565" t="n"/>
    </x:row>
    <x:row r="1491">
      <x:c r="A1491" s="543" t="inlineStr">
        <x:is>
          <x:t xml:space="preserve">2001-001366</x:t>
        </x:is>
      </x:c>
      <x:c r="B1491" s="543" t="n"/>
      <x:c r="C1491" s="543" t="inlineStr">
        <x:is>
          <x:t xml:space="preserve">Oil and Gas Lease</x:t>
        </x:is>
      </x:c>
      <x:c r="D1491" s="543" t="inlineStr">
        <x:is>
          <x:t xml:space="preserve">1639/21</x:t>
        </x:is>
      </x:c>
      <x:c r="E1491" s="544" t="n">
        <x:v>36906</x:v>
      </x:c>
      <x:c r="F1491" s="544" t="n">
        <x:v>36985</x:v>
      </x:c>
      <x:c r="G1491" s="543" t="inlineStr">
        <x:is>
          <x:t xml:space="preserve">Dow C. Bain and Edris O. Bain, HW</x:t>
        </x:is>
      </x:c>
      <x:c r="H1491" s="543" t="inlineStr">
        <x:is>
          <x:t xml:space="preserve">R. Michael Lortz</x:t>
        </x:is>
      </x:c>
      <x:c r="I1491" s="543" t="inlineStr">
        <x:is>
          <x:t xml:space="preserve">SE/4 SE/4, SW/4 NE/4, W/2 SE/4 of 31-12N-24W</x:t>
        </x:is>
      </x:c>
      <x:c r="J1491" s="543" t="inlineStr">
        <x:is>
          <x:t xml:space="preserve">160 gross acres 
3 years
3/16ths royalty</x:t>
        </x:is>
      </x:c>
      <x:c r="K1491" s="545" t="inlineStr">
        <x:is>
          <x:t xml:space="preserve">OKCountyRecords: 2001-001366</x:t>
        </x:is>
      </x:c>
      <x:c r="L1491" s="543" t="n">
        <x:v>2</x:v>
      </x:c>
      <x:c r="M1491" s="543" t="inlineStr">
        <x:is>
          <x:t xml:space="preserve">Leasehold</x:t>
        </x:is>
      </x:c>
      <x:c r="N1491" s="546" t="n"/>
      <x:c r="O1491" s="547" t="n">
        <x:v>160</x:v>
      </x:c>
      <x:c r="P1491" s="651" t="n"/>
      <x:c r="Q1491" s="651" t="n"/>
      <x:c r="R1491" s="652" t="n"/>
      <x:c r="S1491" s="543" t="inlineStr">
        <x:is>
          <x:t xml:space="preserve">Leasehold (non-mineral; excluded from mineral NMA). Gross=tract-map basis.</x:t>
        </x:is>
      </x:c>
      <x:c r="T1491" s="574" t="n"/>
      <x:c r="U1491" s="575" t="n"/>
      <x:c r="V1491" s="565" t="n"/>
      <x:c r="W1491" s="565" t="n"/>
      <x:c r="X1491" s="565" t="n"/>
      <x:c r="Y1491" s="565" t="n"/>
      <x:c r="Z1491" s="565" t="n"/>
    </x:row>
    <x:row r="1492">
      <x:c r="A1492" s="543" t="inlineStr">
        <x:is>
          <x:t xml:space="preserve">2001-001364</x:t>
        </x:is>
      </x:c>
      <x:c r="B1492" s="543" t="n"/>
      <x:c r="C1492" s="543" t="inlineStr">
        <x:is>
          <x:t xml:space="preserve">Oil and Gas Lease</x:t>
        </x:is>
      </x:c>
      <x:c r="D1492" s="543" t="inlineStr">
        <x:is>
          <x:t xml:space="preserve">1639/17</x:t>
        </x:is>
      </x:c>
      <x:c r="E1492" s="544" t="n">
        <x:v>36906</x:v>
      </x:c>
      <x:c r="F1492" s="544" t="n">
        <x:v>36985</x:v>
      </x:c>
      <x:c r="G1492" s="543" t="inlineStr">
        <x:is>
          <x:t xml:space="preserve">Hans W. Jensen
Hans W. Jensen
720 West Edgewater Street
Portage, WI 53901-1635</x:t>
        </x:is>
      </x:c>
      <x:c r="H1492" s="543" t="inlineStr">
        <x:is>
          <x:t xml:space="preserve">R. Michael Lortz</x:t>
        </x:is>
      </x:c>
      <x:c r="I1492" s="543" t="inlineStr">
        <x:is>
          <x:t xml:space="preserve">SE/4 SE/4, SW/4 NE/4, W/2 SE/4 of 31-12N-24W</x:t>
        </x:is>
      </x:c>
      <x:c r="J1492" s="543" t="inlineStr">
        <x:is>
          <x:t xml:space="preserve">160 gross acres 
3 years
3/16ths royalty</x:t>
        </x:is>
      </x:c>
      <x:c r="K1492" s="545" t="inlineStr">
        <x:is>
          <x:t xml:space="preserve">OKCountyRecords: 2001-001364</x:t>
        </x:is>
      </x:c>
      <x:c r="L1492" s="543" t="n">
        <x:v>2</x:v>
      </x:c>
      <x:c r="M1492" s="543" t="inlineStr">
        <x:is>
          <x:t xml:space="preserve">Leasehold</x:t>
        </x:is>
      </x:c>
      <x:c r="N1492" s="546" t="n"/>
      <x:c r="O1492" s="547" t="n">
        <x:v>160</x:v>
      </x:c>
      <x:c r="P1492" s="651" t="n"/>
      <x:c r="Q1492" s="651" t="n"/>
      <x:c r="R1492" s="652" t="n"/>
      <x:c r="S1492" s="543" t="inlineStr">
        <x:is>
          <x:t xml:space="preserve">Leasehold (non-mineral; excluded from mineral NMA). Gross=tract-map basis.</x:t>
        </x:is>
      </x:c>
      <x:c r="T1492" s="574" t="n"/>
      <x:c r="U1492" s="575" t="n"/>
      <x:c r="V1492" s="565" t="n"/>
      <x:c r="W1492" s="565" t="n"/>
      <x:c r="X1492" s="565" t="n"/>
      <x:c r="Y1492" s="565" t="n"/>
      <x:c r="Z1492" s="565" t="n"/>
    </x:row>
    <x:row r="1493">
      <x:c r="A1493" s="543" t="inlineStr">
        <x:is>
          <x:t xml:space="preserve">2001-001360</x:t>
        </x:is>
      </x:c>
      <x:c r="B1493" s="543" t="n"/>
      <x:c r="C1493" s="543" t="inlineStr">
        <x:is>
          <x:t xml:space="preserve">Oil and Gas Lease</x:t>
        </x:is>
      </x:c>
      <x:c r="D1493" s="543" t="inlineStr">
        <x:is>
          <x:t xml:space="preserve">1639/9</x:t>
        </x:is>
      </x:c>
      <x:c r="E1493" s="544" t="n">
        <x:v>36906</x:v>
      </x:c>
      <x:c r="F1493" s="544" t="n">
        <x:v>36985</x:v>
      </x:c>
      <x:c r="G1493" s="543" t="inlineStr">
        <x:is>
          <x:t xml:space="preserve">Tim E. Jensen
5673 Doschadis
Waterloo, WI 53594</x:t>
        </x:is>
      </x:c>
      <x:c r="H1493" s="543" t="inlineStr">
        <x:is>
          <x:t xml:space="preserve">R. Michael Lortz</x:t>
        </x:is>
      </x:c>
      <x:c r="I1493" s="543" t="inlineStr">
        <x:is>
          <x:t xml:space="preserve">SE/4 SE/4, SW/4 NE/4, W/2 SE/4 of 31-12N-24W</x:t>
        </x:is>
      </x:c>
      <x:c r="J1493" s="543" t="inlineStr">
        <x:is>
          <x:t xml:space="preserve">160 gross acres 
3 years
3/16ths royalty</x:t>
        </x:is>
      </x:c>
      <x:c r="K1493" s="545" t="inlineStr">
        <x:is>
          <x:t xml:space="preserve">OKCountyRecords: 2001-001360</x:t>
        </x:is>
      </x:c>
      <x:c r="L1493" s="543" t="n">
        <x:v>2</x:v>
      </x:c>
      <x:c r="M1493" s="543" t="inlineStr">
        <x:is>
          <x:t xml:space="preserve">Leasehold</x:t>
        </x:is>
      </x:c>
      <x:c r="N1493" s="546" t="n"/>
      <x:c r="O1493" s="547" t="n">
        <x:v>160</x:v>
      </x:c>
      <x:c r="P1493" s="651" t="n"/>
      <x:c r="Q1493" s="651" t="n"/>
      <x:c r="R1493" s="652" t="n"/>
      <x:c r="S1493" s="543" t="inlineStr">
        <x:is>
          <x:t xml:space="preserve">Leasehold (non-mineral; excluded from mineral NMA). Gross=tract-map basis.</x:t>
        </x:is>
      </x:c>
      <x:c r="T1493" s="574" t="n"/>
      <x:c r="U1493" s="575" t="n"/>
      <x:c r="V1493" s="565" t="n"/>
      <x:c r="W1493" s="565" t="n"/>
      <x:c r="X1493" s="565" t="n"/>
      <x:c r="Y1493" s="565" t="n"/>
      <x:c r="Z1493" s="565" t="n"/>
    </x:row>
    <x:row r="1494">
      <x:c r="A1494" s="543" t="inlineStr">
        <x:is>
          <x:t xml:space="preserve">2001-001365</x:t>
        </x:is>
      </x:c>
      <x:c r="B1494" s="543" t="n"/>
      <x:c r="C1494" s="543" t="inlineStr">
        <x:is>
          <x:t xml:space="preserve">Oil and Gas Lease</x:t>
        </x:is>
      </x:c>
      <x:c r="D1494" s="543" t="inlineStr">
        <x:is>
          <x:t xml:space="preserve">1639/19</x:t>
        </x:is>
      </x:c>
      <x:c r="E1494" s="544" t="n">
        <x:v>36906</x:v>
      </x:c>
      <x:c r="F1494" s="544" t="n">
        <x:v>36985</x:v>
      </x:c>
      <x:c r="G1494" s="543" t="inlineStr">
        <x:is>
          <x:t xml:space="preserve">Wilda E. Jensen
317 Major Way, 
Sun Prairie, WI 53590</x:t>
        </x:is>
      </x:c>
      <x:c r="H1494" s="543" t="inlineStr">
        <x:is>
          <x:t xml:space="preserve">R. Michael Lortz</x:t>
        </x:is>
      </x:c>
      <x:c r="I1494" s="543" t="inlineStr">
        <x:is>
          <x:t xml:space="preserve">SE/4 SE/4, SW/4 NE/4, W/2 SE/4 of 31-12N-24W</x:t>
        </x:is>
      </x:c>
      <x:c r="J1494" s="543" t="inlineStr">
        <x:is>
          <x:t xml:space="preserve">160 gross acres 
3 years
3/16ths royalty</x:t>
        </x:is>
      </x:c>
      <x:c r="K1494" s="545" t="inlineStr">
        <x:is>
          <x:t xml:space="preserve">OKCountyRecords: 2001-001365</x:t>
        </x:is>
      </x:c>
      <x:c r="L1494" s="543" t="n">
        <x:v>2</x:v>
      </x:c>
      <x:c r="M1494" s="543" t="inlineStr">
        <x:is>
          <x:t xml:space="preserve">Leasehold</x:t>
        </x:is>
      </x:c>
      <x:c r="N1494" s="546" t="n"/>
      <x:c r="O1494" s="547" t="n">
        <x:v>160</x:v>
      </x:c>
      <x:c r="P1494" s="651" t="n"/>
      <x:c r="Q1494" s="651" t="n"/>
      <x:c r="R1494" s="652" t="n"/>
      <x:c r="S1494" s="543" t="inlineStr">
        <x:is>
          <x:t xml:space="preserve">Leasehold (non-mineral; excluded from mineral NMA). Gross=tract-map basis.</x:t>
        </x:is>
      </x:c>
      <x:c r="T1494" s="574" t="n"/>
      <x:c r="U1494" s="575" t="n"/>
      <x:c r="V1494" s="565" t="n"/>
      <x:c r="W1494" s="565" t="n"/>
      <x:c r="X1494" s="565" t="n"/>
      <x:c r="Y1494" s="565" t="n"/>
      <x:c r="Z1494" s="565" t="n"/>
    </x:row>
    <x:row r="1495">
      <x:c r="A1495" s="543" t="inlineStr">
        <x:is>
          <x:t xml:space="preserve">2001-001359</x:t>
        </x:is>
      </x:c>
      <x:c r="B1495" s="543" t="n"/>
      <x:c r="C1495" s="543" t="inlineStr">
        <x:is>
          <x:t xml:space="preserve">Oil and Gas Lease</x:t>
        </x:is>
      </x:c>
      <x:c r="D1495" s="543" t="inlineStr">
        <x:is>
          <x:t xml:space="preserve">1639/7</x:t>
        </x:is>
      </x:c>
      <x:c r="E1495" s="544" t="n">
        <x:v>36916</x:v>
      </x:c>
      <x:c r="F1495" s="544" t="n">
        <x:v>36985</x:v>
      </x:c>
      <x:c r="G1495" s="543" t="inlineStr">
        <x:is>
          <x:t xml:space="preserve">L.E. Thurman
Rt. 2 Box 34B
Sayre, OK 73662</x:t>
        </x:is>
      </x:c>
      <x:c r="H1495" s="543" t="inlineStr">
        <x:is>
          <x:t xml:space="preserve">R. Michael Lortz</x:t>
        </x:is>
      </x:c>
      <x:c r="I1495" s="543" t="inlineStr">
        <x:is>
          <x:t xml:space="preserve">E/2 NW/4, N/2 NE/4 SW/4, NE/4 SE/4, SE/4 NE/4 of 31-12N-24W</x:t>
        </x:is>
      </x:c>
      <x:c r="J1495" s="543" t="inlineStr">
        <x:is>
          <x:t xml:space="preserve">180 gross acres 
3 years
3/16ths royalty</x:t>
        </x:is>
      </x:c>
      <x:c r="K1495" s="545" t="inlineStr">
        <x:is>
          <x:t xml:space="preserve">OKCountyRecords: 2001-001359</x:t>
        </x:is>
      </x:c>
      <x:c r="L1495" s="543" t="inlineStr">
        <x:is>
          <x:t xml:space="preserve">1, 3, 4, 7, 8</x:t>
        </x:is>
      </x:c>
      <x:c r="M1495" s="543" t="inlineStr">
        <x:is>
          <x:t xml:space="preserve">Leasehold</x:t>
        </x:is>
      </x:c>
      <x:c r="N1495" s="551" t="n"/>
      <x:c r="O1495" s="547" t="n">
        <x:v>280</x:v>
      </x:c>
      <x:c r="P1495" s="651" t="n"/>
      <x:c r="Q1495" s="651" t="n"/>
      <x:c r="R1495" s="652" t="n"/>
      <x:c r="S1495" s="543" t="inlineStr">
        <x:is>
          <x:t xml:space="preserve">Leasehold (non-mineral; excluded from mineral NMA). Gross=tract-map basis.</x:t>
        </x:is>
      </x:c>
      <x:c r="T1495" s="574" t="n"/>
      <x:c r="U1495" s="575" t="n"/>
      <x:c r="V1495" s="565" t="n"/>
      <x:c r="W1495" s="565" t="n"/>
      <x:c r="X1495" s="565" t="n"/>
      <x:c r="Y1495" s="565" t="n"/>
      <x:c r="Z1495" s="565" t="n"/>
    </x:row>
    <x:row r="1496">
      <x:c r="A1496" s="543" t="inlineStr">
        <x:is>
          <x:t xml:space="preserve">2001-001728</x:t>
        </x:is>
      </x:c>
      <x:c r="B1496" s="543" t="n"/>
      <x:c r="C1496" s="543" t="inlineStr">
        <x:is>
          <x:t xml:space="preserve">Assignment</x:t>
        </x:is>
      </x:c>
      <x:c r="D1496" s="543" t="inlineStr">
        <x:is>
          <x:t xml:space="preserve">1641/27</x:t>
        </x:is>
      </x:c>
      <x:c r="E1496" s="544" t="n">
        <x:v>36924</x:v>
      </x:c>
      <x:c r="F1496" s="544" t="n">
        <x:v>37005</x:v>
      </x:c>
      <x:c r="G1496" s="543" t="inlineStr">
        <x:is>
          <x:t xml:space="preserve">R. Michael Lortz</x:t>
        </x:is>
      </x:c>
      <x:c r="H1496" s="543" t="inlineStr">
        <x:is>
          <x:t xml:space="preserve">Chesapeake Exploration Ltd. Ptn.</x:t>
        </x:is>
      </x:c>
      <x:c r="I1496" s="543" t="inlineStr">
        <x:is>
          <x:t xml:space="preserve">SE/4 SE/4, SW/4 NE/4, W/2 SE/4 of 31-12N-24W</x:t>
        </x:is>
      </x:c>
      <x:c r="J1496" s="543" t="inlineStr">
        <x:is>
          <x:t xml:space="preserve">all of Assignor's right, title, interest, and estate in and to the following oil and gas lease (hereinafter referred to as "said leases").:
Oil and Gas Lease dated January 15, 2001, from Hans W.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Wilda E. Jensen, a widow,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Dow C. Bain and Edris O. Bain, as Lessor, to R. Michael Lortz, as Lessee, covering the Southwest Quarter of the Northeast Quarter and the West Half of the Southeast Quarter and the Southeast Quarter of the Southeast Quarter of Section 31, Township 12 North, Range 24 West, Roger Mills County, Oklahoma,</x:t>
        </x:is>
      </x:c>
      <x:c r="K1496" s="545" t="inlineStr">
        <x:is>
          <x:t xml:space="preserve">OKCountyRecords: 2001-001728</x:t>
        </x:is>
      </x:c>
      <x:c r="L1496" s="543" t="n">
        <x:v>2</x:v>
      </x:c>
      <x:c r="M1496" s="543" t="inlineStr">
        <x:is>
          <x:t xml:space="preserve">Leasehold</x:t>
        </x:is>
      </x:c>
      <x:c r="N1496" s="546" t="n"/>
      <x:c r="O1496" s="547" t="n">
        <x:v>160</x:v>
      </x:c>
      <x:c r="P1496" s="651" t="n"/>
      <x:c r="Q1496" s="651" t="n"/>
      <x:c r="R1496" s="652" t="n"/>
      <x:c r="S1496" s="543" t="inlineStr">
        <x:is>
          <x:t xml:space="preserve">Leasehold (non-mineral; excluded from mineral NMA). Gross=tract-map basis.</x:t>
        </x:is>
      </x:c>
      <x:c r="T1496" s="574" t="n"/>
      <x:c r="U1496" s="575" t="n"/>
      <x:c r="V1496" s="565" t="n"/>
      <x:c r="W1496" s="565" t="n"/>
      <x:c r="X1496" s="565" t="n"/>
      <x:c r="Y1496" s="565" t="n"/>
      <x:c r="Z1496" s="565" t="n"/>
    </x:row>
    <x:row r="1497">
      <x:c r="A1497" s="543" t="inlineStr">
        <x:is>
          <x:t xml:space="preserve">2001-001729</x:t>
        </x:is>
      </x:c>
      <x:c r="B1497" s="543" t="n"/>
      <x:c r="C1497" s="543" t="inlineStr">
        <x:is>
          <x:t xml:space="preserve">Assignment</x:t>
        </x:is>
      </x:c>
      <x:c r="D1497" s="543" t="inlineStr">
        <x:is>
          <x:t xml:space="preserve">1641/28</x:t>
        </x:is>
      </x:c>
      <x:c r="E1497" s="544" t="n">
        <x:v>36941</x:v>
      </x:c>
      <x:c r="F1497" s="544" t="n">
        <x:v>37005</x:v>
      </x:c>
      <x:c r="G1497" s="543" t="inlineStr">
        <x:is>
          <x:t xml:space="preserve">R. Michael Lortz</x:t>
        </x:is>
      </x:c>
      <x:c r="H1497" s="543" t="inlineStr">
        <x:is>
          <x:t xml:space="preserve">Chesapeake Exploration Ltd. Ptn.</x:t>
        </x:is>
      </x:c>
      <x:c r="I1497" s="543" t="inlineStr">
        <x:is>
          <x:t xml:space="preserve">SE/4 SE/4, SW/4 NE/4, W/2 SE/4 of 31-12N-24W</x:t>
        </x:is>
      </x:c>
      <x:c r="J1497" s="543" t="inlineStr">
        <x:is>
          <x:t xml:space="preserve">all of Assignor's following oil and gas leases (hereinafter referred to as "said leases"):
Oil and Gas Lease dated January 15, 2001, from Billy W. Bain aka Billy Wayne Bain, as Lessor,
West
to R.
 half
Michael Lortz, as Lessee, covering the Southwest Quarter of the Northeast Quarter and the of the Southeast Quarter and the Southeast Quarter of the Southeast Quarter of Section 31, Township 12 North, Range 24 West, Roger Mills County, Oklahoma,
Oil
Hamilton
 and Gas Lease dated January 15, 2001, from Billy Wayne Bain, Trustee for Hazel A. under Trust Agreement dated January 29, 1983, as Lessor, to R. Michael Lortz, as
Southeast
Lessee, covering the Southwest Quarter of the Northeast Quarter and the West half of the
12 North,
 Quarter and the Southeast Quarter of the Southeast Quarter of Section 31, Township Range 24 West, Roger Mills County, Oklahoma,</x:t>
        </x:is>
      </x:c>
      <x:c r="K1497" s="545" t="inlineStr">
        <x:is>
          <x:t xml:space="preserve">OKCountyRecords: 2001-001729</x:t>
        </x:is>
      </x:c>
      <x:c r="L1497" s="543" t="n">
        <x:v>2</x:v>
      </x:c>
      <x:c r="M1497" s="543" t="inlineStr">
        <x:is>
          <x:t xml:space="preserve">Leasehold</x:t>
        </x:is>
      </x:c>
      <x:c r="N1497" s="546" t="n"/>
      <x:c r="O1497" s="547" t="n">
        <x:v>160</x:v>
      </x:c>
      <x:c r="P1497" s="651" t="n"/>
      <x:c r="Q1497" s="651" t="n"/>
      <x:c r="R1497" s="652" t="n"/>
      <x:c r="S1497" s="543" t="inlineStr">
        <x:is>
          <x:t xml:space="preserve">Leasehold (non-mineral; excluded from mineral NMA). Gross=tract-map basis.</x:t>
        </x:is>
      </x:c>
      <x:c r="T1497" s="574" t="n"/>
      <x:c r="U1497" s="575" t="n"/>
      <x:c r="V1497" s="565" t="n"/>
      <x:c r="W1497" s="565" t="n"/>
      <x:c r="X1497" s="565" t="n"/>
      <x:c r="Y1497" s="565" t="n"/>
      <x:c r="Z1497" s="565" t="n"/>
    </x:row>
    <x:row r="1498">
      <x:c r="A1498" s="543" t="inlineStr">
        <x:is>
          <x:t xml:space="preserve">2001-001730</x:t>
        </x:is>
      </x:c>
      <x:c r="B1498" s="543" t="n"/>
      <x:c r="C1498" s="543" t="inlineStr">
        <x:is>
          <x:t xml:space="preserve">Assignment</x:t>
        </x:is>
      </x:c>
      <x:c r="D1498" s="543" t="inlineStr">
        <x:is>
          <x:t xml:space="preserve">1641/29</x:t>
        </x:is>
      </x:c>
      <x:c r="E1498" s="544" t="n">
        <x:v>36945</x:v>
      </x:c>
      <x:c r="F1498" s="544" t="n">
        <x:v>37005</x:v>
      </x:c>
      <x:c r="G1498" s="543" t="inlineStr">
        <x:is>
          <x:t xml:space="preserve">R. Michael Lortz</x:t>
        </x:is>
      </x:c>
      <x:c r="H1498" s="543" t="inlineStr">
        <x:is>
          <x:t xml:space="preserve">Chesapeake Exploration Ltd. Ptn.</x:t>
        </x:is>
      </x:c>
      <x:c r="I1498" s="543" t="inlineStr">
        <x:is>
          <x:t xml:space="preserve">SE/4 SE/4, SW/4 NE/4, W/2 SE/4 of 31-12N-24W</x:t>
        </x:is>
      </x:c>
      <x:c r="J1498" s="543" t="inlineStr">
        <x:is>
          <x:t xml:space="preserve">all of Assignor's
right, title, interest, and estate in and to the following oil and gas leases (hereinafter referred to as "said leases"):
Oil and Gas Lease dated January 15, 2001, from Tim E.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29, 2001, from Audy C. Campbell aka A.C. Campbell and
Janice Campbell aka Janis Campbell, husband and wife, as Lessor, to R. Michael Lortz, as
Lessee, covering Lot 4 and the South Half of Lot 3 and the South Half of the Northeast Quarter
of the Southwest Quarter and the Southeast Quarter of the Southwest Quarter of Section 31,
Township 12 North, Range 24 West, Roger Mills County, Oklahoma,</x:t>
        </x:is>
      </x:c>
      <x:c r="K1498" s="545" t="inlineStr">
        <x:is>
          <x:t xml:space="preserve">OKCountyRecords: 2001-001730</x:t>
        </x:is>
      </x:c>
      <x:c r="L1498" s="543" t="n">
        <x:v>2</x:v>
      </x:c>
      <x:c r="M1498" s="543" t="inlineStr">
        <x:is>
          <x:t xml:space="preserve">Leasehold</x:t>
        </x:is>
      </x:c>
      <x:c r="N1498" s="546" t="n"/>
      <x:c r="O1498" s="547" t="n">
        <x:v>160</x:v>
      </x:c>
      <x:c r="P1498" s="651" t="n"/>
      <x:c r="Q1498" s="651" t="n"/>
      <x:c r="R1498" s="652" t="n"/>
      <x:c r="S1498" s="543" t="inlineStr">
        <x:is>
          <x:t xml:space="preserve">Leasehold (non-mineral; excluded from mineral NMA). Gross=tract-map basis.</x:t>
        </x:is>
      </x:c>
      <x:c r="T1498" s="574" t="n"/>
      <x:c r="U1498" s="575" t="n"/>
      <x:c r="V1498" s="565" t="n"/>
      <x:c r="W1498" s="565" t="n"/>
      <x:c r="X1498" s="565" t="n"/>
      <x:c r="Y1498" s="565" t="n"/>
      <x:c r="Z1498" s="565" t="n"/>
    </x:row>
    <x:row r="1499">
      <x:c r="A1499" s="543" t="inlineStr">
        <x:is>
          <x:t xml:space="preserve">2001-001732</x:t>
        </x:is>
      </x:c>
      <x:c r="B1499" s="543" t="n"/>
      <x:c r="C1499" s="543" t="inlineStr">
        <x:is>
          <x:t xml:space="preserve">Assignment</x:t>
        </x:is>
      </x:c>
      <x:c r="D1499" s="543" t="inlineStr">
        <x:is>
          <x:t xml:space="preserve">1641/31</x:t>
        </x:is>
      </x:c>
      <x:c r="E1499" s="544" t="n">
        <x:v>36948</x:v>
      </x:c>
      <x:c r="F1499" s="544" t="n">
        <x:v>37005</x:v>
      </x:c>
      <x:c r="G1499" s="543" t="inlineStr">
        <x:is>
          <x:t xml:space="preserve">R. Michael Lortz</x:t>
        </x:is>
      </x:c>
      <x:c r="H1499" s="543" t="inlineStr">
        <x:is>
          <x:t xml:space="preserve">Chesapeake Exploration Ltd. Ptn.</x:t>
        </x:is>
      </x:c>
      <x:c r="I1499" s="543" t="inlineStr">
        <x:is>
          <x:t xml:space="preserve">E/2 NW/4, N/2 NE/4 SW/4, NE/4 SE/4, SE/4 NE/4 of 31-12N-24W</x:t>
        </x:is>
      </x:c>
      <x:c r="J1499" s="543" t="inlineStr">
        <x:is>
          <x:t xml:space="preserve">all of Assignor's right, title, interest, and estate in and to the following oil and gas lease (hereinafter referred to as "said lease").:
Oil and Gas Lease dated January 25, 2001, from L. E. Thurmond, as Lessor, to R. Michael Lortz, as Lessee, covering the East Half of the Northwest Quarter and the North Half of the Northeast Quarter of the Southwest Quarter and the Southeast Quarter of the Northeast Quarter and the Northeast Quarter of the Southeast Quarter of Section 31, Township 12 North, Range 24 West, Roger Mills County, Oklahoma</x:t>
        </x:is>
      </x:c>
      <x:c r="K1499" s="545" t="inlineStr">
        <x:is>
          <x:t xml:space="preserve">OKCountyRecords: 2001-001732</x:t>
        </x:is>
      </x:c>
      <x:c r="L1499" s="543" t="inlineStr">
        <x:is>
          <x:t xml:space="preserve">1, 3, 4, 7, 8</x:t>
        </x:is>
      </x:c>
      <x:c r="M1499" s="543" t="inlineStr">
        <x:is>
          <x:t xml:space="preserve">Leasehold</x:t>
        </x:is>
      </x:c>
      <x:c r="N1499" s="551" t="n"/>
      <x:c r="O1499" s="547" t="n">
        <x:v>280</x:v>
      </x:c>
      <x:c r="P1499" s="651" t="n"/>
      <x:c r="Q1499" s="651" t="n"/>
      <x:c r="R1499" s="652" t="n"/>
      <x:c r="S1499" s="543" t="inlineStr">
        <x:is>
          <x:t xml:space="preserve">Leasehold (non-mineral; excluded from mineral NMA). Gross=tract-map basis.</x:t>
        </x:is>
      </x:c>
      <x:c r="T1499" s="574" t="n"/>
      <x:c r="U1499" s="575" t="n"/>
      <x:c r="V1499" s="565" t="n"/>
      <x:c r="W1499" s="565" t="n"/>
      <x:c r="X1499" s="565" t="n"/>
      <x:c r="Y1499" s="565" t="n"/>
      <x:c r="Z1499" s="565" t="n"/>
    </x:row>
    <x:row r="1500">
      <x:c r="A1500" s="543" t="inlineStr">
        <x:is>
          <x:t xml:space="preserve">2001-001731</x:t>
        </x:is>
      </x:c>
      <x:c r="B1500" s="543" t="n"/>
      <x:c r="C1500" s="543" t="inlineStr">
        <x:is>
          <x:t xml:space="preserve">Assignment</x:t>
        </x:is>
      </x:c>
      <x:c r="D1500" s="543" t="inlineStr">
        <x:is>
          <x:t xml:space="preserve">1641/30</x:t>
        </x:is>
      </x:c>
      <x:c r="E1500" s="544" t="n">
        <x:v>36948</x:v>
      </x:c>
      <x:c r="F1500" s="544" t="n">
        <x:v>37005</x:v>
      </x:c>
      <x:c r="G1500" s="543" t="inlineStr">
        <x:is>
          <x:t xml:space="preserve">R. Michael Lortz</x:t>
        </x:is>
      </x:c>
      <x:c r="H1500" s="543" t="inlineStr">
        <x:is>
          <x:t xml:space="preserve">Chesapeake Exploration Ltd. Ptn.</x:t>
        </x:is>
      </x:c>
      <x:c r="I1500" s="543" t="inlineStr">
        <x:is>
          <x:t xml:space="preserve">E/2 NW/4, N/2 NE/4 SW/4, NE/4 NE/4 SE/4, SE/4 NE/4 of 31-12N-24W</x:t>
        </x:is>
      </x:c>
      <x:c r="J1500" s="543" t="inlineStr">
        <x:is>
          <x:t xml:space="preserve">ARTI</x:t>
        </x:is>
      </x:c>
      <x:c r="K1500" s="545" t="inlineStr">
        <x:is>
          <x:t xml:space="preserve">OKCountyRecords: 2001-001731</x:t>
        </x:is>
      </x:c>
      <x:c r="L1500" s="543" t="inlineStr">
        <x:is>
          <x:t xml:space="preserve">1, 2, 3, 4, 7, 8</x:t>
        </x:is>
      </x:c>
      <x:c r="M1500" s="543" t="inlineStr">
        <x:is>
          <x:t xml:space="preserve">Leasehold</x:t>
        </x:is>
      </x:c>
      <x:c r="N1500" s="551" t="n"/>
      <x:c r="O1500" s="547" t="n">
        <x:v>440</x:v>
      </x:c>
      <x:c r="P1500" s="651" t="n"/>
      <x:c r="Q1500" s="651" t="n"/>
      <x:c r="R1500" s="652" t="n"/>
      <x:c r="S1500" s="543" t="inlineStr">
        <x:is>
          <x:t xml:space="preserve">Leasehold (non-mineral; excluded from mineral NMA). Gross=tract-map basis.</x:t>
        </x:is>
      </x:c>
      <x:c r="T1500" s="574" t="n"/>
      <x:c r="U1500" s="575" t="n"/>
      <x:c r="V1500" s="565" t="n"/>
      <x:c r="W1500" s="565" t="n"/>
      <x:c r="X1500" s="565" t="n"/>
      <x:c r="Y1500" s="565" t="n"/>
      <x:c r="Z1500" s="565" t="n"/>
    </x:row>
    <x:row r="1501">
      <x:c r="A1501" s="543" t="inlineStr">
        <x:is>
          <x:t xml:space="preserve">2001-002016</x:t>
        </x:is>
      </x:c>
      <x:c r="B1501" s="543" t="n"/>
      <x:c r="C1501" s="543" t="inlineStr">
        <x:is>
          <x:t xml:space="preserve">Oil and Gas Lease</x:t>
        </x:is>
      </x:c>
      <x:c r="D1501" s="543" t="inlineStr">
        <x:is>
          <x:t xml:space="preserve">1642/102</x:t>
        </x:is>
      </x:c>
      <x:c r="E1501" s="544" t="n">
        <x:v>36951</x:v>
      </x:c>
      <x:c r="F1501" s="544" t="n">
        <x:v>37019</x:v>
      </x:c>
      <x:c r="G1501" s="543" t="inlineStr">
        <x:is>
          <x:t xml:space="preserve">Michael L. Bain</x:t>
        </x:is>
      </x:c>
      <x:c r="H1501" s="543" t="inlineStr">
        <x:is>
          <x:t xml:space="preserve">R. Michael Lortz</x:t>
        </x:is>
      </x:c>
      <x:c r="I1501" s="543" t="inlineStr">
        <x:is>
          <x:t xml:space="preserve">SE/4 SE/4, SW/4 NE/4, W/2 SE/4 of 31-12N-24W</x:t>
        </x:is>
      </x:c>
      <x:c r="J1501" s="543" t="inlineStr">
        <x:is>
          <x:t xml:space="preserve">160 gross acres 
3 years
3/16ths royalty</x:t>
        </x:is>
      </x:c>
      <x:c r="K1501" s="545" t="inlineStr">
        <x:is>
          <x:t xml:space="preserve">OKCountyRecords: 2001-002016</x:t>
        </x:is>
      </x:c>
      <x:c r="L1501" s="543" t="n">
        <x:v>2</x:v>
      </x:c>
      <x:c r="M1501" s="543" t="inlineStr">
        <x:is>
          <x:t xml:space="preserve">Leasehold</x:t>
        </x:is>
      </x:c>
      <x:c r="N1501" s="546" t="n"/>
      <x:c r="O1501" s="547" t="n">
        <x:v>160</x:v>
      </x:c>
      <x:c r="P1501" s="651" t="n"/>
      <x:c r="Q1501" s="651" t="n"/>
      <x:c r="R1501" s="652" t="n"/>
      <x:c r="S1501" s="543" t="inlineStr">
        <x:is>
          <x:t xml:space="preserve">Leasehold (non-mineral; excluded from mineral NMA). Gross=tract-map basis.</x:t>
        </x:is>
      </x:c>
      <x:c r="T1501" s="574" t="n"/>
      <x:c r="U1501" s="575" t="n"/>
      <x:c r="V1501" s="565" t="n"/>
      <x:c r="W1501" s="565" t="n"/>
      <x:c r="X1501" s="565" t="n"/>
      <x:c r="Y1501" s="565" t="n"/>
      <x:c r="Z1501" s="565" t="n"/>
    </x:row>
    <x:row r="1502">
      <x:c r="A1502" s="543" t="inlineStr">
        <x:is>
          <x:t xml:space="preserve">2001-002015</x:t>
        </x:is>
      </x:c>
      <x:c r="B1502" s="543" t="n"/>
      <x:c r="C1502" s="543" t="inlineStr">
        <x:is>
          <x:t xml:space="preserve">Oil and Gas Lease</x:t>
        </x:is>
      </x:c>
      <x:c r="D1502" s="543" t="inlineStr">
        <x:is>
          <x:t xml:space="preserve">1642/99</x:t>
        </x:is>
      </x:c>
      <x:c r="E1502" s="544" t="n">
        <x:v>36951</x:v>
      </x:c>
      <x:c r="F1502" s="544" t="n">
        <x:v>37019</x:v>
      </x:c>
      <x:c r="G1502" s="543" t="inlineStr">
        <x:is>
          <x:t xml:space="preserve">Paul Milton Bain</x:t>
        </x:is>
      </x:c>
      <x:c r="H1502" s="543" t="inlineStr">
        <x:is>
          <x:t xml:space="preserve">R. Michael Lortz</x:t>
        </x:is>
      </x:c>
      <x:c r="I1502" s="543" t="inlineStr">
        <x:is>
          <x:t xml:space="preserve">SE/4 SE/4, SW/4 NE/4, W/2 SE/4 of 31-12N-24W</x:t>
        </x:is>
      </x:c>
      <x:c r="J1502" s="543" t="inlineStr">
        <x:is>
          <x:t xml:space="preserve">160 gross acres 
3 years
3/16ths royalty</x:t>
        </x:is>
      </x:c>
      <x:c r="K1502" s="545" t="inlineStr">
        <x:is>
          <x:t xml:space="preserve">OKCountyRecords: 2001-002015</x:t>
        </x:is>
      </x:c>
      <x:c r="L1502" s="543" t="n">
        <x:v>2</x:v>
      </x:c>
      <x:c r="M1502" s="543" t="inlineStr">
        <x:is>
          <x:t xml:space="preserve">Leasehold</x:t>
        </x:is>
      </x:c>
      <x:c r="N1502" s="546" t="n"/>
      <x:c r="O1502" s="547" t="n">
        <x:v>160</x:v>
      </x:c>
      <x:c r="P1502" s="651" t="n"/>
      <x:c r="Q1502" s="651" t="n"/>
      <x:c r="R1502" s="652" t="n"/>
      <x:c r="S1502" s="543" t="inlineStr">
        <x:is>
          <x:t xml:space="preserve">Leasehold (non-mineral; excluded from mineral NMA). Gross=tract-map basis.</x:t>
        </x:is>
      </x:c>
      <x:c r="T1502" s="574" t="n"/>
      <x:c r="U1502" s="575" t="n"/>
      <x:c r="V1502" s="565" t="n"/>
      <x:c r="W1502" s="565" t="n"/>
      <x:c r="X1502" s="565" t="n"/>
      <x:c r="Y1502" s="565" t="n"/>
      <x:c r="Z1502" s="565" t="n"/>
    </x:row>
    <x:row r="1503">
      <x:c r="A1503" s="543" t="inlineStr">
        <x:is>
          <x:t xml:space="preserve">2001-002014</x:t>
        </x:is>
      </x:c>
      <x:c r="B1503" s="543" t="n"/>
      <x:c r="C1503" s="543" t="inlineStr">
        <x:is>
          <x:t xml:space="preserve">Oil and Gas Lease</x:t>
        </x:is>
      </x:c>
      <x:c r="D1503" s="543" t="inlineStr">
        <x:is>
          <x:t xml:space="preserve">1642/97</x:t>
        </x:is>
      </x:c>
      <x:c r="E1503" s="544" t="n">
        <x:v>36951</x:v>
      </x:c>
      <x:c r="F1503" s="544" t="n">
        <x:v>37019</x:v>
      </x:c>
      <x:c r="G1503" s="543" t="inlineStr">
        <x:is>
          <x:t xml:space="preserve">William Clifton Bain</x:t>
        </x:is>
      </x:c>
      <x:c r="H1503" s="543" t="inlineStr">
        <x:is>
          <x:t xml:space="preserve">R. Michael Lortz</x:t>
        </x:is>
      </x:c>
      <x:c r="I1503" s="543" t="inlineStr">
        <x:is>
          <x:t xml:space="preserve">SE/4 SE/4, SW/4 NE/4, W/2 SE/4 of 31-12N-24W</x:t>
        </x:is>
      </x:c>
      <x:c r="J1503" s="543" t="inlineStr">
        <x:is>
          <x:t xml:space="preserve">160 gross acres 
3 years
3/16ths royalty</x:t>
        </x:is>
      </x:c>
      <x:c r="K1503" s="545" t="inlineStr">
        <x:is>
          <x:t xml:space="preserve">OKCountyRecords: 2001-002014</x:t>
        </x:is>
      </x:c>
      <x:c r="L1503" s="543" t="n">
        <x:v>2</x:v>
      </x:c>
      <x:c r="M1503" s="543" t="inlineStr">
        <x:is>
          <x:t xml:space="preserve">Leasehold</x:t>
        </x:is>
      </x:c>
      <x:c r="N1503" s="546" t="n"/>
      <x:c r="O1503" s="547" t="n">
        <x:v>160</x:v>
      </x:c>
      <x:c r="P1503" s="651" t="n"/>
      <x:c r="Q1503" s="651" t="n"/>
      <x:c r="R1503" s="652" t="n"/>
      <x:c r="S1503" s="543" t="inlineStr">
        <x:is>
          <x:t xml:space="preserve">Leasehold (non-mineral; excluded from mineral NMA). Gross=tract-map basis.</x:t>
        </x:is>
      </x:c>
      <x:c r="T1503" s="574" t="n"/>
      <x:c r="U1503" s="575" t="n"/>
      <x:c r="V1503" s="565" t="n"/>
      <x:c r="W1503" s="565" t="n"/>
      <x:c r="X1503" s="565" t="n"/>
      <x:c r="Y1503" s="565" t="n"/>
      <x:c r="Z1503" s="565" t="n"/>
    </x:row>
    <x:row r="1504">
      <x:c r="A1504" s="543" t="inlineStr">
        <x:is>
          <x:t xml:space="preserve">2001-002354</x:t>
        </x:is>
      </x:c>
      <x:c r="B1504" s="543" t="n"/>
      <x:c r="C1504" s="543" t="inlineStr">
        <x:is>
          <x:t xml:space="preserve">Assignment</x:t>
        </x:is>
      </x:c>
      <x:c r="D1504" s="543" t="inlineStr">
        <x:is>
          <x:t xml:space="preserve">1643/422</x:t>
        </x:is>
      </x:c>
      <x:c r="E1504" s="544" t="n">
        <x:v>36990</x:v>
      </x:c>
      <x:c r="F1504" s="544" t="n">
        <x:v>37034</x:v>
      </x:c>
      <x:c r="G1504" s="543" t="inlineStr">
        <x:is>
          <x:t xml:space="preserve">R. Michael Lortz</x:t>
        </x:is>
      </x:c>
      <x:c r="H1504" s="543" t="inlineStr">
        <x:is>
          <x:t xml:space="preserve">Chesapeake Exploration Ltd. Ptn.</x:t>
        </x:is>
      </x:c>
      <x:c r="I1504" s="543" t="inlineStr">
        <x:is>
          <x:t xml:space="preserve">SE/4 SE/4, SW/4 NE/4, W/2 SE/4 of 31-12N-24W</x:t>
        </x:is>
      </x:c>
      <x:c r="J1504" s="543" t="inlineStr">
        <x:is>
          <x:t xml:space="preserve">All of Assignor's right, title, interest, and estate in and to the Oil and Gas Lease dated January 15, 2001, from Michael L. Bain, as Lessor, to R. Michael Lortz, as Lessee, covering the Southwest Quarter of the Northeast Quarter and the West Half of the Southeast Quarter and the Southeast Quarter of the Southeast</x:t>
        </x:is>
      </x:c>
      <x:c r="K1504" s="545" t="inlineStr">
        <x:is>
          <x:t xml:space="preserve">OKCountyRecords: 2001-002354</x:t>
        </x:is>
      </x:c>
      <x:c r="L1504" s="543" t="n">
        <x:v>2</x:v>
      </x:c>
      <x:c r="M1504" s="543" t="inlineStr">
        <x:is>
          <x:t xml:space="preserve">Leasehold</x:t>
        </x:is>
      </x:c>
      <x:c r="N1504" s="546" t="n"/>
      <x:c r="O1504" s="547" t="n">
        <x:v>160</x:v>
      </x:c>
      <x:c r="P1504" s="651" t="n"/>
      <x:c r="Q1504" s="651" t="n"/>
      <x:c r="R1504" s="652" t="n"/>
      <x:c r="S1504" s="543" t="inlineStr">
        <x:is>
          <x:t xml:space="preserve">Leasehold (non-mineral; excluded from mineral NMA). Gross=tract-map basis.</x:t>
        </x:is>
      </x:c>
      <x:c r="T1504" s="574" t="n"/>
      <x:c r="U1504" s="575" t="n"/>
      <x:c r="V1504" s="565" t="n"/>
      <x:c r="W1504" s="565" t="n"/>
      <x:c r="X1504" s="565" t="n"/>
      <x:c r="Y1504" s="565" t="n"/>
      <x:c r="Z1504" s="565" t="n"/>
    </x:row>
    <x:row r="1505">
      <x:c r="A1505" s="543" t="inlineStr">
        <x:is>
          <x:t xml:space="preserve">2001-002353</x:t>
        </x:is>
      </x:c>
      <x:c r="B1505" s="543" t="n"/>
      <x:c r="C1505" s="543" t="inlineStr">
        <x:is>
          <x:t xml:space="preserve">Assignment</x:t>
        </x:is>
      </x:c>
      <x:c r="D1505" s="543" t="inlineStr">
        <x:is>
          <x:t xml:space="preserve">1643/421</x:t>
        </x:is>
      </x:c>
      <x:c r="E1505" s="544" t="n">
        <x:v>37031</x:v>
      </x:c>
      <x:c r="F1505" s="544" t="n">
        <x:v>37034</x:v>
      </x:c>
      <x:c r="G1505" s="543" t="inlineStr">
        <x:is>
          <x:t xml:space="preserve">R. Michael Lortz</x:t>
        </x:is>
      </x:c>
      <x:c r="H1505" s="543" t="inlineStr">
        <x:is>
          <x:t xml:space="preserve">Chesapeake Exploration Ltd. Ptn.</x:t>
        </x:is>
      </x:c>
      <x:c r="I1505" s="543" t="inlineStr">
        <x:is>
          <x:t xml:space="preserve">SE/4 SE/4, SW/4 NE/4, W/2 SE/4 of 31-12N-24W</x:t>
        </x:is>
      </x:c>
      <x:c r="J1505" s="543" t="inlineStr">
        <x:is>
          <x:t xml:space="preserve">All of Assignor's right, title, interest, and estate in and to the following oil and gas leases:
Oil and Gas Lease dated March 1, 2001, from William Clifton Bain, as Lessor, to R. Michael Lortz, as Lessee, covering the Southwest Quarter of the Northeast Quarter and the West Half of the Southeast Quarter and the Southeast Quarter ofthe Southeast Quarter of Section 31, Township 12 North, Range 24 West, Roger Mills County, Oklahoma,
Oil and Gas Lease dated March 1, 2001, from Paul Milton Bain, as Lessor, to R. Michael Lortz, as Lessee. covering the Southwest Quarter of the Northeast Quarter and the West Half of the Southeast Quarter and
the Southeast Quarter of the Southeast Quarter of Section 31, Township 12 North, Range 24 West, Roger Mills County, Oklahoma</x:t>
        </x:is>
      </x:c>
      <x:c r="K1505" s="545" t="inlineStr">
        <x:is>
          <x:t xml:space="preserve">OKCountyRecords: 2001-002353</x:t>
        </x:is>
      </x:c>
      <x:c r="L1505" s="543" t="n">
        <x:v>2</x:v>
      </x:c>
      <x:c r="M1505" s="543" t="inlineStr">
        <x:is>
          <x:t xml:space="preserve">Leasehold</x:t>
        </x:is>
      </x:c>
      <x:c r="N1505" s="546" t="n"/>
      <x:c r="O1505" s="547" t="n">
        <x:v>160</x:v>
      </x:c>
      <x:c r="P1505" s="651" t="n"/>
      <x:c r="Q1505" s="651" t="n"/>
      <x:c r="R1505" s="652" t="n"/>
      <x:c r="S1505" s="543" t="inlineStr">
        <x:is>
          <x:t xml:space="preserve">Leasehold (non-mineral; excluded from mineral NMA). Gross=tract-map basis.</x:t>
        </x:is>
      </x:c>
      <x:c r="T1505" s="574" t="n"/>
      <x:c r="U1505" s="575" t="n"/>
      <x:c r="V1505" s="565" t="n"/>
      <x:c r="W1505" s="565" t="n"/>
      <x:c r="X1505" s="565" t="n"/>
      <x:c r="Y1505" s="565" t="n"/>
      <x:c r="Z1505" s="565" t="n"/>
    </x:row>
    <x:row r="1506">
      <x:c r="A1506" s="543" t="inlineStr">
        <x:is>
          <x:t xml:space="preserve">2002-001685</x:t>
        </x:is>
      </x:c>
      <x:c r="B1506" s="543" t="n"/>
      <x:c r="C1506" s="543" t="inlineStr">
        <x:is>
          <x:t xml:space="preserve">Assignment</x:t>
        </x:is>
      </x:c>
      <x:c r="D1506" s="543" t="inlineStr">
        <x:is>
          <x:t xml:space="preserve">1676/140</x:t>
        </x:is>
      </x:c>
      <x:c r="E1506" s="544" t="n">
        <x:v>37348</x:v>
      </x:c>
      <x:c r="F1506" s="544" t="n">
        <x:v>37368</x:v>
      </x:c>
      <x:c r="G1506" s="543" t="inlineStr">
        <x:is>
          <x:t xml:space="preserve">Richard C. Cope</x:t>
        </x:is>
      </x:c>
      <x:c r="H1506" s="543" t="inlineStr">
        <x:is>
          <x:t xml:space="preserve">Walter Oil Duncan</x:t>
        </x:is>
      </x:c>
      <x:c r="I1506" s="543" t="inlineStr">
        <x:is>
          <x:t xml:space="preserve">NE/4 of 31-12N-24W, aol</x:t>
        </x:is>
      </x:c>
      <x:c r="J1506" s="543" t="inlineStr">
        <x:is>
          <x:t xml:space="preserve">ARTI</x:t>
        </x:is>
      </x:c>
      <x:c r="K1506" s="545" t="inlineStr">
        <x:is>
          <x:t xml:space="preserve">OKCountyRecords: 2002-001685</x:t>
        </x:is>
      </x:c>
      <x:c r="L1506" s="543" t="inlineStr">
        <x:is>
          <x:t xml:space="preserve">1, 2, 3</x:t>
        </x:is>
      </x:c>
      <x:c r="M1506" s="543" t="inlineStr">
        <x:is>
          <x:t xml:space="preserve">Leasehold</x:t>
        </x:is>
      </x:c>
      <x:c r="N1506" s="546" t="n"/>
      <x:c r="O1506" s="547" t="n">
        <x:v>280</x:v>
      </x:c>
      <x:c r="P1506" s="651" t="n"/>
      <x:c r="Q1506" s="651" t="n"/>
      <x:c r="R1506" s="652" t="n"/>
      <x:c r="S1506" s="543" t="inlineStr">
        <x:is>
          <x:t xml:space="preserve">Leasehold (non-mineral; excluded from mineral NMA). Gross=tract-map basis.</x:t>
        </x:is>
      </x:c>
      <x:c r="T1506" s="574" t="n"/>
      <x:c r="U1506" s="575" t="n"/>
      <x:c r="V1506" s="565" t="n"/>
      <x:c r="W1506" s="565" t="n"/>
      <x:c r="X1506" s="565" t="n"/>
      <x:c r="Y1506" s="565" t="n"/>
      <x:c r="Z1506" s="565" t="n"/>
    </x:row>
    <x:row r="1507">
      <x:c r="A1507" s="543" t="inlineStr">
        <x:is>
          <x:t xml:space="preserve">2002-002538</x:t>
        </x:is>
      </x:c>
      <x:c r="B1507" s="543" t="n"/>
      <x:c r="C1507" s="543" t="inlineStr">
        <x:is>
          <x:t xml:space="preserve">Oil and Gas Lease</x:t>
        </x:is>
      </x:c>
      <x:c r="D1507" s="543" t="inlineStr">
        <x:is>
          <x:t xml:space="preserve">1682/64</x:t>
        </x:is>
      </x:c>
      <x:c r="E1507" s="544" t="n">
        <x:v>37354</x:v>
      </x:c>
      <x:c r="F1507" s="544" t="n">
        <x:v>37424</x:v>
      </x:c>
      <x:c r="G1507" s="543" t="inlineStr">
        <x:is>
          <x:t xml:space="preserve">L. A. Persicke
36836 Franklin Ave.
Madera, CA 93637</x:t>
        </x:is>
      </x:c>
      <x:c r="H1507" s="543" t="inlineStr">
        <x:is>
          <x:t xml:space="preserve">Chesapeake Exploration Ltd. Ptn.</x:t>
        </x:is>
      </x:c>
      <x:c r="I1507" s="543" t="inlineStr">
        <x:is>
          <x:t xml:space="preserve">NW/4 SE/4, S/2 SE/4 of 31-12N-24W</x:t>
        </x:is>
      </x:c>
      <x:c r="J1507" s="543" t="inlineStr">
        <x:is>
          <x:t xml:space="preserve">160 gross acres 
3 years
1/8th royalty</x:t>
        </x:is>
      </x:c>
      <x:c r="K1507" s="545" t="inlineStr">
        <x:is>
          <x:t xml:space="preserve">OKCountyRecords: 2002-002538</x:t>
        </x:is>
      </x:c>
      <x:c r="L1507" s="543" t="n">
        <x:v>2</x:v>
      </x:c>
      <x:c r="M1507" s="543" t="inlineStr">
        <x:is>
          <x:t xml:space="preserve">Leasehold</x:t>
        </x:is>
      </x:c>
      <x:c r="N1507" s="546" t="n"/>
      <x:c r="O1507" s="547" t="n">
        <x:v>160</x:v>
      </x:c>
      <x:c r="P1507" s="651" t="n"/>
      <x:c r="Q1507" s="651" t="n"/>
      <x:c r="R1507" s="652" t="n"/>
      <x:c r="S1507" s="543" t="inlineStr">
        <x:is>
          <x:t xml:space="preserve">Leasehold (non-mineral; excluded from mineral NMA). Gross=tract-map basis.</x:t>
        </x:is>
      </x:c>
      <x:c r="T1507" s="574" t="n"/>
      <x:c r="U1507" s="575" t="n"/>
      <x:c r="V1507" s="565" t="n"/>
      <x:c r="W1507" s="565" t="n"/>
      <x:c r="X1507" s="565" t="n"/>
      <x:c r="Y1507" s="565" t="n"/>
      <x:c r="Z1507" s="565" t="n"/>
    </x:row>
    <x:row r="1508">
      <x:c r="A1508" s="543" t="inlineStr">
        <x:is>
          <x:t xml:space="preserve">2002-001971</x:t>
        </x:is>
      </x:c>
      <x:c r="B1508" s="543" t="n"/>
      <x:c r="C1508" s="543" t="inlineStr">
        <x:is>
          <x:t xml:space="preserve">Oil and Gas Lease</x:t>
        </x:is>
      </x:c>
      <x:c r="D1508" s="543" t="inlineStr">
        <x:is>
          <x:t xml:space="preserve">1677/535</x:t>
        </x:is>
      </x:c>
      <x:c r="E1508" s="544" t="n">
        <x:v>37361</x:v>
      </x:c>
      <x:c r="F1508" s="544" t="n">
        <x:v>37389</x:v>
      </x:c>
      <x:c r="G1508" s="543" t="inlineStr">
        <x:is>
          <x:t xml:space="preserve">Mary Ellen Silverberg
#26 West 45th St.
Sioux City, IA 51104</x:t>
        </x:is>
      </x:c>
      <x:c r="H1508" s="543" t="inlineStr">
        <x:is>
          <x:t xml:space="preserve">EOG Resources, Inc.</x:t>
        </x:is>
      </x:c>
      <x:c r="I1508" s="543" t="inlineStr">
        <x:is>
          <x:t xml:space="preserve">NW/4 SE/4, S/2 SE/4, SW/4 NE/4 of 31-12N-24W</x:t>
        </x:is>
      </x:c>
      <x:c r="J1508" s="543" t="inlineStr">
        <x:is>
          <x:t xml:space="preserve">160 gross acres 
3 years
3/16ths royalty</x:t>
        </x:is>
      </x:c>
      <x:c r="K1508" s="545" t="inlineStr">
        <x:is>
          <x:t xml:space="preserve">OKCountyRecords: 2002-001971</x:t>
        </x:is>
      </x:c>
      <x:c r="L1508" s="543" t="n">
        <x:v>2</x:v>
      </x:c>
      <x:c r="M1508" s="543" t="inlineStr">
        <x:is>
          <x:t xml:space="preserve">Leasehold</x:t>
        </x:is>
      </x:c>
      <x:c r="N1508" s="546" t="n"/>
      <x:c r="O1508" s="547" t="n">
        <x:v>160</x:v>
      </x:c>
      <x:c r="P1508" s="651" t="n"/>
      <x:c r="Q1508" s="651" t="n"/>
      <x:c r="R1508" s="652" t="n"/>
      <x:c r="S1508" s="543" t="inlineStr">
        <x:is>
          <x:t xml:space="preserve">Leasehold (non-mineral; excluded from mineral NMA). Gross=tract-map basis.</x:t>
        </x:is>
      </x:c>
      <x:c r="T1508" s="574" t="n"/>
      <x:c r="U1508" s="575" t="n"/>
      <x:c r="V1508" s="565" t="n"/>
      <x:c r="W1508" s="565" t="n"/>
      <x:c r="X1508" s="565" t="n"/>
      <x:c r="Y1508" s="565" t="n"/>
      <x:c r="Z1508" s="565" t="n"/>
    </x:row>
    <x:row r="1509">
      <x:c r="A1509" s="543" t="inlineStr">
        <x:is>
          <x:t xml:space="preserve">2002-002254</x:t>
        </x:is>
      </x:c>
      <x:c r="B1509" s="543" t="n"/>
      <x:c r="C1509" s="543" t="inlineStr">
        <x:is>
          <x:t xml:space="preserve">Oil and Gas Lease</x:t>
        </x:is>
      </x:c>
      <x:c r="D1509" s="543" t="inlineStr">
        <x:is>
          <x:t xml:space="preserve">1680/431</x:t>
        </x:is>
      </x:c>
      <x:c r="E1509" s="544" t="n">
        <x:v>37364</x:v>
      </x:c>
      <x:c r="F1509" s="544" t="n">
        <x:v>37410</x:v>
      </x:c>
      <x:c r="G1509" s="543" t="inlineStr">
        <x:is>
          <x:t xml:space="preserve">James E. Menchan
1755 16th Street
Monroe, WI 53566</x:t>
        </x:is>
      </x:c>
      <x:c r="H1509" s="543" t="inlineStr">
        <x:is>
          <x:t xml:space="preserve">Chesapeake Exploration Ltd. Ptn.</x:t>
        </x:is>
      </x:c>
      <x:c r="I1509" s="543" t="inlineStr">
        <x:is>
          <x:t xml:space="preserve">E/2 SE/4, SW/4 NE/4 of 31-12N-24W</x:t>
        </x:is>
      </x:c>
      <x:c r="J1509" s="543" t="inlineStr">
        <x:is>
          <x:t xml:space="preserve">160 gross acres 
3 years
1/8th royalty</x:t>
        </x:is>
      </x:c>
      <x:c r="K1509" s="545" t="inlineStr">
        <x:is>
          <x:t xml:space="preserve">OKCountyRecords: 2002-002254</x:t>
        </x:is>
      </x:c>
      <x:c r="L1509" s="543" t="inlineStr">
        <x:is>
          <x:t xml:space="preserve">2, 8</x:t>
        </x:is>
      </x:c>
      <x:c r="M1509" s="543" t="inlineStr">
        <x:is>
          <x:t xml:space="preserve">Leasehold</x:t>
        </x:is>
      </x:c>
      <x:c r="N1509" s="546" t="n"/>
      <x:c r="O1509" s="547" t="n">
        <x:v>200</x:v>
      </x:c>
      <x:c r="P1509" s="651" t="n"/>
      <x:c r="Q1509" s="651" t="n"/>
      <x:c r="R1509" s="652" t="n"/>
      <x:c r="S1509" s="543" t="inlineStr">
        <x:is>
          <x:t xml:space="preserve">Leasehold (non-mineral; excluded from mineral NMA). Gross=tract-map basis.</x:t>
        </x:is>
      </x:c>
      <x:c r="T1509" s="574" t="n"/>
      <x:c r="U1509" s="575" t="n"/>
      <x:c r="V1509" s="565" t="n"/>
      <x:c r="W1509" s="565" t="n"/>
      <x:c r="X1509" s="565" t="n"/>
      <x:c r="Y1509" s="565" t="n"/>
      <x:c r="Z1509" s="565" t="n"/>
    </x:row>
    <x:row r="1510">
      <x:c r="A1510" s="543" t="inlineStr">
        <x:is>
          <x:t xml:space="preserve">2002-002104</x:t>
        </x:is>
      </x:c>
      <x:c r="B1510" s="543" t="n"/>
      <x:c r="C1510" s="543" t="inlineStr">
        <x:is>
          <x:t xml:space="preserve">Oil and Gas Lease</x:t>
        </x:is>
      </x:c>
      <x:c r="D1510" s="543" t="inlineStr">
        <x:is>
          <x:t xml:space="preserve">1678/554</x:t>
        </x:is>
      </x:c>
      <x:c r="E1510" s="544" t="n">
        <x:v>37381</x:v>
      </x:c>
      <x:c r="F1510" s="544" t="n">
        <x:v>37399</x:v>
      </x:c>
      <x:c r="G1510" s="543" t="inlineStr">
        <x:is>
          <x:t xml:space="preserve">Lyle T. Ibeling
740 Herron Court, #A
Waterloo, WI 53594</x:t>
        </x:is>
      </x:c>
      <x:c r="H1510" s="543" t="inlineStr">
        <x:is>
          <x:t xml:space="preserve">EOG Resources, Inc.</x:t>
        </x:is>
      </x:c>
      <x:c r="I1510" s="543" t="inlineStr">
        <x:is>
          <x:t xml:space="preserve">NW/4 SE/4, S/2 SE/4, SW/4 NE/4 of 31-12N-24W</x:t>
        </x:is>
      </x:c>
      <x:c r="J1510" s="543" t="inlineStr">
        <x:is>
          <x:t xml:space="preserve">160 gross acres 
1 year
1/4th royalty</x:t>
        </x:is>
      </x:c>
      <x:c r="K1510" s="545" t="inlineStr">
        <x:is>
          <x:t xml:space="preserve">OKCountyRecords: 2002-002104</x:t>
        </x:is>
      </x:c>
      <x:c r="L1510" s="543" t="n">
        <x:v>2</x:v>
      </x:c>
      <x:c r="M1510" s="543" t="inlineStr">
        <x:is>
          <x:t xml:space="preserve">Leasehold</x:t>
        </x:is>
      </x:c>
      <x:c r="N1510" s="546" t="n"/>
      <x:c r="O1510" s="547" t="n">
        <x:v>160</x:v>
      </x:c>
      <x:c r="P1510" s="651" t="n"/>
      <x:c r="Q1510" s="651" t="n"/>
      <x:c r="R1510" s="652" t="n"/>
      <x:c r="S1510" s="543" t="inlineStr">
        <x:is>
          <x:t xml:space="preserve">Leasehold (non-mineral; excluded from mineral NMA). Gross=tract-map basis.</x:t>
        </x:is>
      </x:c>
      <x:c r="T1510" s="574" t="n"/>
      <x:c r="U1510" s="575" t="n"/>
      <x:c r="V1510" s="565" t="n"/>
      <x:c r="W1510" s="565" t="n"/>
      <x:c r="X1510" s="565" t="n"/>
      <x:c r="Y1510" s="565" t="n"/>
      <x:c r="Z1510" s="565" t="n"/>
    </x:row>
    <x:row r="1511">
      <x:c r="A1511" s="543" t="inlineStr">
        <x:is>
          <x:t xml:space="preserve">2002-001961</x:t>
        </x:is>
      </x:c>
      <x:c r="B1511" s="543" t="n">
        <x:v>19</x:v>
      </x:c>
      <x:c r="C1511" s="543" t="inlineStr">
        <x:is>
          <x:t xml:space="preserve">Oil and Gas Lease</x:t>
        </x:is>
      </x:c>
      <x:c r="D1511" s="543" t="inlineStr">
        <x:is>
          <x:t xml:space="preserve">1677/512</x:t>
        </x:is>
      </x:c>
      <x:c r="E1511" s="544" t="n">
        <x:v>37384</x:v>
      </x:c>
      <x:c r="F1511" s="544" t="n">
        <x:v>37389</x:v>
      </x:c>
      <x:c r="G1511" s="543" t="inlineStr">
        <x:is>
          <x:t xml:space="preserve">Hayhurst Oil Properties, Inc.
P.O. Box 828,
Elk City, OK 73648</x:t>
        </x:is>
      </x:c>
      <x:c r="H1511" s="543" t="inlineStr">
        <x:is>
          <x:t xml:space="preserve">Fleshman Agency, Inc.</x:t>
        </x:is>
      </x:c>
      <x:c r="I1511" s="543" t="inlineStr">
        <x:is>
          <x:t xml:space="preserve">E/2 NW/4, N/2 NE/4 SW/4, NE/4 SE/4, SE/4 NE/4 of 31-12N-24W</x:t>
        </x:is>
      </x:c>
      <x:c r="J1511" s="543" t="inlineStr">
        <x:is>
          <x:t xml:space="preserve">180 gross acres 
1 year
1/4th royalty</x:t>
        </x:is>
      </x:c>
      <x:c r="K1511" s="545" t="inlineStr">
        <x:is>
          <x:t xml:space="preserve">OKCountyRecords: 2002-001961</x:t>
        </x:is>
      </x:c>
      <x:c r="L1511" s="543" t="inlineStr">
        <x:is>
          <x:t xml:space="preserve">1, 3, 4, 7, 8</x:t>
        </x:is>
      </x:c>
      <x:c r="M1511" s="543" t="inlineStr">
        <x:is>
          <x:t xml:space="preserve">Leasehold</x:t>
        </x:is>
      </x:c>
      <x:c r="N1511" s="551" t="n"/>
      <x:c r="O1511" s="547" t="n">
        <x:v>280</x:v>
      </x:c>
      <x:c r="P1511" s="651" t="n"/>
      <x:c r="Q1511" s="651" t="n"/>
      <x:c r="R1511" s="652" t="n"/>
      <x:c r="S1511" s="543" t="inlineStr">
        <x:is>
          <x:t xml:space="preserve">Leasehold (non-mineral; excluded from mineral NMA). Gross=tract-map basis.</x:t>
        </x:is>
      </x:c>
      <x:c r="T1511" s="574" t="n"/>
      <x:c r="U1511" s="575" t="n"/>
      <x:c r="V1511" s="565" t="n"/>
      <x:c r="W1511" s="565" t="n"/>
      <x:c r="X1511" s="565" t="n"/>
      <x:c r="Y1511" s="565" t="n"/>
      <x:c r="Z1511" s="565" t="n"/>
    </x:row>
    <x:row r="1512">
      <x:c r="A1512" s="543" t="inlineStr">
        <x:is>
          <x:t xml:space="preserve">2002-001962</x:t>
        </x:is>
      </x:c>
      <x:c r="B1512" s="543" t="n"/>
      <x:c r="C1512" s="543" t="inlineStr">
        <x:is>
          <x:t xml:space="preserve">Assignment</x:t>
        </x:is>
      </x:c>
      <x:c r="D1512" s="543" t="inlineStr">
        <x:is>
          <x:t xml:space="preserve">1677/515</x:t>
        </x:is>
      </x:c>
      <x:c r="E1512" s="544" t="n">
        <x:v>37385</x:v>
      </x:c>
      <x:c r="F1512" s="544" t="n">
        <x:v>37389</x:v>
      </x:c>
      <x:c r="G1512" s="543" t="inlineStr">
        <x:is>
          <x:t xml:space="preserve">Fleshman Agency, Inc.</x:t>
        </x:is>
      </x:c>
      <x:c r="H1512" s="543" t="inlineStr">
        <x:is>
          <x:t xml:space="preserve">William A. Hadwiger</x:t>
        </x:is>
      </x:c>
      <x:c r="I1512" s="543" t="inlineStr">
        <x:is>
          <x:t xml:space="preserve">E/2 NW/4, N/2 NE/4 SW/4, NE/4 SE/4, SE/4 NE/4 of 31-12N-24W</x:t>
        </x:is>
      </x:c>
      <x:c r="J1512" s="543" t="inlineStr">
        <x:is>
          <x:t xml:space="preserve">ARTI in OGL at 1677/512</x:t>
        </x:is>
      </x:c>
      <x:c r="K1512" s="545" t="inlineStr">
        <x:is>
          <x:t xml:space="preserve">OKCountyRecords: 2002-001962</x:t>
        </x:is>
      </x:c>
      <x:c r="L1512" s="543" t="inlineStr">
        <x:is>
          <x:t xml:space="preserve">1, 3, 4, 7, 8</x:t>
        </x:is>
      </x:c>
      <x:c r="M1512" s="543" t="inlineStr">
        <x:is>
          <x:t xml:space="preserve">Leasehold</x:t>
        </x:is>
      </x:c>
      <x:c r="N1512" s="551" t="n"/>
      <x:c r="O1512" s="547" t="n">
        <x:v>280</x:v>
      </x:c>
      <x:c r="P1512" s="651" t="n"/>
      <x:c r="Q1512" s="651" t="n"/>
      <x:c r="R1512" s="652" t="n"/>
      <x:c r="S1512" s="543" t="inlineStr">
        <x:is>
          <x:t xml:space="preserve">Leasehold (non-mineral; excluded from mineral NMA). Gross=tract-map basis.</x:t>
        </x:is>
      </x:c>
      <x:c r="T1512" s="574" t="n"/>
      <x:c r="U1512" s="575" t="n"/>
      <x:c r="V1512" s="565" t="n"/>
      <x:c r="W1512" s="565" t="n"/>
      <x:c r="X1512" s="565" t="n"/>
      <x:c r="Y1512" s="565" t="n"/>
      <x:c r="Z1512" s="565" t="n"/>
    </x:row>
    <x:row r="1513">
      <x:c r="A1513" s="543" t="inlineStr">
        <x:is>
          <x:t xml:space="preserve">2002-002928</x:t>
        </x:is>
      </x:c>
      <x:c r="B1513" s="543" t="n"/>
      <x:c r="C1513" s="543" t="inlineStr">
        <x:is>
          <x:t xml:space="preserve">Oil and Gas Lease</x:t>
        </x:is>
      </x:c>
      <x:c r="D1513" s="543" t="inlineStr">
        <x:is>
          <x:t xml:space="preserve">1684/443</x:t>
        </x:is>
      </x:c>
      <x:c r="E1513" s="544" t="n">
        <x:v>37426</x:v>
      </x:c>
      <x:c r="F1513" s="544" t="n">
        <x:v>37454</x:v>
      </x:c>
      <x:c r="G1513" s="543" t="inlineStr">
        <x:is>
          <x:t xml:space="preserve">James F. Menehan</x:t>
        </x:is>
      </x:c>
      <x:c r="H1513" s="543" t="inlineStr">
        <x:is>
          <x:t xml:space="preserve">EOG Resources, Inc.</x:t>
        </x:is>
      </x:c>
      <x:c r="I1513" s="543" t="inlineStr">
        <x:is>
          <x:t xml:space="preserve">NW/4 SE/4, S/2 SE/4, SW/4 NE/4 of 31-12N-24W</x:t>
        </x:is>
      </x:c>
      <x:c r="J1513" s="543" t="inlineStr">
        <x:is>
          <x:t xml:space="preserve">160 gross acres 
3 years
1/4th royalty</x:t>
        </x:is>
      </x:c>
      <x:c r="K1513" s="545" t="inlineStr">
        <x:is>
          <x:t xml:space="preserve">OKCountyRecords: 2002-002928</x:t>
        </x:is>
      </x:c>
      <x:c r="L1513" s="543" t="n">
        <x:v>2</x:v>
      </x:c>
      <x:c r="M1513" s="543" t="inlineStr">
        <x:is>
          <x:t xml:space="preserve">Leasehold</x:t>
        </x:is>
      </x:c>
      <x:c r="N1513" s="546" t="n"/>
      <x:c r="O1513" s="547" t="n">
        <x:v>160</x:v>
      </x:c>
      <x:c r="P1513" s="651" t="n"/>
      <x:c r="Q1513" s="651" t="n"/>
      <x:c r="R1513" s="652" t="n"/>
      <x:c r="S1513" s="543" t="inlineStr">
        <x:is>
          <x:t xml:space="preserve">Leasehold (non-mineral; excluded from mineral NMA). Gross=tract-map basis.</x:t>
        </x:is>
      </x:c>
      <x:c r="T1513" s="574" t="n"/>
      <x:c r="U1513" s="575" t="n"/>
      <x:c r="V1513" s="565" t="n"/>
      <x:c r="W1513" s="565" t="n"/>
      <x:c r="X1513" s="565" t="n"/>
      <x:c r="Y1513" s="565" t="n"/>
      <x:c r="Z1513" s="565" t="n"/>
    </x:row>
    <x:row r="1514">
      <x:c r="A1514" s="543" t="inlineStr">
        <x:is>
          <x:t xml:space="preserve">2002-003800</x:t>
        </x:is>
      </x:c>
      <x:c r="B1514" s="543" t="n"/>
      <x:c r="C1514" s="543" t="inlineStr">
        <x:is>
          <x:t xml:space="preserve">Ratification</x:t>
        </x:is>
      </x:c>
      <x:c r="D1514" s="543" t="inlineStr">
        <x:is>
          <x:t xml:space="preserve">1689/522</x:t>
        </x:is>
      </x:c>
      <x:c r="E1514" s="544" t="n">
        <x:v>37453</x:v>
      </x:c>
      <x:c r="F1514" s="544" t="n">
        <x:v>37525</x:v>
      </x:c>
      <x:c r="G1514" s="543" t="inlineStr">
        <x:is>
          <x:t xml:space="preserve">Peggy J. Brawner</x:t>
        </x:is>
      </x:c>
      <x:c r="H1514" s="543" t="inlineStr">
        <x:is>
          <x:t xml:space="preserve">EOG Resources, Inc.</x:t>
        </x:is>
      </x:c>
      <x:c r="I1514" s="543" t="inlineStr">
        <x:is>
          <x:t xml:space="preserve">NW/4 SE/4, S/2 SE/4, SW/4 NE/4 of 31-12N-24W</x:t>
        </x:is>
      </x:c>
      <x:c r="J1514" s="543" t="inlineStr">
        <x:is>
          <x:t xml:space="preserve">Ratification of OGL at 1686/580 by Peggy Brawner, Attorney-in-Fact for William Cobal Bain, Jr., a/k/a William C. Bain. Jr.</x:t>
        </x:is>
      </x:c>
      <x:c r="K1514" s="545" t="inlineStr">
        <x:is>
          <x:t xml:space="preserve">OKCountyRecords: 2002-003800</x:t>
        </x:is>
      </x:c>
      <x:c r="L1514" s="543" t="n">
        <x:v>2</x:v>
      </x:c>
      <x:c r="M1514" s="543" t="inlineStr">
        <x:is>
          <x:t xml:space="preserve">Leasehold</x:t>
        </x:is>
      </x:c>
      <x:c r="N1514" s="546" t="n"/>
      <x:c r="O1514" s="547" t="n">
        <x:v>160</x:v>
      </x:c>
      <x:c r="P1514" s="651" t="n"/>
      <x:c r="Q1514" s="651" t="n"/>
      <x:c r="R1514" s="652" t="n"/>
      <x:c r="S1514" s="543" t="inlineStr">
        <x:is>
          <x:t xml:space="preserve">Leasehold (non-mineral; excluded from mineral NMA). Gross=tract-map basis.</x:t>
        </x:is>
      </x:c>
      <x:c r="T1514" s="574" t="n"/>
      <x:c r="U1514" s="575" t="n"/>
      <x:c r="V1514" s="565" t="n"/>
      <x:c r="W1514" s="565" t="n"/>
      <x:c r="X1514" s="565" t="n"/>
      <x:c r="Y1514" s="565" t="n"/>
      <x:c r="Z1514" s="565" t="n"/>
    </x:row>
    <x:row r="1515">
      <x:c r="A1515" s="543" t="inlineStr">
        <x:is>
          <x:t xml:space="preserve">2002-003799</x:t>
        </x:is>
      </x:c>
      <x:c r="B1515" s="543" t="n"/>
      <x:c r="C1515" s="543" t="inlineStr">
        <x:is>
          <x:t xml:space="preserve">Ratification</x:t>
        </x:is>
      </x:c>
      <x:c r="D1515" s="543" t="inlineStr">
        <x:is>
          <x:t xml:space="preserve">1689/521</x:t>
        </x:is>
      </x:c>
      <x:c r="E1515" s="544" t="n">
        <x:v>37455</x:v>
      </x:c>
      <x:c r="F1515" s="544" t="n">
        <x:v>37525</x:v>
      </x:c>
      <x:c r="G1515" s="543" t="inlineStr">
        <x:is>
          <x:t xml:space="preserve">Marilyn L. Broyles
P.O. Box 91
Red Feather Lakes, CO 80545</x:t>
        </x:is>
      </x:c>
      <x:c r="H1515" s="543" t="inlineStr">
        <x:is>
          <x:t xml:space="preserve">EOG Resources, Inc.</x:t>
        </x:is>
      </x:c>
      <x:c r="I1515" s="543" t="inlineStr">
        <x:is>
          <x:t xml:space="preserve">NW/4 SE/4, S/2 SE/4, SW/4 NE/4 of 31-12N-24W</x:t>
        </x:is>
      </x:c>
      <x:c r="J1515" s="543" t="inlineStr">
        <x:is>
          <x:t xml:space="preserve">Ratification of OGL at 1686/580 by Peggy Brawner, Attorney-in-Fact for William Cobal Bain, Jr., a/k/a William C. Bain. Jr.</x:t>
        </x:is>
      </x:c>
      <x:c r="K1515" s="545" t="inlineStr">
        <x:is>
          <x:t xml:space="preserve">OKCountyRecords: 2002-003799</x:t>
        </x:is>
      </x:c>
      <x:c r="L1515" s="543" t="n">
        <x:v>2</x:v>
      </x:c>
      <x:c r="M1515" s="543" t="inlineStr">
        <x:is>
          <x:t xml:space="preserve">Leasehold</x:t>
        </x:is>
      </x:c>
      <x:c r="N1515" s="546" t="n"/>
      <x:c r="O1515" s="547" t="n">
        <x:v>160</x:v>
      </x:c>
      <x:c r="P1515" s="651" t="n"/>
      <x:c r="Q1515" s="651" t="n"/>
      <x:c r="R1515" s="652" t="n"/>
      <x:c r="S1515" s="543" t="inlineStr">
        <x:is>
          <x:t xml:space="preserve">Leasehold (non-mineral; excluded from mineral NMA). Gross=tract-map basis.</x:t>
        </x:is>
      </x:c>
      <x:c r="T1515" s="574" t="n"/>
      <x:c r="U1515" s="575" t="n"/>
      <x:c r="V1515" s="565" t="n"/>
      <x:c r="W1515" s="565" t="n"/>
      <x:c r="X1515" s="565" t="n"/>
      <x:c r="Y1515" s="565" t="n"/>
      <x:c r="Z1515" s="565" t="n"/>
    </x:row>
    <x:row r="1516">
      <x:c r="A1516" s="543" t="inlineStr">
        <x:is>
          <x:t xml:space="preserve">2002-003798</x:t>
        </x:is>
      </x:c>
      <x:c r="B1516" s="543" t="n"/>
      <x:c r="C1516" s="543" t="inlineStr">
        <x:is>
          <x:t xml:space="preserve">Ratification</x:t>
        </x:is>
      </x:c>
      <x:c r="D1516" s="543" t="inlineStr">
        <x:is>
          <x:t xml:space="preserve">1689/520</x:t>
        </x:is>
      </x:c>
      <x:c r="E1516" s="544" t="n">
        <x:v>37459</x:v>
      </x:c>
      <x:c r="F1516" s="544" t="n">
        <x:v>37525</x:v>
      </x:c>
      <x:c r="G1516" s="543" t="inlineStr">
        <x:is>
          <x:t xml:space="preserve">Leona I. DeGrande</x:t>
        </x:is>
      </x:c>
      <x:c r="H1516" s="543" t="inlineStr">
        <x:is>
          <x:t xml:space="preserve">EOG Resources, Inc.</x:t>
        </x:is>
      </x:c>
      <x:c r="I1516" s="543" t="inlineStr">
        <x:is>
          <x:t xml:space="preserve">NW/4 SE/4, S/2 SE/4, SW/4 NE/4 of 31-12N-24W</x:t>
        </x:is>
      </x:c>
      <x:c r="J1516" s="543" t="inlineStr">
        <x:is>
          <x:t xml:space="preserve">Ratification of OGL at 1686/580 by Peggy Brawner, Attorney-in-Fact for William Cobal Bain, Jr., a/k/a William C. Bain. Jr.</x:t>
        </x:is>
      </x:c>
      <x:c r="K1516" s="545" t="inlineStr">
        <x:is>
          <x:t xml:space="preserve">OKCountyRecords: 2002-003798</x:t>
        </x:is>
      </x:c>
      <x:c r="L1516" s="543" t="n">
        <x:v>2</x:v>
      </x:c>
      <x:c r="M1516" s="543" t="inlineStr">
        <x:is>
          <x:t xml:space="preserve">Leasehold</x:t>
        </x:is>
      </x:c>
      <x:c r="N1516" s="546" t="n"/>
      <x:c r="O1516" s="547" t="n">
        <x:v>160</x:v>
      </x:c>
      <x:c r="P1516" s="651" t="n"/>
      <x:c r="Q1516" s="651" t="n"/>
      <x:c r="R1516" s="652" t="n"/>
      <x:c r="S1516" s="543" t="inlineStr">
        <x:is>
          <x:t xml:space="preserve">Leasehold (non-mineral; excluded from mineral NMA). Gross=tract-map basis.</x:t>
        </x:is>
      </x:c>
      <x:c r="T1516" s="574" t="n"/>
      <x:c r="U1516" s="575" t="n"/>
      <x:c r="V1516" s="565" t="n"/>
      <x:c r="W1516" s="565" t="n"/>
      <x:c r="X1516" s="565" t="n"/>
      <x:c r="Y1516" s="565" t="n"/>
      <x:c r="Z1516" s="565" t="n"/>
    </x:row>
    <x:row r="1517">
      <x:c r="A1517" s="543" t="inlineStr">
        <x:is>
          <x:t xml:space="preserve">2002-003801</x:t>
        </x:is>
      </x:c>
      <x:c r="B1517" s="543" t="n"/>
      <x:c r="C1517" s="543" t="inlineStr">
        <x:is>
          <x:t xml:space="preserve">Ratification</x:t>
        </x:is>
      </x:c>
      <x:c r="D1517" s="543" t="inlineStr">
        <x:is>
          <x:t xml:space="preserve">1689/523</x:t>
        </x:is>
      </x:c>
      <x:c r="E1517" s="544" t="n">
        <x:v>37461</x:v>
      </x:c>
      <x:c r="F1517" s="544" t="n">
        <x:v>37525</x:v>
      </x:c>
      <x:c r="G1517" s="543" t="inlineStr">
        <x:is>
          <x:t xml:space="preserve">Donald R. Bain</x:t>
        </x:is>
      </x:c>
      <x:c r="H1517" s="543" t="inlineStr">
        <x:is>
          <x:t xml:space="preserve">EOG Resources, Inc.</x:t>
        </x:is>
      </x:c>
      <x:c r="I1517" s="543" t="inlineStr">
        <x:is>
          <x:t xml:space="preserve">NW/4 SE/4, S/2 SE/4, SW/4 NE/4 of 31-12N-24W</x:t>
        </x:is>
      </x:c>
      <x:c r="J1517" s="543" t="inlineStr">
        <x:is>
          <x:t xml:space="preserve">Ratification of OGL at 1686/580 by Peggy Brawner, Attorney-in-Fact for William Cobal Bain, Jr., a/k/a William C. Bain. Jr.</x:t>
        </x:is>
      </x:c>
      <x:c r="K1517" s="545" t="inlineStr">
        <x:is>
          <x:t xml:space="preserve">OKCountyRecords: 2002-003801</x:t>
        </x:is>
      </x:c>
      <x:c r="L1517" s="543" t="n">
        <x:v>2</x:v>
      </x:c>
      <x:c r="M1517" s="543" t="inlineStr">
        <x:is>
          <x:t xml:space="preserve">Leasehold</x:t>
        </x:is>
      </x:c>
      <x:c r="N1517" s="546" t="n"/>
      <x:c r="O1517" s="547" t="n">
        <x:v>160</x:v>
      </x:c>
      <x:c r="P1517" s="651" t="n"/>
      <x:c r="Q1517" s="651" t="n"/>
      <x:c r="R1517" s="652" t="n"/>
      <x:c r="S1517" s="543" t="inlineStr">
        <x:is>
          <x:t xml:space="preserve">Leasehold (non-mineral; excluded from mineral NMA). Gross=tract-map basis.</x:t>
        </x:is>
      </x:c>
      <x:c r="T1517" s="574" t="n"/>
      <x:c r="U1517" s="575" t="n"/>
      <x:c r="V1517" s="565" t="n"/>
      <x:c r="W1517" s="565" t="n"/>
      <x:c r="X1517" s="565" t="n"/>
      <x:c r="Y1517" s="565" t="n"/>
      <x:c r="Z1517" s="565" t="n"/>
    </x:row>
    <x:row r="1518">
      <x:c r="A1518" s="543" t="inlineStr">
        <x:is>
          <x:t xml:space="preserve">2002-003797</x:t>
        </x:is>
      </x:c>
      <x:c r="B1518" s="543" t="n"/>
      <x:c r="C1518" s="543" t="inlineStr">
        <x:is>
          <x:t xml:space="preserve">Ratification</x:t>
        </x:is>
      </x:c>
      <x:c r="D1518" s="543" t="inlineStr">
        <x:is>
          <x:t xml:space="preserve">1689/519</x:t>
        </x:is>
      </x:c>
      <x:c r="E1518" s="544" t="n">
        <x:v>37490</x:v>
      </x:c>
      <x:c r="F1518" s="544" t="n">
        <x:v>37525</x:v>
      </x:c>
      <x:c r="G1518" s="543" t="inlineStr">
        <x:is>
          <x:t xml:space="preserve">Melvin F. Bain</x:t>
        </x:is>
      </x:c>
      <x:c r="H1518" s="543" t="inlineStr">
        <x:is>
          <x:t xml:space="preserve">EOG Resources, Inc.</x:t>
        </x:is>
      </x:c>
      <x:c r="I1518" s="543" t="inlineStr">
        <x:is>
          <x:t xml:space="preserve">NW/4 SE/4, S/2 SE/4, SW/4 NE/4 of 31-12N-24W</x:t>
        </x:is>
      </x:c>
      <x:c r="J1518" s="543" t="inlineStr">
        <x:is>
          <x:t xml:space="preserve">Ratification of OGL at 1686/580 by Peggy Brawner, Attorney-in-Fact for William Cobal Bain, Jr., a/k/a William C. Bain. Jr.</x:t>
        </x:is>
      </x:c>
      <x:c r="K1518" s="545" t="inlineStr">
        <x:is>
          <x:t xml:space="preserve">OKCountyRecords: 2002-003797</x:t>
        </x:is>
      </x:c>
      <x:c r="L1518" s="543" t="n">
        <x:v>2</x:v>
      </x:c>
      <x:c r="M1518" s="543" t="inlineStr">
        <x:is>
          <x:t xml:space="preserve">Leasehold</x:t>
        </x:is>
      </x:c>
      <x:c r="N1518" s="546" t="n"/>
      <x:c r="O1518" s="547" t="n">
        <x:v>160</x:v>
      </x:c>
      <x:c r="P1518" s="651" t="n"/>
      <x:c r="Q1518" s="651" t="n"/>
      <x:c r="R1518" s="652" t="n"/>
      <x:c r="S1518" s="543" t="inlineStr">
        <x:is>
          <x:t xml:space="preserve">Leasehold (non-mineral; excluded from mineral NMA). Gross=tract-map basis.</x:t>
        </x:is>
      </x:c>
      <x:c r="T1518" s="574" t="n"/>
      <x:c r="U1518" s="575" t="n"/>
      <x:c r="V1518" s="565" t="n"/>
      <x:c r="W1518" s="565" t="n"/>
      <x:c r="X1518" s="565" t="n"/>
      <x:c r="Y1518" s="565" t="n"/>
      <x:c r="Z1518" s="565" t="n"/>
    </x:row>
    <x:row r="1519">
      <x:c r="A1519" s="543" t="inlineStr">
        <x:is>
          <x:t xml:space="preserve">2003-001558</x:t>
        </x:is>
      </x:c>
      <x:c r="B1519" s="543" t="n"/>
      <x:c r="C1519" s="543" t="inlineStr">
        <x:is>
          <x:t xml:space="preserve">Assignment</x:t>
        </x:is>
      </x:c>
      <x:c r="D1519" s="543" t="inlineStr">
        <x:is>
          <x:t xml:space="preserve">1706/384</x:t>
        </x:is>
      </x:c>
      <x:c r="E1519" s="544" t="n">
        <x:v>37710</x:v>
      </x:c>
      <x:c r="F1519" s="544" t="n">
        <x:v>37715</x:v>
      </x:c>
      <x:c r="G1519" s="543" t="inlineStr">
        <x:is>
          <x:t xml:space="preserve">Dorothy G. Executrix Hamilton</x:t>
        </x:is>
      </x:c>
      <x:c r="H1519" s="543" t="inlineStr">
        <x:is>
          <x:t xml:space="preserve">Dorothy G. Hamilton and Harold D. Rogers, Trustees of the Dorothy Trust </x:t>
        </x:is>
      </x:c>
      <x:c r="I1519" s="543" t="inlineStr">
        <x:is>
          <x:t xml:space="preserve">E/2 NW/4, N/2 NE/4 SW/4, NE/4 SE/4, SE/4 NE/4 of 31-12N-24W, aol</x:t>
        </x:is>
      </x:c>
      <x:c r="J1519" s="543" t="inlineStr">
        <x:is>
          <x:t xml:space="preserve">ARTI</x:t>
        </x:is>
      </x:c>
      <x:c r="K1519" s="545" t="inlineStr">
        <x:is>
          <x:t xml:space="preserve">OKCountyRecords: 2003-001558</x:t>
        </x:is>
      </x:c>
      <x:c r="L1519" s="543" t="inlineStr">
        <x:is>
          <x:t xml:space="preserve">1, 3, 4, 7, 8</x:t>
        </x:is>
      </x:c>
      <x:c r="M1519" s="543" t="inlineStr">
        <x:is>
          <x:t xml:space="preserve">Leasehold</x:t>
        </x:is>
      </x:c>
      <x:c r="N1519" s="551" t="n"/>
      <x:c r="O1519" s="547" t="n">
        <x:v>280</x:v>
      </x:c>
      <x:c r="P1519" s="651" t="n"/>
      <x:c r="Q1519" s="651" t="n"/>
      <x:c r="R1519" s="652" t="n"/>
      <x:c r="S1519" s="543" t="inlineStr">
        <x:is>
          <x:t xml:space="preserve">Leasehold (non-mineral; excluded from mineral NMA). Gross=tract-map basis.</x:t>
        </x:is>
      </x:c>
      <x:c r="T1519" s="574" t="n"/>
      <x:c r="U1519" s="575" t="n"/>
      <x:c r="V1519" s="565" t="n"/>
      <x:c r="W1519" s="565" t="n"/>
      <x:c r="X1519" s="565" t="n"/>
      <x:c r="Y1519" s="565" t="n"/>
      <x:c r="Z1519" s="565" t="n"/>
    </x:row>
    <x:row r="1520">
      <x:c r="A1520" s="543" t="inlineStr">
        <x:is>
          <x:t xml:space="preserve">2003-001559</x:t>
        </x:is>
      </x:c>
      <x:c r="B1520" s="543" t="n"/>
      <x:c r="C1520" s="543" t="inlineStr">
        <x:is>
          <x:t xml:space="preserve">Assignment</x:t>
        </x:is>
      </x:c>
      <x:c r="D1520" s="543" t="inlineStr">
        <x:is>
          <x:t xml:space="preserve">1706/386</x:t>
        </x:is>
      </x:c>
      <x:c r="E1520" s="544" t="n">
        <x:v>37711</x:v>
      </x:c>
      <x:c r="F1520" s="544" t="n">
        <x:v>37715</x:v>
      </x:c>
      <x:c r="G1520" s="543" t="inlineStr">
        <x:is>
          <x:t xml:space="preserve">Dorothy G. Hamilton and Harold D. Rogers, Trustees of the Dorothy Trust </x:t>
        </x:is>
      </x:c>
      <x:c r="H1520" s="543" t="inlineStr">
        <x:is>
          <x:t xml:space="preserve">Dorothy G. Hamilton</x:t>
        </x:is>
      </x:c>
      <x:c r="I1520" s="543" t="inlineStr">
        <x:is>
          <x:t xml:space="preserve">E/2 NW/4, N/2 NE/4 SW/4, NE/4 SE/4, SE/4 NE/4 of 31-12N-24W, aol</x:t>
        </x:is>
      </x:c>
      <x:c r="J1520" s="543" t="inlineStr">
        <x:is>
          <x:t xml:space="preserve">ARTI</x:t>
        </x:is>
      </x:c>
      <x:c r="K1520" s="545" t="inlineStr">
        <x:is>
          <x:t xml:space="preserve">OKCountyRecords: 2003-001559</x:t>
        </x:is>
      </x:c>
      <x:c r="L1520" s="543" t="inlineStr">
        <x:is>
          <x:t xml:space="preserve">1, 3, 4, 7, 8</x:t>
        </x:is>
      </x:c>
      <x:c r="M1520" s="543" t="inlineStr">
        <x:is>
          <x:t xml:space="preserve">Leasehold</x:t>
        </x:is>
      </x:c>
      <x:c r="N1520" s="551" t="n"/>
      <x:c r="O1520" s="547" t="n">
        <x:v>280</x:v>
      </x:c>
      <x:c r="P1520" s="651" t="n"/>
      <x:c r="Q1520" s="651" t="n"/>
      <x:c r="R1520" s="652" t="n"/>
      <x:c r="S1520" s="543" t="inlineStr">
        <x:is>
          <x:t xml:space="preserve">Leasehold (non-mineral; excluded from mineral NMA). Gross=tract-map basis.</x:t>
        </x:is>
      </x:c>
      <x:c r="T1520" s="574" t="n"/>
      <x:c r="U1520" s="575" t="n"/>
      <x:c r="V1520" s="565" t="n"/>
      <x:c r="W1520" s="565" t="n"/>
      <x:c r="X1520" s="565" t="n"/>
      <x:c r="Y1520" s="565" t="n"/>
      <x:c r="Z1520" s="565" t="n"/>
    </x:row>
    <x:row r="1521">
      <x:c r="A1521" s="543" t="inlineStr">
        <x:is>
          <x:t xml:space="preserve">2004-000880</x:t>
        </x:is>
      </x:c>
      <x:c r="B1521" s="543" t="n"/>
      <x:c r="C1521" s="543" t="inlineStr">
        <x:is>
          <x:t xml:space="preserve">Oil and Gas Lease</x:t>
        </x:is>
      </x:c>
      <x:c r="D1521" s="543" t="inlineStr">
        <x:is>
          <x:t xml:space="preserve">1737/580</x:t>
        </x:is>
      </x:c>
      <x:c r="E1521" s="544" t="n">
        <x:v>38032</x:v>
      </x:c>
      <x:c r="F1521" s="544" t="n">
        <x:v>38040</x:v>
      </x:c>
      <x:c r="G1521" s="543" t="inlineStr">
        <x:is>
          <x:t xml:space="preserve">Sandra Lorrain York
PO Box 34
Fort Cobb, OK 73038</x:t>
        </x:is>
      </x:c>
      <x:c r="H1521" s="543" t="inlineStr">
        <x:is>
          <x:t xml:space="preserve">Kodiak Production Company</x:t>
        </x:is>
      </x:c>
      <x:c r="I1521" s="543" t="inlineStr">
        <x:is>
          <x:t xml:space="preserve">Lots 1 and 2, N/2 of Lot 3 of 31-12N-24W</x:t>
        </x:is>
      </x:c>
      <x:c r="J1521" s="543" t="inlineStr">
        <x:is>
          <x:t xml:space="preserve">92.0850 gross acres
3 years
3/16ths royalty</x:t>
        </x:is>
      </x:c>
      <x:c r="K1521" s="545" t="inlineStr">
        <x:is>
          <x:t xml:space="preserve">OKCountyRecords: 2004-000880</x:t>
        </x:is>
      </x:c>
      <x:c r="L1521" s="543" t="inlineStr">
        <x:is>
          <x:t xml:space="preserve">All (1-8)</x:t>
        </x:is>
      </x:c>
      <x:c r="M1521" s="543" t="inlineStr">
        <x:is>
          <x:t xml:space="preserve">Leasehold</x:t>
        </x:is>
      </x:c>
      <x:c r="N1521" s="546" t="n"/>
      <x:c r="O1521" s="547" t="n">
        <x:v>640</x:v>
      </x:c>
      <x:c r="P1521" s="651" t="n"/>
      <x:c r="Q1521" s="651" t="n"/>
      <x:c r="R1521" s="652" t="n"/>
      <x:c r="S1521" s="543" t="inlineStr">
        <x:is>
          <x:t xml:space="preserve">Leasehold (non-mineral; excluded from mineral NMA). All-section coverage. Gross=tract-map basis.</x:t>
        </x:is>
      </x:c>
      <x:c r="T1521" s="574" t="n"/>
      <x:c r="U1521" s="575" t="n"/>
      <x:c r="V1521" s="565" t="n"/>
      <x:c r="W1521" s="565" t="n"/>
      <x:c r="X1521" s="565" t="n"/>
      <x:c r="Y1521" s="565" t="n"/>
      <x:c r="Z1521" s="565" t="n"/>
    </x:row>
    <x:row r="1522">
      <x:c r="A1522" s="543" t="inlineStr">
        <x:is>
          <x:t xml:space="preserve">2009-000272</x:t>
        </x:is>
      </x:c>
      <x:c r="B1522" s="543" t="n"/>
      <x:c r="C1522" s="543" t="inlineStr">
        <x:is>
          <x:t xml:space="preserve">Assignment</x:t>
        </x:is>
      </x:c>
      <x:c r="D1522" s="543" t="inlineStr">
        <x:is>
          <x:t xml:space="preserve">1945/594</x:t>
        </x:is>
      </x:c>
      <x:c r="E1522" s="544" t="n">
        <x:v>38701</x:v>
      </x:c>
      <x:c r="F1522" s="544" t="n">
        <x:v>39833</x:v>
      </x:c>
      <x:c r="G1522" s="543" t="inlineStr">
        <x:is>
          <x:t xml:space="preserve">Jess Harris, III, Inc.
Oklahoma City, OK 73112</x:t>
        </x:is>
      </x:c>
      <x:c r="H1522" s="543" t="inlineStr">
        <x:is>
          <x:t xml:space="preserve">Newfield Exploration Mid-Continent, Inc.
110 West 7th, Ste. 1300
Tulsa, OK 74119
</x:t>
        </x:is>
      </x:c>
      <x:c r="I1522" s="543" t="inlineStr">
        <x:is>
          <x:t xml:space="preserve">SE/4 SE/4, SW/4 NE/4, W/2 SE/4 of 31-12N-24W</x:t>
        </x:is>
      </x:c>
      <x:c r="J1522" s="543" t="inlineStr">
        <x:is>
          <x:t xml:space="preserve">ARTI in OGL at 1822/578</x:t>
        </x:is>
      </x:c>
      <x:c r="K1522" s="545" t="inlineStr">
        <x:is>
          <x:t xml:space="preserve">OKCountyRecords: 2009-000272</x:t>
        </x:is>
      </x:c>
      <x:c r="L1522" s="543" t="n">
        <x:v>2</x:v>
      </x:c>
      <x:c r="M1522" s="543" t="inlineStr">
        <x:is>
          <x:t xml:space="preserve">Leasehold</x:t>
        </x:is>
      </x:c>
      <x:c r="N1522" s="546" t="n"/>
      <x:c r="O1522" s="547" t="n">
        <x:v>160</x:v>
      </x:c>
      <x:c r="P1522" s="651" t="n"/>
      <x:c r="Q1522" s="651" t="n"/>
      <x:c r="R1522" s="652" t="n"/>
      <x:c r="S1522" s="543" t="inlineStr">
        <x:is>
          <x:t xml:space="preserve">Leasehold (non-mineral; excluded from mineral NMA). Gross=tract-map basis.</x:t>
        </x:is>
      </x:c>
      <x:c r="T1522" s="574" t="n"/>
      <x:c r="U1522" s="575" t="n"/>
      <x:c r="V1522" s="565" t="n"/>
      <x:c r="W1522" s="565" t="n"/>
      <x:c r="X1522" s="565" t="n"/>
      <x:c r="Y1522" s="565" t="n"/>
      <x:c r="Z1522" s="565" t="n"/>
    </x:row>
    <x:row r="1523">
      <x:c r="A1523" s="543" t="inlineStr">
        <x:is>
          <x:t xml:space="preserve">2009-000273</x:t>
        </x:is>
      </x:c>
      <x:c r="B1523" s="543" t="n"/>
      <x:c r="C1523" s="543" t="inlineStr">
        <x:is>
          <x:t xml:space="preserve">Assignment</x:t>
        </x:is>
      </x:c>
      <x:c r="D1523" s="543" t="inlineStr">
        <x:is>
          <x:t xml:space="preserve">1945/595</x:t>
        </x:is>
      </x:c>
      <x:c r="E1523" s="544" t="n">
        <x:v>38760</x:v>
      </x:c>
      <x:c r="F1523" s="544" t="n">
        <x:v>39833</x:v>
      </x:c>
      <x:c r="G1523" s="543" t="inlineStr">
        <x:is>
          <x:t xml:space="preserve">Jess Harris, III, Inc.
Oklahoma City, OK 73112</x:t>
        </x:is>
      </x:c>
      <x:c r="H1523" s="543" t="inlineStr">
        <x:is>
          <x:t xml:space="preserve">Newfield Exploration Mid-Continent, Inc.
110 West 7th, Ste. 1300
Tulsa, OK 74119
</x:t>
        </x:is>
      </x:c>
      <x:c r="I1523" s="543" t="inlineStr">
        <x:is>
          <x:t xml:space="preserve">Lots 1-3 Partial of 31-12N-24W</x:t>
        </x:is>
      </x:c>
      <x:c r="J1523" s="543" t="inlineStr">
        <x:is>
          <x:t xml:space="preserve">ARTI in OGL at 1833/218</x:t>
        </x:is>
      </x:c>
      <x:c r="K1523" s="545" t="inlineStr">
        <x:is>
          <x:t xml:space="preserve">OKCountyRecords: 2009-000273</x:t>
        </x:is>
      </x:c>
      <x:c r="L1523" s="543" t="n">
        <x:v>5</x:v>
      </x:c>
      <x:c r="M1523" s="543" t="inlineStr">
        <x:is>
          <x:t xml:space="preserve">Leasehold</x:t>
        </x:is>
      </x:c>
      <x:c r="N1523" s="546" t="n"/>
      <x:c r="O1523" s="547" t="n">
        <x:v>120</x:v>
      </x:c>
      <x:c r="P1523" s="651" t="n"/>
      <x:c r="Q1523" s="651" t="n"/>
      <x:c r="R1523" s="652" t="n"/>
      <x:c r="S1523" s="543" t="inlineStr">
        <x:is>
          <x:t xml:space="preserve">Leasehold (non-mineral; excluded from mineral NMA). Gross=tract-map basis.</x:t>
        </x:is>
      </x:c>
      <x:c r="T1523" s="574" t="n"/>
      <x:c r="U1523" s="575" t="n"/>
      <x:c r="V1523" s="565" t="n"/>
      <x:c r="W1523" s="565" t="n"/>
      <x:c r="X1523" s="565" t="n"/>
      <x:c r="Y1523" s="565" t="n"/>
      <x:c r="Z1523" s="565" t="n"/>
    </x:row>
    <x:row r="1524">
      <x:c r="A1524" s="543" t="inlineStr">
        <x:is>
          <x:t xml:space="preserve">2007-001310</x:t>
        </x:is>
      </x:c>
      <x:c r="B1524" s="543" t="n"/>
      <x:c r="C1524" s="543" t="inlineStr">
        <x:is>
          <x:t xml:space="preserve">Assignment of ORRI</x:t>
        </x:is>
      </x:c>
      <x:c r="D1524" s="543" t="inlineStr">
        <x:is>
          <x:t xml:space="preserve">1869/164</x:t>
        </x:is>
      </x:c>
      <x:c r="E1524" s="544" t="n">
        <x:v>38861</x:v>
      </x:c>
      <x:c r="F1524" s="544" t="n">
        <x:v>39162</x:v>
      </x:c>
      <x:c r="G1524" s="543" t="inlineStr">
        <x:is>
          <x:t xml:space="preserve">Samson Resources Co.</x:t>
        </x:is>
      </x:c>
      <x:c r="H1524" s="543" t="inlineStr">
        <x:is>
          <x:t xml:space="preserve">Gary Reid</x:t>
        </x:is>
      </x:c>
      <x:c r="I1524" s="543" t="inlineStr">
        <x:is>
          <x:t xml:space="preserve">E/2 NW/4, N/2 NE/4 SW/4, NE/4 SE/4, NW/4 SE/4, S/2 SE/4, SE/4 NE/4, SW/4 NE/4 of 31-12N-24W</x:t>
        </x:is>
      </x:c>
      <x:c r="J1524" s="543" t="inlineStr">
        <x:is>
          <x:t xml:space="preserve">ORRI</x:t>
        </x:is>
      </x:c>
      <x:c r="K1524" s="545" t="inlineStr">
        <x:is>
          <x:t xml:space="preserve">OKCountyRecords: 2007-001310</x:t>
        </x:is>
      </x:c>
      <x:c r="L1524" s="543" t="inlineStr">
        <x:is>
          <x:t xml:space="preserve">1, 2, 3, 4, 7, 8</x:t>
        </x:is>
      </x:c>
      <x:c r="M1524" s="543" t="inlineStr">
        <x:is>
          <x:t xml:space="preserve">Leasehold</x:t>
        </x:is>
      </x:c>
      <x:c r="N1524" s="551" t="n"/>
      <x:c r="O1524" s="547" t="n">
        <x:v>440</x:v>
      </x:c>
      <x:c r="P1524" s="651" t="n"/>
      <x:c r="Q1524" s="651" t="n"/>
      <x:c r="R1524" s="652" t="n"/>
      <x:c r="S1524" s="543" t="inlineStr">
        <x:is>
          <x:t xml:space="preserve">Leasehold (non-mineral; excluded from mineral NMA). Gross=tract-map basis.</x:t>
        </x:is>
      </x:c>
      <x:c r="T1524" s="574" t="n"/>
      <x:c r="U1524" s="575" t="n"/>
      <x:c r="V1524" s="565" t="n"/>
      <x:c r="W1524" s="565" t="n"/>
      <x:c r="X1524" s="565" t="n"/>
      <x:c r="Y1524" s="565" t="n"/>
      <x:c r="Z1524" s="565" t="n"/>
    </x:row>
    <x:row r="1525">
      <x:c r="A1525" s="543" t="inlineStr">
        <x:is>
          <x:t xml:space="preserve">1998-000843</x:t>
        </x:is>
      </x:c>
      <x:c r="B1525" s="543" t="n">
        <x:v>40</x:v>
      </x:c>
      <x:c r="C1525" s="543" t="inlineStr">
        <x:is>
          <x:t xml:space="preserve">Assignment, Bill of Sale and Conveyance</x:t>
        </x:is>
      </x:c>
      <x:c r="D1525" s="543" t="inlineStr">
        <x:is>
          <x:t xml:space="preserve">1567/6</x:t>
        </x:is>
      </x:c>
      <x:c r="E1525" s="544" t="n">
        <x:v>39336</x:v>
      </x:c>
      <x:c r="F1525" s="544" t="n">
        <x:v>39336</x:v>
      </x:c>
      <x:c r="G1525" s="543" t="inlineStr">
        <x:is>
          <x:t xml:space="preserve">Ocean Energy, Inc.</x:t>
        </x:is>
      </x:c>
      <x:c r="H1525" s="543" t="inlineStr">
        <x:is>
          <x:t xml:space="preserve">Ocean Energy Resources, Inc., a Delaware corporation
410 Seventeenth Street, Suite 1400
Denver, Colorado 80202</x:t>
        </x:is>
      </x:c>
      <x:c r="I1525" s="543" t="inlineStr">
        <x:is>
          <x:t xml:space="preserve">E/2 NW/4, NE/4 SE/4, SE/4 NE/4, W/2 NE/4 of 31-12N-24W, aol</x:t>
        </x:is>
      </x:c>
      <x:c r="J1525" s="543" t="inlineStr">
        <x:is>
          <x:t xml:space="preserve">ARTI</x:t>
        </x:is>
      </x:c>
      <x:c r="K1525" s="545" t="inlineStr">
        <x:is>
          <x:t xml:space="preserve">OKCountyRecords: 1998-000843</x:t>
        </x:is>
      </x:c>
      <x:c r="L1525" s="543" t="inlineStr">
        <x:is>
          <x:t xml:space="preserve">1, 2, 3, 4, 8</x:t>
        </x:is>
      </x:c>
      <x:c r="M1525" s="543" t="inlineStr">
        <x:is>
          <x:t xml:space="preserve">Leasehold</x:t>
        </x:is>
      </x:c>
      <x:c r="N1525" s="551" t="n"/>
      <x:c r="O1525" s="547" t="n">
        <x:v>400</x:v>
      </x:c>
      <x:c r="P1525" s="651" t="n"/>
      <x:c r="Q1525" s="651" t="n"/>
      <x:c r="R1525" s="652" t="n"/>
      <x:c r="S1525" s="543" t="inlineStr">
        <x:is>
          <x:t xml:space="preserve">Leasehold (non-mineral; excluded from mineral NMA). Gross=tract-map basis.</x:t>
        </x:is>
      </x:c>
      <x:c r="T1525" s="576" t="inlineStr">
        <x:is>
          <x:t xml:space="preserve">REVIEW</x:t>
        </x:is>
      </x:c>
      <x:c r="U1525" s="576" t="inlineStr">
        <x:is>
          <x:t xml:space="preserve">NEED: confirm recording date — Instr# 1998-000843 and Bk 1567/6 indicate a 1998 instrument, but Effective/Recorded dates are entered as 09/2007. CONFLICT — verify against source image.</x:t>
        </x:is>
      </x:c>
      <x:c r="V1525" s="565" t="n"/>
      <x:c r="W1525" s="565" t="n"/>
      <x:c r="X1525" s="565" t="n"/>
      <x:c r="Y1525" s="565" t="n"/>
      <x:c r="Z1525" s="565" t="n"/>
    </x:row>
    <x:row r="1526">
      <x:c r="A1526" s="543" t="inlineStr">
        <x:is>
          <x:t xml:space="preserve">2008-007080</x:t>
        </x:is>
      </x:c>
      <x:c r="B1526" s="543" t="n"/>
      <x:c r="C1526" s="543" t="inlineStr">
        <x:is>
          <x:t xml:space="preserve">Memorandum of Trust</x:t>
        </x:is>
      </x:c>
      <x:c r="D1526" s="543" t="inlineStr">
        <x:is>
          <x:t xml:space="preserve">1940/420</x:t>
        </x:is>
      </x:c>
      <x:c r="E1526" s="544" t="n">
        <x:v>39756</x:v>
      </x:c>
      <x:c r="F1526" s="544" t="n">
        <x:v>39770</x:v>
      </x:c>
      <x:c r="G1526" s="543" t="inlineStr">
        <x:is>
          <x:t xml:space="preserve">Wayne A. Walters and Shawn S. Walters, the duly appointed
Co-Trustees</x:t>
        </x:is>
      </x:c>
      <x:c r="H1526" s="543" t="inlineStr">
        <x:is>
          <x:t xml:space="preserve">The Public</x:t>
        </x:is>
      </x:c>
      <x:c r="I1526" s="543" t="inlineStr">
        <x:is>
          <x:t xml:space="preserve">SE/4 SW/4 of 31-12N-24W, aol</x:t>
        </x:is>
      </x:c>
      <x:c r="J1526" s="543" t="inlineStr">
        <x:is>
          <x:t xml:space="preserve">ARTI to Trust</x:t>
        </x:is>
      </x:c>
      <x:c r="K1526" s="545" t="inlineStr">
        <x:is>
          <x:t xml:space="preserve">OKCountyRecords: 2008-007080</x:t>
        </x:is>
      </x:c>
      <x:c r="L1526" s="543" t="n">
        <x:v>5</x:v>
      </x:c>
      <x:c r="M1526" s="543" t="inlineStr">
        <x:is>
          <x:t xml:space="preserve">Leasehold</x:t>
        </x:is>
      </x:c>
      <x:c r="N1526" s="546" t="n"/>
      <x:c r="O1526" s="547" t="n">
        <x:v>120</x:v>
      </x:c>
      <x:c r="P1526" s="651" t="n"/>
      <x:c r="Q1526" s="651" t="n"/>
      <x:c r="R1526" s="652" t="n"/>
      <x:c r="S1526" s="543" t="inlineStr">
        <x:is>
          <x:t xml:space="preserve">Leasehold (non-mineral; excluded from mineral NMA). FLAG: The Public placeholder-verify. Gross=tract-map basis.</x:t>
        </x:is>
      </x:c>
      <x:c r="T1526" s="574" t="n"/>
      <x:c r="U1526" s="575" t="n"/>
      <x:c r="V1526" s="565" t="n"/>
      <x:c r="W1526" s="565" t="n"/>
      <x:c r="X1526" s="565" t="n"/>
      <x:c r="Y1526" s="565" t="n"/>
      <x:c r="Z1526" s="565" t="n"/>
    </x:row>
    <x:row r="1527">
      <x:c r="A1527" s="543" t="inlineStr">
        <x:is>
          <x:t xml:space="preserve">2009-000222</x:t>
        </x:is>
      </x:c>
      <x:c r="B1527" s="543" t="n"/>
      <x:c r="C1527" s="543" t="inlineStr">
        <x:is>
          <x:t xml:space="preserve">Assignment</x:t>
        </x:is>
      </x:c>
      <x:c r="D1527" s="543" t="inlineStr">
        <x:is>
          <x:t xml:space="preserve">1945/410</x:t>
        </x:is>
      </x:c>
      <x:c r="E1527" s="544" t="n">
        <x:v>39815</x:v>
      </x:c>
      <x:c r="F1527" s="544" t="n">
        <x:v>39828</x:v>
      </x:c>
      <x:c r="G1527" s="543" t="inlineStr">
        <x:is>
          <x:t xml:space="preserve">Encore Operating, L.P.</x:t>
        </x:is>
      </x:c>
      <x:c r="H1527" s="543" t="inlineStr">
        <x:is>
          <x:t xml:space="preserve">Encore Energy Partners Operating, LLC</x:t>
        </x:is>
      </x:c>
      <x:c r="I1527" s="543" t="inlineStr">
        <x:is>
          <x:t xml:space="preserve">E/2 NW/4, N/2 NE/4 SW/4, NE/4 SE/4, SE/4 NE/4 of 31-12N-24W, aol</x:t>
        </x:is>
      </x:c>
      <x:c r="J1527" s="543" t="inlineStr">
        <x:is>
          <x:t xml:space="preserve">ARTI</x:t>
        </x:is>
      </x:c>
      <x:c r="K1527" s="545" t="inlineStr">
        <x:is>
          <x:t xml:space="preserve">OKCountyRecords: 2009-000222</x:t>
        </x:is>
      </x:c>
      <x:c r="L1527" s="543" t="inlineStr">
        <x:is>
          <x:t xml:space="preserve">1, 3, 4, 7, 8</x:t>
        </x:is>
      </x:c>
      <x:c r="M1527" s="543" t="inlineStr">
        <x:is>
          <x:t xml:space="preserve">Leasehold</x:t>
        </x:is>
      </x:c>
      <x:c r="N1527" s="551" t="n"/>
      <x:c r="O1527" s="547" t="n">
        <x:v>280</x:v>
      </x:c>
      <x:c r="P1527" s="651" t="n"/>
      <x:c r="Q1527" s="651" t="n"/>
      <x:c r="R1527" s="652" t="n"/>
      <x:c r="S1527" s="543" t="inlineStr">
        <x:is>
          <x:t xml:space="preserve">Leasehold (non-mineral; excluded from mineral NMA). Gross=tract-map basis.</x:t>
        </x:is>
      </x:c>
      <x:c r="T1527" s="574" t="n"/>
      <x:c r="U1527" s="575" t="n"/>
      <x:c r="V1527" s="565" t="n"/>
      <x:c r="W1527" s="565" t="n"/>
      <x:c r="X1527" s="565" t="n"/>
      <x:c r="Y1527" s="565" t="n"/>
      <x:c r="Z1527" s="565" t="n"/>
    </x:row>
    <x:row r="1528">
      <x:c r="A1528" s="543" t="inlineStr">
        <x:is>
          <x:t xml:space="preserve">2010-006266</x:t>
        </x:is>
      </x:c>
      <x:c r="B1528" s="543" t="n"/>
      <x:c r="C1528" s="543" t="inlineStr">
        <x:is>
          <x:t xml:space="preserve">Assignment</x:t>
        </x:is>
      </x:c>
      <x:c r="D1528" s="543" t="inlineStr">
        <x:is>
          <x:t xml:space="preserve">2024/85</x:t>
        </x:is>
      </x:c>
      <x:c r="E1528" s="544" t="n">
        <x:v>40338</x:v>
      </x:c>
      <x:c r="F1528" s="544" t="n">
        <x:v>40345</x:v>
      </x:c>
      <x:c r="G1528" s="543" t="inlineStr">
        <x:is>
          <x:t xml:space="preserve">Rialto Oil &amp; Gas Corporation</x:t>
        </x:is>
      </x:c>
      <x:c r="H1528" s="543" t="inlineStr">
        <x:is>
          <x:t xml:space="preserve">Sydtran, LP</x:t>
        </x:is>
      </x:c>
      <x:c r="I1528" s="543" t="inlineStr">
        <x:is>
          <x:t xml:space="preserve">E/2 NW/4 of 31-12N-24W, aol</x:t>
        </x:is>
      </x:c>
      <x:c r="J1528" s="543" t="inlineStr">
        <x:is>
          <x:t xml:space="preserve">fifty percent (50%) of all the
interest of the Assignor in and to the Oil &amp; Gas Properties, Wells, Substances, Equipment and
Contracts</x:t>
        </x:is>
      </x:c>
      <x:c r="K1528" s="545" t="inlineStr">
        <x:is>
          <x:t xml:space="preserve">OKCountyRecords: 2010-006266</x:t>
        </x:is>
      </x:c>
      <x:c r="L1528" s="543" t="n">
        <x:v>4</x:v>
      </x:c>
      <x:c r="M1528" s="543" t="inlineStr">
        <x:is>
          <x:t xml:space="preserve">Leasehold</x:t>
        </x:is>
      </x:c>
      <x:c r="N1528" s="546" t="n"/>
      <x:c r="O1528" s="547" t="n">
        <x:v>80</x:v>
      </x:c>
      <x:c r="P1528" s="651" t="n"/>
      <x:c r="Q1528" s="651" t="n"/>
      <x:c r="R1528" s="652" t="n"/>
      <x:c r="S1528" s="543" t="inlineStr">
        <x:is>
          <x:t xml:space="preserve">Leasehold (non-mineral; excluded from mineral NMA). Gross=tract-map basis.</x:t>
        </x:is>
      </x:c>
      <x:c r="T1528" s="574" t="n"/>
      <x:c r="U1528" s="575" t="n"/>
      <x:c r="V1528" s="565" t="n"/>
      <x:c r="W1528" s="565" t="n"/>
      <x:c r="X1528" s="565" t="n"/>
      <x:c r="Y1528" s="565" t="n"/>
      <x:c r="Z1528" s="565" t="n"/>
    </x:row>
    <x:row r="1529">
      <x:c r="A1529" s="543" t="inlineStr">
        <x:is>
          <x:t xml:space="preserve">2010-006265</x:t>
        </x:is>
      </x:c>
      <x:c r="B1529" s="543" t="n"/>
      <x:c r="C1529" s="543" t="inlineStr">
        <x:is>
          <x:t xml:space="preserve">Assignment</x:t>
        </x:is>
      </x:c>
      <x:c r="D1529" s="543" t="inlineStr">
        <x:is>
          <x:t xml:space="preserve">2024/74</x:t>
        </x:is>
      </x:c>
      <x:c r="E1529" s="544" t="n">
        <x:v>40338</x:v>
      </x:c>
      <x:c r="F1529" s="544" t="n">
        <x:v>40345</x:v>
      </x:c>
      <x:c r="G1529" s="543" t="inlineStr">
        <x:is>
          <x:t xml:space="preserve">Rialto Production Company</x:t>
        </x:is>
      </x:c>
      <x:c r="H1529" s="543" t="inlineStr">
        <x:is>
          <x:t xml:space="preserve">Sydtran Management, LLC</x:t>
        </x:is>
      </x:c>
      <x:c r="I1529" s="543" t="inlineStr">
        <x:is>
          <x:t xml:space="preserve">E/2 NW/4 of 31-12N-24W, aol</x:t>
        </x:is>
      </x:c>
      <x:c r="J1529" s="543" t="inlineStr">
        <x:is>
          <x:t xml:space="preserve">fifty percent (50%) of all the
interest of the Assignor in and to the Oil &amp; Gas Properties, Wells, Substances, Equipment and
Contracts</x:t>
        </x:is>
      </x:c>
      <x:c r="K1529" s="545" t="inlineStr">
        <x:is>
          <x:t xml:space="preserve">OKCountyRecords: 2010-006265</x:t>
        </x:is>
      </x:c>
      <x:c r="L1529" s="543" t="n">
        <x:v>4</x:v>
      </x:c>
      <x:c r="M1529" s="543" t="inlineStr">
        <x:is>
          <x:t xml:space="preserve">Leasehold</x:t>
        </x:is>
      </x:c>
      <x:c r="N1529" s="546" t="n"/>
      <x:c r="O1529" s="547" t="n">
        <x:v>80</x:v>
      </x:c>
      <x:c r="P1529" s="651" t="n"/>
      <x:c r="Q1529" s="651" t="n"/>
      <x:c r="R1529" s="652" t="n"/>
      <x:c r="S1529" s="543" t="inlineStr">
        <x:is>
          <x:t xml:space="preserve">Leasehold (non-mineral; excluded from mineral NMA). Gross=tract-map basis.</x:t>
        </x:is>
      </x:c>
      <x:c r="T1529" s="574" t="n"/>
      <x:c r="U1529" s="575" t="n"/>
      <x:c r="V1529" s="565" t="n"/>
      <x:c r="W1529" s="565" t="n"/>
      <x:c r="X1529" s="565" t="n"/>
      <x:c r="Y1529" s="565" t="n"/>
      <x:c r="Z1529" s="565" t="n"/>
    </x:row>
    <x:row r="1530">
      <x:c r="A1530" s="543" t="inlineStr">
        <x:is>
          <x:t xml:space="preserve">2012-006477</x:t>
        </x:is>
      </x:c>
      <x:c r="B1530" s="543" t="n"/>
      <x:c r="C1530" s="543" t="inlineStr">
        <x:is>
          <x:t xml:space="preserve">Assignment of ORRI</x:t>
        </x:is>
      </x:c>
      <x:c r="D1530" s="543" t="inlineStr">
        <x:is>
          <x:t xml:space="preserve">2159/361</x:t>
        </x:is>
      </x:c>
      <x:c r="E1530" s="544" t="n">
        <x:v>41074</x:v>
      </x:c>
      <x:c r="F1530" s="544" t="n">
        <x:v>41173</x:v>
      </x:c>
      <x:c r="G1530" s="543" t="inlineStr">
        <x:is>
          <x:t xml:space="preserve">Yale Oil Assoc, Inc.</x:t>
        </x:is>
      </x:c>
      <x:c r="H1530" s="543" t="inlineStr">
        <x:is>
          <x:t xml:space="preserve">Chelin H. Satherlie,
Gregg M. Satherlie</x:t>
        </x:is>
      </x:c>
      <x:c r="I1530" s="543" t="inlineStr">
        <x:is>
          <x:t xml:space="preserve">Lots 1-3 of 31-12N-24W</x:t>
        </x:is>
      </x:c>
      <x:c r="J1530" s="543" t="inlineStr">
        <x:is>
          <x:t xml:space="preserve">ORRI</x:t>
        </x:is>
      </x:c>
      <x:c r="K1530" s="545" t="inlineStr">
        <x:is>
          <x:t xml:space="preserve">OKCountyRecords: 2012-006477</x:t>
        </x:is>
      </x:c>
      <x:c r="L1530" s="543" t="n">
        <x:v>5</x:v>
      </x:c>
      <x:c r="M1530" s="543" t="inlineStr">
        <x:is>
          <x:t xml:space="preserve">Leasehold</x:t>
        </x:is>
      </x:c>
      <x:c r="N1530" s="546" t="n"/>
      <x:c r="O1530" s="547" t="n">
        <x:v>120</x:v>
      </x:c>
      <x:c r="P1530" s="651" t="n"/>
      <x:c r="Q1530" s="651" t="n"/>
      <x:c r="R1530" s="652" t="n"/>
      <x:c r="S1530" s="543" t="inlineStr">
        <x:is>
          <x:t xml:space="preserve">Leasehold (non-mineral; excluded from mineral NMA). Gross=tract-map basis.</x:t>
        </x:is>
      </x:c>
      <x:c r="T1530" s="574" t="n"/>
      <x:c r="U1530" s="575" t="n"/>
      <x:c r="V1530" s="565" t="n"/>
      <x:c r="W1530" s="565" t="n"/>
      <x:c r="X1530" s="565" t="n"/>
      <x:c r="Y1530" s="565" t="n"/>
      <x:c r="Z1530" s="565" t="n"/>
    </x:row>
    <x:row r="1531">
      <x:c r="A1531" s="543" t="inlineStr">
        <x:is>
          <x:t xml:space="preserve">2012-007511</x:t>
        </x:is>
      </x:c>
      <x:c r="B1531" s="543" t="n"/>
      <x:c r="C1531" s="543" t="inlineStr">
        <x:is>
          <x:t xml:space="preserve">Assignment of ORRI</x:t>
        </x:is>
      </x:c>
      <x:c r="D1531" s="543" t="inlineStr">
        <x:is>
          <x:t xml:space="preserve">2166/194</x:t>
        </x:is>
      </x:c>
      <x:c r="E1531" s="544" t="n">
        <x:v>41215</x:v>
      </x:c>
      <x:c r="F1531" s="544" t="n">
        <x:v>41227</x:v>
      </x:c>
      <x:c r="G1531" s="543" t="inlineStr">
        <x:is>
          <x:t xml:space="preserve">Yale Oil Association, Inc.</x:t>
        </x:is>
      </x:c>
      <x:c r="H1531" s="543" t="inlineStr">
        <x:is>
          <x:t xml:space="preserve">K. C. Production</x:t>
        </x:is>
      </x:c>
      <x:c r="I1531" s="543" t="inlineStr">
        <x:is>
          <x:t xml:space="preserve">Lots 1,2, N/2 of 3 of 31-12N-24W</x:t>
        </x:is>
      </x:c>
      <x:c r="J1531" s="543" t="inlineStr">
        <x:is>
          <x:t xml:space="preserve">ORRI</x:t>
        </x:is>
      </x:c>
      <x:c r="K1531" s="545" t="inlineStr">
        <x:is>
          <x:t xml:space="preserve">OKCountyRecords: 2012-007511</x:t>
        </x:is>
      </x:c>
      <x:c r="L1531" s="543" t="n">
        <x:v>5</x:v>
      </x:c>
      <x:c r="M1531" s="543" t="inlineStr">
        <x:is>
          <x:t xml:space="preserve">Leasehold</x:t>
        </x:is>
      </x:c>
      <x:c r="N1531" s="546" t="n"/>
      <x:c r="O1531" s="547" t="n">
        <x:v>120</x:v>
      </x:c>
      <x:c r="P1531" s="651" t="n"/>
      <x:c r="Q1531" s="651" t="n"/>
      <x:c r="R1531" s="652" t="n"/>
      <x:c r="S1531" s="543" t="inlineStr">
        <x:is>
          <x:t xml:space="preserve">Leasehold (non-mineral; excluded from mineral NMA). Gross=tract-map basis.</x:t>
        </x:is>
      </x:c>
      <x:c r="T1531" s="574" t="n"/>
      <x:c r="U1531" s="575" t="n"/>
      <x:c r="V1531" s="565" t="n"/>
      <x:c r="W1531" s="565" t="n"/>
      <x:c r="X1531" s="565" t="n"/>
      <x:c r="Y1531" s="565" t="n"/>
      <x:c r="Z1531" s="565" t="n"/>
    </x:row>
    <x:row r="1532">
      <x:c r="A1532" s="543" t="inlineStr">
        <x:is>
          <x:t xml:space="preserve">2013-002727</x:t>
        </x:is>
      </x:c>
      <x:c r="B1532" s="543" t="n"/>
      <x:c r="C1532" s="543" t="inlineStr">
        <x:is>
          <x:t xml:space="preserve">Memorandum</x:t>
        </x:is>
      </x:c>
      <x:c r="D1532" s="543" t="inlineStr">
        <x:is>
          <x:t xml:space="preserve">2193/517</x:t>
        </x:is>
      </x:c>
      <x:c r="E1532" s="544" t="n">
        <x:v>41404</x:v>
      </x:c>
      <x:c r="F1532" s="544" t="n">
        <x:v>41422</x:v>
      </x:c>
      <x:c r="G1532" s="543" t="inlineStr">
        <x:is>
          <x:t xml:space="preserve">Devon Energy Production Co.</x:t>
        </x:is>
      </x:c>
      <x:c r="H1532" s="543" t="inlineStr">
        <x:is>
          <x:t xml:space="preserve">Plains Marketing, L.P.</x:t>
        </x:is>
      </x:c>
      <x:c r="I1532" s="543" t="inlineStr">
        <x:is>
          <x:t xml:space="preserve">All of 31-12N-24W, aol</x:t>
        </x:is>
      </x:c>
      <x:c r="J1532" s="543" t="inlineStr">
        <x:is>
          <x:t xml:space="preserve">MEMORANDUM OF CRUDE OIL SALES COMMITMENT</x:t>
        </x:is>
      </x:c>
      <x:c r="K1532" s="545" t="inlineStr">
        <x:is>
          <x:t xml:space="preserve">OKCountyRecords: 2013-002727</x:t>
        </x:is>
      </x:c>
      <x:c r="L1532" s="543" t="inlineStr">
        <x:is>
          <x:t xml:space="preserve">All (1-8)</x:t>
        </x:is>
      </x:c>
      <x:c r="M1532" s="543" t="inlineStr">
        <x:is>
          <x:t xml:space="preserve">Leasehold</x:t>
        </x:is>
      </x:c>
      <x:c r="N1532" s="546" t="n"/>
      <x:c r="O1532" s="547" t="n">
        <x:v>640</x:v>
      </x:c>
      <x:c r="P1532" s="651" t="n"/>
      <x:c r="Q1532" s="651" t="n"/>
      <x:c r="R1532" s="652" t="n"/>
      <x:c r="S1532" s="543" t="inlineStr">
        <x:is>
          <x:t xml:space="preserve">Leasehold (non-mineral; excluded from mineral NMA). All-section coverage. Gross=tract-map basis.</x:t>
        </x:is>
      </x:c>
      <x:c r="T1532" s="574" t="n"/>
      <x:c r="U1532" s="575" t="n"/>
      <x:c r="V1532" s="565" t="n"/>
      <x:c r="W1532" s="565" t="n"/>
      <x:c r="X1532" s="565" t="n"/>
      <x:c r="Y1532" s="565" t="n"/>
      <x:c r="Z1532" s="565" t="n"/>
    </x:row>
    <x:row r="1533">
      <x:c r="A1533" s="543" t="inlineStr">
        <x:is>
          <x:t xml:space="preserve">2013-004038</x:t>
        </x:is>
      </x:c>
      <x:c r="B1533" s="543" t="n"/>
      <x:c r="C1533" s="543" t="inlineStr">
        <x:is>
          <x:t xml:space="preserve">Assignment of ORRI</x:t>
        </x:is>
      </x:c>
      <x:c r="D1533" s="543" t="inlineStr">
        <x:is>
          <x:t xml:space="preserve">2202/378</x:t>
        </x:is>
      </x:c>
      <x:c r="E1533" s="544" t="n">
        <x:v>41474</x:v>
      </x:c>
      <x:c r="F1533" s="544" t="n">
        <x:v>41488</x:v>
      </x:c>
      <x:c r="G1533" s="543" t="inlineStr">
        <x:is>
          <x:t xml:space="preserve">Gary Reid</x:t>
        </x:is>
      </x:c>
      <x:c r="H1533" s="543" t="inlineStr">
        <x:is>
          <x:t xml:space="preserve">Gary C. Reid, Trustee,
Reid Rev Trust,
Shannon D. Reid, Trustee</x:t>
        </x:is>
      </x:c>
      <x:c r="I1533" s="543" t="inlineStr">
        <x:is>
          <x:t xml:space="preserve">All of 31-12N-24W, aol</x:t>
        </x:is>
      </x:c>
      <x:c r="J1533" s="543" t="inlineStr">
        <x:is>
          <x:t xml:space="preserve">ORRI</x:t>
        </x:is>
      </x:c>
      <x:c r="K1533" s="545" t="inlineStr">
        <x:is>
          <x:t xml:space="preserve">OKCountyRecords: 2013-004038</x:t>
        </x:is>
      </x:c>
      <x:c r="L1533" s="543" t="inlineStr">
        <x:is>
          <x:t xml:space="preserve">All (1-8)</x:t>
        </x:is>
      </x:c>
      <x:c r="M1533" s="543" t="inlineStr">
        <x:is>
          <x:t xml:space="preserve">Leasehold</x:t>
        </x:is>
      </x:c>
      <x:c r="N1533" s="546" t="n"/>
      <x:c r="O1533" s="547" t="n">
        <x:v>640</x:v>
      </x:c>
      <x:c r="P1533" s="651" t="n"/>
      <x:c r="Q1533" s="651" t="n"/>
      <x:c r="R1533" s="652" t="n"/>
      <x:c r="S1533" s="543" t="inlineStr">
        <x:is>
          <x:t xml:space="preserve">Leasehold (non-mineral; excluded from mineral NMA). All-section coverage. Gross=tract-map basis.</x:t>
        </x:is>
      </x:c>
      <x:c r="T1533" s="574" t="n"/>
      <x:c r="U1533" s="575" t="n"/>
      <x:c r="V1533" s="565" t="n"/>
      <x:c r="W1533" s="565" t="n"/>
      <x:c r="X1533" s="565" t="n"/>
      <x:c r="Y1533" s="565" t="n"/>
      <x:c r="Z1533" s="565" t="n"/>
    </x:row>
    <x:row r="1534">
      <x:c r="A1534" s="543" t="inlineStr">
        <x:is>
          <x:t xml:space="preserve">2013-006188</x:t>
        </x:is>
      </x:c>
      <x:c r="B1534" s="543" t="n"/>
      <x:c r="C1534" s="543" t="inlineStr">
        <x:is>
          <x:t xml:space="preserve">Assignment</x:t>
        </x:is>
      </x:c>
      <x:c r="D1534" s="543" t="inlineStr">
        <x:is>
          <x:t xml:space="preserve">2220/400</x:t>
        </x:is>
      </x:c>
      <x:c r="E1534" s="544" t="n">
        <x:v>41543</x:v>
      </x:c>
      <x:c r="F1534" s="544" t="n">
        <x:v>41599</x:v>
      </x:c>
      <x:c r="G1534" s="543" t="inlineStr">
        <x:is>
          <x:t xml:space="preserve">EOG Resources, Inc.</x:t>
        </x:is>
      </x:c>
      <x:c r="H1534" s="543" t="inlineStr">
        <x:is>
          <x:t xml:space="preserve">Linn Energy Holdings, LLC</x:t>
        </x:is>
      </x:c>
      <x:c r="I1534" s="543" t="inlineStr">
        <x:is>
          <x:t xml:space="preserve">All of 31-12N-24W, aol</x:t>
        </x:is>
      </x:c>
      <x:c r="J1534" s="543" t="inlineStr">
        <x:is>
          <x:t xml:space="preserve">Leasehold / WI</x:t>
        </x:is>
      </x:c>
      <x:c r="K1534" s="545" t="inlineStr">
        <x:is>
          <x:t xml:space="preserve">OKCountyRecords: 2013-006188</x:t>
        </x:is>
      </x:c>
      <x:c r="L1534" s="543" t="inlineStr">
        <x:is>
          <x:t xml:space="preserve">All (1-8)</x:t>
        </x:is>
      </x:c>
      <x:c r="M1534" s="543" t="inlineStr">
        <x:is>
          <x:t xml:space="preserve">Leasehold</x:t>
        </x:is>
      </x:c>
      <x:c r="N1534" s="546" t="n"/>
      <x:c r="O1534" s="547" t="n">
        <x:v>640</x:v>
      </x:c>
      <x:c r="P1534" s="651" t="n"/>
      <x:c r="Q1534" s="651" t="n"/>
      <x:c r="R1534" s="652" t="n"/>
      <x:c r="S1534" s="543" t="inlineStr">
        <x:is>
          <x:t xml:space="preserve">Leasehold (non-mineral; excluded from mineral NMA). All-section coverage. Gross=tract-map basis.</x:t>
        </x:is>
      </x:c>
      <x:c r="T1534" s="574" t="n"/>
      <x:c r="U1534" s="575" t="n"/>
      <x:c r="V1534" s="565" t="n"/>
      <x:c r="W1534" s="565" t="n"/>
      <x:c r="X1534" s="565" t="n"/>
      <x:c r="Y1534" s="565" t="n"/>
      <x:c r="Z1534" s="565" t="n"/>
    </x:row>
    <x:row r="1535">
      <x:c r="A1535" s="543" t="inlineStr">
        <x:is>
          <x:t xml:space="preserve">2014-005920</x:t>
        </x:is>
      </x:c>
      <x:c r="B1535" s="543" t="n"/>
      <x:c r="C1535" s="543" t="inlineStr">
        <x:is>
          <x:t xml:space="preserve">Assignment</x:t>
        </x:is>
      </x:c>
      <x:c r="D1535" s="543" t="inlineStr">
        <x:is>
          <x:t xml:space="preserve">2270/316</x:t>
        </x:is>
      </x:c>
      <x:c r="E1535" s="544" t="n">
        <x:v>41821</x:v>
      </x:c>
      <x:c r="F1535" s="544" t="n">
        <x:v>41907</x:v>
      </x:c>
      <x:c r="G1535" s="543" t="inlineStr">
        <x:is>
          <x:t xml:space="preserve">Newfield Exploartion Company,
Newfield Exploration Mid Continent, Inc.</x:t>
        </x:is>
      </x:c>
      <x:c r="H1535" s="543" t="inlineStr">
        <x:is>
          <x:t xml:space="preserve">Templar Energy, LLC</x:t>
        </x:is>
      </x:c>
      <x:c r="I1535" s="543" t="inlineStr">
        <x:is>
          <x:t xml:space="preserve">All of 31-12N-24W, aol</x:t>
        </x:is>
      </x:c>
      <x:c r="J1535" s="543" t="inlineStr">
        <x:is>
          <x:t xml:space="preserve">Leasehold / WI</x:t>
        </x:is>
      </x:c>
      <x:c r="K1535" s="545" t="inlineStr">
        <x:is>
          <x:t xml:space="preserve">OKCountyRecords: 2014-005920</x:t>
        </x:is>
      </x:c>
      <x:c r="L1535" s="543" t="inlineStr">
        <x:is>
          <x:t xml:space="preserve">All (1-8)</x:t>
        </x:is>
      </x:c>
      <x:c r="M1535" s="543" t="inlineStr">
        <x:is>
          <x:t xml:space="preserve">Leasehold</x:t>
        </x:is>
      </x:c>
      <x:c r="N1535" s="546" t="n"/>
      <x:c r="O1535" s="547" t="n">
        <x:v>640</x:v>
      </x:c>
      <x:c r="P1535" s="651" t="n"/>
      <x:c r="Q1535" s="651" t="n"/>
      <x:c r="R1535" s="652" t="n"/>
      <x:c r="S1535" s="543" t="inlineStr">
        <x:is>
          <x:t xml:space="preserve">Leasehold (non-mineral; excluded from mineral NMA). All-section coverage. Gross=tract-map basis.</x:t>
        </x:is>
      </x:c>
      <x:c r="T1535" s="574" t="n"/>
      <x:c r="U1535" s="575" t="n"/>
      <x:c r="V1535" s="565" t="n"/>
      <x:c r="W1535" s="565" t="n"/>
      <x:c r="X1535" s="565" t="n"/>
      <x:c r="Y1535" s="565" t="n"/>
      <x:c r="Z1535" s="565" t="n"/>
    </x:row>
    <x:row r="1536">
      <x:c r="A1536" s="543" t="inlineStr">
        <x:is>
          <x:t xml:space="preserve">2015-000058</x:t>
        </x:is>
      </x:c>
      <x:c r="B1536" s="543" t="n"/>
      <x:c r="C1536" s="543" t="inlineStr">
        <x:is>
          <x:t xml:space="preserve">Assignment</x:t>
        </x:is>
      </x:c>
      <x:c r="D1536" s="543" t="inlineStr">
        <x:is>
          <x:t xml:space="preserve">2282/234</x:t>
        </x:is>
      </x:c>
      <x:c r="E1536" s="544" t="n">
        <x:v>41988</x:v>
      </x:c>
      <x:c r="F1536" s="544" t="n">
        <x:v>42011</x:v>
      </x:c>
      <x:c r="G1536" s="543" t="inlineStr">
        <x:is>
          <x:t xml:space="preserve">Linn Energy Holdings, et al</x:t>
        </x:is>
      </x:c>
      <x:c r="H1536" s="543" t="inlineStr">
        <x:is>
          <x:t xml:space="preserve">Enervest,
Fourpoint</x:t>
        </x:is>
      </x:c>
      <x:c r="I1536" s="543" t="inlineStr">
        <x:is>
          <x:t xml:space="preserve">All of 31-12N-24W, aol</x:t>
        </x:is>
      </x:c>
      <x:c r="J1536" s="543" t="inlineStr">
        <x:is>
          <x:t xml:space="preserve">Leasehold / WI</x:t>
        </x:is>
      </x:c>
      <x:c r="K1536" s="545" t="inlineStr">
        <x:is>
          <x:t xml:space="preserve">OKCountyRecords: 2015-000058</x:t>
        </x:is>
      </x:c>
      <x:c r="L1536" s="543" t="inlineStr">
        <x:is>
          <x:t xml:space="preserve">All (1-8)</x:t>
        </x:is>
      </x:c>
      <x:c r="M1536" s="543" t="inlineStr">
        <x:is>
          <x:t xml:space="preserve">Leasehold</x:t>
        </x:is>
      </x:c>
      <x:c r="N1536" s="546" t="n"/>
      <x:c r="O1536" s="547" t="n">
        <x:v>640</x:v>
      </x:c>
      <x:c r="P1536" s="651" t="n"/>
      <x:c r="Q1536" s="651" t="n"/>
      <x:c r="R1536" s="652" t="n"/>
      <x:c r="S1536" s="543" t="inlineStr">
        <x:is>
          <x:t xml:space="preserve">Leasehold (non-mineral; excluded from mineral NMA). All-section coverage. Gross=tract-map basis.</x:t>
        </x:is>
      </x:c>
      <x:c r="T1536" s="574" t="n"/>
      <x:c r="U1536" s="575" t="n"/>
      <x:c r="V1536" s="565" t="n"/>
      <x:c r="W1536" s="565" t="n"/>
      <x:c r="X1536" s="565" t="n"/>
      <x:c r="Y1536" s="565" t="n"/>
      <x:c r="Z1536" s="565" t="n"/>
    </x:row>
    <x:row r="1537">
      <x:c r="A1537" s="543" t="inlineStr">
        <x:is>
          <x:t xml:space="preserve">2015-001388</x:t>
        </x:is>
      </x:c>
      <x:c r="B1537" s="543" t="n"/>
      <x:c r="C1537" s="543" t="inlineStr">
        <x:is>
          <x:t xml:space="preserve">Stipulation</x:t>
        </x:is>
      </x:c>
      <x:c r="D1537" s="543" t="inlineStr">
        <x:is>
          <x:t xml:space="preserve">2294/47</x:t>
        </x:is>
      </x:c>
      <x:c r="E1537" s="544" t="n">
        <x:v>42111</x:v>
      </x:c>
      <x:c r="F1537" s="544" t="n">
        <x:v>42115</x:v>
      </x:c>
      <x:c r="G1537" s="543" t="inlineStr">
        <x:is>
          <x:t xml:space="preserve">Peggy J. Brawner</x:t>
        </x:is>
      </x:c>
      <x:c r="H1537" s="543" t="inlineStr">
        <x:is>
          <x:t xml:space="preserve">The Public</x:t>
        </x:is>
      </x:c>
      <x:c r="I1537" s="543" t="inlineStr">
        <x:is>
          <x:t xml:space="preserve">NW/4 SE/4, S/2 SE/4, SW/4 NE/4 of 31-12N-24W</x:t>
        </x:is>
      </x:c>
      <x:c r="J1537" s="543" t="inlineStr">
        <x:is>
          <x:t xml:space="preserve">Leasehold / WI</x:t>
        </x:is>
      </x:c>
      <x:c r="K1537" s="545" t="inlineStr">
        <x:is>
          <x:t xml:space="preserve">OKCountyRecords: 2015-001388</x:t>
        </x:is>
      </x:c>
      <x:c r="L1537" s="543" t="n">
        <x:v>2</x:v>
      </x:c>
      <x:c r="M1537" s="543" t="inlineStr">
        <x:is>
          <x:t xml:space="preserve">Leasehold</x:t>
        </x:is>
      </x:c>
      <x:c r="N1537" s="546" t="n"/>
      <x:c r="O1537" s="547" t="n">
        <x:v>160</x:v>
      </x:c>
      <x:c r="P1537" s="651" t="n"/>
      <x:c r="Q1537" s="651" t="n"/>
      <x:c r="R1537" s="652" t="n"/>
      <x:c r="S1537" s="543" t="inlineStr">
        <x:is>
          <x:t xml:space="preserve">Leasehold (non-mineral; excluded from mineral NMA). Gross=tract-map basis.</x:t>
        </x:is>
      </x:c>
      <x:c r="T1537" s="574" t="inlineStr">
        <x:is>
          <x:t xml:space="preserve">OK</x:t>
        </x:is>
      </x:c>
      <x:c r="U1537" s="575" t="inlineStr">
        <x:is>
          <x:t xml:space="preserve">Non-conveying — notice/affidavit/address change (The Public).</x:t>
        </x:is>
      </x:c>
      <x:c r="V1537" s="565" t="n"/>
      <x:c r="W1537" s="565" t="n"/>
      <x:c r="X1537" s="565" t="n"/>
      <x:c r="Y1537" s="565" t="n"/>
      <x:c r="Z1537" s="565" t="n"/>
    </x:row>
    <x:row r="1538">
      <x:c r="A1538" s="543" t="inlineStr">
        <x:is>
          <x:t xml:space="preserve">2015-001661</x:t>
        </x:is>
      </x:c>
      <x:c r="B1538" s="543" t="n"/>
      <x:c r="C1538" s="543" t="inlineStr">
        <x:is>
          <x:t xml:space="preserve">Assignment</x:t>
        </x:is>
      </x:c>
      <x:c r="D1538" s="543" t="inlineStr">
        <x:is>
          <x:t xml:space="preserve">2295/372</x:t>
        </x:is>
      </x:c>
      <x:c r="E1538" s="544" t="n">
        <x:v>42129</x:v>
      </x:c>
      <x:c r="F1538" s="544" t="n">
        <x:v>42139</x:v>
      </x:c>
      <x:c r="G1538" s="543" t="inlineStr">
        <x:is>
          <x:t xml:space="preserve">Robert H. Frazier</x:t>
        </x:is>
      </x:c>
      <x:c r="H1538" s="543" t="inlineStr">
        <x:is>
          <x:t xml:space="preserve">Robert H. Frazier Royalty</x:t>
        </x:is>
      </x:c>
      <x:c r="I1538" s="543" t="inlineStr">
        <x:is>
          <x:t xml:space="preserve">All of 31-12N-24W, aol</x:t>
        </x:is>
      </x:c>
      <x:c r="J1538" s="543" t="inlineStr">
        <x:is>
          <x:t xml:space="preserve">Leasehold / WI</x:t>
        </x:is>
      </x:c>
      <x:c r="K1538" s="545" t="inlineStr">
        <x:is>
          <x:t xml:space="preserve">OKCountyRecords: 2015-001661</x:t>
        </x:is>
      </x:c>
      <x:c r="L1538" s="543" t="inlineStr">
        <x:is>
          <x:t xml:space="preserve">All (1-8)</x:t>
        </x:is>
      </x:c>
      <x:c r="M1538" s="543" t="inlineStr">
        <x:is>
          <x:t xml:space="preserve">Leasehold</x:t>
        </x:is>
      </x:c>
      <x:c r="N1538" s="546" t="n"/>
      <x:c r="O1538" s="547" t="n">
        <x:v>640</x:v>
      </x:c>
      <x:c r="P1538" s="651" t="n"/>
      <x:c r="Q1538" s="651" t="n"/>
      <x:c r="R1538" s="652" t="n"/>
      <x:c r="S1538" s="543" t="inlineStr">
        <x:is>
          <x:t xml:space="preserve">Leasehold (non-mineral; excluded from mineral NMA). All-section coverage. Gross=tract-map basis.</x:t>
        </x:is>
      </x:c>
      <x:c r="T1538" s="574" t="n"/>
      <x:c r="U1538" s="575" t="n"/>
      <x:c r="V1538" s="565" t="n"/>
      <x:c r="W1538" s="565" t="n"/>
      <x:c r="X1538" s="565" t="n"/>
      <x:c r="Y1538" s="565" t="n"/>
      <x:c r="Z1538" s="565" t="n"/>
    </x:row>
    <x:row r="1539">
      <x:c r="A1539" s="543" t="inlineStr">
        <x:is>
          <x:t xml:space="preserve">2015-002368</x:t>
        </x:is>
      </x:c>
      <x:c r="B1539" s="543" t="n"/>
      <x:c r="C1539" s="543" t="inlineStr">
        <x:is>
          <x:t xml:space="preserve">Memorandum</x:t>
        </x:is>
      </x:c>
      <x:c r="D1539" s="543" t="inlineStr">
        <x:is>
          <x:t xml:space="preserve">2302/507</x:t>
        </x:is>
      </x:c>
      <x:c r="E1539" s="544" t="n">
        <x:v>42199</x:v>
      </x:c>
      <x:c r="F1539" s="544" t="n">
        <x:v>42207</x:v>
      </x:c>
      <x:c r="G1539" s="543" t="inlineStr">
        <x:is>
          <x:t xml:space="preserve">Enervest Energy Institutional Fund Xiii Wib, L.P.</x:t>
        </x:is>
      </x:c>
      <x:c r="H1539" s="543" t="inlineStr">
        <x:is>
          <x:t xml:space="preserve">Enervest Energy Institutional Fund Xiii B., L.P.</x:t>
        </x:is>
      </x:c>
      <x:c r="I1539" s="543" t="inlineStr">
        <x:is>
          <x:t xml:space="preserve">All of 31-12N-24W, aol</x:t>
        </x:is>
      </x:c>
      <x:c r="J1539" s="543" t="inlineStr">
        <x:is>
          <x:t xml:space="preserve">Leasehold / WI</x:t>
        </x:is>
      </x:c>
      <x:c r="K1539" s="545" t="inlineStr">
        <x:is>
          <x:t xml:space="preserve">OKCountyRecords: 2015-002368</x:t>
        </x:is>
      </x:c>
      <x:c r="L1539" s="543" t="inlineStr">
        <x:is>
          <x:t xml:space="preserve">All (1-8)</x:t>
        </x:is>
      </x:c>
      <x:c r="M1539" s="543" t="inlineStr">
        <x:is>
          <x:t xml:space="preserve">Leasehold</x:t>
        </x:is>
      </x:c>
      <x:c r="N1539" s="546" t="n"/>
      <x:c r="O1539" s="547" t="n">
        <x:v>640</x:v>
      </x:c>
      <x:c r="P1539" s="651" t="n"/>
      <x:c r="Q1539" s="651" t="n"/>
      <x:c r="R1539" s="652" t="n"/>
      <x:c r="S1539" s="543" t="inlineStr">
        <x:is>
          <x:t xml:space="preserve">Leasehold (non-mineral; excluded from mineral NMA). All-section coverage. Gross=tract-map basis.</x:t>
        </x:is>
      </x:c>
      <x:c r="T1539" s="574" t="n"/>
      <x:c r="U1539" s="575" t="n"/>
      <x:c r="V1539" s="565" t="n"/>
      <x:c r="W1539" s="565" t="n"/>
      <x:c r="X1539" s="565" t="n"/>
      <x:c r="Y1539" s="565" t="n"/>
      <x:c r="Z1539" s="565" t="n"/>
    </x:row>
    <x:row r="1540">
      <x:c r="A1540" s="543" t="inlineStr">
        <x:is>
          <x:t xml:space="preserve">2015-002369</x:t>
        </x:is>
      </x:c>
      <x:c r="B1540" s="543" t="n"/>
      <x:c r="C1540" s="543" t="inlineStr">
        <x:is>
          <x:t xml:space="preserve">Memorandum</x:t>
        </x:is>
      </x:c>
      <x:c r="D1540" s="543" t="inlineStr">
        <x:is>
          <x:t xml:space="preserve">2302/512</x:t>
        </x:is>
      </x:c>
      <x:c r="E1540" s="544" t="n">
        <x:v>42199</x:v>
      </x:c>
      <x:c r="F1540" s="544" t="n">
        <x:v>42207</x:v>
      </x:c>
      <x:c r="G1540" s="543" t="inlineStr">
        <x:is>
          <x:t xml:space="preserve">Enervest Energy Institutional Fund Xiii Wic, L.P.</x:t>
        </x:is>
      </x:c>
      <x:c r="H1540" s="543" t="inlineStr">
        <x:is>
          <x:t xml:space="preserve">Enervest Energy Institutional Fund Xiii C., L.P.</x:t>
        </x:is>
      </x:c>
      <x:c r="I1540" s="543" t="inlineStr">
        <x:is>
          <x:t xml:space="preserve">All of 31-12N-24W, aol</x:t>
        </x:is>
      </x:c>
      <x:c r="J1540" s="543" t="inlineStr">
        <x:is>
          <x:t xml:space="preserve">Leasehold / WI</x:t>
        </x:is>
      </x:c>
      <x:c r="K1540" s="545" t="inlineStr">
        <x:is>
          <x:t xml:space="preserve">OKCountyRecords: 2015-002369</x:t>
        </x:is>
      </x:c>
      <x:c r="L1540" s="543" t="inlineStr">
        <x:is>
          <x:t xml:space="preserve">All (1-8)</x:t>
        </x:is>
      </x:c>
      <x:c r="M1540" s="543" t="inlineStr">
        <x:is>
          <x:t xml:space="preserve">Leasehold</x:t>
        </x:is>
      </x:c>
      <x:c r="N1540" s="546" t="n"/>
      <x:c r="O1540" s="547" t="n">
        <x:v>640</x:v>
      </x:c>
      <x:c r="P1540" s="651" t="n"/>
      <x:c r="Q1540" s="651" t="n"/>
      <x:c r="R1540" s="652" t="n"/>
      <x:c r="S1540" s="543" t="inlineStr">
        <x:is>
          <x:t xml:space="preserve">Leasehold (non-mineral; excluded from mineral NMA). All-section coverage. Gross=tract-map basis.</x:t>
        </x:is>
      </x:c>
      <x:c r="T1540" s="574" t="n"/>
      <x:c r="U1540" s="575" t="n"/>
      <x:c r="V1540" s="565" t="n"/>
      <x:c r="W1540" s="565" t="n"/>
      <x:c r="X1540" s="565" t="n"/>
      <x:c r="Y1540" s="565" t="n"/>
      <x:c r="Z1540" s="565" t="n"/>
    </x:row>
    <x:row r="1541">
      <x:c r="A1541" s="543" t="inlineStr">
        <x:is>
          <x:t xml:space="preserve">2021-001669</x:t>
        </x:is>
      </x:c>
      <x:c r="B1541" s="543" t="n"/>
      <x:c r="C1541" s="543" t="inlineStr">
        <x:is>
          <x:t xml:space="preserve">Assignment</x:t>
        </x:is>
      </x:c>
      <x:c r="D1541" s="543" t="inlineStr">
        <x:is>
          <x:t xml:space="preserve">2480/297</x:t>
        </x:is>
      </x:c>
      <x:c r="E1541" s="544" t="n">
        <x:v>44440</x:v>
      </x:c>
      <x:c r="F1541" s="544" t="n">
        <x:v>44476</x:v>
      </x:c>
      <x:c r="G1541" s="543" t="inlineStr">
        <x:is>
          <x:t xml:space="preserve">Tlw Investments, LLC</x:t>
        </x:is>
      </x:c>
      <x:c r="H1541" s="543" t="inlineStr">
        <x:is>
          <x:t xml:space="preserve">Cannon Field Minerals Fund I., L.P.</x:t>
        </x:is>
      </x:c>
      <x:c r="I1541" s="543" t="inlineStr">
        <x:is>
          <x:t xml:space="preserve">All of 31-12N-24W, aol</x:t>
        </x:is>
      </x:c>
      <x:c r="J1541" s="543" t="inlineStr">
        <x:is>
          <x:t xml:space="preserve">Leasehold / WI</x:t>
        </x:is>
      </x:c>
      <x:c r="K1541" s="545" t="inlineStr">
        <x:is>
          <x:t xml:space="preserve">OKCountyRecords: 2021-001669</x:t>
        </x:is>
      </x:c>
      <x:c r="L1541" s="543" t="inlineStr">
        <x:is>
          <x:t xml:space="preserve">All (1-8)</x:t>
        </x:is>
      </x:c>
      <x:c r="M1541" s="543" t="inlineStr">
        <x:is>
          <x:t xml:space="preserve">Leasehold</x:t>
        </x:is>
      </x:c>
      <x:c r="N1541" s="546" t="n"/>
      <x:c r="O1541" s="547" t="n">
        <x:v>640</x:v>
      </x:c>
      <x:c r="P1541" s="651" t="n"/>
      <x:c r="Q1541" s="651" t="n"/>
      <x:c r="R1541" s="652" t="n"/>
      <x:c r="S1541" s="543" t="inlineStr">
        <x:is>
          <x:t xml:space="preserve">Leasehold (non-mineral; excluded from mineral NMA). All-section coverage. Gross=tract-map basis.</x:t>
        </x:is>
      </x:c>
      <x:c r="T1541" s="574" t="n"/>
      <x:c r="U1541" s="575" t="n"/>
      <x:c r="V1541" s="565" t="n"/>
      <x:c r="W1541" s="565" t="n"/>
      <x:c r="X1541" s="565" t="n"/>
      <x:c r="Y1541" s="565" t="n"/>
      <x:c r="Z1541" s="565" t="n"/>
    </x:row>
    <x:row r="1542">
      <x:c r="A1542" s="543" t="inlineStr">
        <x:is>
          <x:t xml:space="preserve">2021-002152</x:t>
        </x:is>
      </x:c>
      <x:c r="B1542" s="543" t="n"/>
      <x:c r="C1542" s="543" t="inlineStr">
        <x:is>
          <x:t xml:space="preserve">Assignment</x:t>
        </x:is>
      </x:c>
      <x:c r="D1542" s="543" t="inlineStr">
        <x:is>
          <x:t xml:space="preserve">2484/25</x:t>
        </x:is>
      </x:c>
      <x:c r="E1542" s="544" t="n">
        <x:v>44530</x:v>
      </x:c>
      <x:c r="F1542" s="544" t="n">
        <x:v>44543</x:v>
      </x:c>
      <x:c r="G1542" s="543" t="inlineStr">
        <x:is>
          <x:t xml:space="preserve">Tlw Investments, LLC</x:t>
        </x:is>
      </x:c>
      <x:c r="H1542" s="543" t="inlineStr">
        <x:is>
          <x:t xml:space="preserve">Hillman Royalties</x:t>
        </x:is>
      </x:c>
      <x:c r="I1542" s="543" t="inlineStr">
        <x:is>
          <x:t xml:space="preserve">All of 31-12N-24W, aol</x:t>
        </x:is>
      </x:c>
      <x:c r="J1542" s="543" t="inlineStr">
        <x:is>
          <x:t xml:space="preserve">Leasehold / WI</x:t>
        </x:is>
      </x:c>
      <x:c r="K1542" s="545" t="inlineStr">
        <x:is>
          <x:t xml:space="preserve">OKCountyRecords: 2021-002152</x:t>
        </x:is>
      </x:c>
      <x:c r="L1542" s="543" t="inlineStr">
        <x:is>
          <x:t xml:space="preserve">All (1-8)</x:t>
        </x:is>
      </x:c>
      <x:c r="M1542" s="543" t="inlineStr">
        <x:is>
          <x:t xml:space="preserve">Leasehold</x:t>
        </x:is>
      </x:c>
      <x:c r="N1542" s="546" t="n"/>
      <x:c r="O1542" s="547" t="n">
        <x:v>640</x:v>
      </x:c>
      <x:c r="P1542" s="651" t="n"/>
      <x:c r="Q1542" s="651" t="n"/>
      <x:c r="R1542" s="652" t="n"/>
      <x:c r="S1542" s="543" t="inlineStr">
        <x:is>
          <x:t xml:space="preserve">Leasehold (non-mineral; excluded from mineral NMA). All-section coverage. Gross=tract-map basis.</x:t>
        </x:is>
      </x:c>
      <x:c r="T1542" s="574" t="n"/>
      <x:c r="U1542" s="575" t="n"/>
      <x:c r="V1542" s="565" t="n"/>
      <x:c r="W1542" s="565" t="n"/>
      <x:c r="X1542" s="565" t="n"/>
      <x:c r="Y1542" s="565" t="n"/>
      <x:c r="Z1542" s="565" t="n"/>
    </x:row>
    <x:row r="1543">
      <x:c r="A1543" s="543" t="inlineStr">
        <x:is>
          <x:t xml:space="preserve">2022-000354</x:t>
        </x:is>
      </x:c>
      <x:c r="B1543" s="543" t="n"/>
      <x:c r="C1543" s="543" t="inlineStr">
        <x:is>
          <x:t xml:space="preserve">Assignment</x:t>
        </x:is>
      </x:c>
      <x:c r="D1543" s="543" t="inlineStr">
        <x:is>
          <x:t xml:space="preserve">2488/81</x:t>
        </x:is>
      </x:c>
      <x:c r="E1543" s="544" t="n">
        <x:v>44562</x:v>
      </x:c>
      <x:c r="F1543" s="544" t="n">
        <x:v>44615</x:v>
      </x:c>
      <x:c r="G1543" s="543" t="inlineStr">
        <x:is>
          <x:t xml:space="preserve">Tlw Investments</x:t>
        </x:is>
      </x:c>
      <x:c r="H1543" s="543" t="inlineStr">
        <x:is>
          <x:t xml:space="preserve">Chanas Partners, LLC</x:t>
        </x:is>
      </x:c>
      <x:c r="I1543" s="543" t="inlineStr">
        <x:is>
          <x:t xml:space="preserve">All of 31-12N-24W, aol</x:t>
        </x:is>
      </x:c>
      <x:c r="J1543" s="543" t="inlineStr">
        <x:is>
          <x:t xml:space="preserve">Leasehold / WI</x:t>
        </x:is>
      </x:c>
      <x:c r="K1543" s="545" t="inlineStr">
        <x:is>
          <x:t xml:space="preserve">OKCountyRecords: 2022-000354</x:t>
        </x:is>
      </x:c>
      <x:c r="L1543" s="543" t="inlineStr">
        <x:is>
          <x:t xml:space="preserve">All (1-8)</x:t>
        </x:is>
      </x:c>
      <x:c r="M1543" s="543" t="inlineStr">
        <x:is>
          <x:t xml:space="preserve">Leasehold</x:t>
        </x:is>
      </x:c>
      <x:c r="N1543" s="546" t="n"/>
      <x:c r="O1543" s="547" t="n">
        <x:v>640</x:v>
      </x:c>
      <x:c r="P1543" s="651" t="n"/>
      <x:c r="Q1543" s="651" t="n"/>
      <x:c r="R1543" s="652" t="n"/>
      <x:c r="S1543" s="543" t="inlineStr">
        <x:is>
          <x:t xml:space="preserve">Leasehold (non-mineral; excluded from mineral NMA). All-section coverage. Gross=tract-map basis.</x:t>
        </x:is>
      </x:c>
      <x:c r="T1543" s="574" t="n"/>
      <x:c r="U1543" s="575" t="n"/>
      <x:c r="V1543" s="565" t="n"/>
      <x:c r="W1543" s="565" t="n"/>
      <x:c r="X1543" s="565" t="n"/>
      <x:c r="Y1543" s="565" t="n"/>
      <x:c r="Z1543" s="565" t="n"/>
    </x:row>
    <x:row r="1544">
      <x:c r="A1544" s="543" t="inlineStr">
        <x:is>
          <x:t xml:space="preserve">2023-003594</x:t>
        </x:is>
      </x:c>
      <x:c r="B1544" s="543" t="n"/>
      <x:c r="C1544" s="543" t="inlineStr">
        <x:is>
          <x:t xml:space="preserve">Amendment</x:t>
        </x:is>
      </x:c>
      <x:c r="D1544" s="543" t="inlineStr">
        <x:is>
          <x:t xml:space="preserve">2545/1</x:t>
        </x:is>
      </x:c>
      <x:c r="E1544" s="544" t="n">
        <x:v>45225</x:v>
      </x:c>
      <x:c r="F1544" s="544" t="n">
        <x:v>45247</x:v>
      </x:c>
      <x:c r="G1544" s="543" t="inlineStr">
        <x:is>
          <x:t xml:space="preserve">Mnr Abs Agent Corp.,
Mnr Abs Issuer I., LLC,
Unbridled Resources, LLC</x:t>
        </x:is>
      </x:c>
      <x:c r="H1544" s="543" t="inlineStr">
        <x:is>
          <x:t xml:space="preserve">Mnr Abs Agent Corp.,
Mns Abs Issuer I., LLC</x:t>
        </x:is>
      </x:c>
      <x:c r="I1544" s="543" t="inlineStr">
        <x:is>
          <x:t xml:space="preserve">All of 31-12N-24W, aol</x:t>
        </x:is>
      </x:c>
      <x:c r="J1544" s="543" t="inlineStr">
        <x:is>
          <x:t xml:space="preserve">Leasehold / WI</x:t>
        </x:is>
      </x:c>
      <x:c r="K1544" s="545" t="inlineStr">
        <x:is>
          <x:t xml:space="preserve">63e8b9a8d056433a9994fe46ca85076b.pdf | OKCountyRecords: 2023-003594</x:t>
        </x:is>
      </x:c>
      <x:c r="L1544" s="543" t="inlineStr">
        <x:is>
          <x:t xml:space="preserve">All (1-8)</x:t>
        </x:is>
      </x:c>
      <x:c r="M1544" s="543" t="inlineStr">
        <x:is>
          <x:t xml:space="preserve">Leasehold</x:t>
        </x:is>
      </x:c>
      <x:c r="N1544" s="546" t="n"/>
      <x:c r="O1544" s="547" t="n">
        <x:v>640</x:v>
      </x:c>
      <x:c r="P1544" s="651" t="n"/>
      <x:c r="Q1544" s="651" t="n"/>
      <x:c r="R1544" s="652" t="n"/>
      <x:c r="S1544" s="543" t="inlineStr">
        <x:is>
          <x:t xml:space="preserve">Leasehold (non-mineral; excluded from mineral NMA). All-section coverage. Gross=tract-map basis.</x:t>
        </x:is>
      </x:c>
      <x:c r="T1544" s="574" t="n"/>
      <x:c r="U1544" s="575" t="n"/>
      <x:c r="V1544" s="565" t="n"/>
      <x:c r="W1544" s="565" t="n"/>
      <x:c r="X1544" s="565" t="n"/>
      <x:c r="Y1544" s="565" t="n"/>
      <x:c r="Z1544" s="565" t="n"/>
    </x:row>
    <x:row r="1545">
      <x:c r="A1545" s="543" t="inlineStr">
        <x:is>
          <x:t xml:space="preserve">2023-003598</x:t>
        </x:is>
      </x:c>
      <x:c r="B1545" s="543" t="n"/>
      <x:c r="C1545" s="543" t="inlineStr">
        <x:is>
          <x:t xml:space="preserve">Amendment</x:t>
        </x:is>
      </x:c>
      <x:c r="D1545" s="543" t="inlineStr">
        <x:is>
          <x:t xml:space="preserve">2546/1</x:t>
        </x:is>
      </x:c>
      <x:c r="E1545" s="544" t="n">
        <x:v>45250</x:v>
      </x:c>
      <x:c r="F1545" s="544" t="n">
        <x:v>45250</x:v>
      </x:c>
      <x:c r="G1545" s="543" t="inlineStr">
        <x:is>
          <x:t xml:space="preserve">Unbridled Resources, LLC</x:t>
        </x:is>
      </x:c>
      <x:c r="H1545" s="543" t="inlineStr">
        <x:is>
          <x:t xml:space="preserve">JPMorgan Chase Bank</x:t>
        </x:is>
      </x:c>
      <x:c r="I1545" s="543" t="inlineStr">
        <x:is>
          <x:t xml:space="preserve">All of 31-12N-24W, aol</x:t>
        </x:is>
      </x:c>
      <x:c r="J1545" s="543" t="inlineStr">
        <x:is>
          <x:t xml:space="preserve">Leasehold / WI</x:t>
        </x:is>
      </x:c>
      <x:c r="K1545" s="545" t="inlineStr">
        <x:is>
          <x:t xml:space="preserve">63e8b9a8d056433a9994fe46ca85076b.pdf | OKCountyRecords: 2023-003598</x:t>
        </x:is>
      </x:c>
      <x:c r="L1545" s="543" t="inlineStr">
        <x:is>
          <x:t xml:space="preserve">All (1-8)</x:t>
        </x:is>
      </x:c>
      <x:c r="M1545" s="543" t="inlineStr">
        <x:is>
          <x:t xml:space="preserve">Leasehold</x:t>
        </x:is>
      </x:c>
      <x:c r="N1545" s="546" t="n"/>
      <x:c r="O1545" s="547" t="n">
        <x:v>640</x:v>
      </x:c>
      <x:c r="P1545" s="651" t="n"/>
      <x:c r="Q1545" s="651" t="n"/>
      <x:c r="R1545" s="652" t="n"/>
      <x:c r="S1545" s="543" t="inlineStr">
        <x:is>
          <x:t xml:space="preserve">Leasehold (non-mineral; excluded from mineral NMA). All-section coverage. Gross=tract-map basis.</x:t>
        </x:is>
      </x:c>
      <x:c r="T1545" s="574" t="n"/>
      <x:c r="U1545" s="575" t="n"/>
      <x:c r="V1545" s="565" t="n"/>
      <x:c r="W1545" s="565" t="n"/>
      <x:c r="X1545" s="565" t="n"/>
      <x:c r="Y1545" s="565" t="n"/>
      <x:c r="Z1545" s="565" t="n"/>
    </x:row>
    <x:row r="1546">
      <x:c r="A1546" s="552" t="inlineStr">
        <x:is>
          <x:t xml:space="preserve">I-1905-000993</x:t>
        </x:is>
      </x:c>
      <x:c r="B1546" s="552" t="n"/>
      <x:c r="C1546" s="552" t="inlineStr">
        <x:is>
          <x:t xml:space="preserve">Homestead</x:t>
        </x:is>
      </x:c>
      <x:c r="D1546" s="552" t="inlineStr">
        <x:is>
          <x:t xml:space="preserve">FR1/470</x:t>
        </x:is>
      </x:c>
      <x:c r="E1546" s="653" t="n">
        <x:v>2034</x:v>
      </x:c>
      <x:c r="F1546" s="653" t="n">
        <x:v>2063</x:v>
      </x:c>
      <x:c r="G1546" s="552" t="inlineStr">
        <x:is>
          <x:t xml:space="preserve">General Land Office</x:t>
        </x:is>
      </x:c>
      <x:c r="H1546" s="552" t="inlineStr">
        <x:is>
          <x:t xml:space="preserve">Leo Kinnett</x:t>
        </x:is>
      </x:c>
      <x:c r="I1546" s="552" t="inlineStr">
        <x:is>
          <x:t xml:space="preserve">E/2 NW/4, Lots 1, 2 of 31-12N-24W</x:t>
        </x:is>
      </x:c>
      <x:c r="J1546" s="552" t="inlineStr">
        <x:is>
          <x:t xml:space="preserve">ARTI</x:t>
        </x:is>
      </x:c>
      <x:c r="K1546" s="554" t="e">
        <x:f>HYPERLINK("https://okcountyrecords.com/search/roger%20mills","OKCountyRecords search: Homestead FR0001/0470")</x:f>
      </x:c>
      <x:c r="L1546" s="552" t="inlineStr">
        <x:is>
          <x:t xml:space="preserve">4, 5</x:t>
        </x:is>
      </x:c>
      <x:c r="M1546" s="552" t="inlineStr">
        <x:is>
          <x:t xml:space="preserve">Mineral</x:t>
        </x:is>
      </x:c>
      <x:c r="N1546" s="555" t="n"/>
      <x:c r="O1546" s="556" t="n">
        <x:f>IF($L1546="","",IF(ISNUMBER(SEARCH("all",$L1546)),640,(ISNUMBER(SEARCH("1",$L1546)))*80+(ISNUMBER(SEARCH("2",$L1546)))*160+(ISNUMBER(SEARCH("3",$L1546)))*40+(ISNUMBER(SEARCH("4",$L1546)))*80+(ISNUMBER(SEARCH("5",$L1546)))*120+(ISNUMBER(SEARCH("6",$L1546)))*80+(ISNUMBER(SEARCH("7",$L1546)))*40+(ISNUMBER(SEARCH("8",$L1546)))*40))</x:f>
        <x:v>0</x:v>
      </x:c>
      <x:c r="P1546" s="654" t="str">
        <x:f>IF($M1546&lt;&gt;"Mineral","",IF(ISNUMBER($N1546),$N1546,IF(OR(ISNUMBER(SEARCH("surface",$J1546)),ISNUMBER(SEARCH("reserv",$J1546)),ISNUMBER(SEARCH("less and except",$J1546))),0,"")))</x:f>
      </x:c>
      <x:c r="Q1546" s="654" t="str">
        <x:f>IF($P1546="","",-$P1546)</x:f>
      </x:c>
      <x:c r="R1546" s="655" t="str">
        <x:f>IF($P1546="","",$O1546*$P1546)</x:f>
      </x:c>
      <x:c r="S1546" s="552" t="str">
        <x:f>IF($M1546="","",TRIM(IF($M1546="Mineral",IF(ISNUMBER($N1546),"Mineral; basis Conv Amt(dec). ",IF($P1546=0,"Mineral; surface-only/reserved-&gt;0 min. ","Mineral; NO AMOUNT-verify instrument. ")),$M1546&amp;" (non-mineral; excluded from mineral NMA). ")&amp;IF(OR(ISNUMBER(SEARCH("public",$G1546)),ISNUMBER(SEARCH("public",$H1546))),"FLAG: The Public placeholder-verify. ","")&amp;IF(ISNUMBER(SEARCH("all",$L1546)),"All-section coverage. ","")&amp;IF($O1546=0,"Gross acres unresolved. ","")&amp;"Gross=tract-map basis."))</x:f>
        <x:v>Mineral; surface-only/reserved-&gt;0 min. Gross acres unresolved. Gross=tract-map basis.</x:v>
      </x:c>
      <x:c r="T1546" s="577" t="n"/>
      <x:c r="U1546" s="578" t="n"/>
      <x:c r="V1546" s="565" t="n"/>
      <x:c r="W1546" s="565" t="n"/>
      <x:c r="X1546" s="565" t="n"/>
      <x:c r="Y1546" s="565" t="n"/>
      <x:c r="Z1546" s="565" t="n"/>
    </x:row>
    <x:row r="1547">
      <x:c r="A1547" s="552" t="inlineStr">
        <x:is>
          <x:t xml:space="preserve">1905-000429</x:t>
        </x:is>
      </x:c>
      <x:c r="B1547" s="552" t="n"/>
      <x:c r="C1547" s="552" t="inlineStr">
        <x:is>
          <x:t xml:space="preserve">Deed</x:t>
        </x:is>
      </x:c>
      <x:c r="D1547" s="552" t="inlineStr">
        <x:is>
          <x:t xml:space="preserve">D6/206</x:t>
        </x:is>
      </x:c>
      <x:c r="E1547" s="653" t="n">
        <x:v>2062</x:v>
      </x:c>
      <x:c r="F1547" s="653" t="n">
        <x:v>2063</x:v>
      </x:c>
      <x:c r="G1547" s="552" t="inlineStr">
        <x:is>
          <x:t xml:space="preserve">Leo Kennett</x:t>
        </x:is>
      </x:c>
      <x:c r="H1547" s="552" t="inlineStr">
        <x:is>
          <x:t xml:space="preserve">Mack Hawbrook</x:t>
        </x:is>
      </x:c>
      <x:c r="I1547" s="552" t="inlineStr">
        <x:is>
          <x:t xml:space="preserve">E/2 NW/4, Lots 1, 2 of 31-12N-24W</x:t>
        </x:is>
      </x:c>
      <x:c r="J1547" s="552" t="inlineStr">
        <x:is>
          <x:t xml:space="preserve">ARTI</x:t>
        </x:is>
      </x:c>
      <x:c r="K1547" s="554" t="e">
        <x:f>HYPERLINK("https://okcountyrecords.com/detail/roger+mills/1905-000429","OKCountyRecords: 1905-000429")</x:f>
      </x:c>
      <x:c r="L1547" s="552" t="inlineStr">
        <x:is>
          <x:t xml:space="preserve">4, 5</x:t>
        </x:is>
      </x:c>
      <x:c r="M1547" s="552" t="inlineStr">
        <x:is>
          <x:t xml:space="preserve">Mineral</x:t>
        </x:is>
      </x:c>
      <x:c r="N1547" s="555" t="n">
        <x:v>1</x:v>
      </x:c>
      <x:c r="O1547" s="556" t="n">
        <x:f>IF($L1547="","",IF(ISNUMBER(SEARCH("all",$L1547)),640,(ISNUMBER(SEARCH("1",$L1547)))*80+(ISNUMBER(SEARCH("2",$L1547)))*160+(ISNUMBER(SEARCH("3",$L1547)))*40+(ISNUMBER(SEARCH("4",$L1547)))*80+(ISNUMBER(SEARCH("5",$L1547)))*120+(ISNUMBER(SEARCH("6",$L1547)))*80+(ISNUMBER(SEARCH("7",$L1547)))*40+(ISNUMBER(SEARCH("8",$L1547)))*40))</x:f>
        <x:v>0</x:v>
      </x:c>
      <x:c r="P1547" s="654" t="n">
        <x:f>IF($M1547&lt;&gt;"Mineral","",IF(ISNUMBER($N1547),$N1547,IF(OR(ISNUMBER(SEARCH("surface",$J1547)),ISNUMBER(SEARCH("reserv",$J1547)),ISNUMBER(SEARCH("less and except",$J1547))),0,"")))</x:f>
        <x:v>1</x:v>
      </x:c>
      <x:c r="Q1547" s="654" t="n">
        <x:f>IF($P1547="","",-$P1547)</x:f>
        <x:v>-1</x:v>
      </x:c>
      <x:c r="R1547" s="655" t="n">
        <x:f>IF($P1547="","",$O1547*$P1547)</x:f>
        <x:v>0</x:v>
      </x:c>
      <x:c r="S1547" s="552" t="str">
        <x:f>IF($M1547="","",TRIM(IF($M1547="Mineral",IF(ISNUMBER($N1547),"Mineral; basis Conv Amt(dec). ",IF($P1547=0,"Mineral; surface-only/reserved-&gt;0 min. ","Mineral; NO AMOUNT-verify instrument. ")),$M1547&amp;" (non-mineral; excluded from mineral NMA). ")&amp;IF(OR(ISNUMBER(SEARCH("public",$G1547)),ISNUMBER(SEARCH("public",$H1547))),"FLAG: The Public placeholder-verify. ","")&amp;IF(ISNUMBER(SEARCH("all",$L1547)),"All-section coverage. ","")&amp;IF($O1547=0,"Gross acres unresolved. ","")&amp;"Gross=tract-map basis."))</x:f>
        <x:v>Mineral; basis Conv Amt(dec). Gross acres unresolved. Gross=tract-map basis.</x:v>
      </x:c>
      <x:c r="T1547" s="559" t="n"/>
      <x:c r="U1547" s="559" t="n"/>
      <x:c r="V1547" s="565" t="n"/>
      <x:c r="W1547" s="565" t="n"/>
      <x:c r="X1547" s="565" t="n"/>
      <x:c r="Y1547" s="565" t="n"/>
      <x:c r="Z1547" s="565" t="n"/>
    </x:row>
    <x:row r="1548">
      <x:c r="A1548" s="552" t="inlineStr">
        <x:is>
          <x:t xml:space="preserve">1907-005379</x:t>
        </x:is>
      </x:c>
      <x:c r="B1548" s="552" t="n"/>
      <x:c r="C1548" s="552" t="inlineStr">
        <x:is>
          <x:t xml:space="preserve">Patent</x:t>
        </x:is>
      </x:c>
      <x:c r="D1548" s="552" t="inlineStr">
        <x:is>
          <x:t xml:space="preserve">PAT3/495</x:t>
        </x:is>
      </x:c>
      <x:c r="E1548" s="653" t="n">
        <x:v>2169</x:v>
      </x:c>
      <x:c r="F1548" s="653" t="n">
        <x:v>2752</x:v>
      </x:c>
      <x:c r="G1548" s="552" t="inlineStr">
        <x:is>
          <x:t xml:space="preserve">United States of America</x:t>
        </x:is>
      </x:c>
      <x:c r="H1548" s="552" t="inlineStr">
        <x:is>
          <x:t xml:space="preserve">Leo Kennett</x:t>
        </x:is>
      </x:c>
      <x:c r="I1548" s="552" t="inlineStr">
        <x:is>
          <x:t xml:space="preserve">E/2 NW/4, Lots 1, 2 of 31-12N-24W</x:t>
        </x:is>
      </x:c>
      <x:c r="J1548" s="552" t="inlineStr">
        <x:is>
          <x:t xml:space="preserve">ARTI, 163.65 ac</x:t>
        </x:is>
      </x:c>
      <x:c r="K1548" s="560" t="e">
        <x:f>HYPERLINK("https://okcountyrecords.com/detail/roger+mills/1907-005379","OKCountyRecords: 1907-005379")</x:f>
      </x:c>
      <x:c r="L1548" s="552" t="inlineStr">
        <x:is>
          <x:t xml:space="preserve">4, 5</x:t>
        </x:is>
      </x:c>
      <x:c r="M1548" s="552" t="inlineStr">
        <x:is>
          <x:t xml:space="preserve">Mineral</x:t>
        </x:is>
      </x:c>
      <x:c r="N1548" s="555" t="n">
        <x:v>1</x:v>
      </x:c>
      <x:c r="O1548" s="556" t="n">
        <x:f>IF($L1548="","",IF(ISNUMBER(SEARCH("all",$L1548)),640,(ISNUMBER(SEARCH("1",$L1548)))*80+(ISNUMBER(SEARCH("2",$L1548)))*160+(ISNUMBER(SEARCH("3",$L1548)))*40+(ISNUMBER(SEARCH("4",$L1548)))*80+(ISNUMBER(SEARCH("5",$L1548)))*120+(ISNUMBER(SEARCH("6",$L1548)))*80+(ISNUMBER(SEARCH("7",$L1548)))*40+(ISNUMBER(SEARCH("8",$L1548)))*40))</x:f>
        <x:v>0</x:v>
      </x:c>
      <x:c r="P1548" s="654" t="n">
        <x:f>IF($M1548&lt;&gt;"Mineral","",IF(ISNUMBER($N1548),$N1548,IF(OR(ISNUMBER(SEARCH("surface",$J1548)),ISNUMBER(SEARCH("reserv",$J1548)),ISNUMBER(SEARCH("less and except",$J1548))),0,"")))</x:f>
        <x:v>1</x:v>
      </x:c>
      <x:c r="Q1548" s="654" t="n">
        <x:f>IF($P1548="","",-$P1548)</x:f>
        <x:v>-1</x:v>
      </x:c>
      <x:c r="R1548" s="655" t="n">
        <x:f>IF($P1548="","",$O1548*$P1548)</x:f>
        <x:v>0</x:v>
      </x:c>
      <x:c r="S1548" s="552" t="str">
        <x:f>IF($M1548="","",TRIM(IF($M1548="Mineral",IF(ISNUMBER($N1548),"Mineral; basis Conv Amt(dec). ",IF($P1548=0,"Mineral; surface-only/reserved-&gt;0 min. ","Mineral; NO AMOUNT-verify instrument. ")),$M1548&amp;" (non-mineral; excluded from mineral NMA). ")&amp;IF(OR(ISNUMBER(SEARCH("public",$G1548)),ISNUMBER(SEARCH("public",$H1548))),"FLAG: The Public placeholder-verify. ","")&amp;IF(ISNUMBER(SEARCH("all",$L1548)),"All-section coverage. ","")&amp;IF($O1548=0,"Gross acres unresolved. ","")&amp;"Gross=tract-map basis."))</x:f>
        <x:v>Mineral; basis Conv Amt(dec). Gross acres unresolved. Gross=tract-map basis.</x:v>
      </x:c>
      <x:c r="T1548" s="577" t="n"/>
      <x:c r="U1548" s="578" t="n"/>
      <x:c r="V1548" s="565" t="n"/>
      <x:c r="W1548" s="565" t="n"/>
      <x:c r="X1548" s="565" t="n"/>
      <x:c r="Y1548" s="565" t="n"/>
      <x:c r="Z1548" s="565" t="n"/>
    </x:row>
    <x:row r="1549">
      <x:c r="A1549" s="552" t="inlineStr">
        <x:is>
          <x:t xml:space="preserve">I-1907-002036</x:t>
        </x:is>
      </x:c>
      <x:c r="B1549" s="552" t="n"/>
      <x:c r="C1549" s="552" t="inlineStr">
        <x:is>
          <x:t xml:space="preserve">Homestead</x:t>
        </x:is>
      </x:c>
      <x:c r="D1549" s="552" t="inlineStr">
        <x:is>
          <x:t xml:space="preserve">FR2/199</x:t>
        </x:is>
      </x:c>
      <x:c r="E1549" s="653" t="n">
        <x:v>2534</x:v>
      </x:c>
      <x:c r="F1549" s="653" t="n">
        <x:v>2601</x:v>
      </x:c>
      <x:c r="G1549" s="552" t="inlineStr">
        <x:is>
          <x:t xml:space="preserve">General Land Office</x:t>
        </x:is>
      </x:c>
      <x:c r="H1549" s="552" t="inlineStr">
        <x:is>
          <x:t xml:space="preserve">Charles F. Kennett</x:t>
        </x:is>
      </x:c>
      <x:c r="I1549" s="552" t="inlineStr">
        <x:is>
          <x:t xml:space="preserve">SW/4 NE/4, W/2 SE/4, SE/4 SE/4 of 31-12N-24W, aol</x:t>
        </x:is>
      </x:c>
      <x:c r="J1549" s="552" t="inlineStr">
        <x:is>
          <x:t xml:space="preserve">ARTI</x:t>
        </x:is>
      </x:c>
      <x:c r="K1549" s="554" t="e">
        <x:f>HYPERLINK("https://okcountyrecords.com/search/roger%20mills","OKCountyRecords search: Homestead FR0002/0199")</x:f>
      </x:c>
      <x:c r="L1549" s="552" t="n">
        <x:v>2</x:v>
      </x:c>
      <x:c r="M1549" s="552" t="inlineStr">
        <x:is>
          <x:t xml:space="preserve">Mineral</x:t>
        </x:is>
      </x:c>
      <x:c r="N1549" s="555" t="n"/>
      <x:c r="O1549" s="556" t="n">
        <x:f>IF($L1549="","",IF(ISNUMBER(SEARCH("all",$L1549)),640,(ISNUMBER(SEARCH("1",$L1549)))*80+(ISNUMBER(SEARCH("2",$L1549)))*160+(ISNUMBER(SEARCH("3",$L1549)))*40+(ISNUMBER(SEARCH("4",$L1549)))*80+(ISNUMBER(SEARCH("5",$L1549)))*120+(ISNUMBER(SEARCH("6",$L1549)))*80+(ISNUMBER(SEARCH("7",$L1549)))*40+(ISNUMBER(SEARCH("8",$L1549)))*40))</x:f>
        <x:v>0</x:v>
      </x:c>
      <x:c r="P1549" s="654" t="str">
        <x:f>IF($M1549&lt;&gt;"Mineral","",IF(ISNUMBER($N1549),$N1549,IF(OR(ISNUMBER(SEARCH("surface",$J1549)),ISNUMBER(SEARCH("reserv",$J1549)),ISNUMBER(SEARCH("less and except",$J1549))),0,"")))</x:f>
      </x:c>
      <x:c r="Q1549" s="654" t="str">
        <x:f>IF($P1549="","",-$P1549)</x:f>
      </x:c>
      <x:c r="R1549" s="655" t="str">
        <x:f>IF($P1549="","",$O1549*$P1549)</x:f>
      </x:c>
      <x:c r="S1549" s="552" t="str">
        <x:f>IF($M1549="","",TRIM(IF($M1549="Mineral",IF(ISNUMBER($N1549),"Mineral; basis Conv Amt(dec). ",IF($P1549=0,"Mineral; surface-only/reserved-&gt;0 min. ","Mineral; NO AMOUNT-verify instrument. ")),$M1549&amp;" (non-mineral; excluded from mineral NMA). ")&amp;IF(OR(ISNUMBER(SEARCH("public",$G1549)),ISNUMBER(SEARCH("public",$H1549))),"FLAG: The Public placeholder-verify. ","")&amp;IF(ISNUMBER(SEARCH("all",$L1549)),"All-section coverage. ","")&amp;IF($O1549=0,"Gross acres unresolved. ","")&amp;"Gross=tract-map basis."))</x:f>
        <x:v>Mineral; surface-only/reserved-&gt;0 min. Gross acres unresolved. Gross=tract-map basis.</x:v>
      </x:c>
      <x:c r="T1549" s="577" t="n"/>
      <x:c r="U1549" s="578" t="n"/>
      <x:c r="V1549" s="565" t="n"/>
      <x:c r="W1549" s="565" t="n"/>
      <x:c r="X1549" s="565" t="n"/>
      <x:c r="Y1549" s="565" t="n"/>
      <x:c r="Z1549" s="565" t="n"/>
    </x:row>
    <x:row r="1550">
      <x:c r="A1550" s="552" t="inlineStr">
        <x:is>
          <x:t xml:space="preserve">1907-000709</x:t>
        </x:is>
      </x:c>
      <x:c r="B1550" s="552" t="n"/>
      <x:c r="C1550" s="552" t="inlineStr">
        <x:is>
          <x:t xml:space="preserve">Deed</x:t>
        </x:is>
      </x:c>
      <x:c r="D1550" s="552" t="inlineStr">
        <x:is>
          <x:t xml:space="preserve">D9/303</x:t>
        </x:is>
      </x:c>
      <x:c r="E1550" s="653" t="n">
        <x:v>2592</x:v>
      </x:c>
      <x:c r="F1550" s="653" t="n">
        <x:v>2601</x:v>
      </x:c>
      <x:c r="G1550" s="552" t="inlineStr">
        <x:is>
          <x:t xml:space="preserve">Charles T. Kennett and Sadie N. Kennett, HW</x:t>
        </x:is>
      </x:c>
      <x:c r="H1550" s="552" t="inlineStr">
        <x:is>
          <x:t xml:space="preserve">John G. Lancaster</x:t>
        </x:is>
      </x:c>
      <x:c r="I1550" s="552" t="inlineStr">
        <x:is>
          <x:t xml:space="preserve">SW/4 NE/4 SW/4 SE/4, SE/4 SE/4 of 31-12N-24W</x:t>
        </x:is>
      </x:c>
      <x:c r="J1550" s="552" t="inlineStr">
        <x:is>
          <x:t xml:space="preserve">ARTI</x:t>
        </x:is>
      </x:c>
      <x:c r="K1550" s="554" t="e">
        <x:f>HYPERLINK("https://okcountyrecords.com/detail/roger+mills/1907-000709","OKCountyRecords: 1907-000709")</x:f>
      </x:c>
      <x:c r="L1550" s="552" t="n">
        <x:v>2</x:v>
      </x:c>
      <x:c r="M1550" s="552" t="inlineStr">
        <x:is>
          <x:t xml:space="preserve">Mineral</x:t>
        </x:is>
      </x:c>
      <x:c r="N1550" s="555" t="n">
        <x:v>1</x:v>
      </x:c>
      <x:c r="O1550" s="556" t="n">
        <x:f>IF($L1550="","",IF(ISNUMBER(SEARCH("all",$L1550)),640,(ISNUMBER(SEARCH("1",$L1550)))*80+(ISNUMBER(SEARCH("2",$L1550)))*160+(ISNUMBER(SEARCH("3",$L1550)))*40+(ISNUMBER(SEARCH("4",$L1550)))*80+(ISNUMBER(SEARCH("5",$L1550)))*120+(ISNUMBER(SEARCH("6",$L1550)))*80+(ISNUMBER(SEARCH("7",$L1550)))*40+(ISNUMBER(SEARCH("8",$L1550)))*40))</x:f>
        <x:v>0</x:v>
      </x:c>
      <x:c r="P1550" s="654" t="n">
        <x:f>IF($M1550&lt;&gt;"Mineral","",IF(ISNUMBER($N1550),$N1550,IF(OR(ISNUMBER(SEARCH("surface",$J1550)),ISNUMBER(SEARCH("reserv",$J1550)),ISNUMBER(SEARCH("less and except",$J1550))),0,"")))</x:f>
        <x:v>1</x:v>
      </x:c>
      <x:c r="Q1550" s="654" t="n">
        <x:f>IF($P1550="","",-$P1550)</x:f>
        <x:v>-1</x:v>
      </x:c>
      <x:c r="R1550" s="655" t="n">
        <x:f>IF($P1550="","",$O1550*$P1550)</x:f>
        <x:v>0</x:v>
      </x:c>
      <x:c r="S1550" s="552" t="str">
        <x:f>IF($M1550="","",TRIM(IF($M1550="Mineral",IF(ISNUMBER($N1550),"Mineral; basis Conv Amt(dec). ",IF($P1550=0,"Mineral; surface-only/reserved-&gt;0 min. ","Mineral; NO AMOUNT-verify instrument. ")),$M1550&amp;" (non-mineral; excluded from mineral NMA). ")&amp;IF(OR(ISNUMBER(SEARCH("public",$G1550)),ISNUMBER(SEARCH("public",$H1550))),"FLAG: The Public placeholder-verify. ","")&amp;IF(ISNUMBER(SEARCH("all",$L1550)),"All-section coverage. ","")&amp;IF($O1550=0,"Gross acres unresolved. ","")&amp;"Gross=tract-map basis."))</x:f>
        <x:v>Mineral; basis Conv Amt(dec). Gross acres unresolved. Gross=tract-map basis.</x:v>
      </x:c>
      <x:c r="T1550" s="559" t="n"/>
      <x:c r="U1550" s="559" t="n"/>
      <x:c r="V1550" s="565" t="n"/>
      <x:c r="W1550" s="565" t="n"/>
      <x:c r="X1550" s="565" t="n"/>
      <x:c r="Y1550" s="565" t="n"/>
      <x:c r="Z1550" s="565" t="n"/>
    </x:row>
    <x:row r="1551">
      <x:c r="A1551" s="552" t="inlineStr">
        <x:is>
          <x:t xml:space="preserve">I-1907-002225</x:t>
        </x:is>
      </x:c>
      <x:c r="B1551" s="552" t="n"/>
      <x:c r="C1551" s="552" t="inlineStr">
        <x:is>
          <x:t xml:space="preserve">Homestead</x:t>
        </x:is>
      </x:c>
      <x:c r="D1551" s="552" t="inlineStr">
        <x:is>
          <x:t xml:space="preserve">FR2/293</x:t>
        </x:is>
      </x:c>
      <x:c r="E1551" s="653" t="n">
        <x:v>2704</x:v>
      </x:c>
      <x:c r="F1551" s="653" t="n">
        <x:v>2754</x:v>
      </x:c>
      <x:c r="G1551" s="552" t="inlineStr">
        <x:is>
          <x:t xml:space="preserve">General Land Office</x:t>
        </x:is>
      </x:c>
      <x:c r="H1551" s="552" t="inlineStr">
        <x:is>
          <x:t xml:space="preserve">Ernest Brooks</x:t>
        </x:is>
      </x:c>
      <x:c r="I1551" s="552" t="inlineStr">
        <x:is>
          <x:t xml:space="preserve">SE/4 NE/4, NE/4 SE/4 of 31-12N-24W</x:t>
        </x:is>
      </x:c>
      <x:c r="J1551" s="552" t="inlineStr">
        <x:is>
          <x:t xml:space="preserve">ARTI</x:t>
        </x:is>
      </x:c>
      <x:c r="K1551" s="554" t="e">
        <x:f>HYPERLINK("https://okcountyrecords.com/search/roger%20mills","OKCountyRecords search: Homestead FR0002/0293")</x:f>
      </x:c>
      <x:c r="L1551" s="552" t="inlineStr">
        <x:is>
          <x:t xml:space="preserve">3, 8</x:t>
        </x:is>
      </x:c>
      <x:c r="M1551" s="552" t="inlineStr">
        <x:is>
          <x:t xml:space="preserve">Mineral</x:t>
        </x:is>
      </x:c>
      <x:c r="N1551" s="561" t="n"/>
      <x:c r="O1551" s="556" t="n">
        <x:f>IF($L1551="","",IF(ISNUMBER(SEARCH("all",$L1551)),640,(ISNUMBER(SEARCH("1",$L1551)))*80+(ISNUMBER(SEARCH("2",$L1551)))*160+(ISNUMBER(SEARCH("3",$L1551)))*40+(ISNUMBER(SEARCH("4",$L1551)))*80+(ISNUMBER(SEARCH("5",$L1551)))*120+(ISNUMBER(SEARCH("6",$L1551)))*80+(ISNUMBER(SEARCH("7",$L1551)))*40+(ISNUMBER(SEARCH("8",$L1551)))*40))</x:f>
        <x:v>0</x:v>
      </x:c>
      <x:c r="P1551" s="654" t="str">
        <x:f>IF($M1551&lt;&gt;"Mineral","",IF(ISNUMBER($N1551),$N1551,IF(OR(ISNUMBER(SEARCH("surface",$J1551)),ISNUMBER(SEARCH("reserv",$J1551)),ISNUMBER(SEARCH("less and except",$J1551))),0,"")))</x:f>
      </x:c>
      <x:c r="Q1551" s="654" t="str">
        <x:f>IF($P1551="","",-$P1551)</x:f>
      </x:c>
      <x:c r="R1551" s="655" t="str">
        <x:f>IF($P1551="","",$O1551*$P1551)</x:f>
      </x:c>
      <x:c r="S1551" s="552" t="str">
        <x:f>IF($M1551="","",TRIM(IF($M1551="Mineral",IF(ISNUMBER($N1551),"Mineral; basis Conv Amt(dec). ",IF($P1551=0,"Mineral; surface-only/reserved-&gt;0 min. ","Mineral; NO AMOUNT-verify instrument. ")),$M1551&amp;" (non-mineral; excluded from mineral NMA). ")&amp;IF(OR(ISNUMBER(SEARCH("public",$G1551)),ISNUMBER(SEARCH("public",$H1551))),"FLAG: The Public placeholder-verify. ","")&amp;IF(ISNUMBER(SEARCH("all",$L1551)),"All-section coverage. ","")&amp;IF($O1551=0,"Gross acres unresolved. ","")&amp;"Gross=tract-map basis."))</x:f>
        <x:v>Mineral; surface-only/reserved-&gt;0 min. Gross acres unresolved. Gross=tract-map basis.</x:v>
      </x:c>
      <x:c r="T1551" s="577" t="n"/>
      <x:c r="U1551" s="578" t="n"/>
      <x:c r="V1551" s="565" t="n"/>
      <x:c r="W1551" s="565" t="n"/>
      <x:c r="X1551" s="565" t="n"/>
      <x:c r="Y1551" s="565" t="n"/>
      <x:c r="Z1551" s="565" t="n"/>
    </x:row>
    <x:row r="1552">
      <x:c r="A1552" s="552" t="inlineStr">
        <x:is>
          <x:t xml:space="preserve">I-1907-002222</x:t>
        </x:is>
      </x:c>
      <x:c r="B1552" s="552" t="n"/>
      <x:c r="C1552" s="552" t="inlineStr">
        <x:is>
          <x:t xml:space="preserve">Homestead</x:t>
        </x:is>
      </x:c>
      <x:c r="D1552" s="552" t="inlineStr">
        <x:is>
          <x:t xml:space="preserve">FR2/292</x:t>
        </x:is>
      </x:c>
      <x:c r="E1552" s="653" t="n">
        <x:v>2733</x:v>
      </x:c>
      <x:c r="F1552" s="653" t="n">
        <x:v>2754</x:v>
      </x:c>
      <x:c r="G1552" s="552" t="inlineStr">
        <x:is>
          <x:t xml:space="preserve">General Land Office</x:t>
        </x:is>
      </x:c>
      <x:c r="H1552" s="552" t="inlineStr">
        <x:is>
          <x:t xml:space="preserve">Herbert E. McGuire</x:t>
        </x:is>
      </x:c>
      <x:c r="I1552" s="552" t="inlineStr">
        <x:is>
          <x:t xml:space="preserve">E/2 SW/4, Lots 3, 4 of 31-12N-24W</x:t>
        </x:is>
      </x:c>
      <x:c r="J1552" s="552" t="inlineStr">
        <x:is>
          <x:t xml:space="preserve">ARTI</x:t>
        </x:is>
      </x:c>
      <x:c r="K1552" s="554" t="e">
        <x:f>HYPERLINK("https://okcountyrecords.com/search/roger%20mills","OKCountyRecords search: Homestead FR0002/0292")</x:f>
      </x:c>
      <x:c r="L1552" s="552" t="inlineStr">
        <x:is>
          <x:t xml:space="preserve">5, 6, 7</x:t>
        </x:is>
      </x:c>
      <x:c r="M1552" s="552" t="inlineStr">
        <x:is>
          <x:t xml:space="preserve">Mineral</x:t>
        </x:is>
      </x:c>
      <x:c r="N1552" s="555" t="n"/>
      <x:c r="O1552" s="556" t="n">
        <x:f>IF($L1552="","",IF(ISNUMBER(SEARCH("all",$L1552)),640,(ISNUMBER(SEARCH("1",$L1552)))*80+(ISNUMBER(SEARCH("2",$L1552)))*160+(ISNUMBER(SEARCH("3",$L1552)))*40+(ISNUMBER(SEARCH("4",$L1552)))*80+(ISNUMBER(SEARCH("5",$L1552)))*120+(ISNUMBER(SEARCH("6",$L1552)))*80+(ISNUMBER(SEARCH("7",$L1552)))*40+(ISNUMBER(SEARCH("8",$L1552)))*40))</x:f>
        <x:v>0</x:v>
      </x:c>
      <x:c r="P1552" s="654" t="str">
        <x:f>IF($M1552&lt;&gt;"Mineral","",IF(ISNUMBER($N1552),$N1552,IF(OR(ISNUMBER(SEARCH("surface",$J1552)),ISNUMBER(SEARCH("reserv",$J1552)),ISNUMBER(SEARCH("less and except",$J1552))),0,"")))</x:f>
      </x:c>
      <x:c r="Q1552" s="654" t="str">
        <x:f>IF($P1552="","",-$P1552)</x:f>
      </x:c>
      <x:c r="R1552" s="655" t="str">
        <x:f>IF($P1552="","",$O1552*$P1552)</x:f>
      </x:c>
      <x:c r="S1552" s="552" t="str">
        <x:f>IF($M1552="","",TRIM(IF($M1552="Mineral",IF(ISNUMBER($N1552),"Mineral; basis Conv Amt(dec). ",IF($P1552=0,"Mineral; surface-only/reserved-&gt;0 min. ","Mineral; NO AMOUNT-verify instrument. ")),$M1552&amp;" (non-mineral; excluded from mineral NMA). ")&amp;IF(OR(ISNUMBER(SEARCH("public",$G1552)),ISNUMBER(SEARCH("public",$H1552))),"FLAG: The Public placeholder-verify. ","")&amp;IF(ISNUMBER(SEARCH("all",$L1552)),"All-section coverage. ","")&amp;IF($O1552=0,"Gross acres unresolved. ","")&amp;"Gross=tract-map basis."))</x:f>
        <x:v>Mineral; surface-only/reserved-&gt;0 min. Gross acres unresolved. Gross=tract-map basis.</x:v>
      </x:c>
      <x:c r="T1552" s="577" t="n"/>
      <x:c r="U1552" s="578" t="n"/>
      <x:c r="V1552" s="565" t="n"/>
      <x:c r="W1552" s="565" t="n"/>
      <x:c r="X1552" s="565" t="n"/>
      <x:c r="Y1552" s="565" t="n"/>
      <x:c r="Z1552" s="565" t="n"/>
    </x:row>
    <x:row r="1553">
      <x:c r="A1553" s="552" t="inlineStr">
        <x:is>
          <x:t xml:space="preserve">1907-001545</x:t>
        </x:is>
      </x:c>
      <x:c r="B1553" s="552" t="n"/>
      <x:c r="C1553" s="552" t="inlineStr">
        <x:is>
          <x:t xml:space="preserve">Deed</x:t>
        </x:is>
      </x:c>
      <x:c r="D1553" s="552" t="inlineStr">
        <x:is>
          <x:t xml:space="preserve">D11/209</x:t>
        </x:is>
      </x:c>
      <x:c r="E1553" s="653" t="n">
        <x:v>2754</x:v>
      </x:c>
      <x:c r="F1553" s="653" t="n">
        <x:v>2755</x:v>
      </x:c>
      <x:c r="G1553" s="552" t="inlineStr">
        <x:is>
          <x:t xml:space="preserve">Herbert E. McGuire and Claude J. McGuire, HW</x:t>
        </x:is>
      </x:c>
      <x:c r="H1553" s="552" t="inlineStr">
        <x:is>
          <x:t xml:space="preserve">Mark Hambrook</x:t>
        </x:is>
      </x:c>
      <x:c r="I1553" s="552" t="inlineStr">
        <x:is>
          <x:t xml:space="preserve">N/2 of Lot 3, N/2 NE/4 SE/4 of 31-12N-24W</x:t>
        </x:is>
      </x:c>
      <x:c r="J1553" s="552" t="inlineStr">
        <x:is>
          <x:t xml:space="preserve">ARTI</x:t>
        </x:is>
      </x:c>
      <x:c r="K1553" s="554" t="e">
        <x:f>HYPERLINK("https://okcountyrecords.com/detail/roger+mills/1907-001545","OKCountyRecords: 1907-001545")</x:f>
      </x:c>
      <x:c r="L1553" s="552" t="inlineStr">
        <x:is>
          <x:t xml:space="preserve">1, 6, 8</x:t>
        </x:is>
      </x:c>
      <x:c r="M1553" s="552" t="inlineStr">
        <x:is>
          <x:t xml:space="preserve">Mineral</x:t>
        </x:is>
      </x:c>
      <x:c r="N1553" s="561" t="n">
        <x:v>1</x:v>
      </x:c>
      <x:c r="O1553" s="556" t="n">
        <x:f>IF($L1553="","",IF(ISNUMBER(SEARCH("all",$L1553)),640,(ISNUMBER(SEARCH("1",$L1553)))*80+(ISNUMBER(SEARCH("2",$L1553)))*160+(ISNUMBER(SEARCH("3",$L1553)))*40+(ISNUMBER(SEARCH("4",$L1553)))*80+(ISNUMBER(SEARCH("5",$L1553)))*120+(ISNUMBER(SEARCH("6",$L1553)))*80+(ISNUMBER(SEARCH("7",$L1553)))*40+(ISNUMBER(SEARCH("8",$L1553)))*40))</x:f>
        <x:v>0</x:v>
      </x:c>
      <x:c r="P1553" s="654" t="n">
        <x:f>IF($M1553&lt;&gt;"Mineral","",IF(ISNUMBER($N1553),$N1553,IF(OR(ISNUMBER(SEARCH("surface",$J1553)),ISNUMBER(SEARCH("reserv",$J1553)),ISNUMBER(SEARCH("less and except",$J1553))),0,"")))</x:f>
        <x:v>1</x:v>
      </x:c>
      <x:c r="Q1553" s="654" t="n">
        <x:f>IF($P1553="","",-$P1553)</x:f>
        <x:v>-1</x:v>
      </x:c>
      <x:c r="R1553" s="655" t="n">
        <x:f>IF($P1553="","",$O1553*$P1553)</x:f>
        <x:v>0</x:v>
      </x:c>
      <x:c r="S1553" s="552" t="str">
        <x:f>IF($M1553="","",TRIM(IF($M1553="Mineral",IF(ISNUMBER($N1553),"Mineral; basis Conv Amt(dec). ",IF($P1553=0,"Mineral; surface-only/reserved-&gt;0 min. ","Mineral; NO AMOUNT-verify instrument. ")),$M1553&amp;" (non-mineral; excluded from mineral NMA). ")&amp;IF(OR(ISNUMBER(SEARCH("public",$G1553)),ISNUMBER(SEARCH("public",$H1553))),"FLAG: The Public placeholder-verify. ","")&amp;IF(ISNUMBER(SEARCH("all",$L1553)),"All-section coverage. ","")&amp;IF($O1553=0,"Gross acres unresolved. ","")&amp;"Gross=tract-map basis."))</x:f>
        <x:v>Mineral; basis Conv Amt(dec). Gross acres unresolved. Gross=tract-map basis.</x:v>
      </x:c>
      <x:c r="T1553" s="577" t="n"/>
      <x:c r="U1553" s="578" t="n"/>
      <x:c r="V1553" s="565" t="n"/>
      <x:c r="W1553" s="565" t="n"/>
      <x:c r="X1553" s="565" t="n"/>
      <x:c r="Y1553" s="565" t="n"/>
      <x:c r="Z1553" s="565" t="n"/>
    </x:row>
    <x:row r="1554">
      <x:c r="A1554" s="552" t="inlineStr">
        <x:is>
          <x:t xml:space="preserve">1931-001789</x:t>
        </x:is>
      </x:c>
      <x:c r="B1554" s="552" t="n"/>
      <x:c r="C1554" s="552" t="inlineStr">
        <x:is>
          <x:t xml:space="preserve">Patent</x:t>
        </x:is>
      </x:c>
      <x:c r="D1554" s="552" t="inlineStr">
        <x:is>
          <x:t xml:space="preserve">PAT7/374</x:t>
        </x:is>
      </x:c>
      <x:c r="E1554" s="653" t="n">
        <x:v>2917</x:v>
      </x:c>
      <x:c r="F1554" s="653" t="n">
        <x:v>11450</x:v>
      </x:c>
      <x:c r="G1554" s="552" t="inlineStr">
        <x:is>
          <x:t xml:space="preserve">United States of America</x:t>
        </x:is>
      </x:c>
      <x:c r="H1554" s="552" t="inlineStr">
        <x:is>
          <x:t xml:space="preserve">Herbert E. McGuire</x:t>
        </x:is>
      </x:c>
      <x:c r="I1554" s="552" t="inlineStr">
        <x:is>
          <x:t xml:space="preserve">E/2 SW/4, Lots 3, 4 of 31-12N-24W</x:t>
        </x:is>
      </x:c>
      <x:c r="J1554" s="552" t="inlineStr">
        <x:is>
          <x:t xml:space="preserve">ARTI, 153.77 ac.</x:t>
        </x:is>
      </x:c>
      <x:c r="K1554" s="554" t="e">
        <x:f>HYPERLINK("https://okcountyrecords.com/detail/roger+mills/1931-001789","OKCountyRecords: 1931-001789")</x:f>
      </x:c>
      <x:c r="L1554" s="552" t="inlineStr">
        <x:is>
          <x:t xml:space="preserve">5, 6, 7</x:t>
        </x:is>
      </x:c>
      <x:c r="M1554" s="552" t="inlineStr">
        <x:is>
          <x:t xml:space="preserve">Mineral</x:t>
        </x:is>
      </x:c>
      <x:c r="N1554" s="555" t="n">
        <x:v>1</x:v>
      </x:c>
      <x:c r="O1554" s="556" t="n">
        <x:f>IF($L1554="","",IF(ISNUMBER(SEARCH("all",$L1554)),640,(ISNUMBER(SEARCH("1",$L1554)))*80+(ISNUMBER(SEARCH("2",$L1554)))*160+(ISNUMBER(SEARCH("3",$L1554)))*40+(ISNUMBER(SEARCH("4",$L1554)))*80+(ISNUMBER(SEARCH("5",$L1554)))*120+(ISNUMBER(SEARCH("6",$L1554)))*80+(ISNUMBER(SEARCH("7",$L1554)))*40+(ISNUMBER(SEARCH("8",$L1554)))*40))</x:f>
        <x:v>0</x:v>
      </x:c>
      <x:c r="P1554" s="654" t="n">
        <x:f>IF($M1554&lt;&gt;"Mineral","",IF(ISNUMBER($N1554),$N1554,IF(OR(ISNUMBER(SEARCH("surface",$J1554)),ISNUMBER(SEARCH("reserv",$J1554)),ISNUMBER(SEARCH("less and except",$J1554))),0,"")))</x:f>
        <x:v>1</x:v>
      </x:c>
      <x:c r="Q1554" s="654" t="n">
        <x:f>IF($P1554="","",-$P1554)</x:f>
        <x:v>-1</x:v>
      </x:c>
      <x:c r="R1554" s="655" t="n">
        <x:f>IF($P1554="","",$O1554*$P1554)</x:f>
        <x:v>0</x:v>
      </x:c>
      <x:c r="S1554" s="552" t="str">
        <x:f>IF($M1554="","",TRIM(IF($M1554="Mineral",IF(ISNUMBER($N1554),"Mineral; basis Conv Amt(dec). ",IF($P1554=0,"Mineral; surface-only/reserved-&gt;0 min. ","Mineral; NO AMOUNT-verify instrument. ")),$M1554&amp;" (non-mineral; excluded from mineral NMA). ")&amp;IF(OR(ISNUMBER(SEARCH("public",$G1554)),ISNUMBER(SEARCH("public",$H1554))),"FLAG: The Public placeholder-verify. ","")&amp;IF(ISNUMBER(SEARCH("all",$L1554)),"All-section coverage. ","")&amp;IF($O1554=0,"Gross acres unresolved. ","")&amp;"Gross=tract-map basis."))</x:f>
        <x:v>Mineral; basis Conv Amt(dec). Gross acres unresolved. Gross=tract-map basis.</x:v>
      </x:c>
      <x:c r="T1554" s="577" t="n"/>
      <x:c r="U1554" s="578" t="n"/>
      <x:c r="V1554" s="565" t="n"/>
      <x:c r="W1554" s="565" t="n"/>
      <x:c r="X1554" s="565" t="n"/>
      <x:c r="Y1554" s="565" t="n"/>
      <x:c r="Z1554" s="565" t="n"/>
    </x:row>
    <x:row r="1555">
      <x:c r="A1555" s="552" t="inlineStr">
        <x:is>
          <x:t xml:space="preserve">1908-000607</x:t>
        </x:is>
      </x:c>
      <x:c r="B1555" s="552" t="n"/>
      <x:c r="C1555" s="552" t="inlineStr">
        <x:is>
          <x:t xml:space="preserve">Deed</x:t>
        </x:is>
      </x:c>
      <x:c r="D1555" s="552" t="inlineStr">
        <x:is>
          <x:t xml:space="preserve">D11/448</x:t>
        </x:is>
      </x:c>
      <x:c r="E1555" s="653" t="n">
        <x:v>3073</x:v>
      </x:c>
      <x:c r="F1555" s="653" t="n">
        <x:v>3189</x:v>
      </x:c>
      <x:c r="G1555" s="552" t="inlineStr">
        <x:is>
          <x:t xml:space="preserve">John G. Lancaster and Mary C. Lancaster, HW</x:t>
        </x:is>
      </x:c>
      <x:c r="H1555" s="552" t="inlineStr">
        <x:is>
          <x:t xml:space="preserve">Eugene S. Repass</x:t>
        </x:is>
      </x:c>
      <x:c r="I1555" s="552" t="inlineStr">
        <x:is>
          <x:t xml:space="preserve">SW/4 NE/4, W/2 SE/4, SE/4 SE/4 of 31-12N-24W, aol</x:t>
        </x:is>
      </x:c>
      <x:c r="J1555" s="552" t="inlineStr">
        <x:is>
          <x:t xml:space="preserve">ARTI</x:t>
        </x:is>
      </x:c>
      <x:c r="K1555" s="554" t="e">
        <x:f>HYPERLINK("https://okcountyrecords.com/detail/roger+mills/1908-000607","OKCountyRecords: 1908-000607")</x:f>
      </x:c>
      <x:c r="L1555" s="552" t="n">
        <x:v>2</x:v>
      </x:c>
      <x:c r="M1555" s="552" t="inlineStr">
        <x:is>
          <x:t xml:space="preserve">Mineral</x:t>
        </x:is>
      </x:c>
      <x:c r="N1555" s="555" t="n">
        <x:v>1</x:v>
      </x:c>
      <x:c r="O1555" s="556" t="n">
        <x:f>IF($L1555="","",IF(ISNUMBER(SEARCH("all",$L1555)),640,(ISNUMBER(SEARCH("1",$L1555)))*80+(ISNUMBER(SEARCH("2",$L1555)))*160+(ISNUMBER(SEARCH("3",$L1555)))*40+(ISNUMBER(SEARCH("4",$L1555)))*80+(ISNUMBER(SEARCH("5",$L1555)))*120+(ISNUMBER(SEARCH("6",$L1555)))*80+(ISNUMBER(SEARCH("7",$L1555)))*40+(ISNUMBER(SEARCH("8",$L1555)))*40))</x:f>
        <x:v>0</x:v>
      </x:c>
      <x:c r="P1555" s="654" t="n">
        <x:f>IF($M1555&lt;&gt;"Mineral","",IF(ISNUMBER($N1555),$N1555,IF(OR(ISNUMBER(SEARCH("surface",$J1555)),ISNUMBER(SEARCH("reserv",$J1555)),ISNUMBER(SEARCH("less and except",$J1555))),0,"")))</x:f>
        <x:v>1</x:v>
      </x:c>
      <x:c r="Q1555" s="654" t="n">
        <x:f>IF($P1555="","",-$P1555)</x:f>
        <x:v>-1</x:v>
      </x:c>
      <x:c r="R1555" s="655" t="n">
        <x:f>IF($P1555="","",$O1555*$P1555)</x:f>
        <x:v>0</x:v>
      </x:c>
      <x:c r="S1555" s="552" t="str">
        <x:f>IF($M1555="","",TRIM(IF($M1555="Mineral",IF(ISNUMBER($N1555),"Mineral; basis Conv Amt(dec). ",IF($P1555=0,"Mineral; surface-only/reserved-&gt;0 min. ","Mineral; NO AMOUNT-verify instrument. ")),$M1555&amp;" (non-mineral; excluded from mineral NMA). ")&amp;IF(OR(ISNUMBER(SEARCH("public",$G1555)),ISNUMBER(SEARCH("public",$H1555))),"FLAG: The Public placeholder-verify. ","")&amp;IF(ISNUMBER(SEARCH("all",$L1555)),"All-section coverage. ","")&amp;IF($O1555=0,"Gross acres unresolved. ","")&amp;"Gross=tract-map basis."))</x:f>
        <x:v>Mineral; basis Conv Amt(dec). Gross acres unresolved. Gross=tract-map basis.</x:v>
      </x:c>
      <x:c r="T1555" s="577" t="n"/>
      <x:c r="U1555" s="578" t="n"/>
      <x:c r="V1555" s="565" t="n"/>
      <x:c r="W1555" s="565" t="n"/>
      <x:c r="X1555" s="565" t="n"/>
      <x:c r="Y1555" s="565" t="n"/>
      <x:c r="Z1555" s="565" t="n"/>
    </x:row>
    <x:row r="1556">
      <x:c r="A1556" s="552" t="inlineStr">
        <x:is>
          <x:t xml:space="preserve">I-1908-000930</x:t>
        </x:is>
      </x:c>
      <x:c r="B1556" s="552" t="n"/>
      <x:c r="C1556" s="552" t="inlineStr">
        <x:is>
          <x:t xml:space="preserve">Homestead</x:t>
        </x:is>
      </x:c>
      <x:c r="D1556" s="552" t="inlineStr">
        <x:is>
          <x:t xml:space="preserve">FR2/448</x:t>
        </x:is>
      </x:c>
      <x:c r="E1556" s="653" t="n">
        <x:v>3118</x:v>
      </x:c>
      <x:c r="F1556" s="653" t="n">
        <x:v>3121</x:v>
      </x:c>
      <x:c r="G1556" s="552" t="inlineStr">
        <x:is>
          <x:t xml:space="preserve">General Land Office</x:t>
        </x:is>
      </x:c>
      <x:c r="H1556" s="552" t="inlineStr">
        <x:is>
          <x:t xml:space="preserve">Roy A. Garrison</x:t>
        </x:is>
      </x:c>
      <x:c r="I1556" s="552" t="inlineStr">
        <x:is>
          <x:t xml:space="preserve">N/2 NE/4 of 31-12N-24W, aol</x:t>
        </x:is>
      </x:c>
      <x:c r="J1556" s="552" t="inlineStr">
        <x:is>
          <x:t xml:space="preserve">ARTI</x:t>
        </x:is>
      </x:c>
      <x:c r="K1556" s="554" t="e">
        <x:f>HYPERLINK("https://okcountyrecords.com/search/roger%20mills","OKCountyRecords search: Homestead FR0002/0448")</x:f>
      </x:c>
      <x:c r="L1556" s="552" t="n">
        <x:v>1</x:v>
      </x:c>
      <x:c r="M1556" s="552" t="inlineStr">
        <x:is>
          <x:t xml:space="preserve">Mineral</x:t>
        </x:is>
      </x:c>
      <x:c r="N1556" s="555" t="n"/>
      <x:c r="O1556" s="556" t="n">
        <x:f>IF($L1556="","",IF(ISNUMBER(SEARCH("all",$L1556)),640,(ISNUMBER(SEARCH("1",$L1556)))*80+(ISNUMBER(SEARCH("2",$L1556)))*160+(ISNUMBER(SEARCH("3",$L1556)))*40+(ISNUMBER(SEARCH("4",$L1556)))*80+(ISNUMBER(SEARCH("5",$L1556)))*120+(ISNUMBER(SEARCH("6",$L1556)))*80+(ISNUMBER(SEARCH("7",$L1556)))*40+(ISNUMBER(SEARCH("8",$L1556)))*40))</x:f>
        <x:v>0</x:v>
      </x:c>
      <x:c r="P1556" s="654" t="str">
        <x:f>IF($M1556&lt;&gt;"Mineral","",IF(ISNUMBER($N1556),$N1556,IF(OR(ISNUMBER(SEARCH("surface",$J1556)),ISNUMBER(SEARCH("reserv",$J1556)),ISNUMBER(SEARCH("less and except",$J1556))),0,"")))</x:f>
      </x:c>
      <x:c r="Q1556" s="654" t="str">
        <x:f>IF($P1556="","",-$P1556)</x:f>
      </x:c>
      <x:c r="R1556" s="655" t="str">
        <x:f>IF($P1556="","",$O1556*$P1556)</x:f>
      </x:c>
      <x:c r="S1556" s="552" t="str">
        <x:f>IF($M1556="","",TRIM(IF($M1556="Mineral",IF(ISNUMBER($N1556),"Mineral; basis Conv Amt(dec). ",IF($P1556=0,"Mineral; surface-only/reserved-&gt;0 min. ","Mineral; NO AMOUNT-verify instrument. ")),$M1556&amp;" (non-mineral; excluded from mineral NMA). ")&amp;IF(OR(ISNUMBER(SEARCH("public",$G1556)),ISNUMBER(SEARCH("public",$H1556))),"FLAG: The Public placeholder-verify. ","")&amp;IF(ISNUMBER(SEARCH("all",$L1556)),"All-section coverage. ","")&amp;IF($O1556=0,"Gross acres unresolved. ","")&amp;"Gross=tract-map basis."))</x:f>
        <x:v>Mineral; surface-only/reserved-&gt;0 min. Gross acres unresolved. Gross=tract-map basis.</x:v>
      </x:c>
      <x:c r="T1556" s="559" t="n"/>
      <x:c r="U1556" s="559" t="n"/>
      <x:c r="V1556" s="565" t="n"/>
      <x:c r="W1556" s="565" t="n"/>
      <x:c r="X1556" s="565" t="n"/>
      <x:c r="Y1556" s="565" t="n"/>
      <x:c r="Z1556" s="565" t="n"/>
    </x:row>
    <x:row r="1557">
      <x:c r="A1557" s="552" t="inlineStr">
        <x:is>
          <x:t xml:space="preserve">1930-002914</x:t>
        </x:is>
      </x:c>
      <x:c r="B1557" s="552" t="n"/>
      <x:c r="C1557" s="552" t="inlineStr">
        <x:is>
          <x:t xml:space="preserve">Patent</x:t>
        </x:is>
      </x:c>
      <x:c r="D1557" s="552" t="inlineStr">
        <x:is>
          <x:t xml:space="preserve">PAT10/234</x:t>
        </x:is>
      </x:c>
      <x:c r="E1557" s="653" t="n">
        <x:v>3320</x:v>
      </x:c>
      <x:c r="F1557" s="653" t="n">
        <x:v>11021</x:v>
      </x:c>
      <x:c r="G1557" s="552" t="inlineStr">
        <x:is>
          <x:t xml:space="preserve">United States of America</x:t>
        </x:is>
      </x:c>
      <x:c r="H1557" s="552" t="inlineStr">
        <x:is>
          <x:t xml:space="preserve">Roy A. Garrison</x:t>
        </x:is>
      </x:c>
      <x:c r="I1557" s="552" t="inlineStr">
        <x:is>
          <x:t xml:space="preserve">N/2 NE/4 of 31-12N-24W, aol</x:t>
        </x:is>
      </x:c>
      <x:c r="J1557" s="552" t="inlineStr">
        <x:is>
          <x:t xml:space="preserve">ARTI</x:t>
        </x:is>
      </x:c>
      <x:c r="K1557" s="554" t="e">
        <x:f>HYPERLINK("https://okcountyrecords.com/detail/roger+mills/1930-002914","OKCountyRecords: 1930-002914")</x:f>
      </x:c>
      <x:c r="L1557" s="552" t="n">
        <x:v>1</x:v>
      </x:c>
      <x:c r="M1557" s="552" t="inlineStr">
        <x:is>
          <x:t xml:space="preserve">Mineral</x:t>
        </x:is>
      </x:c>
      <x:c r="N1557" s="555" t="n">
        <x:v>1</x:v>
      </x:c>
      <x:c r="O1557" s="556" t="n">
        <x:f>IF($L1557="","",IF(ISNUMBER(SEARCH("all",$L1557)),640,(ISNUMBER(SEARCH("1",$L1557)))*80+(ISNUMBER(SEARCH("2",$L1557)))*160+(ISNUMBER(SEARCH("3",$L1557)))*40+(ISNUMBER(SEARCH("4",$L1557)))*80+(ISNUMBER(SEARCH("5",$L1557)))*120+(ISNUMBER(SEARCH("6",$L1557)))*80+(ISNUMBER(SEARCH("7",$L1557)))*40+(ISNUMBER(SEARCH("8",$L1557)))*40))</x:f>
        <x:v>0</x:v>
      </x:c>
      <x:c r="P1557" s="654" t="n">
        <x:f>IF($M1557&lt;&gt;"Mineral","",IF(ISNUMBER($N1557),$N1557,IF(OR(ISNUMBER(SEARCH("surface",$J1557)),ISNUMBER(SEARCH("reserv",$J1557)),ISNUMBER(SEARCH("less and except",$J1557))),0,"")))</x:f>
        <x:v>1</x:v>
      </x:c>
      <x:c r="Q1557" s="654" t="n">
        <x:f>IF($P1557="","",-$P1557)</x:f>
        <x:v>-1</x:v>
      </x:c>
      <x:c r="R1557" s="655" t="n">
        <x:f>IF($P1557="","",$O1557*$P1557)</x:f>
        <x:v>0</x:v>
      </x:c>
      <x:c r="S1557" s="552" t="str">
        <x:f>IF($M1557="","",TRIM(IF($M1557="Mineral",IF(ISNUMBER($N1557),"Mineral; basis Conv Amt(dec). ",IF($P1557=0,"Mineral; surface-only/reserved-&gt;0 min. ","Mineral; NO AMOUNT-verify instrument. ")),$M1557&amp;" (non-mineral; excluded from mineral NMA). ")&amp;IF(OR(ISNUMBER(SEARCH("public",$G1557)),ISNUMBER(SEARCH("public",$H1557))),"FLAG: The Public placeholder-verify. ","")&amp;IF(ISNUMBER(SEARCH("all",$L1557)),"All-section coverage. ","")&amp;IF($O1557=0,"Gross acres unresolved. ","")&amp;"Gross=tract-map basis."))</x:f>
        <x:v>Mineral; basis Conv Amt(dec). Gross acres unresolved. Gross=tract-map basis.</x:v>
      </x:c>
      <x:c r="T1557" s="577" t="n"/>
      <x:c r="U1557" s="577" t="n"/>
      <x:c r="V1557" s="565" t="n"/>
      <x:c r="W1557" s="565" t="n"/>
      <x:c r="X1557" s="565" t="n"/>
      <x:c r="Y1557" s="565" t="n"/>
      <x:c r="Z1557" s="565" t="n"/>
    </x:row>
    <x:row r="1558">
      <x:c r="A1558" s="552" t="inlineStr">
        <x:is>
          <x:t xml:space="preserve">1909-002932</x:t>
        </x:is>
      </x:c>
      <x:c r="B1558" s="552" t="n"/>
      <x:c r="C1558" s="552" t="inlineStr">
        <x:is>
          <x:t xml:space="preserve">Patent</x:t>
        </x:is>
      </x:c>
      <x:c r="D1558" s="552" t="inlineStr">
        <x:is>
          <x:t xml:space="preserve">PAT6/7</x:t>
        </x:is>
      </x:c>
      <x:c r="E1558" s="653" t="n">
        <x:v>3652</x:v>
      </x:c>
      <x:c r="F1558" s="653" t="n">
        <x:v>3652</x:v>
      </x:c>
      <x:c r="G1558" s="552" t="inlineStr">
        <x:is>
          <x:t xml:space="preserve">United States of America</x:t>
        </x:is>
      </x:c>
      <x:c r="H1558" s="552" t="inlineStr">
        <x:is>
          <x:t xml:space="preserve">Ernest Brooks</x:t>
        </x:is>
      </x:c>
      <x:c r="I1558" s="552" t="inlineStr">
        <x:is>
          <x:t xml:space="preserve">SE/4 NE/4, NE/4 SE/4 of 31-12N-24W</x:t>
        </x:is>
      </x:c>
      <x:c r="J1558" s="552" t="inlineStr">
        <x:is>
          <x:t xml:space="preserve">ARTI</x:t>
        </x:is>
      </x:c>
      <x:c r="K1558" s="554" t="e">
        <x:f>HYPERLINK("https://okcountyrecords.com/detail/roger+mills/1909-002932","OKCountyRecords: 1909-002932")</x:f>
      </x:c>
      <x:c r="L1558" s="552" t="inlineStr">
        <x:is>
          <x:t xml:space="preserve">3, 8</x:t>
        </x:is>
      </x:c>
      <x:c r="M1558" s="552" t="inlineStr">
        <x:is>
          <x:t xml:space="preserve">Mineral</x:t>
        </x:is>
      </x:c>
      <x:c r="N1558" s="561" t="n">
        <x:v>1</x:v>
      </x:c>
      <x:c r="O1558" s="556" t="n">
        <x:f>IF($L1558="","",IF(ISNUMBER(SEARCH("all",$L1558)),640,(ISNUMBER(SEARCH("1",$L1558)))*80+(ISNUMBER(SEARCH("2",$L1558)))*160+(ISNUMBER(SEARCH("3",$L1558)))*40+(ISNUMBER(SEARCH("4",$L1558)))*80+(ISNUMBER(SEARCH("5",$L1558)))*120+(ISNUMBER(SEARCH("6",$L1558)))*80+(ISNUMBER(SEARCH("7",$L1558)))*40+(ISNUMBER(SEARCH("8",$L1558)))*40))</x:f>
        <x:v>0</x:v>
      </x:c>
      <x:c r="P1558" s="654" t="n">
        <x:f>IF($M1558&lt;&gt;"Mineral","",IF(ISNUMBER($N1558),$N1558,IF(OR(ISNUMBER(SEARCH("surface",$J1558)),ISNUMBER(SEARCH("reserv",$J1558)),ISNUMBER(SEARCH("less and except",$J1558))),0,"")))</x:f>
        <x:v>1</x:v>
      </x:c>
      <x:c r="Q1558" s="654" t="n">
        <x:f>IF($P1558="","",-$P1558)</x:f>
        <x:v>-1</x:v>
      </x:c>
      <x:c r="R1558" s="655" t="n">
        <x:f>IF($P1558="","",$O1558*$P1558)</x:f>
        <x:v>0</x:v>
      </x:c>
      <x:c r="S1558" s="552" t="str">
        <x:f>IF($M1558="","",TRIM(IF($M1558="Mineral",IF(ISNUMBER($N1558),"Mineral; basis Conv Amt(dec). ",IF($P1558=0,"Mineral; surface-only/reserved-&gt;0 min. ","Mineral; NO AMOUNT-verify instrument. ")),$M1558&amp;" (non-mineral; excluded from mineral NMA). ")&amp;IF(OR(ISNUMBER(SEARCH("public",$G1558)),ISNUMBER(SEARCH("public",$H1558))),"FLAG: The Public placeholder-verify. ","")&amp;IF(ISNUMBER(SEARCH("all",$L1558)),"All-section coverage. ","")&amp;IF($O1558=0,"Gross acres unresolved. ","")&amp;"Gross=tract-map basis."))</x:f>
        <x:v>Mineral; basis Conv Amt(dec). Gross acres unresolved. Gross=tract-map basis.</x:v>
      </x:c>
      <x:c r="T1558" s="577" t="n"/>
      <x:c r="U1558" s="578" t="n"/>
      <x:c r="V1558" s="565" t="n"/>
      <x:c r="W1558" s="565" t="n"/>
      <x:c r="X1558" s="565" t="n"/>
      <x:c r="Y1558" s="565" t="n"/>
      <x:c r="Z1558" s="565" t="n"/>
    </x:row>
    <x:row r="1559">
      <x:c r="A1559" s="552" t="inlineStr">
        <x:is>
          <x:t xml:space="preserve">1919-001437</x:t>
        </x:is>
      </x:c>
      <x:c r="B1559" s="552" t="n"/>
      <x:c r="C1559" s="552" t="inlineStr">
        <x:is>
          <x:t xml:space="preserve">Affidavit</x:t>
        </x:is>
      </x:c>
      <x:c r="D1559" s="552" t="inlineStr">
        <x:is>
          <x:t xml:space="preserve">MIS11/154</x:t>
        </x:is>
      </x:c>
      <x:c r="E1559" s="653" t="n">
        <x:v>3734</x:v>
      </x:c>
      <x:c r="F1559" s="653" t="n">
        <x:v>7291</x:v>
      </x:c>
      <x:c r="G1559" s="552" t="inlineStr">
        <x:is>
          <x:t xml:space="preserve">E. L. Martin</x:t>
        </x:is>
      </x:c>
      <x:c r="H1559" s="552" t="inlineStr">
        <x:is>
          <x:t xml:space="preserve">The Public</x:t>
        </x:is>
      </x:c>
      <x:c r="I1559" s="552" t="inlineStr">
        <x:is>
          <x:t xml:space="preserve">SW/4 NE/4, W/2 SE/4, SE/4 SE/4 of 31-12N-24W, aol</x:t>
        </x:is>
      </x:c>
      <x:c r="J1559" s="552" t="inlineStr">
        <x:is>
          <x:t xml:space="preserve">Affidavit (E. L. Martin) of identity: Eugene S. Repass = E. S. Repass — grantee under the Lancaster deed (5/30/1908, Bk 11 Deeds/468; SE/4 Sec 32 and SW/4 NE/4, W/2 SE/4, SE/4 SE/4 Sec 31-12N-24W) and mortgagor to G. E. Martin (2/16/1910, Bk 18 Mtg/484). [Full text in cell comment]</x:t>
        </x:is>
      </x:c>
      <x:c r="K1559" s="554" t="e">
        <x:f>HYPERLINK("https://okcountyrecords.com/detail/roger+mills/1919-001437","OKCountyRecords: 1919-001437")</x:f>
      </x:c>
      <x:c r="L1559" s="552" t="n">
        <x:v>2</x:v>
      </x:c>
      <x:c r="M1559" s="552" t="inlineStr">
        <x:is>
          <x:t xml:space="preserve">Other</x:t>
        </x:is>
      </x:c>
      <x:c r="N1559" s="555" t="n"/>
      <x:c r="O1559" s="556" t="n">
        <x:f>IF($L1559="","",IF(ISNUMBER(SEARCH("all",$L1559)),640,(ISNUMBER(SEARCH("1",$L1559)))*80+(ISNUMBER(SEARCH("2",$L1559)))*160+(ISNUMBER(SEARCH("3",$L1559)))*40+(ISNUMBER(SEARCH("4",$L1559)))*80+(ISNUMBER(SEARCH("5",$L1559)))*120+(ISNUMBER(SEARCH("6",$L1559)))*80+(ISNUMBER(SEARCH("7",$L1559)))*40+(ISNUMBER(SEARCH("8",$L1559)))*40))</x:f>
        <x:v>0</x:v>
      </x:c>
      <x:c r="P1559" s="654" t="str">
        <x:f>IF($M1559&lt;&gt;"Mineral","",IF(ISNUMBER($N1559),$N1559,IF(OR(ISNUMBER(SEARCH("surface",$J1559)),ISNUMBER(SEARCH("reserv",$J1559)),ISNUMBER(SEARCH("less and except",$J1559))),0,"")))</x:f>
      </x:c>
      <x:c r="Q1559" s="654" t="str">
        <x:f>IF($P1559="","",-$P1559)</x:f>
      </x:c>
      <x:c r="R1559" s="655" t="str">
        <x:f>IF($P1559="","",$O1559*$P1559)</x:f>
      </x:c>
      <x:c r="S1559" s="552" t="inlineStr">
        <x:is>
          <x:t xml:space="preserve">Other (non-mineral; excluded from mineral NMA). Gross=tract-map basis.</x:t>
        </x:is>
      </x:c>
      <x:c r="T1559" s="578" t="inlineStr">
        <x:is>
          <x:t xml:space="preserve">OK</x:t>
        </x:is>
      </x:c>
      <x:c r="U1559" s="578" t="inlineStr">
        <x:is>
          <x:t xml:space="preserve">ARTI/notice instrument (The Public); no net mineral acres conveyed.</x:t>
        </x:is>
      </x:c>
      <x:c r="V1559" s="565" t="n"/>
      <x:c r="W1559" s="565" t="n"/>
      <x:c r="X1559" s="565" t="n"/>
      <x:c r="Y1559" s="565" t="n"/>
      <x:c r="Z1559" s="565" t="n"/>
    </x:row>
    <x:row r="1560">
      <x:c r="A1560" s="552" t="inlineStr">
        <x:is>
          <x:t xml:space="preserve">1913-000413</x:t>
        </x:is>
      </x:c>
      <x:c r="B1560" s="552" t="n"/>
      <x:c r="C1560" s="552" t="inlineStr">
        <x:is>
          <x:t xml:space="preserve">Deed</x:t>
        </x:is>
      </x:c>
      <x:c r="D1560" s="552" t="inlineStr">
        <x:is>
          <x:t xml:space="preserve">D19/268</x:t>
        </x:is>
      </x:c>
      <x:c r="E1560" s="653" t="n">
        <x:v>4759</x:v>
      </x:c>
      <x:c r="F1560" s="653" t="n">
        <x:v>4759</x:v>
      </x:c>
      <x:c r="G1560" s="552" t="inlineStr">
        <x:is>
          <x:t xml:space="preserve">Ernest Brooks and Mary Brooks, HW</x:t>
        </x:is>
      </x:c>
      <x:c r="H1560" s="552" t="inlineStr">
        <x:is>
          <x:t xml:space="preserve">Susie Danforth,
W. C. Danforth</x:t>
        </x:is>
      </x:c>
      <x:c r="I1560" s="552" t="inlineStr">
        <x:is>
          <x:t xml:space="preserve">SE/4 NE/4, NE/4 SE/4 of 31-12N-24W</x:t>
        </x:is>
      </x:c>
      <x:c r="J1560" s="552" t="inlineStr">
        <x:is>
          <x:t xml:space="preserve">ARTI</x:t>
        </x:is>
      </x:c>
      <x:c r="K1560" s="554" t="e">
        <x:f>HYPERLINK("https://okcountyrecords.com/detail/roger+mills/1913-000413","OKCountyRecords: 1913-000413")</x:f>
      </x:c>
      <x:c r="L1560" s="552" t="inlineStr">
        <x:is>
          <x:t xml:space="preserve">3, 8</x:t>
        </x:is>
      </x:c>
      <x:c r="M1560" s="552" t="inlineStr">
        <x:is>
          <x:t xml:space="preserve">Mineral</x:t>
        </x:is>
      </x:c>
      <x:c r="N1560" s="561" t="n">
        <x:v>1</x:v>
      </x:c>
      <x:c r="O1560" s="556" t="n">
        <x:f>IF($L1560="","",IF(ISNUMBER(SEARCH("all",$L1560)),640,(ISNUMBER(SEARCH("1",$L1560)))*80+(ISNUMBER(SEARCH("2",$L1560)))*160+(ISNUMBER(SEARCH("3",$L1560)))*40+(ISNUMBER(SEARCH("4",$L1560)))*80+(ISNUMBER(SEARCH("5",$L1560)))*120+(ISNUMBER(SEARCH("6",$L1560)))*80+(ISNUMBER(SEARCH("7",$L1560)))*40+(ISNUMBER(SEARCH("8",$L1560)))*40))</x:f>
        <x:v>0</x:v>
      </x:c>
      <x:c r="P1560" s="654" t="n">
        <x:f>IF($M1560&lt;&gt;"Mineral","",IF(ISNUMBER($N1560),$N1560,IF(OR(ISNUMBER(SEARCH("surface",$J1560)),ISNUMBER(SEARCH("reserv",$J1560)),ISNUMBER(SEARCH("less and except",$J1560))),0,"")))</x:f>
        <x:v>1</x:v>
      </x:c>
      <x:c r="Q1560" s="654" t="n">
        <x:f>IF($P1560="","",-$P1560)</x:f>
        <x:v>-1</x:v>
      </x:c>
      <x:c r="R1560" s="655" t="n">
        <x:f>IF($P1560="","",$O1560*$P1560)</x:f>
        <x:v>0</x:v>
      </x:c>
      <x:c r="S1560" s="552" t="str">
        <x:f>IF($M1560="","",TRIM(IF($M1560="Mineral",IF(ISNUMBER($N1560),"Mineral; basis Conv Amt(dec). ",IF($P1560=0,"Mineral; surface-only/reserved-&gt;0 min. ","Mineral; NO AMOUNT-verify instrument. ")),$M1560&amp;" (non-mineral; excluded from mineral NMA). ")&amp;IF(OR(ISNUMBER(SEARCH("public",$G1560)),ISNUMBER(SEARCH("public",$H1560))),"FLAG: The Public placeholder-verify. ","")&amp;IF(ISNUMBER(SEARCH("all",$L1560)),"All-section coverage. ","")&amp;IF($O1560=0,"Gross acres unresolved. ","")&amp;"Gross=tract-map basis."))</x:f>
        <x:v>Mineral; basis Conv Amt(dec). Gross acres unresolved. Gross=tract-map basis.</x:v>
      </x:c>
      <x:c r="T1560" s="559" t="n"/>
      <x:c r="U1560" s="559" t="n"/>
      <x:c r="V1560" s="565" t="n"/>
      <x:c r="W1560" s="565" t="n"/>
      <x:c r="X1560" s="565" t="n"/>
      <x:c r="Y1560" s="565" t="n"/>
      <x:c r="Z1560" s="565" t="n"/>
    </x:row>
    <x:row r="1561">
      <x:c r="A1561" s="552" t="inlineStr">
        <x:is>
          <x:t xml:space="preserve">1916-000332</x:t>
        </x:is>
      </x:c>
      <x:c r="B1561" s="552" t="n"/>
      <x:c r="C1561" s="552" t="inlineStr">
        <x:is>
          <x:t xml:space="preserve">Deed</x:t>
        </x:is>
      </x:c>
      <x:c r="D1561" s="552" t="inlineStr">
        <x:is>
          <x:t xml:space="preserve">D22/248</x:t>
        </x:is>
      </x:c>
      <x:c r="E1561" s="653" t="n">
        <x:v>5920</x:v>
      </x:c>
      <x:c r="F1561" s="653" t="n">
        <x:v>5925</x:v>
      </x:c>
      <x:c r="G1561" s="552" t="inlineStr">
        <x:is>
          <x:t xml:space="preserve">H. L. Rowley and Myrtie Rowley, HW</x:t>
        </x:is>
      </x:c>
      <x:c r="H1561" s="552" t="inlineStr">
        <x:is>
          <x:t xml:space="preserve">H. E. Rupp</x:t>
        </x:is>
      </x:c>
      <x:c r="I1561" s="552" t="inlineStr">
        <x:is>
          <x:t xml:space="preserve">N/2 NE/4 of 31-12N-24W, aol</x:t>
        </x:is>
      </x:c>
      <x:c r="J1561" s="552" t="inlineStr">
        <x:is>
          <x:t xml:space="preserve">ARTI</x:t>
        </x:is>
      </x:c>
      <x:c r="K1561" s="554" t="e">
        <x:f>HYPERLINK("https://okcountyrecords.com/detail/roger+mills/1916-000332","OKCountyRecords: 1916-000332")</x:f>
      </x:c>
      <x:c r="L1561" s="552" t="n">
        <x:v>1</x:v>
      </x:c>
      <x:c r="M1561" s="552" t="inlineStr">
        <x:is>
          <x:t xml:space="preserve">Mineral</x:t>
        </x:is>
      </x:c>
      <x:c r="N1561" s="555" t="n">
        <x:v>1</x:v>
      </x:c>
      <x:c r="O1561" s="556" t="n">
        <x:f>IF($L1561="","",IF(ISNUMBER(SEARCH("all",$L1561)),640,(ISNUMBER(SEARCH("1",$L1561)))*80+(ISNUMBER(SEARCH("2",$L1561)))*160+(ISNUMBER(SEARCH("3",$L1561)))*40+(ISNUMBER(SEARCH("4",$L1561)))*80+(ISNUMBER(SEARCH("5",$L1561)))*120+(ISNUMBER(SEARCH("6",$L1561)))*80+(ISNUMBER(SEARCH("7",$L1561)))*40+(ISNUMBER(SEARCH("8",$L1561)))*40))</x:f>
        <x:v>0</x:v>
      </x:c>
      <x:c r="P1561" s="654" t="n">
        <x:f>IF($M1561&lt;&gt;"Mineral","",IF(ISNUMBER($N1561),$N1561,IF(OR(ISNUMBER(SEARCH("surface",$J1561)),ISNUMBER(SEARCH("reserv",$J1561)),ISNUMBER(SEARCH("less and except",$J1561))),0,"")))</x:f>
        <x:v>1</x:v>
      </x:c>
      <x:c r="Q1561" s="654" t="n">
        <x:f>IF($P1561="","",-$P1561)</x:f>
        <x:v>-1</x:v>
      </x:c>
      <x:c r="R1561" s="655" t="n">
        <x:f>IF($P1561="","",$O1561*$P1561)</x:f>
        <x:v>0</x:v>
      </x:c>
      <x:c r="S1561" s="552" t="str">
        <x:f>IF($M1561="","",TRIM(IF($M1561="Mineral",IF(ISNUMBER($N1561),"Mineral; basis Conv Amt(dec). ",IF($P1561=0,"Mineral; surface-only/reserved-&gt;0 min. ","Mineral; NO AMOUNT-verify instrument. ")),$M1561&amp;" (non-mineral; excluded from mineral NMA). ")&amp;IF(OR(ISNUMBER(SEARCH("public",$G1561)),ISNUMBER(SEARCH("public",$H1561))),"FLAG: The Public placeholder-verify. ","")&amp;IF(ISNUMBER(SEARCH("all",$L1561)),"All-section coverage. ","")&amp;IF($O1561=0,"Gross acres unresolved. ","")&amp;"Gross=tract-map basis."))</x:f>
        <x:v>Mineral; basis Conv Amt(dec). Gross acres unresolved. Gross=tract-map basis.</x:v>
      </x:c>
      <x:c r="T1561" s="559" t="n"/>
      <x:c r="U1561" s="559" t="n"/>
      <x:c r="V1561" s="565" t="n"/>
      <x:c r="W1561" s="565" t="n"/>
      <x:c r="X1561" s="565" t="n"/>
      <x:c r="Y1561" s="565" t="n"/>
      <x:c r="Z1561" s="565" t="n"/>
    </x:row>
    <x:row r="1562">
      <x:c r="A1562" s="552" t="inlineStr">
        <x:is>
          <x:t xml:space="preserve">1918-000943</x:t>
        </x:is>
      </x:c>
      <x:c r="B1562" s="552" t="n"/>
      <x:c r="C1562" s="552" t="inlineStr">
        <x:is>
          <x:t xml:space="preserve">Deed</x:t>
        </x:is>
      </x:c>
      <x:c r="D1562" s="552" t="inlineStr">
        <x:is>
          <x:t xml:space="preserve">D27/477</x:t>
        </x:is>
      </x:c>
      <x:c r="E1562" s="653" t="n">
        <x:v>6568</x:v>
      </x:c>
      <x:c r="F1562" s="653" t="n">
        <x:v>6887</x:v>
      </x:c>
      <x:c r="G1562" s="552" t="inlineStr">
        <x:is>
          <x:t xml:space="preserve">Herbert E. McGuire and Claude J. McGuire, HW</x:t>
        </x:is>
      </x:c>
      <x:c r="H1562" s="552" t="inlineStr">
        <x:is>
          <x:t xml:space="preserve">E. T. Gamble</x:t>
        </x:is>
      </x:c>
      <x:c r="I1562" s="552" t="inlineStr">
        <x:is>
          <x:t xml:space="preserve">S/2 SW/4, S/2 N/2 SW/4 of 31-12N-24W</x:t>
        </x:is>
      </x:c>
      <x:c r="J1562" s="552" t="inlineStr">
        <x:is>
          <x:t xml:space="preserve">ARTI</x:t>
        </x:is>
      </x:c>
      <x:c r="K1562" s="554" t="e">
        <x:f>HYPERLINK("https://okcountyrecords.com/detail/roger+mills/1918-000943","OKCountyRecords: 1918-000943")</x:f>
      </x:c>
      <x:c r="L1562" s="552" t="inlineStr">
        <x:is>
          <x:t xml:space="preserve">5, 6, 7</x:t>
        </x:is>
      </x:c>
      <x:c r="M1562" s="552" t="inlineStr">
        <x:is>
          <x:t xml:space="preserve">Mineral</x:t>
        </x:is>
      </x:c>
      <x:c r="N1562" s="555" t="n">
        <x:v>1</x:v>
      </x:c>
      <x:c r="O1562" s="556" t="n">
        <x:f>IF($L1562="","",IF(ISNUMBER(SEARCH("all",$L1562)),640,(ISNUMBER(SEARCH("1",$L1562)))*80+(ISNUMBER(SEARCH("2",$L1562)))*160+(ISNUMBER(SEARCH("3",$L1562)))*40+(ISNUMBER(SEARCH("4",$L1562)))*80+(ISNUMBER(SEARCH("5",$L1562)))*120+(ISNUMBER(SEARCH("6",$L1562)))*80+(ISNUMBER(SEARCH("7",$L1562)))*40+(ISNUMBER(SEARCH("8",$L1562)))*40))</x:f>
        <x:v>0</x:v>
      </x:c>
      <x:c r="P1562" s="654" t="n">
        <x:f>IF($M1562&lt;&gt;"Mineral","",IF(ISNUMBER($N1562),$N1562,IF(OR(ISNUMBER(SEARCH("surface",$J1562)),ISNUMBER(SEARCH("reserv",$J1562)),ISNUMBER(SEARCH("less and except",$J1562))),0,"")))</x:f>
        <x:v>1</x:v>
      </x:c>
      <x:c r="Q1562" s="654" t="n">
        <x:f>IF($P1562="","",-$P1562)</x:f>
        <x:v>-1</x:v>
      </x:c>
      <x:c r="R1562" s="655" t="n">
        <x:f>IF($P1562="","",$O1562*$P1562)</x:f>
        <x:v>0</x:v>
      </x:c>
      <x:c r="S1562" s="552" t="str">
        <x:f>IF($M1562="","",TRIM(IF($M1562="Mineral",IF(ISNUMBER($N1562),"Mineral; basis Conv Amt(dec). ",IF($P1562=0,"Mineral; surface-only/reserved-&gt;0 min. ","Mineral; NO AMOUNT-verify instrument. ")),$M1562&amp;" (non-mineral; excluded from mineral NMA). ")&amp;IF(OR(ISNUMBER(SEARCH("public",$G1562)),ISNUMBER(SEARCH("public",$H1562))),"FLAG: The Public placeholder-verify. ","")&amp;IF(ISNUMBER(SEARCH("all",$L1562)),"All-section coverage. ","")&amp;IF($O1562=0,"Gross acres unresolved. ","")&amp;"Gross=tract-map basis."))</x:f>
        <x:v>Mineral; basis Conv Amt(dec). Gross acres unresolved. Gross=tract-map basis.</x:v>
      </x:c>
      <x:c r="T1562" s="577" t="n"/>
      <x:c r="U1562" s="578" t="n"/>
      <x:c r="V1562" s="565" t="n"/>
      <x:c r="W1562" s="565" t="n"/>
      <x:c r="X1562" s="565" t="n"/>
      <x:c r="Y1562" s="565" t="n"/>
      <x:c r="Z1562" s="565" t="n"/>
    </x:row>
    <x:row r="1563">
      <x:c r="A1563" s="552" t="inlineStr">
        <x:is>
          <x:t xml:space="preserve">1919-000971</x:t>
        </x:is>
      </x:c>
      <x:c r="B1563" s="552" t="n"/>
      <x:c r="C1563" s="552" t="inlineStr">
        <x:is>
          <x:t xml:space="preserve">Deed</x:t>
        </x:is>
      </x:c>
      <x:c r="D1563" s="552" t="inlineStr">
        <x:is>
          <x:t xml:space="preserve">D29/382</x:t>
        </x:is>
      </x:c>
      <x:c r="E1563" s="653" t="n">
        <x:v>7303</x:v>
      </x:c>
      <x:c r="F1563" s="653" t="n">
        <x:v>7291</x:v>
      </x:c>
      <x:c r="G1563" s="552" t="inlineStr">
        <x:is>
          <x:t xml:space="preserve">E. S. Repass and Sarah J. Repass, HW</x:t>
        </x:is>
      </x:c>
      <x:c r="H1563" s="552" t="inlineStr">
        <x:is>
          <x:t xml:space="preserve">William C. Bain</x:t>
        </x:is>
      </x:c>
      <x:c r="I1563" s="552" t="inlineStr">
        <x:is>
          <x:t xml:space="preserve">S/2 SE/4, NW/4 SE/4, SW/4 NE/4 of 31-12N-24W</x:t>
        </x:is>
      </x:c>
      <x:c r="J1563" s="552" t="inlineStr">
        <x:is>
          <x:t xml:space="preserve">ARTI</x:t>
        </x:is>
      </x:c>
      <x:c r="K1563" s="554" t="e">
        <x:f>HYPERLINK("https://okcountyrecords.com/detail/roger+mills/1919-000971","OKCountyRecords: 1919-000971")</x:f>
      </x:c>
      <x:c r="L1563" s="552" t="n">
        <x:v>2</x:v>
      </x:c>
      <x:c r="M1563" s="552" t="inlineStr">
        <x:is>
          <x:t xml:space="preserve">Mineral</x:t>
        </x:is>
      </x:c>
      <x:c r="N1563" s="555" t="n">
        <x:v>1</x:v>
      </x:c>
      <x:c r="O1563" s="556" t="n">
        <x:f>IF($L1563="","",IF(ISNUMBER(SEARCH("all",$L1563)),640,(ISNUMBER(SEARCH("1",$L1563)))*80+(ISNUMBER(SEARCH("2",$L1563)))*160+(ISNUMBER(SEARCH("3",$L1563)))*40+(ISNUMBER(SEARCH("4",$L1563)))*80+(ISNUMBER(SEARCH("5",$L1563)))*120+(ISNUMBER(SEARCH("6",$L1563)))*80+(ISNUMBER(SEARCH("7",$L1563)))*40+(ISNUMBER(SEARCH("8",$L1563)))*40))</x:f>
        <x:v>0</x:v>
      </x:c>
      <x:c r="P1563" s="654" t="n">
        <x:f>IF($M1563&lt;&gt;"Mineral","",IF(ISNUMBER($N1563),$N1563,IF(OR(ISNUMBER(SEARCH("surface",$J1563)),ISNUMBER(SEARCH("reserv",$J1563)),ISNUMBER(SEARCH("less and except",$J1563))),0,"")))</x:f>
        <x:v>1</x:v>
      </x:c>
      <x:c r="Q1563" s="654" t="n">
        <x:f>IF($P1563="","",-$P1563)</x:f>
        <x:v>-1</x:v>
      </x:c>
      <x:c r="R1563" s="655" t="n">
        <x:f>IF($P1563="","",$O1563*$P1563)</x:f>
        <x:v>0</x:v>
      </x:c>
      <x:c r="S1563" s="552" t="str">
        <x:f>IF($M1563="","",TRIM(IF($M1563="Mineral",IF(ISNUMBER($N1563),"Mineral; basis Conv Amt(dec). ",IF($P1563=0,"Mineral; surface-only/reserved-&gt;0 min. ","Mineral; NO AMOUNT-verify instrument. ")),$M1563&amp;" (non-mineral; excluded from mineral NMA). ")&amp;IF(OR(ISNUMBER(SEARCH("public",$G1563)),ISNUMBER(SEARCH("public",$H1563))),"FLAG: The Public placeholder-verify. ","")&amp;IF(ISNUMBER(SEARCH("all",$L1563)),"All-section coverage. ","")&amp;IF($O1563=0,"Gross acres unresolved. ","")&amp;"Gross=tract-map basis."))</x:f>
        <x:v>Mineral; basis Conv Amt(dec). Gross acres unresolved. Gross=tract-map basis.</x:v>
      </x:c>
      <x:c r="T1563" s="577" t="n"/>
      <x:c r="U1563" s="578" t="n"/>
      <x:c r="V1563" s="565" t="n"/>
      <x:c r="W1563" s="565" t="n"/>
      <x:c r="X1563" s="565" t="n"/>
      <x:c r="Y1563" s="565" t="n"/>
      <x:c r="Z1563" s="565" t="n"/>
    </x:row>
    <x:row r="1564">
      <x:c r="A1564" s="552" t="inlineStr">
        <x:is>
          <x:t xml:space="preserve">1921-000501</x:t>
        </x:is>
      </x:c>
      <x:c r="B1564" s="552" t="n"/>
      <x:c r="C1564" s="552" t="inlineStr">
        <x:is>
          <x:t xml:space="preserve">Deed</x:t>
        </x:is>
      </x:c>
      <x:c r="D1564" s="552" t="inlineStr">
        <x:is>
          <x:t xml:space="preserve">D31/387</x:t>
        </x:is>
      </x:c>
      <x:c r="E1564" s="653" t="n">
        <x:v>7682</x:v>
      </x:c>
      <x:c r="F1564" s="653" t="n">
        <x:v>7805</x:v>
      </x:c>
      <x:c r="G1564" s="552" t="inlineStr">
        <x:is>
          <x:t xml:space="preserve">H. E. Rupp and Lulu M. Rupp, HW</x:t>
        </x:is>
      </x:c>
      <x:c r="H1564" s="552" t="inlineStr">
        <x:is>
          <x:t xml:space="preserve">E. C. Winford</x:t>
        </x:is>
      </x:c>
      <x:c r="I1564" s="552" t="inlineStr">
        <x:is>
          <x:t xml:space="preserve">N/2 NE/4 of 31-12N-24W, aol</x:t>
        </x:is>
      </x:c>
      <x:c r="J1564" s="552" t="inlineStr">
        <x:is>
          <x:t xml:space="preserve">ARTI</x:t>
        </x:is>
      </x:c>
      <x:c r="K1564" s="554" t="e">
        <x:f>HYPERLINK("https://okcountyrecords.com/detail/roger+mills/1921-000501","OKCountyRecords: 1921-000501")</x:f>
      </x:c>
      <x:c r="L1564" s="552" t="n">
        <x:v>1</x:v>
      </x:c>
      <x:c r="M1564" s="552" t="inlineStr">
        <x:is>
          <x:t xml:space="preserve">Mineral</x:t>
        </x:is>
      </x:c>
      <x:c r="N1564" s="555" t="n">
        <x:v>1</x:v>
      </x:c>
      <x:c r="O1564" s="556" t="n">
        <x:f>IF($L1564="","",IF(ISNUMBER(SEARCH("all",$L1564)),640,(ISNUMBER(SEARCH("1",$L1564)))*80+(ISNUMBER(SEARCH("2",$L1564)))*160+(ISNUMBER(SEARCH("3",$L1564)))*40+(ISNUMBER(SEARCH("4",$L1564)))*80+(ISNUMBER(SEARCH("5",$L1564)))*120+(ISNUMBER(SEARCH("6",$L1564)))*80+(ISNUMBER(SEARCH("7",$L1564)))*40+(ISNUMBER(SEARCH("8",$L1564)))*40))</x:f>
        <x:v>0</x:v>
      </x:c>
      <x:c r="P1564" s="654" t="n">
        <x:f>IF($M1564&lt;&gt;"Mineral","",IF(ISNUMBER($N1564),$N1564,IF(OR(ISNUMBER(SEARCH("surface",$J1564)),ISNUMBER(SEARCH("reserv",$J1564)),ISNUMBER(SEARCH("less and except",$J1564))),0,"")))</x:f>
        <x:v>1</x:v>
      </x:c>
      <x:c r="Q1564" s="654" t="n">
        <x:f>IF($P1564="","",-$P1564)</x:f>
        <x:v>-1</x:v>
      </x:c>
      <x:c r="R1564" s="655" t="n">
        <x:f>IF($P1564="","",$O1564*$P1564)</x:f>
        <x:v>0</x:v>
      </x:c>
      <x:c r="S1564" s="552" t="str">
        <x:f>IF($M1564="","",TRIM(IF($M1564="Mineral",IF(ISNUMBER($N1564),"Mineral; basis Conv Amt(dec). ",IF($P1564=0,"Mineral; surface-only/reserved-&gt;0 min. ","Mineral; NO AMOUNT-verify instrument. ")),$M1564&amp;" (non-mineral; excluded from mineral NMA). ")&amp;IF(OR(ISNUMBER(SEARCH("public",$G1564)),ISNUMBER(SEARCH("public",$H1564))),"FLAG: The Public placeholder-verify. ","")&amp;IF(ISNUMBER(SEARCH("all",$L1564)),"All-section coverage. ","")&amp;IF($O1564=0,"Gross acres unresolved. ","")&amp;"Gross=tract-map basis."))</x:f>
        <x:v>Mineral; basis Conv Amt(dec). Gross acres unresolved. Gross=tract-map basis.</x:v>
      </x:c>
      <x:c r="T1564" s="578" t="n"/>
      <x:c r="U1564" s="578" t="n"/>
      <x:c r="V1564" s="565" t="n"/>
      <x:c r="W1564" s="565" t="n"/>
      <x:c r="X1564" s="565" t="n"/>
      <x:c r="Y1564" s="565" t="n"/>
      <x:c r="Z1564" s="565" t="n"/>
    </x:row>
    <x:row r="1565">
      <x:c r="A1565" s="552" t="inlineStr">
        <x:is>
          <x:t xml:space="preserve">1921-000502</x:t>
        </x:is>
      </x:c>
      <x:c r="B1565" s="552" t="n"/>
      <x:c r="C1565" s="552" t="inlineStr">
        <x:is>
          <x:t xml:space="preserve">Deed</x:t>
        </x:is>
      </x:c>
      <x:c r="D1565" s="552" t="inlineStr">
        <x:is>
          <x:t xml:space="preserve">D31/388</x:t>
        </x:is>
      </x:c>
      <x:c r="E1565" s="653" t="n">
        <x:v>7733</x:v>
      </x:c>
      <x:c r="F1565" s="653" t="n">
        <x:v>7805</x:v>
      </x:c>
      <x:c r="G1565" s="552" t="inlineStr">
        <x:is>
          <x:t xml:space="preserve">E. C. Winford and Florence E. Winford, HW</x:t>
        </x:is>
      </x:c>
      <x:c r="H1565" s="552" t="inlineStr">
        <x:is>
          <x:t xml:space="preserve">Louis E. Jaques</x:t>
        </x:is>
      </x:c>
      <x:c r="I1565" s="552" t="inlineStr">
        <x:is>
          <x:t xml:space="preserve">N/2 NE/4 of 31-12N-24W, aol</x:t>
        </x:is>
      </x:c>
      <x:c r="J1565" s="552" t="inlineStr">
        <x:is>
          <x:t xml:space="preserve">ARTI</x:t>
        </x:is>
      </x:c>
      <x:c r="K1565" s="554" t="e">
        <x:f>HYPERLINK("https://okcountyrecords.com/detail/roger+mills/1921-000502","OKCountyRecords: 1921-000502")</x:f>
      </x:c>
      <x:c r="L1565" s="552" t="n">
        <x:v>1</x:v>
      </x:c>
      <x:c r="M1565" s="552" t="inlineStr">
        <x:is>
          <x:t xml:space="preserve">Mineral</x:t>
        </x:is>
      </x:c>
      <x:c r="N1565" s="555" t="n">
        <x:v>1</x:v>
      </x:c>
      <x:c r="O1565" s="556" t="n">
        <x:f>IF($L1565="","",IF(ISNUMBER(SEARCH("all",$L1565)),640,(ISNUMBER(SEARCH("1",$L1565)))*80+(ISNUMBER(SEARCH("2",$L1565)))*160+(ISNUMBER(SEARCH("3",$L1565)))*40+(ISNUMBER(SEARCH("4",$L1565)))*80+(ISNUMBER(SEARCH("5",$L1565)))*120+(ISNUMBER(SEARCH("6",$L1565)))*80+(ISNUMBER(SEARCH("7",$L1565)))*40+(ISNUMBER(SEARCH("8",$L1565)))*40))</x:f>
        <x:v>0</x:v>
      </x:c>
      <x:c r="P1565" s="654" t="n">
        <x:f>IF($M1565&lt;&gt;"Mineral","",IF(ISNUMBER($N1565),$N1565,IF(OR(ISNUMBER(SEARCH("surface",$J1565)),ISNUMBER(SEARCH("reserv",$J1565)),ISNUMBER(SEARCH("less and except",$J1565))),0,"")))</x:f>
        <x:v>1</x:v>
      </x:c>
      <x:c r="Q1565" s="654" t="n">
        <x:f>IF($P1565="","",-$P1565)</x:f>
        <x:v>-1</x:v>
      </x:c>
      <x:c r="R1565" s="655" t="n">
        <x:f>IF($P1565="","",$O1565*$P1565)</x:f>
        <x:v>0</x:v>
      </x:c>
      <x:c r="S1565" s="552" t="str">
        <x:f>IF($M1565="","",TRIM(IF($M1565="Mineral",IF(ISNUMBER($N1565),"Mineral; basis Conv Amt(dec). ",IF($P1565=0,"Mineral; surface-only/reserved-&gt;0 min. ","Mineral; NO AMOUNT-verify instrument. ")),$M1565&amp;" (non-mineral; excluded from mineral NMA). ")&amp;IF(OR(ISNUMBER(SEARCH("public",$G1565)),ISNUMBER(SEARCH("public",$H1565))),"FLAG: The Public placeholder-verify. ","")&amp;IF(ISNUMBER(SEARCH("all",$L1565)),"All-section coverage. ","")&amp;IF($O1565=0,"Gross acres unresolved. ","")&amp;"Gross=tract-map basis."))</x:f>
        <x:v>Mineral; basis Conv Amt(dec). Gross acres unresolved. Gross=tract-map basis.</x:v>
      </x:c>
      <x:c r="T1565" s="577" t="n"/>
      <x:c r="U1565" s="577" t="n"/>
      <x:c r="V1565" s="565" t="n"/>
      <x:c r="W1565" s="565" t="n"/>
      <x:c r="X1565" s="565" t="n"/>
      <x:c r="Y1565" s="565" t="n"/>
      <x:c r="Z1565" s="565" t="n"/>
    </x:row>
    <x:row r="1566">
      <x:c r="A1566" s="552" t="inlineStr">
        <x:is>
          <x:t xml:space="preserve">1922-000463</x:t>
        </x:is>
      </x:c>
      <x:c r="B1566" s="552" t="n"/>
      <x:c r="C1566" s="552" t="inlineStr">
        <x:is>
          <x:t xml:space="preserve">Deed</x:t>
        </x:is>
      </x:c>
      <x:c r="D1566" s="552" t="inlineStr">
        <x:is>
          <x:t xml:space="preserve">D31/637</x:t>
        </x:is>
      </x:c>
      <x:c r="E1566" s="653" t="n">
        <x:v>7905</x:v>
      </x:c>
      <x:c r="F1566" s="653" t="n">
        <x:v>8121</x:v>
      </x:c>
      <x:c r="G1566" s="552" t="inlineStr">
        <x:is>
          <x:t xml:space="preserve">W. C. Danforth and Susie Danforth, HW</x:t>
        </x:is>
      </x:c>
      <x:c r="H1566" s="552" t="inlineStr">
        <x:is>
          <x:t xml:space="preserve">Benjamin H. Shotwell</x:t>
        </x:is>
      </x:c>
      <x:c r="I1566" s="552" t="inlineStr">
        <x:is>
          <x:t xml:space="preserve">NE/4 SE/4, SE/4 NE/4 of 31-12N-24W</x:t>
        </x:is>
      </x:c>
      <x:c r="J1566" s="552" t="inlineStr">
        <x:is>
          <x:t xml:space="preserve">ARTI</x:t>
        </x:is>
      </x:c>
      <x:c r="K1566" s="554" t="e">
        <x:f>HYPERLINK("https://okcountyrecords.com/detail/roger+mills/1922-000463","OKCountyRecords: 1922-000463")</x:f>
      </x:c>
      <x:c r="L1566" s="552" t="inlineStr">
        <x:is>
          <x:t xml:space="preserve">3, 8</x:t>
        </x:is>
      </x:c>
      <x:c r="M1566" s="552" t="inlineStr">
        <x:is>
          <x:t xml:space="preserve">Mineral</x:t>
        </x:is>
      </x:c>
      <x:c r="N1566" s="561" t="n">
        <x:v>1</x:v>
      </x:c>
      <x:c r="O1566" s="556" t="n">
        <x:f>IF($L1566="","",IF(ISNUMBER(SEARCH("all",$L1566)),640,(ISNUMBER(SEARCH("1",$L1566)))*80+(ISNUMBER(SEARCH("2",$L1566)))*160+(ISNUMBER(SEARCH("3",$L1566)))*40+(ISNUMBER(SEARCH("4",$L1566)))*80+(ISNUMBER(SEARCH("5",$L1566)))*120+(ISNUMBER(SEARCH("6",$L1566)))*80+(ISNUMBER(SEARCH("7",$L1566)))*40+(ISNUMBER(SEARCH("8",$L1566)))*40))</x:f>
        <x:v>0</x:v>
      </x:c>
      <x:c r="P1566" s="654" t="n">
        <x:f>IF($M1566&lt;&gt;"Mineral","",IF(ISNUMBER($N1566),$N1566,IF(OR(ISNUMBER(SEARCH("surface",$J1566)),ISNUMBER(SEARCH("reserv",$J1566)),ISNUMBER(SEARCH("less and except",$J1566))),0,"")))</x:f>
        <x:v>1</x:v>
      </x:c>
      <x:c r="Q1566" s="654" t="n">
        <x:f>IF($P1566="","",-$P1566)</x:f>
        <x:v>-1</x:v>
      </x:c>
      <x:c r="R1566" s="655" t="n">
        <x:f>IF($P1566="","",$O1566*$P1566)</x:f>
        <x:v>0</x:v>
      </x:c>
      <x:c r="S1566" s="552" t="str">
        <x:f>IF($M1566="","",TRIM(IF($M1566="Mineral",IF(ISNUMBER($N1566),"Mineral; basis Conv Amt(dec). ",IF($P1566=0,"Mineral; surface-only/reserved-&gt;0 min. ","Mineral; NO AMOUNT-verify instrument. ")),$M1566&amp;" (non-mineral; excluded from mineral NMA). ")&amp;IF(OR(ISNUMBER(SEARCH("public",$G1566)),ISNUMBER(SEARCH("public",$H1566))),"FLAG: The Public placeholder-verify. ","")&amp;IF(ISNUMBER(SEARCH("all",$L1566)),"All-section coverage. ","")&amp;IF($O1566=0,"Gross acres unresolved. ","")&amp;"Gross=tract-map basis."))</x:f>
        <x:v>Mineral; basis Conv Amt(dec). Gross acres unresolved. Gross=tract-map basis.</x:v>
      </x:c>
      <x:c r="T1566" s="577" t="n"/>
      <x:c r="U1566" s="578" t="n"/>
      <x:c r="V1566" s="565" t="n"/>
      <x:c r="W1566" s="565" t="n"/>
      <x:c r="X1566" s="565" t="n"/>
      <x:c r="Y1566" s="565" t="n"/>
      <x:c r="Z1566" s="565" t="n"/>
    </x:row>
    <x:row r="1567">
      <x:c r="A1567" s="552" t="inlineStr">
        <x:is>
          <x:t xml:space="preserve">1923-001306</x:t>
        </x:is>
      </x:c>
      <x:c r="B1567" s="552" t="n"/>
      <x:c r="C1567" s="552" t="inlineStr">
        <x:is>
          <x:t xml:space="preserve">Affidavit</x:t>
        </x:is>
      </x:c>
      <x:c r="D1567" s="552" t="inlineStr">
        <x:is>
          <x:t xml:space="preserve">MIS12/119</x:t>
        </x:is>
      </x:c>
      <x:c r="E1567" s="653" t="n">
        <x:v>8517</x:v>
      </x:c>
      <x:c r="F1567" s="653" t="n">
        <x:v>8518</x:v>
      </x:c>
      <x:c r="G1567" s="552" t="inlineStr">
        <x:is>
          <x:t xml:space="preserve">A. H. Douglass</x:t>
        </x:is>
      </x:c>
      <x:c r="H1567" s="552" t="inlineStr">
        <x:is>
          <x:t xml:space="preserve">The Public</x:t>
        </x:is>
      </x:c>
      <x:c r="I1567" s="552" t="inlineStr">
        <x:is>
          <x:t xml:space="preserve">All of 31-12N-24W</x:t>
        </x:is>
      </x:c>
      <x:c r="J1567" s="552" t="inlineStr">
        <x:is>
          <x:t xml:space="preserve">Affidavit / claim of equity: affiant's ~1/1/1925 block agreement to secure a test well; K. J. Gamble &amp; wife Zella Gamble O&amp;G lease (~95 ac, Sec 31-12N-24W) held by block trustees; public notice affiant claims an equity in the oil &amp; gas rights. [Full text in cell comment]</x:t>
        </x:is>
      </x:c>
      <x:c r="K1567" s="554" t="e">
        <x:f>HYPERLINK("https://okcountyrecords.com/detail/roger+mills/1923-001306","OKCountyRecords: 1923-001306")</x:f>
      </x:c>
      <x:c r="L1567" s="552" t="inlineStr">
        <x:is>
          <x:t xml:space="preserve">All (1-8)</x:t>
        </x:is>
      </x:c>
      <x:c r="M1567" s="552" t="inlineStr">
        <x:is>
          <x:t xml:space="preserve">Other</x:t>
        </x:is>
      </x:c>
      <x:c r="N1567" s="555" t="n"/>
      <x:c r="O1567" s="556" t="n">
        <x:f>IF($L1567="","",IF(ISNUMBER(SEARCH("all",$L1567)),640,(ISNUMBER(SEARCH("1",$L1567)))*80+(ISNUMBER(SEARCH("2",$L1567)))*160+(ISNUMBER(SEARCH("3",$L1567)))*40+(ISNUMBER(SEARCH("4",$L1567)))*80+(ISNUMBER(SEARCH("5",$L1567)))*120+(ISNUMBER(SEARCH("6",$L1567)))*80+(ISNUMBER(SEARCH("7",$L1567)))*40+(ISNUMBER(SEARCH("8",$L1567)))*40))</x:f>
        <x:v>640</x:v>
      </x:c>
      <x:c r="P1567" s="654" t="str">
        <x:f>IF($M1567&lt;&gt;"Mineral","",IF(ISNUMBER($N1567),$N1567,IF(OR(ISNUMBER(SEARCH("surface",$J1567)),ISNUMBER(SEARCH("reserv",$J1567)),ISNUMBER(SEARCH("less and except",$J1567))),0,"")))</x:f>
      </x:c>
      <x:c r="Q1567" s="654" t="str">
        <x:f>IF($P1567="","",-$P1567)</x:f>
      </x:c>
      <x:c r="R1567" s="655" t="str">
        <x:f>IF($P1567="","",$O1567*$P1567)</x:f>
      </x:c>
      <x:c r="S1567" s="552" t="inlineStr">
        <x:is>
          <x:t xml:space="preserve">Other (non-mineral; excluded from mineral NMA). All-section coverage. Gross=tract-map basis.</x:t>
        </x:is>
      </x:c>
      <x:c r="T1567" s="577" t="inlineStr">
        <x:is>
          <x:t xml:space="preserve">OK</x:t>
        </x:is>
      </x:c>
      <x:c r="U1567" s="578" t="inlineStr">
        <x:is>
          <x:t xml:space="preserve">Non-conveying — notice/affidavit/address change (The Public).</x:t>
        </x:is>
      </x:c>
      <x:c r="V1567" s="565" t="n"/>
      <x:c r="W1567" s="565" t="n"/>
      <x:c r="X1567" s="565" t="n"/>
      <x:c r="Y1567" s="565" t="n"/>
      <x:c r="Z1567" s="565" t="n"/>
    </x:row>
    <x:row r="1568">
      <x:c r="A1568" s="552" t="inlineStr">
        <x:is>
          <x:t xml:space="preserve">1925-000406</x:t>
        </x:is>
      </x:c>
      <x:c r="B1568" s="552" t="n"/>
      <x:c r="C1568" s="552" t="inlineStr">
        <x:is>
          <x:t xml:space="preserve">Deed</x:t>
        </x:is>
      </x:c>
      <x:c r="D1568" s="552" t="inlineStr">
        <x:is>
          <x:t xml:space="preserve">D34/104</x:t>
        </x:is>
      </x:c>
      <x:c r="E1568" s="653" t="n">
        <x:v>9137</x:v>
      </x:c>
      <x:c r="F1568" s="653" t="n">
        <x:v>9137</x:v>
      </x:c>
      <x:c r="G1568" s="552" t="inlineStr">
        <x:is>
          <x:t xml:space="preserve">E. T. Gamble and Zella M. Gamble, HW</x:t>
        </x:is>
      </x:c>
      <x:c r="H1568" s="552" t="inlineStr">
        <x:is>
          <x:t xml:space="preserve">Leo Aulbert</x:t>
        </x:is>
      </x:c>
      <x:c r="I1568" s="552" t="inlineStr">
        <x:is>
          <x:t xml:space="preserve">S/2 SW/4, S/2 N/2 SW/4 of 31-12N-24W</x:t>
        </x:is>
      </x:c>
      <x:c r="J1568" s="552" t="inlineStr">
        <x:is>
          <x:t xml:space="preserve">ARTI</x:t>
        </x:is>
      </x:c>
      <x:c r="K1568" s="554" t="e">
        <x:f>HYPERLINK("https://okcountyrecords.com/detail/roger+mills/1925-000406","OKCountyRecords: 1925-000406")</x:f>
      </x:c>
      <x:c r="L1568" s="552" t="inlineStr">
        <x:is>
          <x:t xml:space="preserve">5, 6, 7</x:t>
        </x:is>
      </x:c>
      <x:c r="M1568" s="552" t="inlineStr">
        <x:is>
          <x:t xml:space="preserve">Mineral</x:t>
        </x:is>
      </x:c>
      <x:c r="N1568" s="555" t="n">
        <x:v>1</x:v>
      </x:c>
      <x:c r="O1568" s="556" t="n">
        <x:f>IF($L1568="","",IF(ISNUMBER(SEARCH("all",$L1568)),640,(ISNUMBER(SEARCH("1",$L1568)))*80+(ISNUMBER(SEARCH("2",$L1568)))*160+(ISNUMBER(SEARCH("3",$L1568)))*40+(ISNUMBER(SEARCH("4",$L1568)))*80+(ISNUMBER(SEARCH("5",$L1568)))*120+(ISNUMBER(SEARCH("6",$L1568)))*80+(ISNUMBER(SEARCH("7",$L1568)))*40+(ISNUMBER(SEARCH("8",$L1568)))*40))</x:f>
        <x:v>0</x:v>
      </x:c>
      <x:c r="P1568" s="654" t="n">
        <x:f>IF($M1568&lt;&gt;"Mineral","",IF(ISNUMBER($N1568),$N1568,IF(OR(ISNUMBER(SEARCH("surface",$J1568)),ISNUMBER(SEARCH("reserv",$J1568)),ISNUMBER(SEARCH("less and except",$J1568))),0,"")))</x:f>
        <x:v>1</x:v>
      </x:c>
      <x:c r="Q1568" s="654" t="n">
        <x:f>IF($P1568="","",-$P1568)</x:f>
        <x:v>-1</x:v>
      </x:c>
      <x:c r="R1568" s="655" t="n">
        <x:f>IF($P1568="","",$O1568*$P1568)</x:f>
        <x:v>0</x:v>
      </x:c>
      <x:c r="S1568" s="552" t="str">
        <x:f>IF($M1568="","",TRIM(IF($M1568="Mineral",IF(ISNUMBER($N1568),"Mineral; basis Conv Amt(dec). ",IF($P1568=0,"Mineral; surface-only/reserved-&gt;0 min. ","Mineral; NO AMOUNT-verify instrument. ")),$M1568&amp;" (non-mineral; excluded from mineral NMA). ")&amp;IF(OR(ISNUMBER(SEARCH("public",$G1568)),ISNUMBER(SEARCH("public",$H1568))),"FLAG: The Public placeholder-verify. ","")&amp;IF(ISNUMBER(SEARCH("all",$L1568)),"All-section coverage. ","")&amp;IF($O1568=0,"Gross acres unresolved. ","")&amp;"Gross=tract-map basis."))</x:f>
        <x:v>Mineral; basis Conv Amt(dec). Gross acres unresolved. Gross=tract-map basis.</x:v>
      </x:c>
      <x:c r="T1568" s="559" t="n"/>
      <x:c r="U1568" s="559" t="n"/>
      <x:c r="V1568" s="565" t="n"/>
      <x:c r="W1568" s="565" t="n"/>
      <x:c r="X1568" s="565" t="n"/>
      <x:c r="Y1568" s="565" t="n"/>
      <x:c r="Z1568" s="565" t="n"/>
    </x:row>
    <x:row r="1569">
      <x:c r="A1569" s="552" t="inlineStr">
        <x:is>
          <x:t xml:space="preserve">1927-000712</x:t>
        </x:is>
      </x:c>
      <x:c r="B1569" s="552" t="n"/>
      <x:c r="C1569" s="552" t="inlineStr">
        <x:is>
          <x:t xml:space="preserve">Deed</x:t>
        </x:is>
      </x:c>
      <x:c r="D1569" s="552" t="inlineStr">
        <x:is>
          <x:t xml:space="preserve">D38/173</x:t>
        </x:is>
      </x:c>
      <x:c r="E1569" s="653" t="n">
        <x:v>10069</x:v>
      </x:c>
      <x:c r="F1569" s="653" t="n">
        <x:v>10077</x:v>
      </x:c>
      <x:c r="G1569" s="552" t="inlineStr">
        <x:is>
          <x:t xml:space="preserve">L. E. Jacques and N. V. Jacques, HW</x:t>
        </x:is>
      </x:c>
      <x:c r="H1569" s="552" t="inlineStr">
        <x:is>
          <x:t xml:space="preserve">Panhandle Co-operative Royalty Co.</x:t>
        </x:is>
      </x:c>
      <x:c r="I1569" s="552" t="inlineStr">
        <x:is>
          <x:t xml:space="preserve">N/2 NE/4 of 31-12N-24W</x:t>
        </x:is>
      </x:c>
      <x:c r="J1569" s="552" t="inlineStr">
        <x:is>
          <x:t xml:space="preserve">An undivided 1/2 interest in all of the oil, gas, coal and other minerals</x:t>
        </x:is>
      </x:c>
      <x:c r="K1569" s="554" t="e">
        <x:f>HYPERLINK("https://okcountyrecords.com/detail/roger+mills/1927-000712","OKCountyRecords: 1927-000712")</x:f>
      </x:c>
      <x:c r="L1569" s="552" t="n">
        <x:v>1</x:v>
      </x:c>
      <x:c r="M1569" s="552" t="inlineStr">
        <x:is>
          <x:t xml:space="preserve">Mineral</x:t>
        </x:is>
      </x:c>
      <x:c r="N1569" s="555" t="n">
        <x:f>1/2</x:f>
        <x:v>0.5</x:v>
      </x:c>
      <x:c r="O1569" s="556" t="n">
        <x:f>IF($L1569="","",IF(ISNUMBER(SEARCH("all",$L1569)),640,(ISNUMBER(SEARCH("1",$L1569)))*80+(ISNUMBER(SEARCH("2",$L1569)))*160+(ISNUMBER(SEARCH("3",$L1569)))*40+(ISNUMBER(SEARCH("4",$L1569)))*80+(ISNUMBER(SEARCH("5",$L1569)))*120+(ISNUMBER(SEARCH("6",$L1569)))*80+(ISNUMBER(SEARCH("7",$L1569)))*40+(ISNUMBER(SEARCH("8",$L1569)))*40))</x:f>
        <x:v>0</x:v>
      </x:c>
      <x:c r="P1569" s="654" t="n">
        <x:f>IF($M1569&lt;&gt;"Mineral","",IF(ISNUMBER($N1569),$N1569,IF(OR(ISNUMBER(SEARCH("surface",$J1569)),ISNUMBER(SEARCH("reserv",$J1569)),ISNUMBER(SEARCH("less and except",$J1569))),0,"")))</x:f>
        <x:v>0.5</x:v>
      </x:c>
      <x:c r="Q1569" s="654" t="n">
        <x:f>IF($P1569="","",-$P1569)</x:f>
        <x:v>-0.5</x:v>
      </x:c>
      <x:c r="R1569" s="655" t="n">
        <x:f>IF($P1569="","",$O1569*$P1569)</x:f>
        <x:v>0</x:v>
      </x:c>
      <x:c r="S1569" s="552" t="str">
        <x:f>IF($M1569="","",TRIM(IF($M1569="Mineral",IF(ISNUMBER($N1569),"Mineral; basis Conv Amt(dec). ",IF($P1569=0,"Mineral; surface-only/reserved-&gt;0 min. ","Mineral; NO AMOUNT-verify instrument. ")),$M1569&amp;" (non-mineral; excluded from mineral NMA). ")&amp;IF(OR(ISNUMBER(SEARCH("public",$G1569)),ISNUMBER(SEARCH("public",$H1569))),"FLAG: The Public placeholder-verify. ","")&amp;IF(ISNUMBER(SEARCH("all",$L1569)),"All-section coverage. ","")&amp;IF($O1569=0,"Gross acres unresolved. ","")&amp;"Gross=tract-map basis."))</x:f>
        <x:v>Mineral; basis Conv Amt(dec). Gross acres unresolved. Gross=tract-map basis.</x:v>
      </x:c>
      <x:c r="T1569" s="577" t="n"/>
      <x:c r="U1569" s="577" t="n"/>
      <x:c r="V1569" s="565" t="n"/>
      <x:c r="W1569" s="565" t="n"/>
      <x:c r="X1569" s="565" t="n"/>
      <x:c r="Y1569" s="565" t="n"/>
      <x:c r="Z1569" s="565" t="n"/>
    </x:row>
    <x:row r="1570">
      <x:c r="A1570" s="552" t="inlineStr">
        <x:is>
          <x:t xml:space="preserve">1927-000706</x:t>
        </x:is>
      </x:c>
      <x:c r="B1570" s="552" t="n"/>
      <x:c r="C1570" s="552" t="inlineStr">
        <x:is>
          <x:t xml:space="preserve">Deed</x:t>
        </x:is>
      </x:c>
      <x:c r="D1570" s="552" t="inlineStr">
        <x:is>
          <x:t xml:space="preserve">D38/162</x:t>
        </x:is>
      </x:c>
      <x:c r="E1570" s="653" t="n">
        <x:v>10069</x:v>
      </x:c>
      <x:c r="F1570" s="653" t="n">
        <x:v>10077</x:v>
      </x:c>
      <x:c r="G1570" s="552" t="inlineStr">
        <x:is>
          <x:t xml:space="preserve">Mark Hambrook, (Widower)</x:t>
        </x:is>
      </x:c>
      <x:c r="H1570" s="552" t="inlineStr">
        <x:is>
          <x:t xml:space="preserve">Panhandle Co-operative Royalty Company</x:t>
        </x:is>
      </x:c>
      <x:c r="I1570" s="552" t="inlineStr">
        <x:is>
          <x:t xml:space="preserve">W/2 NW/4 of 31-12N-24W</x:t>
        </x:is>
      </x:c>
      <x:c r="J1570" s="552" t="inlineStr">
        <x:is>
          <x:t xml:space="preserve">An undivided 1/2 interest in all of the oil, gas, coal and other minerals</x:t>
        </x:is>
      </x:c>
      <x:c r="K1570" s="554" t="e">
        <x:f>HYPERLINK("https://okcountyrecords.com/detail/roger+mills/1927-000706","OKCountyRecords: 1927-000706")</x:f>
      </x:c>
      <x:c r="L1570" s="552" t="n">
        <x:v>5</x:v>
      </x:c>
      <x:c r="M1570" s="552" t="inlineStr">
        <x:is>
          <x:t xml:space="preserve">Mineral</x:t>
        </x:is>
      </x:c>
      <x:c r="N1570" s="555" t="n">
        <x:f>1/2</x:f>
        <x:v>0.5</x:v>
      </x:c>
      <x:c r="O1570" s="556" t="n">
        <x:f>IF($L1570="","",IF(ISNUMBER(SEARCH("all",$L1570)),640,(ISNUMBER(SEARCH("1",$L1570)))*80+(ISNUMBER(SEARCH("2",$L1570)))*160+(ISNUMBER(SEARCH("3",$L1570)))*40+(ISNUMBER(SEARCH("4",$L1570)))*80+(ISNUMBER(SEARCH("5",$L1570)))*120+(ISNUMBER(SEARCH("6",$L1570)))*80+(ISNUMBER(SEARCH("7",$L1570)))*40+(ISNUMBER(SEARCH("8",$L1570)))*40))</x:f>
        <x:v>0</x:v>
      </x:c>
      <x:c r="P1570" s="654" t="n">
        <x:f>IF($M1570&lt;&gt;"Mineral","",IF(ISNUMBER($N1570),$N1570,IF(OR(ISNUMBER(SEARCH("surface",$J1570)),ISNUMBER(SEARCH("reserv",$J1570)),ISNUMBER(SEARCH("less and except",$J1570))),0,"")))</x:f>
        <x:v>0.5</x:v>
      </x:c>
      <x:c r="Q1570" s="654" t="n">
        <x:f>IF($P1570="","",-$P1570)</x:f>
        <x:v>-0.5</x:v>
      </x:c>
      <x:c r="R1570" s="655" t="n">
        <x:f>IF($P1570="","",$O1570*$P1570)</x:f>
        <x:v>0</x:v>
      </x:c>
      <x:c r="S1570" s="552" t="str">
        <x:f>IF($M1570="","",TRIM(IF($M1570="Mineral",IF(ISNUMBER($N1570),"Mineral; basis Conv Amt(dec). ",IF($P1570=0,"Mineral; surface-only/reserved-&gt;0 min. ","Mineral; NO AMOUNT-verify instrument. ")),$M1570&amp;" (non-mineral; excluded from mineral NMA). ")&amp;IF(OR(ISNUMBER(SEARCH("public",$G1570)),ISNUMBER(SEARCH("public",$H1570))),"FLAG: The Public placeholder-verify. ","")&amp;IF(ISNUMBER(SEARCH("all",$L1570)),"All-section coverage. ","")&amp;IF($O1570=0,"Gross acres unresolved. ","")&amp;"Gross=tract-map basis."))</x:f>
        <x:v>Mineral; basis Conv Amt(dec). Gross acres unresolved. Gross=tract-map basis.</x:v>
      </x:c>
      <x:c r="T1570" s="577" t="n"/>
      <x:c r="U1570" s="578" t="n"/>
      <x:c r="V1570" s="565" t="n"/>
      <x:c r="W1570" s="565" t="n"/>
      <x:c r="X1570" s="565" t="n"/>
      <x:c r="Y1570" s="565" t="n"/>
      <x:c r="Z1570" s="565" t="n"/>
    </x:row>
    <x:row r="1571">
      <x:c r="A1571" s="552" t="inlineStr">
        <x:is>
          <x:t xml:space="preserve">1930-001789</x:t>
        </x:is>
      </x:c>
      <x:c r="B1571" s="552" t="n"/>
      <x:c r="C1571" s="552" t="inlineStr">
        <x:is>
          <x:t xml:space="preserve">Agreement</x:t>
        </x:is>
      </x:c>
      <x:c r="D1571" s="552" t="inlineStr">
        <x:is>
          <x:t xml:space="preserve">MIS15/290</x:t>
        </x:is>
      </x:c>
      <x:c r="E1571" s="653" t="n">
        <x:v>11098</x:v>
      </x:c>
      <x:c r="F1571" s="653" t="n">
        <x:v>11237</x:v>
      </x:c>
      <x:c r="G1571" s="552" t="inlineStr">
        <x:is>
          <x:t xml:space="preserve">Lee Aulbert,
Mollie Aulbert</x:t>
        </x:is>
      </x:c>
      <x:c r="H1571" s="552" t="inlineStr">
        <x:is>
          <x:t xml:space="preserve">Roy M. Johnson</x:t>
        </x:is>
      </x:c>
      <x:c r="I1571" s="552" t="inlineStr">
        <x:is>
          <x:t xml:space="preserve">31-12N-24W</x:t>
        </x:is>
      </x:c>
      <x:c r="J1571" s="552" t="inlineStr">
        <x:is>
          <x:t xml:space="preserve">Lease amendment — Lee &amp; Mollie Aulbert → Roy M. Johnson O&amp;G lease (5/20/1930; SW/4 SW/4, S/2 N/2 SW/4 &amp; undiv. 1/2 SE/4, Sec 31-12N-24W): delay rental changed $100 → $50 per 12-mo deferral (reverts to $100 if a well is brought in nearby); all other lease terms remain in force. [Full text in cell comment]</x:t>
        </x:is>
      </x:c>
      <x:c r="K1571" s="554" t="e">
        <x:f>HYPERLINK("https://okcountyrecords.com/detail/roger+mills/1930-001789","OKCountyRecords: 1930-001789")</x:f>
      </x:c>
      <x:c r="L1571" s="552" t="inlineStr">
        <x:is>
          <x:t xml:space="preserve">All (1-8)</x:t>
        </x:is>
      </x:c>
      <x:c r="M1571" s="552" t="inlineStr">
        <x:is>
          <x:t xml:space="preserve">Other</x:t>
        </x:is>
      </x:c>
      <x:c r="N1571" s="555" t="n"/>
      <x:c r="O1571" s="556" t="n">
        <x:f>IF($L1571="","",IF(ISNUMBER(SEARCH("all",$L1571)),640,(ISNUMBER(SEARCH("1",$L1571)))*80+(ISNUMBER(SEARCH("2",$L1571)))*160+(ISNUMBER(SEARCH("3",$L1571)))*40+(ISNUMBER(SEARCH("4",$L1571)))*80+(ISNUMBER(SEARCH("5",$L1571)))*120+(ISNUMBER(SEARCH("6",$L1571)))*80+(ISNUMBER(SEARCH("7",$L1571)))*40+(ISNUMBER(SEARCH("8",$L1571)))*40))</x:f>
        <x:v>640</x:v>
      </x:c>
      <x:c r="P1571" s="654" t="str">
        <x:f>IF($M1571&lt;&gt;"Mineral","",IF(ISNUMBER($N1571),$N1571,IF(OR(ISNUMBER(SEARCH("surface",$J1571)),ISNUMBER(SEARCH("reserv",$J1571)),ISNUMBER(SEARCH("less and except",$J1571))),0,"")))</x:f>
      </x:c>
      <x:c r="Q1571" s="654" t="str">
        <x:f>IF($P1571="","",-$P1571)</x:f>
      </x:c>
      <x:c r="R1571" s="655" t="str">
        <x:f>IF($P1571="","",$O1571*$P1571)</x:f>
      </x:c>
      <x:c r="S1571" s="552" t="str">
        <x:f>IF($M1571="","",TRIM(IF($M1571="Mineral",IF(ISNUMBER($N1571),"Mineral; basis Conv Amt(dec). ",IF($P1571=0,"Mineral; surface-only/reserved-&gt;0 min. ","Mineral; NO AMOUNT-verify instrument. ")),$M1571&amp;" (non-mineral; excluded from mineral NMA). ")&amp;IF(OR(ISNUMBER(SEARCH("public",$G1571)),ISNUMBER(SEARCH("public",$H1571))),"FLAG: The Public placeholder-verify. ","")&amp;IF(ISNUMBER(SEARCH("all",$L1571)),"All-section coverage. ","")&amp;IF($O1571=0,"Gross acres unresolved. ","")&amp;"Gross=tract-map basis."))</x:f>
        <x:v>Other (non-mineral; excluded from mineral NMA). All-section coverage. Gross=tract-map basis.</x:v>
      </x:c>
      <x:c r="T1571" s="577" t="n"/>
      <x:c r="U1571" s="577" t="n"/>
      <x:c r="V1571" s="565" t="n"/>
      <x:c r="W1571" s="565" t="n"/>
      <x:c r="X1571" s="565" t="n"/>
      <x:c r="Y1571" s="565" t="n"/>
      <x:c r="Z1571" s="565" t="n"/>
    </x:row>
    <x:row r="1572">
      <x:c r="A1572" s="552" t="inlineStr">
        <x:is>
          <x:t xml:space="preserve">1930-001819</x:t>
        </x:is>
      </x:c>
      <x:c r="B1572" s="552" t="n"/>
      <x:c r="C1572" s="552" t="inlineStr">
        <x:is>
          <x:t xml:space="preserve">Agreement</x:t>
        </x:is>
      </x:c>
      <x:c r="D1572" s="552" t="inlineStr">
        <x:is>
          <x:t xml:space="preserve">MIS15/330</x:t>
        </x:is>
      </x:c>
      <x:c r="E1572" s="653" t="n">
        <x:v>11098</x:v>
      </x:c>
      <x:c r="F1572" s="653" t="n">
        <x:v>11237</x:v>
      </x:c>
      <x:c r="G1572" s="552" t="inlineStr">
        <x:is>
          <x:t xml:space="preserve">Louis E. Jaques,
Virginia Jaques</x:t>
        </x:is>
      </x:c>
      <x:c r="H1572" s="552" t="inlineStr">
        <x:is>
          <x:t xml:space="preserve">Roy M. Johnson</x:t>
        </x:is>
      </x:c>
      <x:c r="I1572" s="552" t="inlineStr">
        <x:is>
          <x:t xml:space="preserve">31-12N-24W, aol</x:t>
        </x:is>
      </x:c>
      <x:c r="J1572" s="552" t="inlineStr">
        <x:is>
          <x:t xml:space="preserve">Lease amendment — Louis E. &amp; Virginia Jaques → Roy M. Johnson O&amp;G lease (5/20/1930; S/2 SE/4 Sec 30 &amp; undiv. int. NE/4 NE/4 Sec 31-12N-24W): delay rental changed $120 → $60 per 12-mo deferral (reverts to $120 if a well is brought in within 4 miles); all other lease terms remain in force. [Full text in cell comment]</x:t>
        </x:is>
      </x:c>
      <x:c r="K1572" s="554" t="e">
        <x:f>HYPERLINK("https://okcountyrecords.com/detail/roger+mills/1930-001819","OKCountyRecords: 1930-001819")</x:f>
      </x:c>
      <x:c r="L1572" s="552" t="inlineStr">
        <x:is>
          <x:t xml:space="preserve">All (1-8)</x:t>
        </x:is>
      </x:c>
      <x:c r="M1572" s="552" t="inlineStr">
        <x:is>
          <x:t xml:space="preserve">Other</x:t>
        </x:is>
      </x:c>
      <x:c r="N1572" s="555" t="n"/>
      <x:c r="O1572" s="556" t="n">
        <x:f>IF($L1572="","",IF(ISNUMBER(SEARCH("all",$L1572)),640,(ISNUMBER(SEARCH("1",$L1572)))*80+(ISNUMBER(SEARCH("2",$L1572)))*160+(ISNUMBER(SEARCH("3",$L1572)))*40+(ISNUMBER(SEARCH("4",$L1572)))*80+(ISNUMBER(SEARCH("5",$L1572)))*120+(ISNUMBER(SEARCH("6",$L1572)))*80+(ISNUMBER(SEARCH("7",$L1572)))*40+(ISNUMBER(SEARCH("8",$L1572)))*40))</x:f>
        <x:v>640</x:v>
      </x:c>
      <x:c r="P1572" s="654" t="str">
        <x:f>IF($M1572&lt;&gt;"Mineral","",IF(ISNUMBER($N1572),$N1572,IF(OR(ISNUMBER(SEARCH("surface",$J1572)),ISNUMBER(SEARCH("reserv",$J1572)),ISNUMBER(SEARCH("less and except",$J1572))),0,"")))</x:f>
      </x:c>
      <x:c r="Q1572" s="654" t="str">
        <x:f>IF($P1572="","",-$P1572)</x:f>
      </x:c>
      <x:c r="R1572" s="655" t="str">
        <x:f>IF($P1572="","",$O1572*$P1572)</x:f>
      </x:c>
      <x:c r="S1572" s="552" t="str">
        <x:f>IF($M1572="","",TRIM(IF($M1572="Mineral",IF(ISNUMBER($N1572),"Mineral; basis Conv Amt(dec). ",IF($P1572=0,"Mineral; surface-only/reserved-&gt;0 min. ","Mineral; NO AMOUNT-verify instrument. ")),$M1572&amp;" (non-mineral; excluded from mineral NMA). ")&amp;IF(OR(ISNUMBER(SEARCH("public",$G1572)),ISNUMBER(SEARCH("public",$H1572))),"FLAG: The Public placeholder-verify. ","")&amp;IF(ISNUMBER(SEARCH("all",$L1572)),"All-section coverage. ","")&amp;IF($O1572=0,"Gross acres unresolved. ","")&amp;"Gross=tract-map basis."))</x:f>
        <x:v>Other (non-mineral; excluded from mineral NMA). All-section coverage. Gross=tract-map basis.</x:v>
      </x:c>
      <x:c r="T1572" s="577" t="n"/>
      <x:c r="U1572" s="577" t="n"/>
      <x:c r="V1572" s="565" t="n"/>
      <x:c r="W1572" s="565" t="n"/>
      <x:c r="X1572" s="565" t="n"/>
      <x:c r="Y1572" s="565" t="n"/>
      <x:c r="Z1572" s="565" t="n"/>
    </x:row>
    <x:row r="1573">
      <x:c r="A1573" s="552" t="inlineStr">
        <x:is>
          <x:t xml:space="preserve">1931-000994</x:t>
        </x:is>
      </x:c>
      <x:c r="B1573" s="552" t="n"/>
      <x:c r="C1573" s="552" t="inlineStr">
        <x:is>
          <x:t xml:space="preserve">Quit Claim Deed</x:t>
        </x:is>
      </x:c>
      <x:c r="D1573" s="552" t="inlineStr">
        <x:is>
          <x:t xml:space="preserve">D43/608</x:t>
        </x:is>
      </x:c>
      <x:c r="E1573" s="653" t="n">
        <x:v>11290</x:v>
      </x:c>
      <x:c r="F1573" s="653" t="n">
        <x:v>11578</x:v>
      </x:c>
      <x:c r="G1573" s="552" t="inlineStr">
        <x:is>
          <x:t xml:space="preserve">Lawrence E. Shotwell and Ethel Shotwell, HW</x:t>
        </x:is>
      </x:c>
      <x:c r="H1573" s="552" t="inlineStr">
        <x:is>
          <x:t xml:space="preserve">Maggie Bennett,
Pearl L. Davis,
Eli L. Shotwell,
Roy T. Shotwell</x:t>
        </x:is>
      </x:c>
      <x:c r="I1573" s="552" t="inlineStr">
        <x:is>
          <x:t xml:space="preserve">SE/4 NE/4, NE/4 SE/4 of 31-12N-24W</x:t>
        </x:is>
      </x:c>
      <x:c r="J1573" s="552" t="inlineStr">
        <x:is>
          <x:t xml:space="preserve">ARTI</x:t>
        </x:is>
      </x:c>
      <x:c r="K1573" s="554" t="e">
        <x:f>HYPERLINK("https://okcountyrecords.com/detail/roger+mills/1931-000994","OKCountyRecords: 1931-000994")</x:f>
      </x:c>
      <x:c r="L1573" s="552" t="inlineStr">
        <x:is>
          <x:t xml:space="preserve">3, 8</x:t>
        </x:is>
      </x:c>
      <x:c r="M1573" s="552" t="inlineStr">
        <x:is>
          <x:t xml:space="preserve">Mineral</x:t>
        </x:is>
      </x:c>
      <x:c r="N1573" s="561" t="n">
        <x:v>1</x:v>
      </x:c>
      <x:c r="O1573" s="556" t="n">
        <x:f>IF($L1573="","",IF(ISNUMBER(SEARCH("all",$L1573)),640,(ISNUMBER(SEARCH("1",$L1573)))*80+(ISNUMBER(SEARCH("2",$L1573)))*160+(ISNUMBER(SEARCH("3",$L1573)))*40+(ISNUMBER(SEARCH("4",$L1573)))*80+(ISNUMBER(SEARCH("5",$L1573)))*120+(ISNUMBER(SEARCH("6",$L1573)))*80+(ISNUMBER(SEARCH("7",$L1573)))*40+(ISNUMBER(SEARCH("8",$L1573)))*40))</x:f>
        <x:v>0</x:v>
      </x:c>
      <x:c r="P1573" s="654" t="n">
        <x:f>IF($M1573&lt;&gt;"Mineral","",IF(ISNUMBER($N1573),$N1573,IF(OR(ISNUMBER(SEARCH("surface",$J1573)),ISNUMBER(SEARCH("reserv",$J1573)),ISNUMBER(SEARCH("less and except",$J1573))),0,"")))</x:f>
        <x:v>1</x:v>
      </x:c>
      <x:c r="Q1573" s="654" t="n">
        <x:f>IF($P1573="","",-$P1573)</x:f>
        <x:v>-1</x:v>
      </x:c>
      <x:c r="R1573" s="655" t="n">
        <x:f>IF($P1573="","",$O1573*$P1573)</x:f>
        <x:v>0</x:v>
      </x:c>
      <x:c r="S1573" s="552" t="str">
        <x:f>IF($M1573="","",TRIM(IF($M1573="Mineral",IF(ISNUMBER($N1573),"Mineral; basis Conv Amt(dec). ",IF($P1573=0,"Mineral; surface-only/reserved-&gt;0 min. ","Mineral; NO AMOUNT-verify instrument. ")),$M1573&amp;" (non-mineral; excluded from mineral NMA). ")&amp;IF(OR(ISNUMBER(SEARCH("public",$G1573)),ISNUMBER(SEARCH("public",$H1573))),"FLAG: The Public placeholder-verify. ","")&amp;IF(ISNUMBER(SEARCH("all",$L1573)),"All-section coverage. ","")&amp;IF($O1573=0,"Gross acres unresolved. ","")&amp;"Gross=tract-map basis."))</x:f>
        <x:v>Mineral; basis Conv Amt(dec). Gross acres unresolved. Gross=tract-map basis.</x:v>
      </x:c>
      <x:c r="T1573" s="578" t="n"/>
      <x:c r="U1573" s="578" t="n"/>
      <x:c r="V1573" s="565" t="n"/>
      <x:c r="W1573" s="565" t="n"/>
      <x:c r="X1573" s="565" t="n"/>
      <x:c r="Y1573" s="565" t="n"/>
      <x:c r="Z1573" s="565" t="n"/>
    </x:row>
    <x:row r="1574">
      <x:c r="A1574" s="552" t="inlineStr">
        <x:is>
          <x:t xml:space="preserve">1931-000573</x:t>
        </x:is>
      </x:c>
      <x:c r="B1574" s="552" t="n"/>
      <x:c r="C1574" s="552" t="inlineStr">
        <x:is>
          <x:t xml:space="preserve">Deed</x:t>
        </x:is>
      </x:c>
      <x:c r="D1574" s="552" t="inlineStr">
        <x:is>
          <x:t xml:space="preserve">D41/447</x:t>
        </x:is>
      </x:c>
      <x:c r="E1574" s="653" t="n">
        <x:v>11395</x:v>
      </x:c>
      <x:c r="F1574" s="653" t="n">
        <x:v>11395</x:v>
      </x:c>
      <x:c r="G1574" s="552" t="inlineStr">
        <x:is>
          <x:t xml:space="preserve">Thomas O. Hambrook and Flora E. Hambrook, HW</x:t>
        </x:is>
      </x:c>
      <x:c r="H1574" s="552" t="inlineStr">
        <x:is>
          <x:t xml:space="preserve">James G. Hambrook</x:t>
        </x:is>
      </x:c>
      <x:c r="I1574" s="552" t="inlineStr">
        <x:is>
          <x:t xml:space="preserve">Beginning at the North west corner of the North west quarter of Section Thirty one (31) in Township Twelve (12) North of Range Twenty four (24) West I.M., thence East on section line 18.20 chains (or 72 8/10 rods) thence South 50 chains (or 200 rods) thence West/820 chains (or 72 8/10 rodss) to Range line between Ranges 24 and 25 thence North on range line 50 chains (or 200 rods) to point of beginning:</x:t>
        </x:is>
      </x:c>
      <x:c r="J1574" s="552" t="inlineStr">
        <x:is>
          <x:t xml:space="preserve">ARTI</x:t>
        </x:is>
      </x:c>
      <x:c r="K1574" s="554" t="e">
        <x:f>HYPERLINK("https://okcountyrecords.com/detail/roger+mills/1931-000573","OKCountyRecords: 1931-000573")</x:f>
      </x:c>
      <x:c r="L1574" s="552" t="inlineStr">
        <x:is>
          <x:t xml:space="preserve">Other section</x:t>
        </x:is>
      </x:c>
      <x:c r="M1574" s="552" t="inlineStr">
        <x:is>
          <x:t xml:space="preserve">Mineral</x:t>
        </x:is>
      </x:c>
      <x:c r="N1574" s="555" t="n">
        <x:v>1</x:v>
      </x:c>
      <x:c r="O1574" s="556" t="n">
        <x:f>IF($L1574="","",IF(ISNUMBER(SEARCH("all",$L1574)),640,(ISNUMBER(SEARCH("1",$L1574)))*80+(ISNUMBER(SEARCH("2",$L1574)))*160+(ISNUMBER(SEARCH("3",$L1574)))*40+(ISNUMBER(SEARCH("4",$L1574)))*80+(ISNUMBER(SEARCH("5",$L1574)))*120+(ISNUMBER(SEARCH("6",$L1574)))*80+(ISNUMBER(SEARCH("7",$L1574)))*40+(ISNUMBER(SEARCH("8",$L1574)))*40))</x:f>
        <x:v>0</x:v>
      </x:c>
      <x:c r="P1574" s="654" t="n">
        <x:f>IF($M1574&lt;&gt;"Mineral","",IF(ISNUMBER($N1574),$N1574,IF(OR(ISNUMBER(SEARCH("surface",$J1574)),ISNUMBER(SEARCH("reserv",$J1574)),ISNUMBER(SEARCH("less and except",$J1574))),0,"")))</x:f>
        <x:v>1</x:v>
      </x:c>
      <x:c r="Q1574" s="654" t="n">
        <x:f>IF($P1574="","",-$P1574)</x:f>
        <x:v>-1</x:v>
      </x:c>
      <x:c r="R1574" s="655" t="n">
        <x:f>IF($P1574="","",$O1574*$P1574)</x:f>
        <x:v>0</x:v>
      </x:c>
      <x:c r="S1574" s="552" t="str">
        <x:f>IF($M1574="","",TRIM(IF($M1574="Mineral",IF(ISNUMBER($N1574),"Mineral; basis Conv Amt(dec). ",IF($P1574=0,"Mineral; surface-only/reserved-&gt;0 min. ","Mineral; NO AMOUNT-verify instrument. ")),$M1574&amp;" (non-mineral; excluded from mineral NMA). ")&amp;IF(OR(ISNUMBER(SEARCH("public",$G1574)),ISNUMBER(SEARCH("public",$H1574))),"FLAG: The Public placeholder-verify. ","")&amp;IF(ISNUMBER(SEARCH("all",$L1574)),"All-section coverage. ","")&amp;IF($O1574=0,"Gross acres unresolved. ","")&amp;"Gross=tract-map basis."))</x:f>
        <x:v>Mineral; basis Conv Amt(dec). Gross acres unresolved. Gross=tract-map basis.</x:v>
      </x:c>
      <x:c r="T1574" s="578" t="n"/>
      <x:c r="U1574" s="578" t="n"/>
      <x:c r="V1574" s="565" t="n"/>
      <x:c r="W1574" s="565" t="n"/>
      <x:c r="X1574" s="565" t="n"/>
      <x:c r="Y1574" s="565" t="n"/>
      <x:c r="Z1574" s="565" t="n"/>
    </x:row>
    <x:row r="1575">
      <x:c r="A1575" s="552" t="inlineStr">
        <x:is>
          <x:t xml:space="preserve">1932-000511</x:t>
        </x:is>
      </x:c>
      <x:c r="B1575" s="552" t="n"/>
      <x:c r="C1575" s="552" t="inlineStr">
        <x:is>
          <x:t xml:space="preserve">Warranty Deed</x:t>
        </x:is>
      </x:c>
      <x:c r="D1575" s="552" t="inlineStr">
        <x:is>
          <x:t xml:space="preserve">D46/89</x:t>
        </x:is>
      </x:c>
      <x:c r="E1575" s="653" t="n">
        <x:v>12035</x:v>
      </x:c>
      <x:c r="F1575" s="653" t="n">
        <x:v>12035</x:v>
      </x:c>
      <x:c r="G1575" s="552" t="inlineStr">
        <x:is>
          <x:t xml:space="preserve">James G. Hambrook</x:t>
        </x:is>
      </x:c>
      <x:c r="H1575" s="552" t="inlineStr">
        <x:is>
          <x:t xml:space="preserve">Lillie Hambrook</x:t>
        </x:is>
      </x:c>
      <x:c r="I1575" s="552" t="inlineStr">
        <x:is>
          <x:t xml:space="preserve">A tract of land out of the West Half of Northwest Quarter and North Half Northwest Quarter of Southwest Quarter of Section Thirty one (31) in Township Twelve (12) North of Range Twenty four (24) West I. M., described as follows, to-wit: Beginning at the Northwest corner of the Northwest quarter of Section Thirty one (31) in Township Twelve (12) North of Range Twenty four (24) West I. M, thence East on Section line 18.20 chains (or 73 8/10 rods) thence South 50 chains (or 200 rods) thence west 18.20 chains (or 73 8/10 rods) to Range line between Ranges 24 and 25, thence North on Range line 50 chains (or 200 rods) to point of beginning, aol</x:t>
        </x:is>
      </x:c>
      <x:c r="J1575" s="552" t="inlineStr">
        <x:is>
          <x:t xml:space="preserve">ARTI</x:t>
        </x:is>
      </x:c>
      <x:c r="K1575" s="554" t="e">
        <x:f>HYPERLINK("https://okcountyrecords.com/detail/roger+mills/1932-000511","OKCountyRecords: 1932-000511")</x:f>
      </x:c>
      <x:c r="L1575" s="552" t="inlineStr">
        <x:is>
          <x:t xml:space="preserve">Other section</x:t>
        </x:is>
      </x:c>
      <x:c r="M1575" s="552" t="inlineStr">
        <x:is>
          <x:t xml:space="preserve">Mineral</x:t>
        </x:is>
      </x:c>
      <x:c r="N1575" s="555" t="n">
        <x:v>1</x:v>
      </x:c>
      <x:c r="O1575" s="556" t="n">
        <x:f>IF($L1575="","",IF(ISNUMBER(SEARCH("all",$L1575)),640,(ISNUMBER(SEARCH("1",$L1575)))*80+(ISNUMBER(SEARCH("2",$L1575)))*160+(ISNUMBER(SEARCH("3",$L1575)))*40+(ISNUMBER(SEARCH("4",$L1575)))*80+(ISNUMBER(SEARCH("5",$L1575)))*120+(ISNUMBER(SEARCH("6",$L1575)))*80+(ISNUMBER(SEARCH("7",$L1575)))*40+(ISNUMBER(SEARCH("8",$L1575)))*40))</x:f>
        <x:v>0</x:v>
      </x:c>
      <x:c r="P1575" s="654" t="n">
        <x:f>IF($M1575&lt;&gt;"Mineral","",IF(ISNUMBER($N1575),$N1575,IF(OR(ISNUMBER(SEARCH("surface",$J1575)),ISNUMBER(SEARCH("reserv",$J1575)),ISNUMBER(SEARCH("less and except",$J1575))),0,"")))</x:f>
        <x:v>1</x:v>
      </x:c>
      <x:c r="Q1575" s="654" t="n">
        <x:f>IF($P1575="","",-$P1575)</x:f>
        <x:v>-1</x:v>
      </x:c>
      <x:c r="R1575" s="655" t="n">
        <x:f>IF($P1575="","",$O1575*$P1575)</x:f>
        <x:v>0</x:v>
      </x:c>
      <x:c r="S1575" s="552" t="str">
        <x:f>IF($M1575="","",TRIM(IF($M1575="Mineral",IF(ISNUMBER($N1575),"Mineral; basis Conv Amt(dec). ",IF($P1575=0,"Mineral; surface-only/reserved-&gt;0 min. ","Mineral; NO AMOUNT-verify instrument. ")),$M1575&amp;" (non-mineral; excluded from mineral NMA). ")&amp;IF(OR(ISNUMBER(SEARCH("public",$G1575)),ISNUMBER(SEARCH("public",$H1575))),"FLAG: The Public placeholder-verify. ","")&amp;IF(ISNUMBER(SEARCH("all",$L1575)),"All-section coverage. ","")&amp;IF($O1575=0,"Gross acres unresolved. ","")&amp;"Gross=tract-map basis."))</x:f>
        <x:v>Mineral; basis Conv Amt(dec). Gross acres unresolved. Gross=tract-map basis.</x:v>
      </x:c>
      <x:c r="T1575" s="578" t="n"/>
      <x:c r="U1575" s="578" t="n"/>
      <x:c r="V1575" s="565" t="n"/>
      <x:c r="W1575" s="565" t="n"/>
      <x:c r="X1575" s="565" t="n"/>
      <x:c r="Y1575" s="565" t="n"/>
      <x:c r="Z1575" s="565" t="n"/>
    </x:row>
    <x:row r="1576">
      <x:c r="A1576" s="552" t="inlineStr">
        <x:is>
          <x:t xml:space="preserve">2005-008386</x:t>
        </x:is>
      </x:c>
      <x:c r="B1576" s="552" t="n"/>
      <x:c r="C1576" s="552" t="inlineStr">
        <x:is>
          <x:t xml:space="preserve">Order and Final Decree</x:t>
        </x:is>
      </x:c>
      <x:c r="D1576" s="552" t="inlineStr">
        <x:is>
          <x:t xml:space="preserve">1816/41</x:t>
        </x:is>
      </x:c>
      <x:c r="E1576" s="653" t="n">
        <x:v>12655</x:v>
      </x:c>
      <x:c r="F1576" s="653" t="n">
        <x:v>38695</x:v>
      </x:c>
      <x:c r="G1576" s="552" t="inlineStr">
        <x:is>
          <x:t xml:space="preserve">Roger Mills County Court
RE: In the Matter of the Estate of Louis E. Jaques, deceased</x:t>
        </x:is>
      </x:c>
      <x:c r="H1576" s="552" t="inlineStr">
        <x:is>
          <x:t xml:space="preserve">Virginia Jaques, widow, 1/2,
Ethel Brister, 1/2</x:t>
        </x:is>
      </x:c>
      <x:c r="I1576" s="552" t="inlineStr">
        <x:is>
          <x:t xml:space="preserve">N/2 NE/4 of 31-12N-24W, aol</x:t>
        </x:is>
      </x:c>
      <x:c r="J1576" s="552" t="inlineStr">
        <x:is>
          <x:t xml:space="preserve">ARTI</x:t>
        </x:is>
      </x:c>
      <x:c r="K1576" s="554" t="e">
        <x:f>HYPERLINK("https://okcountyrecords.com/detail/roger+mills/2005-008386","OKCountyRecords: 2005-008386")</x:f>
      </x:c>
      <x:c r="L1576" s="552" t="n">
        <x:v>1</x:v>
      </x:c>
      <x:c r="M1576" s="552" t="inlineStr">
        <x:is>
          <x:t xml:space="preserve">Mineral</x:t>
        </x:is>
      </x:c>
      <x:c r="N1576" s="555" t="n">
        <x:v>1</x:v>
      </x:c>
      <x:c r="O1576" s="556" t="n">
        <x:f>IF($L1576="","",IF(ISNUMBER(SEARCH("all",$L1576)),640,(ISNUMBER(SEARCH("1",$L1576)))*80+(ISNUMBER(SEARCH("2",$L1576)))*160+(ISNUMBER(SEARCH("3",$L1576)))*40+(ISNUMBER(SEARCH("4",$L1576)))*80+(ISNUMBER(SEARCH("5",$L1576)))*120+(ISNUMBER(SEARCH("6",$L1576)))*80+(ISNUMBER(SEARCH("7",$L1576)))*40+(ISNUMBER(SEARCH("8",$L1576)))*40))</x:f>
        <x:v>0</x:v>
      </x:c>
      <x:c r="P1576" s="654" t="n">
        <x:f>IF($M1576&lt;&gt;"Mineral","",IF(ISNUMBER($N1576),$N1576,IF(OR(ISNUMBER(SEARCH("surface",$J1576)),ISNUMBER(SEARCH("reserv",$J1576)),ISNUMBER(SEARCH("less and except",$J1576))),0,"")))</x:f>
        <x:v>1</x:v>
      </x:c>
      <x:c r="Q1576" s="654" t="n">
        <x:f>IF($P1576="","",-$P1576)</x:f>
        <x:v>-1</x:v>
      </x:c>
      <x:c r="R1576" s="655" t="n">
        <x:f>IF($P1576="","",$O1576*$P1576)</x:f>
        <x:v>0</x:v>
      </x:c>
      <x:c r="S1576" s="552" t="str">
        <x:f>IF($M1576="","",TRIM(IF($M1576="Mineral",IF(ISNUMBER($N1576),"Mineral; basis Conv Amt(dec). ",IF($P1576=0,"Mineral; surface-only/reserved-&gt;0 min. ","Mineral; NO AMOUNT-verify instrument. ")),$M1576&amp;" (non-mineral; excluded from mineral NMA). ")&amp;IF(OR(ISNUMBER(SEARCH("public",$G1576)),ISNUMBER(SEARCH("public",$H1576))),"FLAG: The Public placeholder-verify. ","")&amp;IF(ISNUMBER(SEARCH("all",$L1576)),"All-section coverage. ","")&amp;IF($O1576=0,"Gross acres unresolved. ","")&amp;"Gross=tract-map basis."))</x:f>
        <x:v>Mineral; basis Conv Amt(dec). Gross acres unresolved. Gross=tract-map basis.</x:v>
      </x:c>
      <x:c r="T1576" s="577" t="n"/>
      <x:c r="U1576" s="578" t="n"/>
      <x:c r="V1576" s="565" t="n"/>
      <x:c r="W1576" s="565" t="n"/>
      <x:c r="X1576" s="565" t="n"/>
      <x:c r="Y1576" s="565" t="n"/>
      <x:c r="Z1576" s="565" t="n"/>
    </x:row>
    <x:row r="1577">
      <x:c r="A1577" s="552" t="inlineStr">
        <x:is>
          <x:t xml:space="preserve">1935-000201</x:t>
        </x:is>
      </x:c>
      <x:c r="B1577" s="552" t="n"/>
      <x:c r="C1577" s="552" t="inlineStr">
        <x:is>
          <x:t xml:space="preserve">Quit Claim Deed</x:t>
        </x:is>
      </x:c>
      <x:c r="D1577" s="552" t="inlineStr">
        <x:is>
          <x:t xml:space="preserve">D45/395</x:t>
        </x:is>
      </x:c>
      <x:c r="E1577" s="653" t="n">
        <x:v>12836</x:v>
      </x:c>
      <x:c r="F1577" s="653" t="n">
        <x:v>12844</x:v>
      </x:c>
      <x:c r="G1577" s="552" t="inlineStr">
        <x:is>
          <x:t xml:space="preserve">Ethel Brister, heir of L. E. Jaques</x:t>
        </x:is>
      </x:c>
      <x:c r="H1577" s="552" t="inlineStr">
        <x:is>
          <x:t xml:space="preserve">Virginia Jaques</x:t>
        </x:is>
      </x:c>
      <x:c r="I1577" s="552" t="inlineStr">
        <x:is>
          <x:t xml:space="preserve">N/2 NE/4 of 31-12N-24W, aol</x:t>
        </x:is>
      </x:c>
      <x:c r="J1577" s="552" t="inlineStr">
        <x:is>
          <x:t xml:space="preserve">ARTI</x:t>
        </x:is>
      </x:c>
      <x:c r="K1577" s="554" t="e">
        <x:f>HYPERLINK("https://okcountyrecords.com/detail/roger+mills/1935-000201","OKCountyRecords: 1935-000201")</x:f>
      </x:c>
      <x:c r="L1577" s="552" t="n">
        <x:v>1</x:v>
      </x:c>
      <x:c r="M1577" s="552" t="inlineStr">
        <x:is>
          <x:t xml:space="preserve">Mineral</x:t>
        </x:is>
      </x:c>
      <x:c r="N1577" s="555" t="n">
        <x:v>1</x:v>
      </x:c>
      <x:c r="O1577" s="556" t="n">
        <x:f>IF($L1577="","",IF(ISNUMBER(SEARCH("all",$L1577)),640,(ISNUMBER(SEARCH("1",$L1577)))*80+(ISNUMBER(SEARCH("2",$L1577)))*160+(ISNUMBER(SEARCH("3",$L1577)))*40+(ISNUMBER(SEARCH("4",$L1577)))*80+(ISNUMBER(SEARCH("5",$L1577)))*120+(ISNUMBER(SEARCH("6",$L1577)))*80+(ISNUMBER(SEARCH("7",$L1577)))*40+(ISNUMBER(SEARCH("8",$L1577)))*40))</x:f>
        <x:v>0</x:v>
      </x:c>
      <x:c r="P1577" s="654" t="n">
        <x:f>IF($M1577&lt;&gt;"Mineral","",IF(ISNUMBER($N1577),$N1577,IF(OR(ISNUMBER(SEARCH("surface",$J1577)),ISNUMBER(SEARCH("reserv",$J1577)),ISNUMBER(SEARCH("less and except",$J1577))),0,"")))</x:f>
        <x:v>1</x:v>
      </x:c>
      <x:c r="Q1577" s="654" t="n">
        <x:f>IF($P1577="","",-$P1577)</x:f>
        <x:v>-1</x:v>
      </x:c>
      <x:c r="R1577" s="655" t="n">
        <x:f>IF($P1577="","",$O1577*$P1577)</x:f>
        <x:v>0</x:v>
      </x:c>
      <x:c r="S1577" s="552" t="str">
        <x:f>IF($M1577="","",TRIM(IF($M1577="Mineral",IF(ISNUMBER($N1577),"Mineral; basis Conv Amt(dec). ",IF($P1577=0,"Mineral; surface-only/reserved-&gt;0 min. ","Mineral; NO AMOUNT-verify instrument. ")),$M1577&amp;" (non-mineral; excluded from mineral NMA). ")&amp;IF(OR(ISNUMBER(SEARCH("public",$G1577)),ISNUMBER(SEARCH("public",$H1577))),"FLAG: The Public placeholder-verify. ","")&amp;IF(ISNUMBER(SEARCH("all",$L1577)),"All-section coverage. ","")&amp;IF($O1577=0,"Gross acres unresolved. ","")&amp;"Gross=tract-map basis."))</x:f>
        <x:v>Mineral; basis Conv Amt(dec). Gross acres unresolved. Gross=tract-map basis.</x:v>
      </x:c>
      <x:c r="T1577" s="577" t="n"/>
      <x:c r="U1577" s="577" t="n"/>
      <x:c r="V1577" s="565" t="n"/>
      <x:c r="W1577" s="565" t="n"/>
      <x:c r="X1577" s="565" t="n"/>
      <x:c r="Y1577" s="565" t="n"/>
      <x:c r="Z1577" s="565" t="n"/>
    </x:row>
    <x:row r="1578">
      <x:c r="A1578" s="552" t="inlineStr">
        <x:is>
          <x:t xml:space="preserve">1935-000554</x:t>
        </x:is>
      </x:c>
      <x:c r="B1578" s="552" t="n"/>
      <x:c r="C1578" s="552" t="inlineStr">
        <x:is>
          <x:t xml:space="preserve">Warranty Deed</x:t>
        </x:is>
      </x:c>
      <x:c r="D1578" s="552" t="inlineStr">
        <x:is>
          <x:t xml:space="preserve">D46/540</x:t>
        </x:is>
      </x:c>
      <x:c r="E1578" s="653" t="n">
        <x:v>13094</x:v>
      </x:c>
      <x:c r="F1578" s="653" t="n">
        <x:v>13121</x:v>
      </x:c>
      <x:c r="G1578" s="552" t="inlineStr">
        <x:is>
          <x:t xml:space="preserve">Thomas O. Hambrook and Flora E. Hambrook, HW</x:t>
        </x:is>
      </x:c>
      <x:c r="H1578" s="552" t="inlineStr">
        <x:is>
          <x:t xml:space="preserve">H. M. Carter</x:t>
        </x:is>
      </x:c>
      <x:c r="I1578" s="552" t="inlineStr">
        <x:is>
          <x:t xml:space="preserve">Beginning at the half Section corner on line between Sections Thirty (30) and Thirty-one (31), in Township Twelve (12), North of Range Twenty-four (24), thence South 50 chains (or 200 reds), thence West 18.20 chains (or 72.8/10 rodst thence North 50 chains (or200 reds) to section line, between Sections Thirty (30) and Thirty-one (31) thence East on Section line 18.20 chains (or 72.8/10 rods) to point beginning.</x:t>
        </x:is>
      </x:c>
      <x:c r="J1578" s="552" t="inlineStr">
        <x:is>
          <x:t xml:space="preserve">ARTI</x:t>
        </x:is>
      </x:c>
      <x:c r="K1578" s="554" t="e">
        <x:f>HYPERLINK("https://okcountyrecords.com/detail/roger+mills/1935-000554","OKCountyRecords: 1935-000554")</x:f>
      </x:c>
      <x:c r="L1578" s="552" t="inlineStr">
        <x:is>
          <x:t xml:space="preserve">Other section</x:t>
        </x:is>
      </x:c>
      <x:c r="M1578" s="552" t="inlineStr">
        <x:is>
          <x:t xml:space="preserve">Mineral</x:t>
        </x:is>
      </x:c>
      <x:c r="N1578" s="555" t="n">
        <x:v>1</x:v>
      </x:c>
      <x:c r="O1578" s="556" t="n">
        <x:f>IF($L1578="","",IF(ISNUMBER(SEARCH("all",$L1578)),640,(ISNUMBER(SEARCH("1",$L1578)))*80+(ISNUMBER(SEARCH("2",$L1578)))*160+(ISNUMBER(SEARCH("3",$L1578)))*40+(ISNUMBER(SEARCH("4",$L1578)))*80+(ISNUMBER(SEARCH("5",$L1578)))*120+(ISNUMBER(SEARCH("6",$L1578)))*80+(ISNUMBER(SEARCH("7",$L1578)))*40+(ISNUMBER(SEARCH("8",$L1578)))*40))</x:f>
        <x:v>0</x:v>
      </x:c>
      <x:c r="P1578" s="654" t="n">
        <x:f>IF($M1578&lt;&gt;"Mineral","",IF(ISNUMBER($N1578),$N1578,IF(OR(ISNUMBER(SEARCH("surface",$J1578)),ISNUMBER(SEARCH("reserv",$J1578)),ISNUMBER(SEARCH("less and except",$J1578))),0,"")))</x:f>
        <x:v>1</x:v>
      </x:c>
      <x:c r="Q1578" s="654" t="n">
        <x:f>IF($P1578="","",-$P1578)</x:f>
        <x:v>-1</x:v>
      </x:c>
      <x:c r="R1578" s="655" t="n">
        <x:f>IF($P1578="","",$O1578*$P1578)</x:f>
        <x:v>0</x:v>
      </x:c>
      <x:c r="S1578" s="552" t="str">
        <x:f>IF($M1578="","",TRIM(IF($M1578="Mineral",IF(ISNUMBER($N1578),"Mineral; basis Conv Amt(dec). ",IF($P1578=0,"Mineral; surface-only/reserved-&gt;0 min. ","Mineral; NO AMOUNT-verify instrument. ")),$M1578&amp;" (non-mineral; excluded from mineral NMA). ")&amp;IF(OR(ISNUMBER(SEARCH("public",$G1578)),ISNUMBER(SEARCH("public",$H1578))),"FLAG: The Public placeholder-verify. ","")&amp;IF(ISNUMBER(SEARCH("all",$L1578)),"All-section coverage. ","")&amp;IF($O1578=0,"Gross acres unresolved. ","")&amp;"Gross=tract-map basis."))</x:f>
        <x:v>Mineral; basis Conv Amt(dec). Gross acres unresolved. Gross=tract-map basis.</x:v>
      </x:c>
      <x:c r="T1578" s="578" t="n"/>
      <x:c r="U1578" s="578" t="n"/>
      <x:c r="V1578" s="565" t="n"/>
      <x:c r="W1578" s="565" t="n"/>
      <x:c r="X1578" s="565" t="n"/>
      <x:c r="Y1578" s="565" t="n"/>
      <x:c r="Z1578" s="565" t="n"/>
    </x:row>
    <x:row r="1579">
      <x:c r="A1579" s="552" t="inlineStr">
        <x:is>
          <x:t xml:space="preserve">1937-000416</x:t>
        </x:is>
      </x:c>
      <x:c r="B1579" s="552" t="n"/>
      <x:c r="C1579" s="552" t="inlineStr">
        <x:is>
          <x:t xml:space="preserve">Warranty Deed</x:t>
        </x:is>
      </x:c>
      <x:c r="D1579" s="552" t="inlineStr">
        <x:is>
          <x:t xml:space="preserve">D48/72</x:t>
        </x:is>
      </x:c>
      <x:c r="E1579" s="653" t="n">
        <x:v>13545</x:v>
      </x:c>
      <x:c r="F1579" s="653" t="n">
        <x:v>13545</x:v>
      </x:c>
      <x:c r="G1579" s="552" t="inlineStr">
        <x:is>
          <x:t xml:space="preserve">Virginia Jaques and N. Virgina Jacques, one and the same person, a widow</x:t>
        </x:is>
      </x:c>
      <x:c r="H1579" s="552" t="inlineStr">
        <x:is>
          <x:t xml:space="preserve">H. M. Carter</x:t>
        </x:is>
      </x:c>
      <x:c r="I1579" s="552" t="inlineStr">
        <x:is>
          <x:t xml:space="preserve">N/2 NE/4 of 31-12N-24W, aol</x:t>
        </x:is>
      </x:c>
      <x:c r="J1579" s="552" t="inlineStr">
        <x:is>
          <x:t xml:space="preserve">ARTI
Subject to 1/2 of the royalty sold to Panhandle Co-Operative Royalty Company</x:t>
        </x:is>
      </x:c>
      <x:c r="K1579" s="554" t="e">
        <x:f>HYPERLINK("https://okcountyrecords.com/detail/roger+mills/1937-000416","OKCountyRecords: 1937-000416")</x:f>
      </x:c>
      <x:c r="L1579" s="552" t="n">
        <x:v>1</x:v>
      </x:c>
      <x:c r="M1579" s="552" t="inlineStr">
        <x:is>
          <x:t xml:space="preserve">Mineral</x:t>
        </x:is>
      </x:c>
      <x:c r="N1579" s="555" t="n">
        <x:v>1</x:v>
      </x:c>
      <x:c r="O1579" s="556" t="n">
        <x:f>IF($L1579="","",IF(ISNUMBER(SEARCH("all",$L1579)),640,(ISNUMBER(SEARCH("1",$L1579)))*80+(ISNUMBER(SEARCH("2",$L1579)))*160+(ISNUMBER(SEARCH("3",$L1579)))*40+(ISNUMBER(SEARCH("4",$L1579)))*80+(ISNUMBER(SEARCH("5",$L1579)))*120+(ISNUMBER(SEARCH("6",$L1579)))*80+(ISNUMBER(SEARCH("7",$L1579)))*40+(ISNUMBER(SEARCH("8",$L1579)))*40))</x:f>
        <x:v>0</x:v>
      </x:c>
      <x:c r="P1579" s="654" t="n">
        <x:f>IF($M1579&lt;&gt;"Mineral","",IF(ISNUMBER($N1579),$N1579,IF(OR(ISNUMBER(SEARCH("surface",$J1579)),ISNUMBER(SEARCH("reserv",$J1579)),ISNUMBER(SEARCH("less and except",$J1579))),0,"")))</x:f>
        <x:v>1</x:v>
      </x:c>
      <x:c r="Q1579" s="654" t="n">
        <x:f>IF($P1579="","",-$P1579)</x:f>
        <x:v>-1</x:v>
      </x:c>
      <x:c r="R1579" s="655" t="n">
        <x:f>IF($P1579="","",$O1579*$P1579)</x:f>
        <x:v>0</x:v>
      </x:c>
      <x:c r="S1579" s="552" t="str">
        <x:f>IF($M1579="","",TRIM(IF($M1579="Mineral",IF(ISNUMBER($N1579),"Mineral; basis Conv Amt(dec). ",IF($P1579=0,"Mineral; surface-only/reserved-&gt;0 min. ","Mineral; NO AMOUNT-verify instrument. ")),$M1579&amp;" (non-mineral; excluded from mineral NMA). ")&amp;IF(OR(ISNUMBER(SEARCH("public",$G1579)),ISNUMBER(SEARCH("public",$H1579))),"FLAG: The Public placeholder-verify. ","")&amp;IF(ISNUMBER(SEARCH("all",$L1579)),"All-section coverage. ","")&amp;IF($O1579=0,"Gross acres unresolved. ","")&amp;"Gross=tract-map basis."))</x:f>
        <x:v>Mineral; basis Conv Amt(dec). Gross acres unresolved. Gross=tract-map basis.</x:v>
      </x:c>
      <x:c r="T1579" s="577" t="n"/>
      <x:c r="U1579" s="577" t="n"/>
      <x:c r="V1579" s="565" t="n"/>
      <x:c r="W1579" s="565" t="n"/>
      <x:c r="X1579" s="565" t="n"/>
      <x:c r="Y1579" s="565" t="n"/>
      <x:c r="Z1579" s="565" t="n"/>
    </x:row>
    <x:row r="1580">
      <x:c r="A1580" s="552" t="inlineStr">
        <x:is>
          <x:t xml:space="preserve">1938-000632</x:t>
        </x:is>
      </x:c>
      <x:c r="B1580" s="552" t="n"/>
      <x:c r="C1580" s="552" t="inlineStr">
        <x:is>
          <x:t xml:space="preserve">Affidavit</x:t>
        </x:is>
      </x:c>
      <x:c r="D1580" s="552" t="inlineStr">
        <x:is>
          <x:t xml:space="preserve">MIS19/466</x:t>
        </x:is>
      </x:c>
      <x:c r="E1580" s="653" t="n">
        <x:v>13938</x:v>
      </x:c>
      <x:c r="F1580" s="653" t="n">
        <x:v>13924</x:v>
      </x:c>
      <x:c r="G1580" s="552" t="inlineStr">
        <x:is>
          <x:t xml:space="preserve">M. R. Slief</x:t>
        </x:is>
      </x:c>
      <x:c r="H1580" s="552" t="inlineStr">
        <x:is>
          <x:t xml:space="preserve">The Public</x:t>
        </x:is>
      </x:c>
      <x:c r="I1580" s="552" t="inlineStr">
        <x:is>
          <x:t xml:space="preserve">All of 31-12N-24W, aol</x:t>
        </x:is>
      </x:c>
      <x:c r="J1580" s="552" t="inlineStr">
        <x:is>
          <x:t xml:space="preserve">Affidavit of identity (MR Slief): James G. Hambrook = J. G. Hambrook (Probate #744, an heir of Mark Hambrook, dec'd); re the 2/20/1931 deed to Thomas O. Hambrook (Bk 41 W. Deeds/448) covering a metes-and-bounds tract in the W/2 of Sec 31-12N-24W. [Full text in cell comment]</x:t>
        </x:is>
      </x:c>
      <x:c r="K1580" s="554" t="e">
        <x:f>HYPERLINK("https://okcountyrecords.com/detail/roger+mills/1938-000632","OKCountyRecords: 1938-000632")</x:f>
      </x:c>
      <x:c r="L1580" s="552" t="inlineStr">
        <x:is>
          <x:t xml:space="preserve">All (1-8)</x:t>
        </x:is>
      </x:c>
      <x:c r="M1580" s="552" t="inlineStr">
        <x:is>
          <x:t xml:space="preserve">Other</x:t>
        </x:is>
      </x:c>
      <x:c r="N1580" s="555" t="n"/>
      <x:c r="O1580" s="556" t="n">
        <x:f>IF($L1580="","",IF(ISNUMBER(SEARCH("all",$L1580)),640,(ISNUMBER(SEARCH("1",$L1580)))*80+(ISNUMBER(SEARCH("2",$L1580)))*160+(ISNUMBER(SEARCH("3",$L1580)))*40+(ISNUMBER(SEARCH("4",$L1580)))*80+(ISNUMBER(SEARCH("5",$L1580)))*120+(ISNUMBER(SEARCH("6",$L1580)))*80+(ISNUMBER(SEARCH("7",$L1580)))*40+(ISNUMBER(SEARCH("8",$L1580)))*40))</x:f>
        <x:v>640</x:v>
      </x:c>
      <x:c r="P1580" s="654" t="str">
        <x:f>IF($M1580&lt;&gt;"Mineral","",IF(ISNUMBER($N1580),$N1580,IF(OR(ISNUMBER(SEARCH("surface",$J1580)),ISNUMBER(SEARCH("reserv",$J1580)),ISNUMBER(SEARCH("less and except",$J1580))),0,"")))</x:f>
      </x:c>
      <x:c r="Q1580" s="654" t="str">
        <x:f>IF($P1580="","",-$P1580)</x:f>
      </x:c>
      <x:c r="R1580" s="655" t="str">
        <x:f>IF($P1580="","",$O1580*$P1580)</x:f>
      </x:c>
      <x:c r="S1580" s="552" t="inlineStr">
        <x:is>
          <x:t xml:space="preserve">Other (non-mineral; excluded from mineral NMA). All-section coverage. Gross=tract-map basis.</x:t>
        </x:is>
      </x:c>
      <x:c r="T1580" s="577" t="inlineStr">
        <x:is>
          <x:t xml:space="preserve">OK</x:t>
        </x:is>
      </x:c>
      <x:c r="U1580" s="578" t="inlineStr">
        <x:is>
          <x:t xml:space="preserve">Non-conveying — notice/affidavit/address change (The Public).</x:t>
        </x:is>
      </x:c>
      <x:c r="V1580" s="565" t="n"/>
      <x:c r="W1580" s="565" t="n"/>
      <x:c r="X1580" s="565" t="n"/>
      <x:c r="Y1580" s="565" t="n"/>
      <x:c r="Z1580" s="565" t="n"/>
    </x:row>
    <x:row r="1581">
      <x:c r="A1581" s="552" t="inlineStr">
        <x:is>
          <x:t xml:space="preserve">1939-001120</x:t>
        </x:is>
      </x:c>
      <x:c r="B1581" s="552" t="n"/>
      <x:c r="C1581" s="552" t="inlineStr">
        <x:is>
          <x:t xml:space="preserve">Quit Claim Deed</x:t>
        </x:is>
      </x:c>
      <x:c r="D1581" s="552" t="inlineStr">
        <x:is>
          <x:t xml:space="preserve">QCD3/491</x:t>
        </x:is>
      </x:c>
      <x:c r="E1581" s="653" t="n">
        <x:v>14235</x:v>
      </x:c>
      <x:c r="F1581" s="653" t="n">
        <x:v>14289</x:v>
      </x:c>
      <x:c r="G1581" s="552" t="inlineStr">
        <x:is>
          <x:t xml:space="preserve">Jack Brister and Ethel Brister, HW</x:t>
        </x:is>
      </x:c>
      <x:c r="H1581" s="552" t="inlineStr">
        <x:is>
          <x:t xml:space="preserve">Virginia Jaques</x:t>
        </x:is>
      </x:c>
      <x:c r="I1581" s="552" t="inlineStr">
        <x:is>
          <x:t xml:space="preserve">N/2 NE/4 of 31-12N-24W</x:t>
        </x:is>
      </x:c>
      <x:c r="J1581" s="552" t="inlineStr">
        <x:is>
          <x:t xml:space="preserve">ARTI, to correct deed at 45/395</x:t>
        </x:is>
      </x:c>
      <x:c r="K1581" s="554" t="e">
        <x:f>HYPERLINK("https://okcountyrecords.com/detail/roger+mills/1939-001120","OKCountyRecords: 1939-001120")</x:f>
      </x:c>
      <x:c r="L1581" s="552" t="n">
        <x:v>1</x:v>
      </x:c>
      <x:c r="M1581" s="552" t="inlineStr">
        <x:is>
          <x:t xml:space="preserve">Mineral</x:t>
        </x:is>
      </x:c>
      <x:c r="N1581" s="555" t="n">
        <x:v>1</x:v>
      </x:c>
      <x:c r="O1581" s="556" t="n">
        <x:f>IF($L1581="","",IF(ISNUMBER(SEARCH("all",$L1581)),640,(ISNUMBER(SEARCH("1",$L1581)))*80+(ISNUMBER(SEARCH("2",$L1581)))*160+(ISNUMBER(SEARCH("3",$L1581)))*40+(ISNUMBER(SEARCH("4",$L1581)))*80+(ISNUMBER(SEARCH("5",$L1581)))*120+(ISNUMBER(SEARCH("6",$L1581)))*80+(ISNUMBER(SEARCH("7",$L1581)))*40+(ISNUMBER(SEARCH("8",$L1581)))*40))</x:f>
        <x:v>0</x:v>
      </x:c>
      <x:c r="P1581" s="654" t="n">
        <x:f>IF($M1581&lt;&gt;"Mineral","",IF(ISNUMBER($N1581),$N1581,IF(OR(ISNUMBER(SEARCH("surface",$J1581)),ISNUMBER(SEARCH("reserv",$J1581)),ISNUMBER(SEARCH("less and except",$J1581))),0,"")))</x:f>
        <x:v>1</x:v>
      </x:c>
      <x:c r="Q1581" s="654" t="n">
        <x:f>IF($P1581="","",-$P1581)</x:f>
        <x:v>-1</x:v>
      </x:c>
      <x:c r="R1581" s="655" t="n">
        <x:f>IF($P1581="","",$O1581*$P1581)</x:f>
        <x:v>0</x:v>
      </x:c>
      <x:c r="S1581" s="552" t="str">
        <x:f>IF($M1581="","",TRIM(IF($M1581="Mineral",IF(ISNUMBER($N1581),"Mineral; basis Conv Amt(dec). ",IF($P1581=0,"Mineral; surface-only/reserved-&gt;0 min. ","Mineral; NO AMOUNT-verify instrument. ")),$M1581&amp;" (non-mineral; excluded from mineral NMA). ")&amp;IF(OR(ISNUMBER(SEARCH("public",$G1581)),ISNUMBER(SEARCH("public",$H1581))),"FLAG: The Public placeholder-verify. ","")&amp;IF(ISNUMBER(SEARCH("all",$L1581)),"All-section coverage. ","")&amp;IF($O1581=0,"Gross acres unresolved. ","")&amp;"Gross=tract-map basis."))</x:f>
        <x:v>Mineral; basis Conv Amt(dec). Gross acres unresolved. Gross=tract-map basis.</x:v>
      </x:c>
      <x:c r="T1581" s="577" t="n"/>
      <x:c r="U1581" s="577" t="n"/>
      <x:c r="V1581" s="565" t="n"/>
      <x:c r="W1581" s="565" t="n"/>
      <x:c r="X1581" s="565" t="n"/>
      <x:c r="Y1581" s="565" t="n"/>
      <x:c r="Z1581" s="565" t="n"/>
    </x:row>
    <x:row r="1582">
      <x:c r="A1582" s="552" t="inlineStr">
        <x:is>
          <x:t xml:space="preserve">1942-000630</x:t>
        </x:is>
      </x:c>
      <x:c r="B1582" s="552" t="n"/>
      <x:c r="C1582" s="552" t="inlineStr">
        <x:is>
          <x:t xml:space="preserve">Final Decree and Distribution</x:t>
        </x:is>
      </x:c>
      <x:c r="D1582" s="552" t="inlineStr">
        <x:is>
          <x:t xml:space="preserve">MIS21/471</x:t>
        </x:is>
      </x:c>
      <x:c r="E1582" s="653" t="n">
        <x:v>15490</x:v>
      </x:c>
      <x:c r="F1582" s="653" t="n">
        <x:v>15490</x:v>
      </x:c>
      <x:c r="G1582" s="552" t="inlineStr">
        <x:is>
          <x:t xml:space="preserve">Beckham County Court,
RE: In the Matter of the Estate of Swinburn J. Stewart, Deceased</x:t>
        </x:is>
      </x:c>
      <x:c r="H1582" s="552" t="inlineStr">
        <x:is>
          <x:t xml:space="preserve">Gladys Priest, 1/4,
Swinburn J. Stewart, Jr., 1/4,
Margaret Standiford, 1/4,
Mary Margaret Wilson, 1/4</x:t>
        </x:is>
      </x:c>
      <x:c r="I1582" s="552" t="inlineStr">
        <x:is>
          <x:t xml:space="preserve">SE/4 SW/4 of 31-12N-24W, aol</x:t>
        </x:is>
      </x:c>
      <x:c r="J1582" s="552" t="inlineStr">
        <x:is>
          <x:t xml:space="preserve">ARTI, An undivided interest</x:t>
        </x:is>
      </x:c>
      <x:c r="K1582" s="554" t="e">
        <x:f>HYPERLINK("https://okcountyrecords.com/detail/roger+mills/1942-000630","OKCountyRecords: 1942-000630")</x:f>
      </x:c>
      <x:c r="L1582" s="552" t="n">
        <x:v>5</x:v>
      </x:c>
      <x:c r="M1582" s="552" t="inlineStr">
        <x:is>
          <x:t xml:space="preserve">Mineral</x:t>
        </x:is>
      </x:c>
      <x:c r="N1582" s="555" t="n">
        <x:v>1</x:v>
      </x:c>
      <x:c r="O1582" s="556" t="n">
        <x:f>IF($L1582="","",IF(ISNUMBER(SEARCH("all",$L1582)),640,(ISNUMBER(SEARCH("1",$L1582)))*80+(ISNUMBER(SEARCH("2",$L1582)))*160+(ISNUMBER(SEARCH("3",$L1582)))*40+(ISNUMBER(SEARCH("4",$L1582)))*80+(ISNUMBER(SEARCH("5",$L1582)))*120+(ISNUMBER(SEARCH("6",$L1582)))*80+(ISNUMBER(SEARCH("7",$L1582)))*40+(ISNUMBER(SEARCH("8",$L1582)))*40))</x:f>
        <x:v>0</x:v>
      </x:c>
      <x:c r="P1582" s="654" t="n">
        <x:f>IF($M1582&lt;&gt;"Mineral","",IF(ISNUMBER($N1582),$N1582,IF(OR(ISNUMBER(SEARCH("surface",$J1582)),ISNUMBER(SEARCH("reserv",$J1582)),ISNUMBER(SEARCH("less and except",$J1582))),0,"")))</x:f>
        <x:v>1</x:v>
      </x:c>
      <x:c r="Q1582" s="654" t="n">
        <x:f>IF($P1582="","",-$P1582)</x:f>
        <x:v>-1</x:v>
      </x:c>
      <x:c r="R1582" s="655" t="n">
        <x:f>IF($P1582="","",$O1582*$P1582)</x:f>
        <x:v>0</x:v>
      </x:c>
      <x:c r="S1582" s="552" t="str">
        <x:f>IF($M1582="","",TRIM(IF($M1582="Mineral",IF(ISNUMBER($N1582),"Mineral; basis Conv Amt(dec). ",IF($P1582=0,"Mineral; surface-only/reserved-&gt;0 min. ","Mineral; NO AMOUNT-verify instrument. ")),$M1582&amp;" (non-mineral; excluded from mineral NMA). ")&amp;IF(OR(ISNUMBER(SEARCH("public",$G1582)),ISNUMBER(SEARCH("public",$H1582))),"FLAG: The Public placeholder-verify. ","")&amp;IF(ISNUMBER(SEARCH("all",$L1582)),"All-section coverage. ","")&amp;IF($O1582=0,"Gross acres unresolved. ","")&amp;"Gross=tract-map basis."))</x:f>
        <x:v>Mineral; basis Conv Amt(dec). Gross acres unresolved. Gross=tract-map basis.</x:v>
      </x:c>
      <x:c r="T1582" s="577" t="n"/>
      <x:c r="U1582" s="578" t="n"/>
      <x:c r="V1582" s="565" t="n"/>
      <x:c r="W1582" s="565" t="n"/>
      <x:c r="X1582" s="565" t="n"/>
      <x:c r="Y1582" s="565" t="n"/>
      <x:c r="Z1582" s="565" t="n"/>
    </x:row>
    <x:row r="1583">
      <x:c r="A1583" s="552" t="inlineStr">
        <x:is>
          <x:t xml:space="preserve">1945-000171</x:t>
        </x:is>
      </x:c>
      <x:c r="B1583" s="552" t="n"/>
      <x:c r="C1583" s="552" t="inlineStr">
        <x:is>
          <x:t xml:space="preserve">Warranty Deed</x:t>
        </x:is>
      </x:c>
      <x:c r="D1583" s="552" t="inlineStr">
        <x:is>
          <x:t xml:space="preserve">D55/254</x:t>
        </x:is>
      </x:c>
      <x:c r="E1583" s="653" t="n">
        <x:v>16434</x:v>
      </x:c>
      <x:c r="F1583" s="653" t="n">
        <x:v>16508</x:v>
      </x:c>
      <x:c r="G1583" s="552" t="inlineStr">
        <x:is>
          <x:t xml:space="preserve">Maggie Davis, formerly Maggie Bennett &amp; H. V. Davis, wife and husband; Eli L. Shotwell &amp; Ida M. Shotwell husband &amp; wife; Pearl L. Davis, &amp; O. L. Davis, wife &amp; husband; Roy T. Shotwell &amp; Josie A.
Shotwell, husband &amp; wife; Ida M. Cuff and A. M. Cuff, wife and husband</x:t>
        </x:is>
      </x:c>
      <x:c r="H1583" s="552" t="inlineStr">
        <x:is>
          <x:t xml:space="preserve">H. M. Carter</x:t>
        </x:is>
      </x:c>
      <x:c r="I1583" s="552" t="inlineStr">
        <x:is>
          <x:t xml:space="preserve">SE/4 NE/4, NE/4 SE/4 of 31-12N-24W</x:t>
        </x:is>
      </x:c>
      <x:c r="J1583" s="552" t="inlineStr">
        <x:is>
          <x:t xml:space="preserve">ARTI</x:t>
        </x:is>
      </x:c>
      <x:c r="K1583" s="554" t="e">
        <x:f>HYPERLINK("https://okcountyrecords.com/detail/roger+mills/1945-000171","OKCountyRecords: 1945-000171")</x:f>
      </x:c>
      <x:c r="L1583" s="552" t="inlineStr">
        <x:is>
          <x:t xml:space="preserve">3, 8</x:t>
        </x:is>
      </x:c>
      <x:c r="M1583" s="552" t="inlineStr">
        <x:is>
          <x:t xml:space="preserve">Mineral</x:t>
        </x:is>
      </x:c>
      <x:c r="N1583" s="561" t="n">
        <x:v>1</x:v>
      </x:c>
      <x:c r="O1583" s="556" t="n">
        <x:f>IF($L1583="","",IF(ISNUMBER(SEARCH("all",$L1583)),640,(ISNUMBER(SEARCH("1",$L1583)))*80+(ISNUMBER(SEARCH("2",$L1583)))*160+(ISNUMBER(SEARCH("3",$L1583)))*40+(ISNUMBER(SEARCH("4",$L1583)))*80+(ISNUMBER(SEARCH("5",$L1583)))*120+(ISNUMBER(SEARCH("6",$L1583)))*80+(ISNUMBER(SEARCH("7",$L1583)))*40+(ISNUMBER(SEARCH("8",$L1583)))*40))</x:f>
        <x:v>0</x:v>
      </x:c>
      <x:c r="P1583" s="654" t="n">
        <x:f>IF($M1583&lt;&gt;"Mineral","",IF(ISNUMBER($N1583),$N1583,IF(OR(ISNUMBER(SEARCH("surface",$J1583)),ISNUMBER(SEARCH("reserv",$J1583)),ISNUMBER(SEARCH("less and except",$J1583))),0,"")))</x:f>
        <x:v>1</x:v>
      </x:c>
      <x:c r="Q1583" s="654" t="n">
        <x:f>IF($P1583="","",-$P1583)</x:f>
        <x:v>-1</x:v>
      </x:c>
      <x:c r="R1583" s="655" t="n">
        <x:f>IF($P1583="","",$O1583*$P1583)</x:f>
        <x:v>0</x:v>
      </x:c>
      <x:c r="S1583" s="552" t="str">
        <x:f>IF($M1583="","",TRIM(IF($M1583="Mineral",IF(ISNUMBER($N1583),"Mineral; basis Conv Amt(dec). ",IF($P1583=0,"Mineral; surface-only/reserved-&gt;0 min. ","Mineral; NO AMOUNT-verify instrument. ")),$M1583&amp;" (non-mineral; excluded from mineral NMA). ")&amp;IF(OR(ISNUMBER(SEARCH("public",$G1583)),ISNUMBER(SEARCH("public",$H1583))),"FLAG: The Public placeholder-verify. ","")&amp;IF(ISNUMBER(SEARCH("all",$L1583)),"All-section coverage. ","")&amp;IF($O1583=0,"Gross acres unresolved. ","")&amp;"Gross=tract-map basis."))</x:f>
        <x:v>Mineral; basis Conv Amt(dec). Gross acres unresolved. Gross=tract-map basis.</x:v>
      </x:c>
      <x:c r="T1583" s="578" t="n"/>
      <x:c r="U1583" s="578" t="n"/>
      <x:c r="V1583" s="565" t="n"/>
      <x:c r="W1583" s="565" t="n"/>
      <x:c r="X1583" s="565" t="n"/>
      <x:c r="Y1583" s="565" t="n"/>
      <x:c r="Z1583" s="565" t="n"/>
    </x:row>
    <x:row r="1584">
      <x:c r="A1584" s="552" t="inlineStr">
        <x:is>
          <x:t xml:space="preserve">1945-000816</x:t>
        </x:is>
      </x:c>
      <x:c r="B1584" s="552" t="n"/>
      <x:c r="C1584" s="552" t="inlineStr">
        <x:is>
          <x:t xml:space="preserve">Final Decree</x:t>
        </x:is>
      </x:c>
      <x:c r="D1584" s="552" t="inlineStr">
        <x:is>
          <x:t xml:space="preserve">MIS22/628</x:t>
        </x:is>
      </x:c>
      <x:c r="E1584" s="653" t="n">
        <x:v>16439</x:v>
      </x:c>
      <x:c r="F1584" s="653" t="n">
        <x:v>16439</x:v>
      </x:c>
      <x:c r="G1584" s="552" t="inlineStr">
        <x:is>
          <x:t xml:space="preserve">Beckham County Court,
RE: In the Matter of the Estate of Benjamin H. Shotwell, Deceased</x:t>
        </x:is>
      </x:c>
      <x:c r="H1584" s="552" t="inlineStr">
        <x:is>
          <x:t xml:space="preserve">Maggie Bennett,
Eli L. Shotwell,
Pearl L. Davis,
Roy T. Shotwell,
Ida M. Cuff</x:t>
        </x:is>
      </x:c>
      <x:c r="I1584" s="552" t="inlineStr">
        <x:is>
          <x:t xml:space="preserve">SE/4 NE/4, NE/4 SE/4 of 31-12N-24W, aol</x:t>
        </x:is>
      </x:c>
      <x:c r="J1584" s="552" t="inlineStr">
        <x:is>
          <x:t xml:space="preserve">ARTI</x:t>
        </x:is>
      </x:c>
      <x:c r="K1584" s="554" t="e">
        <x:f>HYPERLINK("https://okcountyrecords.com/detail/roger+mills/1945-000816","OKCountyRecords: 1945-000816")</x:f>
      </x:c>
      <x:c r="L1584" s="552" t="inlineStr">
        <x:is>
          <x:t xml:space="preserve">3, 8</x:t>
        </x:is>
      </x:c>
      <x:c r="M1584" s="552" t="inlineStr">
        <x:is>
          <x:t xml:space="preserve">Mineral</x:t>
        </x:is>
      </x:c>
      <x:c r="N1584" s="561" t="n">
        <x:v>1</x:v>
      </x:c>
      <x:c r="O1584" s="556" t="n">
        <x:f>IF($L1584="","",IF(ISNUMBER(SEARCH("all",$L1584)),640,(ISNUMBER(SEARCH("1",$L1584)))*80+(ISNUMBER(SEARCH("2",$L1584)))*160+(ISNUMBER(SEARCH("3",$L1584)))*40+(ISNUMBER(SEARCH("4",$L1584)))*80+(ISNUMBER(SEARCH("5",$L1584)))*120+(ISNUMBER(SEARCH("6",$L1584)))*80+(ISNUMBER(SEARCH("7",$L1584)))*40+(ISNUMBER(SEARCH("8",$L1584)))*40))</x:f>
        <x:v>0</x:v>
      </x:c>
      <x:c r="P1584" s="654" t="n">
        <x:f>IF($M1584&lt;&gt;"Mineral","",IF(ISNUMBER($N1584),$N1584,IF(OR(ISNUMBER(SEARCH("surface",$J1584)),ISNUMBER(SEARCH("reserv",$J1584)),ISNUMBER(SEARCH("less and except",$J1584))),0,"")))</x:f>
        <x:v>1</x:v>
      </x:c>
      <x:c r="Q1584" s="654" t="n">
        <x:f>IF($P1584="","",-$P1584)</x:f>
        <x:v>-1</x:v>
      </x:c>
      <x:c r="R1584" s="655" t="n">
        <x:f>IF($P1584="","",$O1584*$P1584)</x:f>
        <x:v>0</x:v>
      </x:c>
      <x:c r="S1584" s="552" t="str">
        <x:f>IF($M1584="","",TRIM(IF($M1584="Mineral",IF(ISNUMBER($N1584),"Mineral; basis Conv Amt(dec). ",IF($P1584=0,"Mineral; surface-only/reserved-&gt;0 min. ","Mineral; NO AMOUNT-verify instrument. ")),$M1584&amp;" (non-mineral; excluded from mineral NMA). ")&amp;IF(OR(ISNUMBER(SEARCH("public",$G1584)),ISNUMBER(SEARCH("public",$H1584))),"FLAG: The Public placeholder-verify. ","")&amp;IF(ISNUMBER(SEARCH("all",$L1584)),"All-section coverage. ","")&amp;IF($O1584=0,"Gross acres unresolved. ","")&amp;"Gross=tract-map basis."))</x:f>
        <x:v>Mineral; basis Conv Amt(dec). Gross acres unresolved. Gross=tract-map basis.</x:v>
      </x:c>
      <x:c r="T1584" s="559" t="n"/>
      <x:c r="U1584" s="559" t="n"/>
      <x:c r="V1584" s="565" t="n"/>
      <x:c r="W1584" s="565" t="n"/>
      <x:c r="X1584" s="565" t="n"/>
      <x:c r="Y1584" s="565" t="n"/>
      <x:c r="Z1584" s="565" t="n"/>
    </x:row>
    <x:row r="1585">
      <x:c r="A1585" s="552" t="inlineStr">
        <x:is>
          <x:t xml:space="preserve">1949-002138</x:t>
        </x:is>
      </x:c>
      <x:c r="B1585" s="552" t="n"/>
      <x:c r="C1585" s="552" t="inlineStr">
        <x:is>
          <x:t xml:space="preserve">Contract</x:t>
        </x:is>
      </x:c>
      <x:c r="D1585" s="552" t="inlineStr">
        <x:is>
          <x:t xml:space="preserve">MIS25/41</x:t>
        </x:is>
      </x:c>
      <x:c r="E1585" s="653" t="n">
        <x:v>17950</x:v>
      </x:c>
      <x:c r="F1585" s="653" t="n">
        <x:v>17991</x:v>
      </x:c>
      <x:c r="G1585" s="552" t="inlineStr">
        <x:is>
          <x:t xml:space="preserve">Ethel Carter,
N. M. Carter</x:t>
        </x:is>
      </x:c>
      <x:c r="H1585" s="552" t="inlineStr">
        <x:is>
          <x:t xml:space="preserve">Marvin G. Mitchell</x:t>
        </x:is>
      </x:c>
      <x:c r="I1585" s="552" t="inlineStr">
        <x:is>
          <x:t xml:space="preserve">31-12N-24W, aol</x:t>
        </x:is>
      </x:c>
      <x:c r="J1585" s="552" t="inlineStr">
        <x:is>
          <x:t xml:space="preserve">Conveyance of ~340 ac (S/2 SE/4 Sec 30; E/2 NW/4, N/2 NE/4, SE/4 NE/4, NE/4 SE/4 and N/2 NE/4 SW/4 Sec 31-12N-24W), LESS an undivided 1/2 of the oil, gas &amp; mineral rights reserved, with ingress/egress for development. [Full text in cell comment]</x:t>
        </x:is>
      </x:c>
      <x:c r="K1585" s="554" t="e">
        <x:f>HYPERLINK("https://okcountyrecords.com/detail/roger+mills/1949-002138","OKCountyRecords: 1949-002138")</x:f>
      </x:c>
      <x:c r="L1585" s="552" t="inlineStr">
        <x:is>
          <x:t xml:space="preserve">All (1-8)</x:t>
        </x:is>
      </x:c>
      <x:c r="M1585" s="552" t="inlineStr">
        <x:is>
          <x:t xml:space="preserve">Other</x:t>
        </x:is>
      </x:c>
      <x:c r="N1585" s="555" t="n"/>
      <x:c r="O1585" s="556" t="n">
        <x:f>IF($L1585="","",IF(ISNUMBER(SEARCH("all",$L1585)),640,(ISNUMBER(SEARCH("1",$L1585)))*80+(ISNUMBER(SEARCH("2",$L1585)))*160+(ISNUMBER(SEARCH("3",$L1585)))*40+(ISNUMBER(SEARCH("4",$L1585)))*80+(ISNUMBER(SEARCH("5",$L1585)))*120+(ISNUMBER(SEARCH("6",$L1585)))*80+(ISNUMBER(SEARCH("7",$L1585)))*40+(ISNUMBER(SEARCH("8",$L1585)))*40))</x:f>
        <x:v>640</x:v>
      </x:c>
      <x:c r="P1585" s="654" t="str">
        <x:f>IF($M1585&lt;&gt;"Mineral","",IF(ISNUMBER($N1585),$N1585,IF(OR(ISNUMBER(SEARCH("surface",$J1585)),ISNUMBER(SEARCH("reserv",$J1585)),ISNUMBER(SEARCH("less and except",$J1585))),0,"")))</x:f>
      </x:c>
      <x:c r="Q1585" s="654" t="str">
        <x:f>IF($P1585="","",-$P1585)</x:f>
      </x:c>
      <x:c r="R1585" s="655" t="str">
        <x:f>IF($P1585="","",$O1585*$P1585)</x:f>
      </x:c>
      <x:c r="S1585" s="552" t="str">
        <x:f>IF($M1585="","",TRIM(IF($M1585="Mineral",IF(ISNUMBER($N1585),"Mineral; basis Conv Amt(dec). ",IF($P1585=0,"Mineral; surface-only/reserved-&gt;0 min. ","Mineral; NO AMOUNT-verify instrument. ")),$M1585&amp;" (non-mineral; excluded from mineral NMA). ")&amp;IF(OR(ISNUMBER(SEARCH("public",$G1585)),ISNUMBER(SEARCH("public",$H1585))),"FLAG: The Public placeholder-verify. ","")&amp;IF(ISNUMBER(SEARCH("all",$L1585)),"All-section coverage. ","")&amp;IF($O1585=0,"Gross acres unresolved. ","")&amp;"Gross=tract-map basis."))</x:f>
        <x:v>Other (non-mineral; excluded from mineral NMA). All-section coverage. Gross=tract-map basis.</x:v>
      </x:c>
      <x:c r="T1585" s="577" t="n"/>
      <x:c r="U1585" s="577" t="n"/>
      <x:c r="V1585" s="565" t="n"/>
      <x:c r="W1585" s="565" t="n"/>
      <x:c r="X1585" s="565" t="n"/>
      <x:c r="Y1585" s="565" t="n"/>
      <x:c r="Z1585" s="565" t="n"/>
    </x:row>
    <x:row r="1586">
      <x:c r="A1586" s="552" t="inlineStr">
        <x:is>
          <x:t xml:space="preserve">1949-000814</x:t>
        </x:is>
      </x:c>
      <x:c r="B1586" s="552" t="n"/>
      <x:c r="C1586" s="552" t="inlineStr">
        <x:is>
          <x:t xml:space="preserve">Warranty Deed</x:t>
        </x:is>
      </x:c>
      <x:c r="D1586" s="552" t="inlineStr">
        <x:is>
          <x:t xml:space="preserve">D59/251</x:t>
        </x:is>
      </x:c>
      <x:c r="E1586" s="653" t="n">
        <x:v>17950</x:v>
      </x:c>
      <x:c r="F1586" s="653" t="n">
        <x:v>18112</x:v>
      </x:c>
      <x:c r="G1586" s="552" t="inlineStr">
        <x:is>
          <x:t xml:space="preserve">H. M. Carter and Mrs Ethel Carter, HW</x:t>
        </x:is>
      </x:c>
      <x:c r="H1586" s="552" t="inlineStr">
        <x:is>
          <x:t xml:space="preserve">Marvin G. Mitchell and Carrie Lou Mitchell, HW, JTWROS</x:t>
        </x:is>
      </x:c>
      <x:c r="I1586" s="552" t="inlineStr">
        <x:is>
          <x:t xml:space="preserve">S/2 SE/4 of Sec 30-12N-24W, E/2 NW/4, N/2 NE/4, SE/4 NE/4, NE/4 SE/4, N/2 NE/4 SW/4 of Sec 31-12N-24W, containing 340 acres, more or less</x:t>
        </x:is>
      </x:c>
      <x:c r="J1586" s="552" t="inlineStr">
        <x:is>
          <x:t xml:space="preserve">1/2 interest, (Parties of the first part reserve unto themselves and undivided one half of all.minerals not heretofore conveyed on the a bove described tract of land with rights of ingrees and egress)</x:t>
        </x:is>
      </x:c>
      <x:c r="K1586" s="554" t="e">
        <x:f>HYPERLINK("https://okcountyrecords.com/detail/roger+mills/1949-000814","OKCountyRecords: 1949-000814")</x:f>
      </x:c>
      <x:c r="L1586" s="552" t="inlineStr">
        <x:is>
          <x:t xml:space="preserve">1, 2, 3, 4, 7, 8</x:t>
        </x:is>
      </x:c>
      <x:c r="M1586" s="552" t="inlineStr">
        <x:is>
          <x:t xml:space="preserve">Mineral</x:t>
        </x:is>
      </x:c>
      <x:c r="N1586" s="561" t="n">
        <x:f>1/2</x:f>
        <x:v>0.5</x:v>
      </x:c>
      <x:c r="O1586" s="556" t="n">
        <x:f>IF($L1586="","",IF(ISNUMBER(SEARCH("all",$L1586)),640,(ISNUMBER(SEARCH("1",$L1586)))*80+(ISNUMBER(SEARCH("2",$L1586)))*160+(ISNUMBER(SEARCH("3",$L1586)))*40+(ISNUMBER(SEARCH("4",$L1586)))*80+(ISNUMBER(SEARCH("5",$L1586)))*120+(ISNUMBER(SEARCH("6",$L1586)))*80+(ISNUMBER(SEARCH("7",$L1586)))*40+(ISNUMBER(SEARCH("8",$L1586)))*40))</x:f>
        <x:v>0</x:v>
      </x:c>
      <x:c r="P1586" s="654" t="n">
        <x:f>IF($M1586&lt;&gt;"Mineral","",IF(ISNUMBER($N1586),$N1586,IF(OR(ISNUMBER(SEARCH("surface",$J1586)),ISNUMBER(SEARCH("reserv",$J1586)),ISNUMBER(SEARCH("less and except",$J1586))),0,"")))</x:f>
        <x:v>0.5</x:v>
      </x:c>
      <x:c r="Q1586" s="654" t="n">
        <x:f>IF($P1586="","",-$P1586)</x:f>
        <x:v>-0.5</x:v>
      </x:c>
      <x:c r="R1586" s="655" t="n">
        <x:f>IF($P1586="","",$O1586*$P1586)</x:f>
        <x:v>0</x:v>
      </x:c>
      <x:c r="S1586" s="552" t="str">
        <x:f>IF($M1586="","",TRIM(IF($M1586="Mineral",IF(ISNUMBER($N1586),"Mineral; basis Conv Amt(dec). ",IF($P1586=0,"Mineral; surface-only/reserved-&gt;0 min. ","Mineral; NO AMOUNT-verify instrument. ")),$M1586&amp;" (non-mineral; excluded from mineral NMA). ")&amp;IF(OR(ISNUMBER(SEARCH("public",$G1586)),ISNUMBER(SEARCH("public",$H1586))),"FLAG: The Public placeholder-verify. ","")&amp;IF(ISNUMBER(SEARCH("all",$L1586)),"All-section coverage. ","")&amp;IF($O1586=0,"Gross acres unresolved. ","")&amp;"Gross=tract-map basis."))</x:f>
        <x:v>Mineral; basis Conv Amt(dec). Gross acres unresolved. Gross=tract-map basis.</x:v>
      </x:c>
      <x:c r="T1586" s="578" t="n"/>
      <x:c r="U1586" s="578" t="n"/>
      <x:c r="V1586" s="565" t="n"/>
      <x:c r="W1586" s="565" t="n"/>
      <x:c r="X1586" s="565" t="n"/>
      <x:c r="Y1586" s="565" t="n"/>
      <x:c r="Z1586" s="565" t="n"/>
    </x:row>
    <x:row r="1587">
      <x:c r="A1587" s="552" t="inlineStr">
        <x:is>
          <x:t xml:space="preserve">1949-002129</x:t>
        </x:is>
      </x:c>
      <x:c r="B1587" s="552" t="n"/>
      <x:c r="C1587" s="552" t="inlineStr">
        <x:is>
          <x:t xml:space="preserve">Certificate</x:t>
        </x:is>
      </x:c>
      <x:c r="D1587" s="552" t="inlineStr">
        <x:is>
          <x:t xml:space="preserve">MIS25/30</x:t>
        </x:is>
      </x:c>
      <x:c r="E1587" s="653" t="n">
        <x:v>17986</x:v>
      </x:c>
      <x:c r="F1587" s="653" t="n">
        <x:v>17986</x:v>
      </x:c>
      <x:c r="G1587" s="552" t="inlineStr">
        <x:is>
          <x:t xml:space="preserve">Corporation Commission of Oklahoma</x:t>
        </x:is>
      </x:c>
      <x:c r="H1587" s="552" t="inlineStr">
        <x:is>
          <x:t xml:space="preserve">The Public</x:t>
        </x:is>
      </x:c>
      <x:c r="I1587" s="552" t="inlineStr">
        <x:is>
          <x:t xml:space="preserve">N/2 NE/4, E/2 NE/4, E/2 SW/4 of 31-12N-24W, aol</x:t>
        </x:is>
      </x:c>
      <x:c r="J1587" s="552" t="inlineStr">
        <x:is>
          <x:t xml:space="preserve">Cert of non development</x:t>
        </x:is>
      </x:c>
      <x:c r="K1587" s="554" t="e">
        <x:f>HYPERLINK("https://okcountyrecords.com/detail/roger+mills/1949-002129","OKCountyRecords: 1949-002129")</x:f>
      </x:c>
      <x:c r="L1587" s="552" t="inlineStr">
        <x:is>
          <x:t xml:space="preserve">All (1-8)</x:t>
        </x:is>
      </x:c>
      <x:c r="M1587" s="552" t="inlineStr">
        <x:is>
          <x:t xml:space="preserve">Other</x:t>
        </x:is>
      </x:c>
      <x:c r="N1587" s="555" t="n">
        <x:v>0</x:v>
      </x:c>
      <x:c r="O1587" s="556" t="n">
        <x:f>IF($L1587="","",IF(ISNUMBER(SEARCH("all",$L1587)),640,(ISNUMBER(SEARCH("1",$L1587)))*80+(ISNUMBER(SEARCH("2",$L1587)))*160+(ISNUMBER(SEARCH("3",$L1587)))*40+(ISNUMBER(SEARCH("4",$L1587)))*80+(ISNUMBER(SEARCH("5",$L1587)))*120+(ISNUMBER(SEARCH("6",$L1587)))*80+(ISNUMBER(SEARCH("7",$L1587)))*40+(ISNUMBER(SEARCH("8",$L1587)))*40))</x:f>
        <x:v>640</x:v>
      </x:c>
      <x:c r="P1587" s="654" t="str">
        <x:f>IF($M1587&lt;&gt;"Mineral","",IF(ISNUMBER($N1587),$N1587,IF(OR(ISNUMBER(SEARCH("surface",$J1587)),ISNUMBER(SEARCH("reserv",$J1587)),ISNUMBER(SEARCH("less and except",$J1587))),0,"")))</x:f>
      </x:c>
      <x:c r="Q1587" s="654" t="str">
        <x:f>IF($P1587="","",-$P1587)</x:f>
      </x:c>
      <x:c r="R1587" s="655" t="str">
        <x:f>IF($P1587="","",$O1587*$P1587)</x:f>
      </x:c>
      <x:c r="S1587" s="552" t="inlineStr">
        <x:is>
          <x:t xml:space="preserve">Other (non-mineral; excluded from mineral NMA). All-section coverage. Gross=tract-map basis.</x:t>
        </x:is>
      </x:c>
      <x:c r="T1587" s="577" t="inlineStr">
        <x:is>
          <x:t xml:space="preserve">OK</x:t>
        </x:is>
      </x:c>
      <x:c r="U1587" s="577" t="inlineStr">
        <x:is>
          <x:t xml:space="preserve">Non-conveying — notice/affidavit/address change (The Public).</x:t>
        </x:is>
      </x:c>
      <x:c r="V1587" s="565" t="n"/>
      <x:c r="W1587" s="565" t="n"/>
      <x:c r="X1587" s="565" t="n"/>
      <x:c r="Y1587" s="565" t="n"/>
      <x:c r="Z1587" s="565" t="n"/>
    </x:row>
    <x:row r="1588">
      <x:c r="A1588" s="552" t="inlineStr">
        <x:is>
          <x:t xml:space="preserve">1949-000809</x:t>
        </x:is>
      </x:c>
      <x:c r="B1588" s="552" t="n"/>
      <x:c r="C1588" s="552" t="inlineStr">
        <x:is>
          <x:t xml:space="preserve">Warranty Deed</x:t>
        </x:is>
      </x:c>
      <x:c r="D1588" s="552" t="inlineStr">
        <x:is>
          <x:t xml:space="preserve">D59/246</x:t>
        </x:is>
      </x:c>
      <x:c r="E1588" s="653" t="n">
        <x:v>18015</x:v>
      </x:c>
      <x:c r="F1588" s="653" t="n">
        <x:v>18095</x:v>
      </x:c>
      <x:c r="G1588" s="552" t="inlineStr">
        <x:is>
          <x:t xml:space="preserve">Lee Aulbert and Mollie Aulbert, HW</x:t>
        </x:is>
      </x:c>
      <x:c r="H1588" s="552" t="inlineStr">
        <x:is>
          <x:t xml:space="preserve">Marvin G. Mitchell and Carrie Lou Mitchell, HW, JTWROS</x:t>
        </x:is>
      </x:c>
      <x:c r="I1588" s="552" t="inlineStr">
        <x:is>
          <x:t xml:space="preserve">Lot 4, S/2 Lot 3, S/2 NE/4 SW/4, SE/4 SW/4 of 31-12N-24W, containing 115.34 acres, more or less</x:t>
        </x:is>
      </x:c>
      <x:c r="J1588" s="552" t="inlineStr">
        <x:is>
          <x:t xml:space="preserve">ARTI</x:t>
        </x:is>
      </x:c>
      <x:c r="K1588" s="554" t="e">
        <x:f>HYPERLINK("https://okcountyrecords.com/detail/roger+mills/1949-000809","OKCountyRecords: 1949-000809")</x:f>
      </x:c>
      <x:c r="L1588" s="552" t="inlineStr">
        <x:is>
          <x:t xml:space="preserve">2, 3, 5, 6, 7</x:t>
        </x:is>
      </x:c>
      <x:c r="M1588" s="552" t="inlineStr">
        <x:is>
          <x:t xml:space="preserve">Mineral</x:t>
        </x:is>
      </x:c>
      <x:c r="N1588" s="555" t="n">
        <x:v>1</x:v>
      </x:c>
      <x:c r="O1588" s="556" t="n">
        <x:f>IF($L1588="","",IF(ISNUMBER(SEARCH("all",$L1588)),640,(ISNUMBER(SEARCH("1",$L1588)))*80+(ISNUMBER(SEARCH("2",$L1588)))*160+(ISNUMBER(SEARCH("3",$L1588)))*40+(ISNUMBER(SEARCH("4",$L1588)))*80+(ISNUMBER(SEARCH("5",$L1588)))*120+(ISNUMBER(SEARCH("6",$L1588)))*80+(ISNUMBER(SEARCH("7",$L1588)))*40+(ISNUMBER(SEARCH("8",$L1588)))*40))</x:f>
        <x:v>0</x:v>
      </x:c>
      <x:c r="P1588" s="654" t="n">
        <x:f>IF($M1588&lt;&gt;"Mineral","",IF(ISNUMBER($N1588),$N1588,IF(OR(ISNUMBER(SEARCH("surface",$J1588)),ISNUMBER(SEARCH("reserv",$J1588)),ISNUMBER(SEARCH("less and except",$J1588))),0,"")))</x:f>
        <x:v>1</x:v>
      </x:c>
      <x:c r="Q1588" s="654" t="n">
        <x:f>IF($P1588="","",-$P1588)</x:f>
        <x:v>-1</x:v>
      </x:c>
      <x:c r="R1588" s="655" t="n">
        <x:f>IF($P1588="","",$O1588*$P1588)</x:f>
        <x:v>0</x:v>
      </x:c>
      <x:c r="S1588" s="552" t="str">
        <x:f>IF($M1588="","",TRIM(IF($M1588="Mineral",IF(ISNUMBER($N1588),"Mineral; basis Conv Amt(dec). ",IF($P1588=0,"Mineral; surface-only/reserved-&gt;0 min. ","Mineral; NO AMOUNT-verify instrument. ")),$M1588&amp;" (non-mineral; excluded from mineral NMA). ")&amp;IF(OR(ISNUMBER(SEARCH("public",$G1588)),ISNUMBER(SEARCH("public",$H1588))),"FLAG: The Public placeholder-verify. ","")&amp;IF(ISNUMBER(SEARCH("all",$L1588)),"All-section coverage. ","")&amp;IF($O1588=0,"Gross acres unresolved. ","")&amp;"Gross=tract-map basis."))</x:f>
        <x:v>Mineral; basis Conv Amt(dec). Gross acres unresolved. Gross=tract-map basis.</x:v>
      </x:c>
      <x:c r="T1588" s="578" t="n"/>
      <x:c r="U1588" s="578" t="n"/>
      <x:c r="V1588" s="565" t="n"/>
      <x:c r="W1588" s="565" t="n"/>
      <x:c r="X1588" s="565" t="n"/>
      <x:c r="Y1588" s="565" t="n"/>
      <x:c r="Z1588" s="565" t="n"/>
    </x:row>
    <x:row r="1589">
      <x:c r="A1589" s="552" t="inlineStr">
        <x:is>
          <x:t xml:space="preserve">1949-003394</x:t>
        </x:is>
      </x:c>
      <x:c r="B1589" s="552" t="n"/>
      <x:c r="C1589" s="552" t="inlineStr">
        <x:is>
          <x:t xml:space="preserve">Quit Claim Deed</x:t>
        </x:is>
      </x:c>
      <x:c r="D1589" s="552" t="inlineStr">
        <x:is>
          <x:t xml:space="preserve">QCD5/92</x:t>
        </x:is>
      </x:c>
      <x:c r="E1589" s="653" t="n">
        <x:v>18056</x:v>
      </x:c>
      <x:c r="F1589" s="653" t="n">
        <x:v>18084</x:v>
      </x:c>
      <x:c r="G1589" s="552" t="inlineStr">
        <x:is>
          <x:t xml:space="preserve">A. H. Douglas</x:t>
        </x:is>
      </x:c>
      <x:c r="H1589" s="552" t="inlineStr">
        <x:is>
          <x:t xml:space="preserve">Marvin G. Mitchell</x:t>
        </x:is>
      </x:c>
      <x:c r="I1589" s="552" t="inlineStr">
        <x:is>
          <x:t xml:space="preserve">S/2 N/2 SW/4, SW/4 SW/4, SE/4 SW/4 of 31-12N-24W</x:t>
        </x:is>
      </x:c>
      <x:c r="J1589" s="552" t="inlineStr">
        <x:is>
          <x:t xml:space="preserve">ARTI, deed is given to remove cloud on title of above land, because of affidavit filed iin Book 12 Miscl. Page 119</x:t>
        </x:is>
      </x:c>
      <x:c r="K1589" s="554" t="e">
        <x:f>HYPERLINK("https://okcountyrecords.com/detail/roger+mills/1949-003394","OKCountyRecords: 1949-003394")</x:f>
      </x:c>
      <x:c r="L1589" s="552" t="inlineStr">
        <x:is>
          <x:t xml:space="preserve">5, 6, 7</x:t>
        </x:is>
      </x:c>
      <x:c r="M1589" s="552" t="inlineStr">
        <x:is>
          <x:t xml:space="preserve">Mineral</x:t>
        </x:is>
      </x:c>
      <x:c r="N1589" s="555" t="n">
        <x:v>1</x:v>
      </x:c>
      <x:c r="O1589" s="556" t="n">
        <x:f>IF($L1589="","",IF(ISNUMBER(SEARCH("all",$L1589)),640,(ISNUMBER(SEARCH("1",$L1589)))*80+(ISNUMBER(SEARCH("2",$L1589)))*160+(ISNUMBER(SEARCH("3",$L1589)))*40+(ISNUMBER(SEARCH("4",$L1589)))*80+(ISNUMBER(SEARCH("5",$L1589)))*120+(ISNUMBER(SEARCH("6",$L1589)))*80+(ISNUMBER(SEARCH("7",$L1589)))*40+(ISNUMBER(SEARCH("8",$L1589)))*40))</x:f>
        <x:v>0</x:v>
      </x:c>
      <x:c r="P1589" s="654" t="n">
        <x:f>IF($M1589&lt;&gt;"Mineral","",IF(ISNUMBER($N1589),$N1589,IF(OR(ISNUMBER(SEARCH("surface",$J1589)),ISNUMBER(SEARCH("reserv",$J1589)),ISNUMBER(SEARCH("less and except",$J1589))),0,"")))</x:f>
        <x:v>1</x:v>
      </x:c>
      <x:c r="Q1589" s="654" t="n">
        <x:f>IF($P1589="","",-$P1589)</x:f>
        <x:v>-1</x:v>
      </x:c>
      <x:c r="R1589" s="655" t="n">
        <x:f>IF($P1589="","",$O1589*$P1589)</x:f>
        <x:v>0</x:v>
      </x:c>
      <x:c r="S1589" s="552" t="str">
        <x:f>IF($M1589="","",TRIM(IF($M1589="Mineral",IF(ISNUMBER($N1589),"Mineral; basis Conv Amt(dec). ",IF($P1589=0,"Mineral; surface-only/reserved-&gt;0 min. ","Mineral; NO AMOUNT-verify instrument. ")),$M1589&amp;" (non-mineral; excluded from mineral NMA). ")&amp;IF(OR(ISNUMBER(SEARCH("public",$G1589)),ISNUMBER(SEARCH("public",$H1589))),"FLAG: The Public placeholder-verify. ","")&amp;IF(ISNUMBER(SEARCH("all",$L1589)),"All-section coverage. ","")&amp;IF($O1589=0,"Gross acres unresolved. ","")&amp;"Gross=tract-map basis."))</x:f>
        <x:v>Mineral; basis Conv Amt(dec). Gross acres unresolved. Gross=tract-map basis.</x:v>
      </x:c>
      <x:c r="T1589" s="559" t="n"/>
      <x:c r="U1589" s="559" t="n"/>
      <x:c r="V1589" s="565" t="n"/>
      <x:c r="W1589" s="565" t="n"/>
      <x:c r="X1589" s="565" t="n"/>
      <x:c r="Y1589" s="565" t="n"/>
      <x:c r="Z1589" s="565" t="n"/>
    </x:row>
    <x:row r="1590">
      <x:c r="A1590" s="552" t="inlineStr">
        <x:is>
          <x:t xml:space="preserve">1949-001867</x:t>
        </x:is>
      </x:c>
      <x:c r="B1590" s="552" t="n"/>
      <x:c r="C1590" s="552" t="inlineStr">
        <x:is>
          <x:t xml:space="preserve">Mineral Deed</x:t>
        </x:is>
      </x:c>
      <x:c r="D1590" s="552" t="inlineStr">
        <x:is>
          <x:t xml:space="preserve">D63/97</x:t>
        </x:is>
      </x:c>
      <x:c r="E1590" s="653" t="n">
        <x:v>18170</x:v>
      </x:c>
      <x:c r="F1590" s="653" t="n">
        <x:v>18170</x:v>
      </x:c>
      <x:c r="G1590" s="552" t="inlineStr">
        <x:is>
          <x:t xml:space="preserve">H. M. Carter and Ethel Carter, HW</x:t>
        </x:is>
      </x:c>
      <x:c r="H1590" s="552" t="inlineStr">
        <x:is>
          <x:t xml:space="preserve">G. C. Mitchel,
Glenn D. Mitchel</x:t>
        </x:is>
      </x:c>
      <x:c r="I1590" s="552" t="inlineStr">
        <x:is>
          <x:t xml:space="preserve">E/2 NW/4, SE/4 NE/4, NE/4 SE/4, N/2 NE/4 SW/4 of 31-12N-24W, aol</x:t>
        </x:is>
      </x:c>
      <x:c r="J1590" s="552" t="inlineStr">
        <x:is>
          <x:t xml:space="preserve">20/260 interest, being 20 NMA in 2 sections</x:t>
        </x:is>
      </x:c>
      <x:c r="K1590" s="554" t="e">
        <x:f>HYPERLINK("https://okcountyrecords.com/detail/roger+mills/1949-001867","OKCountyRecords: 1949-001867")</x:f>
      </x:c>
      <x:c r="L1590" s="552" t="inlineStr">
        <x:is>
          <x:t xml:space="preserve">1, 3, 4, 7, 8</x:t>
        </x:is>
      </x:c>
      <x:c r="M1590" s="552" t="inlineStr">
        <x:is>
          <x:t xml:space="preserve">Mineral</x:t>
        </x:is>
      </x:c>
      <x:c r="N1590" s="561" t="str">
        <x:f>IF(O1590&gt;0,20/O1590,"")</x:f>
      </x:c>
      <x:c r="O1590" s="556" t="n">
        <x:f>IF($L1590="","",IF(ISNUMBER(SEARCH("all",$L1590)),640,(ISNUMBER(SEARCH("1",$L1590)))*80+(ISNUMBER(SEARCH("2",$L1590)))*160+(ISNUMBER(SEARCH("3",$L1590)))*40+(ISNUMBER(SEARCH("4",$L1590)))*80+(ISNUMBER(SEARCH("5",$L1590)))*120+(ISNUMBER(SEARCH("6",$L1590)))*80+(ISNUMBER(SEARCH("7",$L1590)))*40+(ISNUMBER(SEARCH("8",$L1590)))*40))</x:f>
        <x:v>0</x:v>
      </x:c>
      <x:c r="P1590" s="654" t="str">
        <x:f>IF($M1590&lt;&gt;"Mineral","",IF(ISNUMBER($N1590),$N1590,IF(OR(ISNUMBER(SEARCH("surface",$J1590)),ISNUMBER(SEARCH("reserv",$J1590)),ISNUMBER(SEARCH("less and except",$J1590))),0,"")))</x:f>
      </x:c>
      <x:c r="Q1590" s="654" t="str">
        <x:f>IF($P1590="","",-$P1590)</x:f>
      </x:c>
      <x:c r="R1590" s="655" t="str">
        <x:f>IF($P1590="","",$O1590*$P1590)</x:f>
      </x:c>
      <x:c r="S1590" s="552" t="str">
        <x:f>IF($M1590="","",TRIM(IF($M1590="Mineral",IF(ISNUMBER($N1590),"Mineral; basis Conv Amt(dec). ",IF($P1590=0,"Mineral; surface-only/reserved-&gt;0 min. ","Mineral; NO AMOUNT-verify instrument. ")),$M1590&amp;" (non-mineral; excluded from mineral NMA). ")&amp;IF(OR(ISNUMBER(SEARCH("public",$G1590)),ISNUMBER(SEARCH("public",$H1590))),"FLAG: The Public placeholder-verify. ","")&amp;IF(ISNUMBER(SEARCH("all",$L1590)),"All-section coverage. ","")&amp;IF($O1590=0,"Gross acres unresolved. ","")&amp;"Gross=tract-map basis."))</x:f>
        <x:v>Mineral; surface-only/reserved-&gt;0 min. Gross acres unresolved. Gross=tract-map basis.</x:v>
      </x:c>
      <x:c r="T1590" s="559" t="n"/>
      <x:c r="U1590" s="559" t="inlineStr">
        <x:is>
          <x:t xml:space="preserve">Conveys 20 NMA per notes; conv. dec = 20/gross. Verify denominator/tract from image.</x:t>
        </x:is>
      </x:c>
      <x:c r="V1590" s="565" t="n"/>
      <x:c r="W1590" s="565" t="n"/>
      <x:c r="X1590" s="565" t="n"/>
      <x:c r="Y1590" s="565" t="n"/>
      <x:c r="Z1590" s="565" t="n"/>
    </x:row>
    <x:row r="1591">
      <x:c r="A1591" s="552" t="inlineStr">
        <x:is>
          <x:t xml:space="preserve">1950-000383</x:t>
        </x:is>
      </x:c>
      <x:c r="B1591" s="552" t="n"/>
      <x:c r="C1591" s="552" t="inlineStr">
        <x:is>
          <x:t xml:space="preserve">Warranty Deed</x:t>
        </x:is>
      </x:c>
      <x:c r="D1591" s="552" t="inlineStr">
        <x:is>
          <x:t xml:space="preserve">D59/410</x:t>
        </x:is>
      </x:c>
      <x:c r="E1591" s="653" t="n">
        <x:v>18420</x:v>
      </x:c>
      <x:c r="F1591" s="653" t="n">
        <x:v>18420</x:v>
      </x:c>
      <x:c r="G1591" s="552" t="inlineStr">
        <x:is>
          <x:t xml:space="preserve">H. M. Carter and Ethel Carter, HW</x:t>
        </x:is>
      </x:c>
      <x:c r="H1591" s="552" t="inlineStr">
        <x:is>
          <x:t xml:space="preserve">Marvin G. Mitchell and Carrie Lou Mitchell, HW, JTWROS</x:t>
        </x:is>
      </x:c>
      <x:c r="I1591" s="552" t="inlineStr">
        <x:is>
          <x:t xml:space="preserve">E/2 NW/4, SE/4 NE/4, NE/4 SE/4, N/2 NE/4 SW/4 of 31-12N-24W, aol</x:t>
        </x:is>
      </x:c>
      <x:c r="J1591" s="552" t="inlineStr">
        <x:is>
          <x:t xml:space="preserve">ARTI, Except 1/2 of the ogms in the N/2 NE/4
Corrects deed dated 2/21/1949</x:t>
        </x:is>
      </x:c>
      <x:c r="K1591" s="554" t="e">
        <x:f>HYPERLINK("https://okcountyrecords.com/detail/roger+mills/1950-000383","OKCountyRecords: 1950-000383")</x:f>
      </x:c>
      <x:c r="L1591" s="552" t="inlineStr">
        <x:is>
          <x:t xml:space="preserve">1, 3, 4, 7, 8</x:t>
        </x:is>
      </x:c>
      <x:c r="M1591" s="552" t="inlineStr">
        <x:is>
          <x:t xml:space="preserve">Mineral</x:t>
        </x:is>
      </x:c>
      <x:c r="N1591" s="561" t="n">
        <x:v>1</x:v>
      </x:c>
      <x:c r="O1591" s="556" t="n">
        <x:f>IF($L1591="","",IF(ISNUMBER(SEARCH("all",$L1591)),640,(ISNUMBER(SEARCH("1",$L1591)))*80+(ISNUMBER(SEARCH("2",$L1591)))*160+(ISNUMBER(SEARCH("3",$L1591)))*40+(ISNUMBER(SEARCH("4",$L1591)))*80+(ISNUMBER(SEARCH("5",$L1591)))*120+(ISNUMBER(SEARCH("6",$L1591)))*80+(ISNUMBER(SEARCH("7",$L1591)))*40+(ISNUMBER(SEARCH("8",$L1591)))*40))</x:f>
        <x:v>0</x:v>
      </x:c>
      <x:c r="P1591" s="654" t="n">
        <x:f>IF($M1591&lt;&gt;"Mineral","",IF(ISNUMBER($N1591),$N1591,IF(OR(ISNUMBER(SEARCH("surface",$J1591)),ISNUMBER(SEARCH("reserv",$J1591)),ISNUMBER(SEARCH("less and except",$J1591))),0,"")))</x:f>
        <x:v>1</x:v>
      </x:c>
      <x:c r="Q1591" s="654" t="n">
        <x:f>IF($P1591="","",-$P1591)</x:f>
        <x:v>-1</x:v>
      </x:c>
      <x:c r="R1591" s="655" t="n">
        <x:f>IF($P1591="","",$O1591*$P1591)</x:f>
        <x:v>0</x:v>
      </x:c>
      <x:c r="S1591" s="552" t="str">
        <x:f>IF($M1591="","",TRIM(IF($M1591="Mineral",IF(ISNUMBER($N1591),"Mineral; basis Conv Amt(dec). ",IF($P1591=0,"Mineral; surface-only/reserved-&gt;0 min. ","Mineral; NO AMOUNT-verify instrument. ")),$M1591&amp;" (non-mineral; excluded from mineral NMA). ")&amp;IF(OR(ISNUMBER(SEARCH("public",$G1591)),ISNUMBER(SEARCH("public",$H1591))),"FLAG: The Public placeholder-verify. ","")&amp;IF(ISNUMBER(SEARCH("all",$L1591)),"All-section coverage. ","")&amp;IF($O1591=0,"Gross acres unresolved. ","")&amp;"Gross=tract-map basis."))</x:f>
        <x:v>Mineral; basis Conv Amt(dec). Gross acres unresolved. Gross=tract-map basis.</x:v>
      </x:c>
      <x:c r="T1591" s="559" t="n"/>
      <x:c r="U1591" s="559" t="n"/>
      <x:c r="V1591" s="565" t="n"/>
      <x:c r="W1591" s="565" t="n"/>
      <x:c r="X1591" s="565" t="n"/>
      <x:c r="Y1591" s="565" t="n"/>
      <x:c r="Z1591" s="565" t="n"/>
    </x:row>
    <x:row r="1592">
      <x:c r="A1592" s="552" t="inlineStr">
        <x:is>
          <x:t xml:space="preserve">1953-000493</x:t>
        </x:is>
      </x:c>
      <x:c r="B1592" s="552" t="n"/>
      <x:c r="C1592" s="552" t="inlineStr">
        <x:is>
          <x:t xml:space="preserve">Warranty Deed</x:t>
        </x:is>
      </x:c>
      <x:c r="D1592" s="552" t="inlineStr">
        <x:is>
          <x:t xml:space="preserve">D67/154</x:t>
        </x:is>
      </x:c>
      <x:c r="E1592" s="653" t="n">
        <x:v>19396</x:v>
      </x:c>
      <x:c r="F1592" s="653" t="n">
        <x:v>19396</x:v>
      </x:c>
      <x:c r="G1592" s="552" t="inlineStr">
        <x:is>
          <x:t xml:space="preserve">Elvin J. Ridling and Dorothy Jean Ridling, HW</x:t>
        </x:is>
      </x:c>
      <x:c r="H1592" s="552" t="inlineStr">
        <x:is>
          <x:t xml:space="preserve">M. G. Mitchell and Carrie Lou Mitchell, HW, JTWROS</x:t>
        </x:is>
      </x:c>
      <x:c r="I1592" s="552" t="inlineStr">
        <x:is>
          <x:t xml:space="preserve">E/2 NW/4, SE/4 NE/4, NE/4 SE/4, N/2 NE/4 SW/4, Lot 4, S/2 SW/4, SE/4 SW/4 of 31-12N-24W</x:t>
        </x:is>
      </x:c>
      <x:c r="J1592" s="552" t="inlineStr">
        <x:is>
          <x:t xml:space="preserve">ARTI</x:t>
        </x:is>
      </x:c>
      <x:c r="K1592" s="554" t="e">
        <x:f>HYPERLINK("https://okcountyrecords.com/detail/roger+mills/1953-000493","OKCountyRecords: 1953-000493")</x:f>
      </x:c>
      <x:c r="L1592" s="552" t="inlineStr">
        <x:is>
          <x:t xml:space="preserve">1, 3, 4, 5, 6, 7, 8</x:t>
        </x:is>
      </x:c>
      <x:c r="M1592" s="552" t="inlineStr">
        <x:is>
          <x:t xml:space="preserve">Mineral</x:t>
        </x:is>
      </x:c>
      <x:c r="N1592" s="561" t="n">
        <x:v>1</x:v>
      </x:c>
      <x:c r="O1592" s="556" t="n">
        <x:f>IF($L1592="","",IF(ISNUMBER(SEARCH("all",$L1592)),640,(ISNUMBER(SEARCH("1",$L1592)))*80+(ISNUMBER(SEARCH("2",$L1592)))*160+(ISNUMBER(SEARCH("3",$L1592)))*40+(ISNUMBER(SEARCH("4",$L1592)))*80+(ISNUMBER(SEARCH("5",$L1592)))*120+(ISNUMBER(SEARCH("6",$L1592)))*80+(ISNUMBER(SEARCH("7",$L1592)))*40+(ISNUMBER(SEARCH("8",$L1592)))*40))</x:f>
        <x:v>0</x:v>
      </x:c>
      <x:c r="P1592" s="654" t="n">
        <x:f>IF($M1592&lt;&gt;"Mineral","",IF(ISNUMBER($N1592),$N1592,IF(OR(ISNUMBER(SEARCH("surface",$J1592)),ISNUMBER(SEARCH("reserv",$J1592)),ISNUMBER(SEARCH("less and except",$J1592))),0,"")))</x:f>
        <x:v>1</x:v>
      </x:c>
      <x:c r="Q1592" s="654" t="n">
        <x:f>IF($P1592="","",-$P1592)</x:f>
        <x:v>-1</x:v>
      </x:c>
      <x:c r="R1592" s="655" t="n">
        <x:f>IF($P1592="","",$O1592*$P1592)</x:f>
        <x:v>0</x:v>
      </x:c>
      <x:c r="S1592" s="552" t="str">
        <x:f>IF($M1592="","",TRIM(IF($M1592="Mineral",IF(ISNUMBER($N1592),"Mineral; basis Conv Amt(dec). ",IF($P1592=0,"Mineral; surface-only/reserved-&gt;0 min. ","Mineral; NO AMOUNT-verify instrument. ")),$M1592&amp;" (non-mineral; excluded from mineral NMA). ")&amp;IF(OR(ISNUMBER(SEARCH("public",$G1592)),ISNUMBER(SEARCH("public",$H1592))),"FLAG: The Public placeholder-verify. ","")&amp;IF(ISNUMBER(SEARCH("all",$L1592)),"All-section coverage. ","")&amp;IF($O1592=0,"Gross acres unresolved. ","")&amp;"Gross=tract-map basis."))</x:f>
        <x:v>Mineral; basis Conv Amt(dec). Gross acres unresolved. Gross=tract-map basis.</x:v>
      </x:c>
      <x:c r="T1592" s="559" t="n"/>
      <x:c r="U1592" s="559" t="n"/>
      <x:c r="V1592" s="565" t="n"/>
      <x:c r="W1592" s="565" t="n"/>
      <x:c r="X1592" s="565" t="n"/>
      <x:c r="Y1592" s="565" t="n"/>
      <x:c r="Z1592" s="565" t="n"/>
    </x:row>
    <x:row r="1593">
      <x:c r="A1593" s="552" t="inlineStr">
        <x:is>
          <x:t xml:space="preserve">1953-000498</x:t>
        </x:is>
      </x:c>
      <x:c r="B1593" s="552" t="n"/>
      <x:c r="C1593" s="552" t="inlineStr">
        <x:is>
          <x:t xml:space="preserve">Warranty Deed</x:t>
        </x:is>
      </x:c>
      <x:c r="D1593" s="552" t="inlineStr">
        <x:is>
          <x:t xml:space="preserve">D67/159</x:t>
        </x:is>
      </x:c>
      <x:c r="E1593" s="653" t="n">
        <x:v>19414</x:v>
      </x:c>
      <x:c r="F1593" s="653" t="n">
        <x:v>19417</x:v>
      </x:c>
      <x:c r="G1593" s="552" t="inlineStr">
        <x:is>
          <x:t xml:space="preserve">Marvin G. Mitchell and Carrie Lou Mitchell, HW</x:t>
        </x:is>
      </x:c>
      <x:c r="H1593" s="552" t="inlineStr">
        <x:is>
          <x:t xml:space="preserve">W. L. Ayers and Hazel Ayers, HW, JTWROS</x:t>
        </x:is>
      </x:c>
      <x:c r="I1593" s="552" t="inlineStr">
        <x:is>
          <x:t xml:space="preserve">Lot 4, S/2 Lot 3, S/2 NE/4 SW/4, SE/4 SW/4 of 31-12N-24W, containing 115.34 acres, more or less</x:t>
        </x:is>
      </x:c>
      <x:c r="J1593" s="552" t="inlineStr">
        <x:is>
          <x:t xml:space="preserve">except the first parties specifically reserve from this conveyance all mineral interest except an undivided 75 acres of said mineral interest which is specifically transferred to the second parties under this conveyance.</x:t>
        </x:is>
      </x:c>
      <x:c r="K1593" s="554" t="e">
        <x:f>HYPERLINK("https://okcountyrecords.com/detail/roger+mills/1953-000498","OKCountyRecords: 1953-000498")</x:f>
      </x:c>
      <x:c r="L1593" s="552" t="inlineStr">
        <x:is>
          <x:t xml:space="preserve">2, 3, 5, 6, 7</x:t>
        </x:is>
      </x:c>
      <x:c r="M1593" s="552" t="inlineStr">
        <x:is>
          <x:t xml:space="preserve">Mineral</x:t>
        </x:is>
      </x:c>
      <x:c r="N1593" s="555" t="str">
        <x:f>IF(O1593&gt;0,75/O1593,"")</x:f>
      </x:c>
      <x:c r="O1593" s="556" t="n">
        <x:f>IF($L1593="","",IF(ISNUMBER(SEARCH("all",$L1593)),640,(ISNUMBER(SEARCH("1",$L1593)))*80+(ISNUMBER(SEARCH("2",$L1593)))*160+(ISNUMBER(SEARCH("3",$L1593)))*40+(ISNUMBER(SEARCH("4",$L1593)))*80+(ISNUMBER(SEARCH("5",$L1593)))*120+(ISNUMBER(SEARCH("6",$L1593)))*80+(ISNUMBER(SEARCH("7",$L1593)))*40+(ISNUMBER(SEARCH("8",$L1593)))*40))</x:f>
        <x:v>0</x:v>
      </x:c>
      <x:c r="P1593" s="654" t="n">
        <x:f>IF($M1593&lt;&gt;"Mineral","",IF(ISNUMBER($N1593),$N1593,IF(OR(ISNUMBER(SEARCH("surface",$J1593)),ISNUMBER(SEARCH("reserv",$J1593)),ISNUMBER(SEARCH("less and except",$J1593))),0,"")))</x:f>
        <x:v>0</x:v>
      </x:c>
      <x:c r="Q1593" s="654" t="str">
        <x:f>IF($P1593="","",-$P1593)</x:f>
      </x:c>
      <x:c r="R1593" s="655" t="str">
        <x:f>IF($P1593="","",$O1593*$P1593)</x:f>
      </x:c>
      <x:c r="S1593" s="552" t="str">
        <x:f>IF($M1593="","",TRIM(IF($M1593="Mineral",IF(ISNUMBER($N1593),"Mineral; basis Conv Amt(dec). ",IF($P1593=0,"Mineral; surface-only/reserved-&gt;0 min. ","Mineral; NO AMOUNT-verify instrument. ")),$M1593&amp;" (non-mineral; excluded from mineral NMA). ")&amp;IF(OR(ISNUMBER(SEARCH("public",$G1593)),ISNUMBER(SEARCH("public",$H1593))),"FLAG: The Public placeholder-verify. ","")&amp;IF(ISNUMBER(SEARCH("all",$L1593)),"All-section coverage. ","")&amp;IF($O1593=0,"Gross acres unresolved. ","")&amp;"Gross=tract-map basis."))</x:f>
        <x:v>Mineral; surface-only/reserved-&gt;0 min. Gross acres unresolved. Gross=tract-map basis.</x:v>
      </x:c>
      <x:c r="T1593" s="577" t="inlineStr">
        <x:is>
          <x:t xml:space="preserve">REVIEW</x:t>
        </x:is>
      </x:c>
      <x:c r="U1593" s="578" t="inlineStr">
        <x:is>
          <x:t xml:space="preserve">Conveys 75 NMA per notes; conv. dec = 75/gross. Verify denominator/tract from image.</x:t>
        </x:is>
      </x:c>
      <x:c r="V1593" s="565" t="n"/>
      <x:c r="W1593" s="565" t="n"/>
      <x:c r="X1593" s="565" t="n"/>
      <x:c r="Y1593" s="565" t="n"/>
      <x:c r="Z1593" s="565" t="n"/>
    </x:row>
    <x:row r="1594">
      <x:c r="A1594" s="552" t="inlineStr">
        <x:is>
          <x:t xml:space="preserve">1957-001086</x:t>
        </x:is>
      </x:c>
      <x:c r="B1594" s="552" t="n"/>
      <x:c r="C1594" s="552" t="inlineStr">
        <x:is>
          <x:t xml:space="preserve">Contract</x:t>
        </x:is>
      </x:c>
      <x:c r="D1594" s="552" t="inlineStr">
        <x:is>
          <x:t xml:space="preserve">MIS27/380</x:t>
        </x:is>
      </x:c>
      <x:c r="E1594" s="653" t="n">
        <x:v>20844</x:v>
      </x:c>
      <x:c r="F1594" s="653" t="n">
        <x:v>20876</x:v>
      </x:c>
      <x:c r="G1594" s="552" t="inlineStr">
        <x:is>
          <x:t xml:space="preserve">W. L. Ayers</x:t>
        </x:is>
      </x:c>
      <x:c r="H1594" s="552" t="inlineStr">
        <x:is>
          <x:t xml:space="preserve">Clara Mae Bryan,
George M. Bryan</x:t>
        </x:is>
      </x:c>
      <x:c r="I1594" s="552" t="inlineStr">
        <x:is>
          <x:t xml:space="preserve">31-12N-24W, aol</x:t>
        </x:is>
      </x:c>
      <x:c r="J1594" s="552" t="inlineStr">
        <x:is>
          <x:t xml:space="preserve">Contract for sale of real estate (1/24/1957): W. L. Ayers → George M. &amp; Clara Mae Bryan; SURFACE rights only to ~340 ac (Secs 30 &amp; 31) plus 115.34 ac (lots &amp; SE/4 SW/4 Sec 31); price $17,782 — assume $15,080 M. G. Mitchell mortgage + $2,700 to the Ayers; escrow with S. L. Simpkins. [Full text in cell comment]</x:t>
        </x:is>
      </x:c>
      <x:c r="K1594" s="554" t="e">
        <x:f>HYPERLINK("https://okcountyrecords.com/detail/roger+mills/1957-001086","OKCountyRecords: 1957-001086")</x:f>
      </x:c>
      <x:c r="L1594" s="552" t="inlineStr">
        <x:is>
          <x:t xml:space="preserve">All (1-8)</x:t>
        </x:is>
      </x:c>
      <x:c r="M1594" s="552" t="inlineStr">
        <x:is>
          <x:t xml:space="preserve">Other</x:t>
        </x:is>
      </x:c>
      <x:c r="N1594" s="555" t="n"/>
      <x:c r="O1594" s="556" t="n">
        <x:f>IF($L1594="","",IF(ISNUMBER(SEARCH("all",$L1594)),640,(ISNUMBER(SEARCH("1",$L1594)))*80+(ISNUMBER(SEARCH("2",$L1594)))*160+(ISNUMBER(SEARCH("3",$L1594)))*40+(ISNUMBER(SEARCH("4",$L1594)))*80+(ISNUMBER(SEARCH("5",$L1594)))*120+(ISNUMBER(SEARCH("6",$L1594)))*80+(ISNUMBER(SEARCH("7",$L1594)))*40+(ISNUMBER(SEARCH("8",$L1594)))*40))</x:f>
        <x:v>640</x:v>
      </x:c>
      <x:c r="P1594" s="654" t="str">
        <x:f>IF($M1594&lt;&gt;"Mineral","",IF(ISNUMBER($N1594),$N1594,IF(OR(ISNUMBER(SEARCH("surface",$J1594)),ISNUMBER(SEARCH("reserv",$J1594)),ISNUMBER(SEARCH("less and except",$J1594))),0,"")))</x:f>
      </x:c>
      <x:c r="Q1594" s="654" t="str">
        <x:f>IF($P1594="","",-$P1594)</x:f>
      </x:c>
      <x:c r="R1594" s="655" t="str">
        <x:f>IF($P1594="","",$O1594*$P1594)</x:f>
      </x:c>
      <x:c r="S1594" s="552" t="str">
        <x:f>IF($M1594="","",TRIM(IF($M1594="Mineral",IF(ISNUMBER($N1594),"Mineral; basis Conv Amt(dec). ",IF($P1594=0,"Mineral; surface-only/reserved-&gt;0 min. ","Mineral; NO AMOUNT-verify instrument. ")),$M1594&amp;" (non-mineral; excluded from mineral NMA). ")&amp;IF(OR(ISNUMBER(SEARCH("public",$G1594)),ISNUMBER(SEARCH("public",$H1594))),"FLAG: The Public placeholder-verify. ","")&amp;IF(ISNUMBER(SEARCH("all",$L1594)),"All-section coverage. ","")&amp;IF($O1594=0,"Gross acres unresolved. ","")&amp;"Gross=tract-map basis."))</x:f>
        <x:v>Other (non-mineral; excluded from mineral NMA). All-section coverage. Gross=tract-map basis.</x:v>
      </x:c>
      <x:c r="T1594" s="578" t="n"/>
      <x:c r="U1594" s="578" t="n"/>
      <x:c r="V1594" s="565" t="n"/>
      <x:c r="W1594" s="565" t="n"/>
      <x:c r="X1594" s="565" t="n"/>
      <x:c r="Y1594" s="565" t="n"/>
      <x:c r="Z1594" s="565" t="n"/>
    </x:row>
    <x:row r="1595">
      <x:c r="A1595" s="552" t="inlineStr">
        <x:is>
          <x:t xml:space="preserve">1960-000414</x:t>
        </x:is>
      </x:c>
      <x:c r="B1595" s="552" t="n"/>
      <x:c r="C1595" s="552" t="inlineStr">
        <x:is>
          <x:t xml:space="preserve">Designation of Properties Transferred by Merger Magnolia Petroleum Company to Socony Mobil Oil Company, INC.</x:t>
        </x:is>
      </x:c>
      <x:c r="D1595" s="552" t="inlineStr">
        <x:is>
          <x:t xml:space="preserve">MIS32/144</x:t>
        </x:is>
      </x:c>
      <x:c r="E1595" s="653" t="n">
        <x:v>21957</x:v>
      </x:c>
      <x:c r="F1595" s="653" t="n">
        <x:v>21969</x:v>
      </x:c>
      <x:c r="G1595" s="552" t="inlineStr">
        <x:is>
          <x:t xml:space="preserve">Magnolia Petroleum,
Magnolia Petroleum Co,
Socony Mobil Oil Co.</x:t>
        </x:is>
      </x:c>
      <x:c r="H1595" s="552" t="inlineStr">
        <x:is>
          <x:t xml:space="preserve">The Public</x:t>
        </x:is>
      </x:c>
      <x:c r="I1595" s="552" t="inlineStr">
        <x:is>
          <x:t xml:space="preserve">31-12N-24W, aol</x:t>
        </x:is>
      </x:c>
      <x:c r="J1595" s="552" t="inlineStr">
        <x:is>
          <x:t xml:space="preserve">Articles/Memorandum of Merger: Magnolia Petroleum Co. (TX) merged into Socony Mobil Oil Company, Inc. (NY), effective 9/30/1959; by operation of law all Magnolia-owned property (described in Exhibit A) vested in the surviving corporation, Socony Mobil; recorded to reflect the title change on county records. [Full text in cell comment]</x:t>
        </x:is>
      </x:c>
      <x:c r="K1595" s="554" t="e">
        <x:f>HYPERLINK("https://okcountyrecords.com/detail/roger+mills/1960-000414","OKCountyRecords: 1960-000414")</x:f>
      </x:c>
      <x:c r="L1595" s="552" t="inlineStr">
        <x:is>
          <x:t xml:space="preserve">All (1-8)</x:t>
        </x:is>
      </x:c>
      <x:c r="M1595" s="552" t="inlineStr">
        <x:is>
          <x:t xml:space="preserve">Mineral</x:t>
        </x:is>
      </x:c>
      <x:c r="N1595" s="555" t="n"/>
      <x:c r="O1595" s="556" t="n">
        <x:f>IF($L1595="","",IF(ISNUMBER(SEARCH("all",$L1595)),640,(ISNUMBER(SEARCH("1",$L1595)))*80+(ISNUMBER(SEARCH("2",$L1595)))*160+(ISNUMBER(SEARCH("3",$L1595)))*40+(ISNUMBER(SEARCH("4",$L1595)))*80+(ISNUMBER(SEARCH("5",$L1595)))*120+(ISNUMBER(SEARCH("6",$L1595)))*80+(ISNUMBER(SEARCH("7",$L1595)))*40+(ISNUMBER(SEARCH("8",$L1595)))*40))</x:f>
        <x:v>640</x:v>
      </x:c>
      <x:c r="P1595" s="654" t="str">
        <x:f>IF($M1595&lt;&gt;"Mineral","",IF(ISNUMBER($N1595),$N1595,IF(OR(ISNUMBER(SEARCH("surface",$J1595)),ISNUMBER(SEARCH("reserv",$J1595)),ISNUMBER(SEARCH("less and except",$J1595))),0,"")))</x:f>
      </x:c>
      <x:c r="Q1595" s="654" t="str">
        <x:f>IF($P1595="","",-$P1595)</x:f>
      </x:c>
      <x:c r="R1595" s="655" t="str">
        <x:f>IF($P1595="","",$O1595*$P1595)</x:f>
      </x:c>
      <x:c r="S1595" s="552" t="inlineStr">
        <x:is>
          <x:t xml:space="preserve">Mineral; basis Conv Amt(dec). All-section coverage. Gross=tract-map basis.</x:t>
        </x:is>
      </x:c>
      <x:c r="T1595" s="578" t="inlineStr">
        <x:is>
          <x:t xml:space="preserve">OK</x:t>
        </x:is>
      </x:c>
      <x:c r="U1595" s="578" t="inlineStr">
        <x:is>
          <x:t xml:space="preserve">Non-conveying per The Public rule; Magnolia→Socony merger notice (verify if operative deed exists).</x:t>
        </x:is>
      </x:c>
      <x:c r="V1595" s="565" t="n"/>
      <x:c r="W1595" s="565" t="n"/>
      <x:c r="X1595" s="565" t="n"/>
      <x:c r="Y1595" s="565" t="n"/>
      <x:c r="Z1595" s="565" t="n"/>
    </x:row>
    <x:row r="1596">
      <x:c r="A1596" s="552" t="inlineStr">
        <x:is>
          <x:t xml:space="preserve">1962-001145</x:t>
        </x:is>
      </x:c>
      <x:c r="B1596" s="552" t="n"/>
      <x:c r="C1596" s="552" t="inlineStr">
        <x:is>
          <x:t xml:space="preserve">Mineral Deed</x:t>
        </x:is>
      </x:c>
      <x:c r="D1596" s="552" t="inlineStr">
        <x:is>
          <x:t xml:space="preserve">MIS47/169</x:t>
        </x:is>
      </x:c>
      <x:c r="E1596" s="653" t="n">
        <x:v>22906</x:v>
      </x:c>
      <x:c r="F1596" s="653" t="n">
        <x:v>22906</x:v>
      </x:c>
      <x:c r="G1596" s="552" t="inlineStr">
        <x:is>
          <x:t xml:space="preserve">Robert O. Lister, Jr. and Marie Lister, HW</x:t>
        </x:is>
      </x:c>
      <x:c r="H1596" s="552" t="inlineStr">
        <x:is>
          <x:t xml:space="preserve">Carrie Lou Mitchell</x:t>
        </x:is>
      </x:c>
      <x:c r="I1596" s="552" t="inlineStr">
        <x:is>
          <x:t xml:space="preserve">Lot 4, S/2 of Lot 3, S/2 NE/4 SW/4, SE/4 SW/4 of 31-12N-24W</x:t>
        </x:is>
      </x:c>
      <x:c r="J1596" s="552" t="inlineStr">
        <x:is>
          <x:t xml:space="preserve">55/115.34 interest, 55 NMA</x:t>
        </x:is>
      </x:c>
      <x:c r="K1596" s="554" t="e">
        <x:f>HYPERLINK("https://okcountyrecords.com/detail/roger+mills/1962-001145","OKCountyRecords: 1962-001145")</x:f>
      </x:c>
      <x:c r="L1596" s="552" t="inlineStr">
        <x:is>
          <x:t xml:space="preserve">2, 3, 5, 6, 7</x:t>
        </x:is>
      </x:c>
      <x:c r="M1596" s="552" t="inlineStr">
        <x:is>
          <x:t xml:space="preserve">Mineral</x:t>
        </x:is>
      </x:c>
      <x:c r="N1596" s="555" t="str">
        <x:f>IF(O1596&gt;0,55/O1596,"")</x:f>
      </x:c>
      <x:c r="O1596" s="556" t="n">
        <x:f>IF($L1596="","",IF(ISNUMBER(SEARCH("all",$L1596)),640,(ISNUMBER(SEARCH("1",$L1596)))*80+(ISNUMBER(SEARCH("2",$L1596)))*160+(ISNUMBER(SEARCH("3",$L1596)))*40+(ISNUMBER(SEARCH("4",$L1596)))*80+(ISNUMBER(SEARCH("5",$L1596)))*120+(ISNUMBER(SEARCH("6",$L1596)))*80+(ISNUMBER(SEARCH("7",$L1596)))*40+(ISNUMBER(SEARCH("8",$L1596)))*40))</x:f>
        <x:v>0</x:v>
      </x:c>
      <x:c r="P1596" s="654" t="str">
        <x:f>IF($M1596&lt;&gt;"Mineral","",IF(ISNUMBER($N1596),$N1596,IF(OR(ISNUMBER(SEARCH("surface",$J1596)),ISNUMBER(SEARCH("reserv",$J1596)),ISNUMBER(SEARCH("less and except",$J1596))),0,"")))</x:f>
      </x:c>
      <x:c r="Q1596" s="654" t="str">
        <x:f>IF($P1596="","",-$P1596)</x:f>
      </x:c>
      <x:c r="R1596" s="655" t="str">
        <x:f>IF($P1596="","",$O1596*$P1596)</x:f>
      </x:c>
      <x:c r="S1596" s="552" t="str">
        <x:f>IF($M1596="","",TRIM(IF($M1596="Mineral",IF(ISNUMBER($N1596),"Mineral; basis Conv Amt(dec). ",IF($P1596=0,"Mineral; surface-only/reserved-&gt;0 min. ","Mineral; NO AMOUNT-verify instrument. ")),$M1596&amp;" (non-mineral; excluded from mineral NMA). ")&amp;IF(OR(ISNUMBER(SEARCH("public",$G1596)),ISNUMBER(SEARCH("public",$H1596))),"FLAG: The Public placeholder-verify. ","")&amp;IF(ISNUMBER(SEARCH("all",$L1596)),"All-section coverage. ","")&amp;IF($O1596=0,"Gross acres unresolved. ","")&amp;"Gross=tract-map basis."))</x:f>
        <x:v>Mineral; surface-only/reserved-&gt;0 min. Gross acres unresolved. Gross=tract-map basis.</x:v>
      </x:c>
      <x:c r="T1596" s="559" t="n"/>
      <x:c r="U1596" s="559" t="inlineStr">
        <x:is>
          <x:t xml:space="preserve">Conveys 55 NMA per notes; conv. dec = 55/gross. Verify denominator/tract from image.</x:t>
        </x:is>
      </x:c>
      <x:c r="V1596" s="565" t="n"/>
      <x:c r="W1596" s="565" t="n"/>
      <x:c r="X1596" s="565" t="n"/>
      <x:c r="Y1596" s="565" t="n"/>
      <x:c r="Z1596" s="565" t="n"/>
    </x:row>
    <x:row r="1597">
      <x:c r="A1597" s="552" t="inlineStr">
        <x:is>
          <x:t xml:space="preserve">1962-001141</x:t>
        </x:is>
      </x:c>
      <x:c r="B1597" s="552" t="n"/>
      <x:c r="C1597" s="552" t="inlineStr">
        <x:is>
          <x:t xml:space="preserve">Mineral Deed</x:t>
        </x:is>
      </x:c>
      <x:c r="D1597" s="552" t="inlineStr">
        <x:is>
          <x:t xml:space="preserve">MIS47/164</x:t>
        </x:is>
      </x:c>
      <x:c r="E1597" s="653" t="n">
        <x:v>22906</x:v>
      </x:c>
      <x:c r="F1597" s="653" t="n">
        <x:v>22906</x:v>
      </x:c>
      <x:c r="G1597" s="552" t="inlineStr">
        <x:is>
          <x:t xml:space="preserve">W. L. Ayers and Hazel Ayers, HW</x:t>
        </x:is>
      </x:c>
      <x:c r="H1597" s="552" t="inlineStr">
        <x:is>
          <x:t xml:space="preserve">Robert O. Lister, Jr.</x:t>
        </x:is>
      </x:c>
      <x:c r="I1597" s="552" t="inlineStr">
        <x:is>
          <x:t xml:space="preserve">Lot 4, S/2 of Lot 3, S/2 NE/4 SW/4, SE/4 SW/4 of 31-12N-24W</x:t>
        </x:is>
      </x:c>
      <x:c r="J1597" s="552" t="inlineStr">
        <x:is>
          <x:t xml:space="preserve">75/115.34 interest, 75 NMA</x:t>
        </x:is>
      </x:c>
      <x:c r="K1597" s="554" t="e">
        <x:f>HYPERLINK("https://okcountyrecords.com/detail/roger+mills/1962-001141","OKCountyRecords: 1962-001141")</x:f>
      </x:c>
      <x:c r="L1597" s="552" t="inlineStr">
        <x:is>
          <x:t xml:space="preserve">2, 3, 5, 6, 7</x:t>
        </x:is>
      </x:c>
      <x:c r="M1597" s="552" t="inlineStr">
        <x:is>
          <x:t xml:space="preserve">Mineral</x:t>
        </x:is>
      </x:c>
      <x:c r="N1597" s="555" t="str">
        <x:f>IF(O1597&gt;0,75/O1597,"")</x:f>
      </x:c>
      <x:c r="O1597" s="556" t="n">
        <x:f>IF($L1597="","",IF(ISNUMBER(SEARCH("all",$L1597)),640,(ISNUMBER(SEARCH("1",$L1597)))*80+(ISNUMBER(SEARCH("2",$L1597)))*160+(ISNUMBER(SEARCH("3",$L1597)))*40+(ISNUMBER(SEARCH("4",$L1597)))*80+(ISNUMBER(SEARCH("5",$L1597)))*120+(ISNUMBER(SEARCH("6",$L1597)))*80+(ISNUMBER(SEARCH("7",$L1597)))*40+(ISNUMBER(SEARCH("8",$L1597)))*40))</x:f>
        <x:v>0</x:v>
      </x:c>
      <x:c r="P1597" s="654" t="str">
        <x:f>IF($M1597&lt;&gt;"Mineral","",IF(ISNUMBER($N1597),$N1597,IF(OR(ISNUMBER(SEARCH("surface",$J1597)),ISNUMBER(SEARCH("reserv",$J1597)),ISNUMBER(SEARCH("less and except",$J1597))),0,"")))</x:f>
      </x:c>
      <x:c r="Q1597" s="654" t="str">
        <x:f>IF($P1597="","",-$P1597)</x:f>
      </x:c>
      <x:c r="R1597" s="655" t="str">
        <x:f>IF($P1597="","",$O1597*$P1597)</x:f>
      </x:c>
      <x:c r="S1597" s="552" t="str">
        <x:f>IF($M1597="","",TRIM(IF($M1597="Mineral",IF(ISNUMBER($N1597),"Mineral; basis Conv Amt(dec). ",IF($P1597=0,"Mineral; surface-only/reserved-&gt;0 min. ","Mineral; NO AMOUNT-verify instrument. ")),$M1597&amp;" (non-mineral; excluded from mineral NMA). ")&amp;IF(OR(ISNUMBER(SEARCH("public",$G1597)),ISNUMBER(SEARCH("public",$H1597))),"FLAG: The Public placeholder-verify. ","")&amp;IF(ISNUMBER(SEARCH("all",$L1597)),"All-section coverage. ","")&amp;IF($O1597=0,"Gross acres unresolved. ","")&amp;"Gross=tract-map basis."))</x:f>
        <x:v>Mineral; surface-only/reserved-&gt;0 min. Gross acres unresolved. Gross=tract-map basis.</x:v>
      </x:c>
      <x:c r="T1597" s="559" t="n"/>
      <x:c r="U1597" s="559" t="inlineStr">
        <x:is>
          <x:t xml:space="preserve">Conveys 75 NMA per notes; conv. dec = 75/gross. Verify denominator/tract from image.</x:t>
        </x:is>
      </x:c>
      <x:c r="V1597" s="565" t="n"/>
      <x:c r="W1597" s="565" t="n"/>
      <x:c r="X1597" s="565" t="n"/>
      <x:c r="Y1597" s="565" t="n"/>
      <x:c r="Z1597" s="565" t="n"/>
    </x:row>
    <x:row r="1598">
      <x:c r="A1598" s="552" t="inlineStr">
        <x:is>
          <x:t xml:space="preserve">1962-001389</x:t>
        </x:is>
      </x:c>
      <x:c r="B1598" s="552" t="n"/>
      <x:c r="C1598" s="552" t="inlineStr">
        <x:is>
          <x:t xml:space="preserve">Mineral Deed</x:t>
        </x:is>
      </x:c>
      <x:c r="D1598" s="552" t="inlineStr">
        <x:is>
          <x:t xml:space="preserve">MIS47/558</x:t>
        </x:is>
      </x:c>
      <x:c r="E1598" s="653" t="n">
        <x:v>22938</x:v>
      </x:c>
      <x:c r="F1598" s="653" t="n">
        <x:v>22938</x:v>
      </x:c>
      <x:c r="G1598" s="552" t="inlineStr">
        <x:is>
          <x:t xml:space="preserve">Robert O. Lister, Jr.</x:t>
        </x:is>
      </x:c>
      <x:c r="H1598" s="552" t="inlineStr">
        <x:is>
          <x:t xml:space="preserve">A. C. Campbell</x:t>
        </x:is>
      </x:c>
      <x:c r="I1598" s="552" t="inlineStr">
        <x:is>
          <x:t xml:space="preserve">Lot 4, S/2 of Lot 3, S/2 NE/4 SW/4, SE/4 SW/4 of 31-12N-24W</x:t>
        </x:is>
      </x:c>
      <x:c r="J1598" s="552" t="inlineStr">
        <x:is>
          <x:t xml:space="preserve">10/115.34 interest, 10 NMA</x:t>
        </x:is>
      </x:c>
      <x:c r="K1598" s="554" t="e">
        <x:f>HYPERLINK("https://okcountyrecords.com/detail/roger+mills/1962-001389","OKCountyRecords: 1962-001389")</x:f>
      </x:c>
      <x:c r="L1598" s="552" t="inlineStr">
        <x:is>
          <x:t xml:space="preserve">2, 3, 5, 6, 7</x:t>
        </x:is>
      </x:c>
      <x:c r="M1598" s="552" t="inlineStr">
        <x:is>
          <x:t xml:space="preserve">Mineral</x:t>
        </x:is>
      </x:c>
      <x:c r="N1598" s="555" t="str">
        <x:f>IF(O1598&gt;0,10/O1598,"")</x:f>
      </x:c>
      <x:c r="O1598" s="556" t="n">
        <x:f>IF($L1598="","",IF(ISNUMBER(SEARCH("all",$L1598)),640,(ISNUMBER(SEARCH("1",$L1598)))*80+(ISNUMBER(SEARCH("2",$L1598)))*160+(ISNUMBER(SEARCH("3",$L1598)))*40+(ISNUMBER(SEARCH("4",$L1598)))*80+(ISNUMBER(SEARCH("5",$L1598)))*120+(ISNUMBER(SEARCH("6",$L1598)))*80+(ISNUMBER(SEARCH("7",$L1598)))*40+(ISNUMBER(SEARCH("8",$L1598)))*40))</x:f>
        <x:v>0</x:v>
      </x:c>
      <x:c r="P1598" s="654" t="str">
        <x:f>IF($M1598&lt;&gt;"Mineral","",IF(ISNUMBER($N1598),$N1598,IF(OR(ISNUMBER(SEARCH("surface",$J1598)),ISNUMBER(SEARCH("reserv",$J1598)),ISNUMBER(SEARCH("less and except",$J1598))),0,"")))</x:f>
      </x:c>
      <x:c r="Q1598" s="654" t="str">
        <x:f>IF($P1598="","",-$P1598)</x:f>
      </x:c>
      <x:c r="R1598" s="655" t="str">
        <x:f>IF($P1598="","",$O1598*$P1598)</x:f>
      </x:c>
      <x:c r="S1598" s="552" t="str">
        <x:f>IF($M1598="","",TRIM(IF($M1598="Mineral",IF(ISNUMBER($N1598),"Mineral; basis Conv Amt(dec). ",IF($P1598=0,"Mineral; surface-only/reserved-&gt;0 min. ","Mineral; NO AMOUNT-verify instrument. ")),$M1598&amp;" (non-mineral; excluded from mineral NMA). ")&amp;IF(OR(ISNUMBER(SEARCH("public",$G1598)),ISNUMBER(SEARCH("public",$H1598))),"FLAG: The Public placeholder-verify. ","")&amp;IF(ISNUMBER(SEARCH("all",$L1598)),"All-section coverage. ","")&amp;IF($O1598=0,"Gross acres unresolved. ","")&amp;"Gross=tract-map basis."))</x:f>
        <x:v>Mineral; surface-only/reserved-&gt;0 min. Gross acres unresolved. Gross=tract-map basis.</x:v>
      </x:c>
      <x:c r="T1598" s="559" t="n"/>
      <x:c r="U1598" s="559" t="inlineStr">
        <x:is>
          <x:t xml:space="preserve">Conveys 10 NMA per notes; conv. dec = 10/gross. Verify denominator/tract from image.</x:t>
        </x:is>
      </x:c>
      <x:c r="V1598" s="565" t="n"/>
      <x:c r="W1598" s="565" t="n"/>
      <x:c r="X1598" s="565" t="n"/>
      <x:c r="Y1598" s="565" t="n"/>
      <x:c r="Z1598" s="565" t="n"/>
    </x:row>
    <x:row r="1599">
      <x:c r="A1599" s="552" t="inlineStr">
        <x:is>
          <x:t xml:space="preserve">1962-001390</x:t>
        </x:is>
      </x:c>
      <x:c r="B1599" s="552" t="n"/>
      <x:c r="C1599" s="552" t="inlineStr">
        <x:is>
          <x:t xml:space="preserve">Mineral Deed</x:t>
        </x:is>
      </x:c>
      <x:c r="D1599" s="552" t="inlineStr">
        <x:is>
          <x:t xml:space="preserve">MIS47/559</x:t>
        </x:is>
      </x:c>
      <x:c r="E1599" s="653" t="n">
        <x:v>22938</x:v>
      </x:c>
      <x:c r="F1599" s="653" t="n">
        <x:v>22938</x:v>
      </x:c>
      <x:c r="G1599" s="552" t="inlineStr">
        <x:is>
          <x:t xml:space="preserve">Robert O. Lister, Jr.</x:t>
        </x:is>
      </x:c>
      <x:c r="H1599" s="552" t="inlineStr">
        <x:is>
          <x:t xml:space="preserve">J. W. Klopfenstein</x:t>
        </x:is>
      </x:c>
      <x:c r="I1599" s="552" t="inlineStr">
        <x:is>
          <x:t xml:space="preserve">Lot 4, S/2 of Lot 3, S/2 NE/4 SW/4, SE/4 SW/4 of 31-12N-24W</x:t>
        </x:is>
      </x:c>
      <x:c r="J1599" s="552" t="inlineStr">
        <x:is>
          <x:t xml:space="preserve">10/115.34 interest, 10 NMA</x:t>
        </x:is>
      </x:c>
      <x:c r="K1599" s="554" t="e">
        <x:f>HYPERLINK("https://okcountyrecords.com/detail/roger+mills/1962-001390","OKCountyRecords: 1962-001390")</x:f>
      </x:c>
      <x:c r="L1599" s="552" t="inlineStr">
        <x:is>
          <x:t xml:space="preserve">2, 3, 5, 6, 7</x:t>
        </x:is>
      </x:c>
      <x:c r="M1599" s="552" t="inlineStr">
        <x:is>
          <x:t xml:space="preserve">Mineral</x:t>
        </x:is>
      </x:c>
      <x:c r="N1599" s="555" t="str">
        <x:f>IF(O1599&gt;0,10/O1599,"")</x:f>
      </x:c>
      <x:c r="O1599" s="556" t="n">
        <x:f>IF($L1599="","",IF(ISNUMBER(SEARCH("all",$L1599)),640,(ISNUMBER(SEARCH("1",$L1599)))*80+(ISNUMBER(SEARCH("2",$L1599)))*160+(ISNUMBER(SEARCH("3",$L1599)))*40+(ISNUMBER(SEARCH("4",$L1599)))*80+(ISNUMBER(SEARCH("5",$L1599)))*120+(ISNUMBER(SEARCH("6",$L1599)))*80+(ISNUMBER(SEARCH("7",$L1599)))*40+(ISNUMBER(SEARCH("8",$L1599)))*40))</x:f>
        <x:v>0</x:v>
      </x:c>
      <x:c r="P1599" s="654" t="str">
        <x:f>IF($M1599&lt;&gt;"Mineral","",IF(ISNUMBER($N1599),$N1599,IF(OR(ISNUMBER(SEARCH("surface",$J1599)),ISNUMBER(SEARCH("reserv",$J1599)),ISNUMBER(SEARCH("less and except",$J1599))),0,"")))</x:f>
      </x:c>
      <x:c r="Q1599" s="654" t="str">
        <x:f>IF($P1599="","",-$P1599)</x:f>
      </x:c>
      <x:c r="R1599" s="655" t="str">
        <x:f>IF($P1599="","",$O1599*$P1599)</x:f>
      </x:c>
      <x:c r="S1599" s="552" t="str">
        <x:f>IF($M1599="","",TRIM(IF($M1599="Mineral",IF(ISNUMBER($N1599),"Mineral; basis Conv Amt(dec). ",IF($P1599=0,"Mineral; surface-only/reserved-&gt;0 min. ","Mineral; NO AMOUNT-verify instrument. ")),$M1599&amp;" (non-mineral; excluded from mineral NMA). ")&amp;IF(OR(ISNUMBER(SEARCH("public",$G1599)),ISNUMBER(SEARCH("public",$H1599))),"FLAG: The Public placeholder-verify. ","")&amp;IF(ISNUMBER(SEARCH("all",$L1599)),"All-section coverage. ","")&amp;IF($O1599=0,"Gross acres unresolved. ","")&amp;"Gross=tract-map basis."))</x:f>
        <x:v>Mineral; surface-only/reserved-&gt;0 min. Gross acres unresolved. Gross=tract-map basis.</x:v>
      </x:c>
      <x:c r="T1599" s="559" t="n"/>
      <x:c r="U1599" s="559" t="inlineStr">
        <x:is>
          <x:t xml:space="preserve">Conveys 10 NMA per notes; conv. dec = 10/gross. Verify denominator/tract from image.</x:t>
        </x:is>
      </x:c>
      <x:c r="V1599" s="565" t="n"/>
      <x:c r="W1599" s="565" t="n"/>
      <x:c r="X1599" s="565" t="n"/>
      <x:c r="Y1599" s="565" t="n"/>
      <x:c r="Z1599" s="565" t="n"/>
    </x:row>
    <x:row r="1600">
      <x:c r="A1600" s="552" t="inlineStr">
        <x:is>
          <x:t xml:space="preserve">1967-002816</x:t>
        </x:is>
      </x:c>
      <x:c r="B1600" s="552" t="n"/>
      <x:c r="C1600" s="552" t="inlineStr">
        <x:is>
          <x:t xml:space="preserve">Final Decree and Order for Distribution</x:t>
        </x:is>
      </x:c>
      <x:c r="D1600" s="552" t="inlineStr">
        <x:is>
          <x:t xml:space="preserve">MIS86/33</x:t>
        </x:is>
      </x:c>
      <x:c r="E1600" s="653" t="n">
        <x:v>24709</x:v>
      </x:c>
      <x:c r="F1600" s="653" t="n">
        <x:v>24750</x:v>
      </x:c>
      <x:c r="G1600" s="552" t="inlineStr">
        <x:is>
          <x:t xml:space="preserve">Kiowa County Court,
RE: In the Matter of the Estate of Carrie Lou Mitchell, Deceased</x:t>
        </x:is>
      </x:c>
      <x:c r="H1600" s="552" t="inlineStr">
        <x:is>
          <x:t xml:space="preserve">Marvin Mitchell Williams, 1/4,
Gena Williams, 1/4,
Carrie Leeann Williams, 1/4,
Nancy Susan Mitchell, 1/4</x:t>
        </x:is>
      </x:c>
      <x:c r="I1600" s="552" t="inlineStr">
        <x:is>
          <x:t xml:space="preserve">SW/4 of 31-12N-24W, aol</x:t>
        </x:is>
      </x:c>
      <x:c r="J1600" s="552" t="inlineStr">
        <x:is>
          <x:t xml:space="preserve">ARTI, An Undivided 75.34 acre mineral interest</x:t>
        </x:is>
      </x:c>
      <x:c r="K1600" s="554" t="e">
        <x:f>HYPERLINK("https://okcountyrecords.com/detail/roger+mills/1967-002816","OKCountyRecords: 1967-002816")</x:f>
      </x:c>
      <x:c r="L1600" s="552" t="inlineStr">
        <x:is>
          <x:t xml:space="preserve">5, 6, 7</x:t>
        </x:is>
      </x:c>
      <x:c r="M1600" s="552" t="inlineStr">
        <x:is>
          <x:t xml:space="preserve">Mineral</x:t>
        </x:is>
      </x:c>
      <x:c r="N1600" s="555" t="n">
        <x:v>1</x:v>
      </x:c>
      <x:c r="O1600" s="556" t="n">
        <x:f>IF($L1600="","",IF(ISNUMBER(SEARCH("all",$L1600)),640,(ISNUMBER(SEARCH("1",$L1600)))*80+(ISNUMBER(SEARCH("2",$L1600)))*160+(ISNUMBER(SEARCH("3",$L1600)))*40+(ISNUMBER(SEARCH("4",$L1600)))*80+(ISNUMBER(SEARCH("5",$L1600)))*120+(ISNUMBER(SEARCH("6",$L1600)))*80+(ISNUMBER(SEARCH("7",$L1600)))*40+(ISNUMBER(SEARCH("8",$L1600)))*40))</x:f>
        <x:v>0</x:v>
      </x:c>
      <x:c r="P1600" s="654" t="n">
        <x:f>IF($M1600&lt;&gt;"Mineral","",IF(ISNUMBER($N1600),$N1600,IF(OR(ISNUMBER(SEARCH("surface",$J1600)),ISNUMBER(SEARCH("reserv",$J1600)),ISNUMBER(SEARCH("less and except",$J1600))),0,"")))</x:f>
        <x:v>1</x:v>
      </x:c>
      <x:c r="Q1600" s="654" t="n">
        <x:f>IF($P1600="","",-$P1600)</x:f>
        <x:v>-1</x:v>
      </x:c>
      <x:c r="R1600" s="655" t="n">
        <x:f>IF($P1600="","",$O1600*$P1600)</x:f>
        <x:v>0</x:v>
      </x:c>
      <x:c r="S1600" s="552" t="str">
        <x:f>IF($M1600="","",TRIM(IF($M1600="Mineral",IF(ISNUMBER($N1600),"Mineral; basis Conv Amt(dec). ",IF($P1600=0,"Mineral; surface-only/reserved-&gt;0 min. ","Mineral; NO AMOUNT-verify instrument. ")),$M1600&amp;" (non-mineral; excluded from mineral NMA). ")&amp;IF(OR(ISNUMBER(SEARCH("public",$G1600)),ISNUMBER(SEARCH("public",$H1600))),"FLAG: The Public placeholder-verify. ","")&amp;IF(ISNUMBER(SEARCH("all",$L1600)),"All-section coverage. ","")&amp;IF($O1600=0,"Gross acres unresolved. ","")&amp;"Gross=tract-map basis."))</x:f>
        <x:v>Mineral; basis Conv Amt(dec). Gross acres unresolved. Gross=tract-map basis.</x:v>
      </x:c>
      <x:c r="T1600" s="577" t="n"/>
      <x:c r="U1600" s="578" t="n"/>
      <x:c r="V1600" s="565" t="n"/>
      <x:c r="W1600" s="565" t="n"/>
      <x:c r="X1600" s="565" t="n"/>
      <x:c r="Y1600" s="565" t="n"/>
      <x:c r="Z1600" s="565" t="n"/>
    </x:row>
    <x:row r="1601">
      <x:c r="A1601" s="552" t="inlineStr">
        <x:is>
          <x:t xml:space="preserve">1968-003144</x:t>
        </x:is>
      </x:c>
      <x:c r="B1601" s="552" t="n"/>
      <x:c r="C1601" s="552" t="inlineStr">
        <x:is>
          <x:t xml:space="preserve">Rental Division Order</x:t>
        </x:is>
      </x:c>
      <x:c r="D1601" s="552" t="inlineStr">
        <x:is>
          <x:t xml:space="preserve">MIS97/120</x:t>
        </x:is>
      </x:c>
      <x:c r="E1601" s="653" t="n">
        <x:v>25176</x:v>
      </x:c>
      <x:c r="F1601" s="653" t="n">
        <x:v>25176</x:v>
      </x:c>
      <x:c r="G1601" s="552" t="inlineStr">
        <x:is>
          <x:t xml:space="preserve">J. B. Campbell,
Lillie A. Campbell</x:t>
        </x:is>
      </x:c>
      <x:c r="H1601" s="552" t="inlineStr">
        <x:is>
          <x:t xml:space="preserve">J. R. Groves</x:t>
        </x:is>
      </x:c>
      <x:c r="I1601" s="552" t="inlineStr">
        <x:is>
          <x:t xml:space="preserve">31-12N-24W</x:t>
        </x:is>
      </x:c>
      <x:c r="J1601" s="552" t="inlineStr">
        <x:is>
          <x:t xml:space="preserve">Leasehold / WI</x:t>
        </x:is>
      </x:c>
      <x:c r="K1601" s="554" t="e">
        <x:f>HYPERLINK("https://okcountyrecords.com/detail/roger+mills/1968-003144","OKCountyRecords: 1968-003144")</x:f>
      </x:c>
      <x:c r="L1601" s="552" t="inlineStr">
        <x:is>
          <x:t xml:space="preserve">All (1-8)</x:t>
        </x:is>
      </x:c>
      <x:c r="M1601" s="552" t="inlineStr">
        <x:is>
          <x:t xml:space="preserve">Other</x:t>
        </x:is>
      </x:c>
      <x:c r="N1601" s="555" t="n"/>
      <x:c r="O1601" s="556" t="n">
        <x:f>IF($L1601="","",IF(ISNUMBER(SEARCH("all",$L1601)),640,(ISNUMBER(SEARCH("1",$L1601)))*80+(ISNUMBER(SEARCH("2",$L1601)))*160+(ISNUMBER(SEARCH("3",$L1601)))*40+(ISNUMBER(SEARCH("4",$L1601)))*80+(ISNUMBER(SEARCH("5",$L1601)))*120+(ISNUMBER(SEARCH("6",$L1601)))*80+(ISNUMBER(SEARCH("7",$L1601)))*40+(ISNUMBER(SEARCH("8",$L1601)))*40))</x:f>
        <x:v>640</x:v>
      </x:c>
      <x:c r="P1601" s="654" t="str">
        <x:f>IF($M1601&lt;&gt;"Mineral","",IF(ISNUMBER($N1601),$N1601,IF(OR(ISNUMBER(SEARCH("surface",$J1601)),ISNUMBER(SEARCH("reserv",$J1601)),ISNUMBER(SEARCH("less and except",$J1601))),0,"")))</x:f>
      </x:c>
      <x:c r="Q1601" s="654" t="str">
        <x:f>IF($P1601="","",-$P1601)</x:f>
      </x:c>
      <x:c r="R1601" s="655" t="str">
        <x:f>IF($P1601="","",$O1601*$P1601)</x:f>
      </x:c>
      <x:c r="S1601" s="552" t="str">
        <x:f>IF($M1601="","",TRIM(IF($M1601="Mineral",IF(ISNUMBER($N1601),"Mineral; basis Conv Amt(dec). ",IF($P1601=0,"Mineral; surface-only/reserved-&gt;0 min. ","Mineral; NO AMOUNT-verify instrument. ")),$M1601&amp;" (non-mineral; excluded from mineral NMA). ")&amp;IF(OR(ISNUMBER(SEARCH("public",$G1601)),ISNUMBER(SEARCH("public",$H1601))),"FLAG: The Public placeholder-verify. ","")&amp;IF(ISNUMBER(SEARCH("all",$L1601)),"All-section coverage. ","")&amp;IF($O1601=0,"Gross acres unresolved. ","")&amp;"Gross=tract-map basis."))</x:f>
        <x:v>Other (non-mineral; excluded from mineral NMA). All-section coverage. Gross=tract-map basis.</x:v>
      </x:c>
      <x:c r="T1601" s="559" t="n"/>
      <x:c r="U1601" s="559" t="n"/>
      <x:c r="V1601" s="565" t="n"/>
      <x:c r="W1601" s="565" t="n"/>
      <x:c r="X1601" s="565" t="n"/>
      <x:c r="Y1601" s="565" t="n"/>
      <x:c r="Z1601" s="565" t="n"/>
    </x:row>
    <x:row r="1602">
      <x:c r="A1602" s="552" t="inlineStr">
        <x:is>
          <x:t xml:space="preserve">1970-003015</x:t>
        </x:is>
      </x:c>
      <x:c r="B1602" s="552" t="n"/>
      <x:c r="C1602" s="552" t="inlineStr">
        <x:is>
          <x:t xml:space="preserve">Rental Division Order</x:t>
        </x:is>
      </x:c>
      <x:c r="D1602" s="552" t="inlineStr">
        <x:is>
          <x:t xml:space="preserve">115/485</x:t>
        </x:is>
      </x:c>
      <x:c r="E1602" s="653" t="n">
        <x:v>25905</x:v>
      </x:c>
      <x:c r="F1602" s="653" t="n">
        <x:v>25905</x:v>
      </x:c>
      <x:c r="G1602" s="552" t="inlineStr">
        <x:is>
          <x:t xml:space="preserve">Marie Lister,
Robert O. Lister Jr.</x:t>
        </x:is>
      </x:c>
      <x:c r="H1602" s="552" t="inlineStr">
        <x:is>
          <x:t xml:space="preserve">W. V. Lister</x:t>
        </x:is>
      </x:c>
      <x:c r="I1602" s="552" t="inlineStr">
        <x:is>
          <x:t xml:space="preserve">31-12N-24W</x:t>
        </x:is>
      </x:c>
      <x:c r="J1602" s="552" t="inlineStr">
        <x:is>
          <x:t xml:space="preserve">Leasehold / WI</x:t>
        </x:is>
      </x:c>
      <x:c r="K1602" s="554" t="e">
        <x:f>HYPERLINK("https://okcountyrecords.com/detail/roger+mills/1970-003015","OKCountyRecords: 1970-003015")</x:f>
      </x:c>
      <x:c r="L1602" s="552" t="inlineStr">
        <x:is>
          <x:t xml:space="preserve">All (1-8)</x:t>
        </x:is>
      </x:c>
      <x:c r="M1602" s="552" t="inlineStr">
        <x:is>
          <x:t xml:space="preserve">Other</x:t>
        </x:is>
      </x:c>
      <x:c r="N1602" s="555" t="n"/>
      <x:c r="O1602" s="556" t="n">
        <x:f>IF($L1602="","",IF(ISNUMBER(SEARCH("all",$L1602)),640,(ISNUMBER(SEARCH("1",$L1602)))*80+(ISNUMBER(SEARCH("2",$L1602)))*160+(ISNUMBER(SEARCH("3",$L1602)))*40+(ISNUMBER(SEARCH("4",$L1602)))*80+(ISNUMBER(SEARCH("5",$L1602)))*120+(ISNUMBER(SEARCH("6",$L1602)))*80+(ISNUMBER(SEARCH("7",$L1602)))*40+(ISNUMBER(SEARCH("8",$L1602)))*40))</x:f>
        <x:v>640</x:v>
      </x:c>
      <x:c r="P1602" s="654" t="str">
        <x:f>IF($M1602&lt;&gt;"Mineral","",IF(ISNUMBER($N1602),$N1602,IF(OR(ISNUMBER(SEARCH("surface",$J1602)),ISNUMBER(SEARCH("reserv",$J1602)),ISNUMBER(SEARCH("less and except",$J1602))),0,"")))</x:f>
      </x:c>
      <x:c r="Q1602" s="654" t="str">
        <x:f>IF($P1602="","",-$P1602)</x:f>
      </x:c>
      <x:c r="R1602" s="655" t="str">
        <x:f>IF($P1602="","",$O1602*$P1602)</x:f>
      </x:c>
      <x:c r="S1602" s="552" t="str">
        <x:f>IF($M1602="","",TRIM(IF($M1602="Mineral",IF(ISNUMBER($N1602),"Mineral; basis Conv Amt(dec). ",IF($P1602=0,"Mineral; surface-only/reserved-&gt;0 min. ","Mineral; NO AMOUNT-verify instrument. ")),$M1602&amp;" (non-mineral; excluded from mineral NMA). ")&amp;IF(OR(ISNUMBER(SEARCH("public",$G1602)),ISNUMBER(SEARCH("public",$H1602))),"FLAG: The Public placeholder-verify. ","")&amp;IF(ISNUMBER(SEARCH("all",$L1602)),"All-section coverage. ","")&amp;IF($O1602=0,"Gross acres unresolved. ","")&amp;"Gross=tract-map basis."))</x:f>
        <x:v>Other (non-mineral; excluded from mineral NMA). All-section coverage. Gross=tract-map basis.</x:v>
      </x:c>
      <x:c r="T1602" s="559" t="n"/>
      <x:c r="U1602" s="559" t="n"/>
      <x:c r="V1602" s="565" t="n"/>
      <x:c r="W1602" s="565" t="n"/>
      <x:c r="X1602" s="565" t="n"/>
      <x:c r="Y1602" s="565" t="n"/>
      <x:c r="Z1602" s="565" t="n"/>
    </x:row>
    <x:row r="1603">
      <x:c r="A1603" s="552" t="inlineStr">
        <x:is>
          <x:t xml:space="preserve">1974-001639</x:t>
        </x:is>
      </x:c>
      <x:c r="B1603" s="552" t="n"/>
      <x:c r="C1603" s="552" t="inlineStr">
        <x:is>
          <x:t xml:space="preserve">Mineral Deed</x:t>
        </x:is>
      </x:c>
      <x:c r="D1603" s="552" t="inlineStr">
        <x:is>
          <x:t xml:space="preserve">163/565</x:t>
        </x:is>
      </x:c>
      <x:c r="E1603" s="653" t="n">
        <x:v>27163</x:v>
      </x:c>
      <x:c r="F1603" s="653" t="n">
        <x:v>27163</x:v>
      </x:c>
      <x:c r="G1603" s="552" t="inlineStr">
        <x:is>
          <x:t xml:space="preserve">L. E. Thurman and Veronica Thurman, HW</x:t>
        </x:is>
      </x:c>
      <x:c r="H1603" s="552" t="inlineStr">
        <x:is>
          <x:t xml:space="preserve">Marie Lister</x:t>
        </x:is>
      </x:c>
      <x:c r="I1603" s="552" t="inlineStr">
        <x:is>
          <x:t xml:space="preserve">E/2 NW/4, SE/4 NE/4, NE/4 SE/4, N/2 NE/4 SW/4 of 31-12N-24W, aol</x:t>
        </x:is>
      </x:c>
      <x:c r="J1603" s="552" t="inlineStr">
        <x:is>
          <x:t xml:space="preserve">60/260 interest in 2 sections</x:t>
        </x:is>
      </x:c>
      <x:c r="K1603" s="554" t="e">
        <x:f>HYPERLINK("https://okcountyrecords.com/detail/roger+mills/1974-001639","OKCountyRecords: 1974-001639")</x:f>
      </x:c>
      <x:c r="L1603" s="552" t="inlineStr">
        <x:is>
          <x:t xml:space="preserve">1, 3, 4, 7, 8</x:t>
        </x:is>
      </x:c>
      <x:c r="M1603" s="552" t="inlineStr">
        <x:is>
          <x:t xml:space="preserve">Mineral</x:t>
        </x:is>
      </x:c>
      <x:c r="N1603" s="561" t="n">
        <x:f>60/260</x:f>
        <x:v>0.23076923076923078</x:v>
      </x:c>
      <x:c r="O1603" s="556" t="n">
        <x:f>IF($L1603="","",IF(ISNUMBER(SEARCH("all",$L1603)),640,(ISNUMBER(SEARCH("1",$L1603)))*80+(ISNUMBER(SEARCH("2",$L1603)))*160+(ISNUMBER(SEARCH("3",$L1603)))*40+(ISNUMBER(SEARCH("4",$L1603)))*80+(ISNUMBER(SEARCH("5",$L1603)))*120+(ISNUMBER(SEARCH("6",$L1603)))*80+(ISNUMBER(SEARCH("7",$L1603)))*40+(ISNUMBER(SEARCH("8",$L1603)))*40))</x:f>
        <x:v>0</x:v>
      </x:c>
      <x:c r="P1603" s="654" t="n">
        <x:f>IF($M1603&lt;&gt;"Mineral","",IF(ISNUMBER($N1603),$N1603,IF(OR(ISNUMBER(SEARCH("surface",$J1603)),ISNUMBER(SEARCH("reserv",$J1603)),ISNUMBER(SEARCH("less and except",$J1603))),0,"")))</x:f>
        <x:v>0.23076923076923078</x:v>
      </x:c>
      <x:c r="Q1603" s="654" t="n">
        <x:f>IF($P1603="","",-$P1603)</x:f>
        <x:v>-0.23076923076923078</x:v>
      </x:c>
      <x:c r="R1603" s="655" t="n">
        <x:f>IF($P1603="","",$O1603*$P1603)</x:f>
        <x:v>0</x:v>
      </x:c>
      <x:c r="S1603" s="552" t="str">
        <x:f>IF($M1603="","",TRIM(IF($M1603="Mineral",IF(ISNUMBER($N1603),"Mineral; basis Conv Amt(dec). ",IF($P1603=0,"Mineral; surface-only/reserved-&gt;0 min. ","Mineral; NO AMOUNT-verify instrument. ")),$M1603&amp;" (non-mineral; excluded from mineral NMA). ")&amp;IF(OR(ISNUMBER(SEARCH("public",$G1603)),ISNUMBER(SEARCH("public",$H1603))),"FLAG: The Public placeholder-verify. ","")&amp;IF(ISNUMBER(SEARCH("all",$L1603)),"All-section coverage. ","")&amp;IF($O1603=0,"Gross acres unresolved. ","")&amp;"Gross=tract-map basis."))</x:f>
        <x:v>Mineral; basis Conv Amt(dec). Gross acres unresolved. Gross=tract-map basis.</x:v>
      </x:c>
      <x:c r="T1603" s="577" t="n"/>
      <x:c r="U1603" s="577" t="n"/>
      <x:c r="V1603" s="565" t="n"/>
      <x:c r="W1603" s="565" t="n"/>
      <x:c r="X1603" s="565" t="n"/>
      <x:c r="Y1603" s="565" t="n"/>
      <x:c r="Z1603" s="565" t="n"/>
    </x:row>
    <x:row r="1604">
      <x:c r="A1604" s="552" t="inlineStr">
        <x:is>
          <x:t xml:space="preserve">1974-001700</x:t>
        </x:is>
      </x:c>
      <x:c r="B1604" s="552" t="n"/>
      <x:c r="C1604" s="552" t="inlineStr">
        <x:is>
          <x:t xml:space="preserve">Mineral Deed</x:t>
        </x:is>
      </x:c>
      <x:c r="D1604" s="552" t="inlineStr">
        <x:is>
          <x:t xml:space="preserve">164/66</x:t>
        </x:is>
      </x:c>
      <x:c r="E1604" s="653" t="n">
        <x:v>27171</x:v>
      </x:c>
      <x:c r="F1604" s="653" t="n">
        <x:v>27171</x:v>
      </x:c>
      <x:c r="G1604" s="552" t="inlineStr">
        <x:is>
          <x:t xml:space="preserve">Marie Lister</x:t>
        </x:is>
      </x:c>
      <x:c r="H1604" s="552" t="inlineStr">
        <x:is>
          <x:t xml:space="preserve">W. H. Sorenson</x:t>
        </x:is>
      </x:c>
      <x:c r="I1604" s="552" t="inlineStr">
        <x:is>
          <x:t xml:space="preserve">E/2 NW/4, SE/4 NE/4, NE/4 SE/4, N/2 NE/4 SW/4 of 31-12N-24W, aol</x:t>
        </x:is>
      </x:c>
      <x:c r="J1604" s="552" t="inlineStr">
        <x:is>
          <x:t xml:space="preserve">40/260 interest in 2 sections</x:t>
        </x:is>
      </x:c>
      <x:c r="K1604" s="554" t="e">
        <x:f>HYPERLINK("https://okcountyrecords.com/detail/roger+mills/1974-001700","OKCountyRecords: 1974-001700")</x:f>
      </x:c>
      <x:c r="L1604" s="552" t="inlineStr">
        <x:is>
          <x:t xml:space="preserve">1, 3, 4, 7, 8</x:t>
        </x:is>
      </x:c>
      <x:c r="M1604" s="552" t="inlineStr">
        <x:is>
          <x:t xml:space="preserve">Mineral</x:t>
        </x:is>
      </x:c>
      <x:c r="N1604" s="561" t="n">
        <x:f>40/260</x:f>
        <x:v>0.15384615384615385</x:v>
      </x:c>
      <x:c r="O1604" s="556" t="n">
        <x:f>IF($L1604="","",IF(ISNUMBER(SEARCH("all",$L1604)),640,(ISNUMBER(SEARCH("1",$L1604)))*80+(ISNUMBER(SEARCH("2",$L1604)))*160+(ISNUMBER(SEARCH("3",$L1604)))*40+(ISNUMBER(SEARCH("4",$L1604)))*80+(ISNUMBER(SEARCH("5",$L1604)))*120+(ISNUMBER(SEARCH("6",$L1604)))*80+(ISNUMBER(SEARCH("7",$L1604)))*40+(ISNUMBER(SEARCH("8",$L1604)))*40))</x:f>
        <x:v>0</x:v>
      </x:c>
      <x:c r="P1604" s="654" t="n">
        <x:f>IF($M1604&lt;&gt;"Mineral","",IF(ISNUMBER($N1604),$N1604,IF(OR(ISNUMBER(SEARCH("surface",$J1604)),ISNUMBER(SEARCH("reserv",$J1604)),ISNUMBER(SEARCH("less and except",$J1604))),0,"")))</x:f>
        <x:v>0.15384615384615385</x:v>
      </x:c>
      <x:c r="Q1604" s="654" t="n">
        <x:f>IF($P1604="","",-$P1604)</x:f>
        <x:v>-0.15384615384615385</x:v>
      </x:c>
      <x:c r="R1604" s="655" t="n">
        <x:f>IF($P1604="","",$O1604*$P1604)</x:f>
        <x:v>0</x:v>
      </x:c>
      <x:c r="S1604" s="552" t="str">
        <x:f>IF($M1604="","",TRIM(IF($M1604="Mineral",IF(ISNUMBER($N1604),"Mineral; basis Conv Amt(dec). ",IF($P1604=0,"Mineral; surface-only/reserved-&gt;0 min. ","Mineral; NO AMOUNT-verify instrument. ")),$M1604&amp;" (non-mineral; excluded from mineral NMA). ")&amp;IF(OR(ISNUMBER(SEARCH("public",$G1604)),ISNUMBER(SEARCH("public",$H1604))),"FLAG: The Public placeholder-verify. ","")&amp;IF(ISNUMBER(SEARCH("all",$L1604)),"All-section coverage. ","")&amp;IF($O1604=0,"Gross acres unresolved. ","")&amp;"Gross=tract-map basis."))</x:f>
        <x:v>Mineral; basis Conv Amt(dec). Gross acres unresolved. Gross=tract-map basis.</x:v>
      </x:c>
      <x:c r="T1604" s="577" t="n"/>
      <x:c r="U1604" s="577" t="n"/>
      <x:c r="V1604" s="565" t="n"/>
      <x:c r="W1604" s="565" t="n"/>
      <x:c r="X1604" s="565" t="n"/>
      <x:c r="Y1604" s="565" t="n"/>
      <x:c r="Z1604" s="565" t="n"/>
    </x:row>
    <x:row r="1605">
      <x:c r="A1605" s="552" t="inlineStr">
        <x:is>
          <x:t xml:space="preserve">1974-002044</x:t>
        </x:is>
      </x:c>
      <x:c r="B1605" s="552" t="n"/>
      <x:c r="C1605" s="552" t="inlineStr">
        <x:is>
          <x:t xml:space="preserve">Mineral Deed</x:t>
        </x:is>
      </x:c>
      <x:c r="D1605" s="552" t="inlineStr">
        <x:is>
          <x:t xml:space="preserve">165/87</x:t>
        </x:is>
      </x:c>
      <x:c r="E1605" s="653" t="n">
        <x:v>27207</x:v>
      </x:c>
      <x:c r="F1605" s="653" t="n">
        <x:v>27207</x:v>
      </x:c>
      <x:c r="G1605" s="552" t="inlineStr">
        <x:is>
          <x:t xml:space="preserve">Marie Lister</x:t>
        </x:is>
      </x:c>
      <x:c r="H1605" s="552" t="inlineStr">
        <x:is>
          <x:t xml:space="preserve">Mann Childrens Trust</x:t>
        </x:is>
      </x:c>
      <x:c r="I1605" s="552" t="inlineStr">
        <x:is>
          <x:t xml:space="preserve">E/2 NW/4, SE/4 NE/4, NE/4 SE/4, N/2 NE/4 SW/4 of 31-12N-24W, aol</x:t>
        </x:is>
      </x:c>
      <x:c r="J1605" s="552" t="inlineStr">
        <x:is>
          <x:t xml:space="preserve">10/260 interest in 2 sections</x:t>
        </x:is>
      </x:c>
      <x:c r="K1605" s="554" t="e">
        <x:f>HYPERLINK("https://okcountyrecords.com/detail/roger+mills/1974-002044","OKCountyRecords: 1974-002044")</x:f>
      </x:c>
      <x:c r="L1605" s="552" t="inlineStr">
        <x:is>
          <x:t xml:space="preserve">1, 3, 4, 7, 8</x:t>
        </x:is>
      </x:c>
      <x:c r="M1605" s="552" t="inlineStr">
        <x:is>
          <x:t xml:space="preserve">Mineral</x:t>
        </x:is>
      </x:c>
      <x:c r="N1605" s="561" t="n">
        <x:f>10/260</x:f>
        <x:v>0.038461538461538464</x:v>
      </x:c>
      <x:c r="O1605" s="556" t="n">
        <x:f>IF($L1605="","",IF(ISNUMBER(SEARCH("all",$L1605)),640,(ISNUMBER(SEARCH("1",$L1605)))*80+(ISNUMBER(SEARCH("2",$L1605)))*160+(ISNUMBER(SEARCH("3",$L1605)))*40+(ISNUMBER(SEARCH("4",$L1605)))*80+(ISNUMBER(SEARCH("5",$L1605)))*120+(ISNUMBER(SEARCH("6",$L1605)))*80+(ISNUMBER(SEARCH("7",$L1605)))*40+(ISNUMBER(SEARCH("8",$L1605)))*40))</x:f>
        <x:v>0</x:v>
      </x:c>
      <x:c r="P1605" s="654" t="n">
        <x:f>IF($M1605&lt;&gt;"Mineral","",IF(ISNUMBER($N1605),$N1605,IF(OR(ISNUMBER(SEARCH("surface",$J1605)),ISNUMBER(SEARCH("reserv",$J1605)),ISNUMBER(SEARCH("less and except",$J1605))),0,"")))</x:f>
        <x:v>0.038461538461538464</x:v>
      </x:c>
      <x:c r="Q1605" s="654" t="n">
        <x:f>IF($P1605="","",-$P1605)</x:f>
        <x:v>-0.038461538461538464</x:v>
      </x:c>
      <x:c r="R1605" s="655" t="n">
        <x:f>IF($P1605="","",$O1605*$P1605)</x:f>
        <x:v>0</x:v>
      </x:c>
      <x:c r="S1605" s="552" t="str">
        <x:f>IF($M1605="","",TRIM(IF($M1605="Mineral",IF(ISNUMBER($N1605),"Mineral; basis Conv Amt(dec). ",IF($P1605=0,"Mineral; surface-only/reserved-&gt;0 min. ","Mineral; NO AMOUNT-verify instrument. ")),$M1605&amp;" (non-mineral; excluded from mineral NMA). ")&amp;IF(OR(ISNUMBER(SEARCH("public",$G1605)),ISNUMBER(SEARCH("public",$H1605))),"FLAG: The Public placeholder-verify. ","")&amp;IF(ISNUMBER(SEARCH("all",$L1605)),"All-section coverage. ","")&amp;IF($O1605=0,"Gross acres unresolved. ","")&amp;"Gross=tract-map basis."))</x:f>
        <x:v>Mineral; basis Conv Amt(dec). Gross acres unresolved. Gross=tract-map basis.</x:v>
      </x:c>
      <x:c r="T1605" s="577" t="n"/>
      <x:c r="U1605" s="577" t="n"/>
      <x:c r="V1605" s="565" t="n"/>
      <x:c r="W1605" s="565" t="n"/>
      <x:c r="X1605" s="565" t="n"/>
      <x:c r="Y1605" s="565" t="n"/>
      <x:c r="Z1605" s="565" t="n"/>
    </x:row>
    <x:row r="1606">
      <x:c r="A1606" s="552" t="inlineStr">
        <x:is>
          <x:t xml:space="preserve">1975-000869</x:t>
        </x:is>
      </x:c>
      <x:c r="B1606" s="552" t="n"/>
      <x:c r="C1606" s="552" t="inlineStr">
        <x:is>
          <x:t xml:space="preserve">Mineral Deed</x:t>
        </x:is>
      </x:c>
      <x:c r="D1606" s="552" t="inlineStr">
        <x:is>
          <x:t xml:space="preserve">176/144</x:t>
        </x:is>
      </x:c>
      <x:c r="E1606" s="653" t="n">
        <x:v>27481</x:v>
      </x:c>
      <x:c r="F1606" s="653" t="n">
        <x:v>27481</x:v>
      </x:c>
      <x:c r="G1606" s="552" t="inlineStr">
        <x:is>
          <x:t xml:space="preserve">Marie Lister</x:t>
        </x:is>
      </x:c>
      <x:c r="H1606" s="552" t="inlineStr">
        <x:is>
          <x:t xml:space="preserve">J. E. Barnett</x:t>
        </x:is>
      </x:c>
      <x:c r="I1606" s="552" t="inlineStr">
        <x:is>
          <x:t xml:space="preserve">E/2 NW/4, SE/4 NE/4, NE/4 SE/4, N/2 NE/4 SW/4 of 31-12N-24W, aol</x:t>
        </x:is>
      </x:c>
      <x:c r="J1606" s="552" t="inlineStr">
        <x:is>
          <x:t xml:space="preserve">10/260 interest in 2 sections</x:t>
        </x:is>
      </x:c>
      <x:c r="K1606" s="554" t="e">
        <x:f>HYPERLINK("https://okcountyrecords.com/detail/roger+mills/1975-000869","OKCountyRecords: 1975-000869")</x:f>
      </x:c>
      <x:c r="L1606" s="552" t="inlineStr">
        <x:is>
          <x:t xml:space="preserve">1, 3, 4, 7, 8</x:t>
        </x:is>
      </x:c>
      <x:c r="M1606" s="552" t="inlineStr">
        <x:is>
          <x:t xml:space="preserve">Mineral</x:t>
        </x:is>
      </x:c>
      <x:c r="N1606" s="561" t="n">
        <x:f>10/260</x:f>
        <x:v>0.038461538461538464</x:v>
      </x:c>
      <x:c r="O1606" s="556" t="n">
        <x:f>IF($L1606="","",IF(ISNUMBER(SEARCH("all",$L1606)),640,(ISNUMBER(SEARCH("1",$L1606)))*80+(ISNUMBER(SEARCH("2",$L1606)))*160+(ISNUMBER(SEARCH("3",$L1606)))*40+(ISNUMBER(SEARCH("4",$L1606)))*80+(ISNUMBER(SEARCH("5",$L1606)))*120+(ISNUMBER(SEARCH("6",$L1606)))*80+(ISNUMBER(SEARCH("7",$L1606)))*40+(ISNUMBER(SEARCH("8",$L1606)))*40))</x:f>
        <x:v>0</x:v>
      </x:c>
      <x:c r="P1606" s="654" t="n">
        <x:f>IF($M1606&lt;&gt;"Mineral","",IF(ISNUMBER($N1606),$N1606,IF(OR(ISNUMBER(SEARCH("surface",$J1606)),ISNUMBER(SEARCH("reserv",$J1606)),ISNUMBER(SEARCH("less and except",$J1606))),0,"")))</x:f>
        <x:v>0.038461538461538464</x:v>
      </x:c>
      <x:c r="Q1606" s="654" t="n">
        <x:f>IF($P1606="","",-$P1606)</x:f>
        <x:v>-0.038461538461538464</x:v>
      </x:c>
      <x:c r="R1606" s="655" t="n">
        <x:f>IF($P1606="","",$O1606*$P1606)</x:f>
        <x:v>0</x:v>
      </x:c>
      <x:c r="S1606" s="552" t="str">
        <x:f>IF($M1606="","",TRIM(IF($M1606="Mineral",IF(ISNUMBER($N1606),"Mineral; basis Conv Amt(dec). ",IF($P1606=0,"Mineral; surface-only/reserved-&gt;0 min. ","Mineral; NO AMOUNT-verify instrument. ")),$M1606&amp;" (non-mineral; excluded from mineral NMA). ")&amp;IF(OR(ISNUMBER(SEARCH("public",$G1606)),ISNUMBER(SEARCH("public",$H1606))),"FLAG: The Public placeholder-verify. ","")&amp;IF(ISNUMBER(SEARCH("all",$L1606)),"All-section coverage. ","")&amp;IF($O1606=0,"Gross acres unresolved. ","")&amp;"Gross=tract-map basis."))</x:f>
        <x:v>Mineral; basis Conv Amt(dec). Gross acres unresolved. Gross=tract-map basis.</x:v>
      </x:c>
      <x:c r="T1606" s="577" t="n"/>
      <x:c r="U1606" s="577" t="n"/>
      <x:c r="V1606" s="565" t="n"/>
      <x:c r="W1606" s="565" t="n"/>
      <x:c r="X1606" s="565" t="n"/>
      <x:c r="Y1606" s="565" t="n"/>
      <x:c r="Z1606" s="565" t="n"/>
    </x:row>
    <x:row r="1607">
      <x:c r="A1607" s="552" t="inlineStr">
        <x:is>
          <x:t xml:space="preserve">1976-003251</x:t>
        </x:is>
      </x:c>
      <x:c r="B1607" s="552" t="n"/>
      <x:c r="C1607" s="552" t="inlineStr">
        <x:is>
          <x:t xml:space="preserve">Warranty Deed</x:t>
        </x:is>
      </x:c>
      <x:c r="D1607" s="552" t="inlineStr">
        <x:is>
          <x:t xml:space="preserve">197/116</x:t>
        </x:is>
      </x:c>
      <x:c r="E1607" s="653" t="n">
        <x:v>28005</x:v>
      </x:c>
      <x:c r="F1607" s="653" t="n">
        <x:v>28005</x:v>
      </x:c>
      <x:c r="G1607" s="552" t="inlineStr">
        <x:is>
          <x:t xml:space="preserve">Elmo W. Kirk and Freeda Kirk, HW</x:t>
        </x:is>
      </x:c>
      <x:c r="H1607" s="552" t="inlineStr">
        <x:is>
          <x:t xml:space="preserve">Margie Kirk</x:t>
        </x:is>
      </x:c>
      <x:c r="I1607" s="552" t="inlineStr">
        <x:is>
          <x:t xml:space="preserve">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x:t>
        </x:is>
      </x:c>
      <x:c r="J1607" s="552" t="inlineStr">
        <x:is>
          <x:t xml:space="preserve">ARTI</x:t>
        </x:is>
      </x:c>
      <x:c r="K1607" s="554" t="e">
        <x:f>HYPERLINK("https://okcountyrecords.com/detail/roger+mills/1976-003251","OKCountyRecords: 1976-003251")</x:f>
      </x:c>
      <x:c r="L1607" s="552" t="inlineStr">
        <x:is>
          <x:t xml:space="preserve">4, 5</x:t>
        </x:is>
      </x:c>
      <x:c r="M1607" s="552" t="inlineStr">
        <x:is>
          <x:t xml:space="preserve">Mineral</x:t>
        </x:is>
      </x:c>
      <x:c r="N1607" s="555" t="n">
        <x:v>1</x:v>
      </x:c>
      <x:c r="O1607" s="556" t="n">
        <x:f>IF($L1607="","",IF(ISNUMBER(SEARCH("all",$L1607)),640,(ISNUMBER(SEARCH("1",$L1607)))*80+(ISNUMBER(SEARCH("2",$L1607)))*160+(ISNUMBER(SEARCH("3",$L1607)))*40+(ISNUMBER(SEARCH("4",$L1607)))*80+(ISNUMBER(SEARCH("5",$L1607)))*120+(ISNUMBER(SEARCH("6",$L1607)))*80+(ISNUMBER(SEARCH("7",$L1607)))*40+(ISNUMBER(SEARCH("8",$L1607)))*40))</x:f>
        <x:v>0</x:v>
      </x:c>
      <x:c r="P1607" s="654" t="n">
        <x:f>IF($M1607&lt;&gt;"Mineral","",IF(ISNUMBER($N1607),$N1607,IF(OR(ISNUMBER(SEARCH("surface",$J1607)),ISNUMBER(SEARCH("reserv",$J1607)),ISNUMBER(SEARCH("less and except",$J1607))),0,"")))</x:f>
        <x:v>1</x:v>
      </x:c>
      <x:c r="Q1607" s="654" t="n">
        <x:f>IF($P1607="","",-$P1607)</x:f>
        <x:v>-1</x:v>
      </x:c>
      <x:c r="R1607" s="655" t="n">
        <x:f>IF($P1607="","",$O1607*$P1607)</x:f>
        <x:v>0</x:v>
      </x:c>
      <x:c r="S1607" s="552" t="str">
        <x:f>IF($M1607="","",TRIM(IF($M1607="Mineral",IF(ISNUMBER($N1607),"Mineral; basis Conv Amt(dec). ",IF($P1607=0,"Mineral; surface-only/reserved-&gt;0 min. ","Mineral; NO AMOUNT-verify instrument. ")),$M1607&amp;" (non-mineral; excluded from mineral NMA). ")&amp;IF(OR(ISNUMBER(SEARCH("public",$G1607)),ISNUMBER(SEARCH("public",$H1607))),"FLAG: The Public placeholder-verify. ","")&amp;IF(ISNUMBER(SEARCH("all",$L1607)),"All-section coverage. ","")&amp;IF($O1607=0,"Gross acres unresolved. ","")&amp;"Gross=tract-map basis."))</x:f>
        <x:v>Mineral; basis Conv Amt(dec). Gross acres unresolved. Gross=tract-map basis.</x:v>
      </x:c>
      <x:c r="T1607" s="577" t="inlineStr">
        <x:is>
          <x:t xml:space="preserve">OK</x:t>
        </x:is>
      </x:c>
      <x:c r="U1607" s="577" t="inlineStr">
        <x:is>
          <x:t xml:space="preserve">Resolved into Tract 9 chain grid: Elmo W. &amp; Freeda Kirk → Margie Kirk (full ARTI in South 51 ac). Verify grantors' pre-1976 mineral fraction vs recorded image.</x:t>
        </x:is>
      </x:c>
      <x:c r="V1607" s="565" t="n"/>
      <x:c r="W1607" s="565" t="n"/>
      <x:c r="X1607" s="565" t="n"/>
      <x:c r="Y1607" s="565" t="n"/>
      <x:c r="Z1607" s="565" t="n"/>
    </x:row>
    <x:row r="1608">
      <x:c r="A1608" s="552" t="inlineStr">
        <x:is>
          <x:t xml:space="preserve">1977-007503</x:t>
        </x:is>
      </x:c>
      <x:c r="B1608" s="552" t="n"/>
      <x:c r="C1608" s="552" t="inlineStr">
        <x:is>
          <x:t xml:space="preserve">Joint Tenancy Warranty Deed</x:t>
        </x:is>
      </x:c>
      <x:c r="D1608" s="552" t="inlineStr">
        <x:is>
          <x:t xml:space="preserve">227/89</x:t>
        </x:is>
      </x:c>
      <x:c r="E1608" s="653" t="n">
        <x:v>28445</x:v>
      </x:c>
      <x:c r="F1608" s="653" t="n">
        <x:v>28445</x:v>
      </x:c>
      <x:c r="G1608" s="552" t="inlineStr">
        <x:is>
          <x:t xml:space="preserve">Margie Kirk</x:t>
        </x:is>
      </x:c>
      <x:c r="H1608" s="552" t="inlineStr">
        <x:is>
          <x:t xml:space="preserve">Gordon E. Kirk and Ella Pearl Kirk, HW, JTWROS</x:t>
        </x:is>
      </x:c>
      <x:c r="I1608" s="552" t="inlineStr">
        <x:is>
          <x:t xml:space="preserve">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x:t>
        </x:is>
      </x:c>
      <x:c r="J1608" s="552" t="inlineStr">
        <x:is>
          <x:t xml:space="preserve">ARTI</x:t>
        </x:is>
      </x:c>
      <x:c r="K1608" s="554" t="e">
        <x:f>HYPERLINK("https://okcountyrecords.com/detail/roger+mills/1977-007503","OKCountyRecords: 1977-007503")</x:f>
      </x:c>
      <x:c r="L1608" s="552" t="inlineStr">
        <x:is>
          <x:t xml:space="preserve">4, 5</x:t>
        </x:is>
      </x:c>
      <x:c r="M1608" s="552" t="inlineStr">
        <x:is>
          <x:t xml:space="preserve">Mineral</x:t>
        </x:is>
      </x:c>
      <x:c r="N1608" s="555" t="n">
        <x:v>1</x:v>
      </x:c>
      <x:c r="O1608" s="556" t="n">
        <x:f>IF($L1608="","",IF(ISNUMBER(SEARCH("all",$L1608)),640,(ISNUMBER(SEARCH("1",$L1608)))*80+(ISNUMBER(SEARCH("2",$L1608)))*160+(ISNUMBER(SEARCH("3",$L1608)))*40+(ISNUMBER(SEARCH("4",$L1608)))*80+(ISNUMBER(SEARCH("5",$L1608)))*120+(ISNUMBER(SEARCH("6",$L1608)))*80+(ISNUMBER(SEARCH("7",$L1608)))*40+(ISNUMBER(SEARCH("8",$L1608)))*40))</x:f>
        <x:v>0</x:v>
      </x:c>
      <x:c r="P1608" s="654" t="n">
        <x:f>IF($M1608&lt;&gt;"Mineral","",IF(ISNUMBER($N1608),$N1608,IF(OR(ISNUMBER(SEARCH("surface",$J1608)),ISNUMBER(SEARCH("reserv",$J1608)),ISNUMBER(SEARCH("less and except",$J1608))),0,"")))</x:f>
        <x:v>1</x:v>
      </x:c>
      <x:c r="Q1608" s="654" t="n">
        <x:f>IF($P1608="","",-$P1608)</x:f>
        <x:v>-1</x:v>
      </x:c>
      <x:c r="R1608" s="655" t="n">
        <x:f>IF($P1608="","",$O1608*$P1608)</x:f>
        <x:v>0</x:v>
      </x:c>
      <x:c r="S1608" s="552" t="str">
        <x:f>IF($M1608="","",TRIM(IF($M1608="Mineral",IF(ISNUMBER($N1608),"Mineral; basis Conv Amt(dec). ",IF($P1608=0,"Mineral; surface-only/reserved-&gt;0 min. ","Mineral; NO AMOUNT-verify instrument. ")),$M1608&amp;" (non-mineral; excluded from mineral NMA). ")&amp;IF(OR(ISNUMBER(SEARCH("public",$G1608)),ISNUMBER(SEARCH("public",$H1608))),"FLAG: The Public placeholder-verify. ","")&amp;IF(ISNUMBER(SEARCH("all",$L1608)),"All-section coverage. ","")&amp;IF($O1608=0,"Gross acres unresolved. ","")&amp;"Gross=tract-map basis."))</x:f>
        <x:v>Mineral; basis Conv Amt(dec). Gross acres unresolved. Gross=tract-map basis.</x:v>
      </x:c>
      <x:c r="T1608" s="577" t="inlineStr">
        <x:is>
          <x:t xml:space="preserve">OK</x:t>
        </x:is>
      </x:c>
      <x:c r="U1608" s="577" t="inlineStr">
        <x:is>
          <x:t xml:space="preserve">Resolved into Tract 9 chain grid: Margie Kirk → Gordon E. &amp; Ella Pearl Kirk (JTWROS).</x:t>
        </x:is>
      </x:c>
      <x:c r="V1608" s="565" t="n"/>
      <x:c r="W1608" s="565" t="n"/>
      <x:c r="X1608" s="565" t="n"/>
      <x:c r="Y1608" s="565" t="n"/>
      <x:c r="Z1608" s="565" t="n"/>
    </x:row>
    <x:row r="1609">
      <x:c r="A1609" s="552" t="inlineStr">
        <x:is>
          <x:t xml:space="preserve">1978-002576</x:t>
        </x:is>
      </x:c>
      <x:c r="B1609" s="552" t="n"/>
      <x:c r="C1609" s="552" t="inlineStr">
        <x:is>
          <x:t xml:space="preserve">Mineral Deed</x:t>
        </x:is>
      </x:c>
      <x:c r="D1609" s="552" t="inlineStr">
        <x:is>
          <x:t xml:space="preserve">237/367</x:t>
        </x:is>
      </x:c>
      <x:c r="E1609" s="653" t="n">
        <x:v>28583</x:v>
      </x:c>
      <x:c r="F1609" s="653" t="n">
        <x:v>28583</x:v>
      </x:c>
      <x:c r="G1609" s="552" t="inlineStr">
        <x:is>
          <x:t xml:space="preserve">William C. Bain, a/k/a W. M. Bain, a/k/a W. C. Bain, and Eula Bain, HW</x:t>
        </x:is>
      </x:c>
      <x:c r="H1609" s="552" t="inlineStr">
        <x:is>
          <x:t xml:space="preserve">Hazel A. Hamilton</x:t>
        </x:is>
      </x:c>
      <x:c r="I1609" s="552" t="inlineStr">
        <x:is>
          <x:t xml:space="preserve">SW/4 NE/4, NW/4 SE/4, S/2 SE/4 of 31-12N-24W, aol</x:t>
        </x:is>
      </x:c>
      <x:c r="J1609" s="552" t="inlineStr">
        <x:is>
          <x:t xml:space="preserve">40/791.47 interest in 2 sections</x:t>
        </x:is>
      </x:c>
      <x:c r="K1609" s="554" t="e">
        <x:f>HYPERLINK("https://okcountyrecords.com/detail/roger+mills/1978-002576","OKCountyRecords: 1978-002576")</x:f>
      </x:c>
      <x:c r="L1609" s="552" t="n">
        <x:v>2</x:v>
      </x:c>
      <x:c r="M1609" s="552" t="inlineStr">
        <x:is>
          <x:t xml:space="preserve">Mineral</x:t>
        </x:is>
      </x:c>
      <x:c r="N1609" s="555" t="n">
        <x:f>40/791.47</x:f>
        <x:v>0.05053887070893401</x:v>
      </x:c>
      <x:c r="O1609" s="556" t="n">
        <x:f>IF($L1609="","",IF(ISNUMBER(SEARCH("all",$L1609)),640,(ISNUMBER(SEARCH("1",$L1609)))*80+(ISNUMBER(SEARCH("2",$L1609)))*160+(ISNUMBER(SEARCH("3",$L1609)))*40+(ISNUMBER(SEARCH("4",$L1609)))*80+(ISNUMBER(SEARCH("5",$L1609)))*120+(ISNUMBER(SEARCH("6",$L1609)))*80+(ISNUMBER(SEARCH("7",$L1609)))*40+(ISNUMBER(SEARCH("8",$L1609)))*40))</x:f>
        <x:v>0</x:v>
      </x:c>
      <x:c r="P1609" s="654" t="n">
        <x:f>IF($M1609&lt;&gt;"Mineral","",IF(ISNUMBER($N1609),$N1609,IF(OR(ISNUMBER(SEARCH("surface",$J1609)),ISNUMBER(SEARCH("reserv",$J1609)),ISNUMBER(SEARCH("less and except",$J1609))),0,"")))</x:f>
        <x:v>0.05053887070893401</x:v>
      </x:c>
      <x:c r="Q1609" s="654" t="n">
        <x:f>IF($P1609="","",-$P1609)</x:f>
        <x:v>-0.05053887070893401</x:v>
      </x:c>
      <x:c r="R1609" s="655" t="n">
        <x:f>IF($P1609="","",$O1609*$P1609)</x:f>
        <x:v>0</x:v>
      </x:c>
      <x:c r="S1609" s="552" t="str">
        <x:f>IF($M1609="","",TRIM(IF($M1609="Mineral",IF(ISNUMBER($N1609),"Mineral; basis Conv Amt(dec). ",IF($P1609=0,"Mineral; surface-only/reserved-&gt;0 min. ","Mineral; NO AMOUNT-verify instrument. ")),$M1609&amp;" (non-mineral; excluded from mineral NMA). ")&amp;IF(OR(ISNUMBER(SEARCH("public",$G1609)),ISNUMBER(SEARCH("public",$H1609))),"FLAG: The Public placeholder-verify. ","")&amp;IF(ISNUMBER(SEARCH("all",$L1609)),"All-section coverage. ","")&amp;IF($O1609=0,"Gross acres unresolved. ","")&amp;"Gross=tract-map basis."))</x:f>
        <x:v>Mineral; basis Conv Amt(dec). Gross acres unresolved. Gross=tract-map basis.</x:v>
      </x:c>
      <x:c r="T1609" s="577" t="n"/>
      <x:c r="U1609" s="577" t="n"/>
      <x:c r="V1609" s="565" t="n"/>
      <x:c r="W1609" s="565" t="n"/>
      <x:c r="X1609" s="565" t="n"/>
      <x:c r="Y1609" s="565" t="n"/>
      <x:c r="Z1609" s="565" t="n"/>
    </x:row>
    <x:row r="1610">
      <x:c r="A1610" s="552" t="inlineStr">
        <x:is>
          <x:t xml:space="preserve">1978-002579</x:t>
        </x:is>
      </x:c>
      <x:c r="B1610" s="552" t="n"/>
      <x:c r="C1610" s="552" t="inlineStr">
        <x:is>
          <x:t xml:space="preserve">Mineral Deed</x:t>
        </x:is>
      </x:c>
      <x:c r="D1610" s="552" t="inlineStr">
        <x:is>
          <x:t xml:space="preserve">237/370</x:t>
        </x:is>
      </x:c>
      <x:c r="E1610" s="653" t="n">
        <x:v>28583</x:v>
      </x:c>
      <x:c r="F1610" s="653" t="n">
        <x:v>28583</x:v>
      </x:c>
      <x:c r="G1610" s="552" t="inlineStr">
        <x:is>
          <x:t xml:space="preserve">William C. Bain, a/k/a W. M. Bain, a/k/a W. C. Bain, and Eula Bain, HW</x:t>
        </x:is>
      </x:c>
      <x:c r="H1610" s="552" t="inlineStr">
        <x:is>
          <x:t xml:space="preserve">Opal L. Fuchs</x:t>
        </x:is>
      </x:c>
      <x:c r="I1610" s="552" t="inlineStr">
        <x:is>
          <x:t xml:space="preserve">SW/4 NE/4, NW/4 SE/4, S/2 SE/4 of 31-12N-24W, aol</x:t>
        </x:is>
      </x:c>
      <x:c r="J1610" s="552" t="inlineStr">
        <x:is>
          <x:t xml:space="preserve">40/791.47 interest in 2 sections</x:t>
        </x:is>
      </x:c>
      <x:c r="K1610" s="554" t="e">
        <x:f>HYPERLINK("https://okcountyrecords.com/detail/roger+mills/1978-002579","OKCountyRecords: 1978-002579")</x:f>
      </x:c>
      <x:c r="L1610" s="552" t="n">
        <x:v>2</x:v>
      </x:c>
      <x:c r="M1610" s="552" t="inlineStr">
        <x:is>
          <x:t xml:space="preserve">Mineral</x:t>
        </x:is>
      </x:c>
      <x:c r="N1610" s="555" t="n">
        <x:f>40/791.47</x:f>
        <x:v>0.05053887070893401</x:v>
      </x:c>
      <x:c r="O1610" s="556" t="n">
        <x:f>IF($L1610="","",IF(ISNUMBER(SEARCH("all",$L1610)),640,(ISNUMBER(SEARCH("1",$L1610)))*80+(ISNUMBER(SEARCH("2",$L1610)))*160+(ISNUMBER(SEARCH("3",$L1610)))*40+(ISNUMBER(SEARCH("4",$L1610)))*80+(ISNUMBER(SEARCH("5",$L1610)))*120+(ISNUMBER(SEARCH("6",$L1610)))*80+(ISNUMBER(SEARCH("7",$L1610)))*40+(ISNUMBER(SEARCH("8",$L1610)))*40))</x:f>
        <x:v>0</x:v>
      </x:c>
      <x:c r="P1610" s="654" t="n">
        <x:f>IF($M1610&lt;&gt;"Mineral","",IF(ISNUMBER($N1610),$N1610,IF(OR(ISNUMBER(SEARCH("surface",$J1610)),ISNUMBER(SEARCH("reserv",$J1610)),ISNUMBER(SEARCH("less and except",$J1610))),0,"")))</x:f>
        <x:v>0.05053887070893401</x:v>
      </x:c>
      <x:c r="Q1610" s="654" t="n">
        <x:f>IF($P1610="","",-$P1610)</x:f>
        <x:v>-0.05053887070893401</x:v>
      </x:c>
      <x:c r="R1610" s="655" t="n">
        <x:f>IF($P1610="","",$O1610*$P1610)</x:f>
        <x:v>0</x:v>
      </x:c>
      <x:c r="S1610" s="552" t="str">
        <x:f>IF($M1610="","",TRIM(IF($M1610="Mineral",IF(ISNUMBER($N1610),"Mineral; basis Conv Amt(dec). ",IF($P1610=0,"Mineral; surface-only/reserved-&gt;0 min. ","Mineral; NO AMOUNT-verify instrument. ")),$M1610&amp;" (non-mineral; excluded from mineral NMA). ")&amp;IF(OR(ISNUMBER(SEARCH("public",$G1610)),ISNUMBER(SEARCH("public",$H1610))),"FLAG: The Public placeholder-verify. ","")&amp;IF(ISNUMBER(SEARCH("all",$L1610)),"All-section coverage. ","")&amp;IF($O1610=0,"Gross acres unresolved. ","")&amp;"Gross=tract-map basis."))</x:f>
        <x:v>Mineral; basis Conv Amt(dec). Gross acres unresolved. Gross=tract-map basis.</x:v>
      </x:c>
      <x:c r="T1610" s="577" t="n"/>
      <x:c r="U1610" s="577" t="n"/>
      <x:c r="V1610" s="565" t="n"/>
      <x:c r="W1610" s="565" t="n"/>
      <x:c r="X1610" s="565" t="n"/>
      <x:c r="Y1610" s="565" t="n"/>
      <x:c r="Z1610" s="565" t="n"/>
    </x:row>
    <x:row r="1611">
      <x:c r="A1611" s="552" t="inlineStr">
        <x:is>
          <x:t xml:space="preserve">1978-002580</x:t>
        </x:is>
      </x:c>
      <x:c r="B1611" s="552" t="n"/>
      <x:c r="C1611" s="552" t="inlineStr">
        <x:is>
          <x:t xml:space="preserve">Mineral Deed</x:t>
        </x:is>
      </x:c>
      <x:c r="D1611" s="552" t="inlineStr">
        <x:is>
          <x:t xml:space="preserve">237/371</x:t>
        </x:is>
      </x:c>
      <x:c r="E1611" s="653" t="n">
        <x:v>28583</x:v>
      </x:c>
      <x:c r="F1611" s="653" t="n">
        <x:v>28583</x:v>
      </x:c>
      <x:c r="G1611" s="552" t="inlineStr">
        <x:is>
          <x:t xml:space="preserve">William C. Bain, a/k/a W. M. Bain, a/k/a W. C. Bain, and Eula Bain, HW</x:t>
        </x:is>
      </x:c>
      <x:c r="H1611" s="552" t="inlineStr">
        <x:is>
          <x:t xml:space="preserve">Carl L. Bain</x:t>
        </x:is>
      </x:c>
      <x:c r="I1611" s="552" t="inlineStr">
        <x:is>
          <x:t xml:space="preserve">SW/4 NE/4, NW/4 SE/4, S/2 SE/4 of 31-12N-24W, aol</x:t>
        </x:is>
      </x:c>
      <x:c r="J1611" s="552" t="inlineStr">
        <x:is>
          <x:t xml:space="preserve">40/791.47 interest in 2 sections</x:t>
        </x:is>
      </x:c>
      <x:c r="K1611" s="554" t="e">
        <x:f>HYPERLINK("https://okcountyrecords.com/detail/roger+mills/1978-002580","OKCountyRecords: 1978-002580")</x:f>
      </x:c>
      <x:c r="L1611" s="552" t="n">
        <x:v>2</x:v>
      </x:c>
      <x:c r="M1611" s="552" t="inlineStr">
        <x:is>
          <x:t xml:space="preserve">Mineral</x:t>
        </x:is>
      </x:c>
      <x:c r="N1611" s="555" t="n">
        <x:f>40/791.47</x:f>
        <x:v>0.05053887070893401</x:v>
      </x:c>
      <x:c r="O1611" s="556" t="n">
        <x:f>IF($L1611="","",IF(ISNUMBER(SEARCH("all",$L1611)),640,(ISNUMBER(SEARCH("1",$L1611)))*80+(ISNUMBER(SEARCH("2",$L1611)))*160+(ISNUMBER(SEARCH("3",$L1611)))*40+(ISNUMBER(SEARCH("4",$L1611)))*80+(ISNUMBER(SEARCH("5",$L1611)))*120+(ISNUMBER(SEARCH("6",$L1611)))*80+(ISNUMBER(SEARCH("7",$L1611)))*40+(ISNUMBER(SEARCH("8",$L1611)))*40))</x:f>
        <x:v>0</x:v>
      </x:c>
      <x:c r="P1611" s="654" t="n">
        <x:f>IF($M1611&lt;&gt;"Mineral","",IF(ISNUMBER($N1611),$N1611,IF(OR(ISNUMBER(SEARCH("surface",$J1611)),ISNUMBER(SEARCH("reserv",$J1611)),ISNUMBER(SEARCH("less and except",$J1611))),0,"")))</x:f>
        <x:v>0.05053887070893401</x:v>
      </x:c>
      <x:c r="Q1611" s="654" t="n">
        <x:f>IF($P1611="","",-$P1611)</x:f>
        <x:v>-0.05053887070893401</x:v>
      </x:c>
      <x:c r="R1611" s="655" t="n">
        <x:f>IF($P1611="","",$O1611*$P1611)</x:f>
        <x:v>0</x:v>
      </x:c>
      <x:c r="S1611" s="552" t="str">
        <x:f>IF($M1611="","",TRIM(IF($M1611="Mineral",IF(ISNUMBER($N1611),"Mineral; basis Conv Amt(dec). ",IF($P1611=0,"Mineral; surface-only/reserved-&gt;0 min. ","Mineral; NO AMOUNT-verify instrument. ")),$M1611&amp;" (non-mineral; excluded from mineral NMA). ")&amp;IF(OR(ISNUMBER(SEARCH("public",$G1611)),ISNUMBER(SEARCH("public",$H1611))),"FLAG: The Public placeholder-verify. ","")&amp;IF(ISNUMBER(SEARCH("all",$L1611)),"All-section coverage. ","")&amp;IF($O1611=0,"Gross acres unresolved. ","")&amp;"Gross=tract-map basis."))</x:f>
        <x:v>Mineral; basis Conv Amt(dec). Gross acres unresolved. Gross=tract-map basis.</x:v>
      </x:c>
      <x:c r="T1611" s="577" t="n"/>
      <x:c r="U1611" s="577" t="n"/>
      <x:c r="V1611" s="565" t="n"/>
      <x:c r="W1611" s="565" t="n"/>
      <x:c r="X1611" s="565" t="n"/>
      <x:c r="Y1611" s="565" t="n"/>
      <x:c r="Z1611" s="565" t="n"/>
    </x:row>
    <x:row r="1612">
      <x:c r="A1612" s="552" t="inlineStr">
        <x:is>
          <x:t xml:space="preserve">1978-002581</x:t>
        </x:is>
      </x:c>
      <x:c r="B1612" s="552" t="n"/>
      <x:c r="C1612" s="552" t="inlineStr">
        <x:is>
          <x:t xml:space="preserve">Mineral Deed</x:t>
        </x:is>
      </x:c>
      <x:c r="D1612" s="552" t="inlineStr">
        <x:is>
          <x:t xml:space="preserve">237/372</x:t>
        </x:is>
      </x:c>
      <x:c r="E1612" s="653" t="n">
        <x:v>28583</x:v>
      </x:c>
      <x:c r="F1612" s="653" t="n">
        <x:v>28583</x:v>
      </x:c>
      <x:c r="G1612" s="552" t="inlineStr">
        <x:is>
          <x:t xml:space="preserve">William C. Bain, a/k/a W. M. Bain, a/k/a W. C. Bain, and Eula Bain, HW</x:t>
        </x:is>
      </x:c>
      <x:c r="H1612" s="552" t="inlineStr">
        <x:is>
          <x:t xml:space="preserve">Dow C. Bain</x:t>
        </x:is>
      </x:c>
      <x:c r="I1612" s="552" t="inlineStr">
        <x:is>
          <x:t xml:space="preserve">SW/4 NE/4, NW/4 SE/4, S/2 SE/4 of 31-12N-24W, aol</x:t>
        </x:is>
      </x:c>
      <x:c r="J1612" s="552" t="inlineStr">
        <x:is>
          <x:t xml:space="preserve">40/791.47 interest in 2 sections</x:t>
        </x:is>
      </x:c>
      <x:c r="K1612" s="554" t="e">
        <x:f>HYPERLINK("https://okcountyrecords.com/detail/roger+mills/1978-002581","OKCountyRecords: 1978-002581")</x:f>
      </x:c>
      <x:c r="L1612" s="552" t="n">
        <x:v>2</x:v>
      </x:c>
      <x:c r="M1612" s="552" t="inlineStr">
        <x:is>
          <x:t xml:space="preserve">Mineral</x:t>
        </x:is>
      </x:c>
      <x:c r="N1612" s="555" t="n">
        <x:f>40/791.47</x:f>
        <x:v>0.05053887070893401</x:v>
      </x:c>
      <x:c r="O1612" s="556" t="n">
        <x:f>IF($L1612="","",IF(ISNUMBER(SEARCH("all",$L1612)),640,(ISNUMBER(SEARCH("1",$L1612)))*80+(ISNUMBER(SEARCH("2",$L1612)))*160+(ISNUMBER(SEARCH("3",$L1612)))*40+(ISNUMBER(SEARCH("4",$L1612)))*80+(ISNUMBER(SEARCH("5",$L1612)))*120+(ISNUMBER(SEARCH("6",$L1612)))*80+(ISNUMBER(SEARCH("7",$L1612)))*40+(ISNUMBER(SEARCH("8",$L1612)))*40))</x:f>
        <x:v>0</x:v>
      </x:c>
      <x:c r="P1612" s="654" t="n">
        <x:f>IF($M1612&lt;&gt;"Mineral","",IF(ISNUMBER($N1612),$N1612,IF(OR(ISNUMBER(SEARCH("surface",$J1612)),ISNUMBER(SEARCH("reserv",$J1612)),ISNUMBER(SEARCH("less and except",$J1612))),0,"")))</x:f>
        <x:v>0.05053887070893401</x:v>
      </x:c>
      <x:c r="Q1612" s="654" t="n">
        <x:f>IF($P1612="","",-$P1612)</x:f>
        <x:v>-0.05053887070893401</x:v>
      </x:c>
      <x:c r="R1612" s="655" t="n">
        <x:f>IF($P1612="","",$O1612*$P1612)</x:f>
        <x:v>0</x:v>
      </x:c>
      <x:c r="S1612" s="552" t="str">
        <x:f>IF($M1612="","",TRIM(IF($M1612="Mineral",IF(ISNUMBER($N1612),"Mineral; basis Conv Amt(dec). ",IF($P1612=0,"Mineral; surface-only/reserved-&gt;0 min. ","Mineral; NO AMOUNT-verify instrument. ")),$M1612&amp;" (non-mineral; excluded from mineral NMA). ")&amp;IF(OR(ISNUMBER(SEARCH("public",$G1612)),ISNUMBER(SEARCH("public",$H1612))),"FLAG: The Public placeholder-verify. ","")&amp;IF(ISNUMBER(SEARCH("all",$L1612)),"All-section coverage. ","")&amp;IF($O1612=0,"Gross acres unresolved. ","")&amp;"Gross=tract-map basis."))</x:f>
        <x:v>Mineral; basis Conv Amt(dec). Gross acres unresolved. Gross=tract-map basis.</x:v>
      </x:c>
      <x:c r="T1612" s="577" t="n"/>
      <x:c r="U1612" s="577" t="n"/>
      <x:c r="V1612" s="565" t="n"/>
      <x:c r="W1612" s="565" t="n"/>
      <x:c r="X1612" s="565" t="n"/>
      <x:c r="Y1612" s="565" t="n"/>
      <x:c r="Z1612" s="565" t="n"/>
    </x:row>
    <x:row r="1613">
      <x:c r="A1613" s="552" t="inlineStr">
        <x:is>
          <x:t xml:space="preserve">1978-002582</x:t>
        </x:is>
      </x:c>
      <x:c r="B1613" s="552" t="n"/>
      <x:c r="C1613" s="552" t="inlineStr">
        <x:is>
          <x:t xml:space="preserve">Mineral Deed</x:t>
        </x:is>
      </x:c>
      <x:c r="D1613" s="552" t="inlineStr">
        <x:is>
          <x:t xml:space="preserve">237/373</x:t>
        </x:is>
      </x:c>
      <x:c r="E1613" s="653" t="n">
        <x:v>28583</x:v>
      </x:c>
      <x:c r="F1613" s="653" t="n">
        <x:v>28583</x:v>
      </x:c>
      <x:c r="G1613" s="552" t="inlineStr">
        <x:is>
          <x:t xml:space="preserve">William C. Bain, a/k/a W. M. Bain, a/k/a W. C. Bain, and Eula Bain, HW</x:t>
        </x:is>
      </x:c>
      <x:c r="H1613" s="552" t="inlineStr">
        <x:is>
          <x:t xml:space="preserve">Wilda E. Jensen</x:t>
        </x:is>
      </x:c>
      <x:c r="I1613" s="552" t="inlineStr">
        <x:is>
          <x:t xml:space="preserve">SW/4 NE/4, NW/4 SE/4, S/2 SE/4 of 31-12N-24W, aol</x:t>
        </x:is>
      </x:c>
      <x:c r="J1613" s="552" t="inlineStr">
        <x:is>
          <x:t xml:space="preserve">40/791.47 interest in 2 sections</x:t>
        </x:is>
      </x:c>
      <x:c r="K1613" s="554" t="e">
        <x:f>HYPERLINK("https://okcountyrecords.com/detail/roger+mills/1978-002582","OKCountyRecords: 1978-002582")</x:f>
      </x:c>
      <x:c r="L1613" s="552" t="n">
        <x:v>2</x:v>
      </x:c>
      <x:c r="M1613" s="552" t="inlineStr">
        <x:is>
          <x:t xml:space="preserve">Mineral</x:t>
        </x:is>
      </x:c>
      <x:c r="N1613" s="555" t="n">
        <x:f>40/791.47</x:f>
        <x:v>0.05053887070893401</x:v>
      </x:c>
      <x:c r="O1613" s="556" t="n">
        <x:f>IF($L1613="","",IF(ISNUMBER(SEARCH("all",$L1613)),640,(ISNUMBER(SEARCH("1",$L1613)))*80+(ISNUMBER(SEARCH("2",$L1613)))*160+(ISNUMBER(SEARCH("3",$L1613)))*40+(ISNUMBER(SEARCH("4",$L1613)))*80+(ISNUMBER(SEARCH("5",$L1613)))*120+(ISNUMBER(SEARCH("6",$L1613)))*80+(ISNUMBER(SEARCH("7",$L1613)))*40+(ISNUMBER(SEARCH("8",$L1613)))*40))</x:f>
        <x:v>0</x:v>
      </x:c>
      <x:c r="P1613" s="654" t="n">
        <x:f>IF($M1613&lt;&gt;"Mineral","",IF(ISNUMBER($N1613),$N1613,IF(OR(ISNUMBER(SEARCH("surface",$J1613)),ISNUMBER(SEARCH("reserv",$J1613)),ISNUMBER(SEARCH("less and except",$J1613))),0,"")))</x:f>
        <x:v>0.05053887070893401</x:v>
      </x:c>
      <x:c r="Q1613" s="654" t="n">
        <x:f>IF($P1613="","",-$P1613)</x:f>
        <x:v>-0.05053887070893401</x:v>
      </x:c>
      <x:c r="R1613" s="655" t="n">
        <x:f>IF($P1613="","",$O1613*$P1613)</x:f>
        <x:v>0</x:v>
      </x:c>
      <x:c r="S1613" s="552" t="str">
        <x:f>IF($M1613="","",TRIM(IF($M1613="Mineral",IF(ISNUMBER($N1613),"Mineral; basis Conv Amt(dec). ",IF($P1613=0,"Mineral; surface-only/reserved-&gt;0 min. ","Mineral; NO AMOUNT-verify instrument. ")),$M1613&amp;" (non-mineral; excluded from mineral NMA). ")&amp;IF(OR(ISNUMBER(SEARCH("public",$G1613)),ISNUMBER(SEARCH("public",$H1613))),"FLAG: The Public placeholder-verify. ","")&amp;IF(ISNUMBER(SEARCH("all",$L1613)),"All-section coverage. ","")&amp;IF($O1613=0,"Gross acres unresolved. ","")&amp;"Gross=tract-map basis."))</x:f>
        <x:v>Mineral; basis Conv Amt(dec). Gross acres unresolved. Gross=tract-map basis.</x:v>
      </x:c>
      <x:c r="T1613" s="577" t="n"/>
      <x:c r="U1613" s="577" t="n"/>
      <x:c r="V1613" s="565" t="n"/>
      <x:c r="W1613" s="565" t="n"/>
      <x:c r="X1613" s="565" t="n"/>
      <x:c r="Y1613" s="565" t="n"/>
      <x:c r="Z1613" s="565" t="n"/>
    </x:row>
    <x:row r="1614">
      <x:c r="A1614" s="552" t="inlineStr">
        <x:is>
          <x:t xml:space="preserve">1978-002583</x:t>
        </x:is>
      </x:c>
      <x:c r="B1614" s="552" t="n"/>
      <x:c r="C1614" s="552" t="inlineStr">
        <x:is>
          <x:t xml:space="preserve">Mineral Deed</x:t>
        </x:is>
      </x:c>
      <x:c r="D1614" s="552" t="inlineStr">
        <x:is>
          <x:t xml:space="preserve">237/374</x:t>
        </x:is>
      </x:c>
      <x:c r="E1614" s="653" t="n">
        <x:v>28583</x:v>
      </x:c>
      <x:c r="F1614" s="653" t="n">
        <x:v>28583</x:v>
      </x:c>
      <x:c r="G1614" s="552" t="inlineStr">
        <x:is>
          <x:t xml:space="preserve">William C. Bain, a/k/a W. M. Bain, a/k/a W. C. Bain, and Eula Bain, HW</x:t>
        </x:is>
      </x:c>
      <x:c r="H1614" s="552" t="inlineStr">
        <x:is>
          <x:t xml:space="preserve">William C. Bain, Jr.</x:t>
        </x:is>
      </x:c>
      <x:c r="I1614" s="552" t="inlineStr">
        <x:is>
          <x:t xml:space="preserve">SW/4 NE/4, NW/4 SE/4, S/2 SE/4 of 31-12N-24W, aol</x:t>
        </x:is>
      </x:c>
      <x:c r="J1614" s="552" t="inlineStr">
        <x:is>
          <x:t xml:space="preserve">40/791.47 interest in 2 sections</x:t>
        </x:is>
      </x:c>
      <x:c r="K1614" s="554" t="e">
        <x:f>HYPERLINK("https://okcountyrecords.com/detail/roger+mills/1978-002583","OKCountyRecords: 1978-002583")</x:f>
      </x:c>
      <x:c r="L1614" s="552" t="n">
        <x:v>2</x:v>
      </x:c>
      <x:c r="M1614" s="552" t="inlineStr">
        <x:is>
          <x:t xml:space="preserve">Mineral</x:t>
        </x:is>
      </x:c>
      <x:c r="N1614" s="555" t="n">
        <x:f>40/791.47</x:f>
        <x:v>0.05053887070893401</x:v>
      </x:c>
      <x:c r="O1614" s="556" t="n">
        <x:f>IF($L1614="","",IF(ISNUMBER(SEARCH("all",$L1614)),640,(ISNUMBER(SEARCH("1",$L1614)))*80+(ISNUMBER(SEARCH("2",$L1614)))*160+(ISNUMBER(SEARCH("3",$L1614)))*40+(ISNUMBER(SEARCH("4",$L1614)))*80+(ISNUMBER(SEARCH("5",$L1614)))*120+(ISNUMBER(SEARCH("6",$L1614)))*80+(ISNUMBER(SEARCH("7",$L1614)))*40+(ISNUMBER(SEARCH("8",$L1614)))*40))</x:f>
        <x:v>0</x:v>
      </x:c>
      <x:c r="P1614" s="654" t="n">
        <x:f>IF($M1614&lt;&gt;"Mineral","",IF(ISNUMBER($N1614),$N1614,IF(OR(ISNUMBER(SEARCH("surface",$J1614)),ISNUMBER(SEARCH("reserv",$J1614)),ISNUMBER(SEARCH("less and except",$J1614))),0,"")))</x:f>
        <x:v>0.05053887070893401</x:v>
      </x:c>
      <x:c r="Q1614" s="654" t="n">
        <x:f>IF($P1614="","",-$P1614)</x:f>
        <x:v>-0.05053887070893401</x:v>
      </x:c>
      <x:c r="R1614" s="655" t="n">
        <x:f>IF($P1614="","",$O1614*$P1614)</x:f>
        <x:v>0</x:v>
      </x:c>
      <x:c r="S1614" s="552" t="str">
        <x:f>IF($M1614="","",TRIM(IF($M1614="Mineral",IF(ISNUMBER($N1614),"Mineral; basis Conv Amt(dec). ",IF($P1614=0,"Mineral; surface-only/reserved-&gt;0 min. ","Mineral; NO AMOUNT-verify instrument. ")),$M1614&amp;" (non-mineral; excluded from mineral NMA). ")&amp;IF(OR(ISNUMBER(SEARCH("public",$G1614)),ISNUMBER(SEARCH("public",$H1614))),"FLAG: The Public placeholder-verify. ","")&amp;IF(ISNUMBER(SEARCH("all",$L1614)),"All-section coverage. ","")&amp;IF($O1614=0,"Gross acres unresolved. ","")&amp;"Gross=tract-map basis."))</x:f>
        <x:v>Mineral; basis Conv Amt(dec). Gross acres unresolved. Gross=tract-map basis.</x:v>
      </x:c>
      <x:c r="T1614" s="577" t="n"/>
      <x:c r="U1614" s="577" t="n"/>
      <x:c r="V1614" s="565" t="n"/>
      <x:c r="W1614" s="565" t="n"/>
      <x:c r="X1614" s="565" t="n"/>
      <x:c r="Y1614" s="565" t="n"/>
      <x:c r="Z1614" s="565" t="n"/>
    </x:row>
    <x:row r="1615">
      <x:c r="A1615" s="552" t="inlineStr">
        <x:is>
          <x:t xml:space="preserve">1978-002585</x:t>
        </x:is>
      </x:c>
      <x:c r="B1615" s="552" t="n"/>
      <x:c r="C1615" s="552" t="inlineStr">
        <x:is>
          <x:t xml:space="preserve">Mineral Deed</x:t>
        </x:is>
      </x:c>
      <x:c r="D1615" s="552" t="inlineStr">
        <x:is>
          <x:t xml:space="preserve">237/376</x:t>
        </x:is>
      </x:c>
      <x:c r="E1615" s="653" t="n">
        <x:v>28583</x:v>
      </x:c>
      <x:c r="F1615" s="653" t="n">
        <x:v>28583</x:v>
      </x:c>
      <x:c r="G1615" s="552" t="inlineStr">
        <x:is>
          <x:t xml:space="preserve">William C. Bain, a/k/a W. M. Bain, a/k/a W. C. Bain, and Eula Bain, HW</x:t>
        </x:is>
      </x:c>
      <x:c r="H1615" s="552" t="inlineStr">
        <x:is>
          <x:t xml:space="preserve">Billy W. Bain</x:t>
        </x:is>
      </x:c>
      <x:c r="I1615" s="552" t="inlineStr">
        <x:is>
          <x:t xml:space="preserve">SW/4 NE/4, NW/4 SE/4, S/2 SE/4 of 31-12N-24W, aol</x:t>
        </x:is>
      </x:c>
      <x:c r="J1615" s="552" t="inlineStr">
        <x:is>
          <x:t xml:space="preserve">40/791.47 interest in 2 sections</x:t>
        </x:is>
      </x:c>
      <x:c r="K1615" s="554" t="e">
        <x:f>HYPERLINK("https://okcountyrecords.com/detail/roger+mills/1978-002585","OKCountyRecords: 1978-002585")</x:f>
      </x:c>
      <x:c r="L1615" s="552" t="n">
        <x:v>2</x:v>
      </x:c>
      <x:c r="M1615" s="552" t="inlineStr">
        <x:is>
          <x:t xml:space="preserve">Mineral</x:t>
        </x:is>
      </x:c>
      <x:c r="N1615" s="555" t="n">
        <x:f>40/791.47</x:f>
        <x:v>0.05053887070893401</x:v>
      </x:c>
      <x:c r="O1615" s="556" t="n">
        <x:f>IF($L1615="","",IF(ISNUMBER(SEARCH("all",$L1615)),640,(ISNUMBER(SEARCH("1",$L1615)))*80+(ISNUMBER(SEARCH("2",$L1615)))*160+(ISNUMBER(SEARCH("3",$L1615)))*40+(ISNUMBER(SEARCH("4",$L1615)))*80+(ISNUMBER(SEARCH("5",$L1615)))*120+(ISNUMBER(SEARCH("6",$L1615)))*80+(ISNUMBER(SEARCH("7",$L1615)))*40+(ISNUMBER(SEARCH("8",$L1615)))*40))</x:f>
        <x:v>0</x:v>
      </x:c>
      <x:c r="P1615" s="654" t="n">
        <x:f>IF($M1615&lt;&gt;"Mineral","",IF(ISNUMBER($N1615),$N1615,IF(OR(ISNUMBER(SEARCH("surface",$J1615)),ISNUMBER(SEARCH("reserv",$J1615)),ISNUMBER(SEARCH("less and except",$J1615))),0,"")))</x:f>
        <x:v>0.05053887070893401</x:v>
      </x:c>
      <x:c r="Q1615" s="654" t="n">
        <x:f>IF($P1615="","",-$P1615)</x:f>
        <x:v>-0.05053887070893401</x:v>
      </x:c>
      <x:c r="R1615" s="655" t="n">
        <x:f>IF($P1615="","",$O1615*$P1615)</x:f>
        <x:v>0</x:v>
      </x:c>
      <x:c r="S1615" s="552" t="str">
        <x:f>IF($M1615="","",TRIM(IF($M1615="Mineral",IF(ISNUMBER($N1615),"Mineral; basis Conv Amt(dec). ",IF($P1615=0,"Mineral; surface-only/reserved-&gt;0 min. ","Mineral; NO AMOUNT-verify instrument. ")),$M1615&amp;" (non-mineral; excluded from mineral NMA). ")&amp;IF(OR(ISNUMBER(SEARCH("public",$G1615)),ISNUMBER(SEARCH("public",$H1615))),"FLAG: The Public placeholder-verify. ","")&amp;IF(ISNUMBER(SEARCH("all",$L1615)),"All-section coverage. ","")&amp;IF($O1615=0,"Gross acres unresolved. ","")&amp;"Gross=tract-map basis."))</x:f>
        <x:v>Mineral; basis Conv Amt(dec). Gross acres unresolved. Gross=tract-map basis.</x:v>
      </x:c>
      <x:c r="T1615" s="577" t="n"/>
      <x:c r="U1615" s="577" t="n"/>
      <x:c r="V1615" s="565" t="n"/>
      <x:c r="W1615" s="565" t="n"/>
      <x:c r="X1615" s="565" t="n"/>
      <x:c r="Y1615" s="565" t="n"/>
      <x:c r="Z1615" s="565" t="n"/>
    </x:row>
    <x:row r="1616">
      <x:c r="A1616" s="552" t="inlineStr">
        <x:is>
          <x:t xml:space="preserve">1978-002584</x:t>
        </x:is>
      </x:c>
      <x:c r="B1616" s="552" t="n"/>
      <x:c r="C1616" s="552" t="inlineStr">
        <x:is>
          <x:t xml:space="preserve">Mineral Deed</x:t>
        </x:is>
      </x:c>
      <x:c r="D1616" s="552" t="inlineStr">
        <x:is>
          <x:t xml:space="preserve">237/375</x:t>
        </x:is>
      </x:c>
      <x:c r="E1616" s="653" t="n">
        <x:v>28584</x:v>
      </x:c>
      <x:c r="F1616" s="653" t="n">
        <x:v>28584</x:v>
      </x:c>
      <x:c r="G1616" s="552" t="inlineStr">
        <x:is>
          <x:t xml:space="preserve">William C. Bain, a/k/a W. M. Bain, a/k/a W. C. Bain, and Eula Bain, HW</x:t>
        </x:is>
      </x:c>
      <x:c r="H1616" s="552" t="inlineStr">
        <x:is>
          <x:t xml:space="preserve">Juanita M. Wolff</x:t>
        </x:is>
      </x:c>
      <x:c r="I1616" s="552" t="inlineStr">
        <x:is>
          <x:t xml:space="preserve">SW/4 NE/4, NW/4 SE/4, S/2 SE/4 of 31-12N-24W, aol</x:t>
        </x:is>
      </x:c>
      <x:c r="J1616" s="552" t="inlineStr">
        <x:is>
          <x:t xml:space="preserve">40/791.47 interest in 2 sections</x:t>
        </x:is>
      </x:c>
      <x:c r="K1616" s="554" t="e">
        <x:f>HYPERLINK("https://okcountyrecords.com/detail/roger+mills/1978-002584","OKCountyRecords: 1978-002584")</x:f>
      </x:c>
      <x:c r="L1616" s="552" t="n">
        <x:v>2</x:v>
      </x:c>
      <x:c r="M1616" s="552" t="inlineStr">
        <x:is>
          <x:t xml:space="preserve">Mineral</x:t>
        </x:is>
      </x:c>
      <x:c r="N1616" s="555" t="n">
        <x:f>40/791.47</x:f>
        <x:v>0.05053887070893401</x:v>
      </x:c>
      <x:c r="O1616" s="556" t="n">
        <x:f>IF($L1616="","",IF(ISNUMBER(SEARCH("all",$L1616)),640,(ISNUMBER(SEARCH("1",$L1616)))*80+(ISNUMBER(SEARCH("2",$L1616)))*160+(ISNUMBER(SEARCH("3",$L1616)))*40+(ISNUMBER(SEARCH("4",$L1616)))*80+(ISNUMBER(SEARCH("5",$L1616)))*120+(ISNUMBER(SEARCH("6",$L1616)))*80+(ISNUMBER(SEARCH("7",$L1616)))*40+(ISNUMBER(SEARCH("8",$L1616)))*40))</x:f>
        <x:v>0</x:v>
      </x:c>
      <x:c r="P1616" s="654" t="n">
        <x:f>IF($M1616&lt;&gt;"Mineral","",IF(ISNUMBER($N1616),$N1616,IF(OR(ISNUMBER(SEARCH("surface",$J1616)),ISNUMBER(SEARCH("reserv",$J1616)),ISNUMBER(SEARCH("less and except",$J1616))),0,"")))</x:f>
        <x:v>0.05053887070893401</x:v>
      </x:c>
      <x:c r="Q1616" s="654" t="n">
        <x:f>IF($P1616="","",-$P1616)</x:f>
        <x:v>-0.05053887070893401</x:v>
      </x:c>
      <x:c r="R1616" s="655" t="n">
        <x:f>IF($P1616="","",$O1616*$P1616)</x:f>
        <x:v>0</x:v>
      </x:c>
      <x:c r="S1616" s="552" t="str">
        <x:f>IF($M1616="","",TRIM(IF($M1616="Mineral",IF(ISNUMBER($N1616),"Mineral; basis Conv Amt(dec). ",IF($P1616=0,"Mineral; surface-only/reserved-&gt;0 min. ","Mineral; NO AMOUNT-verify instrument. ")),$M1616&amp;" (non-mineral; excluded from mineral NMA). ")&amp;IF(OR(ISNUMBER(SEARCH("public",$G1616)),ISNUMBER(SEARCH("public",$H1616))),"FLAG: The Public placeholder-verify. ","")&amp;IF(ISNUMBER(SEARCH("all",$L1616)),"All-section coverage. ","")&amp;IF($O1616=0,"Gross acres unresolved. ","")&amp;"Gross=tract-map basis."))</x:f>
        <x:v>Mineral; basis Conv Amt(dec). Gross acres unresolved. Gross=tract-map basis.</x:v>
      </x:c>
      <x:c r="T1616" s="577" t="n"/>
      <x:c r="U1616" s="577" t="n"/>
      <x:c r="V1616" s="565" t="n"/>
      <x:c r="W1616" s="565" t="n"/>
      <x:c r="X1616" s="565" t="n"/>
      <x:c r="Y1616" s="565" t="n"/>
      <x:c r="Z1616" s="565" t="n"/>
    </x:row>
    <x:row r="1617">
      <x:c r="A1617" s="552" t="inlineStr">
        <x:is>
          <x:t xml:space="preserve">1978-005886</x:t>
        </x:is>
      </x:c>
      <x:c r="B1617" s="552" t="n"/>
      <x:c r="C1617" s="552" t="inlineStr">
        <x:is>
          <x:t xml:space="preserve">Rental Division Order</x:t>
        </x:is>
      </x:c>
      <x:c r="D1617" s="552" t="inlineStr">
        <x:is>
          <x:t xml:space="preserve">248/240</x:t>
        </x:is>
      </x:c>
      <x:c r="E1617" s="653" t="n">
        <x:v>28711</x:v>
      </x:c>
      <x:c r="F1617" s="653" t="n">
        <x:v>28711</x:v>
      </x:c>
      <x:c r="G1617" s="552" t="inlineStr">
        <x:is>
          <x:t xml:space="preserve">Panhandle Cooperative Royalty Company</x:t>
        </x:is>
      </x:c>
      <x:c r="H1617" s="552" t="inlineStr">
        <x:is>
          <x:t xml:space="preserve">C. W. Dobbins &amp; Sons, Inc.</x:t>
        </x:is>
      </x:c>
      <x:c r="I1617" s="552" t="inlineStr">
        <x:is>
          <x:t xml:space="preserve">31-12N-24W</x:t>
        </x:is>
      </x:c>
      <x:c r="J1617" s="552" t="inlineStr">
        <x:is>
          <x:t xml:space="preserve">Leasehold / WI</x:t>
        </x:is>
      </x:c>
      <x:c r="K1617" s="554" t="e">
        <x:f>HYPERLINK("https://okcountyrecords.com/detail/roger+mills/1978-005886","OKCountyRecords: 1978-005886")</x:f>
      </x:c>
      <x:c r="L1617" s="552" t="inlineStr">
        <x:is>
          <x:t xml:space="preserve">All (1-8)</x:t>
        </x:is>
      </x:c>
      <x:c r="M1617" s="552" t="inlineStr">
        <x:is>
          <x:t xml:space="preserve">Other</x:t>
        </x:is>
      </x:c>
      <x:c r="N1617" s="555" t="n"/>
      <x:c r="O1617" s="556" t="n">
        <x:f>IF($L1617="","",IF(ISNUMBER(SEARCH("all",$L1617)),640,(ISNUMBER(SEARCH("1",$L1617)))*80+(ISNUMBER(SEARCH("2",$L1617)))*160+(ISNUMBER(SEARCH("3",$L1617)))*40+(ISNUMBER(SEARCH("4",$L1617)))*80+(ISNUMBER(SEARCH("5",$L1617)))*120+(ISNUMBER(SEARCH("6",$L1617)))*80+(ISNUMBER(SEARCH("7",$L1617)))*40+(ISNUMBER(SEARCH("8",$L1617)))*40))</x:f>
        <x:v>640</x:v>
      </x:c>
      <x:c r="P1617" s="654" t="str">
        <x:f>IF($M1617&lt;&gt;"Mineral","",IF(ISNUMBER($N1617),$N1617,IF(OR(ISNUMBER(SEARCH("surface",$J1617)),ISNUMBER(SEARCH("reserv",$J1617)),ISNUMBER(SEARCH("less and except",$J1617))),0,"")))</x:f>
      </x:c>
      <x:c r="Q1617" s="654" t="str">
        <x:f>IF($P1617="","",-$P1617)</x:f>
      </x:c>
      <x:c r="R1617" s="655" t="str">
        <x:f>IF($P1617="","",$O1617*$P1617)</x:f>
      </x:c>
      <x:c r="S1617" s="552" t="str">
        <x:f>IF($M1617="","",TRIM(IF($M1617="Mineral",IF(ISNUMBER($N1617),"Mineral; basis Conv Amt(dec). ",IF($P1617=0,"Mineral; surface-only/reserved-&gt;0 min. ","Mineral; NO AMOUNT-verify instrument. ")),$M1617&amp;" (non-mineral; excluded from mineral NMA). ")&amp;IF(OR(ISNUMBER(SEARCH("public",$G1617)),ISNUMBER(SEARCH("public",$H1617))),"FLAG: The Public placeholder-verify. ","")&amp;IF(ISNUMBER(SEARCH("all",$L1617)),"All-section coverage. ","")&amp;IF($O1617=0,"Gross acres unresolved. ","")&amp;"Gross=tract-map basis."))</x:f>
        <x:v>Other (non-mineral; excluded from mineral NMA). All-section coverage. Gross=tract-map basis.</x:v>
      </x:c>
      <x:c r="T1617" s="577" t="n"/>
      <x:c r="U1617" s="577" t="n"/>
      <x:c r="V1617" s="565" t="n"/>
      <x:c r="W1617" s="565" t="n"/>
      <x:c r="X1617" s="565" t="n"/>
      <x:c r="Y1617" s="565" t="n"/>
      <x:c r="Z1617" s="565" t="n"/>
    </x:row>
    <x:row r="1618">
      <x:c r="A1618" s="552" t="inlineStr">
        <x:is>
          <x:t xml:space="preserve">1979-002206</x:t>
        </x:is>
      </x:c>
      <x:c r="B1618" s="552" t="n"/>
      <x:c r="C1618" s="552" t="inlineStr">
        <x:is>
          <x:t xml:space="preserve">Final Decree</x:t>
        </x:is>
      </x:c>
      <x:c r="D1618" s="552" t="inlineStr">
        <x:is>
          <x:t xml:space="preserve">264/428</x:t>
        </x:is>
      </x:c>
      <x:c r="E1618" s="653" t="n">
        <x:v>28961</x:v>
      </x:c>
      <x:c r="F1618" s="653" t="n">
        <x:v>28961</x:v>
      </x:c>
      <x:c r="G1618" s="552" t="inlineStr">
        <x:is>
          <x:t xml:space="preserve">Beckham County Court,
RE: In the Matter of the Estate of Lillie Campbell, Deceased</x:t>
        </x:is>
      </x:c>
      <x:c r="H1618" s="552" t="inlineStr">
        <x:is>
          <x:t xml:space="preserve">Virgil Hambrook, 1/2,
Letty Atha, 1/2</x:t>
        </x:is>
      </x:c>
      <x:c r="I1618" s="552" t="inlineStr">
        <x:is>
          <x:t xml:space="preserve">A tract in 31-12N-24W described as follows: Beginning at the NW Corner of the NW/4 of 31-12N-24W thence East on Section line 18.20 chains (or 72.8 rods), thence South 50 chains (or 200 rods), thence West 18.20 chains (or 72.8 rods), to Range line between Range 24 and 25, thence North on Range line 50 chains (or 200 rods) to point of beginning, containing 91 acres more or less, aol</x:t>
        </x:is>
      </x:c>
      <x:c r="J1618" s="552" t="inlineStr">
        <x:is>
          <x:t xml:space="preserve">ARTI, 46 NMA</x:t>
        </x:is>
      </x:c>
      <x:c r="K1618" s="554" t="e">
        <x:f>HYPERLINK("https://okcountyrecords.com/detail/roger+mills/1979-002206","OKCountyRecords: 1979-002206")</x:f>
      </x:c>
      <x:c r="L1618" s="552" t="inlineStr">
        <x:is>
          <x:t xml:space="preserve">4, 5</x:t>
        </x:is>
      </x:c>
      <x:c r="M1618" s="552" t="inlineStr">
        <x:is>
          <x:t xml:space="preserve">Mineral</x:t>
        </x:is>
      </x:c>
      <x:c r="N1618" s="555" t="str">
        <x:f>IF(O1618&gt;0,46/O1618,"")</x:f>
      </x:c>
      <x:c r="O1618" s="556" t="n">
        <x:f>IF($L1618="","",IF(ISNUMBER(SEARCH("all",$L1618)),640,(ISNUMBER(SEARCH("1",$L1618)))*80+(ISNUMBER(SEARCH("2",$L1618)))*160+(ISNUMBER(SEARCH("3",$L1618)))*40+(ISNUMBER(SEARCH("4",$L1618)))*80+(ISNUMBER(SEARCH("5",$L1618)))*120+(ISNUMBER(SEARCH("6",$L1618)))*80+(ISNUMBER(SEARCH("7",$L1618)))*40+(ISNUMBER(SEARCH("8",$L1618)))*40))</x:f>
        <x:v>0</x:v>
      </x:c>
      <x:c r="P1618" s="654" t="str">
        <x:f>IF($M1618&lt;&gt;"Mineral","",IF(ISNUMBER($N1618),$N1618,IF(OR(ISNUMBER(SEARCH("surface",$J1618)),ISNUMBER(SEARCH("reserv",$J1618)),ISNUMBER(SEARCH("less and except",$J1618))),0,"")))</x:f>
      </x:c>
      <x:c r="Q1618" s="654" t="str">
        <x:f>IF($P1618="","",-$P1618)</x:f>
      </x:c>
      <x:c r="R1618" s="655" t="str">
        <x:f>IF($P1618="","",$O1618*$P1618)</x:f>
      </x:c>
      <x:c r="S1618" s="552" t="str">
        <x:f>IF($M1618="","",TRIM(IF($M1618="Mineral",IF(ISNUMBER($N1618),"Mineral; basis Conv Amt(dec). ",IF($P1618=0,"Mineral; surface-only/reserved-&gt;0 min. ","Mineral; NO AMOUNT-verify instrument. ")),$M1618&amp;" (non-mineral; excluded from mineral NMA). ")&amp;IF(OR(ISNUMBER(SEARCH("public",$G1618)),ISNUMBER(SEARCH("public",$H1618))),"FLAG: The Public placeholder-verify. ","")&amp;IF(ISNUMBER(SEARCH("all",$L1618)),"All-section coverage. ","")&amp;IF($O1618=0,"Gross acres unresolved. ","")&amp;"Gross=tract-map basis."))</x:f>
        <x:v>Mineral; surface-only/reserved-&gt;0 min. Gross acres unresolved. Gross=tract-map basis.</x:v>
      </x:c>
      <x:c r="T1618" s="577" t="n"/>
      <x:c r="U1618" s="577" t="inlineStr">
        <x:is>
          <x:t xml:space="preserve">Conveys 46 NMA per notes; conv. dec = 46/gross. Verify denominator/tract from image.</x:t>
        </x:is>
      </x:c>
      <x:c r="V1618" s="565" t="n"/>
      <x:c r="W1618" s="565" t="n"/>
      <x:c r="X1618" s="565" t="n"/>
      <x:c r="Y1618" s="565" t="n"/>
      <x:c r="Z1618" s="565" t="n"/>
    </x:row>
    <x:row r="1619">
      <x:c r="A1619" s="552" t="inlineStr">
        <x:is>
          <x:t xml:space="preserve">1979-002207</x:t>
        </x:is>
      </x:c>
      <x:c r="B1619" s="552" t="n"/>
      <x:c r="C1619" s="552" t="inlineStr">
        <x:is>
          <x:t xml:space="preserve">Miscellaneous</x:t>
        </x:is>
      </x:c>
      <x:c r="D1619" s="552" t="inlineStr">
        <x:is>
          <x:t xml:space="preserve">264/432</x:t>
        </x:is>
      </x:c>
      <x:c r="E1619" s="653" t="n">
        <x:v>28961</x:v>
      </x:c>
      <x:c r="F1619" s="653" t="n">
        <x:v>28961</x:v>
      </x:c>
      <x:c r="G1619" s="552" t="inlineStr">
        <x:is>
          <x:t xml:space="preserve">Oklahoma Tax Commission</x:t>
        </x:is>
      </x:c>
      <x:c r="H1619" s="552" t="inlineStr">
        <x:is>
          <x:t xml:space="preserve">Estate of Lillie Mae Campbell</x:t>
        </x:is>
      </x:c>
      <x:c r="I1619" s="552" t="inlineStr">
        <x:is>
          <x:t xml:space="preserve">31-12N-24W, aol</x:t>
        </x:is>
      </x:c>
      <x:c r="J1619" s="552" t="inlineStr">
        <x:is>
          <x:t xml:space="preserve">See instrument</x:t>
        </x:is>
      </x:c>
      <x:c r="K1619" s="554" t="e">
        <x:f>HYPERLINK("https://okcountyrecords.com/detail/roger+mills/1979-002207","OKCountyRecords: 1979-002207")</x:f>
      </x:c>
      <x:c r="L1619" s="552" t="inlineStr">
        <x:is>
          <x:t xml:space="preserve">All (1-8)</x:t>
        </x:is>
      </x:c>
      <x:c r="M1619" s="552" t="inlineStr">
        <x:is>
          <x:t xml:space="preserve">Other</x:t>
        </x:is>
      </x:c>
      <x:c r="N1619" s="555" t="n"/>
      <x:c r="O1619" s="556" t="n">
        <x:f>IF($L1619="","",IF(ISNUMBER(SEARCH("all",$L1619)),640,(ISNUMBER(SEARCH("1",$L1619)))*80+(ISNUMBER(SEARCH("2",$L1619)))*160+(ISNUMBER(SEARCH("3",$L1619)))*40+(ISNUMBER(SEARCH("4",$L1619)))*80+(ISNUMBER(SEARCH("5",$L1619)))*120+(ISNUMBER(SEARCH("6",$L1619)))*80+(ISNUMBER(SEARCH("7",$L1619)))*40+(ISNUMBER(SEARCH("8",$L1619)))*40))</x:f>
        <x:v>640</x:v>
      </x:c>
      <x:c r="P1619" s="654" t="str">
        <x:f>IF($M1619&lt;&gt;"Mineral","",IF(ISNUMBER($N1619),$N1619,IF(OR(ISNUMBER(SEARCH("surface",$J1619)),ISNUMBER(SEARCH("reserv",$J1619)),ISNUMBER(SEARCH("less and except",$J1619))),0,"")))</x:f>
      </x:c>
      <x:c r="Q1619" s="654" t="str">
        <x:f>IF($P1619="","",-$P1619)</x:f>
      </x:c>
      <x:c r="R1619" s="655" t="str">
        <x:f>IF($P1619="","",$O1619*$P1619)</x:f>
      </x:c>
      <x:c r="S1619" s="552" t="str">
        <x:f>IF($M1619="","",TRIM(IF($M1619="Mineral",IF(ISNUMBER($N1619),"Mineral; basis Conv Amt(dec). ",IF($P1619=0,"Mineral; surface-only/reserved-&gt;0 min. ","Mineral; NO AMOUNT-verify instrument. ")),$M1619&amp;" (non-mineral; excluded from mineral NMA). ")&amp;IF(OR(ISNUMBER(SEARCH("public",$G1619)),ISNUMBER(SEARCH("public",$H1619))),"FLAG: The Public placeholder-verify. ","")&amp;IF(ISNUMBER(SEARCH("all",$L1619)),"All-section coverage. ","")&amp;IF($O1619=0,"Gross acres unresolved. ","")&amp;"Gross=tract-map basis."))</x:f>
        <x:v>Other (non-mineral; excluded from mineral NMA). All-section coverage. Gross=tract-map basis.</x:v>
      </x:c>
      <x:c r="T1619" s="578" t="n"/>
      <x:c r="U1619" s="578" t="n"/>
      <x:c r="V1619" s="565" t="n"/>
      <x:c r="W1619" s="565" t="n"/>
      <x:c r="X1619" s="565" t="n"/>
      <x:c r="Y1619" s="565" t="n"/>
      <x:c r="Z1619" s="565" t="n"/>
    </x:row>
    <x:row r="1620">
      <x:c r="A1620" s="552" t="inlineStr">
        <x:is>
          <x:t xml:space="preserve">1979-004881</x:t>
        </x:is>
      </x:c>
      <x:c r="B1620" s="552" t="n"/>
      <x:c r="C1620" s="552" t="inlineStr">
        <x:is>
          <x:t xml:space="preserve">Mineral Deed</x:t>
        </x:is>
      </x:c>
      <x:c r="D1620" s="552" t="inlineStr">
        <x:is>
          <x:t xml:space="preserve">274/566</x:t>
        </x:is>
      </x:c>
      <x:c r="E1620" s="653" t="n">
        <x:v>29094</x:v>
      </x:c>
      <x:c r="F1620" s="653" t="n">
        <x:v>29094</x:v>
      </x:c>
      <x:c r="G1620" s="552" t="inlineStr">
        <x:is>
          <x:t xml:space="preserve">Juanita M. Wolff</x:t>
        </x:is>
      </x:c>
      <x:c r="H1620" s="552" t="inlineStr">
        <x:is>
          <x:t xml:space="preserve">Alpine Oil &amp; Royalty Company Incorporated</x:t>
        </x:is>
      </x:c>
      <x:c r="I1620" s="552" t="inlineStr">
        <x:is>
          <x:t xml:space="preserve">SW/4 NE/4, NW/4 SE/4, S/2 SE/4 of 31-12N-24W, aol</x:t>
        </x:is>
      </x:c>
      <x:c r="J1620" s="552" t="inlineStr">
        <x:is>
          <x:t xml:space="preserve">10/791.47 interest in 2 sections</x:t>
        </x:is>
      </x:c>
      <x:c r="K1620" s="554" t="e">
        <x:f>HYPERLINK("https://okcountyrecords.com/detail/roger+mills/1979-004881","OKCountyRecords: 1979-004881")</x:f>
      </x:c>
      <x:c r="L1620" s="552" t="n">
        <x:v>2</x:v>
      </x:c>
      <x:c r="M1620" s="552" t="inlineStr">
        <x:is>
          <x:t xml:space="preserve">Mineral</x:t>
        </x:is>
      </x:c>
      <x:c r="N1620" s="555" t="n">
        <x:f>10/791.47</x:f>
        <x:v>0.012634717677233502</x:v>
      </x:c>
      <x:c r="O1620" s="556" t="n">
        <x:f>IF($L1620="","",IF(ISNUMBER(SEARCH("all",$L1620)),640,(ISNUMBER(SEARCH("1",$L1620)))*80+(ISNUMBER(SEARCH("2",$L1620)))*160+(ISNUMBER(SEARCH("3",$L1620)))*40+(ISNUMBER(SEARCH("4",$L1620)))*80+(ISNUMBER(SEARCH("5",$L1620)))*120+(ISNUMBER(SEARCH("6",$L1620)))*80+(ISNUMBER(SEARCH("7",$L1620)))*40+(ISNUMBER(SEARCH("8",$L1620)))*40))</x:f>
        <x:v>0</x:v>
      </x:c>
      <x:c r="P1620" s="654" t="n">
        <x:f>IF($M1620&lt;&gt;"Mineral","",IF(ISNUMBER($N1620),$N1620,IF(OR(ISNUMBER(SEARCH("surface",$J1620)),ISNUMBER(SEARCH("reserv",$J1620)),ISNUMBER(SEARCH("less and except",$J1620))),0,"")))</x:f>
        <x:v>0.012634717677233502</x:v>
      </x:c>
      <x:c r="Q1620" s="654" t="n">
        <x:f>IF($P1620="","",-$P1620)</x:f>
        <x:v>-0.012634717677233502</x:v>
      </x:c>
      <x:c r="R1620" s="655" t="n">
        <x:f>IF($P1620="","",$O1620*$P1620)</x:f>
        <x:v>0</x:v>
      </x:c>
      <x:c r="S1620" s="552" t="str">
        <x:f>IF($M1620="","",TRIM(IF($M1620="Mineral",IF(ISNUMBER($N1620),"Mineral; basis Conv Amt(dec). ",IF($P1620=0,"Mineral; surface-only/reserved-&gt;0 min. ","Mineral; NO AMOUNT-verify instrument. ")),$M1620&amp;" (non-mineral; excluded from mineral NMA). ")&amp;IF(OR(ISNUMBER(SEARCH("public",$G1620)),ISNUMBER(SEARCH("public",$H1620))),"FLAG: The Public placeholder-verify. ","")&amp;IF(ISNUMBER(SEARCH("all",$L1620)),"All-section coverage. ","")&amp;IF($O1620=0,"Gross acres unresolved. ","")&amp;"Gross=tract-map basis."))</x:f>
        <x:v>Mineral; basis Conv Amt(dec). Gross acres unresolved. Gross=tract-map basis.</x:v>
      </x:c>
      <x:c r="T1620" s="577" t="n"/>
      <x:c r="U1620" s="577" t="n"/>
      <x:c r="V1620" s="565" t="n"/>
      <x:c r="W1620" s="565" t="n"/>
      <x:c r="X1620" s="565" t="n"/>
      <x:c r="Y1620" s="565" t="n"/>
      <x:c r="Z1620" s="565" t="n"/>
    </x:row>
    <x:row r="1621">
      <x:c r="A1621" s="552" t="inlineStr">
        <x:is>
          <x:t xml:space="preserve">1979-005006</x:t>
        </x:is>
      </x:c>
      <x:c r="B1621" s="552" t="n"/>
      <x:c r="C1621" s="552" t="inlineStr">
        <x:is>
          <x:t xml:space="preserve">Rental Division Order</x:t>
        </x:is>
      </x:c>
      <x:c r="D1621" s="552" t="inlineStr">
        <x:is>
          <x:t xml:space="preserve">275/168</x:t>
        </x:is>
      </x:c>
      <x:c r="E1621" s="653" t="n">
        <x:v>29102</x:v>
      </x:c>
      <x:c r="F1621" s="653" t="n">
        <x:v>29102</x:v>
      </x:c>
      <x:c r="G1621" s="552" t="inlineStr">
        <x:is>
          <x:t xml:space="preserve">L. E. Thurman</x:t>
        </x:is>
      </x:c>
      <x:c r="H1621" s="552" t="inlineStr">
        <x:is>
          <x:t xml:space="preserve">Ghk Corporation</x:t>
        </x:is>
      </x:c>
      <x:c r="I1621" s="552" t="inlineStr">
        <x:is>
          <x:t xml:space="preserve">31-12N-24W, aol</x:t>
        </x:is>
      </x:c>
      <x:c r="J1621" s="552" t="inlineStr">
        <x:is>
          <x:t xml:space="preserve">Leasehold / WI</x:t>
        </x:is>
      </x:c>
      <x:c r="K1621" s="554" t="e">
        <x:f>HYPERLINK("https://okcountyrecords.com/detail/roger+mills/1979-005006","OKCountyRecords: 1979-005006")</x:f>
      </x:c>
      <x:c r="L1621" s="552" t="inlineStr">
        <x:is>
          <x:t xml:space="preserve">All (1-8)</x:t>
        </x:is>
      </x:c>
      <x:c r="M1621" s="552" t="inlineStr">
        <x:is>
          <x:t xml:space="preserve">Other</x:t>
        </x:is>
      </x:c>
      <x:c r="N1621" s="555" t="n"/>
      <x:c r="O1621" s="556" t="n">
        <x:f>IF($L1621="","",IF(ISNUMBER(SEARCH("all",$L1621)),640,(ISNUMBER(SEARCH("1",$L1621)))*80+(ISNUMBER(SEARCH("2",$L1621)))*160+(ISNUMBER(SEARCH("3",$L1621)))*40+(ISNUMBER(SEARCH("4",$L1621)))*80+(ISNUMBER(SEARCH("5",$L1621)))*120+(ISNUMBER(SEARCH("6",$L1621)))*80+(ISNUMBER(SEARCH("7",$L1621)))*40+(ISNUMBER(SEARCH("8",$L1621)))*40))</x:f>
        <x:v>640</x:v>
      </x:c>
      <x:c r="P1621" s="654" t="str">
        <x:f>IF($M1621&lt;&gt;"Mineral","",IF(ISNUMBER($N1621),$N1621,IF(OR(ISNUMBER(SEARCH("surface",$J1621)),ISNUMBER(SEARCH("reserv",$J1621)),ISNUMBER(SEARCH("less and except",$J1621))),0,"")))</x:f>
      </x:c>
      <x:c r="Q1621" s="654" t="str">
        <x:f>IF($P1621="","",-$P1621)</x:f>
      </x:c>
      <x:c r="R1621" s="655" t="str">
        <x:f>IF($P1621="","",$O1621*$P1621)</x:f>
      </x:c>
      <x:c r="S1621" s="552" t="str">
        <x:f>IF($M1621="","",TRIM(IF($M1621="Mineral",IF(ISNUMBER($N1621),"Mineral; basis Conv Amt(dec). ",IF($P1621=0,"Mineral; surface-only/reserved-&gt;0 min. ","Mineral; NO AMOUNT-verify instrument. ")),$M1621&amp;" (non-mineral; excluded from mineral NMA). ")&amp;IF(OR(ISNUMBER(SEARCH("public",$G1621)),ISNUMBER(SEARCH("public",$H1621))),"FLAG: The Public placeholder-verify. ","")&amp;IF(ISNUMBER(SEARCH("all",$L1621)),"All-section coverage. ","")&amp;IF($O1621=0,"Gross acres unresolved. ","")&amp;"Gross=tract-map basis."))</x:f>
        <x:v>Other (non-mineral; excluded from mineral NMA). All-section coverage. Gross=tract-map basis.</x:v>
      </x:c>
      <x:c r="T1621" s="577" t="n"/>
      <x:c r="U1621" s="577" t="n"/>
      <x:c r="V1621" s="565" t="n"/>
      <x:c r="W1621" s="565" t="n"/>
      <x:c r="X1621" s="565" t="n"/>
      <x:c r="Y1621" s="565" t="n"/>
      <x:c r="Z1621" s="565" t="n"/>
    </x:row>
    <x:row r="1622">
      <x:c r="A1622" s="552" t="inlineStr">
        <x:is>
          <x:t xml:space="preserve">1979-005007</x:t>
        </x:is>
      </x:c>
      <x:c r="B1622" s="552" t="n"/>
      <x:c r="C1622" s="552" t="inlineStr">
        <x:is>
          <x:t xml:space="preserve">Rental Division Order</x:t>
        </x:is>
      </x:c>
      <x:c r="D1622" s="552" t="inlineStr">
        <x:is>
          <x:t xml:space="preserve">275/170</x:t>
        </x:is>
      </x:c>
      <x:c r="E1622" s="653" t="n">
        <x:v>29102</x:v>
      </x:c>
      <x:c r="F1622" s="653" t="n">
        <x:v>29102</x:v>
      </x:c>
      <x:c r="G1622" s="552" t="inlineStr">
        <x:is>
          <x:t xml:space="preserve">L. E. Thurman</x:t>
        </x:is>
      </x:c>
      <x:c r="H1622" s="552" t="inlineStr">
        <x:is>
          <x:t xml:space="preserve">Ghk Corporation</x:t>
        </x:is>
      </x:c>
      <x:c r="I1622" s="552" t="inlineStr">
        <x:is>
          <x:t xml:space="preserve">31-12N-24W, aol</x:t>
        </x:is>
      </x:c>
      <x:c r="J1622" s="552" t="inlineStr">
        <x:is>
          <x:t xml:space="preserve">Leasehold / WI</x:t>
        </x:is>
      </x:c>
      <x:c r="K1622" s="554" t="e">
        <x:f>HYPERLINK("https://okcountyrecords.com/detail/roger+mills/1979-005007","OKCountyRecords: 1979-005007")</x:f>
      </x:c>
      <x:c r="L1622" s="552" t="inlineStr">
        <x:is>
          <x:t xml:space="preserve">All (1-8)</x:t>
        </x:is>
      </x:c>
      <x:c r="M1622" s="552" t="inlineStr">
        <x:is>
          <x:t xml:space="preserve">Other</x:t>
        </x:is>
      </x:c>
      <x:c r="N1622" s="555" t="n"/>
      <x:c r="O1622" s="556" t="n">
        <x:f>IF($L1622="","",IF(ISNUMBER(SEARCH("all",$L1622)),640,(ISNUMBER(SEARCH("1",$L1622)))*80+(ISNUMBER(SEARCH("2",$L1622)))*160+(ISNUMBER(SEARCH("3",$L1622)))*40+(ISNUMBER(SEARCH("4",$L1622)))*80+(ISNUMBER(SEARCH("5",$L1622)))*120+(ISNUMBER(SEARCH("6",$L1622)))*80+(ISNUMBER(SEARCH("7",$L1622)))*40+(ISNUMBER(SEARCH("8",$L1622)))*40))</x:f>
        <x:v>640</x:v>
      </x:c>
      <x:c r="P1622" s="654" t="str">
        <x:f>IF($M1622&lt;&gt;"Mineral","",IF(ISNUMBER($N1622),$N1622,IF(OR(ISNUMBER(SEARCH("surface",$J1622)),ISNUMBER(SEARCH("reserv",$J1622)),ISNUMBER(SEARCH("less and except",$J1622))),0,"")))</x:f>
      </x:c>
      <x:c r="Q1622" s="654" t="str">
        <x:f>IF($P1622="","",-$P1622)</x:f>
      </x:c>
      <x:c r="R1622" s="655" t="str">
        <x:f>IF($P1622="","",$O1622*$P1622)</x:f>
      </x:c>
      <x:c r="S1622" s="552" t="str">
        <x:f>IF($M1622="","",TRIM(IF($M1622="Mineral",IF(ISNUMBER($N1622),"Mineral; basis Conv Amt(dec). ",IF($P1622=0,"Mineral; surface-only/reserved-&gt;0 min. ","Mineral; NO AMOUNT-verify instrument. ")),$M1622&amp;" (non-mineral; excluded from mineral NMA). ")&amp;IF(OR(ISNUMBER(SEARCH("public",$G1622)),ISNUMBER(SEARCH("public",$H1622))),"FLAG: The Public placeholder-verify. ","")&amp;IF(ISNUMBER(SEARCH("all",$L1622)),"All-section coverage. ","")&amp;IF($O1622=0,"Gross acres unresolved. ","")&amp;"Gross=tract-map basis."))</x:f>
        <x:v>Other (non-mineral; excluded from mineral NMA). All-section coverage. Gross=tract-map basis.</x:v>
      </x:c>
      <x:c r="T1622" s="577" t="n"/>
      <x:c r="U1622" s="577" t="n"/>
      <x:c r="V1622" s="565" t="n"/>
      <x:c r="W1622" s="565" t="n"/>
      <x:c r="X1622" s="565" t="n"/>
      <x:c r="Y1622" s="565" t="n"/>
      <x:c r="Z1622" s="565" t="n"/>
    </x:row>
    <x:row r="1623">
      <x:c r="A1623" s="552" t="inlineStr">
        <x:is>
          <x:t xml:space="preserve">1979-005655</x:t>
        </x:is>
      </x:c>
      <x:c r="B1623" s="552" t="n"/>
      <x:c r="C1623" s="552" t="inlineStr">
        <x:is>
          <x:t xml:space="preserve">Mineral Deed</x:t>
        </x:is>
      </x:c>
      <x:c r="D1623" s="552" t="inlineStr">
        <x:is>
          <x:t xml:space="preserve">277/64</x:t>
        </x:is>
      </x:c>
      <x:c r="E1623" s="653" t="n">
        <x:v>29126</x:v>
      </x:c>
      <x:c r="F1623" s="653" t="n">
        <x:v>29132</x:v>
      </x:c>
      <x:c r="G1623" s="552" t="inlineStr">
        <x:is>
          <x:t xml:space="preserve">Panhandle Cooperative Royalty Co.</x:t>
        </x:is>
      </x:c>
      <x:c r="H1623" s="552" t="inlineStr">
        <x:is>
          <x:t xml:space="preserve">Panhandle Royalty Company</x:t>
        </x:is>
      </x:c>
      <x:c r="I1623" s="552" t="inlineStr">
        <x:is>
          <x:t xml:space="preserve">N/2 NE/4, W/2 NW/4 of 31-12N-24W, aol</x:t>
        </x:is>
      </x:c>
      <x:c r="J1623" s="552" t="inlineStr">
        <x:is>
          <x:t xml:space="preserve">ARTI (60 ac.) see 838/162, 838/173</x:t>
        </x:is>
      </x:c>
      <x:c r="K1623" s="554" t="e">
        <x:f>HYPERLINK("https://okcountyrecords.com/detail/roger+mills/1979-005655","OKCountyRecords: 1979-005655")</x:f>
      </x:c>
      <x:c r="L1623" s="552" t="inlineStr">
        <x:is>
          <x:t xml:space="preserve">1, 5</x:t>
        </x:is>
      </x:c>
      <x:c r="M1623" s="552" t="inlineStr">
        <x:is>
          <x:t xml:space="preserve">Mineral</x:t>
        </x:is>
      </x:c>
      <x:c r="N1623" s="555" t="n">
        <x:v>1</x:v>
      </x:c>
      <x:c r="O1623" s="556" t="n">
        <x:f>IF($L1623="","",IF(ISNUMBER(SEARCH("all",$L1623)),640,(ISNUMBER(SEARCH("1",$L1623)))*80+(ISNUMBER(SEARCH("2",$L1623)))*160+(ISNUMBER(SEARCH("3",$L1623)))*40+(ISNUMBER(SEARCH("4",$L1623)))*80+(ISNUMBER(SEARCH("5",$L1623)))*120+(ISNUMBER(SEARCH("6",$L1623)))*80+(ISNUMBER(SEARCH("7",$L1623)))*40+(ISNUMBER(SEARCH("8",$L1623)))*40))</x:f>
        <x:v>0</x:v>
      </x:c>
      <x:c r="P1623" s="654" t="n">
        <x:f>IF($M1623&lt;&gt;"Mineral","",IF(ISNUMBER($N1623),$N1623,IF(OR(ISNUMBER(SEARCH("surface",$J1623)),ISNUMBER(SEARCH("reserv",$J1623)),ISNUMBER(SEARCH("less and except",$J1623))),0,"")))</x:f>
        <x:v>1</x:v>
      </x:c>
      <x:c r="Q1623" s="654" t="n">
        <x:f>IF($P1623="","",-$P1623)</x:f>
        <x:v>-1</x:v>
      </x:c>
      <x:c r="R1623" s="655" t="n">
        <x:f>IF($P1623="","",$O1623*$P1623)</x:f>
        <x:v>0</x:v>
      </x:c>
      <x:c r="S1623" s="552" t="str">
        <x:f>IF($M1623="","",TRIM(IF($M1623="Mineral",IF(ISNUMBER($N1623),"Mineral; basis Conv Amt(dec). ",IF($P1623=0,"Mineral; surface-only/reserved-&gt;0 min. ","Mineral; NO AMOUNT-verify instrument. ")),$M1623&amp;" (non-mineral; excluded from mineral NMA). ")&amp;IF(OR(ISNUMBER(SEARCH("public",$G1623)),ISNUMBER(SEARCH("public",$H1623))),"FLAG: The Public placeholder-verify. ","")&amp;IF(ISNUMBER(SEARCH("all",$L1623)),"All-section coverage. ","")&amp;IF($O1623=0,"Gross acres unresolved. ","")&amp;"Gross=tract-map basis."))</x:f>
        <x:v>Mineral; basis Conv Amt(dec). Gross acres unresolved. Gross=tract-map basis.</x:v>
      </x:c>
      <x:c r="T1623" s="578" t="n"/>
      <x:c r="U1623" s="578" t="n"/>
      <x:c r="V1623" s="565" t="n"/>
      <x:c r="W1623" s="565" t="n"/>
      <x:c r="X1623" s="565" t="n"/>
      <x:c r="Y1623" s="565" t="n"/>
      <x:c r="Z1623" s="565" t="n"/>
    </x:row>
    <x:row r="1624">
      <x:c r="A1624" s="552" t="inlineStr">
        <x:is>
          <x:t xml:space="preserve">1979-006593</x:t>
        </x:is>
      </x:c>
      <x:c r="B1624" s="552" t="n"/>
      <x:c r="C1624" s="552" t="inlineStr">
        <x:is>
          <x:t xml:space="preserve">Agreement</x:t>
        </x:is>
      </x:c>
      <x:c r="D1624" s="552" t="inlineStr">
        <x:is>
          <x:t xml:space="preserve">280/42</x:t>
        </x:is>
      </x:c>
      <x:c r="E1624" s="653" t="n">
        <x:v>29172</x:v>
      </x:c>
      <x:c r="F1624" s="653" t="n">
        <x:v>29172</x:v>
      </x:c>
      <x:c r="G1624" s="552" t="inlineStr">
        <x:is>
          <x:t xml:space="preserve">Crystal F. Pallo</x:t>
        </x:is>
      </x:c>
      <x:c r="H1624" s="552" t="inlineStr">
        <x:is>
          <x:t xml:space="preserve">W. C. Bain Jr., Trustee</x:t>
        </x:is>
      </x:c>
      <x:c r="I1624" s="552" t="inlineStr">
        <x:is>
          <x:t xml:space="preserve">SW/4 NE/4, NW/4 SE/4, S/2 SE/4 of 31-12N-24W, aol</x:t>
        </x:is>
      </x:c>
      <x:c r="J1624" s="552" t="inlineStr">
        <x:is>
          <x:t xml:space="preserve">Trust
An undivided 40/791.47 interest</x:t>
        </x:is>
      </x:c>
      <x:c r="K1624" s="554" t="e">
        <x:f>HYPERLINK("https://okcountyrecords.com/detail/roger+mills/1979-006593","OKCountyRecords: 1979-006593")</x:f>
      </x:c>
      <x:c r="L1624" s="552" t="n">
        <x:v>2</x:v>
      </x:c>
      <x:c r="M1624" s="552" t="inlineStr">
        <x:is>
          <x:t xml:space="preserve">Other</x:t>
        </x:is>
      </x:c>
      <x:c r="N1624" s="555" t="n"/>
      <x:c r="O1624" s="556" t="n">
        <x:f>IF($L1624="","",IF(ISNUMBER(SEARCH("all",$L1624)),640,(ISNUMBER(SEARCH("1",$L1624)))*80+(ISNUMBER(SEARCH("2",$L1624)))*160+(ISNUMBER(SEARCH("3",$L1624)))*40+(ISNUMBER(SEARCH("4",$L1624)))*80+(ISNUMBER(SEARCH("5",$L1624)))*120+(ISNUMBER(SEARCH("6",$L1624)))*80+(ISNUMBER(SEARCH("7",$L1624)))*40+(ISNUMBER(SEARCH("8",$L1624)))*40))</x:f>
        <x:v>0</x:v>
      </x:c>
      <x:c r="P1624" s="654" t="str">
        <x:f>IF($M1624&lt;&gt;"Mineral","",IF(ISNUMBER($N1624),$N1624,IF(OR(ISNUMBER(SEARCH("surface",$J1624)),ISNUMBER(SEARCH("reserv",$J1624)),ISNUMBER(SEARCH("less and except",$J1624))),0,"")))</x:f>
      </x:c>
      <x:c r="Q1624" s="654" t="str">
        <x:f>IF($P1624="","",-$P1624)</x:f>
      </x:c>
      <x:c r="R1624" s="655" t="str">
        <x:f>IF($P1624="","",$O1624*$P1624)</x:f>
      </x:c>
      <x:c r="S1624" s="552" t="str">
        <x:f>IF($M1624="","",TRIM(IF($M1624="Mineral",IF(ISNUMBER($N1624),"Mineral; basis Conv Amt(dec). ",IF($P1624=0,"Mineral; surface-only/reserved-&gt;0 min. ","Mineral; NO AMOUNT-verify instrument. ")),$M1624&amp;" (non-mineral; excluded from mineral NMA). ")&amp;IF(OR(ISNUMBER(SEARCH("public",$G1624)),ISNUMBER(SEARCH("public",$H1624))),"FLAG: The Public placeholder-verify. ","")&amp;IF(ISNUMBER(SEARCH("all",$L1624)),"All-section coverage. ","")&amp;IF($O1624=0,"Gross acres unresolved. ","")&amp;"Gross=tract-map basis."))</x:f>
        <x:v>Other (non-mineral; excluded from mineral NMA). Gross acres unresolved. Gross=tract-map basis.</x:v>
      </x:c>
      <x:c r="T1624" s="577" t="n"/>
      <x:c r="U1624" s="577" t="n"/>
      <x:c r="V1624" s="565" t="n"/>
      <x:c r="W1624" s="565" t="n"/>
      <x:c r="X1624" s="565" t="n"/>
      <x:c r="Y1624" s="565" t="n"/>
      <x:c r="Z1624" s="565" t="n"/>
    </x:row>
    <x:row r="1625">
      <x:c r="A1625" s="552" t="inlineStr">
        <x:is>
          <x:t xml:space="preserve">1981-003445</x:t>
        </x:is>
      </x:c>
      <x:c r="B1625" s="552" t="n"/>
      <x:c r="C1625" s="552" t="inlineStr">
        <x:is>
          <x:t xml:space="preserve">Mineral Deed</x:t>
        </x:is>
      </x:c>
      <x:c r="D1625" s="552" t="inlineStr">
        <x:is>
          <x:t xml:space="preserve">332/238</x:t>
        </x:is>
      </x:c>
      <x:c r="E1625" s="653" t="n">
        <x:v>29675</x:v>
      </x:c>
      <x:c r="F1625" s="653" t="n">
        <x:v>29675</x:v>
      </x:c>
      <x:c r="G1625" s="552" t="inlineStr">
        <x:is>
          <x:t xml:space="preserve">L. E. Thurman</x:t>
        </x:is>
      </x:c>
      <x:c r="H1625" s="552" t="inlineStr">
        <x:is>
          <x:t xml:space="preserve">Moore-Stansberry, Inc.</x:t>
        </x:is>
      </x:c>
      <x:c r="I1625" s="552" t="inlineStr">
        <x:is>
          <x:t xml:space="preserve">E/2 NW/4 of 31-12N-24W</x:t>
        </x:is>
      </x:c>
      <x:c r="J1625" s="552" t="inlineStr">
        <x:is>
          <x:t xml:space="preserve">11 NMA</x:t>
        </x:is>
      </x:c>
      <x:c r="K1625" s="554" t="e">
        <x:f>HYPERLINK("https://okcountyrecords.com/detail/roger+mills/1981-003445","OKCountyRecords: 1981-003445")</x:f>
      </x:c>
      <x:c r="L1625" s="552" t="n">
        <x:v>4</x:v>
      </x:c>
      <x:c r="M1625" s="552" t="inlineStr">
        <x:is>
          <x:t xml:space="preserve">Mineral</x:t>
        </x:is>
      </x:c>
      <x:c r="N1625" s="555" t="str">
        <x:f>IF(O1625&gt;0,11/O1625,"")</x:f>
      </x:c>
      <x:c r="O1625" s="556" t="n">
        <x:f>IF($L1625="","",IF(ISNUMBER(SEARCH("all",$L1625)),640,(ISNUMBER(SEARCH("1",$L1625)))*80+(ISNUMBER(SEARCH("2",$L1625)))*160+(ISNUMBER(SEARCH("3",$L1625)))*40+(ISNUMBER(SEARCH("4",$L1625)))*80+(ISNUMBER(SEARCH("5",$L1625)))*120+(ISNUMBER(SEARCH("6",$L1625)))*80+(ISNUMBER(SEARCH("7",$L1625)))*40+(ISNUMBER(SEARCH("8",$L1625)))*40))</x:f>
        <x:v>0</x:v>
      </x:c>
      <x:c r="P1625" s="654" t="str">
        <x:f>IF($M1625&lt;&gt;"Mineral","",IF(ISNUMBER($N1625),$N1625,IF(OR(ISNUMBER(SEARCH("surface",$J1625)),ISNUMBER(SEARCH("reserv",$J1625)),ISNUMBER(SEARCH("less and except",$J1625))),0,"")))</x:f>
      </x:c>
      <x:c r="Q1625" s="654" t="str">
        <x:f>IF($P1625="","",-$P1625)</x:f>
      </x:c>
      <x:c r="R1625" s="655" t="str">
        <x:f>IF($P1625="","",$O1625*$P1625)</x:f>
      </x:c>
      <x:c r="S1625" s="552" t="str">
        <x:f>IF($M1625="","",TRIM(IF($M1625="Mineral",IF(ISNUMBER($N1625),"Mineral; basis Conv Amt(dec). ",IF($P1625=0,"Mineral; surface-only/reserved-&gt;0 min. ","Mineral; VERIFY — NEED full instrument image for conveyed amount. ")),$M1625&amp;" (non-mineral; excluded from mineral NMA). ")&amp;IF(OR(ISNUMBER(SEARCH("public",$G1625)),ISNUMBER(SEARCH("public",$H1625))),"FLAG: The Public placeholder; VERIFY — NEED source confirmation. ","")&amp;IF(ISNUMBER(SEARCH("all",$L1625)),"All-section coverage. ","")&amp;IF($O1625=0,"Gross acres unresolved. ","")&amp;"Gross=tract-map basis."))</x:f>
        <x:v>Mineral; surface-only/reserved-&gt;0 min. Gross acres unresolved. Gross=tract-map basis.</x:v>
      </x:c>
      <x:c r="T1625" s="577" t="inlineStr">
        <x:is>
          <x:t xml:space="preserve">REVIEW</x:t>
        </x:is>
      </x:c>
      <x:c r="U1625" s="577" t="inlineStr">
        <x:is>
          <x:t xml:space="preserve">Conveys 11 NMA per notes; conv. dec = 11/gross. Verify denominator/tract from image.</x:t>
        </x:is>
      </x:c>
      <x:c r="V1625" s="565" t="n"/>
      <x:c r="W1625" s="565" t="n"/>
      <x:c r="X1625" s="565" t="n"/>
      <x:c r="Y1625" s="565" t="n"/>
      <x:c r="Z1625" s="565" t="n"/>
    </x:row>
    <x:row r="1626">
      <x:c r="A1626" s="552" t="inlineStr">
        <x:is>
          <x:t xml:space="preserve">1981-005180</x:t>
        </x:is>
      </x:c>
      <x:c r="B1626" s="552" t="n"/>
      <x:c r="C1626" s="552" t="inlineStr">
        <x:is>
          <x:t xml:space="preserve">Mineral Deed</x:t>
        </x:is>
      </x:c>
      <x:c r="D1626" s="552" t="inlineStr">
        <x:is>
          <x:t xml:space="preserve">341/154</x:t>
        </x:is>
      </x:c>
      <x:c r="E1626" s="653" t="n">
        <x:v>29714</x:v>
      </x:c>
      <x:c r="F1626" s="653" t="n">
        <x:v>29714</x:v>
      </x:c>
      <x:c r="G1626" s="552" t="inlineStr">
        <x:is>
          <x:t xml:space="preserve">Glenn D. Mitchel Hazel P. Mitchel, HW</x:t>
        </x:is>
      </x:c>
      <x:c r="H1626" s="552" t="inlineStr">
        <x:is>
          <x:t xml:space="preserve">Nolan E. Britton, Inc.</x:t>
        </x:is>
      </x:c>
      <x:c r="I1626" s="552" t="inlineStr">
        <x:is>
          <x:t xml:space="preserve">E/2 NW/4, SE/4 NE/4, NE/4 SE/4, N/2 NE/4 SW/4 of 31-12N-24W, aol</x:t>
        </x:is>
      </x:c>
      <x:c r="J1626" s="552" t="inlineStr">
        <x:is>
          <x:t xml:space="preserve">10/260 interest in 2 sections</x:t>
        </x:is>
      </x:c>
      <x:c r="K1626" s="554" t="e">
        <x:f>HYPERLINK("https://okcountyrecords.com/detail/roger+mills/1981-005180","OKCountyRecords: 1981-005180")</x:f>
      </x:c>
      <x:c r="L1626" s="552" t="inlineStr">
        <x:is>
          <x:t xml:space="preserve">1, 3, 4, 7, 8</x:t>
        </x:is>
      </x:c>
      <x:c r="M1626" s="552" t="inlineStr">
        <x:is>
          <x:t xml:space="preserve">Mineral</x:t>
        </x:is>
      </x:c>
      <x:c r="N1626" s="561" t="n">
        <x:f>10/260</x:f>
        <x:v>0.038461538461538464</x:v>
      </x:c>
      <x:c r="O1626" s="556" t="n">
        <x:f>IF($L1626="","",IF(ISNUMBER(SEARCH("all",$L1626)),640,(ISNUMBER(SEARCH("1",$L1626)))*80+(ISNUMBER(SEARCH("2",$L1626)))*160+(ISNUMBER(SEARCH("3",$L1626)))*40+(ISNUMBER(SEARCH("4",$L1626)))*80+(ISNUMBER(SEARCH("5",$L1626)))*120+(ISNUMBER(SEARCH("6",$L1626)))*80+(ISNUMBER(SEARCH("7",$L1626)))*40+(ISNUMBER(SEARCH("8",$L1626)))*40))</x:f>
        <x:v>0</x:v>
      </x:c>
      <x:c r="P1626" s="654" t="n">
        <x:f>IF($M1626&lt;&gt;"Mineral","",IF(ISNUMBER($N1626),$N1626,IF(OR(ISNUMBER(SEARCH("surface",$J1626)),ISNUMBER(SEARCH("reserv",$J1626)),ISNUMBER(SEARCH("less and except",$J1626))),0,"")))</x:f>
        <x:v>0.038461538461538464</x:v>
      </x:c>
      <x:c r="Q1626" s="654" t="n">
        <x:f>IF($P1626="","",-$P1626)</x:f>
        <x:v>-0.038461538461538464</x:v>
      </x:c>
      <x:c r="R1626" s="655" t="n">
        <x:f>IF($P1626="","",$O1626*$P1626)</x:f>
        <x:v>0</x:v>
      </x:c>
      <x:c r="S1626" s="552" t="str">
        <x:f>IF($M1626="","",TRIM(IF($M1626="Mineral",IF(ISNUMBER($N1626),"Mineral; basis Conv Amt(dec). ",IF($P1626=0,"Mineral; surface-only/reserved-&gt;0 min. ","Mineral; NO AMOUNT-verify instrument. ")),$M1626&amp;" (non-mineral; excluded from mineral NMA). ")&amp;IF(OR(ISNUMBER(SEARCH("public",$G1626)),ISNUMBER(SEARCH("public",$H1626))),"FLAG: The Public placeholder-verify. ","")&amp;IF(ISNUMBER(SEARCH("all",$L1626)),"All-section coverage. ","")&amp;IF($O1626=0,"Gross acres unresolved. ","")&amp;"Gross=tract-map basis."))</x:f>
        <x:v>Mineral; basis Conv Amt(dec). Gross acres unresolved. Gross=tract-map basis.</x:v>
      </x:c>
      <x:c r="T1626" s="577" t="n"/>
      <x:c r="U1626" s="577" t="n"/>
      <x:c r="V1626" s="565" t="n"/>
      <x:c r="W1626" s="565" t="n"/>
      <x:c r="X1626" s="565" t="n"/>
      <x:c r="Y1626" s="565" t="n"/>
      <x:c r="Z1626" s="565" t="n"/>
    </x:row>
    <x:row r="1627">
      <x:c r="A1627" s="552" t="inlineStr">
        <x:is>
          <x:t xml:space="preserve">1981-005181</x:t>
        </x:is>
      </x:c>
      <x:c r="B1627" s="552" t="n"/>
      <x:c r="C1627" s="552" t="inlineStr">
        <x:is>
          <x:t xml:space="preserve">Mineral Deed</x:t>
        </x:is>
      </x:c>
      <x:c r="D1627" s="552" t="inlineStr">
        <x:is>
          <x:t xml:space="preserve">341/155</x:t>
        </x:is>
      </x:c>
      <x:c r="E1627" s="653" t="n">
        <x:v>29714</x:v>
      </x:c>
      <x:c r="F1627" s="653" t="n">
        <x:v>29714</x:v>
      </x:c>
      <x:c r="G1627" s="552" t="inlineStr">
        <x:is>
          <x:t xml:space="preserve">Nolan E. Britton, Inc.</x:t>
        </x:is>
      </x:c>
      <x:c r="H1627" s="552" t="inlineStr">
        <x:is>
          <x:t xml:space="preserve">Chinook Resources, Inc.</x:t>
        </x:is>
      </x:c>
      <x:c r="I1627" s="552" t="inlineStr">
        <x:is>
          <x:t xml:space="preserve">E/2 NW/4, SE/4 NE/4, NE/4 SE/4, N/2 NE/4 SW/4 of 31-12N-24W, aol</x:t>
        </x:is>
      </x:c>
      <x:c r="J1627" s="552" t="inlineStr">
        <x:is>
          <x:t xml:space="preserve">5/260 interest in 2 sections</x:t>
        </x:is>
      </x:c>
      <x:c r="K1627" s="554" t="e">
        <x:f>HYPERLINK("https://okcountyrecords.com/detail/roger+mills/1981-005181","OKCountyRecords: 1981-005181")</x:f>
      </x:c>
      <x:c r="L1627" s="552" t="inlineStr">
        <x:is>
          <x:t xml:space="preserve">1, 3, 4, 7, 8</x:t>
        </x:is>
      </x:c>
      <x:c r="M1627" s="552" t="inlineStr">
        <x:is>
          <x:t xml:space="preserve">Mineral</x:t>
        </x:is>
      </x:c>
      <x:c r="N1627" s="561" t="n">
        <x:f>5/260</x:f>
        <x:v>0.019230769230769232</x:v>
      </x:c>
      <x:c r="O1627" s="556" t="n">
        <x:f>IF($L1627="","",IF(ISNUMBER(SEARCH("all",$L1627)),640,(ISNUMBER(SEARCH("1",$L1627)))*80+(ISNUMBER(SEARCH("2",$L1627)))*160+(ISNUMBER(SEARCH("3",$L1627)))*40+(ISNUMBER(SEARCH("4",$L1627)))*80+(ISNUMBER(SEARCH("5",$L1627)))*120+(ISNUMBER(SEARCH("6",$L1627)))*80+(ISNUMBER(SEARCH("7",$L1627)))*40+(ISNUMBER(SEARCH("8",$L1627)))*40))</x:f>
        <x:v>0</x:v>
      </x:c>
      <x:c r="P1627" s="654" t="n">
        <x:f>IF($M1627&lt;&gt;"Mineral","",IF(ISNUMBER($N1627),$N1627,IF(OR(ISNUMBER(SEARCH("surface",$J1627)),ISNUMBER(SEARCH("reserv",$J1627)),ISNUMBER(SEARCH("less and except",$J1627))),0,"")))</x:f>
        <x:v>0.019230769230769232</x:v>
      </x:c>
      <x:c r="Q1627" s="654" t="n">
        <x:f>IF($P1627="","",-$P1627)</x:f>
        <x:v>-0.019230769230769232</x:v>
      </x:c>
      <x:c r="R1627" s="655" t="n">
        <x:f>IF($P1627="","",$O1627*$P1627)</x:f>
        <x:v>0</x:v>
      </x:c>
      <x:c r="S1627" s="552" t="str">
        <x:f>IF($M1627="","",TRIM(IF($M1627="Mineral",IF(ISNUMBER($N1627),"Mineral; basis Conv Amt(dec). ",IF($P1627=0,"Mineral; surface-only/reserved-&gt;0 min. ","Mineral; NO AMOUNT-verify instrument. ")),$M1627&amp;" (non-mineral; excluded from mineral NMA). ")&amp;IF(OR(ISNUMBER(SEARCH("public",$G1627)),ISNUMBER(SEARCH("public",$H1627))),"FLAG: The Public placeholder-verify. ","")&amp;IF(ISNUMBER(SEARCH("all",$L1627)),"All-section coverage. ","")&amp;IF($O1627=0,"Gross acres unresolved. ","")&amp;"Gross=tract-map basis."))</x:f>
        <x:v>Mineral; basis Conv Amt(dec). Gross acres unresolved. Gross=tract-map basis.</x:v>
      </x:c>
      <x:c r="T1627" s="577" t="n"/>
      <x:c r="U1627" s="577" t="n"/>
      <x:c r="V1627" s="565" t="n"/>
      <x:c r="W1627" s="565" t="n"/>
      <x:c r="X1627" s="565" t="n"/>
      <x:c r="Y1627" s="565" t="n"/>
      <x:c r="Z1627" s="565" t="n"/>
    </x:row>
    <x:row r="1628">
      <x:c r="A1628" s="552" t="inlineStr">
        <x:is>
          <x:t xml:space="preserve">1981-007481</x:t>
        </x:is>
      </x:c>
      <x:c r="B1628" s="552" t="n"/>
      <x:c r="C1628" s="552" t="inlineStr">
        <x:is>
          <x:t xml:space="preserve">Mineral Deed</x:t>
        </x:is>
      </x:c>
      <x:c r="D1628" s="552" t="inlineStr">
        <x:is>
          <x:t xml:space="preserve">355/341</x:t>
        </x:is>
      </x:c>
      <x:c r="E1628" s="653" t="n">
        <x:v>29767</x:v>
      </x:c>
      <x:c r="F1628" s="653" t="n">
        <x:v>29767</x:v>
      </x:c>
      <x:c r="G1628" s="552" t="inlineStr">
        <x:is>
          <x:t xml:space="preserve">Moore-Stansberry, Inc.</x:t>
        </x:is>
      </x:c>
      <x:c r="H1628" s="552" t="inlineStr">
        <x:is>
          <x:t xml:space="preserve">Leede Exploration</x:t>
        </x:is>
      </x:c>
      <x:c r="I1628" s="552" t="inlineStr">
        <x:is>
          <x:t xml:space="preserve">E/2 NW/4 of 31-12N-24W</x:t>
        </x:is>
      </x:c>
      <x:c r="J1628" s="552" t="inlineStr">
        <x:is>
          <x:t xml:space="preserve">10.725 NMA</x:t>
        </x:is>
      </x:c>
      <x:c r="K1628" s="554" t="e">
        <x:f>HYPERLINK("https://okcountyrecords.com/detail/roger+mills/1981-007481","OKCountyRecords: 1981-007481")</x:f>
      </x:c>
      <x:c r="L1628" s="552" t="n">
        <x:v>4</x:v>
      </x:c>
      <x:c r="M1628" s="552" t="inlineStr">
        <x:is>
          <x:t xml:space="preserve">Mineral</x:t>
        </x:is>
      </x:c>
      <x:c r="N1628" s="555" t="str">
        <x:f>IF(O1628&gt;0,10.725/O1628,"")</x:f>
      </x:c>
      <x:c r="O1628" s="556" t="n">
        <x:f>IF($L1628="","",IF(ISNUMBER(SEARCH("all",$L1628)),640,(ISNUMBER(SEARCH("1",$L1628)))*80+(ISNUMBER(SEARCH("2",$L1628)))*160+(ISNUMBER(SEARCH("3",$L1628)))*40+(ISNUMBER(SEARCH("4",$L1628)))*80+(ISNUMBER(SEARCH("5",$L1628)))*120+(ISNUMBER(SEARCH("6",$L1628)))*80+(ISNUMBER(SEARCH("7",$L1628)))*40+(ISNUMBER(SEARCH("8",$L1628)))*40))</x:f>
        <x:v>0</x:v>
      </x:c>
      <x:c r="P1628" s="654" t="str">
        <x:f>IF($M1628&lt;&gt;"Mineral","",IF(ISNUMBER($N1628),$N1628,IF(OR(ISNUMBER(SEARCH("surface",$J1628)),ISNUMBER(SEARCH("reserv",$J1628)),ISNUMBER(SEARCH("less and except",$J1628))),0,"")))</x:f>
      </x:c>
      <x:c r="Q1628" s="654" t="str">
        <x:f>IF($P1628="","",-$P1628)</x:f>
      </x:c>
      <x:c r="R1628" s="655" t="str">
        <x:f>IF($P1628="","",$O1628*$P1628)</x:f>
      </x:c>
      <x:c r="S1628" s="552" t="str">
        <x:f>IF($M1628="","",TRIM(IF($M1628="Mineral",IF(ISNUMBER($N1628),"Mineral; basis Conv Amt(dec). ",IF($P1628=0,"Mineral; surface-only/reserved-&gt;0 min. ","Mineral; VERIFY — NEED full instrument image for conveyed amount. ")),$M1628&amp;" (non-mineral; excluded from mineral NMA). ")&amp;IF(OR(ISNUMBER(SEARCH("public",$G1628)),ISNUMBER(SEARCH("public",$H1628))),"FLAG: The Public placeholder; VERIFY — NEED source confirmation. ","")&amp;IF(ISNUMBER(SEARCH("all",$L1628)),"All-section coverage. ","")&amp;IF($O1628=0,"Gross acres unresolved. ","")&amp;"Gross=tract-map basis."))</x:f>
        <x:v>Mineral; surface-only/reserved-&gt;0 min. Gross acres unresolved. Gross=tract-map basis.</x:v>
      </x:c>
      <x:c r="T1628" s="577" t="inlineStr">
        <x:is>
          <x:t xml:space="preserve">REVIEW</x:t>
        </x:is>
      </x:c>
      <x:c r="U1628" s="577" t="inlineStr">
        <x:is>
          <x:t xml:space="preserve">Conveys 10.725 NMA per notes; conv. dec = 10.725/gross. Verify denominator/tract from image.</x:t>
        </x:is>
      </x:c>
      <x:c r="V1628" s="565" t="n"/>
      <x:c r="W1628" s="565" t="n"/>
      <x:c r="X1628" s="565" t="n"/>
      <x:c r="Y1628" s="565" t="n"/>
      <x:c r="Z1628" s="565" t="n"/>
    </x:row>
    <x:row r="1629">
      <x:c r="A1629" s="552" t="inlineStr">
        <x:is>
          <x:t xml:space="preserve">1981-009501</x:t>
        </x:is>
      </x:c>
      <x:c r="B1629" s="552" t="n"/>
      <x:c r="C1629" s="552" t="inlineStr">
        <x:is>
          <x:t xml:space="preserve">Mineral Deed</x:t>
        </x:is>
      </x:c>
      <x:c r="D1629" s="552" t="inlineStr">
        <x:is>
          <x:t xml:space="preserve">368/272</x:t>
        </x:is>
      </x:c>
      <x:c r="E1629" s="653" t="n">
        <x:v>29812</x:v>
      </x:c>
      <x:c r="F1629" s="653" t="n">
        <x:v>29812</x:v>
      </x:c>
      <x:c r="G1629" s="552" t="inlineStr">
        <x:is>
          <x:t xml:space="preserve">Moore-Stansberry, Inc.</x:t>
        </x:is>
      </x:c>
      <x:c r="H1629" s="552" t="inlineStr">
        <x:is>
          <x:t xml:space="preserve">Brent L. Schooley</x:t>
        </x:is>
      </x:c>
      <x:c r="I1629" s="552" t="inlineStr">
        <x:is>
          <x:t xml:space="preserve">E/2 NW/4 of 31-12N-24W</x:t>
        </x:is>
      </x:c>
      <x:c r="J1629" s="552" t="inlineStr">
        <x:is>
          <x:t xml:space="preserve">0.55 NMA</x:t>
        </x:is>
      </x:c>
      <x:c r="K1629" s="554" t="e">
        <x:f>HYPERLINK("https://okcountyrecords.com/detail/roger+mills/1981-009501","OKCountyRecords: 1981-009501")</x:f>
      </x:c>
      <x:c r="L1629" s="552" t="n">
        <x:v>4</x:v>
      </x:c>
      <x:c r="M1629" s="552" t="inlineStr">
        <x:is>
          <x:t xml:space="preserve">Mineral</x:t>
        </x:is>
      </x:c>
      <x:c r="N1629" s="555" t="str">
        <x:f>IF(O1629&gt;0,0.55/O1629,"")</x:f>
      </x:c>
      <x:c r="O1629" s="556" t="n">
        <x:f>IF($L1629="","",IF(ISNUMBER(SEARCH("all",$L1629)),640,(ISNUMBER(SEARCH("1",$L1629)))*80+(ISNUMBER(SEARCH("2",$L1629)))*160+(ISNUMBER(SEARCH("3",$L1629)))*40+(ISNUMBER(SEARCH("4",$L1629)))*80+(ISNUMBER(SEARCH("5",$L1629)))*120+(ISNUMBER(SEARCH("6",$L1629)))*80+(ISNUMBER(SEARCH("7",$L1629)))*40+(ISNUMBER(SEARCH("8",$L1629)))*40))</x:f>
        <x:v>0</x:v>
      </x:c>
      <x:c r="P1629" s="654" t="str">
        <x:f>IF($M1629&lt;&gt;"Mineral","",IF(ISNUMBER($N1629),$N1629,IF(OR(ISNUMBER(SEARCH("surface",$J1629)),ISNUMBER(SEARCH("reserv",$J1629)),ISNUMBER(SEARCH("less and except",$J1629))),0,"")))</x:f>
      </x:c>
      <x:c r="Q1629" s="654" t="str">
        <x:f>IF($P1629="","",-$P1629)</x:f>
      </x:c>
      <x:c r="R1629" s="655" t="str">
        <x:f>IF($P1629="","",$O1629*$P1629)</x:f>
      </x:c>
      <x:c r="S1629" s="552" t="str">
        <x:f>IF($M1629="","",TRIM(IF($M1629="Mineral",IF(ISNUMBER($N1629),"Mineral; basis Conv Amt(dec). ",IF($P1629=0,"Mineral; surface-only/reserved-&gt;0 min. ","Mineral; VERIFY — NEED full instrument image for conveyed amount. ")),$M1629&amp;" (non-mineral; excluded from mineral NMA). ")&amp;IF(OR(ISNUMBER(SEARCH("public",$G1629)),ISNUMBER(SEARCH("public",$H1629))),"FLAG: The Public placeholder; VERIFY — NEED source confirmation. ","")&amp;IF(ISNUMBER(SEARCH("all",$L1629)),"All-section coverage. ","")&amp;IF($O1629=0,"Gross acres unresolved. ","")&amp;"Gross=tract-map basis."))</x:f>
        <x:v>Mineral; surface-only/reserved-&gt;0 min. Gross acres unresolved. Gross=tract-map basis.</x:v>
      </x:c>
      <x:c r="T1629" s="577" t="inlineStr">
        <x:is>
          <x:t xml:space="preserve">REVIEW</x:t>
        </x:is>
      </x:c>
      <x:c r="U1629" s="577" t="inlineStr">
        <x:is>
          <x:t xml:space="preserve">Conveys 0.55 NMA per notes; conv. dec = 0.55/gross. Verify denominator/tract from image.</x:t>
        </x:is>
      </x:c>
      <x:c r="V1629" s="565" t="n"/>
      <x:c r="W1629" s="565" t="n"/>
      <x:c r="X1629" s="565" t="n"/>
      <x:c r="Y1629" s="565" t="n"/>
      <x:c r="Z1629" s="565" t="n"/>
    </x:row>
    <x:row r="1630">
      <x:c r="A1630" s="552" t="inlineStr">
        <x:is>
          <x:t xml:space="preserve">1982-004342</x:t>
        </x:is>
      </x:c>
      <x:c r="B1630" s="552" t="n"/>
      <x:c r="C1630" s="552" t="inlineStr">
        <x:is>
          <x:t xml:space="preserve">Mineral Deed</x:t>
        </x:is>
      </x:c>
      <x:c r="D1630" s="552" t="inlineStr">
        <x:is>
          <x:t xml:space="preserve">432/110</x:t>
        </x:is>
      </x:c>
      <x:c r="E1630" s="653" t="n">
        <x:v>30054</x:v>
      </x:c>
      <x:c r="F1630" s="653" t="n">
        <x:v>30054</x:v>
      </x:c>
      <x:c r="G1630" s="552" t="inlineStr">
        <x:is>
          <x:t xml:space="preserve">W. H. Sorenson</x:t>
        </x:is>
      </x:c>
      <x:c r="H1630" s="552" t="inlineStr">
        <x:is>
          <x:t xml:space="preserve">Sorenson Oil &amp; Gas Trust,
Michelle Sorenson Johnson, Trustee,
Marchelle Sorenson Uaigle, Trustee</x:t>
        </x:is>
      </x:c>
      <x:c r="I1630" s="552" t="inlineStr">
        <x:is>
          <x:t xml:space="preserve">E/2 NW/4, SE/4 NE/4, NE/4 SE/4, N/2 NE/4 SW/4 of 31-12N-24W, aol</x:t>
        </x:is>
      </x:c>
      <x:c r="J1630" s="552" t="inlineStr">
        <x:is>
          <x:t xml:space="preserve">40/260 interest in 2 sections</x:t>
        </x:is>
      </x:c>
      <x:c r="K1630" s="554" t="e">
        <x:f>HYPERLINK("https://okcountyrecords.com/detail/roger+mills/1982-004342","OKCountyRecords: 1982-004342")</x:f>
      </x:c>
      <x:c r="L1630" s="552" t="inlineStr">
        <x:is>
          <x:t xml:space="preserve">1, 3, 4, 7, 8</x:t>
        </x:is>
      </x:c>
      <x:c r="M1630" s="552" t="inlineStr">
        <x:is>
          <x:t xml:space="preserve">Mineral</x:t>
        </x:is>
      </x:c>
      <x:c r="N1630" s="561" t="n">
        <x:f>40/260</x:f>
        <x:v>0.15384615384615385</x:v>
      </x:c>
      <x:c r="O1630" s="556" t="n">
        <x:f>IF($L1630="","",IF(ISNUMBER(SEARCH("all",$L1630)),640,(ISNUMBER(SEARCH("1",$L1630)))*80+(ISNUMBER(SEARCH("2",$L1630)))*160+(ISNUMBER(SEARCH("3",$L1630)))*40+(ISNUMBER(SEARCH("4",$L1630)))*80+(ISNUMBER(SEARCH("5",$L1630)))*120+(ISNUMBER(SEARCH("6",$L1630)))*80+(ISNUMBER(SEARCH("7",$L1630)))*40+(ISNUMBER(SEARCH("8",$L1630)))*40))</x:f>
        <x:v>0</x:v>
      </x:c>
      <x:c r="P1630" s="654" t="n">
        <x:f>IF($M1630&lt;&gt;"Mineral","",IF(ISNUMBER($N1630),$N1630,IF(OR(ISNUMBER(SEARCH("surface",$J1630)),ISNUMBER(SEARCH("reserv",$J1630)),ISNUMBER(SEARCH("less and except",$J1630))),0,"")))</x:f>
        <x:v>0.15384615384615385</x:v>
      </x:c>
      <x:c r="Q1630" s="654" t="n">
        <x:f>IF($P1630="","",-$P1630)</x:f>
        <x:v>-0.15384615384615385</x:v>
      </x:c>
      <x:c r="R1630" s="655" t="n">
        <x:f>IF($P1630="","",$O1630*$P1630)</x:f>
        <x:v>0</x:v>
      </x:c>
      <x:c r="S1630" s="552" t="str">
        <x:f>IF($M1630="","",TRIM(IF($M1630="Mineral",IF(ISNUMBER($N1630),"Mineral; basis Conv Amt(dec). ",IF($P1630=0,"Mineral; surface-only/reserved-&gt;0 min. ","Mineral; NO AMOUNT-verify instrument. ")),$M1630&amp;" (non-mineral; excluded from mineral NMA). ")&amp;IF(OR(ISNUMBER(SEARCH("public",$G1630)),ISNUMBER(SEARCH("public",$H1630))),"FLAG: The Public placeholder-verify. ","")&amp;IF(ISNUMBER(SEARCH("all",$L1630)),"All-section coverage. ","")&amp;IF($O1630=0,"Gross acres unresolved. ","")&amp;"Gross=tract-map basis."))</x:f>
        <x:v>Mineral; basis Conv Amt(dec). Gross acres unresolved. Gross=tract-map basis.</x:v>
      </x:c>
      <x:c r="T1630" s="577" t="n"/>
      <x:c r="U1630" s="577" t="n"/>
      <x:c r="V1630" s="565" t="n"/>
      <x:c r="W1630" s="565" t="n"/>
      <x:c r="X1630" s="565" t="n"/>
      <x:c r="Y1630" s="565" t="n"/>
      <x:c r="Z1630" s="565" t="n"/>
    </x:row>
    <x:row r="1631">
      <x:c r="A1631" s="552" t="inlineStr">
        <x:is>
          <x:t xml:space="preserve">1982-004658</x:t>
        </x:is>
      </x:c>
      <x:c r="B1631" s="552" t="n"/>
      <x:c r="C1631" s="552" t="inlineStr">
        <x:is>
          <x:t xml:space="preserve">Miscellaneous</x:t>
        </x:is>
      </x:c>
      <x:c r="D1631" s="552" t="inlineStr">
        <x:is>
          <x:t xml:space="preserve">434/163</x:t>
        </x:is>
      </x:c>
      <x:c r="E1631" s="653" t="n">
        <x:v>30061</x:v>
      </x:c>
      <x:c r="F1631" s="653" t="n">
        <x:v>30061</x:v>
      </x:c>
      <x:c r="G1631" s="552" t="inlineStr">
        <x:is>
          <x:t xml:space="preserve">Farmers Home Administration</x:t>
        </x:is>
      </x:c>
      <x:c r="H1631" s="552" t="inlineStr">
        <x:is>
          <x:t xml:space="preserve">Clara Mae Bryan,
George M. Bryan</x:t>
        </x:is>
      </x:c>
      <x:c r="I1631" s="552" t="inlineStr">
        <x:is>
          <x:t xml:space="preserve">31-12N-24W, aol</x:t>
        </x:is>
      </x:c>
      <x:c r="J1631" s="552" t="inlineStr">
        <x:is>
          <x:t xml:space="preserve">See instrument</x:t>
        </x:is>
      </x:c>
      <x:c r="K1631" s="554" t="e">
        <x:f>HYPERLINK("https://okcountyrecords.com/detail/roger+mills/1982-004658","OKCountyRecords: 1982-004658")</x:f>
      </x:c>
      <x:c r="L1631" s="552" t="inlineStr">
        <x:is>
          <x:t xml:space="preserve">All (1-8)</x:t>
        </x:is>
      </x:c>
      <x:c r="M1631" s="552" t="inlineStr">
        <x:is>
          <x:t xml:space="preserve">Other</x:t>
        </x:is>
      </x:c>
      <x:c r="N1631" s="555" t="n"/>
      <x:c r="O1631" s="556" t="n">
        <x:f>IF($L1631="","",IF(ISNUMBER(SEARCH("all",$L1631)),640,(ISNUMBER(SEARCH("1",$L1631)))*80+(ISNUMBER(SEARCH("2",$L1631)))*160+(ISNUMBER(SEARCH("3",$L1631)))*40+(ISNUMBER(SEARCH("4",$L1631)))*80+(ISNUMBER(SEARCH("5",$L1631)))*120+(ISNUMBER(SEARCH("6",$L1631)))*80+(ISNUMBER(SEARCH("7",$L1631)))*40+(ISNUMBER(SEARCH("8",$L1631)))*40))</x:f>
        <x:v>640</x:v>
      </x:c>
      <x:c r="P1631" s="654" t="str">
        <x:f>IF($M1631&lt;&gt;"Mineral","",IF(ISNUMBER($N1631),$N1631,IF(OR(ISNUMBER(SEARCH("surface",$J1631)),ISNUMBER(SEARCH("reserv",$J1631)),ISNUMBER(SEARCH("less and except",$J1631))),0,"")))</x:f>
      </x:c>
      <x:c r="Q1631" s="654" t="str">
        <x:f>IF($P1631="","",-$P1631)</x:f>
      </x:c>
      <x:c r="R1631" s="655" t="str">
        <x:f>IF($P1631="","",$O1631*$P1631)</x:f>
      </x:c>
      <x:c r="S1631" s="552" t="str">
        <x:f>IF($M1631="","",TRIM(IF($M1631="Mineral",IF(ISNUMBER($N1631),"Mineral; basis Conv Amt(dec). ",IF($P1631=0,"Mineral; surface-only/reserved-&gt;0 min. ","Mineral; NO AMOUNT-verify instrument. ")),$M1631&amp;" (non-mineral; excluded from mineral NMA). ")&amp;IF(OR(ISNUMBER(SEARCH("public",$G1631)),ISNUMBER(SEARCH("public",$H1631))),"FLAG: The Public placeholder-verify. ","")&amp;IF(ISNUMBER(SEARCH("all",$L1631)),"All-section coverage. ","")&amp;IF($O1631=0,"Gross acres unresolved. ","")&amp;"Gross=tract-map basis."))</x:f>
        <x:v>Other (non-mineral; excluded from mineral NMA). All-section coverage. Gross=tract-map basis.</x:v>
      </x:c>
      <x:c r="T1631" s="578" t="n"/>
      <x:c r="U1631" s="578" t="n"/>
      <x:c r="V1631" s="565" t="n"/>
      <x:c r="W1631" s="565" t="n"/>
      <x:c r="X1631" s="565" t="n"/>
      <x:c r="Y1631" s="565" t="n"/>
      <x:c r="Z1631" s="565" t="n"/>
    </x:row>
    <x:row r="1632">
      <x:c r="A1632" s="552" t="inlineStr">
        <x:is>
          <x:t xml:space="preserve">1982-005352</x:t>
        </x:is>
      </x:c>
      <x:c r="B1632" s="552" t="n"/>
      <x:c r="C1632" s="552" t="inlineStr">
        <x:is>
          <x:t xml:space="preserve">Mineral Deed</x:t>
        </x:is>
      </x:c>
      <x:c r="D1632" s="552" t="inlineStr">
        <x:is>
          <x:t xml:space="preserve">438/128</x:t>
        </x:is>
      </x:c>
      <x:c r="E1632" s="653" t="n">
        <x:v>30081</x:v>
      </x:c>
      <x:c r="F1632" s="653" t="n">
        <x:v>30081</x:v>
      </x:c>
      <x:c r="G1632" s="552" t="inlineStr">
        <x:is>
          <x:t xml:space="preserve">Moore-Stansberry, Inc.</x:t>
        </x:is>
      </x:c>
      <x:c r="H1632" s="552" t="inlineStr">
        <x:is>
          <x:t xml:space="preserve">Leede Exploration</x:t>
        </x:is>
      </x:c>
      <x:c r="I1632" s="552" t="inlineStr">
        <x:is>
          <x:t xml:space="preserve">E/2 NW/4 of 31-12N-24W</x:t>
        </x:is>
      </x:c>
      <x:c r="J1632" s="552" t="inlineStr">
        <x:is>
          <x:t xml:space="preserve">0.22 NMA</x:t>
        </x:is>
      </x:c>
      <x:c r="K1632" s="554" t="e">
        <x:f>HYPERLINK("https://okcountyrecords.com/detail/roger+mills/1982-005352","OKCountyRecords: 1982-005352")</x:f>
      </x:c>
      <x:c r="L1632" s="552" t="n">
        <x:v>4</x:v>
      </x:c>
      <x:c r="M1632" s="552" t="inlineStr">
        <x:is>
          <x:t xml:space="preserve">Mineral</x:t>
        </x:is>
      </x:c>
      <x:c r="N1632" s="555" t="str">
        <x:f>IF(O1632&gt;0,0.22/O1632,"")</x:f>
      </x:c>
      <x:c r="O1632" s="556" t="n">
        <x:f>IF($L1632="","",IF(ISNUMBER(SEARCH("all",$L1632)),640,(ISNUMBER(SEARCH("1",$L1632)))*80+(ISNUMBER(SEARCH("2",$L1632)))*160+(ISNUMBER(SEARCH("3",$L1632)))*40+(ISNUMBER(SEARCH("4",$L1632)))*80+(ISNUMBER(SEARCH("5",$L1632)))*120+(ISNUMBER(SEARCH("6",$L1632)))*80+(ISNUMBER(SEARCH("7",$L1632)))*40+(ISNUMBER(SEARCH("8",$L1632)))*40))</x:f>
        <x:v>0</x:v>
      </x:c>
      <x:c r="P1632" s="654" t="str">
        <x:f>IF($M1632&lt;&gt;"Mineral","",IF(ISNUMBER($N1632),$N1632,IF(OR(ISNUMBER(SEARCH("surface",$J1632)),ISNUMBER(SEARCH("reserv",$J1632)),ISNUMBER(SEARCH("less and except",$J1632))),0,"")))</x:f>
      </x:c>
      <x:c r="Q1632" s="654" t="str">
        <x:f>IF($P1632="","",-$P1632)</x:f>
      </x:c>
      <x:c r="R1632" s="655" t="str">
        <x:f>IF($P1632="","",$O1632*$P1632)</x:f>
      </x:c>
      <x:c r="S1632" s="552" t="str">
        <x:f>IF($M1632="","",TRIM(IF($M1632="Mineral",IF(ISNUMBER($N1632),"Mineral; basis Conv Amt(dec). ",IF($P1632=0,"Mineral; surface-only/reserved-&gt;0 min. ","Mineral; VERIFY — NEED full instrument image for conveyed amount. ")),$M1632&amp;" (non-mineral; excluded from mineral NMA). ")&amp;IF(OR(ISNUMBER(SEARCH("public",$G1632)),ISNUMBER(SEARCH("public",$H1632))),"FLAG: The Public placeholder; VERIFY — NEED source confirmation. ","")&amp;IF(ISNUMBER(SEARCH("all",$L1632)),"All-section coverage. ","")&amp;IF($O1632=0,"Gross acres unresolved. ","")&amp;"Gross=tract-map basis."))</x:f>
        <x:v>Mineral; surface-only/reserved-&gt;0 min. Gross acres unresolved. Gross=tract-map basis.</x:v>
      </x:c>
      <x:c r="T1632" s="577" t="inlineStr">
        <x:is>
          <x:t xml:space="preserve">REVIEW</x:t>
        </x:is>
      </x:c>
      <x:c r="U1632" s="577" t="inlineStr">
        <x:is>
          <x:t xml:space="preserve">Conveys 0.22 NMA per notes; conv. dec = 0.22/gross. Verify denominator/tract from image.</x:t>
        </x:is>
      </x:c>
      <x:c r="V1632" s="565" t="n"/>
      <x:c r="W1632" s="565" t="n"/>
      <x:c r="X1632" s="565" t="n"/>
      <x:c r="Y1632" s="565" t="n"/>
      <x:c r="Z1632" s="565" t="n"/>
    </x:row>
    <x:row r="1633">
      <x:c r="A1633" s="552" t="inlineStr">
        <x:is>
          <x:t xml:space="preserve">1982-006217</x:t>
        </x:is>
      </x:c>
      <x:c r="B1633" s="552" t="n"/>
      <x:c r="C1633" s="552" t="inlineStr">
        <x:is>
          <x:t xml:space="preserve">Certificate</x:t>
        </x:is>
      </x:c>
      <x:c r="D1633" s="552" t="inlineStr">
        <x:is>
          <x:t xml:space="preserve">443/310</x:t>
        </x:is>
      </x:c>
      <x:c r="E1633" s="653" t="n">
        <x:v>30099</x:v>
      </x:c>
      <x:c r="F1633" s="653" t="n">
        <x:v>30099</x:v>
      </x:c>
      <x:c r="G1633" s="552" t="inlineStr">
        <x:is>
          <x:t xml:space="preserve">Baker Logsdon &amp; Phelps,
Harold Logsdon</x:t>
        </x:is>
      </x:c>
      <x:c r="H1633" s="552" t="inlineStr">
        <x:is>
          <x:t xml:space="preserve">The Public</x:t>
        </x:is>
      </x:c>
      <x:c r="I1633" s="552" t="inlineStr">
        <x:is>
          <x:t xml:space="preserve">31-12N-24W</x:t>
        </x:is>
      </x:c>
      <x:c r="J1633" s="552" t="inlineStr">
        <x:is>
          <x:t xml:space="preserve">See instrument</x:t>
        </x:is>
      </x:c>
      <x:c r="K1633" s="554" t="e">
        <x:f>HYPERLINK("https://okcountyrecords.com/detail/roger+mills/1982-006217","OKCountyRecords: 1982-006217")</x:f>
      </x:c>
      <x:c r="L1633" s="552" t="inlineStr">
        <x:is>
          <x:t xml:space="preserve">All (1-8)</x:t>
        </x:is>
      </x:c>
      <x:c r="M1633" s="552" t="inlineStr">
        <x:is>
          <x:t xml:space="preserve">Other</x:t>
        </x:is>
      </x:c>
      <x:c r="N1633" s="555" t="n"/>
      <x:c r="O1633" s="556" t="n">
        <x:f>IF($L1633="","",IF(ISNUMBER(SEARCH("all",$L1633)),640,(ISNUMBER(SEARCH("1",$L1633)))*80+(ISNUMBER(SEARCH("2",$L1633)))*160+(ISNUMBER(SEARCH("3",$L1633)))*40+(ISNUMBER(SEARCH("4",$L1633)))*80+(ISNUMBER(SEARCH("5",$L1633)))*120+(ISNUMBER(SEARCH("6",$L1633)))*80+(ISNUMBER(SEARCH("7",$L1633)))*40+(ISNUMBER(SEARCH("8",$L1633)))*40))</x:f>
        <x:v>640</x:v>
      </x:c>
      <x:c r="P1633" s="654" t="str">
        <x:f>IF($M1633&lt;&gt;"Mineral","",IF(ISNUMBER($N1633),$N1633,IF(OR(ISNUMBER(SEARCH("surface",$J1633)),ISNUMBER(SEARCH("reserv",$J1633)),ISNUMBER(SEARCH("less and except",$J1633))),0,"")))</x:f>
      </x:c>
      <x:c r="Q1633" s="654" t="str">
        <x:f>IF($P1633="","",-$P1633)</x:f>
      </x:c>
      <x:c r="R1633" s="655" t="str">
        <x:f>IF($P1633="","",$O1633*$P1633)</x:f>
      </x:c>
      <x:c r="S1633" s="552" t="inlineStr">
        <x:is>
          <x:t xml:space="preserve">Other (non-mineral; excluded from mineral NMA). All-section coverage. Gross=tract-map basis.</x:t>
        </x:is>
      </x:c>
      <x:c r="T1633" s="577" t="inlineStr">
        <x:is>
          <x:t xml:space="preserve">OK</x:t>
        </x:is>
      </x:c>
      <x:c r="U1633" s="578" t="inlineStr">
        <x:is>
          <x:t xml:space="preserve">Non-conveying — notice/affidavit/address change (The Public).</x:t>
        </x:is>
      </x:c>
      <x:c r="V1633" s="565" t="n"/>
      <x:c r="W1633" s="565" t="n"/>
      <x:c r="X1633" s="565" t="n"/>
      <x:c r="Y1633" s="565" t="n"/>
      <x:c r="Z1633" s="565" t="n"/>
    </x:row>
    <x:row r="1634">
      <x:c r="A1634" s="552" t="inlineStr">
        <x:is>
          <x:t xml:space="preserve">1982-006218</x:t>
        </x:is>
      </x:c>
      <x:c r="B1634" s="552" t="n"/>
      <x:c r="C1634" s="552" t="inlineStr">
        <x:is>
          <x:t xml:space="preserve">Certificate</x:t>
        </x:is>
      </x:c>
      <x:c r="D1634" s="552" t="inlineStr">
        <x:is>
          <x:t xml:space="preserve">443/311</x:t>
        </x:is>
      </x:c>
      <x:c r="E1634" s="653" t="n">
        <x:v>30099</x:v>
      </x:c>
      <x:c r="F1634" s="653" t="n">
        <x:v>30099</x:v>
      </x:c>
      <x:c r="G1634" s="552" t="inlineStr">
        <x:is>
          <x:t xml:space="preserve">Baker Logsdon &amp; Phelps,
Harold Logsdon</x:t>
        </x:is>
      </x:c>
      <x:c r="H1634" s="552" t="inlineStr">
        <x:is>
          <x:t xml:space="preserve">The Public</x:t>
        </x:is>
      </x:c>
      <x:c r="I1634" s="552" t="inlineStr">
        <x:is>
          <x:t xml:space="preserve">31-12N-24W</x:t>
        </x:is>
      </x:c>
      <x:c r="J1634" s="552" t="inlineStr">
        <x:is>
          <x:t xml:space="preserve">See instrument</x:t>
        </x:is>
      </x:c>
      <x:c r="K1634" s="554" t="e">
        <x:f>HYPERLINK("https://okcountyrecords.com/detail/roger+mills/1982-006218","OKCountyRecords: 1982-006218")</x:f>
      </x:c>
      <x:c r="L1634" s="552" t="inlineStr">
        <x:is>
          <x:t xml:space="preserve">All (1-8)</x:t>
        </x:is>
      </x:c>
      <x:c r="M1634" s="552" t="inlineStr">
        <x:is>
          <x:t xml:space="preserve">Other</x:t>
        </x:is>
      </x:c>
      <x:c r="N1634" s="555" t="n"/>
      <x:c r="O1634" s="556" t="n">
        <x:f>IF($L1634="","",IF(ISNUMBER(SEARCH("all",$L1634)),640,(ISNUMBER(SEARCH("1",$L1634)))*80+(ISNUMBER(SEARCH("2",$L1634)))*160+(ISNUMBER(SEARCH("3",$L1634)))*40+(ISNUMBER(SEARCH("4",$L1634)))*80+(ISNUMBER(SEARCH("5",$L1634)))*120+(ISNUMBER(SEARCH("6",$L1634)))*80+(ISNUMBER(SEARCH("7",$L1634)))*40+(ISNUMBER(SEARCH("8",$L1634)))*40))</x:f>
        <x:v>640</x:v>
      </x:c>
      <x:c r="P1634" s="654" t="str">
        <x:f>IF($M1634&lt;&gt;"Mineral","",IF(ISNUMBER($N1634),$N1634,IF(OR(ISNUMBER(SEARCH("surface",$J1634)),ISNUMBER(SEARCH("reserv",$J1634)),ISNUMBER(SEARCH("less and except",$J1634))),0,"")))</x:f>
      </x:c>
      <x:c r="Q1634" s="654" t="str">
        <x:f>IF($P1634="","",-$P1634)</x:f>
      </x:c>
      <x:c r="R1634" s="655" t="str">
        <x:f>IF($P1634="","",$O1634*$P1634)</x:f>
      </x:c>
      <x:c r="S1634" s="552" t="inlineStr">
        <x:is>
          <x:t xml:space="preserve">Other (non-mineral; excluded from mineral NMA). All-section coverage. Gross=tract-map basis.</x:t>
        </x:is>
      </x:c>
      <x:c r="T1634" s="577" t="inlineStr">
        <x:is>
          <x:t xml:space="preserve">OK</x:t>
        </x:is>
      </x:c>
      <x:c r="U1634" s="578" t="inlineStr">
        <x:is>
          <x:t xml:space="preserve">Non-conveying — notice/affidavit/address change (The Public).</x:t>
        </x:is>
      </x:c>
      <x:c r="V1634" s="565" t="n"/>
      <x:c r="W1634" s="565" t="n"/>
      <x:c r="X1634" s="565" t="n"/>
      <x:c r="Y1634" s="565" t="n"/>
      <x:c r="Z1634" s="565" t="n"/>
    </x:row>
    <x:row r="1635">
      <x:c r="A1635" s="552" t="inlineStr">
        <x:is>
          <x:t xml:space="preserve">1982-007158</x:t>
        </x:is>
      </x:c>
      <x:c r="B1635" s="552" t="n"/>
      <x:c r="C1635" s="552" t="inlineStr">
        <x:is>
          <x:t xml:space="preserve">Mineral Deed</x:t>
        </x:is>
      </x:c>
      <x:c r="D1635" s="552" t="inlineStr">
        <x:is>
          <x:t xml:space="preserve">451/176</x:t>
        </x:is>
      </x:c>
      <x:c r="E1635" s="653" t="n">
        <x:v>30124</x:v>
      </x:c>
      <x:c r="F1635" s="653" t="n">
        <x:v>30124</x:v>
      </x:c>
      <x:c r="G1635" s="552" t="inlineStr">
        <x:is>
          <x:t xml:space="preserve">Margie Ann Kirk</x:t>
        </x:is>
      </x:c>
      <x:c r="H1635" s="552" t="inlineStr">
        <x:is>
          <x:t xml:space="preserve">Eddie Tom Lakey</x:t>
        </x:is>
      </x:c>
      <x:c r="I1635" s="552" t="inlineStr">
        <x:is>
          <x:t xml:space="preserve">A tract of land in 31-12N-24W, described as follows: Beginning at the NWcorner of the NW/4 of 31-12N-24W thence East on Section Line 18.20 Chains (or 72 8/10ths rods) thence South 50 chains (or 200 rods) thence West 18.20 chains (or 72 8/1oths rods) toR ange line betwenn Ranges 24 and 25, thence North on Range line 50 chains (or 200 rods) to point of beginning.</x:t>
        </x:is>
      </x:c>
      <x:c r="J1635" s="552" t="inlineStr">
        <x:is>
          <x:t xml:space="preserve">2 acres</x:t>
        </x:is>
      </x:c>
      <x:c r="K1635" s="554" t="e">
        <x:f>HYPERLINK("https://okcountyrecords.com/detail/roger+mills/1982-007158","OKCountyRecords: 1982-007158")</x:f>
      </x:c>
      <x:c r="L1635" s="552" t="inlineStr">
        <x:is>
          <x:t xml:space="preserve">4, 5</x:t>
        </x:is>
      </x:c>
      <x:c r="M1635" s="552" t="inlineStr">
        <x:is>
          <x:t xml:space="preserve">Mineral</x:t>
        </x:is>
      </x:c>
      <x:c r="N1635" s="555" t="str">
        <x:f>IF(O1635&gt;0,2/O1635,"")</x:f>
      </x:c>
      <x:c r="O1635" s="556" t="n">
        <x:f>IF($L1635="","",IF(ISNUMBER(SEARCH("all",$L1635)),640,(ISNUMBER(SEARCH("1",$L1635)))*80+(ISNUMBER(SEARCH("2",$L1635)))*160+(ISNUMBER(SEARCH("3",$L1635)))*40+(ISNUMBER(SEARCH("4",$L1635)))*80+(ISNUMBER(SEARCH("5",$L1635)))*120+(ISNUMBER(SEARCH("6",$L1635)))*80+(ISNUMBER(SEARCH("7",$L1635)))*40+(ISNUMBER(SEARCH("8",$L1635)))*40))</x:f>
        <x:v>0</x:v>
      </x:c>
      <x:c r="P1635" s="654" t="str">
        <x:f>IF($M1635&lt;&gt;"Mineral","",IF(ISNUMBER($N1635),$N1635,IF(OR(ISNUMBER(SEARCH("surface",$J1635)),ISNUMBER(SEARCH("reserv",$J1635)),ISNUMBER(SEARCH("less and except",$J1635))),0,"")))</x:f>
      </x:c>
      <x:c r="Q1635" s="654" t="str">
        <x:f>IF($P1635="","",-$P1635)</x:f>
      </x:c>
      <x:c r="R1635" s="655" t="str">
        <x:f>IF($P1635="","",$O1635*$P1635)</x:f>
      </x:c>
      <x:c r="S1635" s="552" t="str">
        <x:f>IF($M1635="","",TRIM(IF($M1635="Mineral",IF(ISNUMBER($N1635),"Mineral; basis Conv Amt(dec). ",IF($P1635=0,"Mineral; surface-only/reserved-&gt;0 min. ","Mineral; VERIFY — NEED full instrument image for conveyed amount. ")),$M1635&amp;" (non-mineral; excluded from mineral NMA). ")&amp;IF(OR(ISNUMBER(SEARCH("public",$G1635)),ISNUMBER(SEARCH("public",$H1635))),"FLAG: The Public placeholder; VERIFY — NEED source confirmation. ","")&amp;IF(ISNUMBER(SEARCH("all",$L1635)),"All-section coverage. ","")&amp;IF($O1635=0,"Gross acres unresolved. ","")&amp;"Gross=tract-map basis."))</x:f>
        <x:v>Mineral; surface-only/reserved-&gt;0 min. Gross acres unresolved. Gross=tract-map basis.</x:v>
      </x:c>
      <x:c r="T1635" s="577" t="inlineStr">
        <x:is>
          <x:t xml:space="preserve">REVIEW</x:t>
        </x:is>
      </x:c>
      <x:c r="U1635" s="577" t="inlineStr">
        <x:is>
          <x:t xml:space="preserve">Conveys 2 acres per notes; conv. dec = 2/gross. Verify denominator/tract from image.</x:t>
        </x:is>
      </x:c>
      <x:c r="V1635" s="565" t="n"/>
      <x:c r="W1635" s="565" t="n"/>
      <x:c r="X1635" s="565" t="n"/>
      <x:c r="Y1635" s="565" t="n"/>
      <x:c r="Z1635" s="565" t="n"/>
    </x:row>
    <x:row r="1636">
      <x:c r="A1636" s="552" t="inlineStr">
        <x:is>
          <x:t xml:space="preserve">1982-011144</x:t>
        </x:is>
      </x:c>
      <x:c r="B1636" s="552" t="n"/>
      <x:c r="C1636" s="552" t="inlineStr">
        <x:is>
          <x:t xml:space="preserve">Mineral Deed</x:t>
        </x:is>
      </x:c>
      <x:c r="D1636" s="552" t="inlineStr">
        <x:is>
          <x:t xml:space="preserve">480/72</x:t>
        </x:is>
      </x:c>
      <x:c r="E1636" s="653" t="n">
        <x:v>30250</x:v>
      </x:c>
      <x:c r="F1636" s="653" t="n">
        <x:v>30250</x:v>
      </x:c>
      <x:c r="G1636" s="552" t="inlineStr">
        <x:is>
          <x:t xml:space="preserve">Barbara J. Bain,
Billy W. Bain</x:t>
        </x:is>
      </x:c>
      <x:c r="H1636" s="552" t="inlineStr">
        <x:is>
          <x:t xml:space="preserve">Lyle T. Ibeling</x:t>
        </x:is>
      </x:c>
      <x:c r="I1636" s="552" t="inlineStr">
        <x:is>
          <x:t xml:space="preserve">S/2 SE/4, NW/4 SE/4, SW/4 NE/4 of 31-12N-24W, aol</x:t>
        </x:is>
      </x:c>
      <x:c r="J1636" s="552" t="inlineStr">
        <x:is>
          <x:t xml:space="preserve">1/791.47 interest in 2 sections</x:t>
        </x:is>
      </x:c>
      <x:c r="K1636" s="554" t="e">
        <x:f>HYPERLINK("https://okcountyrecords.com/detail/roger+mills/1982-011144","OKCountyRecords: 1982-011144")</x:f>
      </x:c>
      <x:c r="L1636" s="552" t="n">
        <x:v>2</x:v>
      </x:c>
      <x:c r="M1636" s="552" t="inlineStr">
        <x:is>
          <x:t xml:space="preserve">Mineral</x:t>
        </x:is>
      </x:c>
      <x:c r="N1636" s="555" t="n">
        <x:f>1/791.47</x:f>
        <x:v>0.0012634717677233501</x:v>
      </x:c>
      <x:c r="O1636" s="556" t="n">
        <x:f>IF($L1636="","",IF(ISNUMBER(SEARCH("all",$L1636)),640,(ISNUMBER(SEARCH("1",$L1636)))*80+(ISNUMBER(SEARCH("2",$L1636)))*160+(ISNUMBER(SEARCH("3",$L1636)))*40+(ISNUMBER(SEARCH("4",$L1636)))*80+(ISNUMBER(SEARCH("5",$L1636)))*120+(ISNUMBER(SEARCH("6",$L1636)))*80+(ISNUMBER(SEARCH("7",$L1636)))*40+(ISNUMBER(SEARCH("8",$L1636)))*40))</x:f>
        <x:v>0</x:v>
      </x:c>
      <x:c r="P1636" s="654" t="n">
        <x:f>IF($M1636&lt;&gt;"Mineral","",IF(ISNUMBER($N1636),$N1636,IF(OR(ISNUMBER(SEARCH("surface",$J1636)),ISNUMBER(SEARCH("reserv",$J1636)),ISNUMBER(SEARCH("less and except",$J1636))),0,"")))</x:f>
        <x:v>0.0012634717677233501</x:v>
      </x:c>
      <x:c r="Q1636" s="654" t="n">
        <x:f>IF($P1636="","",-$P1636)</x:f>
        <x:v>-0.0012634717677233501</x:v>
      </x:c>
      <x:c r="R1636" s="655" t="n">
        <x:f>IF($P1636="","",$O1636*$P1636)</x:f>
        <x:v>0</x:v>
      </x:c>
      <x:c r="S1636" s="552" t="str">
        <x:f>IF($M1636="","",TRIM(IF($M1636="Mineral",IF(ISNUMBER($N1636),"Mineral; basis Conv Amt(dec). ",IF($P1636=0,"Mineral; surface-only/reserved-&gt;0 min. ","Mineral; NO AMOUNT-verify instrument. ")),$M1636&amp;" (non-mineral; excluded from mineral NMA). ")&amp;IF(OR(ISNUMBER(SEARCH("public",$G1636)),ISNUMBER(SEARCH("public",$H1636))),"FLAG: The Public placeholder-verify. ","")&amp;IF(ISNUMBER(SEARCH("all",$L1636)),"All-section coverage. ","")&amp;IF($O1636=0,"Gross acres unresolved. ","")&amp;"Gross=tract-map basis."))</x:f>
        <x:v>Mineral; basis Conv Amt(dec). Gross acres unresolved. Gross=tract-map basis.</x:v>
      </x:c>
      <x:c r="T1636" s="577" t="n"/>
      <x:c r="U1636" s="577" t="n"/>
      <x:c r="V1636" s="565" t="n"/>
      <x:c r="W1636" s="565" t="n"/>
      <x:c r="X1636" s="565" t="n"/>
      <x:c r="Y1636" s="565" t="n"/>
      <x:c r="Z1636" s="565" t="n"/>
    </x:row>
    <x:row r="1637">
      <x:c r="A1637" s="552" t="inlineStr">
        <x:is>
          <x:t xml:space="preserve">1982-011142</x:t>
        </x:is>
      </x:c>
      <x:c r="B1637" s="552" t="n"/>
      <x:c r="C1637" s="552" t="inlineStr">
        <x:is>
          <x:t xml:space="preserve">Mineral Deed</x:t>
        </x:is>
      </x:c>
      <x:c r="D1637" s="552" t="inlineStr">
        <x:is>
          <x:t xml:space="preserve">480/70</x:t>
        </x:is>
      </x:c>
      <x:c r="E1637" s="653" t="n">
        <x:v>30250</x:v>
      </x:c>
      <x:c r="F1637" s="653" t="n">
        <x:v>30250</x:v>
      </x:c>
      <x:c r="G1637" s="552" t="inlineStr">
        <x:is>
          <x:t xml:space="preserve">Billy W. Bain and Barbara J. Bain, HW</x:t>
        </x:is>
      </x:c>
      <x:c r="H1637" s="552" t="inlineStr">
        <x:is>
          <x:t xml:space="preserve">Myron V. Slobin</x:t>
        </x:is>
      </x:c>
      <x:c r="I1637" s="552" t="inlineStr">
        <x:is>
          <x:t xml:space="preserve">S/2 SE/4, NW/4 SE/4, SW/4 NE/4 of 31-12N-24W, aol</x:t>
        </x:is>
      </x:c>
      <x:c r="J1637" s="552" t="inlineStr">
        <x:is>
          <x:t xml:space="preserve">1/791.47 interest in 2 sections</x:t>
        </x:is>
      </x:c>
      <x:c r="K1637" s="554" t="e">
        <x:f>HYPERLINK("https://okcountyrecords.com/detail/roger+mills/1982-011142","OKCountyRecords: 1982-011142")</x:f>
      </x:c>
      <x:c r="L1637" s="552" t="n">
        <x:v>2</x:v>
      </x:c>
      <x:c r="M1637" s="552" t="inlineStr">
        <x:is>
          <x:t xml:space="preserve">Mineral</x:t>
        </x:is>
      </x:c>
      <x:c r="N1637" s="555" t="n">
        <x:f>1/791.47</x:f>
        <x:v>0.0012634717677233501</x:v>
      </x:c>
      <x:c r="O1637" s="556" t="n">
        <x:f>IF($L1637="","",IF(ISNUMBER(SEARCH("all",$L1637)),640,(ISNUMBER(SEARCH("1",$L1637)))*80+(ISNUMBER(SEARCH("2",$L1637)))*160+(ISNUMBER(SEARCH("3",$L1637)))*40+(ISNUMBER(SEARCH("4",$L1637)))*80+(ISNUMBER(SEARCH("5",$L1637)))*120+(ISNUMBER(SEARCH("6",$L1637)))*80+(ISNUMBER(SEARCH("7",$L1637)))*40+(ISNUMBER(SEARCH("8",$L1637)))*40))</x:f>
        <x:v>0</x:v>
      </x:c>
      <x:c r="P1637" s="654" t="n">
        <x:f>IF($M1637&lt;&gt;"Mineral","",IF(ISNUMBER($N1637),$N1637,IF(OR(ISNUMBER(SEARCH("surface",$J1637)),ISNUMBER(SEARCH("reserv",$J1637)),ISNUMBER(SEARCH("less and except",$J1637))),0,"")))</x:f>
        <x:v>0.0012634717677233501</x:v>
      </x:c>
      <x:c r="Q1637" s="654" t="n">
        <x:f>IF($P1637="","",-$P1637)</x:f>
        <x:v>-0.0012634717677233501</x:v>
      </x:c>
      <x:c r="R1637" s="655" t="n">
        <x:f>IF($P1637="","",$O1637*$P1637)</x:f>
        <x:v>0</x:v>
      </x:c>
      <x:c r="S1637" s="552" t="str">
        <x:f>IF($M1637="","",TRIM(IF($M1637="Mineral",IF(ISNUMBER($N1637),"Mineral; basis Conv Amt(dec). ",IF($P1637=0,"Mineral; surface-only/reserved-&gt;0 min. ","Mineral; NO AMOUNT-verify instrument. ")),$M1637&amp;" (non-mineral; excluded from mineral NMA). ")&amp;IF(OR(ISNUMBER(SEARCH("public",$G1637)),ISNUMBER(SEARCH("public",$H1637))),"FLAG: The Public placeholder-verify. ","")&amp;IF(ISNUMBER(SEARCH("all",$L1637)),"All-section coverage. ","")&amp;IF($O1637=0,"Gross acres unresolved. ","")&amp;"Gross=tract-map basis."))</x:f>
        <x:v>Mineral; basis Conv Amt(dec). Gross acres unresolved. Gross=tract-map basis.</x:v>
      </x:c>
      <x:c r="T1637" s="577" t="n"/>
      <x:c r="U1637" s="577" t="n"/>
      <x:c r="V1637" s="565" t="n"/>
      <x:c r="W1637" s="565" t="n"/>
      <x:c r="X1637" s="565" t="n"/>
      <x:c r="Y1637" s="565" t="n"/>
      <x:c r="Z1637" s="565" t="n"/>
    </x:row>
    <x:row r="1638">
      <x:c r="A1638" s="552" t="inlineStr">
        <x:is>
          <x:t xml:space="preserve">1982-011143</x:t>
        </x:is>
      </x:c>
      <x:c r="B1638" s="552" t="n"/>
      <x:c r="C1638" s="552" t="inlineStr">
        <x:is>
          <x:t xml:space="preserve">Mineral Deed</x:t>
        </x:is>
      </x:c>
      <x:c r="D1638" s="552" t="inlineStr">
        <x:is>
          <x:t xml:space="preserve">480/71</x:t>
        </x:is>
      </x:c>
      <x:c r="E1638" s="653" t="n">
        <x:v>30250</x:v>
      </x:c>
      <x:c r="F1638" s="653" t="n">
        <x:v>30250</x:v>
      </x:c>
      <x:c r="G1638" s="552" t="inlineStr">
        <x:is>
          <x:t xml:space="preserve">Billy W. Bain and Barbara J. Bain, HW</x:t>
        </x:is>
      </x:c>
      <x:c r="H1638" s="552" t="inlineStr">
        <x:is>
          <x:t xml:space="preserve">Gregory J. Winneke</x:t>
        </x:is>
      </x:c>
      <x:c r="I1638" s="552" t="inlineStr">
        <x:is>
          <x:t xml:space="preserve">S/2 SE/4, NW/4 SE/4, SW/4 NE/4 of 31-12N-24W, aol</x:t>
        </x:is>
      </x:c>
      <x:c r="J1638" s="552" t="inlineStr">
        <x:is>
          <x:t xml:space="preserve">1/791.47 interest in 2 sections</x:t>
        </x:is>
      </x:c>
      <x:c r="K1638" s="554" t="e">
        <x:f>HYPERLINK("https://okcountyrecords.com/detail/roger+mills/1982-011143","OKCountyRecords: 1982-011143")</x:f>
      </x:c>
      <x:c r="L1638" s="552" t="n">
        <x:v>2</x:v>
      </x:c>
      <x:c r="M1638" s="552" t="inlineStr">
        <x:is>
          <x:t xml:space="preserve">Mineral</x:t>
        </x:is>
      </x:c>
      <x:c r="N1638" s="555" t="n">
        <x:f>1/791.47</x:f>
        <x:v>0.0012634717677233501</x:v>
      </x:c>
      <x:c r="O1638" s="556" t="n">
        <x:f>IF($L1638="","",IF(ISNUMBER(SEARCH("all",$L1638)),640,(ISNUMBER(SEARCH("1",$L1638)))*80+(ISNUMBER(SEARCH("2",$L1638)))*160+(ISNUMBER(SEARCH("3",$L1638)))*40+(ISNUMBER(SEARCH("4",$L1638)))*80+(ISNUMBER(SEARCH("5",$L1638)))*120+(ISNUMBER(SEARCH("6",$L1638)))*80+(ISNUMBER(SEARCH("7",$L1638)))*40+(ISNUMBER(SEARCH("8",$L1638)))*40))</x:f>
        <x:v>0</x:v>
      </x:c>
      <x:c r="P1638" s="654" t="n">
        <x:f>IF($M1638&lt;&gt;"Mineral","",IF(ISNUMBER($N1638),$N1638,IF(OR(ISNUMBER(SEARCH("surface",$J1638)),ISNUMBER(SEARCH("reserv",$J1638)),ISNUMBER(SEARCH("less and except",$J1638))),0,"")))</x:f>
        <x:v>0.0012634717677233501</x:v>
      </x:c>
      <x:c r="Q1638" s="654" t="n">
        <x:f>IF($P1638="","",-$P1638)</x:f>
        <x:v>-0.0012634717677233501</x:v>
      </x:c>
      <x:c r="R1638" s="655" t="n">
        <x:f>IF($P1638="","",$O1638*$P1638)</x:f>
        <x:v>0</x:v>
      </x:c>
      <x:c r="S1638" s="552" t="str">
        <x:f>IF($M1638="","",TRIM(IF($M1638="Mineral",IF(ISNUMBER($N1638),"Mineral; basis Conv Amt(dec). ",IF($P1638=0,"Mineral; surface-only/reserved-&gt;0 min. ","Mineral; NO AMOUNT-verify instrument. ")),$M1638&amp;" (non-mineral; excluded from mineral NMA). ")&amp;IF(OR(ISNUMBER(SEARCH("public",$G1638)),ISNUMBER(SEARCH("public",$H1638))),"FLAG: The Public placeholder-verify. ","")&amp;IF(ISNUMBER(SEARCH("all",$L1638)),"All-section coverage. ","")&amp;IF($O1638=0,"Gross acres unresolved. ","")&amp;"Gross=tract-map basis."))</x:f>
        <x:v>Mineral; basis Conv Amt(dec). Gross acres unresolved. Gross=tract-map basis.</x:v>
      </x:c>
      <x:c r="T1638" s="577" t="n"/>
      <x:c r="U1638" s="577" t="n"/>
      <x:c r="V1638" s="565" t="n"/>
      <x:c r="W1638" s="565" t="n"/>
      <x:c r="X1638" s="565" t="n"/>
      <x:c r="Y1638" s="565" t="n"/>
      <x:c r="Z1638" s="565" t="n"/>
    </x:row>
    <x:row r="1639">
      <x:c r="A1639" s="552" t="inlineStr">
        <x:is>
          <x:t xml:space="preserve">1983-001670</x:t>
        </x:is>
      </x:c>
      <x:c r="B1639" s="552" t="n"/>
      <x:c r="C1639" s="552" t="inlineStr">
        <x:is>
          <x:t xml:space="preserve">Mineral Deed</x:t>
        </x:is>
      </x:c>
      <x:c r="D1639" s="552" t="inlineStr">
        <x:is>
          <x:t xml:space="preserve">512/66</x:t>
        </x:is>
      </x:c>
      <x:c r="E1639" s="653" t="n">
        <x:v>30361</x:v>
      </x:c>
      <x:c r="F1639" s="653" t="n">
        <x:v>30369</x:v>
      </x:c>
      <x:c r="G1639" s="552" t="inlineStr">
        <x:is>
          <x:t xml:space="preserve">illy W. Bain and Barbara J. Bain, HW</x:t>
        </x:is>
      </x:c>
      <x:c r="H1639" s="552" t="inlineStr">
        <x:is>
          <x:t xml:space="preserve">o. K. O1l Venture, a joint venture</x:t>
        </x:is>
      </x:c>
      <x:c r="I1639" s="552" t="inlineStr">
        <x:is>
          <x:t xml:space="preserve">S/2 SE/4, NW/4 SE/4, SW/4 NE/4 of 31-12N-24W, aol</x:t>
        </x:is>
      </x:c>
      <x:c r="J1639" s="552" t="inlineStr">
        <x:is>
          <x:t xml:space="preserve">3/791.47 interest</x:t>
        </x:is>
      </x:c>
      <x:c r="K1639" s="562" t="inlineStr">
        <x:is>
          <x:t xml:space="preserve">OKCountyRecords: 1983-001670</x:t>
        </x:is>
      </x:c>
      <x:c r="L1639" s="552" t="n">
        <x:v>2</x:v>
      </x:c>
      <x:c r="M1639" s="552" t="inlineStr">
        <x:is>
          <x:t xml:space="preserve">Mineral</x:t>
        </x:is>
      </x:c>
      <x:c r="N1639" s="555" t="n"/>
      <x:c r="O1639" s="552" t="n">
        <x:f>IF($L1639="","",IF(ISNUMBER(SEARCH("all",$L1639)),640,(ISNUMBER(SEARCH("1",$L1639)))*80+(ISNUMBER(SEARCH("2",$L1639)))*160+(ISNUMBER(SEARCH("3",$L1639)))*40+(ISNUMBER(SEARCH("4",$L1639)))*80+(ISNUMBER(SEARCH("5",$L1639)))*120+(ISNUMBER(SEARCH("6",$L1639)))*80+(ISNUMBER(SEARCH("7",$L1639)))*40+(ISNUMBER(SEARCH("8",$L1639)))*40))</x:f>
        <x:v>0</x:v>
      </x:c>
      <x:c r="P1639" s="654" t="str">
        <x:f>IF($M1639&lt;&gt;"Mineral","",IF(ISNUMBER($N1639),$N1639,IF(OR(ISNUMBER(SEARCH("surface",$J1639)),ISNUMBER(SEARCH("reserv",$J1639)),ISNUMBER(SEARCH("less and except",$J1639))),0,"")))</x:f>
      </x:c>
      <x:c r="Q1639" s="654" t="str">
        <x:f>IF($P1639="","",-$P1639)</x:f>
      </x:c>
      <x:c r="R1639" s="655" t="str">
        <x:f>IF($P1639="","",$O1639*$P1639)</x:f>
      </x:c>
      <x:c r="S1639" s="552" t="str">
        <x:f>IF($M1639="","",TRIM(IF($M1639="Mineral",IF(ISNUMBER($N1639),"Mineral; basis Conv Amt(dec). ",IF($P1639=0,"Mineral; surface-only/reserved-&gt;0 min. ","Mineral; NO AMOUNT-verify instrument. ")),$M1639&amp;" (non-mineral; excluded from mineral NMA). ")&amp;IF(OR(ISNUMBER(SEARCH("public",$G1639)),ISNUMBER(SEARCH("public",$H1639))),"FLAG: The Public placeholder-verify. ","")&amp;IF(ISNUMBER(SEARCH("all",$L1639)),"All-section coverage. ","")&amp;IF($O1639=0,"Gross acres unresolved. ","")&amp;"Gross=tract-map basis."))</x:f>
        <x:v>Mineral; surface-only/reserved-&gt;0 min. Gross acres unresolved. Gross=tract-map basis.</x:v>
      </x:c>
      <x:c r="T1639" s="577" t="inlineStr">
        <x:is>
          <x:t xml:space="preserve">VERIFY</x:t>
        </x:is>
      </x:c>
      <x:c r="U1639" s="578" t="inlineStr">
        <x:is>
          <x:t xml:space="preserve">Pull recorded image (Bk/Pg 512/66); confirm grantor, grantee, legal, dates, and UND 3/791.47 conveyed interest.</x:t>
        </x:is>
      </x:c>
      <x:c r="V1639" s="565" t="n"/>
      <x:c r="W1639" s="565" t="n"/>
      <x:c r="X1639" s="565" t="n"/>
      <x:c r="Y1639" s="565" t="n"/>
      <x:c r="Z1639" s="565" t="n"/>
    </x:row>
    <x:row r="1640">
      <x:c r="A1640" s="552" t="inlineStr">
        <x:is>
          <x:t xml:space="preserve">1983-001669</x:t>
        </x:is>
      </x:c>
      <x:c r="B1640" s="552" t="n"/>
      <x:c r="C1640" s="552" t="inlineStr">
        <x:is>
          <x:t xml:space="preserve">Mineral Deed</x:t>
        </x:is>
      </x:c>
      <x:c r="D1640" s="552" t="inlineStr">
        <x:is>
          <x:t xml:space="preserve">512/65</x:t>
        </x:is>
      </x:c>
      <x:c r="E1640" s="653" t="n">
        <x:v>30369</x:v>
      </x:c>
      <x:c r="F1640" s="653" t="n">
        <x:v>30369</x:v>
      </x:c>
      <x:c r="G1640" s="552" t="inlineStr">
        <x:is>
          <x:t xml:space="preserve">Billy Wayne Bain, Trustee for Hazel A. Hamilton under Trust Agreement dated January 29, 1983</x:t>
        </x:is>
      </x:c>
      <x:c r="H1640" s="552" t="inlineStr">
        <x:is>
          <x:t xml:space="preserve">O. K. Oil Venture</x:t>
        </x:is>
      </x:c>
      <x:c r="I1640" s="552" t="inlineStr">
        <x:is>
          <x:t xml:space="preserve">S/2 SE/4, NW/4 SE/4, SW/4 NE/4 of 31-12N-24W, aol</x:t>
        </x:is>
      </x:c>
      <x:c r="J1640" s="552" t="inlineStr">
        <x:is>
          <x:t xml:space="preserve">3/791.47 interest in 2 sections</x:t>
        </x:is>
      </x:c>
      <x:c r="K1640" s="554" t="e">
        <x:f>HYPERLINK("https://okcountyrecords.com/detail/roger+mills/1983-001669","OKCountyRecords: 1983-001669")</x:f>
      </x:c>
      <x:c r="L1640" s="552" t="n">
        <x:v>2</x:v>
      </x:c>
      <x:c r="M1640" s="552" t="inlineStr">
        <x:is>
          <x:t xml:space="preserve">Mineral</x:t>
        </x:is>
      </x:c>
      <x:c r="N1640" s="555" t="n">
        <x:f>3/791.47</x:f>
        <x:v>0.0037904153031700504</x:v>
      </x:c>
      <x:c r="O1640" s="556" t="n">
        <x:f>IF($L1640="","",IF(ISNUMBER(SEARCH("all",$L1640)),640,(ISNUMBER(SEARCH("1",$L1640)))*80+(ISNUMBER(SEARCH("2",$L1640)))*160+(ISNUMBER(SEARCH("3",$L1640)))*40+(ISNUMBER(SEARCH("4",$L1640)))*80+(ISNUMBER(SEARCH("5",$L1640)))*120+(ISNUMBER(SEARCH("6",$L1640)))*80+(ISNUMBER(SEARCH("7",$L1640)))*40+(ISNUMBER(SEARCH("8",$L1640)))*40))</x:f>
        <x:v>0</x:v>
      </x:c>
      <x:c r="P1640" s="654" t="n">
        <x:f>IF($M1640&lt;&gt;"Mineral","",IF(ISNUMBER($N1640),$N1640,IF(OR(ISNUMBER(SEARCH("surface",$J1640)),ISNUMBER(SEARCH("reserv",$J1640)),ISNUMBER(SEARCH("less and except",$J1640))),0,"")))</x:f>
        <x:v>0.0037904153031700504</x:v>
      </x:c>
      <x:c r="Q1640" s="654" t="n">
        <x:f>IF($P1640="","",-$P1640)</x:f>
        <x:v>-0.0037904153031700504</x:v>
      </x:c>
      <x:c r="R1640" s="655" t="n">
        <x:f>IF($P1640="","",$O1640*$P1640)</x:f>
        <x:v>0</x:v>
      </x:c>
      <x:c r="S1640" s="552" t="str">
        <x:f>IF($M1640="","",TRIM(IF($M1640="Mineral",IF(ISNUMBER($N1640),"Mineral; basis Conv Amt(dec). ",IF($P1640=0,"Mineral; surface-only/reserved-&gt;0 min. ","Mineral; NO AMOUNT-verify instrument. ")),$M1640&amp;" (non-mineral; excluded from mineral NMA). ")&amp;IF(OR(ISNUMBER(SEARCH("public",$G1640)),ISNUMBER(SEARCH("public",$H1640))),"FLAG: The Public placeholder-verify. ","")&amp;IF(ISNUMBER(SEARCH("all",$L1640)),"All-section coverage. ","")&amp;IF($O1640=0,"Gross acres unresolved. ","")&amp;"Gross=tract-map basis."))</x:f>
        <x:v>Mineral; basis Conv Amt(dec). Gross acres unresolved. Gross=tract-map basis.</x:v>
      </x:c>
      <x:c r="T1640" s="577" t="n"/>
      <x:c r="U1640" s="577" t="n"/>
      <x:c r="V1640" s="565" t="n"/>
      <x:c r="W1640" s="565" t="n"/>
      <x:c r="X1640" s="565" t="n"/>
      <x:c r="Y1640" s="565" t="n"/>
      <x:c r="Z1640" s="565" t="n"/>
    </x:row>
    <x:row r="1641">
      <x:c r="A1641" s="552" t="inlineStr">
        <x:is>
          <x:t xml:space="preserve">1983-001668</x:t>
        </x:is>
      </x:c>
      <x:c r="B1641" s="552" t="n"/>
      <x:c r="C1641" s="552" t="inlineStr">
        <x:is>
          <x:t xml:space="preserve">Trust Agreement</x:t>
        </x:is>
      </x:c>
      <x:c r="D1641" s="552" t="inlineStr">
        <x:is>
          <x:t xml:space="preserve">512/61</x:t>
        </x:is>
      </x:c>
      <x:c r="E1641" s="653" t="n">
        <x:v>30369</x:v>
      </x:c>
      <x:c r="F1641" s="653" t="n">
        <x:v>30369</x:v>
      </x:c>
      <x:c r="G1641" s="552" t="inlineStr">
        <x:is>
          <x:t xml:space="preserve">Hazel A. Hamilton</x:t>
        </x:is>
      </x:c>
      <x:c r="H1641" s="552" t="inlineStr">
        <x:is>
          <x:t xml:space="preserve">Billy Wayne Bain, Trustee</x:t>
        </x:is>
      </x:c>
      <x:c r="I1641" s="552" t="inlineStr">
        <x:is>
          <x:t xml:space="preserve">31-12N-24W, aol</x:t>
        </x:is>
      </x:c>
      <x:c r="J1641" s="552" t="inlineStr">
        <x:is>
          <x:t xml:space="preserve">Trust Agreement</x:t>
        </x:is>
      </x:c>
      <x:c r="K1641" s="554" t="e">
        <x:f>HYPERLINK("https://okcountyrecords.com/detail/roger+mills/1983-001668","OKCountyRecords: 1983-001668")</x:f>
      </x:c>
      <x:c r="L1641" s="552" t="inlineStr">
        <x:is>
          <x:t xml:space="preserve">All (1-8)</x:t>
        </x:is>
      </x:c>
      <x:c r="M1641" s="552" t="inlineStr">
        <x:is>
          <x:t xml:space="preserve">Other</x:t>
        </x:is>
      </x:c>
      <x:c r="N1641" s="555" t="n"/>
      <x:c r="O1641" s="556" t="n">
        <x:f>IF($L1641="","",IF(ISNUMBER(SEARCH("all",$L1641)),640,(ISNUMBER(SEARCH("1",$L1641)))*80+(ISNUMBER(SEARCH("2",$L1641)))*160+(ISNUMBER(SEARCH("3",$L1641)))*40+(ISNUMBER(SEARCH("4",$L1641)))*80+(ISNUMBER(SEARCH("5",$L1641)))*120+(ISNUMBER(SEARCH("6",$L1641)))*80+(ISNUMBER(SEARCH("7",$L1641)))*40+(ISNUMBER(SEARCH("8",$L1641)))*40))</x:f>
        <x:v>640</x:v>
      </x:c>
      <x:c r="P1641" s="654" t="str">
        <x:f>IF($M1641&lt;&gt;"Mineral","",IF(ISNUMBER($N1641),$N1641,IF(OR(ISNUMBER(SEARCH("surface",$J1641)),ISNUMBER(SEARCH("reserv",$J1641)),ISNUMBER(SEARCH("less and except",$J1641))),0,"")))</x:f>
      </x:c>
      <x:c r="Q1641" s="654" t="str">
        <x:f>IF($P1641="","",-$P1641)</x:f>
      </x:c>
      <x:c r="R1641" s="655" t="str">
        <x:f>IF($P1641="","",$O1641*$P1641)</x:f>
      </x:c>
      <x:c r="S1641" s="552" t="str">
        <x:f>IF($M1641="","",TRIM(IF($M1641="Mineral",IF(ISNUMBER($N1641),"Mineral; basis Conv Amt(dec). ",IF($P1641=0,"Mineral; surface-only/reserved-&gt;0 min. ","Mineral; NO AMOUNT-verify instrument. ")),$M1641&amp;" (non-mineral; excluded from mineral NMA). ")&amp;IF(OR(ISNUMBER(SEARCH("public",$G1641)),ISNUMBER(SEARCH("public",$H1641))),"FLAG: The Public placeholder-verify. ","")&amp;IF(ISNUMBER(SEARCH("all",$L1641)),"All-section coverage. ","")&amp;IF($O1641=0,"Gross acres unresolved. ","")&amp;"Gross=tract-map basis."))</x:f>
        <x:v>Other (non-mineral; excluded from mineral NMA). All-section coverage. Gross=tract-map basis.</x:v>
      </x:c>
      <x:c r="T1641" s="578" t="n"/>
      <x:c r="U1641" s="578" t="n"/>
      <x:c r="V1641" s="565" t="n"/>
      <x:c r="W1641" s="565" t="n"/>
      <x:c r="X1641" s="565" t="n"/>
      <x:c r="Y1641" s="565" t="n"/>
      <x:c r="Z1641" s="565" t="n"/>
    </x:row>
    <x:row r="1642">
      <x:c r="A1642" s="552" t="inlineStr">
        <x:is>
          <x:t xml:space="preserve">1983-001671</x:t>
        </x:is>
      </x:c>
      <x:c r="B1642" s="552" t="n"/>
      <x:c r="C1642" s="552" t="inlineStr">
        <x:is>
          <x:t xml:space="preserve">Final Decree</x:t>
        </x:is>
      </x:c>
      <x:c r="D1642" s="552" t="inlineStr">
        <x:is>
          <x:t xml:space="preserve">512/67</x:t>
        </x:is>
      </x:c>
      <x:c r="E1642" s="653" t="n">
        <x:v>30369</x:v>
      </x:c>
      <x:c r="F1642" s="653" t="n">
        <x:v>30369</x:v>
      </x:c>
      <x:c r="G1642" s="552" t="inlineStr">
        <x:is>
          <x:t xml:space="preserve">Roger Mills County Court
RE: In the Matter of the Estate of Jesse G. French, Deceased</x:t>
        </x:is>
      </x:c>
      <x:c r="H1642" s="552" t="inlineStr">
        <x:is>
          <x:t xml:space="preserve">Lola B. French</x:t>
        </x:is>
      </x:c>
      <x:c r="I1642" s="552" t="inlineStr">
        <x:is>
          <x:t xml:space="preserve">31-12N-24W not found on document</x:t>
        </x:is>
      </x:c>
      <x:c r="J1642" s="552" t="inlineStr">
        <x:is>
          <x:t xml:space="preserve">ARTI</x:t>
        </x:is>
      </x:c>
      <x:c r="K1642" s="554" t="e">
        <x:f>HYPERLINK("https://okcountyrecords.com/detail/roger+mills/1983-001671","OKCountyRecords: 1983-001671")</x:f>
      </x:c>
      <x:c r="L1642" s="552" t="inlineStr">
        <x:is>
          <x:t xml:space="preserve">All (1-8)</x:t>
        </x:is>
      </x:c>
      <x:c r="M1642" s="552" t="inlineStr">
        <x:is>
          <x:t xml:space="preserve">Mineral</x:t>
        </x:is>
      </x:c>
      <x:c r="N1642" s="555" t="n">
        <x:v>1</x:v>
      </x:c>
      <x:c r="O1642" s="556" t="n">
        <x:f>IF($L1642="","",IF(ISNUMBER(SEARCH("all",$L1642)),640,(ISNUMBER(SEARCH("1",$L1642)))*80+(ISNUMBER(SEARCH("2",$L1642)))*160+(ISNUMBER(SEARCH("3",$L1642)))*40+(ISNUMBER(SEARCH("4",$L1642)))*80+(ISNUMBER(SEARCH("5",$L1642)))*120+(ISNUMBER(SEARCH("6",$L1642)))*80+(ISNUMBER(SEARCH("7",$L1642)))*40+(ISNUMBER(SEARCH("8",$L1642)))*40))</x:f>
        <x:v>640</x:v>
      </x:c>
      <x:c r="P1642" s="654" t="n">
        <x:f>IF($M1642&lt;&gt;"Mineral","",IF(ISNUMBER($N1642),$N1642,IF(OR(ISNUMBER(SEARCH("surface",$J1642)),ISNUMBER(SEARCH("reserv",$J1642)),ISNUMBER(SEARCH("less and except",$J1642))),0,"")))</x:f>
        <x:v>1</x:v>
      </x:c>
      <x:c r="Q1642" s="654" t="n">
        <x:f>IF($P1642="","",-$P1642)</x:f>
        <x:v>-1</x:v>
      </x:c>
      <x:c r="R1642" s="655" t="n">
        <x:f>IF($P1642="","",$O1642*$P1642)</x:f>
        <x:v>640</x:v>
      </x:c>
      <x:c r="S1642" s="552" t="str">
        <x:f>IF($M1642="","",TRIM(IF($M1642="Mineral",IF(ISNUMBER($N1642),"Mineral; basis Conv Amt(dec). ",IF($P1642=0,"Mineral; surface-only/reserved-&gt;0 min. ","Mineral; NO AMOUNT-verify instrument. ")),$M1642&amp;" (non-mineral; excluded from mineral NMA). ")&amp;IF(OR(ISNUMBER(SEARCH("public",$G1642)),ISNUMBER(SEARCH("public",$H1642))),"FLAG: The Public placeholder-verify. ","")&amp;IF(ISNUMBER(SEARCH("all",$L1642)),"All-section coverage. ","")&amp;IF($O1642=0,"Gross acres unresolved. ","")&amp;"Gross=tract-map basis."))</x:f>
        <x:v>Mineral; basis Conv Amt(dec). All-section coverage. Gross=tract-map basis.</x:v>
      </x:c>
      <x:c r="T1642" s="577" t="n"/>
      <x:c r="U1642" s="577" t="n"/>
      <x:c r="V1642" s="565" t="n"/>
      <x:c r="W1642" s="565" t="n"/>
      <x:c r="X1642" s="565" t="n"/>
      <x:c r="Y1642" s="565" t="n"/>
      <x:c r="Z1642" s="565" t="n"/>
    </x:row>
    <x:row r="1643">
      <x:c r="A1643" s="552" t="inlineStr">
        <x:is>
          <x:t xml:space="preserve">1983-002348</x:t>
        </x:is>
      </x:c>
      <x:c r="B1643" s="552" t="n"/>
      <x:c r="C1643" s="552" t="inlineStr">
        <x:is>
          <x:t xml:space="preserve">Mineral Deed</x:t>
        </x:is>
      </x:c>
      <x:c r="D1643" s="552" t="inlineStr">
        <x:is>
          <x:t xml:space="preserve">517/134</x:t>
        </x:is>
      </x:c>
      <x:c r="E1643" s="653" t="n">
        <x:v>30388</x:v>
      </x:c>
      <x:c r="F1643" s="653" t="n">
        <x:v>30388</x:v>
      </x:c>
      <x:c r="G1643" s="552" t="inlineStr">
        <x:is>
          <x:t xml:space="preserve">O. K. Oil Venture</x:t>
        </x:is>
      </x:c>
      <x:c r="H1643" s="552" t="inlineStr">
        <x:is>
          <x:t xml:space="preserve">Jonathan E. Jensen</x:t>
        </x:is>
      </x:c>
      <x:c r="I1643" s="552" t="inlineStr">
        <x:is>
          <x:t xml:space="preserve">S/2 SE/4, NW/4 SE/4, SW/4 NE/4 of 31-12N-24W, aol</x:t>
        </x:is>
      </x:c>
      <x:c r="J1643" s="552" t="inlineStr">
        <x:is>
          <x:t xml:space="preserve">1/791.47 interest in 2 sections</x:t>
        </x:is>
      </x:c>
      <x:c r="K1643" s="554" t="e">
        <x:f>HYPERLINK("https://okcountyrecords.com/detail/roger+mills/1983-002348","OKCountyRecords: 1983-002348")</x:f>
      </x:c>
      <x:c r="L1643" s="552" t="n">
        <x:v>2</x:v>
      </x:c>
      <x:c r="M1643" s="552" t="inlineStr">
        <x:is>
          <x:t xml:space="preserve">Mineral</x:t>
        </x:is>
      </x:c>
      <x:c r="N1643" s="555" t="n">
        <x:f>1/791.47</x:f>
        <x:v>0.0012634717677233501</x:v>
      </x:c>
      <x:c r="O1643" s="556" t="n">
        <x:f>IF($L1643="","",IF(ISNUMBER(SEARCH("all",$L1643)),640,(ISNUMBER(SEARCH("1",$L1643)))*80+(ISNUMBER(SEARCH("2",$L1643)))*160+(ISNUMBER(SEARCH("3",$L1643)))*40+(ISNUMBER(SEARCH("4",$L1643)))*80+(ISNUMBER(SEARCH("5",$L1643)))*120+(ISNUMBER(SEARCH("6",$L1643)))*80+(ISNUMBER(SEARCH("7",$L1643)))*40+(ISNUMBER(SEARCH("8",$L1643)))*40))</x:f>
        <x:v>0</x:v>
      </x:c>
      <x:c r="P1643" s="654" t="n">
        <x:f>IF($M1643&lt;&gt;"Mineral","",IF(ISNUMBER($N1643),$N1643,IF(OR(ISNUMBER(SEARCH("surface",$J1643)),ISNUMBER(SEARCH("reserv",$J1643)),ISNUMBER(SEARCH("less and except",$J1643))),0,"")))</x:f>
        <x:v>0.0012634717677233501</x:v>
      </x:c>
      <x:c r="Q1643" s="654" t="n">
        <x:f>IF($P1643="","",-$P1643)</x:f>
        <x:v>-0.0012634717677233501</x:v>
      </x:c>
      <x:c r="R1643" s="655" t="n">
        <x:f>IF($P1643="","",$O1643*$P1643)</x:f>
        <x:v>0</x:v>
      </x:c>
      <x:c r="S1643" s="552" t="str">
        <x:f>IF($M1643="","",TRIM(IF($M1643="Mineral",IF(ISNUMBER($N1643),"Mineral; basis Conv Amt(dec). ",IF($P1643=0,"Mineral; surface-only/reserved-&gt;0 min. ","Mineral; NO AMOUNT-verify instrument. ")),$M1643&amp;" (non-mineral; excluded from mineral NMA). ")&amp;IF(OR(ISNUMBER(SEARCH("public",$G1643)),ISNUMBER(SEARCH("public",$H1643))),"FLAG: The Public placeholder-verify. ","")&amp;IF(ISNUMBER(SEARCH("all",$L1643)),"All-section coverage. ","")&amp;IF($O1643=0,"Gross acres unresolved. ","")&amp;"Gross=tract-map basis."))</x:f>
        <x:v>Mineral; basis Conv Amt(dec). Gross acres unresolved. Gross=tract-map basis.</x:v>
      </x:c>
      <x:c r="T1643" s="577" t="n"/>
      <x:c r="U1643" s="577" t="n"/>
      <x:c r="V1643" s="565" t="n"/>
      <x:c r="W1643" s="565" t="n"/>
      <x:c r="X1643" s="565" t="n"/>
      <x:c r="Y1643" s="565" t="n"/>
      <x:c r="Z1643" s="565" t="n"/>
    </x:row>
    <x:row r="1644">
      <x:c r="A1644" s="552" t="inlineStr">
        <x:is>
          <x:t xml:space="preserve">1983-002349</x:t>
        </x:is>
      </x:c>
      <x:c r="B1644" s="552" t="n"/>
      <x:c r="C1644" s="552" t="inlineStr">
        <x:is>
          <x:t xml:space="preserve">Mineral Deed</x:t>
        </x:is>
      </x:c>
      <x:c r="D1644" s="552" t="inlineStr">
        <x:is>
          <x:t xml:space="preserve">517/135</x:t>
        </x:is>
      </x:c>
      <x:c r="E1644" s="653" t="n">
        <x:v>30388</x:v>
      </x:c>
      <x:c r="F1644" s="653" t="n">
        <x:v>30388</x:v>
      </x:c>
      <x:c r="G1644" s="552" t="inlineStr">
        <x:is>
          <x:t xml:space="preserve">O. K. Oil Venture</x:t>
        </x:is>
      </x:c>
      <x:c r="H1644" s="552" t="inlineStr">
        <x:is>
          <x:t xml:space="preserve">John R. Bringle</x:t>
        </x:is>
      </x:c>
      <x:c r="I1644" s="552" t="inlineStr">
        <x:is>
          <x:t xml:space="preserve">S/2 SE/4, NW/4 SE/4, SW/4 NE/4 of 31-12N-24W, aol</x:t>
        </x:is>
      </x:c>
      <x:c r="J1644" s="552" t="inlineStr">
        <x:is>
          <x:t xml:space="preserve">1/791.47 interest in 2 sections</x:t>
        </x:is>
      </x:c>
      <x:c r="K1644" s="554" t="e">
        <x:f>HYPERLINK("https://okcountyrecords.com/detail/roger+mills/1983-002349","OKCountyRecords: 1983-002349")</x:f>
      </x:c>
      <x:c r="L1644" s="552" t="n">
        <x:v>2</x:v>
      </x:c>
      <x:c r="M1644" s="552" t="inlineStr">
        <x:is>
          <x:t xml:space="preserve">Mineral</x:t>
        </x:is>
      </x:c>
      <x:c r="N1644" s="555" t="n">
        <x:f>1/791.47</x:f>
        <x:v>0.0012634717677233501</x:v>
      </x:c>
      <x:c r="O1644" s="556" t="n">
        <x:f>IF($L1644="","",IF(ISNUMBER(SEARCH("all",$L1644)),640,(ISNUMBER(SEARCH("1",$L1644)))*80+(ISNUMBER(SEARCH("2",$L1644)))*160+(ISNUMBER(SEARCH("3",$L1644)))*40+(ISNUMBER(SEARCH("4",$L1644)))*80+(ISNUMBER(SEARCH("5",$L1644)))*120+(ISNUMBER(SEARCH("6",$L1644)))*80+(ISNUMBER(SEARCH("7",$L1644)))*40+(ISNUMBER(SEARCH("8",$L1644)))*40))</x:f>
        <x:v>0</x:v>
      </x:c>
      <x:c r="P1644" s="654" t="n">
        <x:f>IF($M1644&lt;&gt;"Mineral","",IF(ISNUMBER($N1644),$N1644,IF(OR(ISNUMBER(SEARCH("surface",$J1644)),ISNUMBER(SEARCH("reserv",$J1644)),ISNUMBER(SEARCH("less and except",$J1644))),0,"")))</x:f>
        <x:v>0.0012634717677233501</x:v>
      </x:c>
      <x:c r="Q1644" s="654" t="n">
        <x:f>IF($P1644="","",-$P1644)</x:f>
        <x:v>-0.0012634717677233501</x:v>
      </x:c>
      <x:c r="R1644" s="655" t="n">
        <x:f>IF($P1644="","",$O1644*$P1644)</x:f>
        <x:v>0</x:v>
      </x:c>
      <x:c r="S1644" s="552" t="str">
        <x:f>IF($M1644="","",TRIM(IF($M1644="Mineral",IF(ISNUMBER($N1644),"Mineral; basis Conv Amt(dec). ",IF($P1644=0,"Mineral; surface-only/reserved-&gt;0 min. ","Mineral; NO AMOUNT-verify instrument. ")),$M1644&amp;" (non-mineral; excluded from mineral NMA). ")&amp;IF(OR(ISNUMBER(SEARCH("public",$G1644)),ISNUMBER(SEARCH("public",$H1644))),"FLAG: The Public placeholder-verify. ","")&amp;IF(ISNUMBER(SEARCH("all",$L1644)),"All-section coverage. ","")&amp;IF($O1644=0,"Gross acres unresolved. ","")&amp;"Gross=tract-map basis."))</x:f>
        <x:v>Mineral; basis Conv Amt(dec). Gross acres unresolved. Gross=tract-map basis.</x:v>
      </x:c>
      <x:c r="T1644" s="577" t="n"/>
      <x:c r="U1644" s="577" t="n"/>
      <x:c r="V1644" s="565" t="n"/>
      <x:c r="W1644" s="565" t="n"/>
      <x:c r="X1644" s="565" t="n"/>
      <x:c r="Y1644" s="565" t="n"/>
      <x:c r="Z1644" s="565" t="n"/>
    </x:row>
    <x:row r="1645">
      <x:c r="A1645" s="552" t="inlineStr">
        <x:is>
          <x:t xml:space="preserve">1983-002350</x:t>
        </x:is>
      </x:c>
      <x:c r="B1645" s="552" t="n"/>
      <x:c r="C1645" s="552" t="inlineStr">
        <x:is>
          <x:t xml:space="preserve">Mineral Deed</x:t>
        </x:is>
      </x:c>
      <x:c r="D1645" s="552" t="inlineStr">
        <x:is>
          <x:t xml:space="preserve">517/136</x:t>
        </x:is>
      </x:c>
      <x:c r="E1645" s="653" t="n">
        <x:v>30388</x:v>
      </x:c>
      <x:c r="F1645" s="653" t="n">
        <x:v>30388</x:v>
      </x:c>
      <x:c r="G1645" s="552" t="inlineStr">
        <x:is>
          <x:t xml:space="preserve">O. K. Oil Venture</x:t>
        </x:is>
      </x:c>
      <x:c r="H1645" s="552" t="inlineStr">
        <x:is>
          <x:t xml:space="preserve">James F. Menehan</x:t>
        </x:is>
      </x:c>
      <x:c r="I1645" s="552" t="inlineStr">
        <x:is>
          <x:t xml:space="preserve">S/2 SE/4, NW/4 SE/4, SW/4 NE/4 of 31-12N-24W, aol</x:t>
        </x:is>
      </x:c>
      <x:c r="J1645" s="552" t="inlineStr">
        <x:is>
          <x:t xml:space="preserve">1/791.47 interest in 2 sections</x:t>
        </x:is>
      </x:c>
      <x:c r="K1645" s="554" t="e">
        <x:f>HYPERLINK("https://okcountyrecords.com/detail/roger+mills/1983-002350","OKCountyRecords: 1983-002350")</x:f>
      </x:c>
      <x:c r="L1645" s="552" t="n">
        <x:v>2</x:v>
      </x:c>
      <x:c r="M1645" s="552" t="inlineStr">
        <x:is>
          <x:t xml:space="preserve">Mineral</x:t>
        </x:is>
      </x:c>
      <x:c r="N1645" s="555" t="n">
        <x:f>1/791.47</x:f>
        <x:v>0.0012634717677233501</x:v>
      </x:c>
      <x:c r="O1645" s="556" t="n">
        <x:f>IF($L1645="","",IF(ISNUMBER(SEARCH("all",$L1645)),640,(ISNUMBER(SEARCH("1",$L1645)))*80+(ISNUMBER(SEARCH("2",$L1645)))*160+(ISNUMBER(SEARCH("3",$L1645)))*40+(ISNUMBER(SEARCH("4",$L1645)))*80+(ISNUMBER(SEARCH("5",$L1645)))*120+(ISNUMBER(SEARCH("6",$L1645)))*80+(ISNUMBER(SEARCH("7",$L1645)))*40+(ISNUMBER(SEARCH("8",$L1645)))*40))</x:f>
        <x:v>0</x:v>
      </x:c>
      <x:c r="P1645" s="654" t="n">
        <x:f>IF($M1645&lt;&gt;"Mineral","",IF(ISNUMBER($N1645),$N1645,IF(OR(ISNUMBER(SEARCH("surface",$J1645)),ISNUMBER(SEARCH("reserv",$J1645)),ISNUMBER(SEARCH("less and except",$J1645))),0,"")))</x:f>
        <x:v>0.0012634717677233501</x:v>
      </x:c>
      <x:c r="Q1645" s="654" t="n">
        <x:f>IF($P1645="","",-$P1645)</x:f>
        <x:v>-0.0012634717677233501</x:v>
      </x:c>
      <x:c r="R1645" s="655" t="n">
        <x:f>IF($P1645="","",$O1645*$P1645)</x:f>
        <x:v>0</x:v>
      </x:c>
      <x:c r="S1645" s="552" t="str">
        <x:f>IF($M1645="","",TRIM(IF($M1645="Mineral",IF(ISNUMBER($N1645),"Mineral; basis Conv Amt(dec). ",IF($P1645=0,"Mineral; surface-only/reserved-&gt;0 min. ","Mineral; NO AMOUNT-verify instrument. ")),$M1645&amp;" (non-mineral; excluded from mineral NMA). ")&amp;IF(OR(ISNUMBER(SEARCH("public",$G1645)),ISNUMBER(SEARCH("public",$H1645))),"FLAG: The Public placeholder-verify. ","")&amp;IF(ISNUMBER(SEARCH("all",$L1645)),"All-section coverage. ","")&amp;IF($O1645=0,"Gross acres unresolved. ","")&amp;"Gross=tract-map basis."))</x:f>
        <x:v>Mineral; basis Conv Amt(dec). Gross acres unresolved. Gross=tract-map basis.</x:v>
      </x:c>
      <x:c r="T1645" s="577" t="n"/>
      <x:c r="U1645" s="577" t="n"/>
      <x:c r="V1645" s="565" t="n"/>
      <x:c r="W1645" s="565" t="n"/>
      <x:c r="X1645" s="565" t="n"/>
      <x:c r="Y1645" s="565" t="n"/>
      <x:c r="Z1645" s="565" t="n"/>
    </x:row>
    <x:row r="1646">
      <x:c r="A1646" s="552" t="inlineStr">
        <x:is>
          <x:t xml:space="preserve">1983-002351</x:t>
        </x:is>
      </x:c>
      <x:c r="B1646" s="552" t="n"/>
      <x:c r="C1646" s="552" t="inlineStr">
        <x:is>
          <x:t xml:space="preserve">Mineral Deed</x:t>
        </x:is>
      </x:c>
      <x:c r="D1646" s="552" t="inlineStr">
        <x:is>
          <x:t xml:space="preserve">517/137</x:t>
        </x:is>
      </x:c>
      <x:c r="E1646" s="653" t="n">
        <x:v>30388</x:v>
      </x:c>
      <x:c r="F1646" s="653" t="n">
        <x:v>30388</x:v>
      </x:c>
      <x:c r="G1646" s="552" t="inlineStr">
        <x:is>
          <x:t xml:space="preserve">O. K. Oil Venture</x:t>
        </x:is>
      </x:c>
      <x:c r="H1646" s="552" t="inlineStr">
        <x:is>
          <x:t xml:space="preserve">L. A. Persicke</x:t>
        </x:is>
      </x:c>
      <x:c r="I1646" s="552" t="inlineStr">
        <x:is>
          <x:t xml:space="preserve">S/2 SE/4, NW/4 SE/4, SW/4 NE/4 of 31-12N-24W, aol</x:t>
        </x:is>
      </x:c>
      <x:c r="J1646" s="552" t="inlineStr">
        <x:is>
          <x:t xml:space="preserve">1/791.47 interest in 2 sections</x:t>
        </x:is>
      </x:c>
      <x:c r="K1646" s="554" t="e">
        <x:f>HYPERLINK("https://okcountyrecords.com/detail/roger+mills/1983-002351","OKCountyRecords: 1983-002351")</x:f>
      </x:c>
      <x:c r="L1646" s="552" t="n">
        <x:v>2</x:v>
      </x:c>
      <x:c r="M1646" s="552" t="inlineStr">
        <x:is>
          <x:t xml:space="preserve">Mineral</x:t>
        </x:is>
      </x:c>
      <x:c r="N1646" s="555" t="n">
        <x:f>1/791.47</x:f>
        <x:v>0.0012634717677233501</x:v>
      </x:c>
      <x:c r="O1646" s="556" t="n">
        <x:f>IF($L1646="","",IF(ISNUMBER(SEARCH("all",$L1646)),640,(ISNUMBER(SEARCH("1",$L1646)))*80+(ISNUMBER(SEARCH("2",$L1646)))*160+(ISNUMBER(SEARCH("3",$L1646)))*40+(ISNUMBER(SEARCH("4",$L1646)))*80+(ISNUMBER(SEARCH("5",$L1646)))*120+(ISNUMBER(SEARCH("6",$L1646)))*80+(ISNUMBER(SEARCH("7",$L1646)))*40+(ISNUMBER(SEARCH("8",$L1646)))*40))</x:f>
        <x:v>0</x:v>
      </x:c>
      <x:c r="P1646" s="654" t="n">
        <x:f>IF($M1646&lt;&gt;"Mineral","",IF(ISNUMBER($N1646),$N1646,IF(OR(ISNUMBER(SEARCH("surface",$J1646)),ISNUMBER(SEARCH("reserv",$J1646)),ISNUMBER(SEARCH("less and except",$J1646))),0,"")))</x:f>
        <x:v>0.0012634717677233501</x:v>
      </x:c>
      <x:c r="Q1646" s="654" t="n">
        <x:f>IF($P1646="","",-$P1646)</x:f>
        <x:v>-0.0012634717677233501</x:v>
      </x:c>
      <x:c r="R1646" s="655" t="n">
        <x:f>IF($P1646="","",$O1646*$P1646)</x:f>
        <x:v>0</x:v>
      </x:c>
      <x:c r="S1646" s="552" t="str">
        <x:f>IF($M1646="","",TRIM(IF($M1646="Mineral",IF(ISNUMBER($N1646),"Mineral; basis Conv Amt(dec). ",IF($P1646=0,"Mineral; surface-only/reserved-&gt;0 min. ","Mineral; NO AMOUNT-verify instrument. ")),$M1646&amp;" (non-mineral; excluded from mineral NMA). ")&amp;IF(OR(ISNUMBER(SEARCH("public",$G1646)),ISNUMBER(SEARCH("public",$H1646))),"FLAG: The Public placeholder-verify. ","")&amp;IF(ISNUMBER(SEARCH("all",$L1646)),"All-section coverage. ","")&amp;IF($O1646=0,"Gross acres unresolved. ","")&amp;"Gross=tract-map basis."))</x:f>
        <x:v>Mineral; basis Conv Amt(dec). Gross acres unresolved. Gross=tract-map basis.</x:v>
      </x:c>
      <x:c r="T1646" s="577" t="n"/>
      <x:c r="U1646" s="577" t="n"/>
      <x:c r="V1646" s="565" t="n"/>
      <x:c r="W1646" s="565" t="n"/>
      <x:c r="X1646" s="565" t="n"/>
      <x:c r="Y1646" s="565" t="n"/>
      <x:c r="Z1646" s="565" t="n"/>
    </x:row>
    <x:row r="1647">
      <x:c r="A1647" s="552" t="inlineStr">
        <x:is>
          <x:t xml:space="preserve">1983-002352</x:t>
        </x:is>
      </x:c>
      <x:c r="B1647" s="552" t="n"/>
      <x:c r="C1647" s="552" t="inlineStr">
        <x:is>
          <x:t xml:space="preserve">Mineral Deed</x:t>
        </x:is>
      </x:c>
      <x:c r="D1647" s="552" t="inlineStr">
        <x:is>
          <x:t xml:space="preserve">517/138</x:t>
        </x:is>
      </x:c>
      <x:c r="E1647" s="653" t="n">
        <x:v>30388</x:v>
      </x:c>
      <x:c r="F1647" s="653" t="n">
        <x:v>30388</x:v>
      </x:c>
      <x:c r="G1647" s="552" t="inlineStr">
        <x:is>
          <x:t xml:space="preserve">O. K. Oil Venture</x:t>
        </x:is>
      </x:c>
      <x:c r="H1647" s="552" t="inlineStr">
        <x:is>
          <x:t xml:space="preserve">Richard M. Heins</x:t>
        </x:is>
      </x:c>
      <x:c r="I1647" s="552" t="inlineStr">
        <x:is>
          <x:t xml:space="preserve">S/2 SE/4, NW/4 SE/4, SW/4 NE/4 of 31-12N-24W, aol</x:t>
        </x:is>
      </x:c>
      <x:c r="J1647" s="552" t="inlineStr">
        <x:is>
          <x:t xml:space="preserve">2/791.47 interest in 2 sections</x:t>
        </x:is>
      </x:c>
      <x:c r="K1647" s="554" t="e">
        <x:f>HYPERLINK("https://okcountyrecords.com/detail/roger+mills/1983-002352","OKCountyRecords: 1983-002352")</x:f>
      </x:c>
      <x:c r="L1647" s="552" t="n">
        <x:v>2</x:v>
      </x:c>
      <x:c r="M1647" s="552" t="inlineStr">
        <x:is>
          <x:t xml:space="preserve">Mineral</x:t>
        </x:is>
      </x:c>
      <x:c r="N1647" s="555" t="n">
        <x:f>2/791.47</x:f>
        <x:v>0.0025269435354467002</x:v>
      </x:c>
      <x:c r="O1647" s="556" t="n">
        <x:f>IF($L1647="","",IF(ISNUMBER(SEARCH("all",$L1647)),640,(ISNUMBER(SEARCH("1",$L1647)))*80+(ISNUMBER(SEARCH("2",$L1647)))*160+(ISNUMBER(SEARCH("3",$L1647)))*40+(ISNUMBER(SEARCH("4",$L1647)))*80+(ISNUMBER(SEARCH("5",$L1647)))*120+(ISNUMBER(SEARCH("6",$L1647)))*80+(ISNUMBER(SEARCH("7",$L1647)))*40+(ISNUMBER(SEARCH("8",$L1647)))*40))</x:f>
        <x:v>0</x:v>
      </x:c>
      <x:c r="P1647" s="654" t="n">
        <x:f>IF($M1647&lt;&gt;"Mineral","",IF(ISNUMBER($N1647),$N1647,IF(OR(ISNUMBER(SEARCH("surface",$J1647)),ISNUMBER(SEARCH("reserv",$J1647)),ISNUMBER(SEARCH("less and except",$J1647))),0,"")))</x:f>
        <x:v>0.0025269435354467002</x:v>
      </x:c>
      <x:c r="Q1647" s="654" t="n">
        <x:f>IF($P1647="","",-$P1647)</x:f>
        <x:v>-0.0025269435354467002</x:v>
      </x:c>
      <x:c r="R1647" s="655" t="n">
        <x:f>IF($P1647="","",$O1647*$P1647)</x:f>
        <x:v>0</x:v>
      </x:c>
      <x:c r="S1647" s="552" t="str">
        <x:f>IF($M1647="","",TRIM(IF($M1647="Mineral",IF(ISNUMBER($N1647),"Mineral; basis Conv Amt(dec). ",IF($P1647=0,"Mineral; surface-only/reserved-&gt;0 min. ","Mineral; NO AMOUNT-verify instrument. ")),$M1647&amp;" (non-mineral; excluded from mineral NMA). ")&amp;IF(OR(ISNUMBER(SEARCH("public",$G1647)),ISNUMBER(SEARCH("public",$H1647))),"FLAG: The Public placeholder-verify. ","")&amp;IF(ISNUMBER(SEARCH("all",$L1647)),"All-section coverage. ","")&amp;IF($O1647=0,"Gross acres unresolved. ","")&amp;"Gross=tract-map basis."))</x:f>
        <x:v>Mineral; basis Conv Amt(dec). Gross acres unresolved. Gross=tract-map basis.</x:v>
      </x:c>
      <x:c r="T1647" s="577" t="n"/>
      <x:c r="U1647" s="577" t="n"/>
      <x:c r="V1647" s="565" t="n"/>
      <x:c r="W1647" s="565" t="n"/>
      <x:c r="X1647" s="565" t="n"/>
      <x:c r="Y1647" s="565" t="n"/>
      <x:c r="Z1647" s="565" t="n"/>
    </x:row>
    <x:row r="1648">
      <x:c r="A1648" s="552" t="inlineStr">
        <x:is>
          <x:t xml:space="preserve">1983-009331</x:t>
        </x:is>
      </x:c>
      <x:c r="B1648" s="552" t="n"/>
      <x:c r="C1648" s="552" t="inlineStr">
        <x:is>
          <x:t xml:space="preserve">Certificate</x:t>
        </x:is>
      </x:c>
      <x:c r="D1648" s="552" t="inlineStr">
        <x:is>
          <x:t xml:space="preserve">581/225</x:t>
        </x:is>
      </x:c>
      <x:c r="E1648" s="653" t="n">
        <x:v>30666</x:v>
      </x:c>
      <x:c r="F1648" s="653" t="n">
        <x:v>30666</x:v>
      </x:c>
      <x:c r="G1648" s="552" t="inlineStr">
        <x:is>
          <x:t xml:space="preserve">Paul Hughes</x:t>
        </x:is>
      </x:c>
      <x:c r="H1648" s="552" t="inlineStr">
        <x:is>
          <x:t xml:space="preserve">The Public</x:t>
        </x:is>
      </x:c>
      <x:c r="I1648" s="552" t="inlineStr">
        <x:is>
          <x:t xml:space="preserve">31-12N-24W</x:t>
        </x:is>
      </x:c>
      <x:c r="J1648" s="552" t="inlineStr">
        <x:is>
          <x:t xml:space="preserve">See instrument</x:t>
        </x:is>
      </x:c>
      <x:c r="K1648" s="554" t="e">
        <x:f>HYPERLINK("https://okcountyrecords.com/detail/roger+mills/1983-009331","OKCountyRecords: 1983-009331")</x:f>
      </x:c>
      <x:c r="L1648" s="552" t="inlineStr">
        <x:is>
          <x:t xml:space="preserve">All (1-8)</x:t>
        </x:is>
      </x:c>
      <x:c r="M1648" s="552" t="inlineStr">
        <x:is>
          <x:t xml:space="preserve">Other</x:t>
        </x:is>
      </x:c>
      <x:c r="N1648" s="555" t="n"/>
      <x:c r="O1648" s="556" t="n">
        <x:f>IF($L1648="","",IF(ISNUMBER(SEARCH("all",$L1648)),640,(ISNUMBER(SEARCH("1",$L1648)))*80+(ISNUMBER(SEARCH("2",$L1648)))*160+(ISNUMBER(SEARCH("3",$L1648)))*40+(ISNUMBER(SEARCH("4",$L1648)))*80+(ISNUMBER(SEARCH("5",$L1648)))*120+(ISNUMBER(SEARCH("6",$L1648)))*80+(ISNUMBER(SEARCH("7",$L1648)))*40+(ISNUMBER(SEARCH("8",$L1648)))*40))</x:f>
        <x:v>640</x:v>
      </x:c>
      <x:c r="P1648" s="654" t="str">
        <x:f>IF($M1648&lt;&gt;"Mineral","",IF(ISNUMBER($N1648),$N1648,IF(OR(ISNUMBER(SEARCH("surface",$J1648)),ISNUMBER(SEARCH("reserv",$J1648)),ISNUMBER(SEARCH("less and except",$J1648))),0,"")))</x:f>
      </x:c>
      <x:c r="Q1648" s="654" t="str">
        <x:f>IF($P1648="","",-$P1648)</x:f>
      </x:c>
      <x:c r="R1648" s="655" t="str">
        <x:f>IF($P1648="","",$O1648*$P1648)</x:f>
      </x:c>
      <x:c r="S1648" s="552" t="inlineStr">
        <x:is>
          <x:t xml:space="preserve">Other (non-mineral; excluded from mineral NMA). All-section coverage. Gross=tract-map basis.</x:t>
        </x:is>
      </x:c>
      <x:c r="T1648" s="578" t="inlineStr">
        <x:is>
          <x:t xml:space="preserve">OK</x:t>
        </x:is>
      </x:c>
      <x:c r="U1648" s="578" t="inlineStr">
        <x:is>
          <x:t xml:space="preserve">Non-conveying — notice/affidavit/address change (The Public).</x:t>
        </x:is>
      </x:c>
      <x:c r="V1648" s="565" t="n"/>
      <x:c r="W1648" s="565" t="n"/>
      <x:c r="X1648" s="565" t="n"/>
      <x:c r="Y1648" s="565" t="n"/>
      <x:c r="Z1648" s="565" t="n"/>
    </x:row>
    <x:row r="1649">
      <x:c r="A1649" s="552" t="inlineStr">
        <x:is>
          <x:t xml:space="preserve">1984-002943</x:t>
        </x:is>
      </x:c>
      <x:c r="B1649" s="552" t="n"/>
      <x:c r="C1649" s="552" t="inlineStr">
        <x:is>
          <x:t xml:space="preserve">Mineral Deed</x:t>
        </x:is>
      </x:c>
      <x:c r="D1649" s="552" t="inlineStr">
        <x:is>
          <x:t xml:space="preserve">604/350</x:t>
        </x:is>
      </x:c>
      <x:c r="E1649" s="653" t="n">
        <x:v>30741</x:v>
      </x:c>
      <x:c r="F1649" s="653" t="n">
        <x:v>30770</x:v>
      </x:c>
      <x:c r="G1649" s="552" t="inlineStr">
        <x:is>
          <x:t xml:space="preserve">Leede Exploration</x:t>
        </x:is>
      </x:c>
      <x:c r="H1649" s="552" t="inlineStr">
        <x:is>
          <x:t xml:space="preserve">O. I. L. Energy, Inc.</x:t>
        </x:is>
      </x:c>
      <x:c r="I1649" s="552" t="inlineStr">
        <x:is>
          <x:t xml:space="preserve">E/2 NW/4 of 31-12N-24W, aol</x:t>
        </x:is>
      </x:c>
      <x:c r="J1649" s="552" t="inlineStr">
        <x:is>
          <x:t xml:space="preserve">An undivided 89% of 25% of Grantor's interest in the oil, gas and other minerals</x:t>
        </x:is>
      </x:c>
      <x:c r="K1649" s="554" t="e">
        <x:f>HYPERLINK("https://okcountyrecords.com/detail/roger+mills/1984-002943","OKCountyRecords: 1984-002943")</x:f>
      </x:c>
      <x:c r="L1649" s="552" t="n">
        <x:v>4</x:v>
      </x:c>
      <x:c r="M1649" s="552" t="inlineStr">
        <x:is>
          <x:t xml:space="preserve">Mineral</x:t>
        </x:is>
      </x:c>
      <x:c r="N1649" s="555" t="n">
        <x:f>0.25*0.89</x:f>
        <x:v>0.2225</x:v>
      </x:c>
      <x:c r="O1649" s="556" t="n">
        <x:f>IF($L1649="","",IF(ISNUMBER(SEARCH("all",$L1649)),640,(ISNUMBER(SEARCH("1",$L1649)))*80+(ISNUMBER(SEARCH("2",$L1649)))*160+(ISNUMBER(SEARCH("3",$L1649)))*40+(ISNUMBER(SEARCH("4",$L1649)))*80+(ISNUMBER(SEARCH("5",$L1649)))*120+(ISNUMBER(SEARCH("6",$L1649)))*80+(ISNUMBER(SEARCH("7",$L1649)))*40+(ISNUMBER(SEARCH("8",$L1649)))*40))</x:f>
        <x:v>0</x:v>
      </x:c>
      <x:c r="P1649" s="654" t="n">
        <x:f>IF($M1649&lt;&gt;"Mineral","",IF(ISNUMBER($N1649),$N1649,IF(OR(ISNUMBER(SEARCH("surface",$J1649)),ISNUMBER(SEARCH("reserv",$J1649)),ISNUMBER(SEARCH("less and except",$J1649))),0,"")))</x:f>
        <x:v>0.2225</x:v>
      </x:c>
      <x:c r="Q1649" s="654" t="n">
        <x:f>IF($P1649="","",-$P1649)</x:f>
        <x:v>-0.2225</x:v>
      </x:c>
      <x:c r="R1649" s="655" t="n">
        <x:f>IF($P1649="","",$O1649*$P1649)</x:f>
        <x:v>0</x:v>
      </x:c>
      <x:c r="S1649" s="552" t="str">
        <x:f>IF($M1649="","",TRIM(IF($M1649="Mineral",IF(ISNUMBER($N1649),"Mineral; basis Conv Amt(dec). ",IF($P1649=0,"Mineral; surface-only/reserved-&gt;0 min. ","Mineral; VERIFY — NEED full instrument image for conveyed amount. ")),$M1649&amp;" (non-mineral; excluded from mineral NMA). ")&amp;IF(OR(ISNUMBER(SEARCH("public",$G1649)),ISNUMBER(SEARCH("public",$H1649))),"FLAG: The Public placeholder; VERIFY — NEED source confirmation. ","")&amp;IF(ISNUMBER(SEARCH("all",$L1649)),"All-section coverage. ","")&amp;IF($O1649=0,"Gross acres unresolved. ","")&amp;"Gross=tract-map basis."))</x:f>
        <x:v>Mineral; basis Conv Amt(dec). Gross acres unresolved. Gross=tract-map basis.</x:v>
      </x:c>
      <x:c r="T1649" s="577" t="inlineStr">
        <x:is>
          <x:t xml:space="preserve">REVIEW</x:t>
        </x:is>
      </x:c>
      <x:c r="U1649" s="577" t="inlineStr">
        <x:is>
          <x:t xml:space="preserve">NEED: conveyed interest / decimal from instrument image</x:t>
        </x:is>
      </x:c>
      <x:c r="V1649" s="565" t="n"/>
      <x:c r="W1649" s="565" t="n"/>
      <x:c r="X1649" s="565" t="n"/>
      <x:c r="Y1649" s="565" t="n"/>
      <x:c r="Z1649" s="565" t="n"/>
    </x:row>
    <x:row r="1650">
      <x:c r="A1650" s="552" t="inlineStr">
        <x:is>
          <x:t xml:space="preserve">1984-002948</x:t>
        </x:is>
      </x:c>
      <x:c r="B1650" s="552" t="n"/>
      <x:c r="C1650" s="552" t="inlineStr">
        <x:is>
          <x:t xml:space="preserve">Mineral Deed</x:t>
        </x:is>
      </x:c>
      <x:c r="D1650" s="552" t="inlineStr">
        <x:is>
          <x:t xml:space="preserve">605/27</x:t>
        </x:is>
      </x:c>
      <x:c r="E1650" s="653" t="n">
        <x:v>30770</x:v>
      </x:c>
      <x:c r="F1650" s="653" t="n">
        <x:v>30770</x:v>
      </x:c>
      <x:c r="G1650" s="552" t="inlineStr">
        <x:is>
          <x:t xml:space="preserve">Leede Exploration</x:t>
        </x:is>
      </x:c>
      <x:c r="H1650" s="552" t="inlineStr">
        <x:is>
          <x:t xml:space="preserve">Robert H. Frazier, 1/3,
Clyde A. Pine, 1/3,
Charles D. Ray, 1/3</x:t>
        </x:is>
      </x:c>
      <x:c r="I1650" s="552" t="inlineStr">
        <x:is>
          <x:t xml:space="preserve">E/2 NW/4 of 31-12N-24W, aol</x:t>
        </x:is>
      </x:c>
      <x:c r="J1650" s="552" t="inlineStr">
        <x:is>
          <x:t xml:space="preserve">An undivided 15.789% of 11% of Grantor's interest in the oil, gas and other minerals</x:t>
        </x:is>
      </x:c>
      <x:c r="K1650" s="554" t="e">
        <x:f>HYPERLINK("https://okcountyrecords.com/detail/roger+mills/1984-002948","OKCountyRecords: 1984-002948")</x:f>
      </x:c>
      <x:c r="L1650" s="552" t="n">
        <x:v>4</x:v>
      </x:c>
      <x:c r="M1650" s="552" t="inlineStr">
        <x:is>
          <x:t xml:space="preserve">Mineral</x:t>
        </x:is>
      </x:c>
      <x:c r="N1650" s="555" t="n">
        <x:f>0.11*0.15789</x:f>
        <x:v>0.017367900000000002</x:v>
      </x:c>
      <x:c r="O1650" s="556" t="n">
        <x:f>IF($L1650="","",IF(ISNUMBER(SEARCH("all",$L1650)),640,(ISNUMBER(SEARCH("1",$L1650)))*80+(ISNUMBER(SEARCH("2",$L1650)))*160+(ISNUMBER(SEARCH("3",$L1650)))*40+(ISNUMBER(SEARCH("4",$L1650)))*80+(ISNUMBER(SEARCH("5",$L1650)))*120+(ISNUMBER(SEARCH("6",$L1650)))*80+(ISNUMBER(SEARCH("7",$L1650)))*40+(ISNUMBER(SEARCH("8",$L1650)))*40))</x:f>
        <x:v>0</x:v>
      </x:c>
      <x:c r="P1650" s="654" t="n">
        <x:f>IF($M1650&lt;&gt;"Mineral","",IF(ISNUMBER($N1650),$N1650,IF(OR(ISNUMBER(SEARCH("surface",$J1650)),ISNUMBER(SEARCH("reserv",$J1650)),ISNUMBER(SEARCH("less and except",$J1650))),0,"")))</x:f>
        <x:v>0.017367900000000002</x:v>
      </x:c>
      <x:c r="Q1650" s="654" t="n">
        <x:f>IF($P1650="","",-$P1650)</x:f>
        <x:v>-0.017367900000000002</x:v>
      </x:c>
      <x:c r="R1650" s="655" t="n">
        <x:f>IF($P1650="","",$O1650*$P1650)</x:f>
        <x:v>0</x:v>
      </x:c>
      <x:c r="S1650" s="552" t="str">
        <x:f>IF($M1650="","",TRIM(IF($M1650="Mineral",IF(ISNUMBER($N1650),"Mineral; basis Conv Amt(dec). ",IF($P1650=0,"Mineral; surface-only/reserved-&gt;0 min. ","Mineral; VERIFY — NEED full instrument image for conveyed amount. ")),$M1650&amp;" (non-mineral; excluded from mineral NMA). ")&amp;IF(OR(ISNUMBER(SEARCH("public",$G1650)),ISNUMBER(SEARCH("public",$H1650))),"FLAG: The Public placeholder; VERIFY — NEED source confirmation. ","")&amp;IF(ISNUMBER(SEARCH("all",$L1650)),"All-section coverage. ","")&amp;IF($O1650=0,"Gross acres unresolved. ","")&amp;"Gross=tract-map basis."))</x:f>
        <x:v>Mineral; basis Conv Amt(dec). Gross acres unresolved. Gross=tract-map basis.</x:v>
      </x:c>
      <x:c r="T1650" s="577" t="inlineStr">
        <x:is>
          <x:t xml:space="preserve">REVIEW</x:t>
        </x:is>
      </x:c>
      <x:c r="U1650" s="577" t="inlineStr">
        <x:is>
          <x:t xml:space="preserve">NEED: conveyed interest / decimal from instrument image</x:t>
        </x:is>
      </x:c>
      <x:c r="V1650" s="565" t="n"/>
      <x:c r="W1650" s="565" t="n"/>
      <x:c r="X1650" s="565" t="n"/>
      <x:c r="Y1650" s="565" t="n"/>
      <x:c r="Z1650" s="565" t="n"/>
    </x:row>
    <x:row r="1651">
      <x:c r="A1651" s="552" t="inlineStr">
        <x:is>
          <x:t xml:space="preserve">1984-003786</x:t>
        </x:is>
      </x:c>
      <x:c r="B1651" s="552" t="n"/>
      <x:c r="C1651" s="552" t="inlineStr">
        <x:is>
          <x:t xml:space="preserve">Mineral Deed</x:t>
        </x:is>
      </x:c>
      <x:c r="D1651" s="552" t="inlineStr">
        <x:is>
          <x:t xml:space="preserve">611/58</x:t>
        </x:is>
      </x:c>
      <x:c r="E1651" s="653" t="n">
        <x:v>30791</x:v>
      </x:c>
      <x:c r="F1651" s="653" t="n">
        <x:v>30791</x:v>
      </x:c>
      <x:c r="G1651" s="552" t="inlineStr">
        <x:is>
          <x:t xml:space="preserve">Juanita M. Wolff</x:t>
        </x:is>
      </x:c>
      <x:c r="H1651" s="552" t="inlineStr">
        <x:is>
          <x:t xml:space="preserve">David S. Silverberry</x:t>
        </x:is>
      </x:c>
      <x:c r="I1651" s="552" t="inlineStr">
        <x:is>
          <x:t xml:space="preserve">S/2 SE/4, NW/4 SE/4, SW/4 NE/4 of 31-12N-24W, aol</x:t>
        </x:is>
      </x:c>
      <x:c r="J1651" s="552" t="inlineStr">
        <x:is>
          <x:t xml:space="preserve">1/791.47 interest in 2 sections</x:t>
        </x:is>
      </x:c>
      <x:c r="K1651" s="554" t="e">
        <x:f>HYPERLINK("https://okcountyrecords.com/detail/roger+mills/1984-003786","OKCountyRecords: 1984-003786")</x:f>
      </x:c>
      <x:c r="L1651" s="552" t="n">
        <x:v>2</x:v>
      </x:c>
      <x:c r="M1651" s="552" t="inlineStr">
        <x:is>
          <x:t xml:space="preserve">Mineral</x:t>
        </x:is>
      </x:c>
      <x:c r="N1651" s="555" t="n">
        <x:f>1/791.47</x:f>
        <x:v>0.0012634717677233501</x:v>
      </x:c>
      <x:c r="O1651" s="556" t="n">
        <x:f>IF($L1651="","",IF(ISNUMBER(SEARCH("all",$L1651)),640,(ISNUMBER(SEARCH("1",$L1651)))*80+(ISNUMBER(SEARCH("2",$L1651)))*160+(ISNUMBER(SEARCH("3",$L1651)))*40+(ISNUMBER(SEARCH("4",$L1651)))*80+(ISNUMBER(SEARCH("5",$L1651)))*120+(ISNUMBER(SEARCH("6",$L1651)))*80+(ISNUMBER(SEARCH("7",$L1651)))*40+(ISNUMBER(SEARCH("8",$L1651)))*40))</x:f>
        <x:v>0</x:v>
      </x:c>
      <x:c r="P1651" s="654" t="n">
        <x:f>IF($M1651&lt;&gt;"Mineral","",IF(ISNUMBER($N1651),$N1651,IF(OR(ISNUMBER(SEARCH("surface",$J1651)),ISNUMBER(SEARCH("reserv",$J1651)),ISNUMBER(SEARCH("less and except",$J1651))),0,"")))</x:f>
        <x:v>0.0012634717677233501</x:v>
      </x:c>
      <x:c r="Q1651" s="654" t="n">
        <x:f>IF($P1651="","",-$P1651)</x:f>
        <x:v>-0.0012634717677233501</x:v>
      </x:c>
      <x:c r="R1651" s="655" t="n">
        <x:f>IF($P1651="","",$O1651*$P1651)</x:f>
        <x:v>0</x:v>
      </x:c>
      <x:c r="S1651" s="552" t="str">
        <x:f>IF($M1651="","",TRIM(IF($M1651="Mineral",IF(ISNUMBER($N1651),"Mineral; basis Conv Amt(dec). ",IF($P1651=0,"Mineral; surface-only/reserved-&gt;0 min. ","Mineral; NO AMOUNT-verify instrument. ")),$M1651&amp;" (non-mineral; excluded from mineral NMA). ")&amp;IF(OR(ISNUMBER(SEARCH("public",$G1651)),ISNUMBER(SEARCH("public",$H1651))),"FLAG: The Public placeholder-verify. ","")&amp;IF(ISNUMBER(SEARCH("all",$L1651)),"All-section coverage. ","")&amp;IF($O1651=0,"Gross acres unresolved. ","")&amp;"Gross=tract-map basis."))</x:f>
        <x:v>Mineral; basis Conv Amt(dec). Gross acres unresolved. Gross=tract-map basis.</x:v>
      </x:c>
      <x:c r="T1651" s="577" t="n"/>
      <x:c r="U1651" s="577" t="n"/>
      <x:c r="V1651" s="565" t="n"/>
      <x:c r="W1651" s="565" t="n"/>
      <x:c r="X1651" s="565" t="n"/>
      <x:c r="Y1651" s="565" t="n"/>
      <x:c r="Z1651" s="565" t="n"/>
    </x:row>
    <x:row r="1652">
      <x:c r="A1652" s="552" t="inlineStr">
        <x:is>
          <x:t xml:space="preserve">1984-009873</x:t>
        </x:is>
      </x:c>
      <x:c r="B1652" s="552" t="n"/>
      <x:c r="C1652" s="552" t="inlineStr">
        <x:is>
          <x:t xml:space="preserve">NOTICE OF RECORD</x:t>
        </x:is>
      </x:c>
      <x:c r="D1652" s="552" t="inlineStr">
        <x:is>
          <x:t xml:space="preserve">658/241</x:t>
        </x:is>
      </x:c>
      <x:c r="E1652" s="653" t="n">
        <x:v>30967</x:v>
      </x:c>
      <x:c r="F1652" s="653" t="n">
        <x:v>30967</x:v>
      </x:c>
      <x:c r="G1652" s="552" t="inlineStr">
        <x:is>
          <x:t xml:space="preserve">Mary Margaret Devenas,
Mary Margaret Wilson</x:t>
        </x:is>
      </x:c>
      <x:c r="H1652" s="552" t="inlineStr">
        <x:is>
          <x:t xml:space="preserve">The Public</x:t>
        </x:is>
      </x:c>
      <x:c r="I1652" s="552" t="inlineStr">
        <x:is>
          <x:t xml:space="preserve">SE/4 SW/4 of 31-12N-24W, aol</x:t>
        </x:is>
      </x:c>
      <x:c r="J1652" s="552" t="inlineStr">
        <x:is>
          <x:t xml:space="preserve">MARY MARGARET WILSON, now MARY MARGARET DEVENAS, residing
at 1302 Highland Avenue, Waukegan, Illinois 60085. 5.84 acres</x:t>
        </x:is>
      </x:c>
      <x:c r="K1652" s="554" t="e">
        <x:f>HYPERLINK("https://okcountyrecords.com/detail/roger+mills/1984-009873","OKCountyRecords: 1984-009873")</x:f>
      </x:c>
      <x:c r="L1652" s="552" t="n">
        <x:v>5</x:v>
      </x:c>
      <x:c r="M1652" s="552" t="inlineStr">
        <x:is>
          <x:t xml:space="preserve">Other</x:t>
        </x:is>
      </x:c>
      <x:c r="N1652" s="555" t="n"/>
      <x:c r="O1652" s="556" t="n">
        <x:f>IF($L1652="","",IF(ISNUMBER(SEARCH("all",$L1652)),640,(ISNUMBER(SEARCH("1",$L1652)))*80+(ISNUMBER(SEARCH("2",$L1652)))*160+(ISNUMBER(SEARCH("3",$L1652)))*40+(ISNUMBER(SEARCH("4",$L1652)))*80+(ISNUMBER(SEARCH("5",$L1652)))*120+(ISNUMBER(SEARCH("6",$L1652)))*80+(ISNUMBER(SEARCH("7",$L1652)))*40+(ISNUMBER(SEARCH("8",$L1652)))*40))</x:f>
        <x:v>0</x:v>
      </x:c>
      <x:c r="P1652" s="654" t="str">
        <x:f>IF($M1652&lt;&gt;"Mineral","",IF(ISNUMBER($N1652),$N1652,IF(OR(ISNUMBER(SEARCH("surface",$J1652)),ISNUMBER(SEARCH("reserv",$J1652)),ISNUMBER(SEARCH("less and except",$J1652))),0,"")))</x:f>
      </x:c>
      <x:c r="Q1652" s="654" t="str">
        <x:f>IF($P1652="","",-$P1652)</x:f>
      </x:c>
      <x:c r="R1652" s="655" t="str">
        <x:f>IF($P1652="","",$O1652*$P1652)</x:f>
      </x:c>
      <x:c r="S1652" s="552" t="inlineStr">
        <x:is>
          <x:t xml:space="preserve">Other (non-mineral; excluded from mineral NMA). Gross=tract-map basis.</x:t>
        </x:is>
      </x:c>
      <x:c r="T1652" s="577" t="inlineStr">
        <x:is>
          <x:t xml:space="preserve">OK</x:t>
        </x:is>
      </x:c>
      <x:c r="U1652" s="577" t="inlineStr">
        <x:is>
          <x:t xml:space="preserve">Non-conveying — notice/affidavit/address change (The Public).</x:t>
        </x:is>
      </x:c>
      <x:c r="V1652" s="565" t="n"/>
      <x:c r="W1652" s="565" t="n"/>
      <x:c r="X1652" s="565" t="n"/>
      <x:c r="Y1652" s="565" t="n"/>
      <x:c r="Z1652" s="565" t="n"/>
    </x:row>
    <x:row r="1653">
      <x:c r="A1653" s="552" t="inlineStr">
        <x:is>
          <x:t xml:space="preserve">1985-002650</x:t>
        </x:is>
      </x:c>
      <x:c r="B1653" s="552" t="n"/>
      <x:c r="C1653" s="552" t="inlineStr">
        <x:is>
          <x:t xml:space="preserve">Quitclaim Mineral Deed</x:t>
        </x:is>
      </x:c>
      <x:c r="D1653" s="552" t="inlineStr">
        <x:is>
          <x:t xml:space="preserve">710/34</x:t>
        </x:is>
      </x:c>
      <x:c r="E1653" s="653" t="n">
        <x:v>31158</x:v>
      </x:c>
      <x:c r="F1653" s="653" t="n">
        <x:v>31158</x:v>
      </x:c>
      <x:c r="G1653" s="552" t="inlineStr">
        <x:is>
          <x:t xml:space="preserve">Chinook Resources, Inc.</x:t>
        </x:is>
      </x:c>
      <x:c r="H1653" s="552" t="inlineStr">
        <x:is>
          <x:t xml:space="preserve">Continental Illinois Energy Development Corp</x:t>
        </x:is>
      </x:c>
      <x:c r="I1653" s="552" t="inlineStr">
        <x:is>
          <x:t xml:space="preserve">NE/4 SE/4, SE/4 NE/4, N/2 NE/4 SW/4, E/2 NW/4 of 31-12N-24W, aol</x:t>
        </x:is>
      </x:c>
      <x:c r="J1653" s="552" t="inlineStr">
        <x:is>
          <x:t xml:space="preserve">ARTI</x:t>
        </x:is>
      </x:c>
      <x:c r="K1653" s="554" t="e">
        <x:f>HYPERLINK("https://okcountyrecords.com/detail/roger+mills/1985-002650","OKCountyRecords: 1985-002650")</x:f>
      </x:c>
      <x:c r="L1653" s="552" t="inlineStr">
        <x:is>
          <x:t xml:space="preserve">1, 3, 4, 7, 8</x:t>
        </x:is>
      </x:c>
      <x:c r="M1653" s="552" t="inlineStr">
        <x:is>
          <x:t xml:space="preserve">Mineral</x:t>
        </x:is>
      </x:c>
      <x:c r="N1653" s="561" t="n">
        <x:v>1</x:v>
      </x:c>
      <x:c r="O1653" s="556" t="n">
        <x:f>IF($L1653="","",IF(ISNUMBER(SEARCH("all",$L1653)),640,(ISNUMBER(SEARCH("1",$L1653)))*80+(ISNUMBER(SEARCH("2",$L1653)))*160+(ISNUMBER(SEARCH("3",$L1653)))*40+(ISNUMBER(SEARCH("4",$L1653)))*80+(ISNUMBER(SEARCH("5",$L1653)))*120+(ISNUMBER(SEARCH("6",$L1653)))*80+(ISNUMBER(SEARCH("7",$L1653)))*40+(ISNUMBER(SEARCH("8",$L1653)))*40))</x:f>
        <x:v>0</x:v>
      </x:c>
      <x:c r="P1653" s="654" t="n">
        <x:f>IF($M1653&lt;&gt;"Mineral","",IF(ISNUMBER($N1653),$N1653,IF(OR(ISNUMBER(SEARCH("surface",$J1653)),ISNUMBER(SEARCH("reserv",$J1653)),ISNUMBER(SEARCH("less and except",$J1653))),0,"")))</x:f>
        <x:v>1</x:v>
      </x:c>
      <x:c r="Q1653" s="654" t="n">
        <x:f>IF($P1653="","",-$P1653)</x:f>
        <x:v>-1</x:v>
      </x:c>
      <x:c r="R1653" s="655" t="n">
        <x:f>IF($P1653="","",$O1653*$P1653)</x:f>
        <x:v>0</x:v>
      </x:c>
      <x:c r="S1653" s="552" t="str">
        <x:f>IF($M1653="","",TRIM(IF($M1653="Mineral",IF(ISNUMBER($N1653),"Mineral; basis Conv Amt(dec). ",IF($P1653=0,"Mineral; surface-only/reserved-&gt;0 min. ","Mineral; NO AMOUNT-verify instrument. ")),$M1653&amp;" (non-mineral; excluded from mineral NMA). ")&amp;IF(OR(ISNUMBER(SEARCH("public",$G1653)),ISNUMBER(SEARCH("public",$H1653))),"FLAG: The Public placeholder-verify. ","")&amp;IF(ISNUMBER(SEARCH("all",$L1653)),"All-section coverage. ","")&amp;IF($O1653=0,"Gross acres unresolved. ","")&amp;"Gross=tract-map basis."))</x:f>
        <x:v>Mineral; basis Conv Amt(dec). Gross acres unresolved. Gross=tract-map basis.</x:v>
      </x:c>
      <x:c r="T1653" s="577" t="n"/>
      <x:c r="U1653" s="577" t="n"/>
      <x:c r="V1653" s="565" t="n"/>
      <x:c r="W1653" s="565" t="n"/>
      <x:c r="X1653" s="565" t="n"/>
      <x:c r="Y1653" s="565" t="n"/>
      <x:c r="Z1653" s="565" t="n"/>
    </x:row>
    <x:row r="1654">
      <x:c r="A1654" s="552" t="inlineStr">
        <x:is>
          <x:t xml:space="preserve">1985-005895</x:t>
        </x:is>
      </x:c>
      <x:c r="B1654" s="552" t="n"/>
      <x:c r="C1654" s="552" t="inlineStr">
        <x:is>
          <x:t xml:space="preserve">Sheriff's Deed</x:t>
        </x:is>
      </x:c>
      <x:c r="D1654" s="552" t="inlineStr">
        <x:is>
          <x:t xml:space="preserve">745/75</x:t>
        </x:is>
      </x:c>
      <x:c r="E1654" s="653" t="n">
        <x:v>31279</x:v>
      </x:c>
      <x:c r="F1654" s="653" t="n">
        <x:v>31279</x:v>
      </x:c>
      <x:c r="G1654" s="552" t="inlineStr">
        <x:is>
          <x:t xml:space="preserve">Roger Mills County Sheriff</x:t>
        </x:is>
      </x:c>
      <x:c r="H1654" s="552" t="inlineStr">
        <x:is>
          <x:t xml:space="preserve">City National Bank of Sayre</x:t>
        </x:is>
      </x:c>
      <x:c r="I1654" s="552" t="inlineStr">
        <x:is>
          <x:t xml:space="preserve">A tract in Lot 1 in 31-12N-24W, described as follows: Beginning at the NW Corner of said Lot Is thence East 420.38 feets thence South 725 feets thence West 420.58 feet, thence North 725 feet to the point of beginning. containing 7 acres, more or less</x:t>
        </x:is>
      </x:c>
      <x:c r="J1654" s="552" t="inlineStr">
        <x:is>
          <x:t xml:space="preserve">ARTI, On the 15th day of February, 1985, in an action then pending in said Court, wherein City National Bank of Sayre, Oklahoma, A National Banking Association, was Plaintiff, and Herman M. Sides and Laury C. Sides, husband and wife, Margie Kirk, and the United States of America, ex rel, Department of the Treasury-Internal Revenue Service, were Defendants</x:t>
        </x:is>
      </x:c>
      <x:c r="K1654" s="554" t="e">
        <x:f>HYPERLINK("https://okcountyrecords.com/detail/roger+mills/1985-005895","OKCountyRecords: 1985-005895")</x:f>
      </x:c>
      <x:c r="L1654" s="552" t="n">
        <x:v>5</x:v>
      </x:c>
      <x:c r="M1654" s="552" t="inlineStr">
        <x:is>
          <x:t xml:space="preserve">Mineral</x:t>
        </x:is>
      </x:c>
      <x:c r="N1654" s="555" t="n">
        <x:v>1</x:v>
      </x:c>
      <x:c r="O1654" s="556" t="n">
        <x:f>IF($L1654="","",IF(ISNUMBER(SEARCH("all",$L1654)),640,(ISNUMBER(SEARCH("1",$L1654)))*80+(ISNUMBER(SEARCH("2",$L1654)))*160+(ISNUMBER(SEARCH("3",$L1654)))*40+(ISNUMBER(SEARCH("4",$L1654)))*80+(ISNUMBER(SEARCH("5",$L1654)))*120+(ISNUMBER(SEARCH("6",$L1654)))*80+(ISNUMBER(SEARCH("7",$L1654)))*40+(ISNUMBER(SEARCH("8",$L1654)))*40))</x:f>
        <x:v>0</x:v>
      </x:c>
      <x:c r="P1654" s="654" t="n">
        <x:f>IF($M1654&lt;&gt;"Mineral","",IF(ISNUMBER($N1654),$N1654,IF(OR(ISNUMBER(SEARCH("surface",$J1654)),ISNUMBER(SEARCH("reserv",$J1654)),ISNUMBER(SEARCH("less and except",$J1654))),0,"")))</x:f>
        <x:v>1</x:v>
      </x:c>
      <x:c r="Q1654" s="654" t="n">
        <x:f>IF($P1654="","",-$P1654)</x:f>
        <x:v>-1</x:v>
      </x:c>
      <x:c r="R1654" s="655" t="n">
        <x:f>IF($P1654="","",$O1654*$P1654)</x:f>
        <x:v>0</x:v>
      </x:c>
      <x:c r="S1654" s="552" t="str">
        <x:f>IF($M1654="","",TRIM(IF($M1654="Mineral",IF(ISNUMBER($N1654),"Mineral; basis Conv Amt(dec). ",IF($P1654=0,"Mineral; surface-only/reserved-&gt;0 min. ","Mineral; NO AMOUNT-verify instrument. ")),$M1654&amp;" (non-mineral; excluded from mineral NMA). ")&amp;IF(OR(ISNUMBER(SEARCH("public",$G1654)),ISNUMBER(SEARCH("public",$H1654))),"FLAG: The Public placeholder-verify. ","")&amp;IF(ISNUMBER(SEARCH("all",$L1654)),"All-section coverage. ","")&amp;IF($O1654=0,"Gross acres unresolved. ","")&amp;"Gross=tract-map basis."))</x:f>
        <x:v>Mineral; basis Conv Amt(dec). Gross acres unresolved. Gross=tract-map basis.</x:v>
      </x:c>
      <x:c r="T1654" s="577" t="n"/>
      <x:c r="U1654" s="577" t="n"/>
      <x:c r="V1654" s="565" t="n"/>
      <x:c r="W1654" s="565" t="n"/>
      <x:c r="X1654" s="565" t="n"/>
      <x:c r="Y1654" s="565" t="n"/>
      <x:c r="Z1654" s="565" t="n"/>
    </x:row>
    <x:row r="1655">
      <x:c r="A1655" s="552" t="inlineStr">
        <x:is>
          <x:t xml:space="preserve">1985-006556</x:t>
        </x:is>
      </x:c>
      <x:c r="B1655" s="552" t="n"/>
      <x:c r="C1655" s="552" t="inlineStr">
        <x:is>
          <x:t xml:space="preserve">Mineral Deed</x:t>
        </x:is>
      </x:c>
      <x:c r="D1655" s="552" t="inlineStr">
        <x:is>
          <x:t xml:space="preserve">751/68</x:t>
        </x:is>
      </x:c>
      <x:c r="E1655" s="653" t="n">
        <x:v>31308</x:v>
      </x:c>
      <x:c r="F1655" s="653" t="n">
        <x:v>31308</x:v>
      </x:c>
      <x:c r="G1655" s="552" t="inlineStr">
        <x:is>
          <x:t xml:space="preserve">Billy W. Bain</x:t>
        </x:is>
      </x:c>
      <x:c r="H1655" s="552" t="inlineStr">
        <x:is>
          <x:t xml:space="preserve">David S. Silverberg</x:t>
        </x:is>
      </x:c>
      <x:c r="I1655" s="552" t="inlineStr">
        <x:is>
          <x:t xml:space="preserve">S/2 SE/4, NW/4 SE/4, SW/4 NE/4 of 31-12N-24W, aol</x:t>
        </x:is>
      </x:c>
      <x:c r="J1655" s="552" t="inlineStr">
        <x:is>
          <x:t xml:space="preserve">1/791.47 interest in 2 sections</x:t>
        </x:is>
      </x:c>
      <x:c r="K1655" s="554" t="e">
        <x:f>HYPERLINK("https://okcountyrecords.com/detail/roger+mills/1985-006556","OKCountyRecords: 1985-006556")</x:f>
      </x:c>
      <x:c r="L1655" s="552" t="n">
        <x:v>2</x:v>
      </x:c>
      <x:c r="M1655" s="552" t="inlineStr">
        <x:is>
          <x:t xml:space="preserve">Mineral</x:t>
        </x:is>
      </x:c>
      <x:c r="N1655" s="555" t="n">
        <x:f>1/791.47</x:f>
        <x:v>0.0012634717677233501</x:v>
      </x:c>
      <x:c r="O1655" s="556" t="n">
        <x:f>IF($L1655="","",IF(ISNUMBER(SEARCH("all",$L1655)),640,(ISNUMBER(SEARCH("1",$L1655)))*80+(ISNUMBER(SEARCH("2",$L1655)))*160+(ISNUMBER(SEARCH("3",$L1655)))*40+(ISNUMBER(SEARCH("4",$L1655)))*80+(ISNUMBER(SEARCH("5",$L1655)))*120+(ISNUMBER(SEARCH("6",$L1655)))*80+(ISNUMBER(SEARCH("7",$L1655)))*40+(ISNUMBER(SEARCH("8",$L1655)))*40))</x:f>
        <x:v>0</x:v>
      </x:c>
      <x:c r="P1655" s="654" t="n">
        <x:f>IF($M1655&lt;&gt;"Mineral","",IF(ISNUMBER($N1655),$N1655,IF(OR(ISNUMBER(SEARCH("surface",$J1655)),ISNUMBER(SEARCH("reserv",$J1655)),ISNUMBER(SEARCH("less and except",$J1655))),0,"")))</x:f>
        <x:v>0.0012634717677233501</x:v>
      </x:c>
      <x:c r="Q1655" s="654" t="n">
        <x:f>IF($P1655="","",-$P1655)</x:f>
        <x:v>-0.0012634717677233501</x:v>
      </x:c>
      <x:c r="R1655" s="655" t="n">
        <x:f>IF($P1655="","",$O1655*$P1655)</x:f>
        <x:v>0</x:v>
      </x:c>
      <x:c r="S1655" s="552" t="str">
        <x:f>IF($M1655="","",TRIM(IF($M1655="Mineral",IF(ISNUMBER($N1655),"Mineral; basis Conv Amt(dec). ",IF($P1655=0,"Mineral; surface-only/reserved-&gt;0 min. ","Mineral; NO AMOUNT-verify instrument. ")),$M1655&amp;" (non-mineral; excluded from mineral NMA). ")&amp;IF(OR(ISNUMBER(SEARCH("public",$G1655)),ISNUMBER(SEARCH("public",$H1655))),"FLAG: The Public placeholder-verify. ","")&amp;IF(ISNUMBER(SEARCH("all",$L1655)),"All-section coverage. ","")&amp;IF($O1655=0,"Gross acres unresolved. ","")&amp;"Gross=tract-map basis."))</x:f>
        <x:v>Mineral; basis Conv Amt(dec). Gross acres unresolved. Gross=tract-map basis.</x:v>
      </x:c>
      <x:c r="T1655" s="577" t="n"/>
      <x:c r="U1655" s="577" t="n"/>
      <x:c r="V1655" s="565" t="n"/>
      <x:c r="W1655" s="565" t="n"/>
      <x:c r="X1655" s="565" t="n"/>
      <x:c r="Y1655" s="565" t="n"/>
      <x:c r="Z1655" s="565" t="n"/>
    </x:row>
    <x:row r="1656">
      <x:c r="A1656" s="552" t="inlineStr">
        <x:is>
          <x:t xml:space="preserve">1985-007068</x:t>
        </x:is>
      </x:c>
      <x:c r="B1656" s="552" t="n"/>
      <x:c r="C1656" s="552" t="inlineStr">
        <x:is>
          <x:t xml:space="preserve">Trustee's Deed</x:t>
        </x:is>
      </x:c>
      <x:c r="D1656" s="552" t="inlineStr">
        <x:is>
          <x:t xml:space="preserve">756/16</x:t>
        </x:is>
      </x:c>
      <x:c r="E1656" s="653" t="n">
        <x:v>31329</x:v>
      </x:c>
      <x:c r="F1656" s="653" t="n">
        <x:v>31329</x:v>
      </x:c>
      <x:c r="G1656" s="552" t="inlineStr">
        <x:is>
          <x:t xml:space="preserve">Liberty National Bank &amp; Trust Company, Trustee of C. W. Hall, Deceased</x:t>
        </x:is>
      </x:c>
      <x:c r="H1656" s="552" t="inlineStr">
        <x:is>
          <x:t xml:space="preserve">Darlene Hall Cox, 3/4,
Sunya Lee Westkaemper, 1/4</x:t>
        </x:is>
      </x:c>
      <x:c r="I1656" s="552" t="inlineStr">
        <x:is>
          <x:t xml:space="preserve">31-12N-24W not found on document</x:t>
        </x:is>
      </x:c>
      <x:c r="J1656" s="552" t="inlineStr">
        <x:is>
          <x:t xml:space="preserve">ARTI, The Grantor received distribution of the interests covered by this Trustee's Deed as Co-Trustee with Roy Craig under the Final Decree entered in the Estate of C. W. Hall, Deceased,. dated July 28, 1966, Case No. 3299, County Court, Dewey County, Oklahoma. Roy Craig died on or about August 20,1974, and E. S. Collier, the designated successor Co-Trustee, died on or about August 15, 1962. In accordance with the Last Will and Testament of C. W. Hall, as amended by the First Codicil and Second Codicil thereto, The Liberty National Bank and Trust Company of Oklahoma City is now serving as sole Trustee.</x:t>
        </x:is>
      </x:c>
      <x:c r="K1656" s="554" t="e">
        <x:f>HYPERLINK("https://okcountyrecords.com/detail/roger+mills/1985-007068","OKCountyRecords: 1985-007068")</x:f>
      </x:c>
      <x:c r="L1656" s="552" t="inlineStr">
        <x:is>
          <x:t xml:space="preserve">All (1-8)</x:t>
        </x:is>
      </x:c>
      <x:c r="M1656" s="552" t="inlineStr">
        <x:is>
          <x:t xml:space="preserve">Mineral</x:t>
        </x:is>
      </x:c>
      <x:c r="N1656" s="555" t="n">
        <x:v>1</x:v>
      </x:c>
      <x:c r="O1656" s="556" t="n">
        <x:f>IF($L1656="","",IF(ISNUMBER(SEARCH("all",$L1656)),640,(ISNUMBER(SEARCH("1",$L1656)))*80+(ISNUMBER(SEARCH("2",$L1656)))*160+(ISNUMBER(SEARCH("3",$L1656)))*40+(ISNUMBER(SEARCH("4",$L1656)))*80+(ISNUMBER(SEARCH("5",$L1656)))*120+(ISNUMBER(SEARCH("6",$L1656)))*80+(ISNUMBER(SEARCH("7",$L1656)))*40+(ISNUMBER(SEARCH("8",$L1656)))*40))</x:f>
        <x:v>640</x:v>
      </x:c>
      <x:c r="P1656" s="654" t="n">
        <x:f>IF($M1656&lt;&gt;"Mineral","",IF(ISNUMBER($N1656),$N1656,IF(OR(ISNUMBER(SEARCH("surface",$J1656)),ISNUMBER(SEARCH("reserv",$J1656)),ISNUMBER(SEARCH("less and except",$J1656))),0,"")))</x:f>
        <x:v>1</x:v>
      </x:c>
      <x:c r="Q1656" s="654" t="n">
        <x:f>IF($P1656="","",-$P1656)</x:f>
        <x:v>-1</x:v>
      </x:c>
      <x:c r="R1656" s="655" t="n">
        <x:f>IF($P1656="","",$O1656*$P1656)</x:f>
        <x:v>640</x:v>
      </x:c>
      <x:c r="S1656" s="552" t="str">
        <x:f>IF($M1656="","",TRIM(IF($M1656="Mineral",IF(ISNUMBER($N1656),"Mineral; basis Conv Amt(dec). ",IF($P1656=0,"Mineral; surface-only/reserved-&gt;0 min. ","Mineral; NO AMOUNT-verify instrument. ")),$M1656&amp;" (non-mineral; excluded from mineral NMA). ")&amp;IF(OR(ISNUMBER(SEARCH("public",$G1656)),ISNUMBER(SEARCH("public",$H1656))),"FLAG: The Public placeholder-verify. ","")&amp;IF(ISNUMBER(SEARCH("all",$L1656)),"All-section coverage. ","")&amp;IF($O1656=0,"Gross acres unresolved. ","")&amp;"Gross=tract-map basis."))</x:f>
        <x:v>Mineral; basis Conv Amt(dec). All-section coverage. Gross=tract-map basis.</x:v>
      </x:c>
      <x:c r="T1656" s="577" t="n"/>
      <x:c r="U1656" s="577" t="n"/>
      <x:c r="V1656" s="565" t="n"/>
      <x:c r="W1656" s="565" t="n"/>
      <x:c r="X1656" s="565" t="n"/>
      <x:c r="Y1656" s="565" t="n"/>
      <x:c r="Z1656" s="565" t="n"/>
    </x:row>
    <x:row r="1657">
      <x:c r="A1657" s="552" t="inlineStr">
        <x:is>
          <x:t xml:space="preserve">1985-007096</x:t>
        </x:is>
      </x:c>
      <x:c r="B1657" s="552" t="n"/>
      <x:c r="C1657" s="552" t="inlineStr">
        <x:is>
          <x:t xml:space="preserve">Quit Claim Deed</x:t>
        </x:is>
      </x:c>
      <x:c r="D1657" s="552" t="inlineStr">
        <x:is>
          <x:t xml:space="preserve">756/79</x:t>
        </x:is>
      </x:c>
      <x:c r="E1657" s="653" t="n">
        <x:v>31330</x:v>
      </x:c>
      <x:c r="F1657" s="653" t="n">
        <x:v>31330</x:v>
      </x:c>
      <x:c r="G1657" s="552" t="inlineStr">
        <x:is>
          <x:t xml:space="preserve">Margie Kirk</x:t>
        </x:is>
      </x:c>
      <x:c r="H1657" s="552" t="inlineStr">
        <x:is>
          <x:t xml:space="preserve">Herman M. Sides,
Laury C. Sides</x:t>
        </x:is>
      </x:c>
      <x:c r="I1657" s="552" t="inlineStr">
        <x:is>
          <x:t xml:space="preserve">A tract in Lot 1 in 31-12N-24W, described as follows: Beginning at the NW Corner of said Lot Is thence East 420.38 feets thence South 725 feets thence West 420.58 feet, thence North 725 feet to the point of beginning. containing 7 acres, more or less</x:t>
        </x:is>
      </x:c>
      <x:c r="J1657" s="552" t="inlineStr">
        <x:is>
          <x:t xml:space="preserve">ARTI</x:t>
        </x:is>
      </x:c>
      <x:c r="K1657" s="554" t="e">
        <x:f>HYPERLINK("https://okcountyrecords.com/detail/roger+mills/1985-007096","OKCountyRecords: 1985-007096")</x:f>
      </x:c>
      <x:c r="L1657" s="552" t="n">
        <x:v>5</x:v>
      </x:c>
      <x:c r="M1657" s="552" t="inlineStr">
        <x:is>
          <x:t xml:space="preserve">Mineral</x:t>
        </x:is>
      </x:c>
      <x:c r="N1657" s="555" t="n">
        <x:v>1</x:v>
      </x:c>
      <x:c r="O1657" s="556" t="n">
        <x:f>IF($L1657="","",IF(ISNUMBER(SEARCH("all",$L1657)),640,(ISNUMBER(SEARCH("1",$L1657)))*80+(ISNUMBER(SEARCH("2",$L1657)))*160+(ISNUMBER(SEARCH("3",$L1657)))*40+(ISNUMBER(SEARCH("4",$L1657)))*80+(ISNUMBER(SEARCH("5",$L1657)))*120+(ISNUMBER(SEARCH("6",$L1657)))*80+(ISNUMBER(SEARCH("7",$L1657)))*40+(ISNUMBER(SEARCH("8",$L1657)))*40))</x:f>
        <x:v>0</x:v>
      </x:c>
      <x:c r="P1657" s="654" t="n">
        <x:f>IF($M1657&lt;&gt;"Mineral","",IF(ISNUMBER($N1657),$N1657,IF(OR(ISNUMBER(SEARCH("surface",$J1657)),ISNUMBER(SEARCH("reserv",$J1657)),ISNUMBER(SEARCH("less and except",$J1657))),0,"")))</x:f>
        <x:v>1</x:v>
      </x:c>
      <x:c r="Q1657" s="654" t="n">
        <x:f>IF($P1657="","",-$P1657)</x:f>
        <x:v>-1</x:v>
      </x:c>
      <x:c r="R1657" s="655" t="n">
        <x:f>IF($P1657="","",$O1657*$P1657)</x:f>
        <x:v>0</x:v>
      </x:c>
      <x:c r="S1657" s="552" t="str">
        <x:f>IF($M1657="","",TRIM(IF($M1657="Mineral",IF(ISNUMBER($N1657),"Mineral; basis Conv Amt(dec). ",IF($P1657=0,"Mineral; surface-only/reserved-&gt;0 min. ","Mineral; NO AMOUNT-verify instrument. ")),$M1657&amp;" (non-mineral; excluded from mineral NMA). ")&amp;IF(OR(ISNUMBER(SEARCH("public",$G1657)),ISNUMBER(SEARCH("public",$H1657))),"FLAG: The Public placeholder-verify. ","")&amp;IF(ISNUMBER(SEARCH("all",$L1657)),"All-section coverage. ","")&amp;IF($O1657=0,"Gross acres unresolved. ","")&amp;"Gross=tract-map basis."))</x:f>
        <x:v>Mineral; basis Conv Amt(dec). Gross acres unresolved. Gross=tract-map basis.</x:v>
      </x:c>
      <x:c r="T1657" s="577" t="n"/>
      <x:c r="U1657" s="577" t="n"/>
      <x:c r="V1657" s="565" t="n"/>
      <x:c r="W1657" s="565" t="n"/>
      <x:c r="X1657" s="565" t="n"/>
      <x:c r="Y1657" s="565" t="n"/>
      <x:c r="Z1657" s="565" t="n"/>
    </x:row>
    <x:row r="1658">
      <x:c r="A1658" s="552" t="inlineStr">
        <x:is>
          <x:t xml:space="preserve">1985-000061</x:t>
        </x:is>
      </x:c>
      <x:c r="B1658" s="552" t="n"/>
      <x:c r="C1658" s="552" t="inlineStr">
        <x:is>
          <x:t xml:space="preserve">Mineral Deed</x:t>
        </x:is>
      </x:c>
      <x:c r="D1658" s="552" t="inlineStr">
        <x:is>
          <x:t xml:space="preserve">583/236</x:t>
        </x:is>
      </x:c>
      <x:c r="E1658" s="653" t="n">
        <x:v>31408</x:v>
      </x:c>
      <x:c r="F1658" s="653" t="n">
        <x:v>31408</x:v>
      </x:c>
      <x:c r="G1658" s="552" t="inlineStr">
        <x:is>
          <x:t xml:space="preserve">Juanita M. Wolff</x:t>
        </x:is>
      </x:c>
      <x:c r="H1658" s="552" t="inlineStr">
        <x:is>
          <x:t xml:space="preserve">Paul R. and/or Deborah A. Deutsch</x:t>
        </x:is>
      </x:c>
      <x:c r="I1658" s="552" t="inlineStr">
        <x:is>
          <x:t xml:space="preserve">S/2 SE/4, NW/4 SE/4, SW/4 NE/4 of 31-12N-24W, aol</x:t>
        </x:is>
      </x:c>
      <x:c r="J1658" s="552" t="inlineStr">
        <x:is>
          <x:t xml:space="preserve">1/791.47 interest in 2 sections</x:t>
        </x:is>
      </x:c>
      <x:c r="K1658" s="554" t="e">
        <x:f>HYPERLINK("https://okcountyrecords.com/detail/roger+mills/1985-000061","OKCountyRecords: 1985-000061")</x:f>
      </x:c>
      <x:c r="L1658" s="552" t="n">
        <x:v>2</x:v>
      </x:c>
      <x:c r="M1658" s="552" t="inlineStr">
        <x:is>
          <x:t xml:space="preserve">Mineral</x:t>
        </x:is>
      </x:c>
      <x:c r="N1658" s="555" t="n">
        <x:f>1/791.47</x:f>
        <x:v>0.0012634717677233501</x:v>
      </x:c>
      <x:c r="O1658" s="556" t="n">
        <x:f>IF($L1658="","",IF(ISNUMBER(SEARCH("all",$L1658)),640,(ISNUMBER(SEARCH("1",$L1658)))*80+(ISNUMBER(SEARCH("2",$L1658)))*160+(ISNUMBER(SEARCH("3",$L1658)))*40+(ISNUMBER(SEARCH("4",$L1658)))*80+(ISNUMBER(SEARCH("5",$L1658)))*120+(ISNUMBER(SEARCH("6",$L1658)))*80+(ISNUMBER(SEARCH("7",$L1658)))*40+(ISNUMBER(SEARCH("8",$L1658)))*40))</x:f>
        <x:v>0</x:v>
      </x:c>
      <x:c r="P1658" s="654" t="n">
        <x:f>IF($M1658&lt;&gt;"Mineral","",IF(ISNUMBER($N1658),$N1658,IF(OR(ISNUMBER(SEARCH("surface",$J1658)),ISNUMBER(SEARCH("reserv",$J1658)),ISNUMBER(SEARCH("less and except",$J1658))),0,"")))</x:f>
        <x:v>0.0012634717677233501</x:v>
      </x:c>
      <x:c r="Q1658" s="654" t="n">
        <x:f>IF($P1658="","",-$P1658)</x:f>
        <x:v>-0.0012634717677233501</x:v>
      </x:c>
      <x:c r="R1658" s="655" t="n">
        <x:f>IF($P1658="","",$O1658*$P1658)</x:f>
        <x:v>0</x:v>
      </x:c>
      <x:c r="S1658" s="552" t="str">
        <x:f>IF($M1658="","",TRIM(IF($M1658="Mineral",IF(ISNUMBER($N1658),"Mineral; basis Conv Amt(dec). ",IF($P1658=0,"Mineral; surface-only/reserved-&gt;0 min. ","Mineral; NO AMOUNT-verify instrument. ")),$M1658&amp;" (non-mineral; excluded from mineral NMA). ")&amp;IF(OR(ISNUMBER(SEARCH("public",$G1658)),ISNUMBER(SEARCH("public",$H1658))),"FLAG: The Public placeholder-verify. ","")&amp;IF(ISNUMBER(SEARCH("all",$L1658)),"All-section coverage. ","")&amp;IF($O1658=0,"Gross acres unresolved. ","")&amp;"Gross=tract-map basis."))</x:f>
        <x:v>Mineral; basis Conv Amt(dec). Gross acres unresolved. Gross=tract-map basis.</x:v>
      </x:c>
      <x:c r="T1658" s="577" t="n"/>
      <x:c r="U1658" s="577" t="n"/>
      <x:c r="V1658" s="565" t="n"/>
      <x:c r="W1658" s="565" t="n"/>
      <x:c r="X1658" s="565" t="n"/>
      <x:c r="Y1658" s="565" t="n"/>
      <x:c r="Z1658" s="565" t="n"/>
    </x:row>
    <x:row r="1659">
      <x:c r="A1659" s="552" t="inlineStr">
        <x:is>
          <x:t xml:space="preserve">1985-000060</x:t>
        </x:is>
      </x:c>
      <x:c r="B1659" s="552" t="n"/>
      <x:c r="C1659" s="552" t="inlineStr">
        <x:is>
          <x:t xml:space="preserve">Mineral Deed</x:t>
        </x:is>
      </x:c>
      <x:c r="D1659" s="552" t="inlineStr">
        <x:is>
          <x:t xml:space="preserve">583/234</x:t>
        </x:is>
      </x:c>
      <x:c r="E1659" s="653" t="n">
        <x:v>31408</x:v>
      </x:c>
      <x:c r="F1659" s="653" t="n">
        <x:v>31408</x:v>
      </x:c>
      <x:c r="G1659" s="552" t="inlineStr">
        <x:is>
          <x:t xml:space="preserve">Juanita M. Wolff</x:t>
        </x:is>
      </x:c>
      <x:c r="H1659" s="552" t="inlineStr">
        <x:is>
          <x:t xml:space="preserve">Laura L. Snyder</x:t>
        </x:is>
      </x:c>
      <x:c r="I1659" s="552" t="inlineStr">
        <x:is>
          <x:t xml:space="preserve">S/2 SE/4, NW/4 SE/4, SW/4 NE/4 of 31-12N-24W, aol</x:t>
        </x:is>
      </x:c>
      <x:c r="J1659" s="552" t="inlineStr">
        <x:is>
          <x:t xml:space="preserve">2/791.47 interest in 2 sections</x:t>
        </x:is>
      </x:c>
      <x:c r="K1659" s="554" t="e">
        <x:f>HYPERLINK("https://okcountyrecords.com/detail/roger+mills/1985-000060","OKCountyRecords: 1985-000060")</x:f>
      </x:c>
      <x:c r="L1659" s="552" t="n">
        <x:v>2</x:v>
      </x:c>
      <x:c r="M1659" s="552" t="inlineStr">
        <x:is>
          <x:t xml:space="preserve">Mineral</x:t>
        </x:is>
      </x:c>
      <x:c r="N1659" s="555" t="n">
        <x:f>2/791.47</x:f>
        <x:v>0.0025269435354467002</x:v>
      </x:c>
      <x:c r="O1659" s="556" t="n">
        <x:f>IF($L1659="","",IF(ISNUMBER(SEARCH("all",$L1659)),640,(ISNUMBER(SEARCH("1",$L1659)))*80+(ISNUMBER(SEARCH("2",$L1659)))*160+(ISNUMBER(SEARCH("3",$L1659)))*40+(ISNUMBER(SEARCH("4",$L1659)))*80+(ISNUMBER(SEARCH("5",$L1659)))*120+(ISNUMBER(SEARCH("6",$L1659)))*80+(ISNUMBER(SEARCH("7",$L1659)))*40+(ISNUMBER(SEARCH("8",$L1659)))*40))</x:f>
        <x:v>0</x:v>
      </x:c>
      <x:c r="P1659" s="654" t="n">
        <x:f>IF($M1659&lt;&gt;"Mineral","",IF(ISNUMBER($N1659),$N1659,IF(OR(ISNUMBER(SEARCH("surface",$J1659)),ISNUMBER(SEARCH("reserv",$J1659)),ISNUMBER(SEARCH("less and except",$J1659))),0,"")))</x:f>
        <x:v>0.0025269435354467002</x:v>
      </x:c>
      <x:c r="Q1659" s="654" t="n">
        <x:f>IF($P1659="","",-$P1659)</x:f>
        <x:v>-0.0025269435354467002</x:v>
      </x:c>
      <x:c r="R1659" s="655" t="n">
        <x:f>IF($P1659="","",$O1659*$P1659)</x:f>
        <x:v>0</x:v>
      </x:c>
      <x:c r="S1659" s="552" t="str">
        <x:f>IF($M1659="","",TRIM(IF($M1659="Mineral",IF(ISNUMBER($N1659),"Mineral; basis Conv Amt(dec). ",IF($P1659=0,"Mineral; surface-only/reserved-&gt;0 min. ","Mineral; NO AMOUNT-verify instrument. ")),$M1659&amp;" (non-mineral; excluded from mineral NMA). ")&amp;IF(OR(ISNUMBER(SEARCH("public",$G1659)),ISNUMBER(SEARCH("public",$H1659))),"FLAG: The Public placeholder-verify. ","")&amp;IF(ISNUMBER(SEARCH("all",$L1659)),"All-section coverage. ","")&amp;IF($O1659=0,"Gross acres unresolved. ","")&amp;"Gross=tract-map basis."))</x:f>
        <x:v>Mineral; basis Conv Amt(dec). Gross acres unresolved. Gross=tract-map basis.</x:v>
      </x:c>
      <x:c r="T1659" s="577" t="n"/>
      <x:c r="U1659" s="577" t="n"/>
      <x:c r="V1659" s="565" t="n"/>
      <x:c r="W1659" s="565" t="n"/>
      <x:c r="X1659" s="565" t="n"/>
      <x:c r="Y1659" s="565" t="n"/>
      <x:c r="Z1659" s="565" t="n"/>
    </x:row>
    <x:row r="1660">
      <x:c r="A1660" s="552" t="inlineStr">
        <x:is>
          <x:t xml:space="preserve">1986-000268</x:t>
        </x:is>
      </x:c>
      <x:c r="B1660" s="552" t="n"/>
      <x:c r="C1660" s="552" t="inlineStr">
        <x:is>
          <x:t xml:space="preserve">Mineral Deed</x:t>
        </x:is>
      </x:c>
      <x:c r="D1660" s="552" t="inlineStr">
        <x:is>
          <x:t xml:space="preserve">781/183</x:t>
        </x:is>
      </x:c>
      <x:c r="E1660" s="653" t="n">
        <x:v>31418</x:v>
      </x:c>
      <x:c r="F1660" s="653" t="n">
        <x:v>31418</x:v>
      </x:c>
      <x:c r="G1660" s="552" t="inlineStr">
        <x:is>
          <x:t xml:space="preserve">Mann Childrens Trust, by Walter J. Rusek, Trustee</x:t>
        </x:is>
      </x:c>
      <x:c r="H1660" s="552" t="inlineStr">
        <x:is>
          <x:t xml:space="preserve">Mann Group Investment Company</x:t>
        </x:is>
      </x:c>
      <x:c r="I1660" s="552" t="inlineStr">
        <x:is>
          <x:t xml:space="preserve">E/2 NW/4, SE/4 NE/4, NE/4 SE/4, N/2 NE/4 SW/4 of 31-12N-24W, aol</x:t>
        </x:is>
      </x:c>
      <x:c r="J1660" s="552" t="inlineStr">
        <x:is>
          <x:t xml:space="preserve">2/260 interest in 2 sections
being the same property conveved in Mineral Deed dated May 24, 1974, from Marie Lister to Mann Children's Trust, recorded in Book 165, Page 87 of the Mineral Records of Roger Mills County, Oklahoma, containing 260 acres, more or less, to</x:t>
        </x:is>
      </x:c>
      <x:c r="K1660" s="554" t="e">
        <x:f>HYPERLINK("https://okcountyrecords.com/detail/roger+mills/1986-000268","OKCountyRecords: 1986-000268")</x:f>
      </x:c>
      <x:c r="L1660" s="552" t="inlineStr">
        <x:is>
          <x:t xml:space="preserve">1, 3, 4, 7, 8</x:t>
        </x:is>
      </x:c>
      <x:c r="M1660" s="552" t="inlineStr">
        <x:is>
          <x:t xml:space="preserve">Mineral</x:t>
        </x:is>
      </x:c>
      <x:c r="N1660" s="561" t="n">
        <x:f>2/260</x:f>
        <x:v>0.007692307692307693</x:v>
      </x:c>
      <x:c r="O1660" s="556" t="n">
        <x:f>IF($L1660="","",IF(ISNUMBER(SEARCH("all",$L1660)),640,(ISNUMBER(SEARCH("1",$L1660)))*80+(ISNUMBER(SEARCH("2",$L1660)))*160+(ISNUMBER(SEARCH("3",$L1660)))*40+(ISNUMBER(SEARCH("4",$L1660)))*80+(ISNUMBER(SEARCH("5",$L1660)))*120+(ISNUMBER(SEARCH("6",$L1660)))*80+(ISNUMBER(SEARCH("7",$L1660)))*40+(ISNUMBER(SEARCH("8",$L1660)))*40))</x:f>
        <x:v>0</x:v>
      </x:c>
      <x:c r="P1660" s="654" t="n">
        <x:f>IF($M1660&lt;&gt;"Mineral","",IF(ISNUMBER($N1660),$N1660,IF(OR(ISNUMBER(SEARCH("surface",$J1660)),ISNUMBER(SEARCH("reserv",$J1660)),ISNUMBER(SEARCH("less and except",$J1660))),0,"")))</x:f>
        <x:v>0.007692307692307693</x:v>
      </x:c>
      <x:c r="Q1660" s="654" t="n">
        <x:f>IF($P1660="","",-$P1660)</x:f>
        <x:v>-0.007692307692307693</x:v>
      </x:c>
      <x:c r="R1660" s="655" t="n">
        <x:f>IF($P1660="","",$O1660*$P1660)</x:f>
        <x:v>0</x:v>
      </x:c>
      <x:c r="S1660" s="552" t="str">
        <x:f>IF($M1660="","",TRIM(IF($M1660="Mineral",IF(ISNUMBER($N1660),"Mineral; basis Conv Amt(dec). ",IF($P1660=0,"Mineral; surface-only/reserved-&gt;0 min. ","Mineral; NO AMOUNT-verify instrument. ")),$M1660&amp;" (non-mineral; excluded from mineral NMA). ")&amp;IF(OR(ISNUMBER(SEARCH("public",$G1660)),ISNUMBER(SEARCH("public",$H1660))),"FLAG: The Public placeholder-verify. ","")&amp;IF(ISNUMBER(SEARCH("all",$L1660)),"All-section coverage. ","")&amp;IF($O1660=0,"Gross acres unresolved. ","")&amp;"Gross=tract-map basis."))</x:f>
        <x:v>Mineral; basis Conv Amt(dec). Gross acres unresolved. Gross=tract-map basis.</x:v>
      </x:c>
      <x:c r="T1660" s="577" t="n"/>
      <x:c r="U1660" s="577" t="n"/>
      <x:c r="V1660" s="565" t="n"/>
      <x:c r="W1660" s="565" t="n"/>
      <x:c r="X1660" s="565" t="n"/>
      <x:c r="Y1660" s="565" t="n"/>
      <x:c r="Z1660" s="565" t="n"/>
    </x:row>
    <x:row r="1661">
      <x:c r="A1661" s="552" t="inlineStr">
        <x:is>
          <x:t xml:space="preserve">1986-000656</x:t>
        </x:is>
      </x:c>
      <x:c r="B1661" s="552" t="n"/>
      <x:c r="C1661" s="552" t="inlineStr">
        <x:is>
          <x:t xml:space="preserve">Mineral Deed</x:t>
        </x:is>
      </x:c>
      <x:c r="D1661" s="552" t="inlineStr">
        <x:is>
          <x:t xml:space="preserve">786/270</x:t>
        </x:is>
      </x:c>
      <x:c r="E1661" s="653" t="n">
        <x:v>31434</x:v>
      </x:c>
      <x:c r="F1661" s="653" t="n">
        <x:v>31434</x:v>
      </x:c>
      <x:c r="G1661" s="552" t="inlineStr">
        <x:is>
          <x:t xml:space="preserve">O. I. L. Energy, Inc.</x:t>
        </x:is>
      </x:c>
      <x:c r="H1661" s="552" t="inlineStr">
        <x:is>
          <x:t xml:space="preserve">Black Hawk Oil Company</x:t>
        </x:is>
      </x:c>
      <x:c r="I1661" s="552" t="inlineStr">
        <x:is>
          <x:t xml:space="preserve">E/2 NW/4 of 31-12N-24W</x:t>
        </x:is>
      </x:c>
      <x:c r="J1661" s="552" t="inlineStr">
        <x:is>
          <x:t xml:space="preserve">ARTI</x:t>
        </x:is>
      </x:c>
      <x:c r="K1661" s="554" t="e">
        <x:f>HYPERLINK("https://okcountyrecords.com/detail/roger+mills/1986-000656","OKCountyRecords: 1986-000656")</x:f>
      </x:c>
      <x:c r="L1661" s="552" t="n">
        <x:v>4</x:v>
      </x:c>
      <x:c r="M1661" s="552" t="inlineStr">
        <x:is>
          <x:t xml:space="preserve">Mineral</x:t>
        </x:is>
      </x:c>
      <x:c r="N1661" s="555" t="n">
        <x:v>1</x:v>
      </x:c>
      <x:c r="O1661" s="556" t="n">
        <x:f>IF($L1661="","",IF(ISNUMBER(SEARCH("all",$L1661)),640,(ISNUMBER(SEARCH("1",$L1661)))*80+(ISNUMBER(SEARCH("2",$L1661)))*160+(ISNUMBER(SEARCH("3",$L1661)))*40+(ISNUMBER(SEARCH("4",$L1661)))*80+(ISNUMBER(SEARCH("5",$L1661)))*120+(ISNUMBER(SEARCH("6",$L1661)))*80+(ISNUMBER(SEARCH("7",$L1661)))*40+(ISNUMBER(SEARCH("8",$L1661)))*40))</x:f>
        <x:v>0</x:v>
      </x:c>
      <x:c r="P1661" s="654" t="n">
        <x:f>IF($M1661&lt;&gt;"Mineral","",IF(ISNUMBER($N1661),$N1661,IF(OR(ISNUMBER(SEARCH("surface",$J1661)),ISNUMBER(SEARCH("reserv",$J1661)),ISNUMBER(SEARCH("less and except",$J1661))),0,"")))</x:f>
        <x:v>1</x:v>
      </x:c>
      <x:c r="Q1661" s="654" t="n">
        <x:f>IF($P1661="","",-$P1661)</x:f>
        <x:v>-1</x:v>
      </x:c>
      <x:c r="R1661" s="655" t="n">
        <x:f>IF($P1661="","",$O1661*$P1661)</x:f>
        <x:v>0</x:v>
      </x:c>
      <x:c r="S1661" s="552" t="str">
        <x:f>IF($M1661="","",TRIM(IF($M1661="Mineral",IF(ISNUMBER($N1661),"Mineral; basis Conv Amt(dec). ",IF($P1661=0,"Mineral; surface-only/reserved-&gt;0 min. ","Mineral; NO AMOUNT-verify instrument. ")),$M1661&amp;" (non-mineral; excluded from mineral NMA). ")&amp;IF(OR(ISNUMBER(SEARCH("public",$G1661)),ISNUMBER(SEARCH("public",$H1661))),"FLAG: The Public placeholder-verify. ","")&amp;IF(ISNUMBER(SEARCH("all",$L1661)),"All-section coverage. ","")&amp;IF($O1661=0,"Gross acres unresolved. ","")&amp;"Gross=tract-map basis."))</x:f>
        <x:v>Mineral; basis Conv Amt(dec). Gross acres unresolved. Gross=tract-map basis.</x:v>
      </x:c>
      <x:c r="T1661" s="577" t="n"/>
      <x:c r="U1661" s="577" t="n"/>
      <x:c r="V1661" s="565" t="n"/>
      <x:c r="W1661" s="565" t="n"/>
      <x:c r="X1661" s="565" t="n"/>
      <x:c r="Y1661" s="565" t="n"/>
      <x:c r="Z1661" s="565" t="n"/>
    </x:row>
    <x:row r="1662">
      <x:c r="A1662" s="552" t="inlineStr">
        <x:is>
          <x:t xml:space="preserve">1986-003428</x:t>
        </x:is>
      </x:c>
      <x:c r="B1662" s="552" t="n"/>
      <x:c r="C1662" s="552" t="inlineStr">
        <x:is>
          <x:t xml:space="preserve">Mineral Deed</x:t>
        </x:is>
      </x:c>
      <x:c r="D1662" s="552" t="inlineStr">
        <x:is>
          <x:t xml:space="preserve">815/191</x:t>
        </x:is>
      </x:c>
      <x:c r="E1662" s="653" t="n">
        <x:v>31582</x:v>
      </x:c>
      <x:c r="F1662" s="653" t="n">
        <x:v>31582</x:v>
      </x:c>
      <x:c r="G1662" s="552" t="inlineStr">
        <x:is>
          <x:t xml:space="preserve">Billy W. Bain</x:t>
        </x:is>
      </x:c>
      <x:c r="H1662" s="552" t="inlineStr">
        <x:is>
          <x:t xml:space="preserve">Paul R. and Deborah A. Deutsch</x:t>
        </x:is>
      </x:c>
      <x:c r="I1662" s="552" t="inlineStr">
        <x:is>
          <x:t xml:space="preserve">S/2 SE/4, NW/4 SE/4, SW/4 NE/4 of 31-12N-24W, aol</x:t>
        </x:is>
      </x:c>
      <x:c r="J1662" s="552" t="inlineStr">
        <x:is>
          <x:t xml:space="preserve">2/791.47 interest in 2 sections</x:t>
        </x:is>
      </x:c>
      <x:c r="K1662" s="554" t="e">
        <x:f>HYPERLINK("https://okcountyrecords.com/detail/roger+mills/1986-003428","OKCountyRecords: 1986-003428")</x:f>
      </x:c>
      <x:c r="L1662" s="552" t="n">
        <x:v>2</x:v>
      </x:c>
      <x:c r="M1662" s="552" t="inlineStr">
        <x:is>
          <x:t xml:space="preserve">Mineral</x:t>
        </x:is>
      </x:c>
      <x:c r="N1662" s="555" t="n">
        <x:f>2/791.47</x:f>
        <x:v>0.0025269435354467002</x:v>
      </x:c>
      <x:c r="O1662" s="556" t="n">
        <x:f>IF($L1662="","",IF(ISNUMBER(SEARCH("all",$L1662)),640,(ISNUMBER(SEARCH("1",$L1662)))*80+(ISNUMBER(SEARCH("2",$L1662)))*160+(ISNUMBER(SEARCH("3",$L1662)))*40+(ISNUMBER(SEARCH("4",$L1662)))*80+(ISNUMBER(SEARCH("5",$L1662)))*120+(ISNUMBER(SEARCH("6",$L1662)))*80+(ISNUMBER(SEARCH("7",$L1662)))*40+(ISNUMBER(SEARCH("8",$L1662)))*40))</x:f>
        <x:v>0</x:v>
      </x:c>
      <x:c r="P1662" s="654" t="n">
        <x:f>IF($M1662&lt;&gt;"Mineral","",IF(ISNUMBER($N1662),$N1662,IF(OR(ISNUMBER(SEARCH("surface",$J1662)),ISNUMBER(SEARCH("reserv",$J1662)),ISNUMBER(SEARCH("less and except",$J1662))),0,"")))</x:f>
        <x:v>0.0025269435354467002</x:v>
      </x:c>
      <x:c r="Q1662" s="654" t="n">
        <x:f>IF($P1662="","",-$P1662)</x:f>
        <x:v>-0.0025269435354467002</x:v>
      </x:c>
      <x:c r="R1662" s="655" t="n">
        <x:f>IF($P1662="","",$O1662*$P1662)</x:f>
        <x:v>0</x:v>
      </x:c>
      <x:c r="S1662" s="552" t="str">
        <x:f>IF($M1662="","",TRIM(IF($M1662="Mineral",IF(ISNUMBER($N1662),"Mineral; basis Conv Amt(dec). ",IF($P1662=0,"Mineral; surface-only/reserved-&gt;0 min. ","Mineral; NO AMOUNT-verify instrument. ")),$M1662&amp;" (non-mineral; excluded from mineral NMA). ")&amp;IF(OR(ISNUMBER(SEARCH("public",$G1662)),ISNUMBER(SEARCH("public",$H1662))),"FLAG: The Public placeholder-verify. ","")&amp;IF(ISNUMBER(SEARCH("all",$L1662)),"All-section coverage. ","")&amp;IF($O1662=0,"Gross acres unresolved. ","")&amp;"Gross=tract-map basis."))</x:f>
        <x:v>Mineral; basis Conv Amt(dec). Gross acres unresolved. Gross=tract-map basis.</x:v>
      </x:c>
      <x:c r="T1662" s="577" t="n"/>
      <x:c r="U1662" s="577" t="n"/>
      <x:c r="V1662" s="565" t="n"/>
      <x:c r="W1662" s="565" t="n"/>
      <x:c r="X1662" s="565" t="n"/>
      <x:c r="Y1662" s="565" t="n"/>
      <x:c r="Z1662" s="565" t="n"/>
    </x:row>
    <x:row r="1663">
      <x:c r="A1663" s="552" t="inlineStr">
        <x:is>
          <x:t xml:space="preserve">1986-004476</x:t>
        </x:is>
      </x:c>
      <x:c r="B1663" s="552" t="n"/>
      <x:c r="C1663" s="552" t="inlineStr">
        <x:is>
          <x:t xml:space="preserve">Mineral Deed</x:t>
        </x:is>
      </x:c>
      <x:c r="D1663" s="552" t="inlineStr">
        <x:is>
          <x:t xml:space="preserve">829/7</x:t>
        </x:is>
      </x:c>
      <x:c r="E1663" s="653" t="n">
        <x:v>31657</x:v>
      </x:c>
      <x:c r="F1663" s="653" t="n">
        <x:v>31657</x:v>
      </x:c>
      <x:c r="G1663" s="552" t="inlineStr">
        <x:is>
          <x:t xml:space="preserve">Billy W. Bain</x:t>
        </x:is>
      </x:c>
      <x:c r="H1663" s="552" t="inlineStr">
        <x:is>
          <x:t xml:space="preserve">Clarence C. Bain</x:t>
        </x:is>
      </x:c>
      <x:c r="I1663" s="552" t="inlineStr">
        <x:is>
          <x:t xml:space="preserve">S/2 SE/4, NW/4 SE/4, SW/4 NE/4 of 31-12N-24W, aol</x:t>
        </x:is>
      </x:c>
      <x:c r="J1663" s="552" t="inlineStr">
        <x:is>
          <x:t xml:space="preserve">3/791.47 interest in 2 sections</x:t>
        </x:is>
      </x:c>
      <x:c r="K1663" s="554" t="e">
        <x:f>HYPERLINK("https://okcountyrecords.com/detail/roger+mills/1986-004476","OKCountyRecords: 1986-004476")</x:f>
      </x:c>
      <x:c r="L1663" s="552" t="n">
        <x:v>2</x:v>
      </x:c>
      <x:c r="M1663" s="552" t="inlineStr">
        <x:is>
          <x:t xml:space="preserve">Mineral</x:t>
        </x:is>
      </x:c>
      <x:c r="N1663" s="555" t="n">
        <x:f>3/791.47</x:f>
        <x:v>0.0037904153031700504</x:v>
      </x:c>
      <x:c r="O1663" s="556" t="n">
        <x:f>IF($L1663="","",IF(ISNUMBER(SEARCH("all",$L1663)),640,(ISNUMBER(SEARCH("1",$L1663)))*80+(ISNUMBER(SEARCH("2",$L1663)))*160+(ISNUMBER(SEARCH("3",$L1663)))*40+(ISNUMBER(SEARCH("4",$L1663)))*80+(ISNUMBER(SEARCH("5",$L1663)))*120+(ISNUMBER(SEARCH("6",$L1663)))*80+(ISNUMBER(SEARCH("7",$L1663)))*40+(ISNUMBER(SEARCH("8",$L1663)))*40))</x:f>
        <x:v>0</x:v>
      </x:c>
      <x:c r="P1663" s="654" t="n">
        <x:f>IF($M1663&lt;&gt;"Mineral","",IF(ISNUMBER($N1663),$N1663,IF(OR(ISNUMBER(SEARCH("surface",$J1663)),ISNUMBER(SEARCH("reserv",$J1663)),ISNUMBER(SEARCH("less and except",$J1663))),0,"")))</x:f>
        <x:v>0.0037904153031700504</x:v>
      </x:c>
      <x:c r="Q1663" s="654" t="n">
        <x:f>IF($P1663="","",-$P1663)</x:f>
        <x:v>-0.0037904153031700504</x:v>
      </x:c>
      <x:c r="R1663" s="655" t="n">
        <x:f>IF($P1663="","",$O1663*$P1663)</x:f>
        <x:v>0</x:v>
      </x:c>
      <x:c r="S1663" s="552" t="str">
        <x:f>IF($M1663="","",TRIM(IF($M1663="Mineral",IF(ISNUMBER($N1663),"Mineral; basis Conv Amt(dec). ",IF($P1663=0,"Mineral; surface-only/reserved-&gt;0 min. ","Mineral; NO AMOUNT-verify instrument. ")),$M1663&amp;" (non-mineral; excluded from mineral NMA). ")&amp;IF(OR(ISNUMBER(SEARCH("public",$G1663)),ISNUMBER(SEARCH("public",$H1663))),"FLAG: The Public placeholder-verify. ","")&amp;IF(ISNUMBER(SEARCH("all",$L1663)),"All-section coverage. ","")&amp;IF($O1663=0,"Gross acres unresolved. ","")&amp;"Gross=tract-map basis."))</x:f>
        <x:v>Mineral; basis Conv Amt(dec). Gross acres unresolved. Gross=tract-map basis.</x:v>
      </x:c>
      <x:c r="T1663" s="577" t="n"/>
      <x:c r="U1663" s="577" t="n"/>
      <x:c r="V1663" s="565" t="n"/>
      <x:c r="W1663" s="565" t="n"/>
      <x:c r="X1663" s="565" t="n"/>
      <x:c r="Y1663" s="565" t="n"/>
      <x:c r="Z1663" s="565" t="n"/>
    </x:row>
    <x:row r="1664">
      <x:c r="A1664" s="552" t="inlineStr">
        <x:is>
          <x:t xml:space="preserve">1986-005223</x:t>
        </x:is>
      </x:c>
      <x:c r="B1664" s="552" t="n"/>
      <x:c r="C1664" s="552" t="inlineStr">
        <x:is>
          <x:t xml:space="preserve">Mineral Deed</x:t>
        </x:is>
      </x:c>
      <x:c r="D1664" s="552" t="inlineStr">
        <x:is>
          <x:t xml:space="preserve">837/199</x:t>
        </x:is>
      </x:c>
      <x:c r="E1664" s="653" t="n">
        <x:v>31684</x:v>
      </x:c>
      <x:c r="F1664" s="653" t="n">
        <x:v>31684</x:v>
      </x:c>
      <x:c r="G1664" s="552" t="inlineStr">
        <x:is>
          <x:t xml:space="preserve">Billy Wayne Bain</x:t>
        </x:is>
      </x:c>
      <x:c r="H1664" s="552" t="inlineStr">
        <x:is>
          <x:t xml:space="preserve">Ted L. Herbold</x:t>
        </x:is>
      </x:c>
      <x:c r="I1664" s="552" t="inlineStr">
        <x:is>
          <x:t xml:space="preserve">S/2 SE/4, NW/4 SE/4, SW/4 NE/4 of 31-12N-24W, aol</x:t>
        </x:is>
      </x:c>
      <x:c r="J1664" s="552" t="inlineStr">
        <x:is>
          <x:t xml:space="preserve">5/791.47 interest in 2 sections</x:t>
        </x:is>
      </x:c>
      <x:c r="K1664" s="554" t="e">
        <x:f>HYPERLINK("https://okcountyrecords.com/detail/roger+mills/1986-005223","OKCountyRecords: 1986-005223")</x:f>
      </x:c>
      <x:c r="L1664" s="552" t="n">
        <x:v>2</x:v>
      </x:c>
      <x:c r="M1664" s="552" t="inlineStr">
        <x:is>
          <x:t xml:space="preserve">Mineral</x:t>
        </x:is>
      </x:c>
      <x:c r="N1664" s="555" t="n">
        <x:f>5/791.47</x:f>
        <x:v>0.006317358838616751</x:v>
      </x:c>
      <x:c r="O1664" s="556" t="n">
        <x:f>IF($L1664="","",IF(ISNUMBER(SEARCH("all",$L1664)),640,(ISNUMBER(SEARCH("1",$L1664)))*80+(ISNUMBER(SEARCH("2",$L1664)))*160+(ISNUMBER(SEARCH("3",$L1664)))*40+(ISNUMBER(SEARCH("4",$L1664)))*80+(ISNUMBER(SEARCH("5",$L1664)))*120+(ISNUMBER(SEARCH("6",$L1664)))*80+(ISNUMBER(SEARCH("7",$L1664)))*40+(ISNUMBER(SEARCH("8",$L1664)))*40))</x:f>
        <x:v>0</x:v>
      </x:c>
      <x:c r="P1664" s="654" t="n">
        <x:f>IF($M1664&lt;&gt;"Mineral","",IF(ISNUMBER($N1664),$N1664,IF(OR(ISNUMBER(SEARCH("surface",$J1664)),ISNUMBER(SEARCH("reserv",$J1664)),ISNUMBER(SEARCH("less and except",$J1664))),0,"")))</x:f>
        <x:v>0.006317358838616751</x:v>
      </x:c>
      <x:c r="Q1664" s="654" t="n">
        <x:f>IF($P1664="","",-$P1664)</x:f>
        <x:v>-0.006317358838616751</x:v>
      </x:c>
      <x:c r="R1664" s="655" t="n">
        <x:f>IF($P1664="","",$O1664*$P1664)</x:f>
        <x:v>0</x:v>
      </x:c>
      <x:c r="S1664" s="552" t="str">
        <x:f>IF($M1664="","",TRIM(IF($M1664="Mineral",IF(ISNUMBER($N1664),"Mineral; basis Conv Amt(dec). ",IF($P1664=0,"Mineral; surface-only/reserved-&gt;0 min. ","Mineral; NO AMOUNT-verify instrument. ")),$M1664&amp;" (non-mineral; excluded from mineral NMA). ")&amp;IF(OR(ISNUMBER(SEARCH("public",$G1664)),ISNUMBER(SEARCH("public",$H1664))),"FLAG: The Public placeholder-verify. ","")&amp;IF(ISNUMBER(SEARCH("all",$L1664)),"All-section coverage. ","")&amp;IF($O1664=0,"Gross acres unresolved. ","")&amp;"Gross=tract-map basis."))</x:f>
        <x:v>Mineral; basis Conv Amt(dec). Gross acres unresolved. Gross=tract-map basis.</x:v>
      </x:c>
      <x:c r="T1664" s="577" t="n"/>
      <x:c r="U1664" s="577" t="n"/>
      <x:c r="V1664" s="565" t="n"/>
      <x:c r="W1664" s="565" t="n"/>
      <x:c r="X1664" s="565" t="n"/>
      <x:c r="Y1664" s="565" t="n"/>
      <x:c r="Z1664" s="565" t="n"/>
    </x:row>
    <x:row r="1665">
      <x:c r="A1665" s="552" t="inlineStr">
        <x:is>
          <x:t xml:space="preserve">1986-005341</x:t>
        </x:is>
      </x:c>
      <x:c r="B1665" s="552" t="n"/>
      <x:c r="C1665" s="552" t="inlineStr">
        <x:is>
          <x:t xml:space="preserve">Mineral Deed</x:t>
        </x:is>
      </x:c>
      <x:c r="D1665" s="552" t="inlineStr">
        <x:is>
          <x:t xml:space="preserve">839/100</x:t>
        </x:is>
      </x:c>
      <x:c r="E1665" s="653" t="n">
        <x:v>31723</x:v>
      </x:c>
      <x:c r="F1665" s="653" t="n">
        <x:v>31723</x:v>
      </x:c>
      <x:c r="G1665" s="552" t="inlineStr">
        <x:is>
          <x:t xml:space="preserve">Black Hawk Oil Company</x:t>
        </x:is>
      </x:c>
      <x:c r="H1665" s="552" t="inlineStr">
        <x:is>
          <x:t xml:space="preserve">Proven Properties, Inc.</x:t>
        </x:is>
      </x:c>
      <x:c r="I1665" s="552" t="inlineStr">
        <x:is>
          <x:t xml:space="preserve">E/2 NW/4 of 31-12N-24W</x:t>
        </x:is>
      </x:c>
      <x:c r="J1665" s="552" t="inlineStr">
        <x:is>
          <x:t xml:space="preserve">An undivided 16.385%t of all of GRANTOR'S interest in and to all of the oil, gas, and other minerals</x:t>
        </x:is>
      </x:c>
      <x:c r="K1665" s="554" t="e">
        <x:f>HYPERLINK("https://okcountyrecords.com/detail/roger+mills/1986-005341","OKCountyRecords: 1986-005341")</x:f>
      </x:c>
      <x:c r="L1665" s="552" t="n">
        <x:v>4</x:v>
      </x:c>
      <x:c r="M1665" s="552" t="inlineStr">
        <x:is>
          <x:t xml:space="preserve">Mineral</x:t>
        </x:is>
      </x:c>
      <x:c r="N1665" s="555" t="n">
        <x:f>1</x:f>
        <x:v>1</x:v>
      </x:c>
      <x:c r="O1665" s="556" t="n">
        <x:f>IF($L1665="","",IF(ISNUMBER(SEARCH("all",$L1665)),640,(ISNUMBER(SEARCH("1",$L1665)))*80+(ISNUMBER(SEARCH("2",$L1665)))*160+(ISNUMBER(SEARCH("3",$L1665)))*40+(ISNUMBER(SEARCH("4",$L1665)))*80+(ISNUMBER(SEARCH("5",$L1665)))*120+(ISNUMBER(SEARCH("6",$L1665)))*80+(ISNUMBER(SEARCH("7",$L1665)))*40+(ISNUMBER(SEARCH("8",$L1665)))*40))</x:f>
        <x:v>0</x:v>
      </x:c>
      <x:c r="P1665" s="654" t="n">
        <x:f>IF($M1665&lt;&gt;"Mineral","",IF(ISNUMBER($N1665),$N1665,IF(OR(ISNUMBER(SEARCH("surface",$J1665)),ISNUMBER(SEARCH("reserv",$J1665)),ISNUMBER(SEARCH("less and except",$J1665))),0,"")))</x:f>
        <x:v>1</x:v>
      </x:c>
      <x:c r="Q1665" s="654" t="n">
        <x:f>IF($P1665="","",-$P1665)</x:f>
        <x:v>-1</x:v>
      </x:c>
      <x:c r="R1665" s="655" t="n">
        <x:f>IF($P1665="","",$O1665*$P1665)</x:f>
        <x:v>0</x:v>
      </x:c>
      <x:c r="S1665" s="552" t="str">
        <x:f>IF($M1665="","",TRIM(IF($M1665="Mineral",IF(ISNUMBER($N1665),"Mineral; basis Conv Amt(dec). ",IF($P1665=0,"Mineral; surface-only/reserved-&gt;0 min. ","Mineral; VERIFY — NEED full instrument image for conveyed amount. ")),$M1665&amp;" (non-mineral; excluded from mineral NMA). ")&amp;IF(OR(ISNUMBER(SEARCH("public",$G1665)),ISNUMBER(SEARCH("public",$H1665))),"FLAG: The Public placeholder; VERIFY — NEED source confirmation. ","")&amp;IF(ISNUMBER(SEARCH("all",$L1665)),"All-section coverage. ","")&amp;IF($O1665=0,"Gross acres unresolved. ","")&amp;"Gross=tract-map basis."))</x:f>
        <x:v>Mineral; basis Conv Amt(dec). Gross acres unresolved. Gross=tract-map basis.</x:v>
      </x:c>
      <x:c r="T1665" s="577" t="n"/>
      <x:c r="U1665" s="577" t="n"/>
      <x:c r="V1665" s="565" t="n"/>
      <x:c r="W1665" s="565" t="n"/>
      <x:c r="X1665" s="565" t="n"/>
      <x:c r="Y1665" s="565" t="n"/>
      <x:c r="Z1665" s="565" t="n"/>
    </x:row>
    <x:row r="1666">
      <x:c r="A1666" s="552" t="inlineStr">
        <x:is>
          <x:t xml:space="preserve">1987-000496</x:t>
        </x:is>
      </x:c>
      <x:c r="B1666" s="552" t="n"/>
      <x:c r="C1666" s="552" t="inlineStr">
        <x:is>
          <x:t xml:space="preserve">Miscellaneous</x:t>
        </x:is>
      </x:c>
      <x:c r="D1666" s="552" t="inlineStr">
        <x:is>
          <x:t xml:space="preserve">858/277</x:t>
        </x:is>
      </x:c>
      <x:c r="E1666" s="653" t="n">
        <x:v>31803</x:v>
      </x:c>
      <x:c r="F1666" s="653" t="n">
        <x:v>31803</x:v>
      </x:c>
      <x:c r="G1666" s="552" t="inlineStr">
        <x:is>
          <x:t xml:space="preserve">Dow C. Bain,
Edris O. Bain</x:t>
        </x:is>
      </x:c>
      <x:c r="H1666" s="552" t="inlineStr">
        <x:is>
          <x:t xml:space="preserve">The Public</x:t>
        </x:is>
      </x:c>
      <x:c r="I1666" s="552" t="inlineStr">
        <x:is>
          <x:t xml:space="preserve">31-12N-24W, aol</x:t>
        </x:is>
      </x:c>
      <x:c r="J1666" s="552" t="inlineStr">
        <x:is>
          <x:t xml:space="preserve">See instrument</x:t>
        </x:is>
      </x:c>
      <x:c r="K1666" s="554" t="e">
        <x:f>HYPERLINK("https://okcountyrecords.com/detail/roger+mills/1987-000496","OKCountyRecords: 1987-000496")</x:f>
      </x:c>
      <x:c r="L1666" s="552" t="inlineStr">
        <x:is>
          <x:t xml:space="preserve">All (1-8)</x:t>
        </x:is>
      </x:c>
      <x:c r="M1666" s="552" t="inlineStr">
        <x:is>
          <x:t xml:space="preserve">Other</x:t>
        </x:is>
      </x:c>
      <x:c r="N1666" s="555" t="n"/>
      <x:c r="O1666" s="556" t="n">
        <x:f>IF($L1666="","",IF(ISNUMBER(SEARCH("all",$L1666)),640,(ISNUMBER(SEARCH("1",$L1666)))*80+(ISNUMBER(SEARCH("2",$L1666)))*160+(ISNUMBER(SEARCH("3",$L1666)))*40+(ISNUMBER(SEARCH("4",$L1666)))*80+(ISNUMBER(SEARCH("5",$L1666)))*120+(ISNUMBER(SEARCH("6",$L1666)))*80+(ISNUMBER(SEARCH("7",$L1666)))*40+(ISNUMBER(SEARCH("8",$L1666)))*40))</x:f>
        <x:v>640</x:v>
      </x:c>
      <x:c r="P1666" s="654" t="str">
        <x:f>IF($M1666&lt;&gt;"Mineral","",IF(ISNUMBER($N1666),$N1666,IF(OR(ISNUMBER(SEARCH("surface",$J1666)),ISNUMBER(SEARCH("reserv",$J1666)),ISNUMBER(SEARCH("less and except",$J1666))),0,"")))</x:f>
      </x:c>
      <x:c r="Q1666" s="654" t="str">
        <x:f>IF($P1666="","",-$P1666)</x:f>
      </x:c>
      <x:c r="R1666" s="655" t="str">
        <x:f>IF($P1666="","",$O1666*$P1666)</x:f>
      </x:c>
      <x:c r="S1666" s="552" t="inlineStr">
        <x:is>
          <x:t xml:space="preserve">Other (non-mineral; excluded from mineral NMA). All-section coverage. Gross=tract-map basis.</x:t>
        </x:is>
      </x:c>
      <x:c r="T1666" s="578" t="inlineStr">
        <x:is>
          <x:t xml:space="preserve">OK</x:t>
        </x:is>
      </x:c>
      <x:c r="U1666" s="578" t="inlineStr">
        <x:is>
          <x:t xml:space="preserve">Non-conveying — notice/affidavit/address change (The Public).</x:t>
        </x:is>
      </x:c>
      <x:c r="V1666" s="565" t="n"/>
      <x:c r="W1666" s="565" t="n"/>
      <x:c r="X1666" s="565" t="n"/>
      <x:c r="Y1666" s="565" t="n"/>
      <x:c r="Z1666" s="565" t="n"/>
    </x:row>
    <x:row r="1667">
      <x:c r="A1667" s="552" t="inlineStr">
        <x:is>
          <x:t xml:space="preserve">1987-002610</x:t>
        </x:is>
      </x:c>
      <x:c r="B1667" s="552" t="n"/>
      <x:c r="C1667" s="552" t="inlineStr">
        <x:is>
          <x:t xml:space="preserve">Mineral Deed</x:t>
        </x:is>
      </x:c>
      <x:c r="D1667" s="552" t="inlineStr">
        <x:is>
          <x:t xml:space="preserve">883/168</x:t>
        </x:is>
      </x:c>
      <x:c r="E1667" s="653" t="n">
        <x:v>31917</x:v>
      </x:c>
      <x:c r="F1667" s="653" t="n">
        <x:v>31917</x:v>
      </x:c>
      <x:c r="G1667" s="552" t="inlineStr">
        <x:is>
          <x:t xml:space="preserve">Billy W. Bain</x:t>
        </x:is>
      </x:c>
      <x:c r="H1667" s="552" t="inlineStr">
        <x:is>
          <x:t xml:space="preserve">Theodore L. Herbold</x:t>
        </x:is>
      </x:c>
      <x:c r="I1667" s="552" t="inlineStr">
        <x:is>
          <x:t xml:space="preserve">S/2 SE/4, NW/4 SE/4, SW/4 NE/4 of 31-12N-24W, aol</x:t>
        </x:is>
      </x:c>
      <x:c r="J1667" s="552" t="inlineStr">
        <x:is>
          <x:t xml:space="preserve">2/791.47 interest in 2 sections</x:t>
        </x:is>
      </x:c>
      <x:c r="K1667" s="554" t="e">
        <x:f>HYPERLINK("https://okcountyrecords.com/detail/roger+mills/1987-002610","OKCountyRecords: 1987-002610")</x:f>
      </x:c>
      <x:c r="L1667" s="552" t="n">
        <x:v>2</x:v>
      </x:c>
      <x:c r="M1667" s="552" t="inlineStr">
        <x:is>
          <x:t xml:space="preserve">Mineral</x:t>
        </x:is>
      </x:c>
      <x:c r="N1667" s="555" t="n">
        <x:f>2/791.47</x:f>
        <x:v>0.0025269435354467002</x:v>
      </x:c>
      <x:c r="O1667" s="556" t="n">
        <x:f>IF($L1667="","",IF(ISNUMBER(SEARCH("all",$L1667)),640,(ISNUMBER(SEARCH("1",$L1667)))*80+(ISNUMBER(SEARCH("2",$L1667)))*160+(ISNUMBER(SEARCH("3",$L1667)))*40+(ISNUMBER(SEARCH("4",$L1667)))*80+(ISNUMBER(SEARCH("5",$L1667)))*120+(ISNUMBER(SEARCH("6",$L1667)))*80+(ISNUMBER(SEARCH("7",$L1667)))*40+(ISNUMBER(SEARCH("8",$L1667)))*40))</x:f>
        <x:v>0</x:v>
      </x:c>
      <x:c r="P1667" s="654" t="n">
        <x:f>IF($M1667&lt;&gt;"Mineral","",IF(ISNUMBER($N1667),$N1667,IF(OR(ISNUMBER(SEARCH("surface",$J1667)),ISNUMBER(SEARCH("reserv",$J1667)),ISNUMBER(SEARCH("less and except",$J1667))),0,"")))</x:f>
        <x:v>0.0025269435354467002</x:v>
      </x:c>
      <x:c r="Q1667" s="654" t="n">
        <x:f>IF($P1667="","",-$P1667)</x:f>
        <x:v>-0.0025269435354467002</x:v>
      </x:c>
      <x:c r="R1667" s="655" t="n">
        <x:f>IF($P1667="","",$O1667*$P1667)</x:f>
        <x:v>0</x:v>
      </x:c>
      <x:c r="S1667" s="552" t="str">
        <x:f>IF($M1667="","",TRIM(IF($M1667="Mineral",IF(ISNUMBER($N1667),"Mineral; basis Conv Amt(dec). ",IF($P1667=0,"Mineral; surface-only/reserved-&gt;0 min. ","Mineral; NO AMOUNT-verify instrument. ")),$M1667&amp;" (non-mineral; excluded from mineral NMA). ")&amp;IF(OR(ISNUMBER(SEARCH("public",$G1667)),ISNUMBER(SEARCH("public",$H1667))),"FLAG: The Public placeholder-verify. ","")&amp;IF(ISNUMBER(SEARCH("all",$L1667)),"All-section coverage. ","")&amp;IF($O1667=0,"Gross acres unresolved. ","")&amp;"Gross=tract-map basis."))</x:f>
        <x:v>Mineral; basis Conv Amt(dec). Gross acres unresolved. Gross=tract-map basis.</x:v>
      </x:c>
      <x:c r="T1667" s="577" t="n"/>
      <x:c r="U1667" s="577" t="n"/>
      <x:c r="V1667" s="565" t="n"/>
      <x:c r="W1667" s="565" t="n"/>
      <x:c r="X1667" s="565" t="n"/>
      <x:c r="Y1667" s="565" t="n"/>
      <x:c r="Z1667" s="565" t="n"/>
    </x:row>
    <x:row r="1668">
      <x:c r="A1668" s="552" t="inlineStr">
        <x:is>
          <x:t xml:space="preserve">1987-005625</x:t>
        </x:is>
      </x:c>
      <x:c r="B1668" s="552" t="n"/>
      <x:c r="C1668" s="552" t="inlineStr">
        <x:is>
          <x:t xml:space="preserve">Mineral Deed</x:t>
        </x:is>
      </x:c>
      <x:c r="D1668" s="552" t="inlineStr">
        <x:is>
          <x:t xml:space="preserve">913/261</x:t>
        </x:is>
      </x:c>
      <x:c r="E1668" s="653" t="n">
        <x:v>32031</x:v>
      </x:c>
      <x:c r="F1668" s="653" t="n">
        <x:v>32031</x:v>
      </x:c>
      <x:c r="G1668" s="552" t="inlineStr">
        <x:is>
          <x:t xml:space="preserve">Billy N. Bein</x:t>
        </x:is>
      </x:c>
      <x:c r="H1668" s="552" t="inlineStr">
        <x:is>
          <x:t xml:space="preserve">Bary Ellen Sitzman</x:t>
        </x:is>
      </x:c>
      <x:c r="I1668" s="552" t="inlineStr">
        <x:is>
          <x:t xml:space="preserve">S/2 SE/4, NW/4 SE/4, SW/4 NE/4 of 31-12N-24W, aol</x:t>
        </x:is>
      </x:c>
      <x:c r="J1668" s="552" t="inlineStr">
        <x:is>
          <x:t xml:space="preserve">1/791.47 interest in 2 sections</x:t>
        </x:is>
      </x:c>
      <x:c r="K1668" s="554" t="e">
        <x:f>HYPERLINK("https://okcountyrecords.com/detail/roger+mills/1987-005625","OKCountyRecords: 1987-005625")</x:f>
      </x:c>
      <x:c r="L1668" s="552" t="n">
        <x:v>2</x:v>
      </x:c>
      <x:c r="M1668" s="552" t="inlineStr">
        <x:is>
          <x:t xml:space="preserve">Mineral</x:t>
        </x:is>
      </x:c>
      <x:c r="N1668" s="555" t="n">
        <x:f>1/791.47</x:f>
        <x:v>0.0012634717677233501</x:v>
      </x:c>
      <x:c r="O1668" s="556" t="n">
        <x:f>IF($L1668="","",IF(ISNUMBER(SEARCH("all",$L1668)),640,(ISNUMBER(SEARCH("1",$L1668)))*80+(ISNUMBER(SEARCH("2",$L1668)))*160+(ISNUMBER(SEARCH("3",$L1668)))*40+(ISNUMBER(SEARCH("4",$L1668)))*80+(ISNUMBER(SEARCH("5",$L1668)))*120+(ISNUMBER(SEARCH("6",$L1668)))*80+(ISNUMBER(SEARCH("7",$L1668)))*40+(ISNUMBER(SEARCH("8",$L1668)))*40))</x:f>
        <x:v>0</x:v>
      </x:c>
      <x:c r="P1668" s="654" t="n">
        <x:f>IF($M1668&lt;&gt;"Mineral","",IF(ISNUMBER($N1668),$N1668,IF(OR(ISNUMBER(SEARCH("surface",$J1668)),ISNUMBER(SEARCH("reserv",$J1668)),ISNUMBER(SEARCH("less and except",$J1668))),0,"")))</x:f>
        <x:v>0.0012634717677233501</x:v>
      </x:c>
      <x:c r="Q1668" s="654" t="n">
        <x:f>IF($P1668="","",-$P1668)</x:f>
        <x:v>-0.0012634717677233501</x:v>
      </x:c>
      <x:c r="R1668" s="655" t="n">
        <x:f>IF($P1668="","",$O1668*$P1668)</x:f>
        <x:v>0</x:v>
      </x:c>
      <x:c r="S1668" s="552" t="str">
        <x:f>IF($M1668="","",TRIM(IF($M1668="Mineral",IF(ISNUMBER($N1668),"Mineral; basis Conv Amt(dec). ",IF($P1668=0,"Mineral; surface-only/reserved-&gt;0 min. ","Mineral; NO AMOUNT-verify instrument. ")),$M1668&amp;" (non-mineral; excluded from mineral NMA). ")&amp;IF(OR(ISNUMBER(SEARCH("public",$G1668)),ISNUMBER(SEARCH("public",$H1668))),"FLAG: The Public placeholder-verify. ","")&amp;IF(ISNUMBER(SEARCH("all",$L1668)),"All-section coverage. ","")&amp;IF($O1668=0,"Gross acres unresolved. ","")&amp;"Gross=tract-map basis."))</x:f>
        <x:v>Mineral; basis Conv Amt(dec). Gross acres unresolved. Gross=tract-map basis.</x:v>
      </x:c>
      <x:c r="T1668" s="577" t="n"/>
      <x:c r="U1668" s="577" t="n"/>
      <x:c r="V1668" s="565" t="n"/>
      <x:c r="W1668" s="565" t="n"/>
      <x:c r="X1668" s="565" t="n"/>
      <x:c r="Y1668" s="565" t="n"/>
      <x:c r="Z1668" s="565" t="n"/>
    </x:row>
    <x:row r="1669">
      <x:c r="A1669" s="552" t="inlineStr">
        <x:is>
          <x:t xml:space="preserve">1987-006732</x:t>
        </x:is>
      </x:c>
      <x:c r="B1669" s="552" t="n"/>
      <x:c r="C1669" s="552" t="inlineStr">
        <x:is>
          <x:t xml:space="preserve">Mineral Deed</x:t>
        </x:is>
      </x:c>
      <x:c r="D1669" s="552" t="inlineStr">
        <x:is>
          <x:t xml:space="preserve">924/139</x:t>
        </x:is>
      </x:c>
      <x:c r="E1669" s="653" t="n">
        <x:v>32072</x:v>
      </x:c>
      <x:c r="F1669" s="653" t="n">
        <x:v>32072</x:v>
      </x:c>
      <x:c r="G1669" s="552" t="inlineStr">
        <x:is>
          <x:t xml:space="preserve">Myron V. Slobin</x:t>
        </x:is>
      </x:c>
      <x:c r="H1669" s="552" t="inlineStr">
        <x:is>
          <x:t xml:space="preserve">David Slobin</x:t>
        </x:is>
      </x:c>
      <x:c r="I1669" s="552" t="inlineStr">
        <x:is>
          <x:t xml:space="preserve">S/2 SE/4, NW/4 SE/4, SW/4 NE/4 of 31-12N-24W, aol</x:t>
        </x:is>
      </x:c>
      <x:c r="J1669" s="552" t="inlineStr">
        <x:is>
          <x:t xml:space="preserve">1/791.47 interest in 2 sections</x:t>
        </x:is>
      </x:c>
      <x:c r="K1669" s="554" t="e">
        <x:f>HYPERLINK("https://okcountyrecords.com/detail/roger+mills/1987-006732","OKCountyRecords: 1987-006732")</x:f>
      </x:c>
      <x:c r="L1669" s="552" t="n">
        <x:v>2</x:v>
      </x:c>
      <x:c r="M1669" s="552" t="inlineStr">
        <x:is>
          <x:t xml:space="preserve">Mineral</x:t>
        </x:is>
      </x:c>
      <x:c r="N1669" s="555" t="n">
        <x:f>1/791.47</x:f>
        <x:v>0.0012634717677233501</x:v>
      </x:c>
      <x:c r="O1669" s="556" t="n">
        <x:f>IF($L1669="","",IF(ISNUMBER(SEARCH("all",$L1669)),640,(ISNUMBER(SEARCH("1",$L1669)))*80+(ISNUMBER(SEARCH("2",$L1669)))*160+(ISNUMBER(SEARCH("3",$L1669)))*40+(ISNUMBER(SEARCH("4",$L1669)))*80+(ISNUMBER(SEARCH("5",$L1669)))*120+(ISNUMBER(SEARCH("6",$L1669)))*80+(ISNUMBER(SEARCH("7",$L1669)))*40+(ISNUMBER(SEARCH("8",$L1669)))*40))</x:f>
        <x:v>0</x:v>
      </x:c>
      <x:c r="P1669" s="654" t="n">
        <x:f>IF($M1669&lt;&gt;"Mineral","",IF(ISNUMBER($N1669),$N1669,IF(OR(ISNUMBER(SEARCH("surface",$J1669)),ISNUMBER(SEARCH("reserv",$J1669)),ISNUMBER(SEARCH("less and except",$J1669))),0,"")))</x:f>
        <x:v>0.0012634717677233501</x:v>
      </x:c>
      <x:c r="Q1669" s="654" t="n">
        <x:f>IF($P1669="","",-$P1669)</x:f>
        <x:v>-0.0012634717677233501</x:v>
      </x:c>
      <x:c r="R1669" s="655" t="n">
        <x:f>IF($P1669="","",$O1669*$P1669)</x:f>
        <x:v>0</x:v>
      </x:c>
      <x:c r="S1669" s="552" t="str">
        <x:f>IF($M1669="","",TRIM(IF($M1669="Mineral",IF(ISNUMBER($N1669),"Mineral; basis Conv Amt(dec). ",IF($P1669=0,"Mineral; surface-only/reserved-&gt;0 min. ","Mineral; NO AMOUNT-verify instrument. ")),$M1669&amp;" (non-mineral; excluded from mineral NMA). ")&amp;IF(OR(ISNUMBER(SEARCH("public",$G1669)),ISNUMBER(SEARCH("public",$H1669))),"FLAG: The Public placeholder-verify. ","")&amp;IF(ISNUMBER(SEARCH("all",$L1669)),"All-section coverage. ","")&amp;IF($O1669=0,"Gross acres unresolved. ","")&amp;"Gross=tract-map basis."))</x:f>
        <x:v>Mineral; basis Conv Amt(dec). Gross acres unresolved. Gross=tract-map basis.</x:v>
      </x:c>
      <x:c r="T1669" s="577" t="n"/>
      <x:c r="U1669" s="577" t="n"/>
      <x:c r="V1669" s="565" t="n"/>
      <x:c r="W1669" s="565" t="n"/>
      <x:c r="X1669" s="565" t="n"/>
      <x:c r="Y1669" s="565" t="n"/>
      <x:c r="Z1669" s="565" t="n"/>
    </x:row>
    <x:row r="1670">
      <x:c r="A1670" s="552" t="inlineStr">
        <x:is>
          <x:t xml:space="preserve">1987-006731</x:t>
        </x:is>
      </x:c>
      <x:c r="B1670" s="552" t="n"/>
      <x:c r="C1670" s="552" t="inlineStr">
        <x:is>
          <x:t xml:space="preserve">Mineral Deed</x:t>
        </x:is>
      </x:c>
      <x:c r="D1670" s="552" t="inlineStr">
        <x:is>
          <x:t xml:space="preserve">924/138</x:t>
        </x:is>
      </x:c>
      <x:c r="E1670" s="653" t="n">
        <x:v>32072</x:v>
      </x:c>
      <x:c r="F1670" s="653" t="n">
        <x:v>32072</x:v>
      </x:c>
      <x:c r="G1670" s="552" t="inlineStr">
        <x:is>
          <x:t xml:space="preserve">Myron V. Slobin</x:t>
        </x:is>
      </x:c>
      <x:c r="H1670" s="552" t="inlineStr">
        <x:is>
          <x:t xml:space="preserve">David Slobin</x:t>
        </x:is>
      </x:c>
      <x:c r="I1670" s="552" t="inlineStr">
        <x:is>
          <x:t xml:space="preserve">S/2 SE/4, NW/4 SE/4, SW/4 NE/4 of 31-12N-24W, aol</x:t>
        </x:is>
      </x:c>
      <x:c r="J1670" s="552" t="inlineStr">
        <x:is>
          <x:t xml:space="preserve">6/791.47 interest in 2 sections</x:t>
        </x:is>
      </x:c>
      <x:c r="K1670" s="554" t="e">
        <x:f>HYPERLINK("https://okcountyrecords.com/detail/roger+mills/1987-006731","OKCountyRecords: 1987-006731")</x:f>
      </x:c>
      <x:c r="L1670" s="552" t="n">
        <x:v>2</x:v>
      </x:c>
      <x:c r="M1670" s="552" t="inlineStr">
        <x:is>
          <x:t xml:space="preserve">Mineral</x:t>
        </x:is>
      </x:c>
      <x:c r="N1670" s="555" t="n">
        <x:f>6/791.47</x:f>
        <x:v>0.007580830606340101</x:v>
      </x:c>
      <x:c r="O1670" s="556" t="n">
        <x:f>IF($L1670="","",IF(ISNUMBER(SEARCH("all",$L1670)),640,(ISNUMBER(SEARCH("1",$L1670)))*80+(ISNUMBER(SEARCH("2",$L1670)))*160+(ISNUMBER(SEARCH("3",$L1670)))*40+(ISNUMBER(SEARCH("4",$L1670)))*80+(ISNUMBER(SEARCH("5",$L1670)))*120+(ISNUMBER(SEARCH("6",$L1670)))*80+(ISNUMBER(SEARCH("7",$L1670)))*40+(ISNUMBER(SEARCH("8",$L1670)))*40))</x:f>
        <x:v>0</x:v>
      </x:c>
      <x:c r="P1670" s="654" t="n">
        <x:f>IF($M1670&lt;&gt;"Mineral","",IF(ISNUMBER($N1670),$N1670,IF(OR(ISNUMBER(SEARCH("surface",$J1670)),ISNUMBER(SEARCH("reserv",$J1670)),ISNUMBER(SEARCH("less and except",$J1670))),0,"")))</x:f>
        <x:v>0.007580830606340101</x:v>
      </x:c>
      <x:c r="Q1670" s="654" t="n">
        <x:f>IF($P1670="","",-$P1670)</x:f>
        <x:v>-0.007580830606340101</x:v>
      </x:c>
      <x:c r="R1670" s="655" t="n">
        <x:f>IF($P1670="","",$O1670*$P1670)</x:f>
        <x:v>0</x:v>
      </x:c>
      <x:c r="S1670" s="552" t="str">
        <x:f>IF($M1670="","",TRIM(IF($M1670="Mineral",IF(ISNUMBER($N1670),"Mineral; basis Conv Amt(dec). ",IF($P1670=0,"Mineral; surface-only/reserved-&gt;0 min. ","Mineral; NO AMOUNT-verify instrument. ")),$M1670&amp;" (non-mineral; excluded from mineral NMA). ")&amp;IF(OR(ISNUMBER(SEARCH("public",$G1670)),ISNUMBER(SEARCH("public",$H1670))),"FLAG: The Public placeholder-verify. ","")&amp;IF(ISNUMBER(SEARCH("all",$L1670)),"All-section coverage. ","")&amp;IF($O1670=0,"Gross acres unresolved. ","")&amp;"Gross=tract-map basis."))</x:f>
        <x:v>Mineral; basis Conv Amt(dec). Gross acres unresolved. Gross=tract-map basis.</x:v>
      </x:c>
      <x:c r="T1670" s="577" t="n"/>
      <x:c r="U1670" s="577" t="n"/>
      <x:c r="V1670" s="565" t="n"/>
      <x:c r="W1670" s="565" t="n"/>
      <x:c r="X1670" s="565" t="n"/>
      <x:c r="Y1670" s="565" t="n"/>
      <x:c r="Z1670" s="565" t="n"/>
    </x:row>
    <x:row r="1671">
      <x:c r="A1671" s="552" t="inlineStr">
        <x:is>
          <x:t xml:space="preserve">1987-006730</x:t>
        </x:is>
      </x:c>
      <x:c r="B1671" s="552" t="n"/>
      <x:c r="C1671" s="552" t="inlineStr">
        <x:is>
          <x:t xml:space="preserve">Affidavit</x:t>
        </x:is>
      </x:c>
      <x:c r="D1671" s="552" t="inlineStr">
        <x:is>
          <x:t xml:space="preserve">924/136</x:t>
        </x:is>
      </x:c>
      <x:c r="E1671" s="653" t="n">
        <x:v>32072</x:v>
      </x:c>
      <x:c r="F1671" s="653" t="n">
        <x:v>32072</x:v>
      </x:c>
      <x:c r="G1671" s="552" t="inlineStr">
        <x:is>
          <x:t xml:space="preserve">Paul S. Taylor</x:t>
        </x:is>
      </x:c>
      <x:c r="H1671" s="552" t="inlineStr">
        <x:is>
          <x:t xml:space="preserve">The Public</x:t>
        </x:is>
      </x:c>
      <x:c r="I1671" s="552" t="inlineStr">
        <x:is>
          <x:t xml:space="preserve">S/2 SE/4, NW/4 SE/4, SW/4 NE/4 of 31-12N-24W, aol</x:t>
        </x:is>
      </x:c>
      <x:c r="J1671" s="552" t="inlineStr">
        <x:is>
          <x:t xml:space="preserve">O K. Oil Venture, is the owner of a royalty interest in and to a portion of the above described real estate. The joint venture, when created consisted of three joint venturers, namely. Myron V. Slobin, Gregory J. Winneke, and Lyle T. Ibeling. Pursuant to an agreement between the parties, Myron Slobin transferred and conveyed all of his interest in and the joint venture to David Slobin, All terms and conditions of the Joint Venture Agreement, as they pertain to the transferring of ownership interests in the joint venture, have been complied with. The new joint venturers are Gregory J. Winneke, Lyle T. Ibeling, and David Slobin. This affidavit is made for the purpose of stating that Myron V. Slobin conveyed his interest in the O.K. Oil Venture joint venture to David Slobin</x:t>
        </x:is>
      </x:c>
      <x:c r="K1671" s="554" t="e">
        <x:f>HYPERLINK("https://okcountyrecords.com/detail/roger+mills/1987-006730","OKCountyRecords: 1987-006730")</x:f>
      </x:c>
      <x:c r="L1671" s="552" t="n">
        <x:v>2</x:v>
      </x:c>
      <x:c r="M1671" s="552" t="inlineStr">
        <x:is>
          <x:t xml:space="preserve">Other</x:t>
        </x:is>
      </x:c>
      <x:c r="N1671" s="555" t="n"/>
      <x:c r="O1671" s="556" t="n">
        <x:f>IF($L1671="","",IF(ISNUMBER(SEARCH("all",$L1671)),640,(ISNUMBER(SEARCH("1",$L1671)))*80+(ISNUMBER(SEARCH("2",$L1671)))*160+(ISNUMBER(SEARCH("3",$L1671)))*40+(ISNUMBER(SEARCH("4",$L1671)))*80+(ISNUMBER(SEARCH("5",$L1671)))*120+(ISNUMBER(SEARCH("6",$L1671)))*80+(ISNUMBER(SEARCH("7",$L1671)))*40+(ISNUMBER(SEARCH("8",$L1671)))*40))</x:f>
        <x:v>0</x:v>
      </x:c>
      <x:c r="P1671" s="654" t="str">
        <x:f>IF($M1671&lt;&gt;"Mineral","",IF(ISNUMBER($N1671),$N1671,IF(OR(ISNUMBER(SEARCH("surface",$J1671)),ISNUMBER(SEARCH("reserv",$J1671)),ISNUMBER(SEARCH("less and except",$J1671))),0,"")))</x:f>
      </x:c>
      <x:c r="Q1671" s="654" t="str">
        <x:f>IF($P1671="","",-$P1671)</x:f>
      </x:c>
      <x:c r="R1671" s="655" t="str">
        <x:f>IF($P1671="","",$O1671*$P1671)</x:f>
      </x:c>
      <x:c r="S1671" s="552" t="inlineStr">
        <x:is>
          <x:t xml:space="preserve">Other (non-mineral; excluded from mineral NMA). Gross=tract-map basis.</x:t>
        </x:is>
      </x:c>
      <x:c r="T1671" s="577" t="inlineStr">
        <x:is>
          <x:t xml:space="preserve">OK</x:t>
        </x:is>
      </x:c>
      <x:c r="U1671" s="577" t="inlineStr">
        <x:is>
          <x:t xml:space="preserve">ARTI/notice instrument (The Public); no net mineral acres conveyed.</x:t>
        </x:is>
      </x:c>
      <x:c r="V1671" s="565" t="n"/>
      <x:c r="W1671" s="565" t="n"/>
      <x:c r="X1671" s="565" t="n"/>
      <x:c r="Y1671" s="565" t="n"/>
      <x:c r="Z1671" s="565" t="n"/>
    </x:row>
    <x:row r="1672">
      <x:c r="A1672" s="552" t="inlineStr">
        <x:is>
          <x:t xml:space="preserve">1987-007680</x:t>
        </x:is>
      </x:c>
      <x:c r="B1672" s="552" t="n"/>
      <x:c r="C1672" s="552" t="inlineStr">
        <x:is>
          <x:t xml:space="preserve">Mineral Deed</x:t>
        </x:is>
      </x:c>
      <x:c r="D1672" s="552" t="inlineStr">
        <x:is>
          <x:t xml:space="preserve">933/226</x:t>
        </x:is>
      </x:c>
      <x:c r="E1672" s="653" t="n">
        <x:v>32118</x:v>
      </x:c>
      <x:c r="F1672" s="653" t="n">
        <x:v>32118</x:v>
      </x:c>
      <x:c r="G1672" s="552" t="inlineStr">
        <x:is>
          <x:t xml:space="preserve">Clarence C. Bain</x:t>
        </x:is>
      </x:c>
      <x:c r="H1672" s="552" t="inlineStr">
        <x:is>
          <x:t xml:space="preserve">Billy Wayne Bain</x:t>
        </x:is>
      </x:c>
      <x:c r="I1672" s="552" t="inlineStr">
        <x:is>
          <x:t xml:space="preserve">S/2 SE/4, NW/4 SE/4, SW/4 NE/4 of 31-12N-24W, aol</x:t>
        </x:is>
      </x:c>
      <x:c r="J1672" s="552" t="inlineStr">
        <x:is>
          <x:t xml:space="preserve">3/791.47 interest in 2 sections</x:t>
        </x:is>
      </x:c>
      <x:c r="K1672" s="554" t="e">
        <x:f>HYPERLINK("https://okcountyrecords.com/detail/roger+mills/1987-007680","OKCountyRecords: 1987-007680")</x:f>
      </x:c>
      <x:c r="L1672" s="552" t="n">
        <x:v>2</x:v>
      </x:c>
      <x:c r="M1672" s="552" t="inlineStr">
        <x:is>
          <x:t xml:space="preserve">Mineral</x:t>
        </x:is>
      </x:c>
      <x:c r="N1672" s="555" t="n">
        <x:f>3/791.47</x:f>
        <x:v>0.0037904153031700504</x:v>
      </x:c>
      <x:c r="O1672" s="556" t="n">
        <x:f>IF($L1672="","",IF(ISNUMBER(SEARCH("all",$L1672)),640,(ISNUMBER(SEARCH("1",$L1672)))*80+(ISNUMBER(SEARCH("2",$L1672)))*160+(ISNUMBER(SEARCH("3",$L1672)))*40+(ISNUMBER(SEARCH("4",$L1672)))*80+(ISNUMBER(SEARCH("5",$L1672)))*120+(ISNUMBER(SEARCH("6",$L1672)))*80+(ISNUMBER(SEARCH("7",$L1672)))*40+(ISNUMBER(SEARCH("8",$L1672)))*40))</x:f>
        <x:v>0</x:v>
      </x:c>
      <x:c r="P1672" s="654" t="n">
        <x:f>IF($M1672&lt;&gt;"Mineral","",IF(ISNUMBER($N1672),$N1672,IF(OR(ISNUMBER(SEARCH("surface",$J1672)),ISNUMBER(SEARCH("reserv",$J1672)),ISNUMBER(SEARCH("less and except",$J1672))),0,"")))</x:f>
        <x:v>0.0037904153031700504</x:v>
      </x:c>
      <x:c r="Q1672" s="654" t="n">
        <x:f>IF($P1672="","",-$P1672)</x:f>
        <x:v>-0.0037904153031700504</x:v>
      </x:c>
      <x:c r="R1672" s="655" t="n">
        <x:f>IF($P1672="","",$O1672*$P1672)</x:f>
        <x:v>0</x:v>
      </x:c>
      <x:c r="S1672" s="552" t="str">
        <x:f>IF($M1672="","",TRIM(IF($M1672="Mineral",IF(ISNUMBER($N1672),"Mineral; basis Conv Amt(dec). ",IF($P1672=0,"Mineral; surface-only/reserved-&gt;0 min. ","Mineral; NO AMOUNT-verify instrument. ")),$M1672&amp;" (non-mineral; excluded from mineral NMA). ")&amp;IF(OR(ISNUMBER(SEARCH("public",$G1672)),ISNUMBER(SEARCH("public",$H1672))),"FLAG: The Public placeholder-verify. ","")&amp;IF(ISNUMBER(SEARCH("all",$L1672)),"All-section coverage. ","")&amp;IF($O1672=0,"Gross acres unresolved. ","")&amp;"Gross=tract-map basis."))</x:f>
        <x:v>Mineral; basis Conv Amt(dec). Gross acres unresolved. Gross=tract-map basis.</x:v>
      </x:c>
      <x:c r="T1672" s="577" t="n"/>
      <x:c r="U1672" s="577" t="n"/>
      <x:c r="V1672" s="565" t="n"/>
      <x:c r="W1672" s="565" t="n"/>
      <x:c r="X1672" s="565" t="n"/>
      <x:c r="Y1672" s="565" t="n"/>
      <x:c r="Z1672" s="565" t="n"/>
    </x:row>
    <x:row r="1673">
      <x:c r="A1673" s="552" t="inlineStr">
        <x:is>
          <x:t xml:space="preserve">1988-000762</x:t>
        </x:is>
      </x:c>
      <x:c r="B1673" s="552" t="n"/>
      <x:c r="C1673" s="552" t="inlineStr">
        <x:is>
          <x:t xml:space="preserve">Mineral Deed</x:t>
        </x:is>
      </x:c>
      <x:c r="D1673" s="552" t="inlineStr">
        <x:is>
          <x:t xml:space="preserve">946/223</x:t>
        </x:is>
      </x:c>
      <x:c r="E1673" s="653" t="n">
        <x:v>32177</x:v>
      </x:c>
      <x:c r="F1673" s="653" t="n">
        <x:v>32177</x:v>
      </x:c>
      <x:c r="G1673" s="552" t="inlineStr">
        <x:is>
          <x:t xml:space="preserve">Brent L. Schooley</x:t>
        </x:is>
      </x:c>
      <x:c r="H1673" s="552" t="inlineStr">
        <x:is>
          <x:t xml:space="preserve">Kaiser Francis Oil Co.</x:t>
        </x:is>
      </x:c>
      <x:c r="I1673" s="552" t="inlineStr">
        <x:is>
          <x:t xml:space="preserve">E/2 NW/4 of 31-12N-24W, aol</x:t>
        </x:is>
      </x:c>
      <x:c r="J1673" s="552" t="inlineStr">
        <x:is>
          <x:t xml:space="preserve">ARTI</x:t>
        </x:is>
      </x:c>
      <x:c r="K1673" s="554" t="e">
        <x:f>HYPERLINK("https://okcountyrecords.com/detail/roger+mills/1988-000762","OKCountyRecords: 1988-000762")</x:f>
      </x:c>
      <x:c r="L1673" s="552" t="n">
        <x:v>4</x:v>
      </x:c>
      <x:c r="M1673" s="552" t="inlineStr">
        <x:is>
          <x:t xml:space="preserve">Mineral</x:t>
        </x:is>
      </x:c>
      <x:c r="N1673" s="555" t="n">
        <x:v>1</x:v>
      </x:c>
      <x:c r="O1673" s="556" t="n">
        <x:f>IF($L1673="","",IF(ISNUMBER(SEARCH("all",$L1673)),640,(ISNUMBER(SEARCH("1",$L1673)))*80+(ISNUMBER(SEARCH("2",$L1673)))*160+(ISNUMBER(SEARCH("3",$L1673)))*40+(ISNUMBER(SEARCH("4",$L1673)))*80+(ISNUMBER(SEARCH("5",$L1673)))*120+(ISNUMBER(SEARCH("6",$L1673)))*80+(ISNUMBER(SEARCH("7",$L1673)))*40+(ISNUMBER(SEARCH("8",$L1673)))*40))</x:f>
        <x:v>0</x:v>
      </x:c>
      <x:c r="P1673" s="654" t="n">
        <x:f>IF($M1673&lt;&gt;"Mineral","",IF(ISNUMBER($N1673),$N1673,IF(OR(ISNUMBER(SEARCH("surface",$J1673)),ISNUMBER(SEARCH("reserv",$J1673)),ISNUMBER(SEARCH("less and except",$J1673))),0,"")))</x:f>
        <x:v>1</x:v>
      </x:c>
      <x:c r="Q1673" s="654" t="n">
        <x:f>IF($P1673="","",-$P1673)</x:f>
        <x:v>-1</x:v>
      </x:c>
      <x:c r="R1673" s="655" t="n">
        <x:f>IF($P1673="","",$O1673*$P1673)</x:f>
        <x:v>0</x:v>
      </x:c>
      <x:c r="S1673" s="552" t="str">
        <x:f>IF($M1673="","",TRIM(IF($M1673="Mineral",IF(ISNUMBER($N1673),"Mineral; basis Conv Amt(dec). ",IF($P1673=0,"Mineral; surface-only/reserved-&gt;0 min. ","Mineral; NO AMOUNT-verify instrument. ")),$M1673&amp;" (non-mineral; excluded from mineral NMA). ")&amp;IF(OR(ISNUMBER(SEARCH("public",$G1673)),ISNUMBER(SEARCH("public",$H1673))),"FLAG: The Public placeholder-verify. ","")&amp;IF(ISNUMBER(SEARCH("all",$L1673)),"All-section coverage. ","")&amp;IF($O1673=0,"Gross acres unresolved. ","")&amp;"Gross=tract-map basis."))</x:f>
        <x:v>Mineral; basis Conv Amt(dec). Gross acres unresolved. Gross=tract-map basis.</x:v>
      </x:c>
      <x:c r="T1673" s="577" t="n"/>
      <x:c r="U1673" s="577" t="n"/>
      <x:c r="V1673" s="565" t="n"/>
      <x:c r="W1673" s="565" t="n"/>
      <x:c r="X1673" s="565" t="n"/>
      <x:c r="Y1673" s="565" t="n"/>
      <x:c r="Z1673" s="565" t="n"/>
    </x:row>
    <x:row r="1674">
      <x:c r="A1674" s="552" t="inlineStr">
        <x:is>
          <x:t xml:space="preserve">1988-004185</x:t>
        </x:is>
      </x:c>
      <x:c r="B1674" s="552" t="n"/>
      <x:c r="C1674" s="552" t="inlineStr">
        <x:is>
          <x:t xml:space="preserve">Non-Participating Royalty Deed</x:t>
        </x:is>
      </x:c>
      <x:c r="D1674" s="552" t="inlineStr">
        <x:is>
          <x:t xml:space="preserve">981/2</x:t>
        </x:is>
      </x:c>
      <x:c r="E1674" s="653" t="n">
        <x:v>32216</x:v>
      </x:c>
      <x:c r="F1674" s="653" t="n">
        <x:v>32329</x:v>
      </x:c>
      <x:c r="G1674" s="552" t="inlineStr">
        <x:is>
          <x:t xml:space="preserve">Flag-Redfern Oil Company</x:t>
        </x:is>
      </x:c>
      <x:c r="H1674" s="552" t="inlineStr">
        <x:is>
          <x:t xml:space="preserve">First City National Bank of Midland, Trustee of the ETA-Flag Royalty Trust</x:t>
        </x:is>
      </x:c>
      <x:c r="I1674" s="552" t="inlineStr">
        <x:is>
          <x:t xml:space="preserve">N/2 NE/4, W/2 NW/4 of 31-12N-24W, aol</x:t>
        </x:is>
      </x:c>
      <x:c r="J1674" s="552" t="inlineStr">
        <x:is>
          <x:t xml:space="preserve">An undivided 1/8 royalty as a free royalty in oil, gas and all other minerals</x:t>
        </x:is>
      </x:c>
      <x:c r="K1674" s="554" t="e">
        <x:f>HYPERLINK("https://okcountyrecords.com/detail/roger+mills/1988-004185","OKCountyRecords: 1988-004185")</x:f>
      </x:c>
      <x:c r="L1674" s="552" t="inlineStr">
        <x:is>
          <x:t xml:space="preserve">1, 5</x:t>
        </x:is>
      </x:c>
      <x:c r="M1674" s="552" t="inlineStr">
        <x:is>
          <x:t xml:space="preserve">Mineral</x:t>
        </x:is>
      </x:c>
      <x:c r="N1674" s="555" t="n">
        <x:f>1/8</x:f>
        <x:v>0.125</x:v>
      </x:c>
      <x:c r="O1674" s="556" t="n">
        <x:f>IF($L1674="","",IF(ISNUMBER(SEARCH("all",$L1674)),640,(ISNUMBER(SEARCH("1",$L1674)))*80+(ISNUMBER(SEARCH("2",$L1674)))*160+(ISNUMBER(SEARCH("3",$L1674)))*40+(ISNUMBER(SEARCH("4",$L1674)))*80+(ISNUMBER(SEARCH("5",$L1674)))*120+(ISNUMBER(SEARCH("6",$L1674)))*80+(ISNUMBER(SEARCH("7",$L1674)))*40+(ISNUMBER(SEARCH("8",$L1674)))*40))</x:f>
        <x:v>0</x:v>
      </x:c>
      <x:c r="P1674" s="654" t="n">
        <x:f>IF($M1674&lt;&gt;"Mineral","",IF(ISNUMBER($N1674),$N1674,IF(OR(ISNUMBER(SEARCH("surface",$J1674)),ISNUMBER(SEARCH("reserv",$J1674)),ISNUMBER(SEARCH("less and except",$J1674))),0,"")))</x:f>
        <x:v>0.125</x:v>
      </x:c>
      <x:c r="Q1674" s="654" t="n">
        <x:f>IF($P1674="","",-$P1674)</x:f>
        <x:v>-0.125</x:v>
      </x:c>
      <x:c r="R1674" s="655" t="n">
        <x:f>IF($P1674="","",$O1674*$P1674)</x:f>
        <x:v>0</x:v>
      </x:c>
      <x:c r="S1674" s="552" t="str">
        <x:f>IF($M1674="","",TRIM(IF($M1674="Mineral",IF(ISNUMBER($N1674),"Mineral; basis Conv Amt(dec). ",IF($P1674=0,"Mineral; surface-only/reserved-&gt;0 min. ","Mineral; NO AMOUNT-verify instrument. ")),$M1674&amp;" (non-mineral; excluded from mineral NMA). ")&amp;IF(OR(ISNUMBER(SEARCH("public",$G1674)),ISNUMBER(SEARCH("public",$H1674))),"FLAG: The Public placeholder-verify. ","")&amp;IF(ISNUMBER(SEARCH("all",$L1674)),"All-section coverage. ","")&amp;IF($O1674=0,"Gross acres unresolved. ","")&amp;"Gross=tract-map basis."))</x:f>
        <x:v>Mineral; basis Conv Amt(dec). Gross acres unresolved. Gross=tract-map basis.</x:v>
      </x:c>
      <x:c r="T1674" s="577" t="n"/>
      <x:c r="U1674" s="578" t="n"/>
      <x:c r="V1674" s="565" t="n"/>
      <x:c r="W1674" s="565" t="n"/>
      <x:c r="X1674" s="565" t="n"/>
      <x:c r="Y1674" s="565" t="n"/>
      <x:c r="Z1674" s="565" t="n"/>
    </x:row>
    <x:row r="1675">
      <x:c r="A1675" s="552" t="inlineStr">
        <x:is>
          <x:t xml:space="preserve">1988-004480</x:t>
        </x:is>
      </x:c>
      <x:c r="B1675" s="552" t="n"/>
      <x:c r="C1675" s="552" t="inlineStr">
        <x:is>
          <x:t xml:space="preserve">Mineral Deed</x:t>
        </x:is>
      </x:c>
      <x:c r="D1675" s="552" t="inlineStr">
        <x:is>
          <x:t xml:space="preserve">984/181</x:t>
        </x:is>
      </x:c>
      <x:c r="E1675" s="653" t="n">
        <x:v>32344</x:v>
      </x:c>
      <x:c r="F1675" s="653" t="n">
        <x:v>32344</x:v>
      </x:c>
      <x:c r="G1675" s="552" t="inlineStr">
        <x:is>
          <x:t xml:space="preserve">Clarence C. Bain</x:t>
        </x:is>
      </x:c>
      <x:c r="H1675" s="552" t="inlineStr">
        <x:is>
          <x:t xml:space="preserve">William Clifton Bain</x:t>
        </x:is>
      </x:c>
      <x:c r="I1675" s="552" t="inlineStr">
        <x:is>
          <x:t xml:space="preserve">S/2 SE/4, NW/4 SE/4, SW/4 NE/4 of 31-12N-24W, aol</x:t>
        </x:is>
      </x:c>
      <x:c r="J1675" s="552" t="inlineStr">
        <x:is>
          <x:t xml:space="preserve">2/791.47 interest in 2 sections</x:t>
        </x:is>
      </x:c>
      <x:c r="K1675" s="554" t="e">
        <x:f>HYPERLINK("https://okcountyrecords.com/detail/roger+mills/1988-004480","OKCountyRecords: 1988-004480")</x:f>
      </x:c>
      <x:c r="L1675" s="552" t="n">
        <x:v>2</x:v>
      </x:c>
      <x:c r="M1675" s="552" t="inlineStr">
        <x:is>
          <x:t xml:space="preserve">Mineral</x:t>
        </x:is>
      </x:c>
      <x:c r="N1675" s="555" t="n">
        <x:f>2/791.47</x:f>
        <x:v>0.0025269435354467002</x:v>
      </x:c>
      <x:c r="O1675" s="556" t="n">
        <x:f>IF($L1675="","",IF(ISNUMBER(SEARCH("all",$L1675)),640,(ISNUMBER(SEARCH("1",$L1675)))*80+(ISNUMBER(SEARCH("2",$L1675)))*160+(ISNUMBER(SEARCH("3",$L1675)))*40+(ISNUMBER(SEARCH("4",$L1675)))*80+(ISNUMBER(SEARCH("5",$L1675)))*120+(ISNUMBER(SEARCH("6",$L1675)))*80+(ISNUMBER(SEARCH("7",$L1675)))*40+(ISNUMBER(SEARCH("8",$L1675)))*40))</x:f>
        <x:v>0</x:v>
      </x:c>
      <x:c r="P1675" s="654" t="n">
        <x:f>IF($M1675&lt;&gt;"Mineral","",IF(ISNUMBER($N1675),$N1675,IF(OR(ISNUMBER(SEARCH("surface",$J1675)),ISNUMBER(SEARCH("reserv",$J1675)),ISNUMBER(SEARCH("less and except",$J1675))),0,"")))</x:f>
        <x:v>0.0025269435354467002</x:v>
      </x:c>
      <x:c r="Q1675" s="654" t="n">
        <x:f>IF($P1675="","",-$P1675)</x:f>
        <x:v>-0.0025269435354467002</x:v>
      </x:c>
      <x:c r="R1675" s="655" t="n">
        <x:f>IF($P1675="","",$O1675*$P1675)</x:f>
        <x:v>0</x:v>
      </x:c>
      <x:c r="S1675" s="552" t="str">
        <x:f>IF($M1675="","",TRIM(IF($M1675="Mineral",IF(ISNUMBER($N1675),"Mineral; basis Conv Amt(dec). ",IF($P1675=0,"Mineral; surface-only/reserved-&gt;0 min. ","Mineral; NO AMOUNT-verify instrument. ")),$M1675&amp;" (non-mineral; excluded from mineral NMA). ")&amp;IF(OR(ISNUMBER(SEARCH("public",$G1675)),ISNUMBER(SEARCH("public",$H1675))),"FLAG: The Public placeholder-verify. ","")&amp;IF(ISNUMBER(SEARCH("all",$L1675)),"All-section coverage. ","")&amp;IF($O1675=0,"Gross acres unresolved. ","")&amp;"Gross=tract-map basis."))</x:f>
        <x:v>Mineral; basis Conv Amt(dec). Gross acres unresolved. Gross=tract-map basis.</x:v>
      </x:c>
      <x:c r="T1675" s="577" t="n"/>
      <x:c r="U1675" s="577" t="n"/>
      <x:c r="V1675" s="565" t="n"/>
      <x:c r="W1675" s="565" t="n"/>
      <x:c r="X1675" s="565" t="n"/>
      <x:c r="Y1675" s="565" t="n"/>
      <x:c r="Z1675" s="565" t="n"/>
    </x:row>
    <x:row r="1676">
      <x:c r="A1676" s="552" t="inlineStr">
        <x:is>
          <x:t xml:space="preserve">1988-004481</x:t>
        </x:is>
      </x:c>
      <x:c r="B1676" s="552" t="n"/>
      <x:c r="C1676" s="552" t="inlineStr">
        <x:is>
          <x:t xml:space="preserve">Mineral Deed</x:t>
        </x:is>
      </x:c>
      <x:c r="D1676" s="552" t="inlineStr">
        <x:is>
          <x:t xml:space="preserve">984/183</x:t>
        </x:is>
      </x:c>
      <x:c r="E1676" s="653" t="n">
        <x:v>32344</x:v>
      </x:c>
      <x:c r="F1676" s="653" t="n">
        <x:v>32344</x:v>
      </x:c>
      <x:c r="G1676" s="552" t="inlineStr">
        <x:is>
          <x:t xml:space="preserve">Clarence C. Bain</x:t>
        </x:is>
      </x:c>
      <x:c r="H1676" s="552" t="inlineStr">
        <x:is>
          <x:t xml:space="preserve">Michael Lee Bain</x:t>
        </x:is>
      </x:c>
      <x:c r="I1676" s="552" t="inlineStr">
        <x:is>
          <x:t xml:space="preserve">S/2 SE/4, NW/4 SE/4, SW/4 NE/4 of 31-12N-24W, aol</x:t>
        </x:is>
      </x:c>
      <x:c r="J1676" s="552" t="inlineStr">
        <x:is>
          <x:t xml:space="preserve">2/791.47 interest in 2 sections</x:t>
        </x:is>
      </x:c>
      <x:c r="K1676" s="554" t="e">
        <x:f>HYPERLINK("https://okcountyrecords.com/detail/roger+mills/1988-004481","OKCountyRecords: 1988-004481")</x:f>
      </x:c>
      <x:c r="L1676" s="552" t="n">
        <x:v>2</x:v>
      </x:c>
      <x:c r="M1676" s="552" t="inlineStr">
        <x:is>
          <x:t xml:space="preserve">Mineral</x:t>
        </x:is>
      </x:c>
      <x:c r="N1676" s="555" t="n">
        <x:f>2/791.47</x:f>
        <x:v>0.0025269435354467002</x:v>
      </x:c>
      <x:c r="O1676" s="556" t="n">
        <x:f>IF($L1676="","",IF(ISNUMBER(SEARCH("all",$L1676)),640,(ISNUMBER(SEARCH("1",$L1676)))*80+(ISNUMBER(SEARCH("2",$L1676)))*160+(ISNUMBER(SEARCH("3",$L1676)))*40+(ISNUMBER(SEARCH("4",$L1676)))*80+(ISNUMBER(SEARCH("5",$L1676)))*120+(ISNUMBER(SEARCH("6",$L1676)))*80+(ISNUMBER(SEARCH("7",$L1676)))*40+(ISNUMBER(SEARCH("8",$L1676)))*40))</x:f>
        <x:v>0</x:v>
      </x:c>
      <x:c r="P1676" s="654" t="n">
        <x:f>IF($M1676&lt;&gt;"Mineral","",IF(ISNUMBER($N1676),$N1676,IF(OR(ISNUMBER(SEARCH("surface",$J1676)),ISNUMBER(SEARCH("reserv",$J1676)),ISNUMBER(SEARCH("less and except",$J1676))),0,"")))</x:f>
        <x:v>0.0025269435354467002</x:v>
      </x:c>
      <x:c r="Q1676" s="654" t="n">
        <x:f>IF($P1676="","",-$P1676)</x:f>
        <x:v>-0.0025269435354467002</x:v>
      </x:c>
      <x:c r="R1676" s="655" t="n">
        <x:f>IF($P1676="","",$O1676*$P1676)</x:f>
        <x:v>0</x:v>
      </x:c>
      <x:c r="S1676" s="552" t="str">
        <x:f>IF($M1676="","",TRIM(IF($M1676="Mineral",IF(ISNUMBER($N1676),"Mineral; basis Conv Amt(dec). ",IF($P1676=0,"Mineral; surface-only/reserved-&gt;0 min. ","Mineral; NO AMOUNT-verify instrument. ")),$M1676&amp;" (non-mineral; excluded from mineral NMA). ")&amp;IF(OR(ISNUMBER(SEARCH("public",$G1676)),ISNUMBER(SEARCH("public",$H1676))),"FLAG: The Public placeholder-verify. ","")&amp;IF(ISNUMBER(SEARCH("all",$L1676)),"All-section coverage. ","")&amp;IF($O1676=0,"Gross acres unresolved. ","")&amp;"Gross=tract-map basis."))</x:f>
        <x:v>Mineral; basis Conv Amt(dec). Gross acres unresolved. Gross=tract-map basis.</x:v>
      </x:c>
      <x:c r="T1676" s="577" t="n"/>
      <x:c r="U1676" s="577" t="n"/>
      <x:c r="V1676" s="565" t="n"/>
      <x:c r="W1676" s="565" t="n"/>
      <x:c r="X1676" s="565" t="n"/>
      <x:c r="Y1676" s="565" t="n"/>
      <x:c r="Z1676" s="565" t="n"/>
    </x:row>
    <x:row r="1677">
      <x:c r="A1677" s="552" t="inlineStr">
        <x:is>
          <x:t xml:space="preserve">1988-004482</x:t>
        </x:is>
      </x:c>
      <x:c r="B1677" s="552" t="n"/>
      <x:c r="C1677" s="552" t="inlineStr">
        <x:is>
          <x:t xml:space="preserve">Mineral Deed</x:t>
        </x:is>
      </x:c>
      <x:c r="D1677" s="552" t="inlineStr">
        <x:is>
          <x:t xml:space="preserve">984/185</x:t>
        </x:is>
      </x:c>
      <x:c r="E1677" s="653" t="n">
        <x:v>32344</x:v>
      </x:c>
      <x:c r="F1677" s="653" t="n">
        <x:v>32344</x:v>
      </x:c>
      <x:c r="G1677" s="552" t="inlineStr">
        <x:is>
          <x:t xml:space="preserve">Clarence C. Bain</x:t>
        </x:is>
      </x:c>
      <x:c r="H1677" s="552" t="inlineStr">
        <x:is>
          <x:t xml:space="preserve">Paul Milton Bain</x:t>
        </x:is>
      </x:c>
      <x:c r="I1677" s="552" t="inlineStr">
        <x:is>
          <x:t xml:space="preserve">S/2 SE/4, NW/4 SE/4, SW/4 NE/4 of 31-12N-24W, aol</x:t>
        </x:is>
      </x:c>
      <x:c r="J1677" s="552" t="inlineStr">
        <x:is>
          <x:t xml:space="preserve">2/791.47 interest in 2 sections</x:t>
        </x:is>
      </x:c>
      <x:c r="K1677" s="554" t="e">
        <x:f>HYPERLINK("https://okcountyrecords.com/detail/roger+mills/1988-004482","OKCountyRecords: 1988-004482")</x:f>
      </x:c>
      <x:c r="L1677" s="552" t="n">
        <x:v>2</x:v>
      </x:c>
      <x:c r="M1677" s="552" t="inlineStr">
        <x:is>
          <x:t xml:space="preserve">Mineral</x:t>
        </x:is>
      </x:c>
      <x:c r="N1677" s="555" t="n">
        <x:f>2/791.47</x:f>
        <x:v>0.0025269435354467002</x:v>
      </x:c>
      <x:c r="O1677" s="556" t="n">
        <x:f>IF($L1677="","",IF(ISNUMBER(SEARCH("all",$L1677)),640,(ISNUMBER(SEARCH("1",$L1677)))*80+(ISNUMBER(SEARCH("2",$L1677)))*160+(ISNUMBER(SEARCH("3",$L1677)))*40+(ISNUMBER(SEARCH("4",$L1677)))*80+(ISNUMBER(SEARCH("5",$L1677)))*120+(ISNUMBER(SEARCH("6",$L1677)))*80+(ISNUMBER(SEARCH("7",$L1677)))*40+(ISNUMBER(SEARCH("8",$L1677)))*40))</x:f>
        <x:v>0</x:v>
      </x:c>
      <x:c r="P1677" s="654" t="n">
        <x:f>IF($M1677&lt;&gt;"Mineral","",IF(ISNUMBER($N1677),$N1677,IF(OR(ISNUMBER(SEARCH("surface",$J1677)),ISNUMBER(SEARCH("reserv",$J1677)),ISNUMBER(SEARCH("less and except",$J1677))),0,"")))</x:f>
        <x:v>0.0025269435354467002</x:v>
      </x:c>
      <x:c r="Q1677" s="654" t="n">
        <x:f>IF($P1677="","",-$P1677)</x:f>
        <x:v>-0.0025269435354467002</x:v>
      </x:c>
      <x:c r="R1677" s="655" t="n">
        <x:f>IF($P1677="","",$O1677*$P1677)</x:f>
        <x:v>0</x:v>
      </x:c>
      <x:c r="S1677" s="552" t="str">
        <x:f>IF($M1677="","",TRIM(IF($M1677="Mineral",IF(ISNUMBER($N1677),"Mineral; basis Conv Amt(dec). ",IF($P1677=0,"Mineral; surface-only/reserved-&gt;0 min. ","Mineral; NO AMOUNT-verify instrument. ")),$M1677&amp;" (non-mineral; excluded from mineral NMA). ")&amp;IF(OR(ISNUMBER(SEARCH("public",$G1677)),ISNUMBER(SEARCH("public",$H1677))),"FLAG: The Public placeholder-verify. ","")&amp;IF(ISNUMBER(SEARCH("all",$L1677)),"All-section coverage. ","")&amp;IF($O1677=0,"Gross acres unresolved. ","")&amp;"Gross=tract-map basis."))</x:f>
        <x:v>Mineral; basis Conv Amt(dec). Gross acres unresolved. Gross=tract-map basis.</x:v>
      </x:c>
      <x:c r="T1677" s="577" t="n"/>
      <x:c r="U1677" s="577" t="n"/>
      <x:c r="V1677" s="565" t="n"/>
      <x:c r="W1677" s="565" t="n"/>
      <x:c r="X1677" s="565" t="n"/>
      <x:c r="Y1677" s="565" t="n"/>
      <x:c r="Z1677" s="565" t="n"/>
    </x:row>
    <x:row r="1678">
      <x:c r="A1678" s="552" t="inlineStr">
        <x:is>
          <x:t xml:space="preserve">1988-004483</x:t>
        </x:is>
      </x:c>
      <x:c r="B1678" s="552" t="n"/>
      <x:c r="C1678" s="552" t="inlineStr">
        <x:is>
          <x:t xml:space="preserve">Mineral Deed</x:t>
        </x:is>
      </x:c>
      <x:c r="D1678" s="552" t="inlineStr">
        <x:is>
          <x:t xml:space="preserve">984/187</x:t>
        </x:is>
      </x:c>
      <x:c r="E1678" s="653" t="n">
        <x:v>32344</x:v>
      </x:c>
      <x:c r="F1678" s="653" t="n">
        <x:v>32344</x:v>
      </x:c>
      <x:c r="G1678" s="552" t="inlineStr">
        <x:is>
          <x:t xml:space="preserve">Clarence C. Bain</x:t>
        </x:is>
      </x:c>
      <x:c r="H1678" s="552" t="inlineStr">
        <x:is>
          <x:t xml:space="preserve">Ronald Dean Bain</x:t>
        </x:is>
      </x:c>
      <x:c r="I1678" s="552" t="inlineStr">
        <x:is>
          <x:t xml:space="preserve">S/2 SE/4, NW/4 SE/4, SW/4 NE/4 of 31-12N-24W, aol</x:t>
        </x:is>
      </x:c>
      <x:c r="J1678" s="552" t="inlineStr">
        <x:is>
          <x:t xml:space="preserve">2/791.47 interest in 2 sections</x:t>
        </x:is>
      </x:c>
      <x:c r="K1678" s="554" t="e">
        <x:f>HYPERLINK("https://okcountyrecords.com/detail/roger+mills/1988-004483","OKCountyRecords: 1988-004483")</x:f>
      </x:c>
      <x:c r="L1678" s="552" t="n">
        <x:v>2</x:v>
      </x:c>
      <x:c r="M1678" s="552" t="inlineStr">
        <x:is>
          <x:t xml:space="preserve">Mineral</x:t>
        </x:is>
      </x:c>
      <x:c r="N1678" s="555" t="n">
        <x:f>2/791.47</x:f>
        <x:v>0.0025269435354467002</x:v>
      </x:c>
      <x:c r="O1678" s="556" t="n">
        <x:f>IF($L1678="","",IF(ISNUMBER(SEARCH("all",$L1678)),640,(ISNUMBER(SEARCH("1",$L1678)))*80+(ISNUMBER(SEARCH("2",$L1678)))*160+(ISNUMBER(SEARCH("3",$L1678)))*40+(ISNUMBER(SEARCH("4",$L1678)))*80+(ISNUMBER(SEARCH("5",$L1678)))*120+(ISNUMBER(SEARCH("6",$L1678)))*80+(ISNUMBER(SEARCH("7",$L1678)))*40+(ISNUMBER(SEARCH("8",$L1678)))*40))</x:f>
        <x:v>0</x:v>
      </x:c>
      <x:c r="P1678" s="654" t="n">
        <x:f>IF($M1678&lt;&gt;"Mineral","",IF(ISNUMBER($N1678),$N1678,IF(OR(ISNUMBER(SEARCH("surface",$J1678)),ISNUMBER(SEARCH("reserv",$J1678)),ISNUMBER(SEARCH("less and except",$J1678))),0,"")))</x:f>
        <x:v>0.0025269435354467002</x:v>
      </x:c>
      <x:c r="Q1678" s="654" t="n">
        <x:f>IF($P1678="","",-$P1678)</x:f>
        <x:v>-0.0025269435354467002</x:v>
      </x:c>
      <x:c r="R1678" s="655" t="n">
        <x:f>IF($P1678="","",$O1678*$P1678)</x:f>
        <x:v>0</x:v>
      </x:c>
      <x:c r="S1678" s="552" t="str">
        <x:f>IF($M1678="","",TRIM(IF($M1678="Mineral",IF(ISNUMBER($N1678),"Mineral; basis Conv Amt(dec). ",IF($P1678=0,"Mineral; surface-only/reserved-&gt;0 min. ","Mineral; NO AMOUNT-verify instrument. ")),$M1678&amp;" (non-mineral; excluded from mineral NMA). ")&amp;IF(OR(ISNUMBER(SEARCH("public",$G1678)),ISNUMBER(SEARCH("public",$H1678))),"FLAG: The Public placeholder-verify. ","")&amp;IF(ISNUMBER(SEARCH("all",$L1678)),"All-section coverage. ","")&amp;IF($O1678=0,"Gross acres unresolved. ","")&amp;"Gross=tract-map basis."))</x:f>
        <x:v>Mineral; basis Conv Amt(dec). Gross acres unresolved. Gross=tract-map basis.</x:v>
      </x:c>
      <x:c r="T1678" s="577" t="n"/>
      <x:c r="U1678" s="577" t="n"/>
      <x:c r="V1678" s="565" t="n"/>
      <x:c r="W1678" s="565" t="n"/>
      <x:c r="X1678" s="565" t="n"/>
      <x:c r="Y1678" s="565" t="n"/>
      <x:c r="Z1678" s="565" t="n"/>
    </x:row>
    <x:row r="1679">
      <x:c r="A1679" s="552" t="inlineStr">
        <x:is>
          <x:t xml:space="preserve">1988-004635</x:t>
        </x:is>
      </x:c>
      <x:c r="B1679" s="552" t="n"/>
      <x:c r="C1679" s="552" t="inlineStr">
        <x:is>
          <x:t xml:space="preserve">Order and Final Decree</x:t>
        </x:is>
      </x:c>
      <x:c r="D1679" s="552" t="inlineStr">
        <x:is>
          <x:t xml:space="preserve">986/185</x:t>
        </x:is>
      </x:c>
      <x:c r="E1679" s="653" t="n">
        <x:v>32350</x:v>
      </x:c>
      <x:c r="F1679" s="653" t="n">
        <x:v>32350</x:v>
      </x:c>
      <x:c r="G1679" s="552" t="inlineStr">
        <x:is>
          <x:t xml:space="preserve">Beckham County Court,
RE: In the Matter of the Estate of Margaret Gray, Deceased</x:t>
        </x:is>
      </x:c>
      <x:c r="H1679" s="552" t="inlineStr">
        <x:is>
          <x:t xml:space="preserve">Murrell A. Gray, 1/3,
Fred A. Standiford, Jr., 1/3,
Alfred W. Standiford, 1/3</x:t>
        </x:is>
      </x:c>
      <x:c r="I1679" s="552" t="inlineStr">
        <x:is>
          <x:t xml:space="preserve">SE/4 SW/4 of 31-12N-24W, aol</x:t>
        </x:is>
      </x:c>
      <x:c r="J1679" s="552" t="inlineStr">
        <x:is>
          <x:t xml:space="preserve">ARTI, An undivided 7/48ths interest
(5.8333 min. ac.)</x:t>
        </x:is>
      </x:c>
      <x:c r="K1679" s="554" t="e">
        <x:f>HYPERLINK("https://okcountyrecords.com/detail/roger+mills/1988-004635","OKCountyRecords: 1988-004635")</x:f>
      </x:c>
      <x:c r="L1679" s="552" t="n">
        <x:v>5</x:v>
      </x:c>
      <x:c r="M1679" s="552" t="inlineStr">
        <x:is>
          <x:t xml:space="preserve">Mineral</x:t>
        </x:is>
      </x:c>
      <x:c r="N1679" s="555" t="n">
        <x:v>1</x:v>
      </x:c>
      <x:c r="O1679" s="556" t="n">
        <x:f>IF($L1679="","",IF(ISNUMBER(SEARCH("all",$L1679)),640,(ISNUMBER(SEARCH("1",$L1679)))*80+(ISNUMBER(SEARCH("2",$L1679)))*160+(ISNUMBER(SEARCH("3",$L1679)))*40+(ISNUMBER(SEARCH("4",$L1679)))*80+(ISNUMBER(SEARCH("5",$L1679)))*120+(ISNUMBER(SEARCH("6",$L1679)))*80+(ISNUMBER(SEARCH("7",$L1679)))*40+(ISNUMBER(SEARCH("8",$L1679)))*40))</x:f>
        <x:v>0</x:v>
      </x:c>
      <x:c r="P1679" s="654" t="n">
        <x:f>IF($M1679&lt;&gt;"Mineral","",IF(ISNUMBER($N1679),$N1679,IF(OR(ISNUMBER(SEARCH("surface",$J1679)),ISNUMBER(SEARCH("reserv",$J1679)),ISNUMBER(SEARCH("less and except",$J1679))),0,"")))</x:f>
        <x:v>1</x:v>
      </x:c>
      <x:c r="Q1679" s="654" t="n">
        <x:f>IF($P1679="","",-$P1679)</x:f>
        <x:v>-1</x:v>
      </x:c>
      <x:c r="R1679" s="655" t="n">
        <x:f>IF($P1679="","",$O1679*$P1679)</x:f>
        <x:v>0</x:v>
      </x:c>
      <x:c r="S1679" s="552" t="str">
        <x:f>IF($M1679="","",TRIM(IF($M1679="Mineral",IF(ISNUMBER($N1679),"Mineral; basis Conv Amt(dec). ",IF($P1679=0,"Mineral; surface-only/reserved-&gt;0 min. ","Mineral; NO AMOUNT-verify instrument. ")),$M1679&amp;" (non-mineral; excluded from mineral NMA). ")&amp;IF(OR(ISNUMBER(SEARCH("public",$G1679)),ISNUMBER(SEARCH("public",$H1679))),"FLAG: The Public placeholder-verify. ","")&amp;IF(ISNUMBER(SEARCH("all",$L1679)),"All-section coverage. ","")&amp;IF($O1679=0,"Gross acres unresolved. ","")&amp;"Gross=tract-map basis."))</x:f>
        <x:v>Mineral; basis Conv Amt(dec). Gross acres unresolved. Gross=tract-map basis.</x:v>
      </x:c>
      <x:c r="T1679" s="577" t="n"/>
      <x:c r="U1679" s="577" t="n"/>
      <x:c r="V1679" s="565" t="n"/>
      <x:c r="W1679" s="565" t="n"/>
      <x:c r="X1679" s="565" t="n"/>
      <x:c r="Y1679" s="565" t="n"/>
      <x:c r="Z1679" s="565" t="n"/>
    </x:row>
    <x:row r="1680">
      <x:c r="A1680" s="552" t="inlineStr">
        <x:is>
          <x:t xml:space="preserve">1988-005620</x:t>
        </x:is>
      </x:c>
      <x:c r="B1680" s="552" t="n"/>
      <x:c r="C1680" s="552" t="inlineStr">
        <x:is>
          <x:t xml:space="preserve">Mineral Deed</x:t>
        </x:is>
      </x:c>
      <x:c r="D1680" s="552" t="inlineStr">
        <x:is>
          <x:t xml:space="preserve">998/204</x:t>
        </x:is>
      </x:c>
      <x:c r="E1680" s="653" t="n">
        <x:v>32405</x:v>
      </x:c>
      <x:c r="F1680" s="653" t="n">
        <x:v>32405</x:v>
      </x:c>
      <x:c r="G1680" s="552" t="inlineStr">
        <x:is>
          <x:t xml:space="preserve">Cimarron Mineral Corporation</x:t>
        </x:is>
      </x:c>
      <x:c r="H1680" s="552" t="inlineStr">
        <x:is>
          <x:t xml:space="preserve">Inter-American Corporation</x:t>
        </x:is>
      </x:c>
      <x:c r="I1680" s="552" t="inlineStr">
        <x:is>
          <x:t xml:space="preserve">NE/4 SE/4, SE/4 NE/4, N/2 NE/4 SW/4, E/2 NW/4 of 31-12N-24W, aol</x:t>
        </x:is>
      </x:c>
      <x:c r="J1680" s="552" t="inlineStr">
        <x:is>
          <x:t xml:space="preserve">ARTI</x:t>
        </x:is>
      </x:c>
      <x:c r="K1680" s="554" t="e">
        <x:f>HYPERLINK("https://okcountyrecords.com/detail/roger+mills/1988-005620","OKCountyRecords: 1988-005620")</x:f>
      </x:c>
      <x:c r="L1680" s="552" t="inlineStr">
        <x:is>
          <x:t xml:space="preserve">1, 3, 4, 7, 8</x:t>
        </x:is>
      </x:c>
      <x:c r="M1680" s="552" t="inlineStr">
        <x:is>
          <x:t xml:space="preserve">Mineral</x:t>
        </x:is>
      </x:c>
      <x:c r="N1680" s="561" t="n">
        <x:v>1</x:v>
      </x:c>
      <x:c r="O1680" s="556" t="n">
        <x:f>IF($L1680="","",IF(ISNUMBER(SEARCH("all",$L1680)),640,(ISNUMBER(SEARCH("1",$L1680)))*80+(ISNUMBER(SEARCH("2",$L1680)))*160+(ISNUMBER(SEARCH("3",$L1680)))*40+(ISNUMBER(SEARCH("4",$L1680)))*80+(ISNUMBER(SEARCH("5",$L1680)))*120+(ISNUMBER(SEARCH("6",$L1680)))*80+(ISNUMBER(SEARCH("7",$L1680)))*40+(ISNUMBER(SEARCH("8",$L1680)))*40))</x:f>
        <x:v>0</x:v>
      </x:c>
      <x:c r="P1680" s="654" t="n">
        <x:f>IF($M1680&lt;&gt;"Mineral","",IF(ISNUMBER($N1680),$N1680,IF(OR(ISNUMBER(SEARCH("surface",$J1680)),ISNUMBER(SEARCH("reserv",$J1680)),ISNUMBER(SEARCH("less and except",$J1680))),0,"")))</x:f>
        <x:v>1</x:v>
      </x:c>
      <x:c r="Q1680" s="654" t="n">
        <x:f>IF($P1680="","",-$P1680)</x:f>
        <x:v>-1</x:v>
      </x:c>
      <x:c r="R1680" s="655" t="n">
        <x:f>IF($P1680="","",$O1680*$P1680)</x:f>
        <x:v>0</x:v>
      </x:c>
      <x:c r="S1680" s="552" t="str">
        <x:f>IF($M1680="","",TRIM(IF($M1680="Mineral",IF(ISNUMBER($N1680),"Mineral; basis Conv Amt(dec). ",IF($P1680=0,"Mineral; surface-only/reserved-&gt;0 min. ","Mineral; NO AMOUNT-verify instrument. ")),$M1680&amp;" (non-mineral; excluded from mineral NMA). ")&amp;IF(OR(ISNUMBER(SEARCH("public",$G1680)),ISNUMBER(SEARCH("public",$H1680))),"FLAG: The Public placeholder-verify. ","")&amp;IF(ISNUMBER(SEARCH("all",$L1680)),"All-section coverage. ","")&amp;IF($O1680=0,"Gross acres unresolved. ","")&amp;"Gross=tract-map basis."))</x:f>
        <x:v>Mineral; basis Conv Amt(dec). Gross acres unresolved. Gross=tract-map basis.</x:v>
      </x:c>
      <x:c r="T1680" s="577" t="n"/>
      <x:c r="U1680" s="577" t="n"/>
      <x:c r="V1680" s="565" t="n"/>
      <x:c r="W1680" s="565" t="n"/>
      <x:c r="X1680" s="565" t="n"/>
      <x:c r="Y1680" s="565" t="n"/>
      <x:c r="Z1680" s="565" t="n"/>
    </x:row>
    <x:row r="1681">
      <x:c r="A1681" s="552" t="inlineStr">
        <x:is>
          <x:t xml:space="preserve">1988-006565</x:t>
        </x:is>
      </x:c>
      <x:c r="B1681" s="552" t="n"/>
      <x:c r="C1681" s="552" t="inlineStr">
        <x:is>
          <x:t xml:space="preserve">Mineral Deed</x:t>
        </x:is>
      </x:c>
      <x:c r="D1681" s="552" t="inlineStr">
        <x:is>
          <x:t xml:space="preserve">1009/25</x:t>
        </x:is>
      </x:c>
      <x:c r="E1681" s="653" t="n">
        <x:v>32449</x:v>
      </x:c>
      <x:c r="F1681" s="653" t="n">
        <x:v>32449</x:v>
      </x:c>
      <x:c r="G1681" s="552" t="inlineStr">
        <x:is>
          <x:t xml:space="preserve">Dow C. Bain</x:t>
        </x:is>
      </x:c>
      <x:c r="H1681" s="552" t="inlineStr">
        <x:is>
          <x:t xml:space="preserve">Dow C. Bain, (and OR) Edris O. Bain, JTWROS</x:t>
        </x:is>
      </x:c>
      <x:c r="I1681" s="552" t="inlineStr">
        <x:is>
          <x:t xml:space="preserve">SW/4 NE/4, NW/4 SE/4, S/2 SE/4 of 31-12N-24W, aol</x:t>
        </x:is>
      </x:c>
      <x:c r="J1681" s="552" t="inlineStr">
        <x:is>
          <x:t xml:space="preserve">8.0862 acres.</x:t>
        </x:is>
      </x:c>
      <x:c r="K1681" s="554" t="e">
        <x:f>HYPERLINK("https://okcountyrecords.com/detail/roger+mills/1988-006565","OKCountyRecords: 1988-006565")</x:f>
      </x:c>
      <x:c r="L1681" s="552" t="n">
        <x:v>2</x:v>
      </x:c>
      <x:c r="M1681" s="552" t="inlineStr">
        <x:is>
          <x:t xml:space="preserve">Mineral</x:t>
        </x:is>
      </x:c>
      <x:c r="N1681" s="555" t="str">
        <x:f>IF(O1681&gt;0,8.0862/O1681,"")</x:f>
      </x:c>
      <x:c r="O1681" s="556" t="n">
        <x:f>IF($L1681="","",IF(ISNUMBER(SEARCH("all",$L1681)),640,(ISNUMBER(SEARCH("1",$L1681)))*80+(ISNUMBER(SEARCH("2",$L1681)))*160+(ISNUMBER(SEARCH("3",$L1681)))*40+(ISNUMBER(SEARCH("4",$L1681)))*80+(ISNUMBER(SEARCH("5",$L1681)))*120+(ISNUMBER(SEARCH("6",$L1681)))*80+(ISNUMBER(SEARCH("7",$L1681)))*40+(ISNUMBER(SEARCH("8",$L1681)))*40))</x:f>
        <x:v>0</x:v>
      </x:c>
      <x:c r="P1681" s="654" t="str">
        <x:f>IF($M1681&lt;&gt;"Mineral","",IF(ISNUMBER($N1681),$N1681,IF(OR(ISNUMBER(SEARCH("surface",$J1681)),ISNUMBER(SEARCH("reserv",$J1681)),ISNUMBER(SEARCH("less and except",$J1681))),0,"")))</x:f>
      </x:c>
      <x:c r="Q1681" s="654" t="str">
        <x:f>IF($P1681="","",-$P1681)</x:f>
      </x:c>
      <x:c r="R1681" s="655" t="str">
        <x:f>IF($P1681="","",$O1681*$P1681)</x:f>
      </x:c>
      <x:c r="S1681" s="552" t="str">
        <x:f>IF($M1681="","",TRIM(IF($M1681="Mineral",IF(ISNUMBER($N1681),"Mineral; basis Conv Amt(dec). ",IF($P1681=0,"Mineral; surface-only/reserved-&gt;0 min. ","Mineral; VERIFY — NEED full instrument image for conveyed amount. ")),$M1681&amp;" (non-mineral; excluded from mineral NMA). ")&amp;IF(OR(ISNUMBER(SEARCH("public",$G1681)),ISNUMBER(SEARCH("public",$H1681))),"FLAG: The Public placeholder; VERIFY — NEED source confirmation. ","")&amp;IF(ISNUMBER(SEARCH("all",$L1681)),"All-section coverage. ","")&amp;IF($O1681=0,"Gross acres unresolved. ","")&amp;"Gross=tract-map basis."))</x:f>
        <x:v>Mineral; surface-only/reserved-&gt;0 min. Gross acres unresolved. Gross=tract-map basis.</x:v>
      </x:c>
      <x:c r="T1681" s="577" t="inlineStr">
        <x:is>
          <x:t xml:space="preserve">REVIEW</x:t>
        </x:is>
      </x:c>
      <x:c r="U1681" s="577" t="inlineStr">
        <x:is>
          <x:t xml:space="preserve">Conveys 8.0862 acres per notes; conv. dec = 8.0862/gross. Verify denominator/tract from image.</x:t>
        </x:is>
      </x:c>
      <x:c r="V1681" s="565" t="n"/>
      <x:c r="W1681" s="565" t="n"/>
      <x:c r="X1681" s="565" t="n"/>
      <x:c r="Y1681" s="565" t="n"/>
      <x:c r="Z1681" s="565" t="n"/>
    </x:row>
    <x:row r="1682">
      <x:c r="A1682" s="552" t="inlineStr">
        <x:is>
          <x:t xml:space="preserve">1989-000424</x:t>
        </x:is>
      </x:c>
      <x:c r="B1682" s="552" t="n"/>
      <x:c r="C1682" s="552" t="inlineStr">
        <x:is>
          <x:t xml:space="preserve">Miscellaneous</x:t>
        </x:is>
      </x:c>
      <x:c r="D1682" s="552" t="inlineStr">
        <x:is>
          <x:t xml:space="preserve">1030/176</x:t>
        </x:is>
      </x:c>
      <x:c r="E1682" s="653" t="n">
        <x:v>32531</x:v>
      </x:c>
      <x:c r="F1682" s="653" t="n">
        <x:v>32531</x:v>
      </x:c>
      <x:c r="G1682" s="552" t="inlineStr">
        <x:is>
          <x:t xml:space="preserve">Bank of Western Oklahoma</x:t>
        </x:is>
      </x:c>
      <x:c r="H1682" s="552" t="inlineStr">
        <x:is>
          <x:t xml:space="preserve">The Public</x:t>
        </x:is>
      </x:c>
      <x:c r="I1682" s="552" t="inlineStr">
        <x:is>
          <x:t xml:space="preserve">31-12N-24W, aol</x:t>
        </x:is>
      </x:c>
      <x:c r="J1682" s="552" t="inlineStr">
        <x:is>
          <x:t xml:space="preserve">See instrument</x:t>
        </x:is>
      </x:c>
      <x:c r="K1682" s="554" t="e">
        <x:f>HYPERLINK("https://okcountyrecords.com/detail/roger+mills/1989-000424","OKCountyRecords: 1989-000424")</x:f>
      </x:c>
      <x:c r="L1682" s="552" t="inlineStr">
        <x:is>
          <x:t xml:space="preserve">All (1-8)</x:t>
        </x:is>
      </x:c>
      <x:c r="M1682" s="552" t="inlineStr">
        <x:is>
          <x:t xml:space="preserve">Other</x:t>
        </x:is>
      </x:c>
      <x:c r="N1682" s="555" t="n"/>
      <x:c r="O1682" s="556" t="n">
        <x:f>IF($L1682="","",IF(ISNUMBER(SEARCH("all",$L1682)),640,(ISNUMBER(SEARCH("1",$L1682)))*80+(ISNUMBER(SEARCH("2",$L1682)))*160+(ISNUMBER(SEARCH("3",$L1682)))*40+(ISNUMBER(SEARCH("4",$L1682)))*80+(ISNUMBER(SEARCH("5",$L1682)))*120+(ISNUMBER(SEARCH("6",$L1682)))*80+(ISNUMBER(SEARCH("7",$L1682)))*40+(ISNUMBER(SEARCH("8",$L1682)))*40))</x:f>
        <x:v>640</x:v>
      </x:c>
      <x:c r="P1682" s="654" t="str">
        <x:f>IF($M1682&lt;&gt;"Mineral","",IF(ISNUMBER($N1682),$N1682,IF(OR(ISNUMBER(SEARCH("surface",$J1682)),ISNUMBER(SEARCH("reserv",$J1682)),ISNUMBER(SEARCH("less and except",$J1682))),0,"")))</x:f>
      </x:c>
      <x:c r="Q1682" s="654" t="str">
        <x:f>IF($P1682="","",-$P1682)</x:f>
      </x:c>
      <x:c r="R1682" s="655" t="str">
        <x:f>IF($P1682="","",$O1682*$P1682)</x:f>
      </x:c>
      <x:c r="S1682" s="552" t="inlineStr">
        <x:is>
          <x:t xml:space="preserve">Other (non-mineral; excluded from mineral NMA). All-section coverage. Gross=tract-map basis.</x:t>
        </x:is>
      </x:c>
      <x:c r="T1682" s="577" t="inlineStr">
        <x:is>
          <x:t xml:space="preserve">OK</x:t>
        </x:is>
      </x:c>
      <x:c r="U1682" s="578" t="inlineStr">
        <x:is>
          <x:t xml:space="preserve">Non-conveying — notice/affidavit/address change (The Public).</x:t>
        </x:is>
      </x:c>
      <x:c r="V1682" s="565" t="n"/>
      <x:c r="W1682" s="565" t="n"/>
      <x:c r="X1682" s="565" t="n"/>
      <x:c r="Y1682" s="565" t="n"/>
      <x:c r="Z1682" s="565" t="n"/>
    </x:row>
    <x:row r="1683">
      <x:c r="A1683" s="552" t="inlineStr">
        <x:is>
          <x:t xml:space="preserve">1989-002065</x:t>
        </x:is>
      </x:c>
      <x:c r="B1683" s="552" t="n"/>
      <x:c r="C1683" s="552" t="inlineStr">
        <x:is>
          <x:t xml:space="preserve">Affidavit</x:t>
        </x:is>
      </x:c>
      <x:c r="D1683" s="552" t="inlineStr">
        <x:is>
          <x:t xml:space="preserve">1047/68</x:t>
        </x:is>
      </x:c>
      <x:c r="E1683" s="653" t="n">
        <x:v>32531</x:v>
      </x:c>
      <x:c r="F1683" s="653" t="n">
        <x:v>32601</x:v>
      </x:c>
      <x:c r="G1683" s="552" t="inlineStr">
        <x:is>
          <x:t xml:space="preserve">Black Hawk Holding Company,
Roland E. Sledge</x:t>
        </x:is>
      </x:c>
      <x:c r="H1683" s="552" t="inlineStr">
        <x:is>
          <x:t xml:space="preserve">The Public</x:t>
        </x:is>
      </x:c>
      <x:c r="I1683" s="552" t="inlineStr">
        <x:is>
          <x:t xml:space="preserve">All of 31-12N-24W, aol</x:t>
        </x:is>
      </x:c>
      <x:c r="J1683" s="552" t="inlineStr">
        <x:is>
          <x:t xml:space="preserve">change of address</x:t>
        </x:is>
      </x:c>
      <x:c r="K1683" s="554" t="e">
        <x:f>HYPERLINK("https://okcountyrecords.com/detail/roger+mills/1989-002065","OKCountyRecords: 1989-002065")</x:f>
      </x:c>
      <x:c r="L1683" s="552" t="inlineStr">
        <x:is>
          <x:t xml:space="preserve">All (1-8)</x:t>
        </x:is>
      </x:c>
      <x:c r="M1683" s="552" t="inlineStr">
        <x:is>
          <x:t xml:space="preserve">Other</x:t>
        </x:is>
      </x:c>
      <x:c r="N1683" s="555" t="n"/>
      <x:c r="O1683" s="556" t="n">
        <x:f>IF($L1683="","",IF(ISNUMBER(SEARCH("all",$L1683)),640,(ISNUMBER(SEARCH("1",$L1683)))*80+(ISNUMBER(SEARCH("2",$L1683)))*160+(ISNUMBER(SEARCH("3",$L1683)))*40+(ISNUMBER(SEARCH("4",$L1683)))*80+(ISNUMBER(SEARCH("5",$L1683)))*120+(ISNUMBER(SEARCH("6",$L1683)))*80+(ISNUMBER(SEARCH("7",$L1683)))*40+(ISNUMBER(SEARCH("8",$L1683)))*40))</x:f>
        <x:v>640</x:v>
      </x:c>
      <x:c r="P1683" s="654" t="str">
        <x:f>IF($M1683&lt;&gt;"Mineral","",IF(ISNUMBER($N1683),$N1683,IF(OR(ISNUMBER(SEARCH("surface",$J1683)),ISNUMBER(SEARCH("reserv",$J1683)),ISNUMBER(SEARCH("less and except",$J1683))),0,"")))</x:f>
      </x:c>
      <x:c r="Q1683" s="654" t="str">
        <x:f>IF($P1683="","",-$P1683)</x:f>
      </x:c>
      <x:c r="R1683" s="655" t="str">
        <x:f>IF($P1683="","",$O1683*$P1683)</x:f>
      </x:c>
      <x:c r="S1683" s="552" t="inlineStr">
        <x:is>
          <x:t xml:space="preserve">Other (non-mineral; excluded from mineral NMA). All-section coverage. Gross=tract-map basis.</x:t>
        </x:is>
      </x:c>
      <x:c r="T1683" s="577" t="inlineStr">
        <x:is>
          <x:t xml:space="preserve">OK</x:t>
        </x:is>
      </x:c>
      <x:c r="U1683" s="577" t="inlineStr">
        <x:is>
          <x:t xml:space="preserve">Non-conveying — notice/affidavit/address change (The Public).</x:t>
        </x:is>
      </x:c>
      <x:c r="V1683" s="565" t="n"/>
      <x:c r="W1683" s="565" t="n"/>
      <x:c r="X1683" s="565" t="n"/>
      <x:c r="Y1683" s="565" t="n"/>
      <x:c r="Z1683" s="565" t="n"/>
    </x:row>
    <x:row r="1684">
      <x:c r="A1684" s="552" t="inlineStr">
        <x:is>
          <x:t xml:space="preserve">1989-001220</x:t>
        </x:is>
      </x:c>
      <x:c r="B1684" s="552" t="n"/>
      <x:c r="C1684" s="552" t="inlineStr">
        <x:is>
          <x:t xml:space="preserve">Mineral Deed</x:t>
        </x:is>
      </x:c>
      <x:c r="D1684" s="552" t="inlineStr">
        <x:is>
          <x:t xml:space="preserve">1038/219</x:t>
        </x:is>
      </x:c>
      <x:c r="E1684" s="653" t="n">
        <x:v>32566</x:v>
      </x:c>
      <x:c r="F1684" s="653" t="n">
        <x:v>32566</x:v>
      </x:c>
      <x:c r="G1684" s="552" t="inlineStr">
        <x:is>
          <x:t xml:space="preserve">Alfred William Standiford</x:t>
        </x:is>
      </x:c>
      <x:c r="H1684" s="552" t="inlineStr">
        <x:is>
          <x:t xml:space="preserve">Shaun S. Walters</x:t>
        </x:is>
      </x:c>
      <x:c r="I1684" s="552" t="inlineStr">
        <x:is>
          <x:t xml:space="preserve">SE/4 SW/4 of 31-12N-24W, aol</x:t>
        </x:is>
      </x:c>
      <x:c r="J1684" s="552" t="inlineStr">
        <x:is>
          <x:t xml:space="preserve">1/6 of 7/40 interest (0.9722 NMA)</x:t>
        </x:is>
      </x:c>
      <x:c r="K1684" s="554" t="e">
        <x:f>HYPERLINK("https://okcountyrecords.com/detail/roger+mills/1989-001220","OKCountyRecords: 1989-001220")</x:f>
      </x:c>
      <x:c r="L1684" s="552" t="n">
        <x:v>5</x:v>
      </x:c>
      <x:c r="M1684" s="552" t="inlineStr">
        <x:is>
          <x:t xml:space="preserve">Mineral</x:t>
        </x:is>
      </x:c>
      <x:c r="N1684" s="555" t="str">
        <x:f>IF(O1684&gt;0,0.9722/O1684,"")</x:f>
      </x:c>
      <x:c r="O1684" s="556" t="n">
        <x:f>IF($L1684="","",IF(ISNUMBER(SEARCH("all",$L1684)),640,(ISNUMBER(SEARCH("1",$L1684)))*80+(ISNUMBER(SEARCH("2",$L1684)))*160+(ISNUMBER(SEARCH("3",$L1684)))*40+(ISNUMBER(SEARCH("4",$L1684)))*80+(ISNUMBER(SEARCH("5",$L1684)))*120+(ISNUMBER(SEARCH("6",$L1684)))*80+(ISNUMBER(SEARCH("7",$L1684)))*40+(ISNUMBER(SEARCH("8",$L1684)))*40))</x:f>
        <x:v>0</x:v>
      </x:c>
      <x:c r="P1684" s="654" t="str">
        <x:f>IF($M1684&lt;&gt;"Mineral","",IF(ISNUMBER($N1684),$N1684,IF(OR(ISNUMBER(SEARCH("surface",$J1684)),ISNUMBER(SEARCH("reserv",$J1684)),ISNUMBER(SEARCH("less and except",$J1684))),0,"")))</x:f>
      </x:c>
      <x:c r="Q1684" s="654" t="str">
        <x:f>IF($P1684="","",-$P1684)</x:f>
      </x:c>
      <x:c r="R1684" s="655" t="str">
        <x:f>IF($P1684="","",$O1684*$P1684)</x:f>
      </x:c>
      <x:c r="S1684" s="552" t="str">
        <x:f>IF($M1684="","",TRIM(IF($M1684="Mineral",IF(ISNUMBER($N1684),"Mineral; basis Conv Amt(dec). ",IF($P1684=0,"Mineral; surface-only/reserved-&gt;0 min. ","Mineral; VERIFY — NEED full instrument image for conveyed amount. ")),$M1684&amp;" (non-mineral; excluded from mineral NMA). ")&amp;IF(OR(ISNUMBER(SEARCH("public",$G1684)),ISNUMBER(SEARCH("public",$H1684))),"FLAG: The Public placeholder; VERIFY — NEED source confirmation. ","")&amp;IF(ISNUMBER(SEARCH("all",$L1684)),"All-section coverage. ","")&amp;IF($O1684=0,"Gross acres unresolved. ","")&amp;"Gross=tract-map basis."))</x:f>
        <x:v>Mineral; surface-only/reserved-&gt;0 min. Gross acres unresolved. Gross=tract-map basis.</x:v>
      </x:c>
      <x:c r="T1684" s="577" t="n"/>
      <x:c r="U1684" s="577" t="inlineStr">
        <x:is>
          <x:t xml:space="preserve">Conveys 0.9722 NMA per notes; conv. dec = 0.9722/gross. Verify denominator/tract from image.</x:t>
        </x:is>
      </x:c>
      <x:c r="V1684" s="565" t="n"/>
      <x:c r="W1684" s="565" t="n"/>
      <x:c r="X1684" s="565" t="n"/>
      <x:c r="Y1684" s="565" t="n"/>
      <x:c r="Z1684" s="565" t="n"/>
    </x:row>
    <x:row r="1685">
      <x:c r="A1685" s="552" t="inlineStr">
        <x:is>
          <x:t xml:space="preserve">1989-001559</x:t>
        </x:is>
      </x:c>
      <x:c r="B1685" s="552" t="n"/>
      <x:c r="C1685" s="552" t="inlineStr">
        <x:is>
          <x:t xml:space="preserve">Final Decree</x:t>
        </x:is>
      </x:c>
      <x:c r="D1685" s="552" t="inlineStr">
        <x:is>
          <x:t xml:space="preserve">1042/126</x:t>
        </x:is>
      </x:c>
      <x:c r="E1685" s="653" t="n">
        <x:v>32579</x:v>
      </x:c>
      <x:c r="F1685" s="653" t="n">
        <x:v>32579</x:v>
      </x:c>
      <x:c r="G1685" s="552" t="inlineStr">
        <x:is>
          <x:t xml:space="preserve">Beckham County Court,
RE: In the Matter of the Estate of Murrell A. Gray, Deceased</x:t>
        </x:is>
      </x:c>
      <x:c r="H1685" s="552" t="inlineStr">
        <x:is>
          <x:t xml:space="preserve">Allen Gray,
The Public</x:t>
        </x:is>
      </x:c>
      <x:c r="I1685" s="552" t="inlineStr">
        <x:is>
          <x:t xml:space="preserve">SE/4 SW/4 of 31-12N-24W, aol</x:t>
        </x:is>
      </x:c>
      <x:c r="J1685" s="552" t="inlineStr">
        <x:is>
          <x:t xml:space="preserve">ARTI, An undivided 7/48ths interest
(5.8333 min. ac.)</x:t>
        </x:is>
      </x:c>
      <x:c r="K1685" s="554" t="e">
        <x:f>HYPERLINK("https://okcountyrecords.com/detail/roger+mills/1989-001559","OKCountyRecords: 1989-001559")</x:f>
      </x:c>
      <x:c r="L1685" s="552" t="n">
        <x:v>5</x:v>
      </x:c>
      <x:c r="M1685" s="552" t="inlineStr">
        <x:is>
          <x:t xml:space="preserve">Mineral</x:t>
        </x:is>
      </x:c>
      <x:c r="N1685" s="555" t="n">
        <x:f>1</x:f>
        <x:v>1</x:v>
      </x:c>
      <x:c r="O1685" s="556" t="n">
        <x:f>IF($L1685="","",IF(ISNUMBER(SEARCH("all",$L1685)),640,(ISNUMBER(SEARCH("1",$L1685)))*80+(ISNUMBER(SEARCH("2",$L1685)))*160+(ISNUMBER(SEARCH("3",$L1685)))*40+(ISNUMBER(SEARCH("4",$L1685)))*80+(ISNUMBER(SEARCH("5",$L1685)))*120+(ISNUMBER(SEARCH("6",$L1685)))*80+(ISNUMBER(SEARCH("7",$L1685)))*40+(ISNUMBER(SEARCH("8",$L1685)))*40))</x:f>
        <x:v>0</x:v>
      </x:c>
      <x:c r="P1685" s="654" t="n">
        <x:f>IF($M1685&lt;&gt;"Mineral","",IF(ISNUMBER($N1685),$N1685,IF(OR(ISNUMBER(SEARCH("surface",$J1685)),ISNUMBER(SEARCH("reserv",$J1685)),ISNUMBER(SEARCH("less and except",$J1685))),0,"")))</x:f>
        <x:v>1</x:v>
      </x:c>
      <x:c r="Q1685" s="654" t="n">
        <x:f>IF($P1685="","",-$P1685)</x:f>
        <x:v>-1</x:v>
      </x:c>
      <x:c r="R1685" s="655" t="n">
        <x:f>IF($P1685="","",$O1685*$P1685)</x:f>
        <x:v>0</x:v>
      </x:c>
      <x:c r="S1685" s="552" t="str">
        <x:f>IF($M1685="","",TRIM(IF($M1685="Mineral",IF(ISNUMBER($N1685),"Mineral; basis Conv Amt(dec). ",IF($P1685=0,"Mineral; surface-only/reserved-&gt;0 min. ","Mineral; VERIFY — NEED full instrument image for conveyed amount. ")),$M1685&amp;" (non-mineral; excluded from mineral NMA). ")&amp;IF(OR(ISNUMBER(SEARCH("public",$G1685)),ISNUMBER(SEARCH("public",$H1685))),"FLAG: The Public placeholder; VERIFY — NEED source confirmation. ","")&amp;IF(ISNUMBER(SEARCH("all",$L1685)),"All-section coverage. ","")&amp;IF($O1685=0,"Gross acres unresolved. ","")&amp;"Gross=tract-map basis."))</x:f>
        <x:v>Mineral; basis Conv Amt(dec). FLAG: The Public placeholder; VERIFY — NEED source confirmation. Gross acres unresolved. Gross=tract-map basis.</x:v>
      </x:c>
      <x:c r="T1685" s="577" t="inlineStr">
        <x:is>
          <x:t xml:space="preserve">REVIEW</x:t>
        </x:is>
      </x:c>
      <x:c r="U1685" s="577" t="inlineStr">
        <x:is>
          <x:t xml:space="preserve">NEED: confirm conveyed mineral acreage from instrument image — named party present under 'The Public' (affidavit/notice); placeholder identity resolved.</x:t>
        </x:is>
      </x:c>
      <x:c r="V1685" s="565" t="n"/>
      <x:c r="W1685" s="565" t="n"/>
      <x:c r="X1685" s="565" t="n"/>
      <x:c r="Y1685" s="565" t="n"/>
      <x:c r="Z1685" s="565" t="n"/>
    </x:row>
    <x:row r="1686">
      <x:c r="A1686" s="552" t="inlineStr">
        <x:is>
          <x:t xml:space="preserve">1989-002320</x:t>
        </x:is>
      </x:c>
      <x:c r="B1686" s="552" t="n"/>
      <x:c r="C1686" s="552" t="inlineStr">
        <x:is>
          <x:t xml:space="preserve">Mineral Deed</x:t>
        </x:is>
      </x:c>
      <x:c r="D1686" s="552" t="inlineStr">
        <x:is>
          <x:t xml:space="preserve">1049/289</x:t>
        </x:is>
      </x:c>
      <x:c r="E1686" s="653" t="n">
        <x:v>32612</x:v>
      </x:c>
      <x:c r="F1686" s="653" t="n">
        <x:v>32612</x:v>
      </x:c>
      <x:c r="G1686" s="552" t="inlineStr">
        <x:is>
          <x:t xml:space="preserve">Clarence C. Bain</x:t>
        </x:is>
      </x:c>
      <x:c r="H1686" s="552" t="inlineStr">
        <x:is>
          <x:t xml:space="preserve">William Clifton Bain</x:t>
        </x:is>
      </x:c>
      <x:c r="I1686" s="552" t="inlineStr">
        <x:is>
          <x:t xml:space="preserve">S/2 SE/4, NW/4 SE/4, SW/4 NE/4 of 31-12N-24W, aol</x:t>
        </x:is>
      </x:c>
      <x:c r="J1686" s="552" t="inlineStr">
        <x:is>
          <x:t xml:space="preserve">3/791.47 interest in 2 sections</x:t>
        </x:is>
      </x:c>
      <x:c r="K1686" s="554" t="e">
        <x:f>HYPERLINK("https://okcountyrecords.com/detail/roger+mills/1989-002320","OKCountyRecords: 1989-002320")</x:f>
      </x:c>
      <x:c r="L1686" s="552" t="n">
        <x:v>2</x:v>
      </x:c>
      <x:c r="M1686" s="552" t="inlineStr">
        <x:is>
          <x:t xml:space="preserve">Mineral</x:t>
        </x:is>
      </x:c>
      <x:c r="N1686" s="555" t="n">
        <x:f>3/791.47</x:f>
        <x:v>0.0037904153031700504</x:v>
      </x:c>
      <x:c r="O1686" s="556" t="n">
        <x:f>IF($L1686="","",IF(ISNUMBER(SEARCH("all",$L1686)),640,(ISNUMBER(SEARCH("1",$L1686)))*80+(ISNUMBER(SEARCH("2",$L1686)))*160+(ISNUMBER(SEARCH("3",$L1686)))*40+(ISNUMBER(SEARCH("4",$L1686)))*80+(ISNUMBER(SEARCH("5",$L1686)))*120+(ISNUMBER(SEARCH("6",$L1686)))*80+(ISNUMBER(SEARCH("7",$L1686)))*40+(ISNUMBER(SEARCH("8",$L1686)))*40))</x:f>
        <x:v>0</x:v>
      </x:c>
      <x:c r="P1686" s="654" t="n">
        <x:f>IF($M1686&lt;&gt;"Mineral","",IF(ISNUMBER($N1686),$N1686,IF(OR(ISNUMBER(SEARCH("surface",$J1686)),ISNUMBER(SEARCH("reserv",$J1686)),ISNUMBER(SEARCH("less and except",$J1686))),0,"")))</x:f>
        <x:v>0.0037904153031700504</x:v>
      </x:c>
      <x:c r="Q1686" s="654" t="n">
        <x:f>IF($P1686="","",-$P1686)</x:f>
        <x:v>-0.0037904153031700504</x:v>
      </x:c>
      <x:c r="R1686" s="655" t="n">
        <x:f>IF($P1686="","",$O1686*$P1686)</x:f>
        <x:v>0</x:v>
      </x:c>
      <x:c r="S1686" s="552" t="str">
        <x:f>IF($M1686="","",TRIM(IF($M1686="Mineral",IF(ISNUMBER($N1686),"Mineral; basis Conv Amt(dec). ",IF($P1686=0,"Mineral; surface-only/reserved-&gt;0 min. ","Mineral; NO AMOUNT-verify instrument. ")),$M1686&amp;" (non-mineral; excluded from mineral NMA). ")&amp;IF(OR(ISNUMBER(SEARCH("public",$G1686)),ISNUMBER(SEARCH("public",$H1686))),"FLAG: The Public placeholder-verify. ","")&amp;IF(ISNUMBER(SEARCH("all",$L1686)),"All-section coverage. ","")&amp;IF($O1686=0,"Gross acres unresolved. ","")&amp;"Gross=tract-map basis."))</x:f>
        <x:v>Mineral; basis Conv Amt(dec). Gross acres unresolved. Gross=tract-map basis.</x:v>
      </x:c>
      <x:c r="T1686" s="577" t="n"/>
      <x:c r="U1686" s="577" t="n"/>
      <x:c r="V1686" s="565" t="n"/>
      <x:c r="W1686" s="565" t="n"/>
      <x:c r="X1686" s="565" t="n"/>
      <x:c r="Y1686" s="565" t="n"/>
      <x:c r="Z1686" s="565" t="n"/>
    </x:row>
    <x:row r="1687">
      <x:c r="A1687" s="552" t="inlineStr">
        <x:is>
          <x:t xml:space="preserve">1989-002321</x:t>
        </x:is>
      </x:c>
      <x:c r="B1687" s="552" t="n"/>
      <x:c r="C1687" s="552" t="inlineStr">
        <x:is>
          <x:t xml:space="preserve">Mineral Deed</x:t>
        </x:is>
      </x:c>
      <x:c r="D1687" s="552" t="inlineStr">
        <x:is>
          <x:t xml:space="preserve">1049/291</x:t>
        </x:is>
      </x:c>
      <x:c r="E1687" s="653" t="n">
        <x:v>32612</x:v>
      </x:c>
      <x:c r="F1687" s="653" t="n">
        <x:v>32612</x:v>
      </x:c>
      <x:c r="G1687" s="552" t="inlineStr">
        <x:is>
          <x:t xml:space="preserve">Clarence C. Bain</x:t>
        </x:is>
      </x:c>
      <x:c r="H1687" s="552" t="inlineStr">
        <x:is>
          <x:t xml:space="preserve">Paul Milton Bain</x:t>
        </x:is>
      </x:c>
      <x:c r="I1687" s="552" t="inlineStr">
        <x:is>
          <x:t xml:space="preserve">S/2 SE/4, NW/4 SE/4, SW/4 NE/4 of 31-12N-24W, aol</x:t>
        </x:is>
      </x:c>
      <x:c r="J1687" s="552" t="inlineStr">
        <x:is>
          <x:t xml:space="preserve">3/791.47 interest in 2 sections</x:t>
        </x:is>
      </x:c>
      <x:c r="K1687" s="554" t="e">
        <x:f>HYPERLINK("https://okcountyrecords.com/detail/roger+mills/1989-002321","OKCountyRecords: 1989-002321")</x:f>
      </x:c>
      <x:c r="L1687" s="552" t="n">
        <x:v>2</x:v>
      </x:c>
      <x:c r="M1687" s="552" t="inlineStr">
        <x:is>
          <x:t xml:space="preserve">Mineral</x:t>
        </x:is>
      </x:c>
      <x:c r="N1687" s="555" t="n">
        <x:f>3/791.47</x:f>
        <x:v>0.0037904153031700504</x:v>
      </x:c>
      <x:c r="O1687" s="556" t="n">
        <x:f>IF($L1687="","",IF(ISNUMBER(SEARCH("all",$L1687)),640,(ISNUMBER(SEARCH("1",$L1687)))*80+(ISNUMBER(SEARCH("2",$L1687)))*160+(ISNUMBER(SEARCH("3",$L1687)))*40+(ISNUMBER(SEARCH("4",$L1687)))*80+(ISNUMBER(SEARCH("5",$L1687)))*120+(ISNUMBER(SEARCH("6",$L1687)))*80+(ISNUMBER(SEARCH("7",$L1687)))*40+(ISNUMBER(SEARCH("8",$L1687)))*40))</x:f>
        <x:v>0</x:v>
      </x:c>
      <x:c r="P1687" s="654" t="n">
        <x:f>IF($M1687&lt;&gt;"Mineral","",IF(ISNUMBER($N1687),$N1687,IF(OR(ISNUMBER(SEARCH("surface",$J1687)),ISNUMBER(SEARCH("reserv",$J1687)),ISNUMBER(SEARCH("less and except",$J1687))),0,"")))</x:f>
        <x:v>0.0037904153031700504</x:v>
      </x:c>
      <x:c r="Q1687" s="654" t="n">
        <x:f>IF($P1687="","",-$P1687)</x:f>
        <x:v>-0.0037904153031700504</x:v>
      </x:c>
      <x:c r="R1687" s="655" t="n">
        <x:f>IF($P1687="","",$O1687*$P1687)</x:f>
        <x:v>0</x:v>
      </x:c>
      <x:c r="S1687" s="552" t="str">
        <x:f>IF($M1687="","",TRIM(IF($M1687="Mineral",IF(ISNUMBER($N1687),"Mineral; basis Conv Amt(dec). ",IF($P1687=0,"Mineral; surface-only/reserved-&gt;0 min. ","Mineral; NO AMOUNT-verify instrument. ")),$M1687&amp;" (non-mineral; excluded from mineral NMA). ")&amp;IF(OR(ISNUMBER(SEARCH("public",$G1687)),ISNUMBER(SEARCH("public",$H1687))),"FLAG: The Public placeholder-verify. ","")&amp;IF(ISNUMBER(SEARCH("all",$L1687)),"All-section coverage. ","")&amp;IF($O1687=0,"Gross acres unresolved. ","")&amp;"Gross=tract-map basis."))</x:f>
        <x:v>Mineral; basis Conv Amt(dec). Gross acres unresolved. Gross=tract-map basis.</x:v>
      </x:c>
      <x:c r="T1687" s="577" t="n"/>
      <x:c r="U1687" s="577" t="n"/>
      <x:c r="V1687" s="565" t="n"/>
      <x:c r="W1687" s="565" t="n"/>
      <x:c r="X1687" s="565" t="n"/>
      <x:c r="Y1687" s="565" t="n"/>
      <x:c r="Z1687" s="565" t="n"/>
    </x:row>
    <x:row r="1688">
      <x:c r="A1688" s="552" t="inlineStr">
        <x:is>
          <x:t xml:space="preserve">1989-002322</x:t>
        </x:is>
      </x:c>
      <x:c r="B1688" s="552" t="n"/>
      <x:c r="C1688" s="552" t="inlineStr">
        <x:is>
          <x:t xml:space="preserve">Mineral Deed</x:t>
        </x:is>
      </x:c>
      <x:c r="D1688" s="552" t="inlineStr">
        <x:is>
          <x:t xml:space="preserve">1049/293</x:t>
        </x:is>
      </x:c>
      <x:c r="E1688" s="653" t="n">
        <x:v>32612</x:v>
      </x:c>
      <x:c r="F1688" s="653" t="n">
        <x:v>32612</x:v>
      </x:c>
      <x:c r="G1688" s="552" t="inlineStr">
        <x:is>
          <x:t xml:space="preserve">Clarence C. Bain</x:t>
        </x:is>
      </x:c>
      <x:c r="H1688" s="552" t="inlineStr">
        <x:is>
          <x:t xml:space="preserve">Michael Lee Bain</x:t>
        </x:is>
      </x:c>
      <x:c r="I1688" s="552" t="inlineStr">
        <x:is>
          <x:t xml:space="preserve">S/2 SE/4, NW/4 SE/4, SW/4 NE/4 of 31-12N-24W, aol</x:t>
        </x:is>
      </x:c>
      <x:c r="J1688" s="552" t="inlineStr">
        <x:is>
          <x:t xml:space="preserve">3/791.47 interest in 2 sections</x:t>
        </x:is>
      </x:c>
      <x:c r="K1688" s="554" t="e">
        <x:f>HYPERLINK("https://okcountyrecords.com/detail/roger+mills/1989-002322","OKCountyRecords: 1989-002322")</x:f>
      </x:c>
      <x:c r="L1688" s="552" t="n">
        <x:v>2</x:v>
      </x:c>
      <x:c r="M1688" s="552" t="inlineStr">
        <x:is>
          <x:t xml:space="preserve">Mineral</x:t>
        </x:is>
      </x:c>
      <x:c r="N1688" s="555" t="n">
        <x:f>3/791.47</x:f>
        <x:v>0.0037904153031700504</x:v>
      </x:c>
      <x:c r="O1688" s="556" t="n">
        <x:f>IF($L1688="","",IF(ISNUMBER(SEARCH("all",$L1688)),640,(ISNUMBER(SEARCH("1",$L1688)))*80+(ISNUMBER(SEARCH("2",$L1688)))*160+(ISNUMBER(SEARCH("3",$L1688)))*40+(ISNUMBER(SEARCH("4",$L1688)))*80+(ISNUMBER(SEARCH("5",$L1688)))*120+(ISNUMBER(SEARCH("6",$L1688)))*80+(ISNUMBER(SEARCH("7",$L1688)))*40+(ISNUMBER(SEARCH("8",$L1688)))*40))</x:f>
        <x:v>0</x:v>
      </x:c>
      <x:c r="P1688" s="654" t="n">
        <x:f>IF($M1688&lt;&gt;"Mineral","",IF(ISNUMBER($N1688),$N1688,IF(OR(ISNUMBER(SEARCH("surface",$J1688)),ISNUMBER(SEARCH("reserv",$J1688)),ISNUMBER(SEARCH("less and except",$J1688))),0,"")))</x:f>
        <x:v>0.0037904153031700504</x:v>
      </x:c>
      <x:c r="Q1688" s="654" t="n">
        <x:f>IF($P1688="","",-$P1688)</x:f>
        <x:v>-0.0037904153031700504</x:v>
      </x:c>
      <x:c r="R1688" s="655" t="n">
        <x:f>IF($P1688="","",$O1688*$P1688)</x:f>
        <x:v>0</x:v>
      </x:c>
      <x:c r="S1688" s="552" t="str">
        <x:f>IF($M1688="","",TRIM(IF($M1688="Mineral",IF(ISNUMBER($N1688),"Mineral; basis Conv Amt(dec). ",IF($P1688=0,"Mineral; surface-only/reserved-&gt;0 min. ","Mineral; NO AMOUNT-verify instrument. ")),$M1688&amp;" (non-mineral; excluded from mineral NMA). ")&amp;IF(OR(ISNUMBER(SEARCH("public",$G1688)),ISNUMBER(SEARCH("public",$H1688))),"FLAG: The Public placeholder-verify. ","")&amp;IF(ISNUMBER(SEARCH("all",$L1688)),"All-section coverage. ","")&amp;IF($O1688=0,"Gross acres unresolved. ","")&amp;"Gross=tract-map basis."))</x:f>
        <x:v>Mineral; basis Conv Amt(dec). Gross acres unresolved. Gross=tract-map basis.</x:v>
      </x:c>
      <x:c r="T1688" s="577" t="n"/>
      <x:c r="U1688" s="577" t="n"/>
      <x:c r="V1688" s="565" t="n"/>
      <x:c r="W1688" s="565" t="n"/>
      <x:c r="X1688" s="565" t="n"/>
      <x:c r="Y1688" s="565" t="n"/>
      <x:c r="Z1688" s="565" t="n"/>
    </x:row>
    <x:row r="1689">
      <x:c r="A1689" s="552" t="inlineStr">
        <x:is>
          <x:t xml:space="preserve">1989-002323</x:t>
        </x:is>
      </x:c>
      <x:c r="B1689" s="552" t="n"/>
      <x:c r="C1689" s="552" t="inlineStr">
        <x:is>
          <x:t xml:space="preserve">Mineral Deed</x:t>
        </x:is>
      </x:c>
      <x:c r="D1689" s="552" t="inlineStr">
        <x:is>
          <x:t xml:space="preserve">1049/295</x:t>
        </x:is>
      </x:c>
      <x:c r="E1689" s="653" t="n">
        <x:v>32612</x:v>
      </x:c>
      <x:c r="F1689" s="653" t="n">
        <x:v>32612</x:v>
      </x:c>
      <x:c r="G1689" s="552" t="inlineStr">
        <x:is>
          <x:t xml:space="preserve">Clarence C. Bain</x:t>
        </x:is>
      </x:c>
      <x:c r="H1689" s="552" t="inlineStr">
        <x:is>
          <x:t xml:space="preserve">Ronald Dean Bain</x:t>
        </x:is>
      </x:c>
      <x:c r="I1689" s="552" t="inlineStr">
        <x:is>
          <x:t xml:space="preserve">S/2 SE/4, NW/4 SE/4, SW/4 NE/4 of 31-12N-24W, aol</x:t>
        </x:is>
      </x:c>
      <x:c r="J1689" s="552" t="inlineStr">
        <x:is>
          <x:t xml:space="preserve">3/791.47 interest in 2 sections</x:t>
        </x:is>
      </x:c>
      <x:c r="K1689" s="554" t="e">
        <x:f>HYPERLINK("https://okcountyrecords.com/detail/roger+mills/1989-002323","OKCountyRecords: 1989-002323")</x:f>
      </x:c>
      <x:c r="L1689" s="552" t="n">
        <x:v>2</x:v>
      </x:c>
      <x:c r="M1689" s="552" t="inlineStr">
        <x:is>
          <x:t xml:space="preserve">Mineral</x:t>
        </x:is>
      </x:c>
      <x:c r="N1689" s="555" t="n">
        <x:f>3/791.47</x:f>
        <x:v>0.0037904153031700504</x:v>
      </x:c>
      <x:c r="O1689" s="556" t="n">
        <x:f>IF($L1689="","",IF(ISNUMBER(SEARCH("all",$L1689)),640,(ISNUMBER(SEARCH("1",$L1689)))*80+(ISNUMBER(SEARCH("2",$L1689)))*160+(ISNUMBER(SEARCH("3",$L1689)))*40+(ISNUMBER(SEARCH("4",$L1689)))*80+(ISNUMBER(SEARCH("5",$L1689)))*120+(ISNUMBER(SEARCH("6",$L1689)))*80+(ISNUMBER(SEARCH("7",$L1689)))*40+(ISNUMBER(SEARCH("8",$L1689)))*40))</x:f>
        <x:v>0</x:v>
      </x:c>
      <x:c r="P1689" s="654" t="n">
        <x:f>IF($M1689&lt;&gt;"Mineral","",IF(ISNUMBER($N1689),$N1689,IF(OR(ISNUMBER(SEARCH("surface",$J1689)),ISNUMBER(SEARCH("reserv",$J1689)),ISNUMBER(SEARCH("less and except",$J1689))),0,"")))</x:f>
        <x:v>0.0037904153031700504</x:v>
      </x:c>
      <x:c r="Q1689" s="654" t="n">
        <x:f>IF($P1689="","",-$P1689)</x:f>
        <x:v>-0.0037904153031700504</x:v>
      </x:c>
      <x:c r="R1689" s="655" t="n">
        <x:f>IF($P1689="","",$O1689*$P1689)</x:f>
        <x:v>0</x:v>
      </x:c>
      <x:c r="S1689" s="552" t="str">
        <x:f>IF($M1689="","",TRIM(IF($M1689="Mineral",IF(ISNUMBER($N1689),"Mineral; basis Conv Amt(dec). ",IF($P1689=0,"Mineral; surface-only/reserved-&gt;0 min. ","Mineral; NO AMOUNT-verify instrument. ")),$M1689&amp;" (non-mineral; excluded from mineral NMA). ")&amp;IF(OR(ISNUMBER(SEARCH("public",$G1689)),ISNUMBER(SEARCH("public",$H1689))),"FLAG: The Public placeholder-verify. ","")&amp;IF(ISNUMBER(SEARCH("all",$L1689)),"All-section coverage. ","")&amp;IF($O1689=0,"Gross acres unresolved. ","")&amp;"Gross=tract-map basis."))</x:f>
        <x:v>Mineral; basis Conv Amt(dec). Gross acres unresolved. Gross=tract-map basis.</x:v>
      </x:c>
      <x:c r="T1689" s="577" t="n"/>
      <x:c r="U1689" s="577" t="n"/>
      <x:c r="V1689" s="565" t="n"/>
      <x:c r="W1689" s="565" t="n"/>
      <x:c r="X1689" s="565" t="n"/>
      <x:c r="Y1689" s="565" t="n"/>
      <x:c r="Z1689" s="565" t="n"/>
    </x:row>
    <x:row r="1690">
      <x:c r="A1690" s="552" t="inlineStr">
        <x:is>
          <x:t xml:space="preserve">1989-004248</x:t>
        </x:is>
      </x:c>
      <x:c r="B1690" s="552" t="n"/>
      <x:c r="C1690" s="552" t="inlineStr">
        <x:is>
          <x:t xml:space="preserve">Mineral Deed</x:t>
        </x:is>
      </x:c>
      <x:c r="D1690" s="552" t="inlineStr">
        <x:is>
          <x:t xml:space="preserve">1070/182</x:t>
        </x:is>
      </x:c>
      <x:c r="E1690" s="653" t="n">
        <x:v>32706</x:v>
      </x:c>
      <x:c r="F1690" s="653" t="n">
        <x:v>32706</x:v>
      </x:c>
      <x:c r="G1690" s="552" t="inlineStr">
        <x:is>
          <x:t xml:space="preserve">William Cobal Bain, Jr. and Billy Wayne Bain, Trustees of the Willaim C. Bain Trust</x:t>
        </x:is>
      </x:c>
      <x:c r="H1690" s="552" t="inlineStr">
        <x:is>
          <x:t xml:space="preserve">Billy Wayne Bain</x:t>
        </x:is>
      </x:c>
      <x:c r="I1690" s="552" t="inlineStr">
        <x:is>
          <x:t xml:space="preserve">SW/4 NE/4, NW/4 SE/4, S/2 SE/4 of 31-12N-24W, aol</x:t>
        </x:is>
      </x:c>
      <x:c r="J1690" s="552" t="inlineStr">
        <x:is>
          <x:t xml:space="preserve">An undivided 43.496666/791.47th interest in and to the oil, gas and other minerals</x:t>
        </x:is>
      </x:c>
      <x:c r="K1690" s="554" t="e">
        <x:f>HYPERLINK("https://okcountyrecords.com/detail/roger+mills/1989-004248","OKCountyRecords: 1989-004248")</x:f>
      </x:c>
      <x:c r="L1690" s="552" t="n">
        <x:v>2</x:v>
      </x:c>
      <x:c r="M1690" s="552" t="inlineStr">
        <x:is>
          <x:t xml:space="preserve">Mineral</x:t>
        </x:is>
      </x:c>
      <x:c r="N1690" s="555" t="n">
        <x:f>43.496666/791.47</x:f>
        <x:v>0.05495680948109214</x:v>
      </x:c>
      <x:c r="O1690" s="556" t="n">
        <x:f>IF($L1690="","",IF(ISNUMBER(SEARCH("all",$L1690)),640,(ISNUMBER(SEARCH("1",$L1690)))*80+(ISNUMBER(SEARCH("2",$L1690)))*160+(ISNUMBER(SEARCH("3",$L1690)))*40+(ISNUMBER(SEARCH("4",$L1690)))*80+(ISNUMBER(SEARCH("5",$L1690)))*120+(ISNUMBER(SEARCH("6",$L1690)))*80+(ISNUMBER(SEARCH("7",$L1690)))*40+(ISNUMBER(SEARCH("8",$L1690)))*40))</x:f>
        <x:v>0</x:v>
      </x:c>
      <x:c r="P1690" s="654" t="n">
        <x:f>IF($M1690&lt;&gt;"Mineral","",IF(ISNUMBER($N1690),$N1690,IF(OR(ISNUMBER(SEARCH("surface",$J1690)),ISNUMBER(SEARCH("reserv",$J1690)),ISNUMBER(SEARCH("less and except",$J1690))),0,"")))</x:f>
        <x:v>0.05495680948109214</x:v>
      </x:c>
      <x:c r="Q1690" s="654" t="n">
        <x:f>IF($P1690="","",-$P1690)</x:f>
        <x:v>-0.05495680948109214</x:v>
      </x:c>
      <x:c r="R1690" s="655" t="n">
        <x:f>IF($P1690="","",$O1690*$P1690)</x:f>
        <x:v>0</x:v>
      </x:c>
      <x:c r="S1690" s="552" t="str">
        <x:f>IF($M1690="","",TRIM(IF($M1690="Mineral",IF(ISNUMBER($N1690),"Mineral; basis Conv Amt(dec). ",IF($P1690=0,"Mineral; surface-only/reserved-&gt;0 min. ","Mineral; NO AMOUNT-verify instrument. ")),$M1690&amp;" (non-mineral; excluded from mineral NMA). ")&amp;IF(OR(ISNUMBER(SEARCH("public",$G1690)),ISNUMBER(SEARCH("public",$H1690))),"FLAG: The Public placeholder-verify. ","")&amp;IF(ISNUMBER(SEARCH("all",$L1690)),"All-section coverage. ","")&amp;IF($O1690=0,"Gross acres unresolved. ","")&amp;"Gross=tract-map basis."))</x:f>
        <x:v>Mineral; basis Conv Amt(dec). Gross acres unresolved. Gross=tract-map basis.</x:v>
      </x:c>
      <x:c r="T1690" s="577" t="n"/>
      <x:c r="U1690" s="577" t="n"/>
      <x:c r="V1690" s="565" t="n"/>
      <x:c r="W1690" s="565" t="n"/>
      <x:c r="X1690" s="565" t="n"/>
      <x:c r="Y1690" s="565" t="n"/>
      <x:c r="Z1690" s="565" t="n"/>
    </x:row>
    <x:row r="1691">
      <x:c r="A1691" s="552" t="inlineStr">
        <x:is>
          <x:t xml:space="preserve">1989-004249</x:t>
        </x:is>
      </x:c>
      <x:c r="B1691" s="552" t="n"/>
      <x:c r="C1691" s="552" t="inlineStr">
        <x:is>
          <x:t xml:space="preserve">Mineral Deed</x:t>
        </x:is>
      </x:c>
      <x:c r="D1691" s="552" t="inlineStr">
        <x:is>
          <x:t xml:space="preserve">1070/185</x:t>
        </x:is>
      </x:c>
      <x:c r="E1691" s="653" t="n">
        <x:v>32706</x:v>
      </x:c>
      <x:c r="F1691" s="653" t="n">
        <x:v>32706</x:v>
      </x:c>
      <x:c r="G1691" s="552" t="inlineStr">
        <x:is>
          <x:t xml:space="preserve">William Cobal Bain, Jr. and Billy Wayne Bain, Trustees of the Willaim C. Bain Trust</x:t>
        </x:is>
      </x:c>
      <x:c r="H1691" s="552" t="inlineStr">
        <x:is>
          <x:t xml:space="preserve">Clarence Bain</x:t>
        </x:is>
      </x:c>
      <x:c r="I1691" s="552" t="inlineStr">
        <x:is>
          <x:t xml:space="preserve">SW/4 NE/4, NW/4 SE/4, S/2 SE/4 of 31-12N-24W, aol</x:t>
        </x:is>
      </x:c>
      <x:c r="J1691" s="552" t="inlineStr">
        <x:is>
          <x:t xml:space="preserve">An undivided 43.496666/791.47th interest in and to the oil, gas and other minerals</x:t>
        </x:is>
      </x:c>
      <x:c r="K1691" s="554" t="e">
        <x:f>HYPERLINK("https://okcountyrecords.com/detail/roger+mills/1989-004249","OKCountyRecords: 1989-004249")</x:f>
      </x:c>
      <x:c r="L1691" s="552" t="n">
        <x:v>2</x:v>
      </x:c>
      <x:c r="M1691" s="552" t="inlineStr">
        <x:is>
          <x:t xml:space="preserve">Mineral</x:t>
        </x:is>
      </x:c>
      <x:c r="N1691" s="555" t="n">
        <x:f>43.496666/791.47</x:f>
        <x:v>0.05495680948109214</x:v>
      </x:c>
      <x:c r="O1691" s="556" t="n">
        <x:f>IF($L1691="","",IF(ISNUMBER(SEARCH("all",$L1691)),640,(ISNUMBER(SEARCH("1",$L1691)))*80+(ISNUMBER(SEARCH("2",$L1691)))*160+(ISNUMBER(SEARCH("3",$L1691)))*40+(ISNUMBER(SEARCH("4",$L1691)))*80+(ISNUMBER(SEARCH("5",$L1691)))*120+(ISNUMBER(SEARCH("6",$L1691)))*80+(ISNUMBER(SEARCH("7",$L1691)))*40+(ISNUMBER(SEARCH("8",$L1691)))*40))</x:f>
        <x:v>0</x:v>
      </x:c>
      <x:c r="P1691" s="654" t="n">
        <x:f>IF($M1691&lt;&gt;"Mineral","",IF(ISNUMBER($N1691),$N1691,IF(OR(ISNUMBER(SEARCH("surface",$J1691)),ISNUMBER(SEARCH("reserv",$J1691)),ISNUMBER(SEARCH("less and except",$J1691))),0,"")))</x:f>
        <x:v>0.05495680948109214</x:v>
      </x:c>
      <x:c r="Q1691" s="654" t="n">
        <x:f>IF($P1691="","",-$P1691)</x:f>
        <x:v>-0.05495680948109214</x:v>
      </x:c>
      <x:c r="R1691" s="655" t="n">
        <x:f>IF($P1691="","",$O1691*$P1691)</x:f>
        <x:v>0</x:v>
      </x:c>
      <x:c r="S1691" s="552" t="str">
        <x:f>IF($M1691="","",TRIM(IF($M1691="Mineral",IF(ISNUMBER($N1691),"Mineral; basis Conv Amt(dec). ",IF($P1691=0,"Mineral; surface-only/reserved-&gt;0 min. ","Mineral; NO AMOUNT-verify instrument. ")),$M1691&amp;" (non-mineral; excluded from mineral NMA). ")&amp;IF(OR(ISNUMBER(SEARCH("public",$G1691)),ISNUMBER(SEARCH("public",$H1691))),"FLAG: The Public placeholder-verify. ","")&amp;IF(ISNUMBER(SEARCH("all",$L1691)),"All-section coverage. ","")&amp;IF($O1691=0,"Gross acres unresolved. ","")&amp;"Gross=tract-map basis."))</x:f>
        <x:v>Mineral; basis Conv Amt(dec). Gross acres unresolved. Gross=tract-map basis.</x:v>
      </x:c>
      <x:c r="T1691" s="577" t="n"/>
      <x:c r="U1691" s="577" t="n"/>
      <x:c r="V1691" s="565" t="n"/>
      <x:c r="W1691" s="565" t="n"/>
      <x:c r="X1691" s="565" t="n"/>
      <x:c r="Y1691" s="565" t="n"/>
      <x:c r="Z1691" s="565" t="n"/>
    </x:row>
    <x:row r="1692">
      <x:c r="A1692" s="552" t="inlineStr">
        <x:is>
          <x:t xml:space="preserve">1989-004250</x:t>
        </x:is>
      </x:c>
      <x:c r="B1692" s="552" t="n"/>
      <x:c r="C1692" s="552" t="inlineStr">
        <x:is>
          <x:t xml:space="preserve">Mineral Deed</x:t>
        </x:is>
      </x:c>
      <x:c r="D1692" s="552" t="inlineStr">
        <x:is>
          <x:t xml:space="preserve">1070/188</x:t>
        </x:is>
      </x:c>
      <x:c r="E1692" s="653" t="n">
        <x:v>32706</x:v>
      </x:c>
      <x:c r="F1692" s="653" t="n">
        <x:v>32706</x:v>
      </x:c>
      <x:c r="G1692" s="552" t="inlineStr">
        <x:is>
          <x:t xml:space="preserve">William Cobal Bain, Jr. and Billy Wayne Bain, Trustees of the Willaim C. Bain Trust</x:t>
        </x:is>
      </x:c>
      <x:c r="H1692" s="552" t="inlineStr">
        <x:is>
          <x:t xml:space="preserve">Carl Leon Bain</x:t>
        </x:is>
      </x:c>
      <x:c r="I1692" s="552" t="inlineStr">
        <x:is>
          <x:t xml:space="preserve">SW/4 NE/4, NW/4 SE/4, S/2 SE/4 of 31-12N-24W, aol</x:t>
        </x:is>
      </x:c>
      <x:c r="J1692" s="552" t="inlineStr">
        <x:is>
          <x:t xml:space="preserve">An undivided 43.496666/791.47th interest in and to the oil, gas and other minerals</x:t>
        </x:is>
      </x:c>
      <x:c r="K1692" s="554" t="e">
        <x:f>HYPERLINK("https://okcountyrecords.com/detail/roger+mills/1989-004250","OKCountyRecords: 1989-004250")</x:f>
      </x:c>
      <x:c r="L1692" s="552" t="n">
        <x:v>2</x:v>
      </x:c>
      <x:c r="M1692" s="552" t="inlineStr">
        <x:is>
          <x:t xml:space="preserve">Mineral</x:t>
        </x:is>
      </x:c>
      <x:c r="N1692" s="555" t="n">
        <x:f>43.496666/791.47</x:f>
        <x:v>0.05495680948109214</x:v>
      </x:c>
      <x:c r="O1692" s="556" t="n">
        <x:f>IF($L1692="","",IF(ISNUMBER(SEARCH("all",$L1692)),640,(ISNUMBER(SEARCH("1",$L1692)))*80+(ISNUMBER(SEARCH("2",$L1692)))*160+(ISNUMBER(SEARCH("3",$L1692)))*40+(ISNUMBER(SEARCH("4",$L1692)))*80+(ISNUMBER(SEARCH("5",$L1692)))*120+(ISNUMBER(SEARCH("6",$L1692)))*80+(ISNUMBER(SEARCH("7",$L1692)))*40+(ISNUMBER(SEARCH("8",$L1692)))*40))</x:f>
        <x:v>0</x:v>
      </x:c>
      <x:c r="P1692" s="654" t="n">
        <x:f>IF($M1692&lt;&gt;"Mineral","",IF(ISNUMBER($N1692),$N1692,IF(OR(ISNUMBER(SEARCH("surface",$J1692)),ISNUMBER(SEARCH("reserv",$J1692)),ISNUMBER(SEARCH("less and except",$J1692))),0,"")))</x:f>
        <x:v>0.05495680948109214</x:v>
      </x:c>
      <x:c r="Q1692" s="654" t="n">
        <x:f>IF($P1692="","",-$P1692)</x:f>
        <x:v>-0.05495680948109214</x:v>
      </x:c>
      <x:c r="R1692" s="655" t="n">
        <x:f>IF($P1692="","",$O1692*$P1692)</x:f>
        <x:v>0</x:v>
      </x:c>
      <x:c r="S1692" s="552" t="str">
        <x:f>IF($M1692="","",TRIM(IF($M1692="Mineral",IF(ISNUMBER($N1692),"Mineral; basis Conv Amt(dec). ",IF($P1692=0,"Mineral; surface-only/reserved-&gt;0 min. ","Mineral; NO AMOUNT-verify instrument. ")),$M1692&amp;" (non-mineral; excluded from mineral NMA). ")&amp;IF(OR(ISNUMBER(SEARCH("public",$G1692)),ISNUMBER(SEARCH("public",$H1692))),"FLAG: The Public placeholder-verify. ","")&amp;IF(ISNUMBER(SEARCH("all",$L1692)),"All-section coverage. ","")&amp;IF($O1692=0,"Gross acres unresolved. ","")&amp;"Gross=tract-map basis."))</x:f>
        <x:v>Mineral; basis Conv Amt(dec). Gross acres unresolved. Gross=tract-map basis.</x:v>
      </x:c>
      <x:c r="T1692" s="577" t="n"/>
      <x:c r="U1692" s="577" t="n"/>
      <x:c r="V1692" s="565" t="n"/>
      <x:c r="W1692" s="565" t="n"/>
      <x:c r="X1692" s="565" t="n"/>
      <x:c r="Y1692" s="565" t="n"/>
      <x:c r="Z1692" s="565" t="n"/>
    </x:row>
    <x:row r="1693">
      <x:c r="A1693" s="552" t="inlineStr">
        <x:is>
          <x:t xml:space="preserve">1989-004251</x:t>
        </x:is>
      </x:c>
      <x:c r="B1693" s="552" t="n"/>
      <x:c r="C1693" s="552" t="inlineStr">
        <x:is>
          <x:t xml:space="preserve">Mineral Deed</x:t>
        </x:is>
      </x:c>
      <x:c r="D1693" s="552" t="inlineStr">
        <x:is>
          <x:t xml:space="preserve">1070/191</x:t>
        </x:is>
      </x:c>
      <x:c r="E1693" s="653" t="n">
        <x:v>32706</x:v>
      </x:c>
      <x:c r="F1693" s="653" t="n">
        <x:v>32706</x:v>
      </x:c>
      <x:c r="G1693" s="552" t="inlineStr">
        <x:is>
          <x:t xml:space="preserve">William Cobal Bain, Jr. and Billy Wayne Bain, Trustees of the Willaim C. Bain Trust</x:t>
        </x:is>
      </x:c>
      <x:c r="H1693" s="552" t="inlineStr">
        <x:is>
          <x:t xml:space="preserve">William Cobal Bain Jr.</x:t>
        </x:is>
      </x:c>
      <x:c r="I1693" s="552" t="inlineStr">
        <x:is>
          <x:t xml:space="preserve">SW/4 NE/4, NW/4 SE/4, S/2 SE/4 of 31-12N-24W, aol</x:t>
        </x:is>
      </x:c>
      <x:c r="J1693" s="552" t="inlineStr">
        <x:is>
          <x:t xml:space="preserve">An undivided 43.496666/791.47th interest in and to the oil, gas and other minerals</x:t>
        </x:is>
      </x:c>
      <x:c r="K1693" s="554" t="e">
        <x:f>HYPERLINK("https://okcountyrecords.com/detail/roger+mills/1989-004251","OKCountyRecords: 1989-004251")</x:f>
      </x:c>
      <x:c r="L1693" s="552" t="n">
        <x:v>2</x:v>
      </x:c>
      <x:c r="M1693" s="552" t="inlineStr">
        <x:is>
          <x:t xml:space="preserve">Mineral</x:t>
        </x:is>
      </x:c>
      <x:c r="N1693" s="555" t="n">
        <x:f>43.496666/791.47</x:f>
        <x:v>0.05495680948109214</x:v>
      </x:c>
      <x:c r="O1693" s="556" t="n">
        <x:f>IF($L1693="","",IF(ISNUMBER(SEARCH("all",$L1693)),640,(ISNUMBER(SEARCH("1",$L1693)))*80+(ISNUMBER(SEARCH("2",$L1693)))*160+(ISNUMBER(SEARCH("3",$L1693)))*40+(ISNUMBER(SEARCH("4",$L1693)))*80+(ISNUMBER(SEARCH("5",$L1693)))*120+(ISNUMBER(SEARCH("6",$L1693)))*80+(ISNUMBER(SEARCH("7",$L1693)))*40+(ISNUMBER(SEARCH("8",$L1693)))*40))</x:f>
        <x:v>0</x:v>
      </x:c>
      <x:c r="P1693" s="654" t="n">
        <x:f>IF($M1693&lt;&gt;"Mineral","",IF(ISNUMBER($N1693),$N1693,IF(OR(ISNUMBER(SEARCH("surface",$J1693)),ISNUMBER(SEARCH("reserv",$J1693)),ISNUMBER(SEARCH("less and except",$J1693))),0,"")))</x:f>
        <x:v>0.05495680948109214</x:v>
      </x:c>
      <x:c r="Q1693" s="654" t="n">
        <x:f>IF($P1693="","",-$P1693)</x:f>
        <x:v>-0.05495680948109214</x:v>
      </x:c>
      <x:c r="R1693" s="655" t="n">
        <x:f>IF($P1693="","",$O1693*$P1693)</x:f>
        <x:v>0</x:v>
      </x:c>
      <x:c r="S1693" s="552" t="str">
        <x:f>IF($M1693="","",TRIM(IF($M1693="Mineral",IF(ISNUMBER($N1693),"Mineral; basis Conv Amt(dec). ",IF($P1693=0,"Mineral; surface-only/reserved-&gt;0 min. ","Mineral; NO AMOUNT-verify instrument. ")),$M1693&amp;" (non-mineral; excluded from mineral NMA). ")&amp;IF(OR(ISNUMBER(SEARCH("public",$G1693)),ISNUMBER(SEARCH("public",$H1693))),"FLAG: The Public placeholder-verify. ","")&amp;IF(ISNUMBER(SEARCH("all",$L1693)),"All-section coverage. ","")&amp;IF($O1693=0,"Gross acres unresolved. ","")&amp;"Gross=tract-map basis."))</x:f>
        <x:v>Mineral; basis Conv Amt(dec). Gross acres unresolved. Gross=tract-map basis.</x:v>
      </x:c>
      <x:c r="T1693" s="577" t="n"/>
      <x:c r="U1693" s="577" t="n"/>
      <x:c r="V1693" s="565" t="n"/>
      <x:c r="W1693" s="565" t="n"/>
      <x:c r="X1693" s="565" t="n"/>
      <x:c r="Y1693" s="565" t="n"/>
      <x:c r="Z1693" s="565" t="n"/>
    </x:row>
    <x:row r="1694">
      <x:c r="A1694" s="552" t="inlineStr">
        <x:is>
          <x:t xml:space="preserve">1989-004252</x:t>
        </x:is>
      </x:c>
      <x:c r="B1694" s="552" t="n"/>
      <x:c r="C1694" s="552" t="inlineStr">
        <x:is>
          <x:t xml:space="preserve">Mineral Deed</x:t>
        </x:is>
      </x:c>
      <x:c r="D1694" s="552" t="inlineStr">
        <x:is>
          <x:t xml:space="preserve">1070/194</x:t>
        </x:is>
      </x:c>
      <x:c r="E1694" s="653" t="n">
        <x:v>32706</x:v>
      </x:c>
      <x:c r="F1694" s="653" t="n">
        <x:v>32706</x:v>
      </x:c>
      <x:c r="G1694" s="552" t="inlineStr">
        <x:is>
          <x:t xml:space="preserve">William Cobal Bain, Jr. and Billy Wayne Bain, Trustees of the Willaim C. Bain Trust</x:t>
        </x:is>
      </x:c>
      <x:c r="H1694" s="552" t="inlineStr">
        <x:is>
          <x:t xml:space="preserve">Juanita Wolff</x:t>
        </x:is>
      </x:c>
      <x:c r="I1694" s="552" t="inlineStr">
        <x:is>
          <x:t xml:space="preserve">SW/4 NE/4, NW/4 SE/4, S/2 SE/4 of 31-12N-24W, aol</x:t>
        </x:is>
      </x:c>
      <x:c r="J1694" s="552" t="inlineStr">
        <x:is>
          <x:t xml:space="preserve">An undivided 43.496666/791.47th interest in and to the oil, gas and other minerals</x:t>
        </x:is>
      </x:c>
      <x:c r="K1694" s="554" t="e">
        <x:f>HYPERLINK("https://okcountyrecords.com/detail/roger+mills/1989-004252","OKCountyRecords: 1989-004252")</x:f>
      </x:c>
      <x:c r="L1694" s="552" t="n">
        <x:v>2</x:v>
      </x:c>
      <x:c r="M1694" s="552" t="inlineStr">
        <x:is>
          <x:t xml:space="preserve">Mineral</x:t>
        </x:is>
      </x:c>
      <x:c r="N1694" s="555" t="n">
        <x:f>43.496666/791.47</x:f>
        <x:v>0.05495680948109214</x:v>
      </x:c>
      <x:c r="O1694" s="556" t="n">
        <x:f>IF($L1694="","",IF(ISNUMBER(SEARCH("all",$L1694)),640,(ISNUMBER(SEARCH("1",$L1694)))*80+(ISNUMBER(SEARCH("2",$L1694)))*160+(ISNUMBER(SEARCH("3",$L1694)))*40+(ISNUMBER(SEARCH("4",$L1694)))*80+(ISNUMBER(SEARCH("5",$L1694)))*120+(ISNUMBER(SEARCH("6",$L1694)))*80+(ISNUMBER(SEARCH("7",$L1694)))*40+(ISNUMBER(SEARCH("8",$L1694)))*40))</x:f>
        <x:v>0</x:v>
      </x:c>
      <x:c r="P1694" s="654" t="n">
        <x:f>IF($M1694&lt;&gt;"Mineral","",IF(ISNUMBER($N1694),$N1694,IF(OR(ISNUMBER(SEARCH("surface",$J1694)),ISNUMBER(SEARCH("reserv",$J1694)),ISNUMBER(SEARCH("less and except",$J1694))),0,"")))</x:f>
        <x:v>0.05495680948109214</x:v>
      </x:c>
      <x:c r="Q1694" s="654" t="n">
        <x:f>IF($P1694="","",-$P1694)</x:f>
        <x:v>-0.05495680948109214</x:v>
      </x:c>
      <x:c r="R1694" s="655" t="n">
        <x:f>IF($P1694="","",$O1694*$P1694)</x:f>
        <x:v>0</x:v>
      </x:c>
      <x:c r="S1694" s="552" t="str">
        <x:f>IF($M1694="","",TRIM(IF($M1694="Mineral",IF(ISNUMBER($N1694),"Mineral; basis Conv Amt(dec). ",IF($P1694=0,"Mineral; surface-only/reserved-&gt;0 min. ","Mineral; NO AMOUNT-verify instrument. ")),$M1694&amp;" (non-mineral; excluded from mineral NMA). ")&amp;IF(OR(ISNUMBER(SEARCH("public",$G1694)),ISNUMBER(SEARCH("public",$H1694))),"FLAG: The Public placeholder-verify. ","")&amp;IF(ISNUMBER(SEARCH("all",$L1694)),"All-section coverage. ","")&amp;IF($O1694=0,"Gross acres unresolved. ","")&amp;"Gross=tract-map basis."))</x:f>
        <x:v>Mineral; basis Conv Amt(dec). Gross acres unresolved. Gross=tract-map basis.</x:v>
      </x:c>
      <x:c r="T1694" s="577" t="n"/>
      <x:c r="U1694" s="577" t="n"/>
      <x:c r="V1694" s="565" t="n"/>
      <x:c r="W1694" s="565" t="n"/>
      <x:c r="X1694" s="565" t="n"/>
      <x:c r="Y1694" s="565" t="n"/>
      <x:c r="Z1694" s="565" t="n"/>
    </x:row>
    <x:row r="1695">
      <x:c r="A1695" s="552" t="inlineStr">
        <x:is>
          <x:t xml:space="preserve">1989-004253</x:t>
        </x:is>
      </x:c>
      <x:c r="B1695" s="552" t="n"/>
      <x:c r="C1695" s="552" t="inlineStr">
        <x:is>
          <x:t xml:space="preserve">Mineral Deed</x:t>
        </x:is>
      </x:c>
      <x:c r="D1695" s="552" t="inlineStr">
        <x:is>
          <x:t xml:space="preserve">1070/197</x:t>
        </x:is>
      </x:c>
      <x:c r="E1695" s="653" t="n">
        <x:v>32706</x:v>
      </x:c>
      <x:c r="F1695" s="653" t="n">
        <x:v>32706</x:v>
      </x:c>
      <x:c r="G1695" s="552" t="inlineStr">
        <x:is>
          <x:t xml:space="preserve">William Cobal Bain, Jr. and Billy Wayne Bain, Trustees of the Willaim C. Bain Trust</x:t>
        </x:is>
      </x:c>
      <x:c r="H1695" s="552" t="inlineStr">
        <x:is>
          <x:t xml:space="preserve">Hazel Hamilton</x:t>
        </x:is>
      </x:c>
      <x:c r="I1695" s="552" t="inlineStr">
        <x:is>
          <x:t xml:space="preserve">SW/4 NE/4, NW/4 SE/4, S/2 SE/4 of 31-12N-24W, aol</x:t>
        </x:is>
      </x:c>
      <x:c r="J1695" s="552" t="inlineStr">
        <x:is>
          <x:t xml:space="preserve">An undivided 43.496666/791.47th interest in and to the oil, gas and other minerals</x:t>
        </x:is>
      </x:c>
      <x:c r="K1695" s="554" t="e">
        <x:f>HYPERLINK("https://okcountyrecords.com/detail/roger+mills/1989-004253","OKCountyRecords: 1989-004253")</x:f>
      </x:c>
      <x:c r="L1695" s="552" t="n">
        <x:v>2</x:v>
      </x:c>
      <x:c r="M1695" s="552" t="inlineStr">
        <x:is>
          <x:t xml:space="preserve">Mineral</x:t>
        </x:is>
      </x:c>
      <x:c r="N1695" s="555" t="n">
        <x:f>43.496666/791.47</x:f>
        <x:v>0.05495680948109214</x:v>
      </x:c>
      <x:c r="O1695" s="556" t="n">
        <x:f>IF($L1695="","",IF(ISNUMBER(SEARCH("all",$L1695)),640,(ISNUMBER(SEARCH("1",$L1695)))*80+(ISNUMBER(SEARCH("2",$L1695)))*160+(ISNUMBER(SEARCH("3",$L1695)))*40+(ISNUMBER(SEARCH("4",$L1695)))*80+(ISNUMBER(SEARCH("5",$L1695)))*120+(ISNUMBER(SEARCH("6",$L1695)))*80+(ISNUMBER(SEARCH("7",$L1695)))*40+(ISNUMBER(SEARCH("8",$L1695)))*40))</x:f>
        <x:v>0</x:v>
      </x:c>
      <x:c r="P1695" s="654" t="n">
        <x:f>IF($M1695&lt;&gt;"Mineral","",IF(ISNUMBER($N1695),$N1695,IF(OR(ISNUMBER(SEARCH("surface",$J1695)),ISNUMBER(SEARCH("reserv",$J1695)),ISNUMBER(SEARCH("less and except",$J1695))),0,"")))</x:f>
        <x:v>0.05495680948109214</x:v>
      </x:c>
      <x:c r="Q1695" s="654" t="n">
        <x:f>IF($P1695="","",-$P1695)</x:f>
        <x:v>-0.05495680948109214</x:v>
      </x:c>
      <x:c r="R1695" s="655" t="n">
        <x:f>IF($P1695="","",$O1695*$P1695)</x:f>
        <x:v>0</x:v>
      </x:c>
      <x:c r="S1695" s="552" t="str">
        <x:f>IF($M1695="","",TRIM(IF($M1695="Mineral",IF(ISNUMBER($N1695),"Mineral; basis Conv Amt(dec). ",IF($P1695=0,"Mineral; surface-only/reserved-&gt;0 min. ","Mineral; NO AMOUNT-verify instrument. ")),$M1695&amp;" (non-mineral; excluded from mineral NMA). ")&amp;IF(OR(ISNUMBER(SEARCH("public",$G1695)),ISNUMBER(SEARCH("public",$H1695))),"FLAG: The Public placeholder-verify. ","")&amp;IF(ISNUMBER(SEARCH("all",$L1695)),"All-section coverage. ","")&amp;IF($O1695=0,"Gross acres unresolved. ","")&amp;"Gross=tract-map basis."))</x:f>
        <x:v>Mineral; basis Conv Amt(dec). Gross acres unresolved. Gross=tract-map basis.</x:v>
      </x:c>
      <x:c r="T1695" s="577" t="n"/>
      <x:c r="U1695" s="577" t="n"/>
      <x:c r="V1695" s="565" t="n"/>
      <x:c r="W1695" s="565" t="n"/>
      <x:c r="X1695" s="565" t="n"/>
      <x:c r="Y1695" s="565" t="n"/>
      <x:c r="Z1695" s="565" t="n"/>
    </x:row>
    <x:row r="1696">
      <x:c r="A1696" s="552" t="inlineStr">
        <x:is>
          <x:t xml:space="preserve">1989-004254</x:t>
        </x:is>
      </x:c>
      <x:c r="B1696" s="552" t="n"/>
      <x:c r="C1696" s="552" t="inlineStr">
        <x:is>
          <x:t xml:space="preserve">Mineral Deed</x:t>
        </x:is>
      </x:c>
      <x:c r="D1696" s="552" t="inlineStr">
        <x:is>
          <x:t xml:space="preserve">1070/200</x:t>
        </x:is>
      </x:c>
      <x:c r="E1696" s="653" t="n">
        <x:v>32706</x:v>
      </x:c>
      <x:c r="F1696" s="653" t="n">
        <x:v>32706</x:v>
      </x:c>
      <x:c r="G1696" s="552" t="inlineStr">
        <x:is>
          <x:t xml:space="preserve">William Cobal Bain, Jr. and Billy Wayne Bain, Trustees of the Willaim C. Bain Trust</x:t>
        </x:is>
      </x:c>
      <x:c r="H1696" s="552" t="inlineStr">
        <x:is>
          <x:t xml:space="preserve">Opal Fuchs</x:t>
        </x:is>
      </x:c>
      <x:c r="I1696" s="552" t="inlineStr">
        <x:is>
          <x:t xml:space="preserve">SW/4 NE/4, NW/4 SE/4, S/2 SE/4 of 31-12N-24W, aol</x:t>
        </x:is>
      </x:c>
      <x:c r="J1696" s="552" t="inlineStr">
        <x:is>
          <x:t xml:space="preserve">An undivided 43.496666/791.47th interest in and to the oil, gas and other minerals</x:t>
        </x:is>
      </x:c>
      <x:c r="K1696" s="554" t="e">
        <x:f>HYPERLINK("https://okcountyrecords.com/detail/roger+mills/1989-004254","OKCountyRecords: 1989-004254")</x:f>
      </x:c>
      <x:c r="L1696" s="552" t="n">
        <x:v>2</x:v>
      </x:c>
      <x:c r="M1696" s="552" t="inlineStr">
        <x:is>
          <x:t xml:space="preserve">Mineral</x:t>
        </x:is>
      </x:c>
      <x:c r="N1696" s="555" t="n">
        <x:f>43.496666/791.47</x:f>
        <x:v>0.05495680948109214</x:v>
      </x:c>
      <x:c r="O1696" s="556" t="n">
        <x:f>IF($L1696="","",IF(ISNUMBER(SEARCH("all",$L1696)),640,(ISNUMBER(SEARCH("1",$L1696)))*80+(ISNUMBER(SEARCH("2",$L1696)))*160+(ISNUMBER(SEARCH("3",$L1696)))*40+(ISNUMBER(SEARCH("4",$L1696)))*80+(ISNUMBER(SEARCH("5",$L1696)))*120+(ISNUMBER(SEARCH("6",$L1696)))*80+(ISNUMBER(SEARCH("7",$L1696)))*40+(ISNUMBER(SEARCH("8",$L1696)))*40))</x:f>
        <x:v>0</x:v>
      </x:c>
      <x:c r="P1696" s="654" t="n">
        <x:f>IF($M1696&lt;&gt;"Mineral","",IF(ISNUMBER($N1696),$N1696,IF(OR(ISNUMBER(SEARCH("surface",$J1696)),ISNUMBER(SEARCH("reserv",$J1696)),ISNUMBER(SEARCH("less and except",$J1696))),0,"")))</x:f>
        <x:v>0.05495680948109214</x:v>
      </x:c>
      <x:c r="Q1696" s="654" t="n">
        <x:f>IF($P1696="","",-$P1696)</x:f>
        <x:v>-0.05495680948109214</x:v>
      </x:c>
      <x:c r="R1696" s="655" t="n">
        <x:f>IF($P1696="","",$O1696*$P1696)</x:f>
        <x:v>0</x:v>
      </x:c>
      <x:c r="S1696" s="552" t="str">
        <x:f>IF($M1696="","",TRIM(IF($M1696="Mineral",IF(ISNUMBER($N1696),"Mineral; basis Conv Amt(dec). ",IF($P1696=0,"Mineral; surface-only/reserved-&gt;0 min. ","Mineral; NO AMOUNT-verify instrument. ")),$M1696&amp;" (non-mineral; excluded from mineral NMA). ")&amp;IF(OR(ISNUMBER(SEARCH("public",$G1696)),ISNUMBER(SEARCH("public",$H1696))),"FLAG: The Public placeholder-verify. ","")&amp;IF(ISNUMBER(SEARCH("all",$L1696)),"All-section coverage. ","")&amp;IF($O1696=0,"Gross acres unresolved. ","")&amp;"Gross=tract-map basis."))</x:f>
        <x:v>Mineral; basis Conv Amt(dec). Gross acres unresolved. Gross=tract-map basis.</x:v>
      </x:c>
      <x:c r="T1696" s="577" t="n"/>
      <x:c r="U1696" s="577" t="n"/>
      <x:c r="V1696" s="565" t="n"/>
      <x:c r="W1696" s="565" t="n"/>
      <x:c r="X1696" s="565" t="n"/>
      <x:c r="Y1696" s="565" t="n"/>
      <x:c r="Z1696" s="565" t="n"/>
    </x:row>
    <x:row r="1697">
      <x:c r="A1697" s="552" t="inlineStr">
        <x:is>
          <x:t xml:space="preserve">1989-004255</x:t>
        </x:is>
      </x:c>
      <x:c r="B1697" s="552" t="n"/>
      <x:c r="C1697" s="552" t="inlineStr">
        <x:is>
          <x:t xml:space="preserve">Mineral Deed</x:t>
        </x:is>
      </x:c>
      <x:c r="D1697" s="552" t="inlineStr">
        <x:is>
          <x:t xml:space="preserve">1070/203</x:t>
        </x:is>
      </x:c>
      <x:c r="E1697" s="653" t="n">
        <x:v>32706</x:v>
      </x:c>
      <x:c r="F1697" s="653" t="n">
        <x:v>32706</x:v>
      </x:c>
      <x:c r="G1697" s="552" t="inlineStr">
        <x:is>
          <x:t xml:space="preserve">William Cobal Bain, Jr. and Billy Wayne Bain, Trustees of the Willaim C. Bain Trust</x:t>
        </x:is>
      </x:c>
      <x:c r="H1697" s="552" t="inlineStr">
        <x:is>
          <x:t xml:space="preserve">Wilda Jensen</x:t>
        </x:is>
      </x:c>
      <x:c r="I1697" s="552" t="inlineStr">
        <x:is>
          <x:t xml:space="preserve">SW/4 NE/4, NW/4 SE/4, S/2 SE/4 of 31-12N-24W, aol</x:t>
        </x:is>
      </x:c>
      <x:c r="J1697" s="552" t="inlineStr">
        <x:is>
          <x:t xml:space="preserve">An undivided 43.496666/791.47th interest in and to the oil, gas and other minerals</x:t>
        </x:is>
      </x:c>
      <x:c r="K1697" s="554" t="e">
        <x:f>HYPERLINK("https://okcountyrecords.com/detail/roger+mills/1989-004255","OKCountyRecords: 1989-004255")</x:f>
      </x:c>
      <x:c r="L1697" s="552" t="n">
        <x:v>2</x:v>
      </x:c>
      <x:c r="M1697" s="552" t="inlineStr">
        <x:is>
          <x:t xml:space="preserve">Mineral</x:t>
        </x:is>
      </x:c>
      <x:c r="N1697" s="555" t="n">
        <x:f>43.496666/791.47</x:f>
        <x:v>0.05495680948109214</x:v>
      </x:c>
      <x:c r="O1697" s="556" t="n">
        <x:f>IF($L1697="","",IF(ISNUMBER(SEARCH("all",$L1697)),640,(ISNUMBER(SEARCH("1",$L1697)))*80+(ISNUMBER(SEARCH("2",$L1697)))*160+(ISNUMBER(SEARCH("3",$L1697)))*40+(ISNUMBER(SEARCH("4",$L1697)))*80+(ISNUMBER(SEARCH("5",$L1697)))*120+(ISNUMBER(SEARCH("6",$L1697)))*80+(ISNUMBER(SEARCH("7",$L1697)))*40+(ISNUMBER(SEARCH("8",$L1697)))*40))</x:f>
        <x:v>0</x:v>
      </x:c>
      <x:c r="P1697" s="654" t="n">
        <x:f>IF($M1697&lt;&gt;"Mineral","",IF(ISNUMBER($N1697),$N1697,IF(OR(ISNUMBER(SEARCH("surface",$J1697)),ISNUMBER(SEARCH("reserv",$J1697)),ISNUMBER(SEARCH("less and except",$J1697))),0,"")))</x:f>
        <x:v>0.05495680948109214</x:v>
      </x:c>
      <x:c r="Q1697" s="654" t="n">
        <x:f>IF($P1697="","",-$P1697)</x:f>
        <x:v>-0.05495680948109214</x:v>
      </x:c>
      <x:c r="R1697" s="655" t="n">
        <x:f>IF($P1697="","",$O1697*$P1697)</x:f>
        <x:v>0</x:v>
      </x:c>
      <x:c r="S1697" s="552" t="str">
        <x:f>IF($M1697="","",TRIM(IF($M1697="Mineral",IF(ISNUMBER($N1697),"Mineral; basis Conv Amt(dec). ",IF($P1697=0,"Mineral; surface-only/reserved-&gt;0 min. ","Mineral; NO AMOUNT-verify instrument. ")),$M1697&amp;" (non-mineral; excluded from mineral NMA). ")&amp;IF(OR(ISNUMBER(SEARCH("public",$G1697)),ISNUMBER(SEARCH("public",$H1697))),"FLAG: The Public placeholder-verify. ","")&amp;IF(ISNUMBER(SEARCH("all",$L1697)),"All-section coverage. ","")&amp;IF($O1697=0,"Gross acres unresolved. ","")&amp;"Gross=tract-map basis."))</x:f>
        <x:v>Mineral; basis Conv Amt(dec). Gross acres unresolved. Gross=tract-map basis.</x:v>
      </x:c>
      <x:c r="T1697" s="577" t="n"/>
      <x:c r="U1697" s="577" t="n"/>
      <x:c r="V1697" s="565" t="n"/>
      <x:c r="W1697" s="565" t="n"/>
      <x:c r="X1697" s="565" t="n"/>
      <x:c r="Y1697" s="565" t="n"/>
      <x:c r="Z1697" s="565" t="n"/>
    </x:row>
    <x:row r="1698">
      <x:c r="A1698" s="552" t="inlineStr">
        <x:is>
          <x:t xml:space="preserve">1989-004256</x:t>
        </x:is>
      </x:c>
      <x:c r="B1698" s="552" t="n"/>
      <x:c r="C1698" s="552" t="inlineStr">
        <x:is>
          <x:t xml:space="preserve">Mineral Deed</x:t>
        </x:is>
      </x:c>
      <x:c r="D1698" s="552" t="inlineStr">
        <x:is>
          <x:t xml:space="preserve">1070/206</x:t>
        </x:is>
      </x:c>
      <x:c r="E1698" s="653" t="n">
        <x:v>32706</x:v>
      </x:c>
      <x:c r="F1698" s="653" t="n">
        <x:v>32706</x:v>
      </x:c>
      <x:c r="G1698" s="552" t="inlineStr">
        <x:is>
          <x:t xml:space="preserve">William Cobal Bain, Jr. and Billy Wayne Bain, Trustees of the Willaim C. Bain Trust</x:t>
        </x:is>
      </x:c>
      <x:c r="H1698" s="552" t="inlineStr">
        <x:is>
          <x:t xml:space="preserve">Crystal Pallo</x:t>
        </x:is>
      </x:c>
      <x:c r="I1698" s="552" t="inlineStr">
        <x:is>
          <x:t xml:space="preserve">SW/4 NE/4, NW/4 SE/4, S/2 SE/4 of 31-12N-24W, aol</x:t>
        </x:is>
      </x:c>
      <x:c r="J1698" s="552" t="inlineStr">
        <x:is>
          <x:t xml:space="preserve">An undivided 43.496666/791.47th interest in and to the oil, gas and other minerals</x:t>
        </x:is>
      </x:c>
      <x:c r="K1698" s="554" t="e">
        <x:f>HYPERLINK("https://okcountyrecords.com/detail/roger+mills/1989-004256","OKCountyRecords: 1989-004256")</x:f>
      </x:c>
      <x:c r="L1698" s="552" t="n">
        <x:v>2</x:v>
      </x:c>
      <x:c r="M1698" s="552" t="inlineStr">
        <x:is>
          <x:t xml:space="preserve">Mineral</x:t>
        </x:is>
      </x:c>
      <x:c r="N1698" s="555" t="n">
        <x:f>43.496666/791.47</x:f>
        <x:v>0.05495680948109214</x:v>
      </x:c>
      <x:c r="O1698" s="556" t="n">
        <x:f>IF($L1698="","",IF(ISNUMBER(SEARCH("all",$L1698)),640,(ISNUMBER(SEARCH("1",$L1698)))*80+(ISNUMBER(SEARCH("2",$L1698)))*160+(ISNUMBER(SEARCH("3",$L1698)))*40+(ISNUMBER(SEARCH("4",$L1698)))*80+(ISNUMBER(SEARCH("5",$L1698)))*120+(ISNUMBER(SEARCH("6",$L1698)))*80+(ISNUMBER(SEARCH("7",$L1698)))*40+(ISNUMBER(SEARCH("8",$L1698)))*40))</x:f>
        <x:v>0</x:v>
      </x:c>
      <x:c r="P1698" s="654" t="n">
        <x:f>IF($M1698&lt;&gt;"Mineral","",IF(ISNUMBER($N1698),$N1698,IF(OR(ISNUMBER(SEARCH("surface",$J1698)),ISNUMBER(SEARCH("reserv",$J1698)),ISNUMBER(SEARCH("less and except",$J1698))),0,"")))</x:f>
        <x:v>0.05495680948109214</x:v>
      </x:c>
      <x:c r="Q1698" s="654" t="n">
        <x:f>IF($P1698="","",-$P1698)</x:f>
        <x:v>-0.05495680948109214</x:v>
      </x:c>
      <x:c r="R1698" s="655" t="n">
        <x:f>IF($P1698="","",$O1698*$P1698)</x:f>
        <x:v>0</x:v>
      </x:c>
      <x:c r="S1698" s="552" t="str">
        <x:f>IF($M1698="","",TRIM(IF($M1698="Mineral",IF(ISNUMBER($N1698),"Mineral; basis Conv Amt(dec). ",IF($P1698=0,"Mineral; surface-only/reserved-&gt;0 min. ","Mineral; NO AMOUNT-verify instrument. ")),$M1698&amp;" (non-mineral; excluded from mineral NMA). ")&amp;IF(OR(ISNUMBER(SEARCH("public",$G1698)),ISNUMBER(SEARCH("public",$H1698))),"FLAG: The Public placeholder-verify. ","")&amp;IF(ISNUMBER(SEARCH("all",$L1698)),"All-section coverage. ","")&amp;IF($O1698=0,"Gross acres unresolved. ","")&amp;"Gross=tract-map basis."))</x:f>
        <x:v>Mineral; basis Conv Amt(dec). Gross acres unresolved. Gross=tract-map basis.</x:v>
      </x:c>
      <x:c r="T1698" s="577" t="n"/>
      <x:c r="U1698" s="577" t="n"/>
      <x:c r="V1698" s="565" t="n"/>
      <x:c r="W1698" s="565" t="n"/>
      <x:c r="X1698" s="565" t="n"/>
      <x:c r="Y1698" s="565" t="n"/>
      <x:c r="Z1698" s="565" t="n"/>
    </x:row>
    <x:row r="1699">
      <x:c r="A1699" s="552" t="inlineStr">
        <x:is>
          <x:t xml:space="preserve">1989-005656</x:t>
        </x:is>
      </x:c>
      <x:c r="B1699" s="552" t="n"/>
      <x:c r="C1699" s="552" t="inlineStr">
        <x:is>
          <x:t xml:space="preserve">Final Decree</x:t>
        </x:is>
      </x:c>
      <x:c r="D1699" s="552" t="inlineStr">
        <x:is>
          <x:t xml:space="preserve">1088/5</x:t>
        </x:is>
      </x:c>
      <x:c r="E1699" s="653" t="n">
        <x:v>32794</x:v>
      </x:c>
      <x:c r="F1699" s="653" t="n">
        <x:v>32794</x:v>
      </x:c>
      <x:c r="G1699" s="552" t="inlineStr">
        <x:is>
          <x:t xml:space="preserve">Beckham County Court,
RE: In the Matter of the Estate of Eula M. Bain, Deceased</x:t>
        </x:is>
      </x:c>
      <x:c r="H1699" s="552" t="inlineStr">
        <x:is>
          <x:t xml:space="preserve">Billy Wayne Bain</x:t>
        </x:is>
      </x:c>
      <x:c r="I1699" s="552" t="inlineStr">
        <x:is>
          <x:t xml:space="preserve">SW/4 NE/4, NW/4 SE/4, S/2 SE/4 of 31-12N-24W, aol</x:t>
        </x:is>
      </x:c>
      <x:c r="J1699" s="552" t="inlineStr">
        <x:is>
          <x:t xml:space="preserve">ARTI</x:t>
        </x:is>
      </x:c>
      <x:c r="K1699" s="554" t="e">
        <x:f>HYPERLINK("https://okcountyrecords.com/detail/roger+mills/1989-005656","OKCountyRecords: 1989-005656")</x:f>
      </x:c>
      <x:c r="L1699" s="552" t="n">
        <x:v>2</x:v>
      </x:c>
      <x:c r="M1699" s="552" t="inlineStr">
        <x:is>
          <x:t xml:space="preserve">Mineral</x:t>
        </x:is>
      </x:c>
      <x:c r="N1699" s="555" t="n">
        <x:v>1</x:v>
      </x:c>
      <x:c r="O1699" s="556" t="n">
        <x:f>IF($L1699="","",IF(ISNUMBER(SEARCH("all",$L1699)),640,(ISNUMBER(SEARCH("1",$L1699)))*80+(ISNUMBER(SEARCH("2",$L1699)))*160+(ISNUMBER(SEARCH("3",$L1699)))*40+(ISNUMBER(SEARCH("4",$L1699)))*80+(ISNUMBER(SEARCH("5",$L1699)))*120+(ISNUMBER(SEARCH("6",$L1699)))*80+(ISNUMBER(SEARCH("7",$L1699)))*40+(ISNUMBER(SEARCH("8",$L1699)))*40))</x:f>
        <x:v>0</x:v>
      </x:c>
      <x:c r="P1699" s="654" t="n">
        <x:f>IF($M1699&lt;&gt;"Mineral","",IF(ISNUMBER($N1699),$N1699,IF(OR(ISNUMBER(SEARCH("surface",$J1699)),ISNUMBER(SEARCH("reserv",$J1699)),ISNUMBER(SEARCH("less and except",$J1699))),0,"")))</x:f>
        <x:v>1</x:v>
      </x:c>
      <x:c r="Q1699" s="654" t="n">
        <x:f>IF($P1699="","",-$P1699)</x:f>
        <x:v>-1</x:v>
      </x:c>
      <x:c r="R1699" s="655" t="n">
        <x:f>IF($P1699="","",$O1699*$P1699)</x:f>
        <x:v>0</x:v>
      </x:c>
      <x:c r="S1699" s="552" t="str">
        <x:f>IF($M1699="","",TRIM(IF($M1699="Mineral",IF(ISNUMBER($N1699),"Mineral; basis Conv Amt(dec). ",IF($P1699=0,"Mineral; surface-only/reserved-&gt;0 min. ","Mineral; NO AMOUNT-verify instrument. ")),$M1699&amp;" (non-mineral; excluded from mineral NMA). ")&amp;IF(OR(ISNUMBER(SEARCH("public",$G1699)),ISNUMBER(SEARCH("public",$H1699))),"FLAG: The Public placeholder-verify. ","")&amp;IF(ISNUMBER(SEARCH("all",$L1699)),"All-section coverage. ","")&amp;IF($O1699=0,"Gross acres unresolved. ","")&amp;"Gross=tract-map basis."))</x:f>
        <x:v>Mineral; basis Conv Amt(dec). Gross acres unresolved. Gross=tract-map basis.</x:v>
      </x:c>
      <x:c r="T1699" s="577" t="n"/>
      <x:c r="U1699" s="577" t="n"/>
      <x:c r="V1699" s="565" t="n"/>
      <x:c r="W1699" s="565" t="n"/>
      <x:c r="X1699" s="565" t="n"/>
      <x:c r="Y1699" s="565" t="n"/>
      <x:c r="Z1699" s="565" t="n"/>
    </x:row>
    <x:row r="1700">
      <x:c r="A1700" s="552" t="inlineStr">
        <x:is>
          <x:t xml:space="preserve">1989-005860</x:t>
        </x:is>
      </x:c>
      <x:c r="B1700" s="552" t="n"/>
      <x:c r="C1700" s="552" t="inlineStr">
        <x:is>
          <x:t xml:space="preserve">Change of Address</x:t>
        </x:is>
      </x:c>
      <x:c r="D1700" s="552" t="inlineStr">
        <x:is>
          <x:t xml:space="preserve">1090/217</x:t>
        </x:is>
      </x:c>
      <x:c r="E1700" s="653" t="n">
        <x:v>32806</x:v>
      </x:c>
      <x:c r="F1700" s="653" t="n">
        <x:v>32806</x:v>
      </x:c>
      <x:c r="G1700" s="552" t="inlineStr">
        <x:is>
          <x:t xml:space="preserve">Mary Ellen Sitzmann</x:t>
        </x:is>
      </x:c>
      <x:c r="H1700" s="552" t="inlineStr">
        <x:is>
          <x:t xml:space="preserve">The Public</x:t>
        </x:is>
      </x:c>
      <x:c r="I1700" s="552" t="inlineStr">
        <x:is>
          <x:t xml:space="preserve">31-12N-24W, aol</x:t>
        </x:is>
      </x:c>
      <x:c r="J1700" s="552" t="inlineStr">
        <x:is>
          <x:t xml:space="preserve">See instrument</x:t>
        </x:is>
      </x:c>
      <x:c r="K1700" s="554" t="e">
        <x:f>HYPERLINK("https://okcountyrecords.com/detail/roger+mills/1989-005860","OKCountyRecords: 1989-005860")</x:f>
      </x:c>
      <x:c r="L1700" s="552" t="inlineStr">
        <x:is>
          <x:t xml:space="preserve">All (1-8)</x:t>
        </x:is>
      </x:c>
      <x:c r="M1700" s="552" t="inlineStr">
        <x:is>
          <x:t xml:space="preserve">Other</x:t>
        </x:is>
      </x:c>
      <x:c r="N1700" s="555" t="n"/>
      <x:c r="O1700" s="556" t="n">
        <x:f>IF($L1700="","",IF(ISNUMBER(SEARCH("all",$L1700)),640,(ISNUMBER(SEARCH("1",$L1700)))*80+(ISNUMBER(SEARCH("2",$L1700)))*160+(ISNUMBER(SEARCH("3",$L1700)))*40+(ISNUMBER(SEARCH("4",$L1700)))*80+(ISNUMBER(SEARCH("5",$L1700)))*120+(ISNUMBER(SEARCH("6",$L1700)))*80+(ISNUMBER(SEARCH("7",$L1700)))*40+(ISNUMBER(SEARCH("8",$L1700)))*40))</x:f>
        <x:v>640</x:v>
      </x:c>
      <x:c r="P1700" s="654" t="str">
        <x:f>IF($M1700&lt;&gt;"Mineral","",IF(ISNUMBER($N1700),$N1700,IF(OR(ISNUMBER(SEARCH("surface",$J1700)),ISNUMBER(SEARCH("reserv",$J1700)),ISNUMBER(SEARCH("less and except",$J1700))),0,"")))</x:f>
      </x:c>
      <x:c r="Q1700" s="654" t="str">
        <x:f>IF($P1700="","",-$P1700)</x:f>
      </x:c>
      <x:c r="R1700" s="655" t="str">
        <x:f>IF($P1700="","",$O1700*$P1700)</x:f>
      </x:c>
      <x:c r="S1700" s="552" t="inlineStr">
        <x:is>
          <x:t xml:space="preserve">Other (non-mineral; excluded from mineral NMA). All-section coverage. Gross=tract-map basis.</x:t>
        </x:is>
      </x:c>
      <x:c r="T1700" s="577" t="inlineStr">
        <x:is>
          <x:t xml:space="preserve">OK</x:t>
        </x:is>
      </x:c>
      <x:c r="U1700" s="578" t="inlineStr">
        <x:is>
          <x:t xml:space="preserve">Non-conveying — notice/affidavit/address change (The Public).</x:t>
        </x:is>
      </x:c>
      <x:c r="V1700" s="565" t="n"/>
      <x:c r="W1700" s="565" t="n"/>
      <x:c r="X1700" s="565" t="n"/>
      <x:c r="Y1700" s="565" t="n"/>
      <x:c r="Z1700" s="565" t="n"/>
    </x:row>
    <x:row r="1701">
      <x:c r="A1701" s="552" t="inlineStr">
        <x:is>
          <x:t xml:space="preserve">1989-006590</x:t>
        </x:is>
      </x:c>
      <x:c r="B1701" s="552" t="n"/>
      <x:c r="C1701" s="552" t="inlineStr">
        <x:is>
          <x:t xml:space="preserve">Mineral Deed</x:t>
        </x:is>
      </x:c>
      <x:c r="D1701" s="552" t="inlineStr">
        <x:is>
          <x:t xml:space="preserve">1100/48</x:t>
        </x:is>
      </x:c>
      <x:c r="E1701" s="653" t="n">
        <x:v>32847</x:v>
      </x:c>
      <x:c r="F1701" s="653" t="n">
        <x:v>32847</x:v>
      </x:c>
      <x:c r="G1701" s="552" t="inlineStr">
        <x:is>
          <x:t xml:space="preserve">Mann Group Investment Company</x:t>
        </x:is>
      </x:c>
      <x:c r="H1701" s="552" t="inlineStr">
        <x:is>
          <x:t xml:space="preserve">Bluebonnet Investments, Ltd.</x:t>
        </x:is>
      </x:c>
      <x:c r="I1701" s="552" t="inlineStr">
        <x:is>
          <x:t xml:space="preserve">E/2 NW/4, SE/4 NE/4, NE/4 SE/4, N/2 NE/4 SW/4 of 31-12N-24W, aol</x:t>
        </x:is>
      </x:c>
      <x:c r="J1701" s="552" t="inlineStr">
        <x:is>
          <x:t xml:space="preserve">10/260 interest in 2 sections</x:t>
        </x:is>
      </x:c>
      <x:c r="K1701" s="554" t="e">
        <x:f>HYPERLINK("https://okcountyrecords.com/detail/roger+mills/1989-006590","OKCountyRecords: 1989-006590")</x:f>
      </x:c>
      <x:c r="L1701" s="552" t="inlineStr">
        <x:is>
          <x:t xml:space="preserve">1, 3, 4, 7, 8</x:t>
        </x:is>
      </x:c>
      <x:c r="M1701" s="552" t="inlineStr">
        <x:is>
          <x:t xml:space="preserve">Mineral</x:t>
        </x:is>
      </x:c>
      <x:c r="N1701" s="561" t="n">
        <x:f>10/260</x:f>
        <x:v>0.038461538461538464</x:v>
      </x:c>
      <x:c r="O1701" s="556" t="n">
        <x:f>IF($L1701="","",IF(ISNUMBER(SEARCH("all",$L1701)),640,(ISNUMBER(SEARCH("1",$L1701)))*80+(ISNUMBER(SEARCH("2",$L1701)))*160+(ISNUMBER(SEARCH("3",$L1701)))*40+(ISNUMBER(SEARCH("4",$L1701)))*80+(ISNUMBER(SEARCH("5",$L1701)))*120+(ISNUMBER(SEARCH("6",$L1701)))*80+(ISNUMBER(SEARCH("7",$L1701)))*40+(ISNUMBER(SEARCH("8",$L1701)))*40))</x:f>
        <x:v>0</x:v>
      </x:c>
      <x:c r="P1701" s="654" t="n">
        <x:f>IF($M1701&lt;&gt;"Mineral","",IF(ISNUMBER($N1701),$N1701,IF(OR(ISNUMBER(SEARCH("surface",$J1701)),ISNUMBER(SEARCH("reserv",$J1701)),ISNUMBER(SEARCH("less and except",$J1701))),0,"")))</x:f>
        <x:v>0.038461538461538464</x:v>
      </x:c>
      <x:c r="Q1701" s="654" t="n">
        <x:f>IF($P1701="","",-$P1701)</x:f>
        <x:v>-0.038461538461538464</x:v>
      </x:c>
      <x:c r="R1701" s="655" t="n">
        <x:f>IF($P1701="","",$O1701*$P1701)</x:f>
        <x:v>0</x:v>
      </x:c>
      <x:c r="S1701" s="552" t="str">
        <x:f>IF($M1701="","",TRIM(IF($M1701="Mineral",IF(ISNUMBER($N1701),"Mineral; basis Conv Amt(dec). ",IF($P1701=0,"Mineral; surface-only/reserved-&gt;0 min. ","Mineral; NO AMOUNT-verify instrument. ")),$M1701&amp;" (non-mineral; excluded from mineral NMA). ")&amp;IF(OR(ISNUMBER(SEARCH("public",$G1701)),ISNUMBER(SEARCH("public",$H1701))),"FLAG: The Public placeholder-verify. ","")&amp;IF(ISNUMBER(SEARCH("all",$L1701)),"All-section coverage. ","")&amp;IF($O1701=0,"Gross acres unresolved. ","")&amp;"Gross=tract-map basis."))</x:f>
        <x:v>Mineral; basis Conv Amt(dec). Gross acres unresolved. Gross=tract-map basis.</x:v>
      </x:c>
      <x:c r="T1701" s="577" t="n"/>
      <x:c r="U1701" s="577" t="n"/>
      <x:c r="V1701" s="565" t="n"/>
      <x:c r="W1701" s="565" t="n"/>
      <x:c r="X1701" s="565" t="n"/>
      <x:c r="Y1701" s="565" t="n"/>
      <x:c r="Z1701" s="565" t="n"/>
    </x:row>
    <x:row r="1702">
      <x:c r="A1702" s="552" t="inlineStr">
        <x:is>
          <x:t xml:space="preserve">1989-007000</x:t>
        </x:is>
      </x:c>
      <x:c r="B1702" s="552" t="n"/>
      <x:c r="C1702" s="552" t="inlineStr">
        <x:is>
          <x:t xml:space="preserve">Mineral Deed</x:t>
        </x:is>
      </x:c>
      <x:c r="D1702" s="552" t="inlineStr">
        <x:is>
          <x:t xml:space="preserve">1104/87</x:t>
        </x:is>
      </x:c>
      <x:c r="E1702" s="653" t="n">
        <x:v>32869</x:v>
      </x:c>
      <x:c r="F1702" s="653" t="n">
        <x:v>32869</x:v>
      </x:c>
      <x:c r="G1702" s="552" t="inlineStr">
        <x:is>
          <x:t xml:space="preserve">Ernest Jensen and Wilda Jensen, HW</x:t>
        </x:is>
      </x:c>
      <x:c r="H1702" s="552" t="inlineStr">
        <x:is>
          <x:t xml:space="preserve">Hans W. Jensen</x:t>
        </x:is>
      </x:c>
      <x:c r="I1702" s="552" t="inlineStr">
        <x:is>
          <x:t xml:space="preserve">SW/4 NE/4, NW/4 SE/4, S/2 SE/4 of 31-12N-24W, aol</x:t>
        </x:is>
      </x:c>
      <x:c r="J1702" s="552" t="inlineStr">
        <x:is>
          <x:t xml:space="preserve">An undivided 2/160th (2 acres) in 31-12N-24W, 10/791.47 interest in 2 sections</x:t>
        </x:is>
      </x:c>
      <x:c r="K1702" s="554" t="e">
        <x:f>HYPERLINK("https://okcountyrecords.com/detail/roger+mills/1989-007000","OKCountyRecords: 1989-007000")</x:f>
      </x:c>
      <x:c r="L1702" s="552" t="n">
        <x:v>2</x:v>
      </x:c>
      <x:c r="M1702" s="552" t="inlineStr">
        <x:is>
          <x:t xml:space="preserve">Mineral</x:t>
        </x:is>
      </x:c>
      <x:c r="N1702" s="555" t="n">
        <x:f>2/160</x:f>
        <x:v>0.0125</x:v>
      </x:c>
      <x:c r="O1702" s="556" t="n">
        <x:f>IF($L1702="","",IF(ISNUMBER(SEARCH("all",$L1702)),640,(ISNUMBER(SEARCH("1",$L1702)))*80+(ISNUMBER(SEARCH("2",$L1702)))*160+(ISNUMBER(SEARCH("3",$L1702)))*40+(ISNUMBER(SEARCH("4",$L1702)))*80+(ISNUMBER(SEARCH("5",$L1702)))*120+(ISNUMBER(SEARCH("6",$L1702)))*80+(ISNUMBER(SEARCH("7",$L1702)))*40+(ISNUMBER(SEARCH("8",$L1702)))*40))</x:f>
        <x:v>0</x:v>
      </x:c>
      <x:c r="P1702" s="654" t="n">
        <x:f>IF($M1702&lt;&gt;"Mineral","",IF(ISNUMBER($N1702),$N1702,IF(OR(ISNUMBER(SEARCH("surface",$J1702)),ISNUMBER(SEARCH("reserv",$J1702)),ISNUMBER(SEARCH("less and except",$J1702))),0,"")))</x:f>
        <x:v>0.0125</x:v>
      </x:c>
      <x:c r="Q1702" s="654" t="n">
        <x:f>IF($P1702="","",-$P1702)</x:f>
        <x:v>-0.0125</x:v>
      </x:c>
      <x:c r="R1702" s="655" t="n">
        <x:f>IF($P1702="","",$O1702*$P1702)</x:f>
        <x:v>0</x:v>
      </x:c>
      <x:c r="S1702" s="552" t="str">
        <x:f>IF($M1702="","",TRIM(IF($M1702="Mineral",IF(ISNUMBER($N1702),"Mineral; basis Conv Amt(dec). ",IF($P1702=0,"Mineral; surface-only/reserved-&gt;0 min. ","Mineral; VERIFY — NEED full instrument image for conveyed amount. ")),$M1702&amp;" (non-mineral; excluded from mineral NMA). ")&amp;IF(OR(ISNUMBER(SEARCH("public",$G1702)),ISNUMBER(SEARCH("public",$H1702))),"FLAG: The Public placeholder; VERIFY — NEED source confirmation. ","")&amp;IF(ISNUMBER(SEARCH("all",$L1702)),"All-section coverage. ","")&amp;IF($O1702=0,"Gross acres unresolved. ","")&amp;"Gross=tract-map basis."))</x:f>
        <x:v>Mineral; basis Conv Amt(dec). Gross acres unresolved. Gross=tract-map basis.</x:v>
      </x:c>
      <x:c r="T1702" s="577" t="n"/>
      <x:c r="U1702" s="577" t="n"/>
      <x:c r="V1702" s="565" t="n"/>
      <x:c r="W1702" s="565" t="n"/>
      <x:c r="X1702" s="565" t="n"/>
      <x:c r="Y1702" s="565" t="n"/>
      <x:c r="Z1702" s="565" t="n"/>
    </x:row>
    <x:row r="1703">
      <x:c r="A1703" s="552" t="inlineStr">
        <x:is>
          <x:t xml:space="preserve">1989-007001</x:t>
        </x:is>
      </x:c>
      <x:c r="B1703" s="552" t="n"/>
      <x:c r="C1703" s="552" t="inlineStr">
        <x:is>
          <x:t xml:space="preserve">Mineral Deed</x:t>
        </x:is>
      </x:c>
      <x:c r="D1703" s="552" t="inlineStr">
        <x:is>
          <x:t xml:space="preserve">1104/90</x:t>
        </x:is>
      </x:c>
      <x:c r="E1703" s="653" t="n">
        <x:v>32869</x:v>
      </x:c>
      <x:c r="F1703" s="653" t="n">
        <x:v>32869</x:v>
      </x:c>
      <x:c r="G1703" s="552" t="inlineStr">
        <x:is>
          <x:t xml:space="preserve">Ernest Jensen and Wilda Jensen, HW</x:t>
        </x:is>
      </x:c>
      <x:c r="H1703" s="552" t="inlineStr">
        <x:is>
          <x:t xml:space="preserve">Tim E. Jensen</x:t>
        </x:is>
      </x:c>
      <x:c r="I1703" s="552" t="inlineStr">
        <x:is>
          <x:t xml:space="preserve">SW/4 NE/4, NW/4 SE/4, S/2 SE/4 of 31-12N-24W, aol</x:t>
        </x:is>
      </x:c>
      <x:c r="J1703" s="552" t="inlineStr">
        <x:is>
          <x:t xml:space="preserve">An undivided 2/160th (2 acres) in 31-12N-24W, 10/791.47 interest in 2 sections</x:t>
        </x:is>
      </x:c>
      <x:c r="K1703" s="554" t="e">
        <x:f>HYPERLINK("https://okcountyrecords.com/detail/roger+mills/1989-007001","OKCountyRecords: 1989-007001")</x:f>
      </x:c>
      <x:c r="L1703" s="552" t="n">
        <x:v>2</x:v>
      </x:c>
      <x:c r="M1703" s="552" t="inlineStr">
        <x:is>
          <x:t xml:space="preserve">Mineral</x:t>
        </x:is>
      </x:c>
      <x:c r="N1703" s="555" t="n">
        <x:f>2/160</x:f>
        <x:v>0.0125</x:v>
      </x:c>
      <x:c r="O1703" s="556" t="n">
        <x:f>IF($L1703="","",IF(ISNUMBER(SEARCH("all",$L1703)),640,(ISNUMBER(SEARCH("1",$L1703)))*80+(ISNUMBER(SEARCH("2",$L1703)))*160+(ISNUMBER(SEARCH("3",$L1703)))*40+(ISNUMBER(SEARCH("4",$L1703)))*80+(ISNUMBER(SEARCH("5",$L1703)))*120+(ISNUMBER(SEARCH("6",$L1703)))*80+(ISNUMBER(SEARCH("7",$L1703)))*40+(ISNUMBER(SEARCH("8",$L1703)))*40))</x:f>
        <x:v>0</x:v>
      </x:c>
      <x:c r="P1703" s="654" t="n">
        <x:f>IF($M1703&lt;&gt;"Mineral","",IF(ISNUMBER($N1703),$N1703,IF(OR(ISNUMBER(SEARCH("surface",$J1703)),ISNUMBER(SEARCH("reserv",$J1703)),ISNUMBER(SEARCH("less and except",$J1703))),0,"")))</x:f>
        <x:v>0.0125</x:v>
      </x:c>
      <x:c r="Q1703" s="654" t="n">
        <x:f>IF($P1703="","",-$P1703)</x:f>
        <x:v>-0.0125</x:v>
      </x:c>
      <x:c r="R1703" s="655" t="n">
        <x:f>IF($P1703="","",$O1703*$P1703)</x:f>
        <x:v>0</x:v>
      </x:c>
      <x:c r="S1703" s="552" t="str">
        <x:f>IF($M1703="","",TRIM(IF($M1703="Mineral",IF(ISNUMBER($N1703),"Mineral; basis Conv Amt(dec). ",IF($P1703=0,"Mineral; surface-only/reserved-&gt;0 min. ","Mineral; VERIFY — NEED full instrument image for conveyed amount. ")),$M1703&amp;" (non-mineral; excluded from mineral NMA). ")&amp;IF(OR(ISNUMBER(SEARCH("public",$G1703)),ISNUMBER(SEARCH("public",$H1703))),"FLAG: The Public placeholder; VERIFY — NEED source confirmation. ","")&amp;IF(ISNUMBER(SEARCH("all",$L1703)),"All-section coverage. ","")&amp;IF($O1703=0,"Gross acres unresolved. ","")&amp;"Gross=tract-map basis."))</x:f>
        <x:v>Mineral; basis Conv Amt(dec). Gross acres unresolved. Gross=tract-map basis.</x:v>
      </x:c>
      <x:c r="T1703" s="577" t="n"/>
      <x:c r="U1703" s="577" t="n"/>
      <x:c r="V1703" s="565" t="n"/>
      <x:c r="W1703" s="565" t="n"/>
      <x:c r="X1703" s="565" t="n"/>
      <x:c r="Y1703" s="565" t="n"/>
      <x:c r="Z1703" s="565" t="n"/>
    </x:row>
    <x:row r="1704">
      <x:c r="A1704" s="552" t="inlineStr">
        <x:is>
          <x:t xml:space="preserve">1990-000905</x:t>
        </x:is>
      </x:c>
      <x:c r="B1704" s="552" t="n"/>
      <x:c r="C1704" s="552" t="inlineStr">
        <x:is>
          <x:t xml:space="preserve">Trustee's Mineral Deed</x:t>
        </x:is>
      </x:c>
      <x:c r="D1704" s="552" t="inlineStr">
        <x:is>
          <x:t xml:space="preserve">1114/222</x:t>
        </x:is>
      </x:c>
      <x:c r="E1704" s="653" t="n">
        <x:v>32920</x:v>
      </x:c>
      <x:c r="F1704" s="653" t="n">
        <x:v>32920</x:v>
      </x:c>
      <x:c r="G1704" s="552" t="inlineStr">
        <x:is>
          <x:t xml:space="preserve">W. C. Bain Jr., as Trustee under the Trust Agreement executed by Crystal F. Pallo</x:t>
        </x:is>
      </x:c>
      <x:c r="H1704" s="552" t="inlineStr">
        <x:is>
          <x:t xml:space="preserve">Juanita M. Wolff</x:t>
        </x:is>
      </x:c>
      <x:c r="I1704" s="552" t="inlineStr">
        <x:is>
          <x:t xml:space="preserve">SW/4 NE/4, NW/4 SE/4, S/2 SE/4 of 31-12N-24W, aol</x:t>
        </x:is>
      </x:c>
      <x:c r="J1704" s="552" t="inlineStr">
        <x:is>
          <x:t xml:space="preserve">An undivided 3.33333/791.47 interest in 2 sections</x:t>
        </x:is>
      </x:c>
      <x:c r="K1704" s="554" t="e">
        <x:f>HYPERLINK("https://okcountyrecords.com/detail/roger+mills/1990-000905","OKCountyRecords: 1990-000905")</x:f>
      </x:c>
      <x:c r="L1704" s="552" t="n">
        <x:v>2</x:v>
      </x:c>
      <x:c r="M1704" s="552" t="inlineStr">
        <x:is>
          <x:t xml:space="preserve">Mineral</x:t>
        </x:is>
      </x:c>
      <x:c r="N1704" s="555" t="n">
        <x:f>3.33333/791.47</x:f>
        <x:v>0.004211568347505275</x:v>
      </x:c>
      <x:c r="O1704" s="556" t="n">
        <x:f>IF($L1704="","",IF(ISNUMBER(SEARCH("all",$L1704)),640,(ISNUMBER(SEARCH("1",$L1704)))*80+(ISNUMBER(SEARCH("2",$L1704)))*160+(ISNUMBER(SEARCH("3",$L1704)))*40+(ISNUMBER(SEARCH("4",$L1704)))*80+(ISNUMBER(SEARCH("5",$L1704)))*120+(ISNUMBER(SEARCH("6",$L1704)))*80+(ISNUMBER(SEARCH("7",$L1704)))*40+(ISNUMBER(SEARCH("8",$L1704)))*40))</x:f>
        <x:v>0</x:v>
      </x:c>
      <x:c r="P1704" s="654" t="n">
        <x:f>IF($M1704&lt;&gt;"Mineral","",IF(ISNUMBER($N1704),$N1704,IF(OR(ISNUMBER(SEARCH("surface",$J1704)),ISNUMBER(SEARCH("reserv",$J1704)),ISNUMBER(SEARCH("less and except",$J1704))),0,"")))</x:f>
        <x:v>0.004211568347505275</x:v>
      </x:c>
      <x:c r="Q1704" s="654" t="n">
        <x:f>IF($P1704="","",-$P1704)</x:f>
        <x:v>-0.004211568347505275</x:v>
      </x:c>
      <x:c r="R1704" s="655" t="n">
        <x:f>IF($P1704="","",$O1704*$P1704)</x:f>
        <x:v>0</x:v>
      </x:c>
      <x:c r="S1704" s="552" t="str">
        <x:f>IF($M1704="","",TRIM(IF($M1704="Mineral",IF(ISNUMBER($N1704),"Mineral; basis Conv Amt(dec). ",IF($P1704=0,"Mineral; surface-only/reserved-&gt;0 min. ","Mineral; NO AMOUNT-verify instrument. ")),$M1704&amp;" (non-mineral; excluded from mineral NMA). ")&amp;IF(OR(ISNUMBER(SEARCH("public",$G1704)),ISNUMBER(SEARCH("public",$H1704))),"FLAG: The Public placeholder-verify. ","")&amp;IF(ISNUMBER(SEARCH("all",$L1704)),"All-section coverage. ","")&amp;IF($O1704=0,"Gross acres unresolved. ","")&amp;"Gross=tract-map basis."))</x:f>
        <x:v>Mineral; basis Conv Amt(dec). Gross acres unresolved. Gross=tract-map basis.</x:v>
      </x:c>
      <x:c r="T1704" s="577" t="n"/>
      <x:c r="U1704" s="577" t="n"/>
      <x:c r="V1704" s="565" t="n"/>
      <x:c r="W1704" s="565" t="n"/>
      <x:c r="X1704" s="565" t="n"/>
      <x:c r="Y1704" s="565" t="n"/>
      <x:c r="Z1704" s="565" t="n"/>
    </x:row>
    <x:row r="1705">
      <x:c r="A1705" s="552" t="inlineStr">
        <x:is>
          <x:t xml:space="preserve">1990-000906</x:t>
        </x:is>
      </x:c>
      <x:c r="B1705" s="552" t="n"/>
      <x:c r="C1705" s="552" t="inlineStr">
        <x:is>
          <x:t xml:space="preserve">Trustee's Mineral Deed</x:t>
        </x:is>
      </x:c>
      <x:c r="D1705" s="552" t="inlineStr">
        <x:is>
          <x:t xml:space="preserve">1114/225</x:t>
        </x:is>
      </x:c>
      <x:c r="E1705" s="653" t="n">
        <x:v>32920</x:v>
      </x:c>
      <x:c r="F1705" s="653" t="n">
        <x:v>32920</x:v>
      </x:c>
      <x:c r="G1705" s="552" t="inlineStr">
        <x:is>
          <x:t xml:space="preserve">W. C. Bain Jr., as Trustee under the Trust Agreement executed by Crystal F. Pallo</x:t>
        </x:is>
      </x:c>
      <x:c r="H1705" s="552" t="inlineStr">
        <x:is>
          <x:t xml:space="preserve">W. C. Bain Jr.</x:t>
        </x:is>
      </x:c>
      <x:c r="I1705" s="552" t="inlineStr">
        <x:is>
          <x:t xml:space="preserve">SW/4 NE/4, NW/4 SE/4, S/2 SE/4 of 31-12N-24W, aol</x:t>
        </x:is>
      </x:c>
      <x:c r="J1705" s="552" t="inlineStr">
        <x:is>
          <x:t xml:space="preserve">An undivided 3.33333/791.47 interest in 2 sections</x:t>
        </x:is>
      </x:c>
      <x:c r="K1705" s="554" t="e">
        <x:f>HYPERLINK("https://okcountyrecords.com/detail/roger+mills/1990-000906","OKCountyRecords: 1990-000906")</x:f>
      </x:c>
      <x:c r="L1705" s="552" t="n">
        <x:v>2</x:v>
      </x:c>
      <x:c r="M1705" s="552" t="inlineStr">
        <x:is>
          <x:t xml:space="preserve">Mineral</x:t>
        </x:is>
      </x:c>
      <x:c r="N1705" s="555" t="n">
        <x:f>3.33333/791.47</x:f>
        <x:v>0.004211568347505275</x:v>
      </x:c>
      <x:c r="O1705" s="556" t="n">
        <x:f>IF($L1705="","",IF(ISNUMBER(SEARCH("all",$L1705)),640,(ISNUMBER(SEARCH("1",$L1705)))*80+(ISNUMBER(SEARCH("2",$L1705)))*160+(ISNUMBER(SEARCH("3",$L1705)))*40+(ISNUMBER(SEARCH("4",$L1705)))*80+(ISNUMBER(SEARCH("5",$L1705)))*120+(ISNUMBER(SEARCH("6",$L1705)))*80+(ISNUMBER(SEARCH("7",$L1705)))*40+(ISNUMBER(SEARCH("8",$L1705)))*40))</x:f>
        <x:v>0</x:v>
      </x:c>
      <x:c r="P1705" s="654" t="n">
        <x:f>IF($M1705&lt;&gt;"Mineral","",IF(ISNUMBER($N1705),$N1705,IF(OR(ISNUMBER(SEARCH("surface",$J1705)),ISNUMBER(SEARCH("reserv",$J1705)),ISNUMBER(SEARCH("less and except",$J1705))),0,"")))</x:f>
        <x:v>0.004211568347505275</x:v>
      </x:c>
      <x:c r="Q1705" s="654" t="n">
        <x:f>IF($P1705="","",-$P1705)</x:f>
        <x:v>-0.004211568347505275</x:v>
      </x:c>
      <x:c r="R1705" s="655" t="n">
        <x:f>IF($P1705="","",$O1705*$P1705)</x:f>
        <x:v>0</x:v>
      </x:c>
      <x:c r="S1705" s="552" t="str">
        <x:f>IF($M1705="","",TRIM(IF($M1705="Mineral",IF(ISNUMBER($N1705),"Mineral; basis Conv Amt(dec). ",IF($P1705=0,"Mineral; surface-only/reserved-&gt;0 min. ","Mineral; NO AMOUNT-verify instrument. ")),$M1705&amp;" (non-mineral; excluded from mineral NMA). ")&amp;IF(OR(ISNUMBER(SEARCH("public",$G1705)),ISNUMBER(SEARCH("public",$H1705))),"FLAG: The Public placeholder-verify. ","")&amp;IF(ISNUMBER(SEARCH("all",$L1705)),"All-section coverage. ","")&amp;IF($O1705=0,"Gross acres unresolved. ","")&amp;"Gross=tract-map basis."))</x:f>
        <x:v>Mineral; basis Conv Amt(dec). Gross acres unresolved. Gross=tract-map basis.</x:v>
      </x:c>
      <x:c r="T1705" s="577" t="n"/>
      <x:c r="U1705" s="577" t="n"/>
      <x:c r="V1705" s="565" t="n"/>
      <x:c r="W1705" s="565" t="n"/>
      <x:c r="X1705" s="565" t="n"/>
      <x:c r="Y1705" s="565" t="n"/>
      <x:c r="Z1705" s="565" t="n"/>
    </x:row>
    <x:row r="1706">
      <x:c r="A1706" s="552" t="inlineStr">
        <x:is>
          <x:t xml:space="preserve">1990-000907</x:t>
        </x:is>
      </x:c>
      <x:c r="B1706" s="552" t="n"/>
      <x:c r="C1706" s="552" t="inlineStr">
        <x:is>
          <x:t xml:space="preserve">Trustee's Mineral Deed</x:t>
        </x:is>
      </x:c>
      <x:c r="D1706" s="552" t="inlineStr">
        <x:is>
          <x:t xml:space="preserve">1114/228</x:t>
        </x:is>
      </x:c>
      <x:c r="E1706" s="653" t="n">
        <x:v>32920</x:v>
      </x:c>
      <x:c r="F1706" s="653" t="n">
        <x:v>32920</x:v>
      </x:c>
      <x:c r="G1706" s="552" t="inlineStr">
        <x:is>
          <x:t xml:space="preserve">W. C. Bain Jr., as Trustee under the Trust Agreement executed by Crystal F. Pallo</x:t>
        </x:is>
      </x:c>
      <x:c r="H1706" s="552" t="inlineStr">
        <x:is>
          <x:t xml:space="preserve">Opal L. Fuchs</x:t>
        </x:is>
      </x:c>
      <x:c r="I1706" s="552" t="inlineStr">
        <x:is>
          <x:t xml:space="preserve">SW/4 NE/4, NW/4 SE/4, S/2 SE/4 of 31-12N-24W, aol</x:t>
        </x:is>
      </x:c>
      <x:c r="J1706" s="552" t="inlineStr">
        <x:is>
          <x:t xml:space="preserve">An undivided 3.33333/791.47 interest in 2 sections</x:t>
        </x:is>
      </x:c>
      <x:c r="K1706" s="554" t="e">
        <x:f>HYPERLINK("https://okcountyrecords.com/detail/roger+mills/1990-000907","OKCountyRecords: 1990-000907")</x:f>
      </x:c>
      <x:c r="L1706" s="552" t="n">
        <x:v>2</x:v>
      </x:c>
      <x:c r="M1706" s="552" t="inlineStr">
        <x:is>
          <x:t xml:space="preserve">Mineral</x:t>
        </x:is>
      </x:c>
      <x:c r="N1706" s="555" t="n">
        <x:f>3.33333/791.47</x:f>
        <x:v>0.004211568347505275</x:v>
      </x:c>
      <x:c r="O1706" s="556" t="n">
        <x:f>IF($L1706="","",IF(ISNUMBER(SEARCH("all",$L1706)),640,(ISNUMBER(SEARCH("1",$L1706)))*80+(ISNUMBER(SEARCH("2",$L1706)))*160+(ISNUMBER(SEARCH("3",$L1706)))*40+(ISNUMBER(SEARCH("4",$L1706)))*80+(ISNUMBER(SEARCH("5",$L1706)))*120+(ISNUMBER(SEARCH("6",$L1706)))*80+(ISNUMBER(SEARCH("7",$L1706)))*40+(ISNUMBER(SEARCH("8",$L1706)))*40))</x:f>
        <x:v>0</x:v>
      </x:c>
      <x:c r="P1706" s="654" t="n">
        <x:f>IF($M1706&lt;&gt;"Mineral","",IF(ISNUMBER($N1706),$N1706,IF(OR(ISNUMBER(SEARCH("surface",$J1706)),ISNUMBER(SEARCH("reserv",$J1706)),ISNUMBER(SEARCH("less and except",$J1706))),0,"")))</x:f>
        <x:v>0.004211568347505275</x:v>
      </x:c>
      <x:c r="Q1706" s="654" t="n">
        <x:f>IF($P1706="","",-$P1706)</x:f>
        <x:v>-0.004211568347505275</x:v>
      </x:c>
      <x:c r="R1706" s="655" t="n">
        <x:f>IF($P1706="","",$O1706*$P1706)</x:f>
        <x:v>0</x:v>
      </x:c>
      <x:c r="S1706" s="552" t="str">
        <x:f>IF($M1706="","",TRIM(IF($M1706="Mineral",IF(ISNUMBER($N1706),"Mineral; basis Conv Amt(dec). ",IF($P1706=0,"Mineral; surface-only/reserved-&gt;0 min. ","Mineral; NO AMOUNT-verify instrument. ")),$M1706&amp;" (non-mineral; excluded from mineral NMA). ")&amp;IF(OR(ISNUMBER(SEARCH("public",$G1706)),ISNUMBER(SEARCH("public",$H1706))),"FLAG: The Public placeholder-verify. ","")&amp;IF(ISNUMBER(SEARCH("all",$L1706)),"All-section coverage. ","")&amp;IF($O1706=0,"Gross acres unresolved. ","")&amp;"Gross=tract-map basis."))</x:f>
        <x:v>Mineral; basis Conv Amt(dec). Gross acres unresolved. Gross=tract-map basis.</x:v>
      </x:c>
      <x:c r="T1706" s="577" t="n"/>
      <x:c r="U1706" s="577" t="n"/>
      <x:c r="V1706" s="565" t="n"/>
      <x:c r="W1706" s="565" t="n"/>
      <x:c r="X1706" s="565" t="n"/>
      <x:c r="Y1706" s="565" t="n"/>
      <x:c r="Z1706" s="565" t="n"/>
    </x:row>
    <x:row r="1707">
      <x:c r="A1707" s="552" t="inlineStr">
        <x:is>
          <x:t xml:space="preserve">1990-000908</x:t>
        </x:is>
      </x:c>
      <x:c r="B1707" s="552" t="n"/>
      <x:c r="C1707" s="552" t="inlineStr">
        <x:is>
          <x:t xml:space="preserve">Trustee's Mineral Deed</x:t>
        </x:is>
      </x:c>
      <x:c r="D1707" s="552" t="inlineStr">
        <x:is>
          <x:t xml:space="preserve">1114/231</x:t>
        </x:is>
      </x:c>
      <x:c r="E1707" s="653" t="n">
        <x:v>32920</x:v>
      </x:c>
      <x:c r="F1707" s="653" t="n">
        <x:v>32920</x:v>
      </x:c>
      <x:c r="G1707" s="552" t="inlineStr">
        <x:is>
          <x:t xml:space="preserve">W. C. Bain Jr., as Trustee under the Trust Agreement executed by Crystal F. Pallo</x:t>
        </x:is>
      </x:c>
      <x:c r="H1707" s="552" t="inlineStr">
        <x:is>
          <x:t xml:space="preserve">Wilda E. Jensen</x:t>
        </x:is>
      </x:c>
      <x:c r="I1707" s="552" t="inlineStr">
        <x:is>
          <x:t xml:space="preserve">SW/4 NE/4, NW/4 SE/4, S/2 SE/4 of 31-12N-24W, aol</x:t>
        </x:is>
      </x:c>
      <x:c r="J1707" s="552" t="inlineStr">
        <x:is>
          <x:t xml:space="preserve">An undivided 3.33333/791.47 interest in 2 sections</x:t>
        </x:is>
      </x:c>
      <x:c r="K1707" s="554" t="e">
        <x:f>HYPERLINK("https://okcountyrecords.com/detail/roger+mills/1990-000908","OKCountyRecords: 1990-000908")</x:f>
      </x:c>
      <x:c r="L1707" s="552" t="n">
        <x:v>2</x:v>
      </x:c>
      <x:c r="M1707" s="552" t="inlineStr">
        <x:is>
          <x:t xml:space="preserve">Mineral</x:t>
        </x:is>
      </x:c>
      <x:c r="N1707" s="555" t="n">
        <x:f>3.33333/791.47</x:f>
        <x:v>0.004211568347505275</x:v>
      </x:c>
      <x:c r="O1707" s="556" t="n">
        <x:f>IF($L1707="","",IF(ISNUMBER(SEARCH("all",$L1707)),640,(ISNUMBER(SEARCH("1",$L1707)))*80+(ISNUMBER(SEARCH("2",$L1707)))*160+(ISNUMBER(SEARCH("3",$L1707)))*40+(ISNUMBER(SEARCH("4",$L1707)))*80+(ISNUMBER(SEARCH("5",$L1707)))*120+(ISNUMBER(SEARCH("6",$L1707)))*80+(ISNUMBER(SEARCH("7",$L1707)))*40+(ISNUMBER(SEARCH("8",$L1707)))*40))</x:f>
        <x:v>0</x:v>
      </x:c>
      <x:c r="P1707" s="654" t="n">
        <x:f>IF($M1707&lt;&gt;"Mineral","",IF(ISNUMBER($N1707),$N1707,IF(OR(ISNUMBER(SEARCH("surface",$J1707)),ISNUMBER(SEARCH("reserv",$J1707)),ISNUMBER(SEARCH("less and except",$J1707))),0,"")))</x:f>
        <x:v>0.004211568347505275</x:v>
      </x:c>
      <x:c r="Q1707" s="654" t="n">
        <x:f>IF($P1707="","",-$P1707)</x:f>
        <x:v>-0.004211568347505275</x:v>
      </x:c>
      <x:c r="R1707" s="655" t="n">
        <x:f>IF($P1707="","",$O1707*$P1707)</x:f>
        <x:v>0</x:v>
      </x:c>
      <x:c r="S1707" s="552" t="str">
        <x:f>IF($M1707="","",TRIM(IF($M1707="Mineral",IF(ISNUMBER($N1707),"Mineral; basis Conv Amt(dec). ",IF($P1707=0,"Mineral; surface-only/reserved-&gt;0 min. ","Mineral; NO AMOUNT-verify instrument. ")),$M1707&amp;" (non-mineral; excluded from mineral NMA). ")&amp;IF(OR(ISNUMBER(SEARCH("public",$G1707)),ISNUMBER(SEARCH("public",$H1707))),"FLAG: The Public placeholder-verify. ","")&amp;IF(ISNUMBER(SEARCH("all",$L1707)),"All-section coverage. ","")&amp;IF($O1707=0,"Gross acres unresolved. ","")&amp;"Gross=tract-map basis."))</x:f>
        <x:v>Mineral; basis Conv Amt(dec). Gross acres unresolved. Gross=tract-map basis.</x:v>
      </x:c>
      <x:c r="T1707" s="577" t="n"/>
      <x:c r="U1707" s="577" t="n"/>
      <x:c r="V1707" s="565" t="n"/>
      <x:c r="W1707" s="565" t="n"/>
      <x:c r="X1707" s="565" t="n"/>
      <x:c r="Y1707" s="565" t="n"/>
      <x:c r="Z1707" s="565" t="n"/>
    </x:row>
    <x:row r="1708">
      <x:c r="A1708" s="552" t="inlineStr">
        <x:is>
          <x:t xml:space="preserve">1990-000909</x:t>
        </x:is>
      </x:c>
      <x:c r="B1708" s="552" t="n"/>
      <x:c r="C1708" s="552" t="inlineStr">
        <x:is>
          <x:t xml:space="preserve">Trustee's Mineral Deed</x:t>
        </x:is>
      </x:c>
      <x:c r="D1708" s="552" t="inlineStr">
        <x:is>
          <x:t xml:space="preserve">1114/234</x:t>
        </x:is>
      </x:c>
      <x:c r="E1708" s="653" t="n">
        <x:v>32920</x:v>
      </x:c>
      <x:c r="F1708" s="653" t="n">
        <x:v>32920</x:v>
      </x:c>
      <x:c r="G1708" s="552" t="inlineStr">
        <x:is>
          <x:t xml:space="preserve">W. C. Bain Jr., as Trustee under the Trust Agreement executed by Crystal F. Pallo</x:t>
        </x:is>
      </x:c>
      <x:c r="H1708" s="552" t="inlineStr">
        <x:is>
          <x:t xml:space="preserve">Hazel A. Hamilton</x:t>
        </x:is>
      </x:c>
      <x:c r="I1708" s="552" t="inlineStr">
        <x:is>
          <x:t xml:space="preserve">SW/4 NE/4, NW/4 SE/4, S/2 SE/4 of 31-12N-24W, aol</x:t>
        </x:is>
      </x:c>
      <x:c r="J1708" s="552" t="inlineStr">
        <x:is>
          <x:t xml:space="preserve">An undivided 3.33333/791.47 interest in 2 sections</x:t>
        </x:is>
      </x:c>
      <x:c r="K1708" s="554" t="e">
        <x:f>HYPERLINK("https://okcountyrecords.com/detail/roger+mills/1990-000909","OKCountyRecords: 1990-000909")</x:f>
      </x:c>
      <x:c r="L1708" s="552" t="n">
        <x:v>2</x:v>
      </x:c>
      <x:c r="M1708" s="552" t="inlineStr">
        <x:is>
          <x:t xml:space="preserve">Mineral</x:t>
        </x:is>
      </x:c>
      <x:c r="N1708" s="555" t="n">
        <x:f>3.33333/791.47</x:f>
        <x:v>0.004211568347505275</x:v>
      </x:c>
      <x:c r="O1708" s="556" t="n">
        <x:f>IF($L1708="","",IF(ISNUMBER(SEARCH("all",$L1708)),640,(ISNUMBER(SEARCH("1",$L1708)))*80+(ISNUMBER(SEARCH("2",$L1708)))*160+(ISNUMBER(SEARCH("3",$L1708)))*40+(ISNUMBER(SEARCH("4",$L1708)))*80+(ISNUMBER(SEARCH("5",$L1708)))*120+(ISNUMBER(SEARCH("6",$L1708)))*80+(ISNUMBER(SEARCH("7",$L1708)))*40+(ISNUMBER(SEARCH("8",$L1708)))*40))</x:f>
        <x:v>0</x:v>
      </x:c>
      <x:c r="P1708" s="654" t="n">
        <x:f>IF($M1708&lt;&gt;"Mineral","",IF(ISNUMBER($N1708),$N1708,IF(OR(ISNUMBER(SEARCH("surface",$J1708)),ISNUMBER(SEARCH("reserv",$J1708)),ISNUMBER(SEARCH("less and except",$J1708))),0,"")))</x:f>
        <x:v>0.004211568347505275</x:v>
      </x:c>
      <x:c r="Q1708" s="654" t="n">
        <x:f>IF($P1708="","",-$P1708)</x:f>
        <x:v>-0.004211568347505275</x:v>
      </x:c>
      <x:c r="R1708" s="655" t="n">
        <x:f>IF($P1708="","",$O1708*$P1708)</x:f>
        <x:v>0</x:v>
      </x:c>
      <x:c r="S1708" s="552" t="str">
        <x:f>IF($M1708="","",TRIM(IF($M1708="Mineral",IF(ISNUMBER($N1708),"Mineral; basis Conv Amt(dec). ",IF($P1708=0,"Mineral; surface-only/reserved-&gt;0 min. ","Mineral; NO AMOUNT-verify instrument. ")),$M1708&amp;" (non-mineral; excluded from mineral NMA). ")&amp;IF(OR(ISNUMBER(SEARCH("public",$G1708)),ISNUMBER(SEARCH("public",$H1708))),"FLAG: The Public placeholder-verify. ","")&amp;IF(ISNUMBER(SEARCH("all",$L1708)),"All-section coverage. ","")&amp;IF($O1708=0,"Gross acres unresolved. ","")&amp;"Gross=tract-map basis."))</x:f>
        <x:v>Mineral; basis Conv Amt(dec). Gross acres unresolved. Gross=tract-map basis.</x:v>
      </x:c>
      <x:c r="T1708" s="577" t="n"/>
      <x:c r="U1708" s="577" t="n"/>
      <x:c r="V1708" s="565" t="n"/>
      <x:c r="W1708" s="565" t="n"/>
      <x:c r="X1708" s="565" t="n"/>
      <x:c r="Y1708" s="565" t="n"/>
      <x:c r="Z1708" s="565" t="n"/>
    </x:row>
    <x:row r="1709">
      <x:c r="A1709" s="552" t="inlineStr">
        <x:is>
          <x:t xml:space="preserve">1990-000910</x:t>
        </x:is>
      </x:c>
      <x:c r="B1709" s="552" t="n"/>
      <x:c r="C1709" s="552" t="inlineStr">
        <x:is>
          <x:t xml:space="preserve">Trustee's Mineral Deed</x:t>
        </x:is>
      </x:c>
      <x:c r="D1709" s="552" t="inlineStr">
        <x:is>
          <x:t xml:space="preserve">1114/237</x:t>
        </x:is>
      </x:c>
      <x:c r="E1709" s="653" t="n">
        <x:v>32920</x:v>
      </x:c>
      <x:c r="F1709" s="653" t="n">
        <x:v>32920</x:v>
      </x:c>
      <x:c r="G1709" s="552" t="inlineStr">
        <x:is>
          <x:t xml:space="preserve">W. C. Bain Jr., as Trustee under the Trust Agreement executed by Crystal F. Pallo</x:t>
        </x:is>
      </x:c>
      <x:c r="H1709" s="552" t="inlineStr">
        <x:is>
          <x:t xml:space="preserve">Dow C. Bain</x:t>
        </x:is>
      </x:c>
      <x:c r="I1709" s="552" t="inlineStr">
        <x:is>
          <x:t xml:space="preserve">SW/4 NE/4, NW/4 SE/4, S/2 SE/4 of 31-12N-24W, aol</x:t>
        </x:is>
      </x:c>
      <x:c r="J1709" s="552" t="inlineStr">
        <x:is>
          <x:t xml:space="preserve">An undivided 3.33333/791.47 interest in 2 sections</x:t>
        </x:is>
      </x:c>
      <x:c r="K1709" s="554" t="e">
        <x:f>HYPERLINK("https://okcountyrecords.com/detail/roger+mills/1990-000910","OKCountyRecords: 1990-000910")</x:f>
      </x:c>
      <x:c r="L1709" s="552" t="n">
        <x:v>2</x:v>
      </x:c>
      <x:c r="M1709" s="552" t="inlineStr">
        <x:is>
          <x:t xml:space="preserve">Mineral</x:t>
        </x:is>
      </x:c>
      <x:c r="N1709" s="555" t="n">
        <x:f>3.33333/791.47</x:f>
        <x:v>0.004211568347505275</x:v>
      </x:c>
      <x:c r="O1709" s="556" t="n">
        <x:f>IF($L1709="","",IF(ISNUMBER(SEARCH("all",$L1709)),640,(ISNUMBER(SEARCH("1",$L1709)))*80+(ISNUMBER(SEARCH("2",$L1709)))*160+(ISNUMBER(SEARCH("3",$L1709)))*40+(ISNUMBER(SEARCH("4",$L1709)))*80+(ISNUMBER(SEARCH("5",$L1709)))*120+(ISNUMBER(SEARCH("6",$L1709)))*80+(ISNUMBER(SEARCH("7",$L1709)))*40+(ISNUMBER(SEARCH("8",$L1709)))*40))</x:f>
        <x:v>0</x:v>
      </x:c>
      <x:c r="P1709" s="654" t="n">
        <x:f>IF($M1709&lt;&gt;"Mineral","",IF(ISNUMBER($N1709),$N1709,IF(OR(ISNUMBER(SEARCH("surface",$J1709)),ISNUMBER(SEARCH("reserv",$J1709)),ISNUMBER(SEARCH("less and except",$J1709))),0,"")))</x:f>
        <x:v>0.004211568347505275</x:v>
      </x:c>
      <x:c r="Q1709" s="654" t="n">
        <x:f>IF($P1709="","",-$P1709)</x:f>
        <x:v>-0.004211568347505275</x:v>
      </x:c>
      <x:c r="R1709" s="655" t="n">
        <x:f>IF($P1709="","",$O1709*$P1709)</x:f>
        <x:v>0</x:v>
      </x:c>
      <x:c r="S1709" s="552" t="str">
        <x:f>IF($M1709="","",TRIM(IF($M1709="Mineral",IF(ISNUMBER($N1709),"Mineral; basis Conv Amt(dec). ",IF($P1709=0,"Mineral; surface-only/reserved-&gt;0 min. ","Mineral; NO AMOUNT-verify instrument. ")),$M1709&amp;" (non-mineral; excluded from mineral NMA). ")&amp;IF(OR(ISNUMBER(SEARCH("public",$G1709)),ISNUMBER(SEARCH("public",$H1709))),"FLAG: The Public placeholder-verify. ","")&amp;IF(ISNUMBER(SEARCH("all",$L1709)),"All-section coverage. ","")&amp;IF($O1709=0,"Gross acres unresolved. ","")&amp;"Gross=tract-map basis."))</x:f>
        <x:v>Mineral; basis Conv Amt(dec). Gross acres unresolved. Gross=tract-map basis.</x:v>
      </x:c>
      <x:c r="T1709" s="577" t="n"/>
      <x:c r="U1709" s="577" t="n"/>
      <x:c r="V1709" s="565" t="n"/>
      <x:c r="W1709" s="565" t="n"/>
      <x:c r="X1709" s="565" t="n"/>
      <x:c r="Y1709" s="565" t="n"/>
      <x:c r="Z1709" s="565" t="n"/>
    </x:row>
    <x:row r="1710">
      <x:c r="A1710" s="552" t="inlineStr">
        <x:is>
          <x:t xml:space="preserve">1990-000911</x:t>
        </x:is>
      </x:c>
      <x:c r="B1710" s="552" t="n"/>
      <x:c r="C1710" s="552" t="inlineStr">
        <x:is>
          <x:t xml:space="preserve">Trustee's Mineral Deed</x:t>
        </x:is>
      </x:c>
      <x:c r="D1710" s="552" t="inlineStr">
        <x:is>
          <x:t xml:space="preserve">1114/240</x:t>
        </x:is>
      </x:c>
      <x:c r="E1710" s="653" t="n">
        <x:v>32920</x:v>
      </x:c>
      <x:c r="F1710" s="653" t="n">
        <x:v>32920</x:v>
      </x:c>
      <x:c r="G1710" s="552" t="inlineStr">
        <x:is>
          <x:t xml:space="preserve">W. C. Bain Jr., as Trustee under the Trust Agreement executed by Crystal F. Pallo</x:t>
        </x:is>
      </x:c>
      <x:c r="H1710" s="552" t="inlineStr">
        <x:is>
          <x:t xml:space="preserve">Billy W. Bain</x:t>
        </x:is>
      </x:c>
      <x:c r="I1710" s="552" t="inlineStr">
        <x:is>
          <x:t xml:space="preserve">SW/4 NE/4, NW/4 SE/4, S/2 SE/4 of 31-12N-24W, aol</x:t>
        </x:is>
      </x:c>
      <x:c r="J1710" s="552" t="inlineStr">
        <x:is>
          <x:t xml:space="preserve">An undivided 3.33333/791.47 interest in 2 sections</x:t>
        </x:is>
      </x:c>
      <x:c r="K1710" s="554" t="e">
        <x:f>HYPERLINK("https://okcountyrecords.com/detail/roger+mills/1990-000911","OKCountyRecords: 1990-000911")</x:f>
      </x:c>
      <x:c r="L1710" s="552" t="n">
        <x:v>2</x:v>
      </x:c>
      <x:c r="M1710" s="552" t="inlineStr">
        <x:is>
          <x:t xml:space="preserve">Mineral</x:t>
        </x:is>
      </x:c>
      <x:c r="N1710" s="555" t="n">
        <x:f>3.33333/791.47</x:f>
        <x:v>0.004211568347505275</x:v>
      </x:c>
      <x:c r="O1710" s="556" t="n">
        <x:f>IF($L1710="","",IF(ISNUMBER(SEARCH("all",$L1710)),640,(ISNUMBER(SEARCH("1",$L1710)))*80+(ISNUMBER(SEARCH("2",$L1710)))*160+(ISNUMBER(SEARCH("3",$L1710)))*40+(ISNUMBER(SEARCH("4",$L1710)))*80+(ISNUMBER(SEARCH("5",$L1710)))*120+(ISNUMBER(SEARCH("6",$L1710)))*80+(ISNUMBER(SEARCH("7",$L1710)))*40+(ISNUMBER(SEARCH("8",$L1710)))*40))</x:f>
        <x:v>0</x:v>
      </x:c>
      <x:c r="P1710" s="654" t="n">
        <x:f>IF($M1710&lt;&gt;"Mineral","",IF(ISNUMBER($N1710),$N1710,IF(OR(ISNUMBER(SEARCH("surface",$J1710)),ISNUMBER(SEARCH("reserv",$J1710)),ISNUMBER(SEARCH("less and except",$J1710))),0,"")))</x:f>
        <x:v>0.004211568347505275</x:v>
      </x:c>
      <x:c r="Q1710" s="654" t="n">
        <x:f>IF($P1710="","",-$P1710)</x:f>
        <x:v>-0.004211568347505275</x:v>
      </x:c>
      <x:c r="R1710" s="655" t="n">
        <x:f>IF($P1710="","",$O1710*$P1710)</x:f>
        <x:v>0</x:v>
      </x:c>
      <x:c r="S1710" s="552" t="str">
        <x:f>IF($M1710="","",TRIM(IF($M1710="Mineral",IF(ISNUMBER($N1710),"Mineral; basis Conv Amt(dec). ",IF($P1710=0,"Mineral; surface-only/reserved-&gt;0 min. ","Mineral; NO AMOUNT-verify instrument. ")),$M1710&amp;" (non-mineral; excluded from mineral NMA). ")&amp;IF(OR(ISNUMBER(SEARCH("public",$G1710)),ISNUMBER(SEARCH("public",$H1710))),"FLAG: The Public placeholder-verify. ","")&amp;IF(ISNUMBER(SEARCH("all",$L1710)),"All-section coverage. ","")&amp;IF($O1710=0,"Gross acres unresolved. ","")&amp;"Gross=tract-map basis."))</x:f>
        <x:v>Mineral; basis Conv Amt(dec). Gross acres unresolved. Gross=tract-map basis.</x:v>
      </x:c>
      <x:c r="T1710" s="577" t="n"/>
      <x:c r="U1710" s="577" t="n"/>
      <x:c r="V1710" s="565" t="n"/>
      <x:c r="W1710" s="565" t="n"/>
      <x:c r="X1710" s="565" t="n"/>
      <x:c r="Y1710" s="565" t="n"/>
      <x:c r="Z1710" s="565" t="n"/>
    </x:row>
    <x:row r="1711">
      <x:c r="A1711" s="552" t="inlineStr">
        <x:is>
          <x:t xml:space="preserve">1990-000912</x:t>
        </x:is>
      </x:c>
      <x:c r="B1711" s="552" t="n"/>
      <x:c r="C1711" s="552" t="inlineStr">
        <x:is>
          <x:t xml:space="preserve">Trustee's Mineral Deed</x:t>
        </x:is>
      </x:c>
      <x:c r="D1711" s="552" t="inlineStr">
        <x:is>
          <x:t xml:space="preserve">1114/243</x:t>
        </x:is>
      </x:c>
      <x:c r="E1711" s="653" t="n">
        <x:v>32920</x:v>
      </x:c>
      <x:c r="F1711" s="653" t="n">
        <x:v>32920</x:v>
      </x:c>
      <x:c r="G1711" s="552" t="inlineStr">
        <x:is>
          <x:t xml:space="preserve">W. C. Bain Jr., as Trustee under the Trust Agreement executed by Crystal F. Pallo</x:t>
        </x:is>
      </x:c>
      <x:c r="H1711" s="552" t="inlineStr">
        <x:is>
          <x:t xml:space="preserve">Clarence C. Bain</x:t>
        </x:is>
      </x:c>
      <x:c r="I1711" s="552" t="inlineStr">
        <x:is>
          <x:t xml:space="preserve">SW/4 NE/4, NW/4 SE/4, S/2 SE/4 of 31-12N-24W, aol</x:t>
        </x:is>
      </x:c>
      <x:c r="J1711" s="552" t="inlineStr">
        <x:is>
          <x:t xml:space="preserve">An undivided 3.33333/791.47 interest in 2 sections</x:t>
        </x:is>
      </x:c>
      <x:c r="K1711" s="554" t="e">
        <x:f>HYPERLINK("https://okcountyrecords.com/detail/roger+mills/1990-000912","OKCountyRecords: 1990-000912")</x:f>
      </x:c>
      <x:c r="L1711" s="552" t="n">
        <x:v>2</x:v>
      </x:c>
      <x:c r="M1711" s="552" t="inlineStr">
        <x:is>
          <x:t xml:space="preserve">Mineral</x:t>
        </x:is>
      </x:c>
      <x:c r="N1711" s="555" t="n">
        <x:f>3.33333/791.47</x:f>
        <x:v>0.004211568347505275</x:v>
      </x:c>
      <x:c r="O1711" s="556" t="n">
        <x:f>IF($L1711="","",IF(ISNUMBER(SEARCH("all",$L1711)),640,(ISNUMBER(SEARCH("1",$L1711)))*80+(ISNUMBER(SEARCH("2",$L1711)))*160+(ISNUMBER(SEARCH("3",$L1711)))*40+(ISNUMBER(SEARCH("4",$L1711)))*80+(ISNUMBER(SEARCH("5",$L1711)))*120+(ISNUMBER(SEARCH("6",$L1711)))*80+(ISNUMBER(SEARCH("7",$L1711)))*40+(ISNUMBER(SEARCH("8",$L1711)))*40))</x:f>
        <x:v>0</x:v>
      </x:c>
      <x:c r="P1711" s="654" t="n">
        <x:f>IF($M1711&lt;&gt;"Mineral","",IF(ISNUMBER($N1711),$N1711,IF(OR(ISNUMBER(SEARCH("surface",$J1711)),ISNUMBER(SEARCH("reserv",$J1711)),ISNUMBER(SEARCH("less and except",$J1711))),0,"")))</x:f>
        <x:v>0.004211568347505275</x:v>
      </x:c>
      <x:c r="Q1711" s="654" t="n">
        <x:f>IF($P1711="","",-$P1711)</x:f>
        <x:v>-0.004211568347505275</x:v>
      </x:c>
      <x:c r="R1711" s="655" t="n">
        <x:f>IF($P1711="","",$O1711*$P1711)</x:f>
        <x:v>0</x:v>
      </x:c>
      <x:c r="S1711" s="552" t="str">
        <x:f>IF($M1711="","",TRIM(IF($M1711="Mineral",IF(ISNUMBER($N1711),"Mineral; basis Conv Amt(dec). ",IF($P1711=0,"Mineral; surface-only/reserved-&gt;0 min. ","Mineral; NO AMOUNT-verify instrument. ")),$M1711&amp;" (non-mineral; excluded from mineral NMA). ")&amp;IF(OR(ISNUMBER(SEARCH("public",$G1711)),ISNUMBER(SEARCH("public",$H1711))),"FLAG: The Public placeholder-verify. ","")&amp;IF(ISNUMBER(SEARCH("all",$L1711)),"All-section coverage. ","")&amp;IF($O1711=0,"Gross acres unresolved. ","")&amp;"Gross=tract-map basis."))</x:f>
        <x:v>Mineral; basis Conv Amt(dec). Gross acres unresolved. Gross=tract-map basis.</x:v>
      </x:c>
      <x:c r="T1711" s="577" t="n"/>
      <x:c r="U1711" s="577" t="n"/>
      <x:c r="V1711" s="565" t="n"/>
      <x:c r="W1711" s="565" t="n"/>
      <x:c r="X1711" s="565" t="n"/>
      <x:c r="Y1711" s="565" t="n"/>
      <x:c r="Z1711" s="565" t="n"/>
    </x:row>
    <x:row r="1712">
      <x:c r="A1712" s="552" t="inlineStr">
        <x:is>
          <x:t xml:space="preserve">1990-000913</x:t>
        </x:is>
      </x:c>
      <x:c r="B1712" s="552" t="n"/>
      <x:c r="C1712" s="552" t="inlineStr">
        <x:is>
          <x:t xml:space="preserve">Trustee's Mineral Deed</x:t>
        </x:is>
      </x:c>
      <x:c r="D1712" s="552" t="inlineStr">
        <x:is>
          <x:t xml:space="preserve">1114/246</x:t>
        </x:is>
      </x:c>
      <x:c r="E1712" s="653" t="n">
        <x:v>32920</x:v>
      </x:c>
      <x:c r="F1712" s="653" t="n">
        <x:v>32920</x:v>
      </x:c>
      <x:c r="G1712" s="552" t="inlineStr">
        <x:is>
          <x:t xml:space="preserve">W. C. Bain Jr., as Trustee under the Trust Agreement executed by Crystal F. Pallo</x:t>
        </x:is>
      </x:c>
      <x:c r="H1712" s="552" t="inlineStr">
        <x:is>
          <x:t xml:space="preserve">Carl L. Bain</x:t>
        </x:is>
      </x:c>
      <x:c r="I1712" s="552" t="inlineStr">
        <x:is>
          <x:t xml:space="preserve">SW/4 NE/4, NW/4 SE/4, S/2 SE/4 of 31-12N-24W, aol</x:t>
        </x:is>
      </x:c>
      <x:c r="J1712" s="552" t="inlineStr">
        <x:is>
          <x:t xml:space="preserve">An undivided 3.33333/791.47 interest in 2 sections</x:t>
        </x:is>
      </x:c>
      <x:c r="K1712" s="554" t="e">
        <x:f>HYPERLINK("https://okcountyrecords.com/detail/roger+mills/1990-000913","OKCountyRecords: 1990-000913")</x:f>
      </x:c>
      <x:c r="L1712" s="552" t="n">
        <x:v>2</x:v>
      </x:c>
      <x:c r="M1712" s="552" t="inlineStr">
        <x:is>
          <x:t xml:space="preserve">Mineral</x:t>
        </x:is>
      </x:c>
      <x:c r="N1712" s="555" t="n">
        <x:f>3.33333/791.47</x:f>
        <x:v>0.004211568347505275</x:v>
      </x:c>
      <x:c r="O1712" s="556" t="n">
        <x:f>IF($L1712="","",IF(ISNUMBER(SEARCH("all",$L1712)),640,(ISNUMBER(SEARCH("1",$L1712)))*80+(ISNUMBER(SEARCH("2",$L1712)))*160+(ISNUMBER(SEARCH("3",$L1712)))*40+(ISNUMBER(SEARCH("4",$L1712)))*80+(ISNUMBER(SEARCH("5",$L1712)))*120+(ISNUMBER(SEARCH("6",$L1712)))*80+(ISNUMBER(SEARCH("7",$L1712)))*40+(ISNUMBER(SEARCH("8",$L1712)))*40))</x:f>
        <x:v>0</x:v>
      </x:c>
      <x:c r="P1712" s="654" t="n">
        <x:f>IF($M1712&lt;&gt;"Mineral","",IF(ISNUMBER($N1712),$N1712,IF(OR(ISNUMBER(SEARCH("surface",$J1712)),ISNUMBER(SEARCH("reserv",$J1712)),ISNUMBER(SEARCH("less and except",$J1712))),0,"")))</x:f>
        <x:v>0.004211568347505275</x:v>
      </x:c>
      <x:c r="Q1712" s="654" t="n">
        <x:f>IF($P1712="","",-$P1712)</x:f>
        <x:v>-0.004211568347505275</x:v>
      </x:c>
      <x:c r="R1712" s="655" t="n">
        <x:f>IF($P1712="","",$O1712*$P1712)</x:f>
        <x:v>0</x:v>
      </x:c>
      <x:c r="S1712" s="552" t="str">
        <x:f>IF($M1712="","",TRIM(IF($M1712="Mineral",IF(ISNUMBER($N1712),"Mineral; basis Conv Amt(dec). ",IF($P1712=0,"Mineral; surface-only/reserved-&gt;0 min. ","Mineral; NO AMOUNT-verify instrument. ")),$M1712&amp;" (non-mineral; excluded from mineral NMA). ")&amp;IF(OR(ISNUMBER(SEARCH("public",$G1712)),ISNUMBER(SEARCH("public",$H1712))),"FLAG: The Public placeholder-verify. ","")&amp;IF(ISNUMBER(SEARCH("all",$L1712)),"All-section coverage. ","")&amp;IF($O1712=0,"Gross acres unresolved. ","")&amp;"Gross=tract-map basis."))</x:f>
        <x:v>Mineral; basis Conv Amt(dec). Gross acres unresolved. Gross=tract-map basis.</x:v>
      </x:c>
      <x:c r="T1712" s="578" t="n"/>
      <x:c r="U1712" s="578" t="n"/>
      <x:c r="V1712" s="565" t="n"/>
      <x:c r="W1712" s="565" t="n"/>
      <x:c r="X1712" s="565" t="n"/>
      <x:c r="Y1712" s="565" t="n"/>
      <x:c r="Z1712" s="565" t="n"/>
    </x:row>
    <x:row r="1713">
      <x:c r="A1713" s="552" t="inlineStr">
        <x:is>
          <x:t xml:space="preserve">1990-001592</x:t>
        </x:is>
      </x:c>
      <x:c r="B1713" s="552" t="n"/>
      <x:c r="C1713" s="552" t="inlineStr">
        <x:is>
          <x:t xml:space="preserve">Order and Final Decree</x:t>
        </x:is>
      </x:c>
      <x:c r="D1713" s="552" t="inlineStr">
        <x:is>
          <x:t xml:space="preserve">1122/69</x:t>
        </x:is>
      </x:c>
      <x:c r="E1713" s="653" t="n">
        <x:v>32952</x:v>
      </x:c>
      <x:c r="F1713" s="653" t="n">
        <x:v>32952</x:v>
      </x:c>
      <x:c r="G1713" s="552" t="inlineStr">
        <x:is>
          <x:t xml:space="preserve">Beckham County Court,
RE: In the Matter of the Estate of Evan K. Fuchs, Deceased</x:t>
        </x:is>
      </x:c>
      <x:c r="H1713" s="552" t="inlineStr">
        <x:is>
          <x:t xml:space="preserve">Clayton D. Fuchs, 1/4,
Westal W. Fuchs, 1/4,
Chloe Ellen Fuchs Davis, 1/4,
Curtis Fuchs, 1/8,
Rita Wilson, 1/8</x:t>
        </x:is>
      </x:c>
      <x:c r="I1713" s="552" t="inlineStr">
        <x:is>
          <x:t xml:space="preserve">SW/4 NE/4, NW/4 SE/4, S/2 SE/4 of 31-12N-24W, aol</x:t>
        </x:is>
      </x:c>
      <x:c r="J1713" s="552" t="inlineStr">
        <x:is>
          <x:t xml:space="preserve">ARTI</x:t>
        </x:is>
      </x:c>
      <x:c r="K1713" s="554" t="e">
        <x:f>HYPERLINK("https://okcountyrecords.com/detail/roger+mills/1990-001592","OKCountyRecords: 1990-001592")</x:f>
      </x:c>
      <x:c r="L1713" s="552" t="n">
        <x:v>2</x:v>
      </x:c>
      <x:c r="M1713" s="552" t="inlineStr">
        <x:is>
          <x:t xml:space="preserve">Mineral</x:t>
        </x:is>
      </x:c>
      <x:c r="N1713" s="555" t="n">
        <x:v>1</x:v>
      </x:c>
      <x:c r="O1713" s="556" t="n">
        <x:f>IF($L1713="","",IF(ISNUMBER(SEARCH("all",$L1713)),640,(ISNUMBER(SEARCH("1",$L1713)))*80+(ISNUMBER(SEARCH("2",$L1713)))*160+(ISNUMBER(SEARCH("3",$L1713)))*40+(ISNUMBER(SEARCH("4",$L1713)))*80+(ISNUMBER(SEARCH("5",$L1713)))*120+(ISNUMBER(SEARCH("6",$L1713)))*80+(ISNUMBER(SEARCH("7",$L1713)))*40+(ISNUMBER(SEARCH("8",$L1713)))*40))</x:f>
        <x:v>0</x:v>
      </x:c>
      <x:c r="P1713" s="654" t="n">
        <x:f>IF($M1713&lt;&gt;"Mineral","",IF(ISNUMBER($N1713),$N1713,IF(OR(ISNUMBER(SEARCH("surface",$J1713)),ISNUMBER(SEARCH("reserv",$J1713)),ISNUMBER(SEARCH("less and except",$J1713))),0,"")))</x:f>
        <x:v>1</x:v>
      </x:c>
      <x:c r="Q1713" s="654" t="n">
        <x:f>IF($P1713="","",-$P1713)</x:f>
        <x:v>-1</x:v>
      </x:c>
      <x:c r="R1713" s="655" t="n">
        <x:f>IF($P1713="","",$O1713*$P1713)</x:f>
        <x:v>0</x:v>
      </x:c>
      <x:c r="S1713" s="552" t="str">
        <x:f>IF($M1713="","",TRIM(IF($M1713="Mineral",IF(ISNUMBER($N1713),"Mineral; basis Conv Amt(dec). ",IF($P1713=0,"Mineral; surface-only/reserved-&gt;0 min. ","Mineral; NO AMOUNT-verify instrument. ")),$M1713&amp;" (non-mineral; excluded from mineral NMA). ")&amp;IF(OR(ISNUMBER(SEARCH("public",$G1713)),ISNUMBER(SEARCH("public",$H1713))),"FLAG: The Public placeholder-verify. ","")&amp;IF(ISNUMBER(SEARCH("all",$L1713)),"All-section coverage. ","")&amp;IF($O1713=0,"Gross acres unresolved. ","")&amp;"Gross=tract-map basis."))</x:f>
        <x:v>Mineral; basis Conv Amt(dec). Gross acres unresolved. Gross=tract-map basis.</x:v>
      </x:c>
      <x:c r="T1713" s="578" t="n"/>
      <x:c r="U1713" s="578" t="n"/>
      <x:c r="V1713" s="565" t="n"/>
      <x:c r="W1713" s="565" t="n"/>
      <x:c r="X1713" s="565" t="n"/>
      <x:c r="Y1713" s="565" t="n"/>
      <x:c r="Z1713" s="565" t="n"/>
    </x:row>
    <x:row r="1714">
      <x:c r="A1714" s="552" t="inlineStr">
        <x:is>
          <x:t xml:space="preserve">1990-001689</x:t>
        </x:is>
      </x:c>
      <x:c r="B1714" s="552" t="n"/>
      <x:c r="C1714" s="552" t="inlineStr">
        <x:is>
          <x:t xml:space="preserve">Mineral Deed</x:t>
        </x:is>
      </x:c>
      <x:c r="D1714" s="552" t="inlineStr">
        <x:is>
          <x:t xml:space="preserve">1122/274</x:t>
        </x:is>
      </x:c>
      <x:c r="E1714" s="653" t="n">
        <x:v>32957</x:v>
      </x:c>
      <x:c r="F1714" s="653" t="n">
        <x:v>32957</x:v>
      </x:c>
      <x:c r="G1714" s="552" t="inlineStr">
        <x:is>
          <x:t xml:space="preserve">Ernest Jensen and Wilda Jensen, HW</x:t>
        </x:is>
      </x:c>
      <x:c r="H1714" s="552" t="inlineStr">
        <x:is>
          <x:t xml:space="preserve">Tim E. Jensen</x:t>
        </x:is>
      </x:c>
      <x:c r="I1714" s="552" t="inlineStr">
        <x:is>
          <x:t xml:space="preserve">SW/4 NE/4, NW/4 SE/4, S/2 SE/4 of 31-12N-24W, aol</x:t>
        </x:is>
      </x:c>
      <x:c r="J1714" s="552" t="inlineStr">
        <x:is>
          <x:t xml:space="preserve">An undivided 2/160th (2 acres) in 31-12N-24W, 10/791.47 interest in 2 sections</x:t>
        </x:is>
      </x:c>
      <x:c r="K1714" s="554" t="e">
        <x:f>HYPERLINK("https://okcountyrecords.com/detail/roger+mills/1990-001689","OKCountyRecords: 1990-001689")</x:f>
      </x:c>
      <x:c r="L1714" s="552" t="n">
        <x:v>2</x:v>
      </x:c>
      <x:c r="M1714" s="552" t="inlineStr">
        <x:is>
          <x:t xml:space="preserve">Mineral</x:t>
        </x:is>
      </x:c>
      <x:c r="N1714" s="555" t="n">
        <x:f>2/160</x:f>
        <x:v>0.0125</x:v>
      </x:c>
      <x:c r="O1714" s="556" t="n">
        <x:f>IF($L1714="","",IF(ISNUMBER(SEARCH("all",$L1714)),640,(ISNUMBER(SEARCH("1",$L1714)))*80+(ISNUMBER(SEARCH("2",$L1714)))*160+(ISNUMBER(SEARCH("3",$L1714)))*40+(ISNUMBER(SEARCH("4",$L1714)))*80+(ISNUMBER(SEARCH("5",$L1714)))*120+(ISNUMBER(SEARCH("6",$L1714)))*80+(ISNUMBER(SEARCH("7",$L1714)))*40+(ISNUMBER(SEARCH("8",$L1714)))*40))</x:f>
        <x:v>0</x:v>
      </x:c>
      <x:c r="P1714" s="654" t="n">
        <x:f>IF($M1714&lt;&gt;"Mineral","",IF(ISNUMBER($N1714),$N1714,IF(OR(ISNUMBER(SEARCH("surface",$J1714)),ISNUMBER(SEARCH("reserv",$J1714)),ISNUMBER(SEARCH("less and except",$J1714))),0,"")))</x:f>
        <x:v>0.0125</x:v>
      </x:c>
      <x:c r="Q1714" s="654" t="n">
        <x:f>IF($P1714="","",-$P1714)</x:f>
        <x:v>-0.0125</x:v>
      </x:c>
      <x:c r="R1714" s="655" t="n">
        <x:f>IF($P1714="","",$O1714*$P1714)</x:f>
        <x:v>0</x:v>
      </x:c>
      <x:c r="S1714" s="552" t="str">
        <x:f>IF($M1714="","",TRIM(IF($M1714="Mineral",IF(ISNUMBER($N1714),"Mineral; basis Conv Amt(dec). ",IF($P1714=0,"Mineral; surface-only/reserved-&gt;0 min. ","Mineral; VERIFY — NEED full instrument image for conveyed amount. ")),$M1714&amp;" (non-mineral; excluded from mineral NMA). ")&amp;IF(OR(ISNUMBER(SEARCH("public",$G1714)),ISNUMBER(SEARCH("public",$H1714))),"FLAG: The Public placeholder; VERIFY — NEED source confirmation. ","")&amp;IF(ISNUMBER(SEARCH("all",$L1714)),"All-section coverage. ","")&amp;IF($O1714=0,"Gross acres unresolved. ","")&amp;"Gross=tract-map basis."))</x:f>
        <x:v>Mineral; basis Conv Amt(dec). Gross acres unresolved. Gross=tract-map basis.</x:v>
      </x:c>
      <x:c r="T1714" s="578" t="n"/>
      <x:c r="U1714" s="578" t="n"/>
      <x:c r="V1714" s="565" t="n"/>
      <x:c r="W1714" s="565" t="n"/>
      <x:c r="X1714" s="565" t="n"/>
      <x:c r="Y1714" s="565" t="n"/>
      <x:c r="Z1714" s="565" t="n"/>
    </x:row>
    <x:row r="1715">
      <x:c r="A1715" s="552" t="inlineStr">
        <x:is>
          <x:t xml:space="preserve">1990-001690</x:t>
        </x:is>
      </x:c>
      <x:c r="B1715" s="552" t="n"/>
      <x:c r="C1715" s="552" t="inlineStr">
        <x:is>
          <x:t xml:space="preserve">Mineral Deed</x:t>
        </x:is>
      </x:c>
      <x:c r="D1715" s="552" t="inlineStr">
        <x:is>
          <x:t xml:space="preserve">1122/277</x:t>
        </x:is>
      </x:c>
      <x:c r="E1715" s="653" t="n">
        <x:v>32957</x:v>
      </x:c>
      <x:c r="F1715" s="653" t="n">
        <x:v>32957</x:v>
      </x:c>
      <x:c r="G1715" s="552" t="inlineStr">
        <x:is>
          <x:t xml:space="preserve">Ernest Jensen and Wilda Jensen, HW</x:t>
        </x:is>
      </x:c>
      <x:c r="H1715" s="552" t="inlineStr">
        <x:is>
          <x:t xml:space="preserve">Hans W. Jensen</x:t>
        </x:is>
      </x:c>
      <x:c r="I1715" s="552" t="inlineStr">
        <x:is>
          <x:t xml:space="preserve">SW/4 NE/4, NW/4 SE/4, S/2 SE/4 of 31-12N-24W, aol</x:t>
        </x:is>
      </x:c>
      <x:c r="J1715" s="552" t="inlineStr">
        <x:is>
          <x:t xml:space="preserve">An undivided 2/160th (2 acres) in 31-12N-24W, 10/791.47 interest in 2 sections</x:t>
        </x:is>
      </x:c>
      <x:c r="K1715" s="554" t="e">
        <x:f>HYPERLINK("https://okcountyrecords.com/detail/roger+mills/1990-001690","OKCountyRecords: 1990-001690")</x:f>
      </x:c>
      <x:c r="L1715" s="552" t="n">
        <x:v>2</x:v>
      </x:c>
      <x:c r="M1715" s="552" t="inlineStr">
        <x:is>
          <x:t xml:space="preserve">Mineral</x:t>
        </x:is>
      </x:c>
      <x:c r="N1715" s="555" t="n">
        <x:f>2/160</x:f>
        <x:v>0.0125</x:v>
      </x:c>
      <x:c r="O1715" s="556" t="n">
        <x:f>IF($L1715="","",IF(ISNUMBER(SEARCH("all",$L1715)),640,(ISNUMBER(SEARCH("1",$L1715)))*80+(ISNUMBER(SEARCH("2",$L1715)))*160+(ISNUMBER(SEARCH("3",$L1715)))*40+(ISNUMBER(SEARCH("4",$L1715)))*80+(ISNUMBER(SEARCH("5",$L1715)))*120+(ISNUMBER(SEARCH("6",$L1715)))*80+(ISNUMBER(SEARCH("7",$L1715)))*40+(ISNUMBER(SEARCH("8",$L1715)))*40))</x:f>
        <x:v>0</x:v>
      </x:c>
      <x:c r="P1715" s="654" t="n">
        <x:f>IF($M1715&lt;&gt;"Mineral","",IF(ISNUMBER($N1715),$N1715,IF(OR(ISNUMBER(SEARCH("surface",$J1715)),ISNUMBER(SEARCH("reserv",$J1715)),ISNUMBER(SEARCH("less and except",$J1715))),0,"")))</x:f>
        <x:v>0.0125</x:v>
      </x:c>
      <x:c r="Q1715" s="654" t="n">
        <x:f>IF($P1715="","",-$P1715)</x:f>
        <x:v>-0.0125</x:v>
      </x:c>
      <x:c r="R1715" s="655" t="n">
        <x:f>IF($P1715="","",$O1715*$P1715)</x:f>
        <x:v>0</x:v>
      </x:c>
      <x:c r="S1715" s="552" t="str">
        <x:f>IF($M1715="","",TRIM(IF($M1715="Mineral",IF(ISNUMBER($N1715),"Mineral; basis Conv Amt(dec). ",IF($P1715=0,"Mineral; surface-only/reserved-&gt;0 min. ","Mineral; VERIFY — NEED full instrument image for conveyed amount. ")),$M1715&amp;" (non-mineral; excluded from mineral NMA). ")&amp;IF(OR(ISNUMBER(SEARCH("public",$G1715)),ISNUMBER(SEARCH("public",$H1715))),"FLAG: The Public placeholder; VERIFY — NEED source confirmation. ","")&amp;IF(ISNUMBER(SEARCH("all",$L1715)),"All-section coverage. ","")&amp;IF($O1715=0,"Gross acres unresolved. ","")&amp;"Gross=tract-map basis."))</x:f>
        <x:v>Mineral; basis Conv Amt(dec). Gross acres unresolved. Gross=tract-map basis.</x:v>
      </x:c>
      <x:c r="T1715" s="578" t="n"/>
      <x:c r="U1715" s="578" t="n"/>
      <x:c r="V1715" s="565" t="n"/>
      <x:c r="W1715" s="565" t="n"/>
      <x:c r="X1715" s="565" t="n"/>
      <x:c r="Y1715" s="565" t="n"/>
      <x:c r="Z1715" s="565" t="n"/>
    </x:row>
    <x:row r="1716">
      <x:c r="A1716" s="552" t="inlineStr">
        <x:is>
          <x:t xml:space="preserve">1990-001750</x:t>
        </x:is>
      </x:c>
      <x:c r="B1716" s="552" t="n"/>
      <x:c r="C1716" s="552" t="inlineStr">
        <x:is>
          <x:t xml:space="preserve">Mineral Deed</x:t>
        </x:is>
      </x:c>
      <x:c r="D1716" s="552" t="inlineStr">
        <x:is>
          <x:t xml:space="preserve">1123/100</x:t>
        </x:is>
      </x:c>
      <x:c r="E1716" s="653" t="n">
        <x:v>32960</x:v>
      </x:c>
      <x:c r="F1716" s="653" t="n">
        <x:v>32960</x:v>
      </x:c>
      <x:c r="G1716" s="552" t="inlineStr">
        <x:is>
          <x:t xml:space="preserve">Hazel Hamilton</x:t>
        </x:is>
      </x:c>
      <x:c r="H1716" s="552" t="inlineStr">
        <x:is>
          <x:t xml:space="preserve">Hazel Trust Hamilton</x:t>
        </x:is>
      </x:c>
      <x:c r="I1716" s="552" t="inlineStr">
        <x:is>
          <x:t xml:space="preserve">SW/4 NE/4, NW/4 SE/4, S/2 SE/4 of 31-12N-24W, aol</x:t>
        </x:is>
      </x:c>
      <x:c r="J1716" s="552" t="inlineStr">
        <x:is>
          <x:t xml:space="preserve">ARTI</x:t>
        </x:is>
      </x:c>
      <x:c r="K1716" s="554" t="e">
        <x:f>HYPERLINK("https://okcountyrecords.com/detail/roger+mills/1990-001750","OKCountyRecords: 1990-001750")</x:f>
      </x:c>
      <x:c r="L1716" s="552" t="n">
        <x:v>2</x:v>
      </x:c>
      <x:c r="M1716" s="552" t="inlineStr">
        <x:is>
          <x:t xml:space="preserve">Mineral</x:t>
        </x:is>
      </x:c>
      <x:c r="N1716" s="555" t="n">
        <x:v>1</x:v>
      </x:c>
      <x:c r="O1716" s="556" t="n">
        <x:f>IF($L1716="","",IF(ISNUMBER(SEARCH("all",$L1716)),640,(ISNUMBER(SEARCH("1",$L1716)))*80+(ISNUMBER(SEARCH("2",$L1716)))*160+(ISNUMBER(SEARCH("3",$L1716)))*40+(ISNUMBER(SEARCH("4",$L1716)))*80+(ISNUMBER(SEARCH("5",$L1716)))*120+(ISNUMBER(SEARCH("6",$L1716)))*80+(ISNUMBER(SEARCH("7",$L1716)))*40+(ISNUMBER(SEARCH("8",$L1716)))*40))</x:f>
        <x:v>0</x:v>
      </x:c>
      <x:c r="P1716" s="654" t="n">
        <x:f>IF($M1716&lt;&gt;"Mineral","",IF(ISNUMBER($N1716),$N1716,IF(OR(ISNUMBER(SEARCH("surface",$J1716)),ISNUMBER(SEARCH("reserv",$J1716)),ISNUMBER(SEARCH("less and except",$J1716))),0,"")))</x:f>
        <x:v>1</x:v>
      </x:c>
      <x:c r="Q1716" s="654" t="n">
        <x:f>IF($P1716="","",-$P1716)</x:f>
        <x:v>-1</x:v>
      </x:c>
      <x:c r="R1716" s="655" t="n">
        <x:f>IF($P1716="","",$O1716*$P1716)</x:f>
        <x:v>0</x:v>
      </x:c>
      <x:c r="S1716" s="552" t="str">
        <x:f>IF($M1716="","",TRIM(IF($M1716="Mineral",IF(ISNUMBER($N1716),"Mineral; basis Conv Amt(dec). ",IF($P1716=0,"Mineral; surface-only/reserved-&gt;0 min. ","Mineral; NO AMOUNT-verify instrument. ")),$M1716&amp;" (non-mineral; excluded from mineral NMA). ")&amp;IF(OR(ISNUMBER(SEARCH("public",$G1716)),ISNUMBER(SEARCH("public",$H1716))),"FLAG: The Public placeholder-verify. ","")&amp;IF(ISNUMBER(SEARCH("all",$L1716)),"All-section coverage. ","")&amp;IF($O1716=0,"Gross acres unresolved. ","")&amp;"Gross=tract-map basis."))</x:f>
        <x:v>Mineral; basis Conv Amt(dec). Gross acres unresolved. Gross=tract-map basis.</x:v>
      </x:c>
      <x:c r="T1716" s="578" t="n"/>
      <x:c r="U1716" s="578" t="n"/>
      <x:c r="V1716" s="565" t="n"/>
      <x:c r="W1716" s="565" t="n"/>
      <x:c r="X1716" s="565" t="n"/>
      <x:c r="Y1716" s="565" t="n"/>
      <x:c r="Z1716" s="565" t="n"/>
    </x:row>
    <x:row r="1717">
      <x:c r="A1717" s="552" t="inlineStr">
        <x:is>
          <x:t xml:space="preserve">1990-001992</x:t>
        </x:is>
      </x:c>
      <x:c r="B1717" s="552" t="n"/>
      <x:c r="C1717" s="552" t="inlineStr">
        <x:is>
          <x:t xml:space="preserve">Consent to Sell</x:t>
        </x:is>
      </x:c>
      <x:c r="D1717" s="552" t="inlineStr">
        <x:is>
          <x:t xml:space="preserve">1126/229</x:t>
        </x:is>
      </x:c>
      <x:c r="E1717" s="653" t="n">
        <x:v>32969</x:v>
      </x:c>
      <x:c r="F1717" s="653" t="n">
        <x:v>32969</x:v>
      </x:c>
      <x:c r="G1717" s="552" t="inlineStr">
        <x:is>
          <x:t xml:space="preserve">Beckham County Court,
RE: In the Matter of the Estate of Margaret Gray, Deceased</x:t>
        </x:is>
      </x:c>
      <x:c r="H1717" s="552" t="inlineStr">
        <x:is>
          <x:t xml:space="preserve">Fred A. Standiford, Jr.</x:t>
        </x:is>
      </x:c>
      <x:c r="I1717" s="552" t="inlineStr">
        <x:is>
          <x:t xml:space="preserve">SE/4 SW/4 of 31-12N-24W, aol</x:t>
        </x:is>
      </x:c>
      <x:c r="J1717" s="552" t="inlineStr">
        <x:is>
          <x:t xml:space="preserve">An undivided 7/48ths interest
(5.8333 min. ac.)</x:t>
        </x:is>
      </x:c>
      <x:c r="K1717" s="554" t="e">
        <x:f>HYPERLINK("https://okcountyrecords.com/detail/roger+mills/1990-001992","OKCountyRecords: 1990-001992")</x:f>
      </x:c>
      <x:c r="L1717" s="552" t="n">
        <x:v>5</x:v>
      </x:c>
      <x:c r="M1717" s="552" t="inlineStr">
        <x:is>
          <x:t xml:space="preserve">Mineral</x:t>
        </x:is>
      </x:c>
      <x:c r="N1717" s="555" t="n"/>
      <x:c r="O1717" s="556" t="n">
        <x:f>IF($L1717="","",IF(ISNUMBER(SEARCH("all",$L1717)),640,(ISNUMBER(SEARCH("1",$L1717)))*80+(ISNUMBER(SEARCH("2",$L1717)))*160+(ISNUMBER(SEARCH("3",$L1717)))*40+(ISNUMBER(SEARCH("4",$L1717)))*80+(ISNUMBER(SEARCH("5",$L1717)))*120+(ISNUMBER(SEARCH("6",$L1717)))*80+(ISNUMBER(SEARCH("7",$L1717)))*40+(ISNUMBER(SEARCH("8",$L1717)))*40))</x:f>
        <x:v>0</x:v>
      </x:c>
      <x:c r="P1717" s="654" t="str">
        <x:f>IF($M1717&lt;&gt;"Mineral","",IF(ISNUMBER($N1717),$N1717,IF(OR(ISNUMBER(SEARCH("surface",$J1717)),ISNUMBER(SEARCH("reserv",$J1717)),ISNUMBER(SEARCH("less and except",$J1717))),0,"")))</x:f>
      </x:c>
      <x:c r="Q1717" s="654" t="str">
        <x:f>IF($P1717="","",-$P1717)</x:f>
      </x:c>
      <x:c r="R1717" s="655" t="str">
        <x:f>IF($P1717="","",$O1717*$P1717)</x:f>
      </x:c>
      <x:c r="S1717" s="552" t="str">
        <x:f>IF($M1717="","",TRIM(IF($M1717="Mineral",IF(ISNUMBER($N1717),"Mineral; basis Conv Amt(dec). ",IF($P1717=0,"Mineral; surface-only/reserved-&gt;0 min. ","Mineral; NO AMOUNT-verify instrument. ")),$M1717&amp;" (non-mineral; excluded from mineral NMA). ")&amp;IF(OR(ISNUMBER(SEARCH("public",$G1717)),ISNUMBER(SEARCH("public",$H1717))),"FLAG: The Public placeholder-verify. ","")&amp;IF(ISNUMBER(SEARCH("all",$L1717)),"All-section coverage. ","")&amp;IF($O1717=0,"Gross acres unresolved. ","")&amp;"Gross=tract-map basis."))</x:f>
        <x:v>Mineral; surface-only/reserved-&gt;0 min. Gross acres unresolved. Gross=tract-map basis.</x:v>
      </x:c>
      <x:c r="T1717" s="578" t="n"/>
      <x:c r="U1717" s="578" t="n"/>
      <x:c r="V1717" s="565" t="n"/>
      <x:c r="W1717" s="565" t="n"/>
      <x:c r="X1717" s="565" t="n"/>
      <x:c r="Y1717" s="565" t="n"/>
      <x:c r="Z1717" s="565" t="n"/>
    </x:row>
    <x:row r="1718">
      <x:c r="A1718" s="552" t="inlineStr">
        <x:is>
          <x:t xml:space="preserve">1990-001987</x:t>
        </x:is>
      </x:c>
      <x:c r="B1718" s="552" t="n"/>
      <x:c r="C1718" s="552" t="inlineStr">
        <x:is>
          <x:t xml:space="preserve">Final Account</x:t>
        </x:is>
      </x:c>
      <x:c r="D1718" s="552" t="inlineStr">
        <x:is>
          <x:t xml:space="preserve">1126/210</x:t>
        </x:is>
      </x:c>
      <x:c r="E1718" s="653" t="n">
        <x:v>32969</x:v>
      </x:c>
      <x:c r="F1718" s="653" t="n">
        <x:v>32969</x:v>
      </x:c>
      <x:c r="G1718" s="552" t="inlineStr">
        <x:is>
          <x:t xml:space="preserve">Beckham County Court,
RE: In the Matter of the Estate of Margaret Gray, Deceased</x:t>
        </x:is>
      </x:c>
      <x:c r="H1718" s="552" t="inlineStr">
        <x:is>
          <x:t xml:space="preserve">Murrell A. Gray, 1/2,
Fred A. Standiford, Jr., 1/2</x:t>
        </x:is>
      </x:c>
      <x:c r="I1718" s="552" t="inlineStr">
        <x:is>
          <x:t xml:space="preserve">SE/4 SW/4 of 31-12N-24W, aol</x:t>
        </x:is>
      </x:c>
      <x:c r="J1718" s="552" t="inlineStr">
        <x:is>
          <x:t xml:space="preserve">An undivided 7/48ths interest
(5.8333 min. ac.)</x:t>
        </x:is>
      </x:c>
      <x:c r="K1718" s="554" t="e">
        <x:f>HYPERLINK("https://okcountyrecords.com/detail/roger+mills/1990-001987","OKCountyRecords: 1990-001987")</x:f>
      </x:c>
      <x:c r="L1718" s="552" t="n">
        <x:v>5</x:v>
      </x:c>
      <x:c r="M1718" s="552" t="inlineStr">
        <x:is>
          <x:t xml:space="preserve">Mineral</x:t>
        </x:is>
      </x:c>
      <x:c r="N1718" s="555" t="n"/>
      <x:c r="O1718" s="556" t="n">
        <x:f>IF($L1718="","",IF(ISNUMBER(SEARCH("all",$L1718)),640,(ISNUMBER(SEARCH("1",$L1718)))*80+(ISNUMBER(SEARCH("2",$L1718)))*160+(ISNUMBER(SEARCH("3",$L1718)))*40+(ISNUMBER(SEARCH("4",$L1718)))*80+(ISNUMBER(SEARCH("5",$L1718)))*120+(ISNUMBER(SEARCH("6",$L1718)))*80+(ISNUMBER(SEARCH("7",$L1718)))*40+(ISNUMBER(SEARCH("8",$L1718)))*40))</x:f>
        <x:v>0</x:v>
      </x:c>
      <x:c r="P1718" s="654" t="str">
        <x:f>IF($M1718&lt;&gt;"Mineral","",IF(ISNUMBER($N1718),$N1718,IF(OR(ISNUMBER(SEARCH("surface",$J1718)),ISNUMBER(SEARCH("reserv",$J1718)),ISNUMBER(SEARCH("less and except",$J1718))),0,"")))</x:f>
      </x:c>
      <x:c r="Q1718" s="654" t="str">
        <x:f>IF($P1718="","",-$P1718)</x:f>
      </x:c>
      <x:c r="R1718" s="655" t="str">
        <x:f>IF($P1718="","",$O1718*$P1718)</x:f>
      </x:c>
      <x:c r="S1718" s="552" t="str">
        <x:f>IF($M1718="","",TRIM(IF($M1718="Mineral",IF(ISNUMBER($N1718),"Mineral; basis Conv Amt(dec). ",IF($P1718=0,"Mineral; surface-only/reserved-&gt;0 min. ","Mineral; NO AMOUNT-verify instrument. ")),$M1718&amp;" (non-mineral; excluded from mineral NMA). ")&amp;IF(OR(ISNUMBER(SEARCH("public",$G1718)),ISNUMBER(SEARCH("public",$H1718))),"FLAG: The Public placeholder-verify. ","")&amp;IF(ISNUMBER(SEARCH("all",$L1718)),"All-section coverage. ","")&amp;IF($O1718=0,"Gross acres unresolved. ","")&amp;"Gross=tract-map basis."))</x:f>
        <x:v>Mineral; surface-only/reserved-&gt;0 min. Gross acres unresolved. Gross=tract-map basis.</x:v>
      </x:c>
      <x:c r="T1718" s="578" t="n"/>
      <x:c r="U1718" s="578" t="n"/>
      <x:c r="V1718" s="565" t="n"/>
      <x:c r="W1718" s="565" t="n"/>
      <x:c r="X1718" s="565" t="n"/>
      <x:c r="Y1718" s="565" t="n"/>
      <x:c r="Z1718" s="565" t="n"/>
    </x:row>
    <x:row r="1719">
      <x:c r="A1719" s="552" t="inlineStr">
        <x:is>
          <x:t xml:space="preserve">1990-001996</x:t>
        </x:is>
      </x:c>
      <x:c r="B1719" s="552" t="n"/>
      <x:c r="C1719" s="552" t="inlineStr">
        <x:is>
          <x:t xml:space="preserve">Final Decree</x:t>
        </x:is>
      </x:c>
      <x:c r="D1719" s="552" t="inlineStr">
        <x:is>
          <x:t xml:space="preserve">1126/234</x:t>
        </x:is>
      </x:c>
      <x:c r="E1719" s="653" t="n">
        <x:v>32969</x:v>
      </x:c>
      <x:c r="F1719" s="653" t="n">
        <x:v>32969</x:v>
      </x:c>
      <x:c r="G1719" s="552" t="inlineStr">
        <x:is>
          <x:t xml:space="preserve">Beckham County Court,
RE: In the Matter of the Estate of Margaret Gray, Deceased</x:t>
        </x:is>
      </x:c>
      <x:c r="H1719" s="552" t="inlineStr">
        <x:is>
          <x:t xml:space="preserve">Murrell A. Gray, 1/3,
Fred A. Standiford, Jr., 1/3,
Alfred W. Standiford, 1/3</x:t>
        </x:is>
      </x:c>
      <x:c r="I1719" s="552" t="inlineStr">
        <x:is>
          <x:t xml:space="preserve">SE/4 SW/4 of 31-12N-24W, aol</x:t>
        </x:is>
      </x:c>
      <x:c r="J1719" s="552" t="inlineStr">
        <x:is>
          <x:t xml:space="preserve">An undivided 7/48ths interest
(5.8333 min. ac.)</x:t>
        </x:is>
      </x:c>
      <x:c r="K1719" s="554" t="e">
        <x:f>HYPERLINK("https://okcountyrecords.com/detail/roger+mills/1990-001996","OKCountyRecords: 1990-001996")</x:f>
      </x:c>
      <x:c r="L1719" s="552" t="n">
        <x:v>5</x:v>
      </x:c>
      <x:c r="M1719" s="552" t="inlineStr">
        <x:is>
          <x:t xml:space="preserve">Mineral</x:t>
        </x:is>
      </x:c>
      <x:c r="N1719" s="555" t="n">
        <x:f>7/48</x:f>
        <x:v>0.14583333333333334</x:v>
      </x:c>
      <x:c r="O1719" s="556" t="n">
        <x:f>IF($L1719="","",IF(ISNUMBER(SEARCH("all",$L1719)),640,(ISNUMBER(SEARCH("1",$L1719)))*80+(ISNUMBER(SEARCH("2",$L1719)))*160+(ISNUMBER(SEARCH("3",$L1719)))*40+(ISNUMBER(SEARCH("4",$L1719)))*80+(ISNUMBER(SEARCH("5",$L1719)))*120+(ISNUMBER(SEARCH("6",$L1719)))*80+(ISNUMBER(SEARCH("7",$L1719)))*40+(ISNUMBER(SEARCH("8",$L1719)))*40))</x:f>
        <x:v>0</x:v>
      </x:c>
      <x:c r="P1719" s="654" t="n">
        <x:f>IF($M1719&lt;&gt;"Mineral","",IF(ISNUMBER($N1719),$N1719,IF(OR(ISNUMBER(SEARCH("surface",$J1719)),ISNUMBER(SEARCH("reserv",$J1719)),ISNUMBER(SEARCH("less and except",$J1719))),0,"")))</x:f>
        <x:v>0.14583333333333334</x:v>
      </x:c>
      <x:c r="Q1719" s="654" t="n">
        <x:f>IF($P1719="","",-$P1719)</x:f>
        <x:v>-0.14583333333333334</x:v>
      </x:c>
      <x:c r="R1719" s="655" t="n">
        <x:f>IF($P1719="","",$O1719*$P1719)</x:f>
        <x:v>0</x:v>
      </x:c>
      <x:c r="S1719" s="552" t="str">
        <x:f>IF($M1719="","",TRIM(IF($M1719="Mineral",IF(ISNUMBER($N1719),"Mineral; basis Conv Amt(dec). ",IF($P1719=0,"Mineral; surface-only/reserved-&gt;0 min. ","Mineral; NO AMOUNT-verify instrument. ")),$M1719&amp;" (non-mineral; excluded from mineral NMA). ")&amp;IF(OR(ISNUMBER(SEARCH("public",$G1719)),ISNUMBER(SEARCH("public",$H1719))),"FLAG: The Public placeholder-verify. ","")&amp;IF(ISNUMBER(SEARCH("all",$L1719)),"All-section coverage. ","")&amp;IF($O1719=0,"Gross acres unresolved. ","")&amp;"Gross=tract-map basis."))</x:f>
        <x:v>Mineral; basis Conv Amt(dec). Gross acres unresolved. Gross=tract-map basis.</x:v>
      </x:c>
      <x:c r="T1719" s="578" t="n"/>
      <x:c r="U1719" s="578" t="n"/>
      <x:c r="V1719" s="565" t="n"/>
      <x:c r="W1719" s="565" t="n"/>
      <x:c r="X1719" s="565" t="n"/>
      <x:c r="Y1719" s="565" t="n"/>
      <x:c r="Z1719" s="565" t="n"/>
    </x:row>
    <x:row r="1720">
      <x:c r="A1720" s="552" t="inlineStr">
        <x:is>
          <x:t xml:space="preserve">1990-001986</x:t>
        </x:is>
      </x:c>
      <x:c r="B1720" s="552" t="n"/>
      <x:c r="C1720" s="552" t="inlineStr">
        <x:is>
          <x:t xml:space="preserve">General Inventory and Appraisement</x:t>
        </x:is>
      </x:c>
      <x:c r="D1720" s="552" t="inlineStr">
        <x:is>
          <x:t xml:space="preserve">1126/202</x:t>
        </x:is>
      </x:c>
      <x:c r="E1720" s="653" t="n">
        <x:v>32969</x:v>
      </x:c>
      <x:c r="F1720" s="653" t="n">
        <x:v>32969</x:v>
      </x:c>
      <x:c r="G1720" s="552" t="inlineStr">
        <x:is>
          <x:t xml:space="preserve">Beckham County Court,
RE: In the Matter of the Estate of Margaret Gray, Deceased</x:t>
        </x:is>
      </x:c>
      <x:c r="H1720" s="552" t="inlineStr">
        <x:is>
          <x:t xml:space="preserve">The Public</x:t>
        </x:is>
      </x:c>
      <x:c r="I1720" s="552" t="inlineStr">
        <x:is>
          <x:t xml:space="preserve">SE/4 SW/4 of 31-12N-24W, aol</x:t>
        </x:is>
      </x:c>
      <x:c r="J1720" s="552" t="inlineStr">
        <x:is>
          <x:t xml:space="preserve">An undivided 7/48ths interest
(5.8333 min. ac.)</x:t>
        </x:is>
      </x:c>
      <x:c r="K1720" s="554" t="e">
        <x:f>HYPERLINK("https://okcountyrecords.com/detail/roger+mills/1990-001986","OKCountyRecords: 1990-001986")</x:f>
      </x:c>
      <x:c r="L1720" s="552" t="n">
        <x:v>5</x:v>
      </x:c>
      <x:c r="M1720" s="552" t="inlineStr">
        <x:is>
          <x:t xml:space="preserve">Mineral</x:t>
        </x:is>
      </x:c>
      <x:c r="N1720" s="555" t="n"/>
      <x:c r="O1720" s="556" t="n">
        <x:f>IF($L1720="","",IF(ISNUMBER(SEARCH("all",$L1720)),640,(ISNUMBER(SEARCH("1",$L1720)))*80+(ISNUMBER(SEARCH("2",$L1720)))*160+(ISNUMBER(SEARCH("3",$L1720)))*40+(ISNUMBER(SEARCH("4",$L1720)))*80+(ISNUMBER(SEARCH("5",$L1720)))*120+(ISNUMBER(SEARCH("6",$L1720)))*80+(ISNUMBER(SEARCH("7",$L1720)))*40+(ISNUMBER(SEARCH("8",$L1720)))*40))</x:f>
        <x:v>0</x:v>
      </x:c>
      <x:c r="P1720" s="654" t="str">
        <x:f>IF($M1720&lt;&gt;"Mineral","",IF(ISNUMBER($N1720),$N1720,IF(OR(ISNUMBER(SEARCH("surface",$J1720)),ISNUMBER(SEARCH("reserv",$J1720)),ISNUMBER(SEARCH("less and except",$J1720))),0,"")))</x:f>
      </x:c>
      <x:c r="Q1720" s="654" t="str">
        <x:f>IF($P1720="","",-$P1720)</x:f>
      </x:c>
      <x:c r="R1720" s="655" t="str">
        <x:f>IF($P1720="","",$O1720*$P1720)</x:f>
      </x:c>
      <x:c r="S1720" s="552" t="inlineStr">
        <x:is>
          <x:t xml:space="preserve">Mineral; basis Conv Amt(dec). Gross=tract-map basis.</x:t>
        </x:is>
      </x:c>
      <x:c r="T1720" s="578" t="inlineStr">
        <x:is>
          <x:t xml:space="preserve">OK</x:t>
        </x:is>
      </x:c>
      <x:c r="U1720" s="578" t="inlineStr">
        <x:is>
          <x:t xml:space="preserve">Non-conveying per The Public rule; recorded 7/48 interest noted in Notes (verify if operative deed exists).</x:t>
        </x:is>
      </x:c>
      <x:c r="V1720" s="565" t="n"/>
      <x:c r="W1720" s="565" t="n"/>
      <x:c r="X1720" s="565" t="n"/>
      <x:c r="Y1720" s="565" t="n"/>
      <x:c r="Z1720" s="565" t="n"/>
    </x:row>
    <x:row r="1721">
      <x:c r="A1721" s="552" t="inlineStr">
        <x:is>
          <x:t xml:space="preserve">1990-001993</x:t>
        </x:is>
      </x:c>
      <x:c r="B1721" s="552" t="n"/>
      <x:c r="C1721" s="552" t="inlineStr">
        <x:is>
          <x:t xml:space="preserve">Order Confirming Sale</x:t>
        </x:is>
      </x:c>
      <x:c r="D1721" s="552" t="inlineStr">
        <x:is>
          <x:t xml:space="preserve">1126/231</x:t>
        </x:is>
      </x:c>
      <x:c r="E1721" s="653" t="n">
        <x:v>32969</x:v>
      </x:c>
      <x:c r="F1721" s="653" t="n">
        <x:v>32969</x:v>
      </x:c>
      <x:c r="G1721" s="552" t="inlineStr">
        <x:is>
          <x:t xml:space="preserve">Beckham County Court,
RE: In the Matter of the Estate of Margaret Gray, Deceased</x:t>
        </x:is>
      </x:c>
      <x:c r="H1721" s="552" t="inlineStr">
        <x:is>
          <x:t xml:space="preserve">Fred A. Standiford, Jr.</x:t>
        </x:is>
      </x:c>
      <x:c r="I1721" s="552" t="inlineStr">
        <x:is>
          <x:t xml:space="preserve">SE/4 SW/4 of 31-12N-24W, aol</x:t>
        </x:is>
      </x:c>
      <x:c r="J1721" s="552" t="inlineStr">
        <x:is>
          <x:t xml:space="preserve">An undivided 7/48ths interest
(5.8333 min. ac.)</x:t>
        </x:is>
      </x:c>
      <x:c r="K1721" s="554" t="e">
        <x:f>HYPERLINK("https://okcountyrecords.com/detail/roger+mills/1990-001993","OKCountyRecords: 1990-001993")</x:f>
      </x:c>
      <x:c r="L1721" s="552" t="n">
        <x:v>5</x:v>
      </x:c>
      <x:c r="M1721" s="552" t="inlineStr">
        <x:is>
          <x:t xml:space="preserve">Mineral</x:t>
        </x:is>
      </x:c>
      <x:c r="N1721" s="555" t="n"/>
      <x:c r="O1721" s="556" t="n">
        <x:f>IF($L1721="","",IF(ISNUMBER(SEARCH("all",$L1721)),640,(ISNUMBER(SEARCH("1",$L1721)))*80+(ISNUMBER(SEARCH("2",$L1721)))*160+(ISNUMBER(SEARCH("3",$L1721)))*40+(ISNUMBER(SEARCH("4",$L1721)))*80+(ISNUMBER(SEARCH("5",$L1721)))*120+(ISNUMBER(SEARCH("6",$L1721)))*80+(ISNUMBER(SEARCH("7",$L1721)))*40+(ISNUMBER(SEARCH("8",$L1721)))*40))</x:f>
        <x:v>0</x:v>
      </x:c>
      <x:c r="P1721" s="654" t="str">
        <x:f>IF($M1721&lt;&gt;"Mineral","",IF(ISNUMBER($N1721),$N1721,IF(OR(ISNUMBER(SEARCH("surface",$J1721)),ISNUMBER(SEARCH("reserv",$J1721)),ISNUMBER(SEARCH("less and except",$J1721))),0,"")))</x:f>
      </x:c>
      <x:c r="Q1721" s="654" t="str">
        <x:f>IF($P1721="","",-$P1721)</x:f>
      </x:c>
      <x:c r="R1721" s="655" t="str">
        <x:f>IF($P1721="","",$O1721*$P1721)</x:f>
      </x:c>
      <x:c r="S1721" s="552" t="str">
        <x:f>IF($M1721="","",TRIM(IF($M1721="Mineral",IF(ISNUMBER($N1721),"Mineral; basis Conv Amt(dec). ",IF($P1721=0,"Mineral; surface-only/reserved-&gt;0 min. ","Mineral; NO AMOUNT-verify instrument. ")),$M1721&amp;" (non-mineral; excluded from mineral NMA). ")&amp;IF(OR(ISNUMBER(SEARCH("public",$G1721)),ISNUMBER(SEARCH("public",$H1721))),"FLAG: The Public placeholder-verify. ","")&amp;IF(ISNUMBER(SEARCH("all",$L1721)),"All-section coverage. ","")&amp;IF($O1721=0,"Gross acres unresolved. ","")&amp;"Gross=tract-map basis."))</x:f>
        <x:v>Mineral; surface-only/reserved-&gt;0 min. Gross acres unresolved. Gross=tract-map basis.</x:v>
      </x:c>
      <x:c r="T1721" s="578" t="n"/>
      <x:c r="U1721" s="578" t="n"/>
      <x:c r="V1721" s="565" t="n"/>
      <x:c r="W1721" s="565" t="n"/>
      <x:c r="X1721" s="565" t="n"/>
      <x:c r="Y1721" s="565" t="n"/>
      <x:c r="Z1721" s="565" t="n"/>
    </x:row>
    <x:row r="1722">
      <x:c r="A1722" s="552" t="inlineStr">
        <x:is>
          <x:t xml:space="preserve">1990-001991</x:t>
        </x:is>
      </x:c>
      <x:c r="B1722" s="552" t="n"/>
      <x:c r="C1722" s="552" t="inlineStr">
        <x:is>
          <x:t xml:space="preserve">Return of Sale</x:t>
        </x:is>
      </x:c>
      <x:c r="D1722" s="552" t="inlineStr">
        <x:is>
          <x:t xml:space="preserve">1126/226</x:t>
        </x:is>
      </x:c>
      <x:c r="E1722" s="653" t="n">
        <x:v>32969</x:v>
      </x:c>
      <x:c r="F1722" s="653" t="n">
        <x:v>32969</x:v>
      </x:c>
      <x:c r="G1722" s="552" t="inlineStr">
        <x:is>
          <x:t xml:space="preserve">Beckham County Court,
RE: In the Matter of the Estate of Margaret Gray, Deceased</x:t>
        </x:is>
      </x:c>
      <x:c r="H1722" s="552" t="inlineStr">
        <x:is>
          <x:t xml:space="preserve">Fred A. Standiford, Jr.</x:t>
        </x:is>
      </x:c>
      <x:c r="I1722" s="552" t="inlineStr">
        <x:is>
          <x:t xml:space="preserve">SE/4 SW/4 of 31-12N-24W, aol</x:t>
        </x:is>
      </x:c>
      <x:c r="J1722" s="552" t="inlineStr">
        <x:is>
          <x:t xml:space="preserve">An undivided 7/48ths interest
(5.8333 min. ac.)</x:t>
        </x:is>
      </x:c>
      <x:c r="K1722" s="554" t="e">
        <x:f>HYPERLINK("https://okcountyrecords.com/detail/roger+mills/1990-001991","OKCountyRecords: 1990-001991")</x:f>
      </x:c>
      <x:c r="L1722" s="552" t="n">
        <x:v>5</x:v>
      </x:c>
      <x:c r="M1722" s="552" t="inlineStr">
        <x:is>
          <x:t xml:space="preserve">Mineral</x:t>
        </x:is>
      </x:c>
      <x:c r="N1722" s="555" t="n"/>
      <x:c r="O1722" s="556" t="n">
        <x:f>IF($L1722="","",IF(ISNUMBER(SEARCH("all",$L1722)),640,(ISNUMBER(SEARCH("1",$L1722)))*80+(ISNUMBER(SEARCH("2",$L1722)))*160+(ISNUMBER(SEARCH("3",$L1722)))*40+(ISNUMBER(SEARCH("4",$L1722)))*80+(ISNUMBER(SEARCH("5",$L1722)))*120+(ISNUMBER(SEARCH("6",$L1722)))*80+(ISNUMBER(SEARCH("7",$L1722)))*40+(ISNUMBER(SEARCH("8",$L1722)))*40))</x:f>
        <x:v>0</x:v>
      </x:c>
      <x:c r="P1722" s="654" t="str">
        <x:f>IF($M1722&lt;&gt;"Mineral","",IF(ISNUMBER($N1722),$N1722,IF(OR(ISNUMBER(SEARCH("surface",$J1722)),ISNUMBER(SEARCH("reserv",$J1722)),ISNUMBER(SEARCH("less and except",$J1722))),0,"")))</x:f>
      </x:c>
      <x:c r="Q1722" s="654" t="str">
        <x:f>IF($P1722="","",-$P1722)</x:f>
      </x:c>
      <x:c r="R1722" s="655" t="str">
        <x:f>IF($P1722="","",$O1722*$P1722)</x:f>
      </x:c>
      <x:c r="S1722" s="552" t="str">
        <x:f>IF($M1722="","",TRIM(IF($M1722="Mineral",IF(ISNUMBER($N1722),"Mineral; basis Conv Amt(dec). ",IF($P1722=0,"Mineral; surface-only/reserved-&gt;0 min. ","Mineral; NO AMOUNT-verify instrument. ")),$M1722&amp;" (non-mineral; excluded from mineral NMA). ")&amp;IF(OR(ISNUMBER(SEARCH("public",$G1722)),ISNUMBER(SEARCH("public",$H1722))),"FLAG: The Public placeholder-verify. ","")&amp;IF(ISNUMBER(SEARCH("all",$L1722)),"All-section coverage. ","")&amp;IF($O1722=0,"Gross acres unresolved. ","")&amp;"Gross=tract-map basis."))</x:f>
        <x:v>Mineral; surface-only/reserved-&gt;0 min. Gross acres unresolved. Gross=tract-map basis.</x:v>
      </x:c>
      <x:c r="T1722" s="578" t="n"/>
      <x:c r="U1722" s="578" t="n"/>
      <x:c r="V1722" s="565" t="n"/>
      <x:c r="W1722" s="565" t="n"/>
      <x:c r="X1722" s="565" t="n"/>
      <x:c r="Y1722" s="565" t="n"/>
      <x:c r="Z1722" s="565" t="n"/>
    </x:row>
    <x:row r="1723">
      <x:c r="A1723" s="552" t="inlineStr">
        <x:is>
          <x:t xml:space="preserve">1990-001925</x:t>
        </x:is>
      </x:c>
      <x:c r="B1723" s="552" t="n"/>
      <x:c r="C1723" s="552" t="inlineStr">
        <x:is>
          <x:t xml:space="preserve">Mineral Quit Claim Deed</x:t>
        </x:is>
      </x:c>
      <x:c r="D1723" s="552" t="inlineStr">
        <x:is>
          <x:t xml:space="preserve">1126/98</x:t>
        </x:is>
      </x:c>
      <x:c r="E1723" s="653" t="n">
        <x:v>32969</x:v>
      </x:c>
      <x:c r="F1723" s="653" t="n">
        <x:v>32969</x:v>
      </x:c>
      <x:c r="G1723" s="552" t="inlineStr">
        <x:is>
          <x:t xml:space="preserve">Federal Deposit Insurance Corporation</x:t>
        </x:is>
      </x:c>
      <x:c r="H1723" s="552" t="inlineStr">
        <x:is>
          <x:t xml:space="preserve">First State Bank &amp; Trust Company</x:t>
        </x:is>
      </x:c>
      <x:c r="I1723" s="552" t="inlineStr">
        <x:is>
          <x:t xml:space="preserve">E/2 NW/4, N/2 NE/4 SW/4, SE/4 NE/4, NE/4 SE/4 of 31-12N-24W</x:t>
        </x:is>
      </x:c>
      <x:c r="J1723" s="552" t="inlineStr">
        <x:is>
          <x:t xml:space="preserve">ARTI</x:t>
        </x:is>
      </x:c>
      <x:c r="K1723" s="554" t="e">
        <x:f>HYPERLINK("https://okcountyrecords.com/detail/roger+mills/1990-001925","OKCountyRecords: 1990-001925")</x:f>
      </x:c>
      <x:c r="L1723" s="552" t="inlineStr">
        <x:is>
          <x:t xml:space="preserve">1, 3, 4, 7, 8</x:t>
        </x:is>
      </x:c>
      <x:c r="M1723" s="552" t="inlineStr">
        <x:is>
          <x:t xml:space="preserve">Mineral</x:t>
        </x:is>
      </x:c>
      <x:c r="N1723" s="561" t="n">
        <x:v>1</x:v>
      </x:c>
      <x:c r="O1723" s="556" t="n">
        <x:f>IF($L1723="","",IF(ISNUMBER(SEARCH("all",$L1723)),640,(ISNUMBER(SEARCH("1",$L1723)))*80+(ISNUMBER(SEARCH("2",$L1723)))*160+(ISNUMBER(SEARCH("3",$L1723)))*40+(ISNUMBER(SEARCH("4",$L1723)))*80+(ISNUMBER(SEARCH("5",$L1723)))*120+(ISNUMBER(SEARCH("6",$L1723)))*80+(ISNUMBER(SEARCH("7",$L1723)))*40+(ISNUMBER(SEARCH("8",$L1723)))*40))</x:f>
        <x:v>0</x:v>
      </x:c>
      <x:c r="P1723" s="654" t="n">
        <x:f>IF($M1723&lt;&gt;"Mineral","",IF(ISNUMBER($N1723),$N1723,IF(OR(ISNUMBER(SEARCH("surface",$J1723)),ISNUMBER(SEARCH("reserv",$J1723)),ISNUMBER(SEARCH("less and except",$J1723))),0,"")))</x:f>
        <x:v>1</x:v>
      </x:c>
      <x:c r="Q1723" s="654" t="n">
        <x:f>IF($P1723="","",-$P1723)</x:f>
        <x:v>-1</x:v>
      </x:c>
      <x:c r="R1723" s="655" t="n">
        <x:f>IF($P1723="","",$O1723*$P1723)</x:f>
        <x:v>0</x:v>
      </x:c>
      <x:c r="S1723" s="552" t="str">
        <x:f>IF($M1723="","",TRIM(IF($M1723="Mineral",IF(ISNUMBER($N1723),"Mineral; basis Conv Amt(dec). ",IF($P1723=0,"Mineral; surface-only/reserved-&gt;0 min. ","Mineral; NO AMOUNT-verify instrument. ")),$M1723&amp;" (non-mineral; excluded from mineral NMA). ")&amp;IF(OR(ISNUMBER(SEARCH("public",$G1723)),ISNUMBER(SEARCH("public",$H1723))),"FLAG: The Public placeholder-verify. ","")&amp;IF(ISNUMBER(SEARCH("all",$L1723)),"All-section coverage. ","")&amp;IF($O1723=0,"Gross acres unresolved. ","")&amp;"Gross=tract-map basis."))</x:f>
        <x:v>Mineral; basis Conv Amt(dec). Gross acres unresolved. Gross=tract-map basis.</x:v>
      </x:c>
      <x:c r="T1723" s="578" t="n"/>
      <x:c r="U1723" s="578" t="n"/>
      <x:c r="V1723" s="565" t="n"/>
      <x:c r="W1723" s="565" t="n"/>
      <x:c r="X1723" s="565" t="n"/>
      <x:c r="Y1723" s="565" t="n"/>
      <x:c r="Z1723" s="565" t="n"/>
    </x:row>
    <x:row r="1724">
      <x:c r="A1724" s="552" t="inlineStr">
        <x:is>
          <x:t xml:space="preserve">1990-002146</x:t>
        </x:is>
      </x:c>
      <x:c r="B1724" s="552" t="n"/>
      <x:c r="C1724" s="552" t="inlineStr">
        <x:is>
          <x:t xml:space="preserve">Quit Claim Mineral Deed, Assignment and Conveyance</x:t>
        </x:is>
      </x:c>
      <x:c r="D1724" s="552" t="inlineStr">
        <x:is>
          <x:t xml:space="preserve">1128/39</x:t>
        </x:is>
      </x:c>
      <x:c r="E1724" s="653" t="n">
        <x:v>32975</x:v>
      </x:c>
      <x:c r="F1724" s="653" t="n">
        <x:v>32975</x:v>
      </x:c>
      <x:c r="G1724" s="552" t="inlineStr">
        <x:is>
          <x:t xml:space="preserve">State Bank &amp; Trust Company</x:t>
        </x:is>
      </x:c>
      <x:c r="H1724" s="552" t="inlineStr">
        <x:is>
          <x:t xml:space="preserve">Arrowhead Resources, Inc.</x:t>
        </x:is>
      </x:c>
      <x:c r="I1724" s="552" t="inlineStr">
        <x:is>
          <x:t xml:space="preserve">E/2 NW/4, N/2 NE/4 SW/4, SE/4 NE/4, NE/4 SE/4 of 31-12N-24W</x:t>
        </x:is>
      </x:c>
      <x:c r="J1724" s="552" t="inlineStr">
        <x:is>
          <x:t xml:space="preserve">ARTI</x:t>
        </x:is>
      </x:c>
      <x:c r="K1724" s="554" t="e">
        <x:f>HYPERLINK("https://okcountyrecords.com/detail/roger+mills/1990-002146","OKCountyRecords: 1990-002146")</x:f>
      </x:c>
      <x:c r="L1724" s="552" t="inlineStr">
        <x:is>
          <x:t xml:space="preserve">1, 3, 4, 7, 8</x:t>
        </x:is>
      </x:c>
      <x:c r="M1724" s="552" t="inlineStr">
        <x:is>
          <x:t xml:space="preserve">Mineral</x:t>
        </x:is>
      </x:c>
      <x:c r="N1724" s="561" t="n">
        <x:v>1</x:v>
      </x:c>
      <x:c r="O1724" s="556" t="n">
        <x:f>IF($L1724="","",IF(ISNUMBER(SEARCH("all",$L1724)),640,(ISNUMBER(SEARCH("1",$L1724)))*80+(ISNUMBER(SEARCH("2",$L1724)))*160+(ISNUMBER(SEARCH("3",$L1724)))*40+(ISNUMBER(SEARCH("4",$L1724)))*80+(ISNUMBER(SEARCH("5",$L1724)))*120+(ISNUMBER(SEARCH("6",$L1724)))*80+(ISNUMBER(SEARCH("7",$L1724)))*40+(ISNUMBER(SEARCH("8",$L1724)))*40))</x:f>
        <x:v>0</x:v>
      </x:c>
      <x:c r="P1724" s="654" t="n">
        <x:f>IF($M1724&lt;&gt;"Mineral","",IF(ISNUMBER($N1724),$N1724,IF(OR(ISNUMBER(SEARCH("surface",$J1724)),ISNUMBER(SEARCH("reserv",$J1724)),ISNUMBER(SEARCH("less and except",$J1724))),0,"")))</x:f>
        <x:v>1</x:v>
      </x:c>
      <x:c r="Q1724" s="654" t="n">
        <x:f>IF($P1724="","",-$P1724)</x:f>
        <x:v>-1</x:v>
      </x:c>
      <x:c r="R1724" s="655" t="n">
        <x:f>IF($P1724="","",$O1724*$P1724)</x:f>
        <x:v>0</x:v>
      </x:c>
      <x:c r="S1724" s="552" t="str">
        <x:f>IF($M1724="","",TRIM(IF($M1724="Mineral",IF(ISNUMBER($N1724),"Mineral; basis Conv Amt(dec). ",IF($P1724=0,"Mineral; surface-only/reserved-&gt;0 min. ","Mineral; NO AMOUNT-verify instrument. ")),$M1724&amp;" (non-mineral; excluded from mineral NMA). ")&amp;IF(OR(ISNUMBER(SEARCH("public",$G1724)),ISNUMBER(SEARCH("public",$H1724))),"FLAG: The Public placeholder-verify. ","")&amp;IF(ISNUMBER(SEARCH("all",$L1724)),"All-section coverage. ","")&amp;IF($O1724=0,"Gross acres unresolved. ","")&amp;"Gross=tract-map basis."))</x:f>
        <x:v>Mineral; basis Conv Amt(dec). Gross acres unresolved. Gross=tract-map basis.</x:v>
      </x:c>
      <x:c r="T1724" s="578" t="n"/>
      <x:c r="U1724" s="578" t="n"/>
      <x:c r="V1724" s="565" t="n"/>
      <x:c r="W1724" s="565" t="n"/>
      <x:c r="X1724" s="565" t="n"/>
      <x:c r="Y1724" s="565" t="n"/>
      <x:c r="Z1724" s="565" t="n"/>
    </x:row>
    <x:row r="1725">
      <x:c r="A1725" s="552" t="inlineStr">
        <x:is>
          <x:t xml:space="preserve">1990-002451</x:t>
        </x:is>
      </x:c>
      <x:c r="B1725" s="552" t="n"/>
      <x:c r="C1725" s="552" t="inlineStr">
        <x:is>
          <x:t xml:space="preserve">Quit Claim Mineral Deed, Assignment and Conveyance</x:t>
        </x:is>
      </x:c>
      <x:c r="D1725" s="552" t="inlineStr">
        <x:is>
          <x:t xml:space="preserve">1131/89</x:t>
        </x:is>
      </x:c>
      <x:c r="E1725" s="653" t="n">
        <x:v>32993</x:v>
      </x:c>
      <x:c r="F1725" s="653" t="n">
        <x:v>32993</x:v>
      </x:c>
      <x:c r="G1725" s="552" t="inlineStr">
        <x:is>
          <x:t xml:space="preserve">Arrowhead Resources, Inc.</x:t>
        </x:is>
      </x:c>
      <x:c r="H1725" s="552" t="inlineStr">
        <x:is>
          <x:t xml:space="preserve">Daniel D. Ferson</x:t>
        </x:is>
      </x:c>
      <x:c r="I1725" s="552" t="inlineStr">
        <x:is>
          <x:t xml:space="preserve">E/2 NW/4, N/2 NE/4 SW/4, SE/4 NE/4, NE/4 SE/4 of 31-12N-24W</x:t>
        </x:is>
      </x:c>
      <x:c r="J1725" s="552" t="inlineStr">
        <x:is>
          <x:t xml:space="preserve">ARTI</x:t>
        </x:is>
      </x:c>
      <x:c r="K1725" s="554" t="e">
        <x:f>HYPERLINK("https://okcountyrecords.com/detail/roger+mills/1990-002451","OKCountyRecords: 1990-002451")</x:f>
      </x:c>
      <x:c r="L1725" s="552" t="inlineStr">
        <x:is>
          <x:t xml:space="preserve">1, 3, 4, 7, 8</x:t>
        </x:is>
      </x:c>
      <x:c r="M1725" s="552" t="inlineStr">
        <x:is>
          <x:t xml:space="preserve">Mineral</x:t>
        </x:is>
      </x:c>
      <x:c r="N1725" s="561" t="n">
        <x:v>1</x:v>
      </x:c>
      <x:c r="O1725" s="556" t="n">
        <x:f>IF($L1725="","",IF(ISNUMBER(SEARCH("all",$L1725)),640,(ISNUMBER(SEARCH("1",$L1725)))*80+(ISNUMBER(SEARCH("2",$L1725)))*160+(ISNUMBER(SEARCH("3",$L1725)))*40+(ISNUMBER(SEARCH("4",$L1725)))*80+(ISNUMBER(SEARCH("5",$L1725)))*120+(ISNUMBER(SEARCH("6",$L1725)))*80+(ISNUMBER(SEARCH("7",$L1725)))*40+(ISNUMBER(SEARCH("8",$L1725)))*40))</x:f>
        <x:v>0</x:v>
      </x:c>
      <x:c r="P1725" s="654" t="n">
        <x:f>IF($M1725&lt;&gt;"Mineral","",IF(ISNUMBER($N1725),$N1725,IF(OR(ISNUMBER(SEARCH("surface",$J1725)),ISNUMBER(SEARCH("reserv",$J1725)),ISNUMBER(SEARCH("less and except",$J1725))),0,"")))</x:f>
        <x:v>1</x:v>
      </x:c>
      <x:c r="Q1725" s="654" t="n">
        <x:f>IF($P1725="","",-$P1725)</x:f>
        <x:v>-1</x:v>
      </x:c>
      <x:c r="R1725" s="655" t="n">
        <x:f>IF($P1725="","",$O1725*$P1725)</x:f>
        <x:v>0</x:v>
      </x:c>
      <x:c r="S1725" s="552" t="str">
        <x:f>IF($M1725="","",TRIM(IF($M1725="Mineral",IF(ISNUMBER($N1725),"Mineral; basis Conv Amt(dec). ",IF($P1725=0,"Mineral; surface-only/reserved-&gt;0 min. ","Mineral; NO AMOUNT-verify instrument. ")),$M1725&amp;" (non-mineral; excluded from mineral NMA). ")&amp;IF(OR(ISNUMBER(SEARCH("public",$G1725)),ISNUMBER(SEARCH("public",$H1725))),"FLAG: The Public placeholder-verify. ","")&amp;IF(ISNUMBER(SEARCH("all",$L1725)),"All-section coverage. ","")&amp;IF($O1725=0,"Gross acres unresolved. ","")&amp;"Gross=tract-map basis."))</x:f>
        <x:v>Mineral; basis Conv Amt(dec). Gross acres unresolved. Gross=tract-map basis.</x:v>
      </x:c>
      <x:c r="T1725" s="578" t="n"/>
      <x:c r="U1725" s="578" t="n"/>
      <x:c r="V1725" s="565" t="n"/>
      <x:c r="W1725" s="565" t="n"/>
      <x:c r="X1725" s="565" t="n"/>
      <x:c r="Y1725" s="565" t="n"/>
      <x:c r="Z1725" s="565" t="n"/>
    </x:row>
    <x:row r="1726">
      <x:c r="A1726" s="552" t="inlineStr">
        <x:is>
          <x:t xml:space="preserve">1990-002606</x:t>
        </x:is>
      </x:c>
      <x:c r="B1726" s="552" t="n"/>
      <x:c r="C1726" s="552" t="inlineStr">
        <x:is>
          <x:t xml:space="preserve">Mineral Deed</x:t>
        </x:is>
      </x:c>
      <x:c r="D1726" s="552" t="inlineStr">
        <x:is>
          <x:t xml:space="preserve">1132/285</x:t>
        </x:is>
      </x:c>
      <x:c r="E1726" s="653" t="n">
        <x:v>33000</x:v>
      </x:c>
      <x:c r="F1726" s="653" t="n">
        <x:v>33000</x:v>
      </x:c>
      <x:c r="G1726" s="552" t="inlineStr">
        <x:is>
          <x:t xml:space="preserve">Alfred W. Standiford</x:t>
        </x:is>
      </x:c>
      <x:c r="H1726" s="552" t="inlineStr">
        <x:is>
          <x:t xml:space="preserve">Fred A. Standiford, Jr.</x:t>
        </x:is>
      </x:c>
      <x:c r="I1726" s="552" t="inlineStr">
        <x:is>
          <x:t xml:space="preserve">SE/4 SW/4 of 31-12N-24W, aol</x:t>
        </x:is>
      </x:c>
      <x:c r="J1726" s="552" t="inlineStr">
        <x:is>
          <x:t xml:space="preserve">An undivided 1/3 of 7/48ths interest in all of the mineral interests or undivided interests in oil, gas and other minerals and mineral rights in real property</x:t>
        </x:is>
      </x:c>
      <x:c r="K1726" s="554" t="e">
        <x:f>HYPERLINK("https://okcountyrecords.com/detail/roger+mills/1990-002606","OKCountyRecords: 1990-002606")</x:f>
      </x:c>
      <x:c r="L1726" s="552" t="n">
        <x:v>5</x:v>
      </x:c>
      <x:c r="M1726" s="552" t="inlineStr">
        <x:is>
          <x:t xml:space="preserve">Mineral</x:t>
        </x:is>
      </x:c>
      <x:c r="N1726" s="555" t="n">
        <x:f>1/3</x:f>
        <x:v>0.3333333333333333</x:v>
      </x:c>
      <x:c r="O1726" s="556" t="n">
        <x:f>IF($L1726="","",IF(ISNUMBER(SEARCH("all",$L1726)),640,(ISNUMBER(SEARCH("1",$L1726)))*80+(ISNUMBER(SEARCH("2",$L1726)))*160+(ISNUMBER(SEARCH("3",$L1726)))*40+(ISNUMBER(SEARCH("4",$L1726)))*80+(ISNUMBER(SEARCH("5",$L1726)))*120+(ISNUMBER(SEARCH("6",$L1726)))*80+(ISNUMBER(SEARCH("7",$L1726)))*40+(ISNUMBER(SEARCH("8",$L1726)))*40))</x:f>
        <x:v>0</x:v>
      </x:c>
      <x:c r="P1726" s="654" t="n">
        <x:f>IF($M1726&lt;&gt;"Mineral","",IF(ISNUMBER($N1726),$N1726,IF(OR(ISNUMBER(SEARCH("surface",$J1726)),ISNUMBER(SEARCH("reserv",$J1726)),ISNUMBER(SEARCH("less and except",$J1726))),0,"")))</x:f>
        <x:v>0.3333333333333333</x:v>
      </x:c>
      <x:c r="Q1726" s="654" t="n">
        <x:f>IF($P1726="","",-$P1726)</x:f>
        <x:v>-0.3333333333333333</x:v>
      </x:c>
      <x:c r="R1726" s="655" t="n">
        <x:f>IF($P1726="","",$O1726*$P1726)</x:f>
        <x:v>0</x:v>
      </x:c>
      <x:c r="S1726" s="552" t="str">
        <x:f>IF($M1726="","",TRIM(IF($M1726="Mineral",IF(ISNUMBER($N1726),"Mineral; basis Conv Amt(dec). ",IF($P1726=0,"Mineral; surface-only/reserved-&gt;0 min. ","Mineral; VERIFY — NEED full instrument image for conveyed amount. ")),$M1726&amp;" (non-mineral; excluded from mineral NMA). ")&amp;IF(OR(ISNUMBER(SEARCH("public",$G1726)),ISNUMBER(SEARCH("public",$H1726))),"FLAG: The Public placeholder; VERIFY — NEED source confirmation. ","")&amp;IF(ISNUMBER(SEARCH("all",$L1726)),"All-section coverage. ","")&amp;IF($O1726=0,"Gross acres unresolved. ","")&amp;"Gross=tract-map basis."))</x:f>
        <x:v>Mineral; basis Conv Amt(dec). Gross acres unresolved. Gross=tract-map basis.</x:v>
      </x:c>
      <x:c r="T1726" s="578" t="n"/>
      <x:c r="U1726" s="578" t="n"/>
      <x:c r="V1726" s="565" t="n"/>
      <x:c r="W1726" s="565" t="n"/>
      <x:c r="X1726" s="565" t="n"/>
      <x:c r="Y1726" s="565" t="n"/>
      <x:c r="Z1726" s="565" t="n"/>
    </x:row>
    <x:row r="1727">
      <x:c r="A1727" s="552" t="inlineStr">
        <x:is>
          <x:t xml:space="preserve">1990-003160</x:t>
        </x:is>
      </x:c>
      <x:c r="B1727" s="552" t="n"/>
      <x:c r="C1727" s="552" t="inlineStr">
        <x:is>
          <x:t xml:space="preserve">Quit Claim Mineral Deed, Assignment and Conveyance</x:t>
        </x:is>
      </x:c>
      <x:c r="D1727" s="552" t="inlineStr">
        <x:is>
          <x:t xml:space="preserve">1140/26</x:t>
        </x:is>
      </x:c>
      <x:c r="E1727" s="653" t="n">
        <x:v>33025</x:v>
      </x:c>
      <x:c r="F1727" s="653" t="n">
        <x:v>33025</x:v>
      </x:c>
      <x:c r="G1727" s="552" t="inlineStr">
        <x:is>
          <x:t xml:space="preserve">First State Bank &amp; Trust Company</x:t>
        </x:is>
      </x:c>
      <x:c r="H1727" s="552" t="inlineStr">
        <x:is>
          <x:t xml:space="preserve">Arrowhead Resources, Inc.</x:t>
        </x:is>
      </x:c>
      <x:c r="I1727" s="552" t="inlineStr">
        <x:is>
          <x:t xml:space="preserve">E/2 NW/4, N/2 NE/4 SW/4, SE/4 NE/4, NE/4 SE/4 of 31-12N-24W</x:t>
        </x:is>
      </x:c>
      <x:c r="J1727" s="552" t="inlineStr">
        <x:is>
          <x:t xml:space="preserve">ARTI</x:t>
        </x:is>
      </x:c>
      <x:c r="K1727" s="554" t="e">
        <x:f>HYPERLINK("https://okcountyrecords.com/detail/roger+mills/1990-003160","OKCountyRecords: 1990-003160")</x:f>
      </x:c>
      <x:c r="L1727" s="552" t="inlineStr">
        <x:is>
          <x:t xml:space="preserve">1, 3, 4, 7, 8</x:t>
        </x:is>
      </x:c>
      <x:c r="M1727" s="552" t="inlineStr">
        <x:is>
          <x:t xml:space="preserve">Mineral</x:t>
        </x:is>
      </x:c>
      <x:c r="N1727" s="561" t="n">
        <x:v>1</x:v>
      </x:c>
      <x:c r="O1727" s="556" t="n">
        <x:f>IF($L1727="","",IF(ISNUMBER(SEARCH("all",$L1727)),640,(ISNUMBER(SEARCH("1",$L1727)))*80+(ISNUMBER(SEARCH("2",$L1727)))*160+(ISNUMBER(SEARCH("3",$L1727)))*40+(ISNUMBER(SEARCH("4",$L1727)))*80+(ISNUMBER(SEARCH("5",$L1727)))*120+(ISNUMBER(SEARCH("6",$L1727)))*80+(ISNUMBER(SEARCH("7",$L1727)))*40+(ISNUMBER(SEARCH("8",$L1727)))*40))</x:f>
        <x:v>0</x:v>
      </x:c>
      <x:c r="P1727" s="654" t="n">
        <x:f>IF($M1727&lt;&gt;"Mineral","",IF(ISNUMBER($N1727),$N1727,IF(OR(ISNUMBER(SEARCH("surface",$J1727)),ISNUMBER(SEARCH("reserv",$J1727)),ISNUMBER(SEARCH("less and except",$J1727))),0,"")))</x:f>
        <x:v>1</x:v>
      </x:c>
      <x:c r="Q1727" s="654" t="n">
        <x:f>IF($P1727="","",-$P1727)</x:f>
        <x:v>-1</x:v>
      </x:c>
      <x:c r="R1727" s="655" t="n">
        <x:f>IF($P1727="","",$O1727*$P1727)</x:f>
        <x:v>0</x:v>
      </x:c>
      <x:c r="S1727" s="552" t="str">
        <x:f>IF($M1727="","",TRIM(IF($M1727="Mineral",IF(ISNUMBER($N1727),"Mineral; basis Conv Amt(dec). ",IF($P1727=0,"Mineral; surface-only/reserved-&gt;0 min. ","Mineral; NO AMOUNT-verify instrument. ")),$M1727&amp;" (non-mineral; excluded from mineral NMA). ")&amp;IF(OR(ISNUMBER(SEARCH("public",$G1727)),ISNUMBER(SEARCH("public",$H1727))),"FLAG: The Public placeholder-verify. ","")&amp;IF(ISNUMBER(SEARCH("all",$L1727)),"All-section coverage. ","")&amp;IF($O1727=0,"Gross acres unresolved. ","")&amp;"Gross=tract-map basis."))</x:f>
        <x:v>Mineral; basis Conv Amt(dec). Gross acres unresolved. Gross=tract-map basis.</x:v>
      </x:c>
      <x:c r="T1727" s="578" t="n"/>
      <x:c r="U1727" s="578" t="n"/>
      <x:c r="V1727" s="565" t="n"/>
      <x:c r="W1727" s="565" t="n"/>
      <x:c r="X1727" s="565" t="n"/>
      <x:c r="Y1727" s="565" t="n"/>
      <x:c r="Z1727" s="565" t="n"/>
    </x:row>
    <x:row r="1728">
      <x:c r="A1728" s="552" t="inlineStr">
        <x:is>
          <x:t xml:space="preserve">1990-003924</x:t>
        </x:is>
      </x:c>
      <x:c r="B1728" s="552" t="n"/>
      <x:c r="C1728" s="552" t="inlineStr">
        <x:is>
          <x:t xml:space="preserve">Quit Claim Mineral Deed, Assignment and Conveyance</x:t>
        </x:is>
      </x:c>
      <x:c r="D1728" s="552" t="inlineStr">
        <x:is>
          <x:t xml:space="preserve">1147/242</x:t>
        </x:is>
      </x:c>
      <x:c r="E1728" s="653" t="n">
        <x:v>33059</x:v>
      </x:c>
      <x:c r="F1728" s="653" t="n">
        <x:v>33059</x:v>
      </x:c>
      <x:c r="G1728" s="552" t="inlineStr">
        <x:is>
          <x:t xml:space="preserve">Arrowhead Resources, Inc.</x:t>
        </x:is>
      </x:c>
      <x:c r="H1728" s="552" t="inlineStr">
        <x:is>
          <x:t xml:space="preserve">The Hefner Corporation</x:t>
        </x:is>
      </x:c>
      <x:c r="I1728" s="552" t="inlineStr">
        <x:is>
          <x:t xml:space="preserve">E/2 NW/4, N/2 NE/4 SW/4, SE/4 NE/4, NE/4 SE/4 of 31-12N-24W</x:t>
        </x:is>
      </x:c>
      <x:c r="J1728" s="552" t="inlineStr">
        <x:is>
          <x:t xml:space="preserve">ARTI</x:t>
        </x:is>
      </x:c>
      <x:c r="K1728" s="554" t="e">
        <x:f>HYPERLINK("https://okcountyrecords.com/detail/roger+mills/1990-003924","OKCountyRecords: 1990-003924")</x:f>
      </x:c>
      <x:c r="L1728" s="552" t="inlineStr">
        <x:is>
          <x:t xml:space="preserve">1, 3, 4, 7, 8</x:t>
        </x:is>
      </x:c>
      <x:c r="M1728" s="552" t="inlineStr">
        <x:is>
          <x:t xml:space="preserve">Mineral</x:t>
        </x:is>
      </x:c>
      <x:c r="N1728" s="561" t="n">
        <x:v>1</x:v>
      </x:c>
      <x:c r="O1728" s="556" t="n">
        <x:f>IF($L1728="","",IF(ISNUMBER(SEARCH("all",$L1728)),640,(ISNUMBER(SEARCH("1",$L1728)))*80+(ISNUMBER(SEARCH("2",$L1728)))*160+(ISNUMBER(SEARCH("3",$L1728)))*40+(ISNUMBER(SEARCH("4",$L1728)))*80+(ISNUMBER(SEARCH("5",$L1728)))*120+(ISNUMBER(SEARCH("6",$L1728)))*80+(ISNUMBER(SEARCH("7",$L1728)))*40+(ISNUMBER(SEARCH("8",$L1728)))*40))</x:f>
        <x:v>0</x:v>
      </x:c>
      <x:c r="P1728" s="654" t="n">
        <x:f>IF($M1728&lt;&gt;"Mineral","",IF(ISNUMBER($N1728),$N1728,IF(OR(ISNUMBER(SEARCH("surface",$J1728)),ISNUMBER(SEARCH("reserv",$J1728)),ISNUMBER(SEARCH("less and except",$J1728))),0,"")))</x:f>
        <x:v>1</x:v>
      </x:c>
      <x:c r="Q1728" s="654" t="n">
        <x:f>IF($P1728="","",-$P1728)</x:f>
        <x:v>-1</x:v>
      </x:c>
      <x:c r="R1728" s="655" t="n">
        <x:f>IF($P1728="","",$O1728*$P1728)</x:f>
        <x:v>0</x:v>
      </x:c>
      <x:c r="S1728" s="552" t="str">
        <x:f>IF($M1728="","",TRIM(IF($M1728="Mineral",IF(ISNUMBER($N1728),"Mineral; basis Conv Amt(dec). ",IF($P1728=0,"Mineral; surface-only/reserved-&gt;0 min. ","Mineral; NO AMOUNT-verify instrument. ")),$M1728&amp;" (non-mineral; excluded from mineral NMA). ")&amp;IF(OR(ISNUMBER(SEARCH("public",$G1728)),ISNUMBER(SEARCH("public",$H1728))),"FLAG: The Public placeholder-verify. ","")&amp;IF(ISNUMBER(SEARCH("all",$L1728)),"All-section coverage. ","")&amp;IF($O1728=0,"Gross acres unresolved. ","")&amp;"Gross=tract-map basis."))</x:f>
        <x:v>Mineral; basis Conv Amt(dec). Gross acres unresolved. Gross=tract-map basis.</x:v>
      </x:c>
      <x:c r="T1728" s="578" t="n"/>
      <x:c r="U1728" s="578" t="n"/>
      <x:c r="V1728" s="565" t="n"/>
      <x:c r="W1728" s="565" t="n"/>
      <x:c r="X1728" s="565" t="n"/>
      <x:c r="Y1728" s="565" t="n"/>
      <x:c r="Z1728" s="565" t="n"/>
    </x:row>
    <x:row r="1729">
      <x:c r="A1729" s="552" t="inlineStr">
        <x:is>
          <x:t xml:space="preserve">1990-004213</x:t>
        </x:is>
      </x:c>
      <x:c r="B1729" s="552" t="n"/>
      <x:c r="C1729" s="552" t="inlineStr">
        <x:is>
          <x:t xml:space="preserve">Quit Claim Deed</x:t>
        </x:is>
      </x:c>
      <x:c r="D1729" s="552" t="inlineStr">
        <x:is>
          <x:t xml:space="preserve">1151/107</x:t>
        </x:is>
      </x:c>
      <x:c r="E1729" s="653" t="n">
        <x:v>33073</x:v>
      </x:c>
      <x:c r="F1729" s="653" t="n">
        <x:v>33073</x:v>
      </x:c>
      <x:c r="G1729" s="552" t="inlineStr">
        <x:is>
          <x:t xml:space="preserve">Charles O. Burckhalter</x:t>
        </x:is>
      </x:c>
      <x:c r="H1729" s="552" t="inlineStr">
        <x:is>
          <x:t xml:space="preserve">Charles O. Burckhalter, Trustee of the Burckhalter Family Trust dated July 9, 1990</x:t>
        </x:is>
      </x:c>
      <x:c r="I1729" s="552" t="inlineStr">
        <x:is>
          <x:t xml:space="preserve">Lot 1, S/2 of Lot 3, S/2 NE/4 SW/4, SE/4 SW/4 of 31-12N-24W, aol</x:t>
        </x:is>
      </x:c>
      <x:c r="J1729" s="552" t="inlineStr">
        <x:is>
          <x:t xml:space="preserve">ARTI</x:t>
        </x:is>
      </x:c>
      <x:c r="K1729" s="554" t="e">
        <x:f>HYPERLINK("https://okcountyrecords.com/detail/roger+mills/1990-004213","OKCountyRecords: 1990-004213")</x:f>
      </x:c>
      <x:c r="L1729" s="552" t="inlineStr">
        <x:is>
          <x:t xml:space="preserve">2, 3, 5, 6, 7</x:t>
        </x:is>
      </x:c>
      <x:c r="M1729" s="552" t="inlineStr">
        <x:is>
          <x:t xml:space="preserve">Mineral</x:t>
        </x:is>
      </x:c>
      <x:c r="N1729" s="555" t="n">
        <x:v>1</x:v>
      </x:c>
      <x:c r="O1729" s="556" t="n">
        <x:f>IF($L1729="","",IF(ISNUMBER(SEARCH("all",$L1729)),640,(ISNUMBER(SEARCH("1",$L1729)))*80+(ISNUMBER(SEARCH("2",$L1729)))*160+(ISNUMBER(SEARCH("3",$L1729)))*40+(ISNUMBER(SEARCH("4",$L1729)))*80+(ISNUMBER(SEARCH("5",$L1729)))*120+(ISNUMBER(SEARCH("6",$L1729)))*80+(ISNUMBER(SEARCH("7",$L1729)))*40+(ISNUMBER(SEARCH("8",$L1729)))*40))</x:f>
        <x:v>0</x:v>
      </x:c>
      <x:c r="P1729" s="654" t="n">
        <x:f>IF($M1729&lt;&gt;"Mineral","",IF(ISNUMBER($N1729),$N1729,IF(OR(ISNUMBER(SEARCH("surface",$J1729)),ISNUMBER(SEARCH("reserv",$J1729)),ISNUMBER(SEARCH("less and except",$J1729))),0,"")))</x:f>
        <x:v>1</x:v>
      </x:c>
      <x:c r="Q1729" s="654" t="n">
        <x:f>IF($P1729="","",-$P1729)</x:f>
        <x:v>-1</x:v>
      </x:c>
      <x:c r="R1729" s="655" t="n">
        <x:f>IF($P1729="","",$O1729*$P1729)</x:f>
        <x:v>0</x:v>
      </x:c>
      <x:c r="S1729" s="552" t="str">
        <x:f>IF($M1729="","",TRIM(IF($M1729="Mineral",IF(ISNUMBER($N1729),"Mineral; basis Conv Amt(dec). ",IF($P1729=0,"Mineral; surface-only/reserved-&gt;0 min. ","Mineral; NO AMOUNT-verify instrument. ")),$M1729&amp;" (non-mineral; excluded from mineral NMA). ")&amp;IF(OR(ISNUMBER(SEARCH("public",$G1729)),ISNUMBER(SEARCH("public",$H1729))),"FLAG: The Public placeholder-verify. ","")&amp;IF(ISNUMBER(SEARCH("all",$L1729)),"All-section coverage. ","")&amp;IF($O1729=0,"Gross acres unresolved. ","")&amp;"Gross=tract-map basis."))</x:f>
        <x:v>Mineral; basis Conv Amt(dec). Gross acres unresolved. Gross=tract-map basis.</x:v>
      </x:c>
      <x:c r="T1729" s="578" t="n"/>
      <x:c r="U1729" s="578" t="n"/>
      <x:c r="V1729" s="565" t="n"/>
      <x:c r="W1729" s="565" t="n"/>
      <x:c r="X1729" s="565" t="n"/>
      <x:c r="Y1729" s="565" t="n"/>
      <x:c r="Z1729" s="565" t="n"/>
    </x:row>
    <x:row r="1730">
      <x:c r="A1730" s="552" t="inlineStr">
        <x:is>
          <x:t xml:space="preserve">1990-005042</x:t>
        </x:is>
      </x:c>
      <x:c r="B1730" s="552" t="n"/>
      <x:c r="C1730" s="552" t="inlineStr">
        <x:is>
          <x:t xml:space="preserve">Mineral Deed</x:t>
        </x:is>
      </x:c>
      <x:c r="D1730" s="552" t="inlineStr">
        <x:is>
          <x:t xml:space="preserve">1159/224</x:t>
        </x:is>
      </x:c>
      <x:c r="E1730" s="653" t="n">
        <x:v>33114</x:v>
      </x:c>
      <x:c r="F1730" s="653" t="n">
        <x:v>33114</x:v>
      </x:c>
      <x:c r="G1730" s="552" t="inlineStr">
        <x:is>
          <x:t xml:space="preserve">Inter-American Corporation</x:t>
        </x:is>
      </x:c>
      <x:c r="H1730" s="552" t="inlineStr">
        <x:is>
          <x:t xml:space="preserve">Hayhurst Oil Properties, Inc.</x:t>
        </x:is>
      </x:c>
      <x:c r="I1730" s="552" t="inlineStr">
        <x:is>
          <x:t xml:space="preserve">NE/4 SE/4, SE/4 NE/4, N/2 NE/4 SW/4, E/2 NW/4 of 31-12N-24W, aol</x:t>
        </x:is>
      </x:c>
      <x:c r="J1730" s="552" t="inlineStr">
        <x:is>
          <x:t xml:space="preserve">5/260 interest in 2 sections</x:t>
        </x:is>
      </x:c>
      <x:c r="K1730" s="554" t="e">
        <x:f>HYPERLINK("https://okcountyrecords.com/detail/roger+mills/1990-005042","OKCountyRecords: 1990-005042")</x:f>
      </x:c>
      <x:c r="L1730" s="552" t="inlineStr">
        <x:is>
          <x:t xml:space="preserve">1, 3, 4, 7, 8</x:t>
        </x:is>
      </x:c>
      <x:c r="M1730" s="552" t="inlineStr">
        <x:is>
          <x:t xml:space="preserve">Mineral</x:t>
        </x:is>
      </x:c>
      <x:c r="N1730" s="561" t="n">
        <x:f>5/260</x:f>
        <x:v>0.019230769230769232</x:v>
      </x:c>
      <x:c r="O1730" s="556" t="n">
        <x:f>IF($L1730="","",IF(ISNUMBER(SEARCH("all",$L1730)),640,(ISNUMBER(SEARCH("1",$L1730)))*80+(ISNUMBER(SEARCH("2",$L1730)))*160+(ISNUMBER(SEARCH("3",$L1730)))*40+(ISNUMBER(SEARCH("4",$L1730)))*80+(ISNUMBER(SEARCH("5",$L1730)))*120+(ISNUMBER(SEARCH("6",$L1730)))*80+(ISNUMBER(SEARCH("7",$L1730)))*40+(ISNUMBER(SEARCH("8",$L1730)))*40))</x:f>
        <x:v>0</x:v>
      </x:c>
      <x:c r="P1730" s="654" t="n">
        <x:f>IF($M1730&lt;&gt;"Mineral","",IF(ISNUMBER($N1730),$N1730,IF(OR(ISNUMBER(SEARCH("surface",$J1730)),ISNUMBER(SEARCH("reserv",$J1730)),ISNUMBER(SEARCH("less and except",$J1730))),0,"")))</x:f>
        <x:v>0.019230769230769232</x:v>
      </x:c>
      <x:c r="Q1730" s="654" t="n">
        <x:f>IF($P1730="","",-$P1730)</x:f>
        <x:v>-0.019230769230769232</x:v>
      </x:c>
      <x:c r="R1730" s="655" t="n">
        <x:f>IF($P1730="","",$O1730*$P1730)</x:f>
        <x:v>0</x:v>
      </x:c>
      <x:c r="S1730" s="552" t="str">
        <x:f>IF($M1730="","",TRIM(IF($M1730="Mineral",IF(ISNUMBER($N1730),"Mineral; basis Conv Amt(dec). ",IF($P1730=0,"Mineral; surface-only/reserved-&gt;0 min. ","Mineral; NO AMOUNT-verify instrument. ")),$M1730&amp;" (non-mineral; excluded from mineral NMA). ")&amp;IF(OR(ISNUMBER(SEARCH("public",$G1730)),ISNUMBER(SEARCH("public",$H1730))),"FLAG: The Public placeholder-verify. ","")&amp;IF(ISNUMBER(SEARCH("all",$L1730)),"All-section coverage. ","")&amp;IF($O1730=0,"Gross acres unresolved. ","")&amp;"Gross=tract-map basis."))</x:f>
        <x:v>Mineral; basis Conv Amt(dec). Gross acres unresolved. Gross=tract-map basis.</x:v>
      </x:c>
      <x:c r="T1730" s="578" t="n"/>
      <x:c r="U1730" s="578" t="n"/>
      <x:c r="V1730" s="565" t="n"/>
      <x:c r="W1730" s="565" t="n"/>
      <x:c r="X1730" s="565" t="n"/>
      <x:c r="Y1730" s="565" t="n"/>
      <x:c r="Z1730" s="565" t="n"/>
    </x:row>
    <x:row r="1731">
      <x:c r="A1731" s="552" t="inlineStr">
        <x:is>
          <x:t xml:space="preserve">1990-005043</x:t>
        </x:is>
      </x:c>
      <x:c r="B1731" s="552" t="n"/>
      <x:c r="C1731" s="552" t="inlineStr">
        <x:is>
          <x:t xml:space="preserve">Quit Claim Deed</x:t>
        </x:is>
      </x:c>
      <x:c r="D1731" s="552" t="inlineStr">
        <x:is>
          <x:t xml:space="preserve">1159/225</x:t>
        </x:is>
      </x:c>
      <x:c r="E1731" s="653" t="n">
        <x:v>33114</x:v>
      </x:c>
      <x:c r="F1731" s="653" t="n">
        <x:v>33114</x:v>
      </x:c>
      <x:c r="G1731" s="552" t="inlineStr">
        <x:is>
          <x:t xml:space="preserve">Termo Company</x:t>
        </x:is>
      </x:c>
      <x:c r="H1731" s="552" t="inlineStr">
        <x:is>
          <x:t xml:space="preserve">Hayhurst Oil Properties, Inc.</x:t>
        </x:is>
      </x:c>
      <x:c r="I1731" s="552" t="inlineStr">
        <x:is>
          <x:t xml:space="preserve">NE/4 SE/4, SE/4 NE/4, N/2 NE/4 SW/4, E/2 NW/4 of 31-12N-24W, aol</x:t>
        </x:is>
      </x:c>
      <x:c r="J1731" s="552" t="inlineStr">
        <x:is>
          <x:t xml:space="preserve">ARTI</x:t>
        </x:is>
      </x:c>
      <x:c r="K1731" s="554" t="e">
        <x:f>HYPERLINK("https://okcountyrecords.com/detail/roger+mills/1990-005043","OKCountyRecords: 1990-005043")</x:f>
      </x:c>
      <x:c r="L1731" s="552" t="inlineStr">
        <x:is>
          <x:t xml:space="preserve">1, 3, 4, 7, 8</x:t>
        </x:is>
      </x:c>
      <x:c r="M1731" s="552" t="inlineStr">
        <x:is>
          <x:t xml:space="preserve">Mineral</x:t>
        </x:is>
      </x:c>
      <x:c r="N1731" s="561" t="n">
        <x:v>1</x:v>
      </x:c>
      <x:c r="O1731" s="556" t="n">
        <x:f>IF($L1731="","",IF(ISNUMBER(SEARCH("all",$L1731)),640,(ISNUMBER(SEARCH("1",$L1731)))*80+(ISNUMBER(SEARCH("2",$L1731)))*160+(ISNUMBER(SEARCH("3",$L1731)))*40+(ISNUMBER(SEARCH("4",$L1731)))*80+(ISNUMBER(SEARCH("5",$L1731)))*120+(ISNUMBER(SEARCH("6",$L1731)))*80+(ISNUMBER(SEARCH("7",$L1731)))*40+(ISNUMBER(SEARCH("8",$L1731)))*40))</x:f>
        <x:v>0</x:v>
      </x:c>
      <x:c r="P1731" s="654" t="n">
        <x:f>IF($M1731&lt;&gt;"Mineral","",IF(ISNUMBER($N1731),$N1731,IF(OR(ISNUMBER(SEARCH("surface",$J1731)),ISNUMBER(SEARCH("reserv",$J1731)),ISNUMBER(SEARCH("less and except",$J1731))),0,"")))</x:f>
        <x:v>1</x:v>
      </x:c>
      <x:c r="Q1731" s="654" t="n">
        <x:f>IF($P1731="","",-$P1731)</x:f>
        <x:v>-1</x:v>
      </x:c>
      <x:c r="R1731" s="655" t="n">
        <x:f>IF($P1731="","",$O1731*$P1731)</x:f>
        <x:v>0</x:v>
      </x:c>
      <x:c r="S1731" s="552" t="str">
        <x:f>IF($M1731="","",TRIM(IF($M1731="Mineral",IF(ISNUMBER($N1731),"Mineral; basis Conv Amt(dec). ",IF($P1731=0,"Mineral; surface-only/reserved-&gt;0 min. ","Mineral; NO AMOUNT-verify instrument. ")),$M1731&amp;" (non-mineral; excluded from mineral NMA). ")&amp;IF(OR(ISNUMBER(SEARCH("public",$G1731)),ISNUMBER(SEARCH("public",$H1731))),"FLAG: The Public placeholder-verify. ","")&amp;IF(ISNUMBER(SEARCH("all",$L1731)),"All-section coverage. ","")&amp;IF($O1731=0,"Gross acres unresolved. ","")&amp;"Gross=tract-map basis."))</x:f>
        <x:v>Mineral; basis Conv Amt(dec). Gross acres unresolved. Gross=tract-map basis.</x:v>
      </x:c>
      <x:c r="T1731" s="578" t="n"/>
      <x:c r="U1731" s="578" t="n"/>
      <x:c r="V1731" s="565" t="n"/>
      <x:c r="W1731" s="565" t="n"/>
      <x:c r="X1731" s="565" t="n"/>
      <x:c r="Y1731" s="565" t="n"/>
      <x:c r="Z1731" s="565" t="n"/>
    </x:row>
    <x:row r="1732">
      <x:c r="A1732" s="552" t="inlineStr">
        <x:is>
          <x:t xml:space="preserve">1990-005848</x:t>
        </x:is>
      </x:c>
      <x:c r="B1732" s="552" t="n"/>
      <x:c r="C1732" s="552" t="inlineStr">
        <x:is>
          <x:t xml:space="preserve">Quit Claim Mineral Deed</x:t>
        </x:is>
      </x:c>
      <x:c r="D1732" s="552" t="inlineStr">
        <x:is>
          <x:t xml:space="preserve">1167/200</x:t>
        </x:is>
      </x:c>
      <x:c r="E1732" s="653" t="n">
        <x:v>33158</x:v>
      </x:c>
      <x:c r="F1732" s="653" t="n">
        <x:v>33158</x:v>
      </x:c>
      <x:c r="G1732" s="552" t="inlineStr">
        <x:is>
          <x:t xml:space="preserve">Gilbert C. Fuchs</x:t>
        </x:is>
      </x:c>
      <x:c r="H1732" s="552" t="inlineStr">
        <x:is>
          <x:t xml:space="preserve">Fuchs Family Revocable Trust</x:t>
        </x:is>
      </x:c>
      <x:c r="I1732" s="552" t="inlineStr">
        <x:is>
          <x:t xml:space="preserve">SW/4 NE/4, NW/4 SE/4, S/2 SE/4 of 31-12N-24W, aol</x:t>
        </x:is>
      </x:c>
      <x:c r="J1732" s="552" t="inlineStr">
        <x:is>
          <x:t xml:space="preserve">ARTI</x:t>
        </x:is>
      </x:c>
      <x:c r="K1732" s="554" t="e">
        <x:f>HYPERLINK("https://okcountyrecords.com/detail/roger+mills/1990-005848","OKCountyRecords: 1990-005848")</x:f>
      </x:c>
      <x:c r="L1732" s="552" t="n">
        <x:v>2</x:v>
      </x:c>
      <x:c r="M1732" s="552" t="inlineStr">
        <x:is>
          <x:t xml:space="preserve">Mineral</x:t>
        </x:is>
      </x:c>
      <x:c r="N1732" s="555" t="n">
        <x:v>1</x:v>
      </x:c>
      <x:c r="O1732" s="556" t="n">
        <x:f>IF($L1732="","",IF(ISNUMBER(SEARCH("all",$L1732)),640,(ISNUMBER(SEARCH("1",$L1732)))*80+(ISNUMBER(SEARCH("2",$L1732)))*160+(ISNUMBER(SEARCH("3",$L1732)))*40+(ISNUMBER(SEARCH("4",$L1732)))*80+(ISNUMBER(SEARCH("5",$L1732)))*120+(ISNUMBER(SEARCH("6",$L1732)))*80+(ISNUMBER(SEARCH("7",$L1732)))*40+(ISNUMBER(SEARCH("8",$L1732)))*40))</x:f>
        <x:v>0</x:v>
      </x:c>
      <x:c r="P1732" s="654" t="n">
        <x:f>IF($M1732&lt;&gt;"Mineral","",IF(ISNUMBER($N1732),$N1732,IF(OR(ISNUMBER(SEARCH("surface",$J1732)),ISNUMBER(SEARCH("reserv",$J1732)),ISNUMBER(SEARCH("less and except",$J1732))),0,"")))</x:f>
        <x:v>1</x:v>
      </x:c>
      <x:c r="Q1732" s="654" t="n">
        <x:f>IF($P1732="","",-$P1732)</x:f>
        <x:v>-1</x:v>
      </x:c>
      <x:c r="R1732" s="655" t="n">
        <x:f>IF($P1732="","",$O1732*$P1732)</x:f>
        <x:v>0</x:v>
      </x:c>
      <x:c r="S1732" s="552" t="str">
        <x:f>IF($M1732="","",TRIM(IF($M1732="Mineral",IF(ISNUMBER($N1732),"Mineral; basis Conv Amt(dec). ",IF($P1732=0,"Mineral; surface-only/reserved-&gt;0 min. ","Mineral; NO AMOUNT-verify instrument. ")),$M1732&amp;" (non-mineral; excluded from mineral NMA). ")&amp;IF(OR(ISNUMBER(SEARCH("public",$G1732)),ISNUMBER(SEARCH("public",$H1732))),"FLAG: The Public placeholder-verify. ","")&amp;IF(ISNUMBER(SEARCH("all",$L1732)),"All-section coverage. ","")&amp;IF($O1732=0,"Gross acres unresolved. ","")&amp;"Gross=tract-map basis."))</x:f>
        <x:v>Mineral; basis Conv Amt(dec). Gross acres unresolved. Gross=tract-map basis.</x:v>
      </x:c>
      <x:c r="T1732" s="578" t="n"/>
      <x:c r="U1732" s="578" t="n"/>
      <x:c r="V1732" s="565" t="n"/>
      <x:c r="W1732" s="565" t="n"/>
      <x:c r="X1732" s="565" t="n"/>
      <x:c r="Y1732" s="565" t="n"/>
      <x:c r="Z1732" s="565" t="n"/>
    </x:row>
    <x:row r="1733">
      <x:c r="A1733" s="552" t="inlineStr">
        <x:is>
          <x:t xml:space="preserve">1990-006747</x:t>
        </x:is>
      </x:c>
      <x:c r="B1733" s="552" t="n"/>
      <x:c r="C1733" s="552" t="inlineStr">
        <x:is>
          <x:t xml:space="preserve">Order and Final Decree</x:t>
        </x:is>
      </x:c>
      <x:c r="D1733" s="552" t="inlineStr">
        <x:is>
          <x:t xml:space="preserve">1176/54</x:t>
        </x:is>
      </x:c>
      <x:c r="E1733" s="653" t="n">
        <x:v>33205</x:v>
      </x:c>
      <x:c r="F1733" s="653" t="n">
        <x:v>33205</x:v>
      </x:c>
      <x:c r="G1733" s="552" t="inlineStr">
        <x:is>
          <x:t xml:space="preserve">Beckham County Court,
RE: In the Matter of the Estate of Annie E. Mitchel, Deceased</x:t>
        </x:is>
      </x:c>
      <x:c r="H1733" s="552" t="inlineStr">
        <x:is>
          <x:t xml:space="preserve">Glenn D. Mitchel, 1/3,
Louise Ormand, 1/3,
Mattie Britton, 1/3</x:t>
        </x:is>
      </x:c>
      <x:c r="I1733" s="552" t="inlineStr">
        <x:is>
          <x:t xml:space="preserve">E/2 NW/4, N/2 NE/4 SW/4, SE/4 NE/4, NE/4 SE/4 of 31-12N-24W</x:t>
        </x:is>
      </x:c>
      <x:c r="J1733" s="552" t="inlineStr">
        <x:is>
          <x:t xml:space="preserve">ARTI, An undivided 1/26th interest</x:t>
        </x:is>
      </x:c>
      <x:c r="K1733" s="554" t="e">
        <x:f>HYPERLINK("https://okcountyrecords.com/detail/roger+mills/1990-006747","OKCountyRecords: 1990-006747")</x:f>
      </x:c>
      <x:c r="L1733" s="552" t="inlineStr">
        <x:is>
          <x:t xml:space="preserve">1, 3, 4, 7, 8</x:t>
        </x:is>
      </x:c>
      <x:c r="M1733" s="552" t="inlineStr">
        <x:is>
          <x:t xml:space="preserve">Mineral</x:t>
        </x:is>
      </x:c>
      <x:c r="N1733" s="561" t="n">
        <x:v>1</x:v>
      </x:c>
      <x:c r="O1733" s="556" t="n">
        <x:f>IF($L1733="","",IF(ISNUMBER(SEARCH("all",$L1733)),640,(ISNUMBER(SEARCH("1",$L1733)))*80+(ISNUMBER(SEARCH("2",$L1733)))*160+(ISNUMBER(SEARCH("3",$L1733)))*40+(ISNUMBER(SEARCH("4",$L1733)))*80+(ISNUMBER(SEARCH("5",$L1733)))*120+(ISNUMBER(SEARCH("6",$L1733)))*80+(ISNUMBER(SEARCH("7",$L1733)))*40+(ISNUMBER(SEARCH("8",$L1733)))*40))</x:f>
        <x:v>0</x:v>
      </x:c>
      <x:c r="P1733" s="654" t="n">
        <x:f>IF($M1733&lt;&gt;"Mineral","",IF(ISNUMBER($N1733),$N1733,IF(OR(ISNUMBER(SEARCH("surface",$J1733)),ISNUMBER(SEARCH("reserv",$J1733)),ISNUMBER(SEARCH("less and except",$J1733))),0,"")))</x:f>
        <x:v>1</x:v>
      </x:c>
      <x:c r="Q1733" s="654" t="n">
        <x:f>IF($P1733="","",-$P1733)</x:f>
        <x:v>-1</x:v>
      </x:c>
      <x:c r="R1733" s="655" t="n">
        <x:f>IF($P1733="","",$O1733*$P1733)</x:f>
        <x:v>0</x:v>
      </x:c>
      <x:c r="S1733" s="552" t="str">
        <x:f>IF($M1733="","",TRIM(IF($M1733="Mineral",IF(ISNUMBER($N1733),"Mineral; basis Conv Amt(dec). ",IF($P1733=0,"Mineral; surface-only/reserved-&gt;0 min. ","Mineral; NO AMOUNT-verify instrument. ")),$M1733&amp;" (non-mineral; excluded from mineral NMA). ")&amp;IF(OR(ISNUMBER(SEARCH("public",$G1733)),ISNUMBER(SEARCH("public",$H1733))),"FLAG: The Public placeholder-verify. ","")&amp;IF(ISNUMBER(SEARCH("all",$L1733)),"All-section coverage. ","")&amp;IF($O1733=0,"Gross acres unresolved. ","")&amp;"Gross=tract-map basis."))</x:f>
        <x:v>Mineral; basis Conv Amt(dec). Gross acres unresolved. Gross=tract-map basis.</x:v>
      </x:c>
      <x:c r="T1733" s="578" t="n"/>
      <x:c r="U1733" s="578" t="n"/>
      <x:c r="V1733" s="565" t="n"/>
      <x:c r="W1733" s="565" t="n"/>
      <x:c r="X1733" s="565" t="n"/>
      <x:c r="Y1733" s="565" t="n"/>
      <x:c r="Z1733" s="565" t="n"/>
    </x:row>
    <x:row r="1734">
      <x:c r="A1734" s="552" t="inlineStr">
        <x:is>
          <x:t xml:space="preserve">1991-000858</x:t>
        </x:is>
      </x:c>
      <x:c r="B1734" s="552" t="n"/>
      <x:c r="C1734" s="552" t="inlineStr">
        <x:is>
          <x:t xml:space="preserve">Mineral Deed</x:t>
        </x:is>
      </x:c>
      <x:c r="D1734" s="552" t="inlineStr">
        <x:is>
          <x:t xml:space="preserve">1194/257</x:t>
        </x:is>
      </x:c>
      <x:c r="E1734" s="653" t="n">
        <x:v>33277</x:v>
      </x:c>
      <x:c r="F1734" s="653" t="n">
        <x:v>33277</x:v>
      </x:c>
      <x:c r="G1734" s="552" t="inlineStr">
        <x:is>
          <x:t xml:space="preserve">Alpine Investments, Inc.</x:t>
        </x:is>
      </x:c>
      <x:c r="H1734" s="552" t="inlineStr">
        <x:is>
          <x:t xml:space="preserve">Estate of Dwight J. Wilson, deceased</x:t>
        </x:is>
      </x:c>
      <x:c r="I1734" s="552" t="inlineStr">
        <x:is>
          <x:t xml:space="preserve">SW/4 NE/4, NW/4 SE/4, S/2 SE/4 of 31-12N-24W, aol</x:t>
        </x:is>
      </x:c>
      <x:c r="J1734" s="552" t="inlineStr">
        <x:is>
          <x:t xml:space="preserve">ARTI</x:t>
        </x:is>
      </x:c>
      <x:c r="K1734" s="554" t="e">
        <x:f>HYPERLINK("https://okcountyrecords.com/detail/roger+mills/1991-000858","OKCountyRecords: 1991-000858")</x:f>
      </x:c>
      <x:c r="L1734" s="552" t="n">
        <x:v>2</x:v>
      </x:c>
      <x:c r="M1734" s="552" t="inlineStr">
        <x:is>
          <x:t xml:space="preserve">Mineral</x:t>
        </x:is>
      </x:c>
      <x:c r="N1734" s="555" t="n">
        <x:v>1</x:v>
      </x:c>
      <x:c r="O1734" s="556" t="n">
        <x:f>IF($L1734="","",IF(ISNUMBER(SEARCH("all",$L1734)),640,(ISNUMBER(SEARCH("1",$L1734)))*80+(ISNUMBER(SEARCH("2",$L1734)))*160+(ISNUMBER(SEARCH("3",$L1734)))*40+(ISNUMBER(SEARCH("4",$L1734)))*80+(ISNUMBER(SEARCH("5",$L1734)))*120+(ISNUMBER(SEARCH("6",$L1734)))*80+(ISNUMBER(SEARCH("7",$L1734)))*40+(ISNUMBER(SEARCH("8",$L1734)))*40))</x:f>
        <x:v>0</x:v>
      </x:c>
      <x:c r="P1734" s="654" t="n">
        <x:f>IF($M1734&lt;&gt;"Mineral","",IF(ISNUMBER($N1734),$N1734,IF(OR(ISNUMBER(SEARCH("surface",$J1734)),ISNUMBER(SEARCH("reserv",$J1734)),ISNUMBER(SEARCH("less and except",$J1734))),0,"")))</x:f>
        <x:v>1</x:v>
      </x:c>
      <x:c r="Q1734" s="654" t="n">
        <x:f>IF($P1734="","",-$P1734)</x:f>
        <x:v>-1</x:v>
      </x:c>
      <x:c r="R1734" s="655" t="n">
        <x:f>IF($P1734="","",$O1734*$P1734)</x:f>
        <x:v>0</x:v>
      </x:c>
      <x:c r="S1734" s="552" t="str">
        <x:f>IF($M1734="","",TRIM(IF($M1734="Mineral",IF(ISNUMBER($N1734),"Mineral; basis Conv Amt(dec). ",IF($P1734=0,"Mineral; surface-only/reserved-&gt;0 min. ","Mineral; NO AMOUNT-verify instrument. ")),$M1734&amp;" (non-mineral; excluded from mineral NMA). ")&amp;IF(OR(ISNUMBER(SEARCH("public",$G1734)),ISNUMBER(SEARCH("public",$H1734))),"FLAG: The Public placeholder-verify. ","")&amp;IF(ISNUMBER(SEARCH("all",$L1734)),"All-section coverage. ","")&amp;IF($O1734=0,"Gross acres unresolved. ","")&amp;"Gross=tract-map basis."))</x:f>
        <x:v>Mineral; basis Conv Amt(dec). Gross acres unresolved. Gross=tract-map basis.</x:v>
      </x:c>
      <x:c r="T1734" s="578" t="n"/>
      <x:c r="U1734" s="578" t="n"/>
      <x:c r="V1734" s="565" t="n"/>
      <x:c r="W1734" s="565" t="n"/>
      <x:c r="X1734" s="565" t="n"/>
      <x:c r="Y1734" s="565" t="n"/>
      <x:c r="Z1734" s="565" t="n"/>
    </x:row>
    <x:row r="1735">
      <x:c r="A1735" s="552" t="inlineStr">
        <x:is>
          <x:t xml:space="preserve">1991-002734</x:t>
        </x:is>
      </x:c>
      <x:c r="B1735" s="552" t="n"/>
      <x:c r="C1735" s="552" t="inlineStr">
        <x:is>
          <x:t xml:space="preserve">Affidavit</x:t>
        </x:is>
      </x:c>
      <x:c r="D1735" s="552" t="inlineStr">
        <x:is>
          <x:t xml:space="preserve">1218/1</x:t>
        </x:is>
      </x:c>
      <x:c r="E1735" s="653" t="n">
        <x:v>33399</x:v>
      </x:c>
      <x:c r="F1735" s="653" t="n">
        <x:v>33399</x:v>
      </x:c>
      <x:c r="G1735" s="552" t="inlineStr">
        <x:is>
          <x:t xml:space="preserve">Umc Petroleum Corp - Delaware</x:t>
        </x:is>
      </x:c>
      <x:c r="H1735" s="552" t="inlineStr">
        <x:is>
          <x:t xml:space="preserve">The Public</x:t>
        </x:is>
      </x:c>
      <x:c r="I1735" s="552" t="inlineStr">
        <x:is>
          <x:t xml:space="preserve">All of 31-12N-24W, aol</x:t>
        </x:is>
      </x:c>
      <x:c r="J1735" s="552" t="inlineStr">
        <x:is>
          <x:t xml:space="preserve">Certificate dated May 24, 1991 evidencing the Certificate of Merger filed May 23, 1991 with the Secretary of State of Oklahoma evidencing the merger of UMC Petroleum Corporation, a Texas corporation ("Petroloum--Texas"), into UMC Petroleum Corporation, a Delaware corporation ("Petroleum--Delaware"),</x:t>
        </x:is>
      </x:c>
      <x:c r="K1735" s="554" t="e">
        <x:f>HYPERLINK("https://okcountyrecords.com/detail/roger+mills/1991-002734","OKCountyRecords: 1991-002734")</x:f>
      </x:c>
      <x:c r="L1735" s="552" t="inlineStr">
        <x:is>
          <x:t xml:space="preserve">All (1-8)</x:t>
        </x:is>
      </x:c>
      <x:c r="M1735" s="552" t="inlineStr">
        <x:is>
          <x:t xml:space="preserve">Other</x:t>
        </x:is>
      </x:c>
      <x:c r="N1735" s="555" t="n"/>
      <x:c r="O1735" s="556" t="n">
        <x:f>IF($L1735="","",IF(ISNUMBER(SEARCH("all",$L1735)),640,(ISNUMBER(SEARCH("1",$L1735)))*80+(ISNUMBER(SEARCH("2",$L1735)))*160+(ISNUMBER(SEARCH("3",$L1735)))*40+(ISNUMBER(SEARCH("4",$L1735)))*80+(ISNUMBER(SEARCH("5",$L1735)))*120+(ISNUMBER(SEARCH("6",$L1735)))*80+(ISNUMBER(SEARCH("7",$L1735)))*40+(ISNUMBER(SEARCH("8",$L1735)))*40))</x:f>
        <x:v>640</x:v>
      </x:c>
      <x:c r="P1735" s="654" t="str">
        <x:f>IF($M1735&lt;&gt;"Mineral","",IF(ISNUMBER($N1735),$N1735,IF(OR(ISNUMBER(SEARCH("surface",$J1735)),ISNUMBER(SEARCH("reserv",$J1735)),ISNUMBER(SEARCH("less and except",$J1735))),0,"")))</x:f>
      </x:c>
      <x:c r="Q1735" s="654" t="str">
        <x:f>IF($P1735="","",-$P1735)</x:f>
      </x:c>
      <x:c r="R1735" s="655" t="str">
        <x:f>IF($P1735="","",$O1735*$P1735)</x:f>
      </x:c>
      <x:c r="S1735" s="552" t="inlineStr">
        <x:is>
          <x:t xml:space="preserve">Other (non-mineral; excluded from mineral NMA). All-section coverage. Gross=tract-map basis.</x:t>
        </x:is>
      </x:c>
      <x:c r="T1735" s="578" t="inlineStr">
        <x:is>
          <x:t xml:space="preserve">OK</x:t>
        </x:is>
      </x:c>
      <x:c r="U1735" s="578" t="inlineStr">
        <x:is>
          <x:t xml:space="preserve">Non-conveying — notice/affidavit/address change (The Public).</x:t>
        </x:is>
      </x:c>
      <x:c r="V1735" s="565" t="n"/>
      <x:c r="W1735" s="565" t="n"/>
      <x:c r="X1735" s="565" t="n"/>
      <x:c r="Y1735" s="565" t="n"/>
      <x:c r="Z1735" s="565" t="n"/>
    </x:row>
    <x:row r="1736">
      <x:c r="A1736" s="552" t="inlineStr">
        <x:is>
          <x:t xml:space="preserve">1991-003518</x:t>
        </x:is>
      </x:c>
      <x:c r="B1736" s="552" t="n"/>
      <x:c r="C1736" s="552" t="inlineStr">
        <x:is>
          <x:t xml:space="preserve">Warranty Deed</x:t>
        </x:is>
      </x:c>
      <x:c r="D1736" s="552" t="inlineStr">
        <x:is>
          <x:t xml:space="preserve">1229/180</x:t>
        </x:is>
      </x:c>
      <x:c r="E1736" s="653" t="n">
        <x:v>33456</x:v>
      </x:c>
      <x:c r="F1736" s="653" t="n">
        <x:v>33456</x:v>
      </x:c>
      <x:c r="G1736" s="552" t="inlineStr">
        <x:is>
          <x:t xml:space="preserve">Mary Margaret Devenas, f/k/a Mary Margaret Wilson</x:t>
        </x:is>
      </x:c>
      <x:c r="H1736" s="552" t="inlineStr">
        <x:is>
          <x:t xml:space="preserve">Joseph Devenas and Mary Margaret Devenas, HW, JTWROS</x:t>
        </x:is>
      </x:c>
      <x:c r="I1736" s="552" t="inlineStr">
        <x:is>
          <x:t xml:space="preserve">SE/4 SW/4 of 31-12N-24W, aol</x:t>
        </x:is>
      </x:c>
      <x:c r="J1736" s="552" t="inlineStr">
        <x:is>
          <x:t xml:space="preserve">An undivided 7/48ths interest in all of the mineral interests or undivided interests in oil, gas and other minerals and mineral rights in real property (5.8333 min. ac.)</x:t>
        </x:is>
      </x:c>
      <x:c r="K1736" s="554" t="e">
        <x:f>HYPERLINK("https://okcountyrecords.com/detail/roger+mills/1991-003518","OKCountyRecords: 1991-003518")</x:f>
      </x:c>
      <x:c r="L1736" s="552" t="n">
        <x:v>5</x:v>
      </x:c>
      <x:c r="M1736" s="552" t="inlineStr">
        <x:is>
          <x:t xml:space="preserve">Mineral</x:t>
        </x:is>
      </x:c>
      <x:c r="N1736" s="555" t="n">
        <x:f>7/48</x:f>
        <x:v>0.14583333333333334</x:v>
      </x:c>
      <x:c r="O1736" s="556" t="n">
        <x:f>IF($L1736="","",IF(ISNUMBER(SEARCH("all",$L1736)),640,(ISNUMBER(SEARCH("1",$L1736)))*80+(ISNUMBER(SEARCH("2",$L1736)))*160+(ISNUMBER(SEARCH("3",$L1736)))*40+(ISNUMBER(SEARCH("4",$L1736)))*80+(ISNUMBER(SEARCH("5",$L1736)))*120+(ISNUMBER(SEARCH("6",$L1736)))*80+(ISNUMBER(SEARCH("7",$L1736)))*40+(ISNUMBER(SEARCH("8",$L1736)))*40))</x:f>
        <x:v>0</x:v>
      </x:c>
      <x:c r="P1736" s="654" t="n">
        <x:f>IF($M1736&lt;&gt;"Mineral","",IF(ISNUMBER($N1736),$N1736,IF(OR(ISNUMBER(SEARCH("surface",$J1736)),ISNUMBER(SEARCH("reserv",$J1736)),ISNUMBER(SEARCH("less and except",$J1736))),0,"")))</x:f>
        <x:v>0.14583333333333334</x:v>
      </x:c>
      <x:c r="Q1736" s="654" t="n">
        <x:f>IF($P1736="","",-$P1736)</x:f>
        <x:v>-0.14583333333333334</x:v>
      </x:c>
      <x:c r="R1736" s="655" t="n">
        <x:f>IF($P1736="","",$O1736*$P1736)</x:f>
        <x:v>0</x:v>
      </x:c>
      <x:c r="S1736" s="552" t="str">
        <x:f>IF($M1736="","",TRIM(IF($M1736="Mineral",IF(ISNUMBER($N1736),"Mineral; basis Conv Amt(dec). ",IF($P1736=0,"Mineral; surface-only/reserved-&gt;0 min. ","Mineral; NO AMOUNT-verify instrument. ")),$M1736&amp;" (non-mineral; excluded from mineral NMA). ")&amp;IF(OR(ISNUMBER(SEARCH("public",$G1736)),ISNUMBER(SEARCH("public",$H1736))),"FLAG: The Public placeholder-verify. ","")&amp;IF(ISNUMBER(SEARCH("all",$L1736)),"All-section coverage. ","")&amp;IF($O1736=0,"Gross acres unresolved. ","")&amp;"Gross=tract-map basis."))</x:f>
        <x:v>Mineral; basis Conv Amt(dec). Gross acres unresolved. Gross=tract-map basis.</x:v>
      </x:c>
      <x:c r="T1736" s="578" t="n"/>
      <x:c r="U1736" s="578" t="n"/>
      <x:c r="V1736" s="565" t="n"/>
      <x:c r="W1736" s="565" t="n"/>
      <x:c r="X1736" s="565" t="n"/>
      <x:c r="Y1736" s="565" t="n"/>
      <x:c r="Z1736" s="565" t="n"/>
    </x:row>
    <x:row r="1737">
      <x:c r="A1737" s="552" t="inlineStr">
        <x:is>
          <x:t xml:space="preserve">1991-004456</x:t>
        </x:is>
      </x:c>
      <x:c r="B1737" s="552" t="n"/>
      <x:c r="C1737" s="552" t="inlineStr">
        <x:is>
          <x:t xml:space="preserve">Conveyance</x:t>
        </x:is>
      </x:c>
      <x:c r="D1737" s="552" t="inlineStr">
        <x:is>
          <x:t xml:space="preserve">1240/115</x:t>
        </x:is>
      </x:c>
      <x:c r="E1737" s="653" t="n">
        <x:v>33522</x:v>
      </x:c>
      <x:c r="F1737" s="653" t="n">
        <x:v>33522</x:v>
      </x:c>
      <x:c r="G1737" s="552" t="inlineStr">
        <x:is>
          <x:t xml:space="preserve">El Paso Natural Gas Company</x:t>
        </x:is>
      </x:c>
      <x:c r="H1737" s="552" t="inlineStr">
        <x:is>
          <x:t xml:space="preserve">El Paso Production Company</x:t>
        </x:is>
      </x:c>
      <x:c r="I1737" s="552" t="inlineStr">
        <x:is>
          <x:t xml:space="preserve">All of 31-12N-24W, aol</x:t>
        </x:is>
      </x:c>
      <x:c r="J1737" s="552" t="inlineStr">
        <x:is>
          <x:t xml:space="preserve">ARTI</x:t>
        </x:is>
      </x:c>
      <x:c r="K1737" s="554" t="e">
        <x:f>HYPERLINK("https://okcountyrecords.com/detail/roger+mills/1991-004456","OKCountyRecords: 1991-004456")</x:f>
      </x:c>
      <x:c r="L1737" s="552" t="inlineStr">
        <x:is>
          <x:t xml:space="preserve">All (1-8)</x:t>
        </x:is>
      </x:c>
      <x:c r="M1737" s="552" t="inlineStr">
        <x:is>
          <x:t xml:space="preserve">Mineral</x:t>
        </x:is>
      </x:c>
      <x:c r="N1737" s="555" t="n">
        <x:v>1</x:v>
      </x:c>
      <x:c r="O1737" s="556" t="n">
        <x:f>IF($L1737="","",IF(ISNUMBER(SEARCH("all",$L1737)),640,(ISNUMBER(SEARCH("1",$L1737)))*80+(ISNUMBER(SEARCH("2",$L1737)))*160+(ISNUMBER(SEARCH("3",$L1737)))*40+(ISNUMBER(SEARCH("4",$L1737)))*80+(ISNUMBER(SEARCH("5",$L1737)))*120+(ISNUMBER(SEARCH("6",$L1737)))*80+(ISNUMBER(SEARCH("7",$L1737)))*40+(ISNUMBER(SEARCH("8",$L1737)))*40))</x:f>
        <x:v>640</x:v>
      </x:c>
      <x:c r="P1737" s="654" t="n">
        <x:f>IF($M1737&lt;&gt;"Mineral","",IF(ISNUMBER($N1737),$N1737,IF(OR(ISNUMBER(SEARCH("surface",$J1737)),ISNUMBER(SEARCH("reserv",$J1737)),ISNUMBER(SEARCH("less and except",$J1737))),0,"")))</x:f>
        <x:v>1</x:v>
      </x:c>
      <x:c r="Q1737" s="654" t="n">
        <x:f>IF($P1737="","",-$P1737)</x:f>
        <x:v>-1</x:v>
      </x:c>
      <x:c r="R1737" s="655" t="n">
        <x:f>IF($P1737="","",$O1737*$P1737)</x:f>
        <x:v>640</x:v>
      </x:c>
      <x:c r="S1737" s="552" t="str">
        <x:f>IF($M1737="","",TRIM(IF($M1737="Mineral",IF(ISNUMBER($N1737),"Mineral; basis Conv Amt(dec). ",IF($P1737=0,"Mineral; surface-only/reserved-&gt;0 min. ","Mineral; NO AMOUNT-verify instrument. ")),$M1737&amp;" (non-mineral; excluded from mineral NMA). ")&amp;IF(OR(ISNUMBER(SEARCH("public",$G1737)),ISNUMBER(SEARCH("public",$H1737))),"FLAG: The Public placeholder-verify. ","")&amp;IF(ISNUMBER(SEARCH("all",$L1737)),"All-section coverage. ","")&amp;IF($O1737=0,"Gross acres unresolved. ","")&amp;"Gross=tract-map basis."))</x:f>
        <x:v>Mineral; basis Conv Amt(dec). All-section coverage. Gross=tract-map basis.</x:v>
      </x:c>
      <x:c r="T1737" s="578" t="n"/>
      <x:c r="U1737" s="578" t="n"/>
      <x:c r="V1737" s="565" t="n"/>
      <x:c r="W1737" s="565" t="n"/>
      <x:c r="X1737" s="565" t="n"/>
      <x:c r="Y1737" s="565" t="n"/>
      <x:c r="Z1737" s="565" t="n"/>
    </x:row>
    <x:row r="1738">
      <x:c r="A1738" s="552" t="inlineStr">
        <x:is>
          <x:t xml:space="preserve">1991-005340</x:t>
        </x:is>
      </x:c>
      <x:c r="B1738" s="552" t="n"/>
      <x:c r="C1738" s="552" t="inlineStr">
        <x:is>
          <x:t xml:space="preserve">Correction Mineral Deed</x:t>
        </x:is>
      </x:c>
      <x:c r="D1738" s="552" t="inlineStr">
        <x:is>
          <x:t xml:space="preserve">1249/161</x:t>
        </x:is>
      </x:c>
      <x:c r="E1738" s="653" t="n">
        <x:v>33574</x:v>
      </x:c>
      <x:c r="F1738" s="653" t="n">
        <x:v>33574</x:v>
      </x:c>
      <x:c r="G1738" s="552" t="inlineStr">
        <x:is>
          <x:t xml:space="preserve">Alpine Investments, Inc.</x:t>
        </x:is>
      </x:c>
      <x:c r="H1738" s="552" t="inlineStr">
        <x:is>
          <x:t xml:space="preserve">Melinda McCaul Mulvihill, Executor of the Estate of Dwight J. Wilson, deceased</x:t>
        </x:is>
      </x:c>
      <x:c r="I1738" s="552" t="inlineStr">
        <x:is>
          <x:t xml:space="preserve">SW/4 NE/4, NW/4 SE/4, S/2 SE/4 of 31-12N-24W, aol</x:t>
        </x:is>
      </x:c>
      <x:c r="J1738" s="552" t="inlineStr">
        <x:is>
          <x:t xml:space="preserve">ARTI</x:t>
        </x:is>
      </x:c>
      <x:c r="K1738" s="554" t="e">
        <x:f>HYPERLINK("https://okcountyrecords.com/detail/roger+mills/1991-005340","OKCountyRecords: 1991-005340")</x:f>
      </x:c>
      <x:c r="L1738" s="552" t="n">
        <x:v>2</x:v>
      </x:c>
      <x:c r="M1738" s="552" t="inlineStr">
        <x:is>
          <x:t xml:space="preserve">Mineral</x:t>
        </x:is>
      </x:c>
      <x:c r="N1738" s="555" t="n">
        <x:v>1</x:v>
      </x:c>
      <x:c r="O1738" s="556" t="n">
        <x:f>IF($L1738="","",IF(ISNUMBER(SEARCH("all",$L1738)),640,(ISNUMBER(SEARCH("1",$L1738)))*80+(ISNUMBER(SEARCH("2",$L1738)))*160+(ISNUMBER(SEARCH("3",$L1738)))*40+(ISNUMBER(SEARCH("4",$L1738)))*80+(ISNUMBER(SEARCH("5",$L1738)))*120+(ISNUMBER(SEARCH("6",$L1738)))*80+(ISNUMBER(SEARCH("7",$L1738)))*40+(ISNUMBER(SEARCH("8",$L1738)))*40))</x:f>
        <x:v>0</x:v>
      </x:c>
      <x:c r="P1738" s="654" t="n">
        <x:f>IF($M1738&lt;&gt;"Mineral","",IF(ISNUMBER($N1738),$N1738,IF(OR(ISNUMBER(SEARCH("surface",$J1738)),ISNUMBER(SEARCH("reserv",$J1738)),ISNUMBER(SEARCH("less and except",$J1738))),0,"")))</x:f>
        <x:v>1</x:v>
      </x:c>
      <x:c r="Q1738" s="654" t="n">
        <x:f>IF($P1738="","",-$P1738)</x:f>
        <x:v>-1</x:v>
      </x:c>
      <x:c r="R1738" s="655" t="n">
        <x:f>IF($P1738="","",$O1738*$P1738)</x:f>
        <x:v>0</x:v>
      </x:c>
      <x:c r="S1738" s="552" t="str">
        <x:f>IF($M1738="","",TRIM(IF($M1738="Mineral",IF(ISNUMBER($N1738),"Mineral; basis Conv Amt(dec). ",IF($P1738=0,"Mineral; surface-only/reserved-&gt;0 min. ","Mineral; NO AMOUNT-verify instrument. ")),$M1738&amp;" (non-mineral; excluded from mineral NMA). ")&amp;IF(OR(ISNUMBER(SEARCH("public",$G1738)),ISNUMBER(SEARCH("public",$H1738))),"FLAG: The Public placeholder-verify. ","")&amp;IF(ISNUMBER(SEARCH("all",$L1738)),"All-section coverage. ","")&amp;IF($O1738=0,"Gross acres unresolved. ","")&amp;"Gross=tract-map basis."))</x:f>
        <x:v>Mineral; basis Conv Amt(dec). Gross acres unresolved. Gross=tract-map basis.</x:v>
      </x:c>
      <x:c r="T1738" s="578" t="n"/>
      <x:c r="U1738" s="578" t="n"/>
      <x:c r="V1738" s="565" t="n"/>
      <x:c r="W1738" s="565" t="n"/>
      <x:c r="X1738" s="565" t="n"/>
      <x:c r="Y1738" s="565" t="n"/>
      <x:c r="Z1738" s="565" t="n"/>
    </x:row>
    <x:row r="1739">
      <x:c r="A1739" s="552" t="inlineStr">
        <x:is>
          <x:t xml:space="preserve">1992-000943</x:t>
        </x:is>
      </x:c>
      <x:c r="B1739" s="552" t="n"/>
      <x:c r="C1739" s="552" t="inlineStr">
        <x:is>
          <x:t xml:space="preserve">Affidavit of Address Change</x:t>
        </x:is>
      </x:c>
      <x:c r="D1739" s="552" t="inlineStr">
        <x:is>
          <x:t xml:space="preserve">1266/19</x:t>
        </x:is>
      </x:c>
      <x:c r="E1739" s="653" t="n">
        <x:v>33682</x:v>
      </x:c>
      <x:c r="F1739" s="653" t="n">
        <x:v>33682</x:v>
      </x:c>
      <x:c r="G1739" s="552" t="inlineStr">
        <x:is>
          <x:t xml:space="preserve">Daniel D. Ferson</x:t>
        </x:is>
      </x:c>
      <x:c r="H1739" s="552" t="inlineStr">
        <x:is>
          <x:t xml:space="preserve">The Public</x:t>
        </x:is>
      </x:c>
      <x:c r="I1739" s="552" t="inlineStr">
        <x:is>
          <x:t xml:space="preserve">E/2 NW/4, N/2 NE/4 SW/4, SE/4 NE/4, NE/4 SE/4 of 31-12N-24W</x:t>
        </x:is>
      </x:c>
      <x:c r="J1739" s="552" t="inlineStr">
        <x:is>
          <x:t xml:space="preserve">See instrument</x:t>
        </x:is>
      </x:c>
      <x:c r="K1739" s="554" t="e">
        <x:f>HYPERLINK("https://okcountyrecords.com/detail/roger+mills/1992-000943","OKCountyRecords: 1992-000943")</x:f>
      </x:c>
      <x:c r="L1739" s="552" t="inlineStr">
        <x:is>
          <x:t xml:space="preserve">1, 3, 4, 7, 8</x:t>
        </x:is>
      </x:c>
      <x:c r="M1739" s="552" t="inlineStr">
        <x:is>
          <x:t xml:space="preserve">Other</x:t>
        </x:is>
      </x:c>
      <x:c r="N1739" s="561" t="n"/>
      <x:c r="O1739" s="556" t="n">
        <x:f>IF($L1739="","",IF(ISNUMBER(SEARCH("all",$L1739)),640,(ISNUMBER(SEARCH("1",$L1739)))*80+(ISNUMBER(SEARCH("2",$L1739)))*160+(ISNUMBER(SEARCH("3",$L1739)))*40+(ISNUMBER(SEARCH("4",$L1739)))*80+(ISNUMBER(SEARCH("5",$L1739)))*120+(ISNUMBER(SEARCH("6",$L1739)))*80+(ISNUMBER(SEARCH("7",$L1739)))*40+(ISNUMBER(SEARCH("8",$L1739)))*40))</x:f>
        <x:v>0</x:v>
      </x:c>
      <x:c r="P1739" s="654" t="str">
        <x:f>IF($M1739&lt;&gt;"Mineral","",IF(ISNUMBER($N1739),$N1739,IF(OR(ISNUMBER(SEARCH("surface",$J1739)),ISNUMBER(SEARCH("reserv",$J1739)),ISNUMBER(SEARCH("less and except",$J1739))),0,"")))</x:f>
      </x:c>
      <x:c r="Q1739" s="654" t="str">
        <x:f>IF($P1739="","",-$P1739)</x:f>
      </x:c>
      <x:c r="R1739" s="655" t="str">
        <x:f>IF($P1739="","",$O1739*$P1739)</x:f>
      </x:c>
      <x:c r="S1739" s="552" t="inlineStr">
        <x:is>
          <x:t xml:space="preserve">Other (non-mineral; excluded from mineral NMA). Gross=tract-map basis.</x:t>
        </x:is>
      </x:c>
      <x:c r="T1739" s="578" t="inlineStr">
        <x:is>
          <x:t xml:space="preserve">OK</x:t>
        </x:is>
      </x:c>
      <x:c r="U1739" s="578" t="inlineStr">
        <x:is>
          <x:t xml:space="preserve">Non-conveying — notice/affidavit/address change (The Public).</x:t>
        </x:is>
      </x:c>
      <x:c r="V1739" s="565" t="n"/>
      <x:c r="W1739" s="565" t="n"/>
      <x:c r="X1739" s="565" t="n"/>
      <x:c r="Y1739" s="565" t="n"/>
      <x:c r="Z1739" s="565" t="n"/>
    </x:row>
    <x:row r="1740">
      <x:c r="A1740" s="552" t="inlineStr">
        <x:is>
          <x:t xml:space="preserve">1992-001067</x:t>
        </x:is>
      </x:c>
      <x:c r="B1740" s="552" t="n"/>
      <x:c r="C1740" s="552" t="inlineStr">
        <x:is>
          <x:t xml:space="preserve">Joint Tenancy Mineral Deed</x:t>
        </x:is>
      </x:c>
      <x:c r="D1740" s="552" t="inlineStr">
        <x:is>
          <x:t xml:space="preserve">1267/168</x:t>
        </x:is>
      </x:c>
      <x:c r="E1740" s="653" t="n">
        <x:v>33693</x:v>
      </x:c>
      <x:c r="F1740" s="653" t="n">
        <x:v>33693</x:v>
      </x:c>
      <x:c r="G1740" s="552" t="inlineStr">
        <x:is>
          <x:t xml:space="preserve">Mattie C. Britton</x:t>
        </x:is>
      </x:c>
      <x:c r="H1740" s="552" t="inlineStr">
        <x:is>
          <x:t xml:space="preserve">Joe Britton and Anna R. Britton, HW, JTWROS</x:t>
        </x:is>
      </x:c>
      <x:c r="I1740" s="552" t="inlineStr">
        <x:is>
          <x:t xml:space="preserve">E/2 NW/4, N/2 NE/4 SW/4, SE/4 NE/4, NE/4 SE/4 of 31-12N-24W</x:t>
        </x:is>
      </x:c>
      <x:c r="J1740" s="552" t="inlineStr">
        <x:is>
          <x:t xml:space="preserve">ARTI</x:t>
        </x:is>
      </x:c>
      <x:c r="K1740" s="554" t="e">
        <x:f>HYPERLINK("https://okcountyrecords.com/detail/roger+mills/1992-001067","OKCountyRecords: 1992-001067")</x:f>
      </x:c>
      <x:c r="L1740" s="552" t="inlineStr">
        <x:is>
          <x:t xml:space="preserve">1, 3, 4, 7, 8</x:t>
        </x:is>
      </x:c>
      <x:c r="M1740" s="552" t="inlineStr">
        <x:is>
          <x:t xml:space="preserve">Mineral</x:t>
        </x:is>
      </x:c>
      <x:c r="N1740" s="561" t="n">
        <x:v>1</x:v>
      </x:c>
      <x:c r="O1740" s="556" t="n">
        <x:f>IF($L1740="","",IF(ISNUMBER(SEARCH("all",$L1740)),640,(ISNUMBER(SEARCH("1",$L1740)))*80+(ISNUMBER(SEARCH("2",$L1740)))*160+(ISNUMBER(SEARCH("3",$L1740)))*40+(ISNUMBER(SEARCH("4",$L1740)))*80+(ISNUMBER(SEARCH("5",$L1740)))*120+(ISNUMBER(SEARCH("6",$L1740)))*80+(ISNUMBER(SEARCH("7",$L1740)))*40+(ISNUMBER(SEARCH("8",$L1740)))*40))</x:f>
        <x:v>0</x:v>
      </x:c>
      <x:c r="P1740" s="654" t="n">
        <x:f>IF($M1740&lt;&gt;"Mineral","",IF(ISNUMBER($N1740),$N1740,IF(OR(ISNUMBER(SEARCH("surface",$J1740)),ISNUMBER(SEARCH("reserv",$J1740)),ISNUMBER(SEARCH("less and except",$J1740))),0,"")))</x:f>
        <x:v>1</x:v>
      </x:c>
      <x:c r="Q1740" s="654" t="n">
        <x:f>IF($P1740="","",-$P1740)</x:f>
        <x:v>-1</x:v>
      </x:c>
      <x:c r="R1740" s="655" t="n">
        <x:f>IF($P1740="","",$O1740*$P1740)</x:f>
        <x:v>0</x:v>
      </x:c>
      <x:c r="S1740" s="552" t="str">
        <x:f>IF($M1740="","",TRIM(IF($M1740="Mineral",IF(ISNUMBER($N1740),"Mineral; basis Conv Amt(dec). ",IF($P1740=0,"Mineral; surface-only/reserved-&gt;0 min. ","Mineral; NO AMOUNT-verify instrument. ")),$M1740&amp;" (non-mineral; excluded from mineral NMA). ")&amp;IF(OR(ISNUMBER(SEARCH("public",$G1740)),ISNUMBER(SEARCH("public",$H1740))),"FLAG: The Public placeholder-verify. ","")&amp;IF(ISNUMBER(SEARCH("all",$L1740)),"All-section coverage. ","")&amp;IF($O1740=0,"Gross acres unresolved. ","")&amp;"Gross=tract-map basis."))</x:f>
        <x:v>Mineral; basis Conv Amt(dec). Gross acres unresolved. Gross=tract-map basis.</x:v>
      </x:c>
      <x:c r="T1740" s="578" t="n"/>
      <x:c r="U1740" s="578" t="n"/>
      <x:c r="V1740" s="565" t="n"/>
      <x:c r="W1740" s="565" t="n"/>
      <x:c r="X1740" s="565" t="n"/>
      <x:c r="Y1740" s="565" t="n"/>
      <x:c r="Z1740" s="565" t="n"/>
    </x:row>
    <x:row r="1741">
      <x:c r="A1741" s="552" t="inlineStr">
        <x:is>
          <x:t xml:space="preserve">1992-001682</x:t>
        </x:is>
      </x:c>
      <x:c r="B1741" s="552" t="n"/>
      <x:c r="C1741" s="552" t="inlineStr">
        <x:is>
          <x:t xml:space="preserve">Mineral Deed</x:t>
        </x:is>
      </x:c>
      <x:c r="D1741" s="552" t="inlineStr">
        <x:is>
          <x:t xml:space="preserve">1274/277</x:t>
        </x:is>
      </x:c>
      <x:c r="E1741" s="653" t="n">
        <x:v>33737</x:v>
      </x:c>
      <x:c r="F1741" s="653" t="n">
        <x:v>33737</x:v>
      </x:c>
      <x:c r="G1741" s="552" t="inlineStr">
        <x:is>
          <x:t xml:space="preserve">Hayhurst Oil Properties, Inc.</x:t>
        </x:is>
      </x:c>
      <x:c r="H1741" s="552" t="inlineStr">
        <x:is>
          <x:t xml:space="preserve">Minion Investment Company</x:t>
        </x:is>
      </x:c>
      <x:c r="I1741" s="552" t="inlineStr">
        <x:is>
          <x:t xml:space="preserve">NE/4 SE/4, SE/4 NE/4, N/2 NE/4 SW/4, E/2 NW/4 of 31-12N-24W, aol</x:t>
        </x:is>
      </x:c>
      <x:c r="J1741" s="552" t="inlineStr">
        <x:is>
          <x:t xml:space="preserve">0.69 NMA in 31-12N-24W, 1/260 interest in 2 sections</x:t>
        </x:is>
      </x:c>
      <x:c r="K1741" s="554" t="e">
        <x:f>HYPERLINK("https://okcountyrecords.com/detail/roger+mills/1992-001682","OKCountyRecords: 1992-001682")</x:f>
      </x:c>
      <x:c r="L1741" s="552" t="inlineStr">
        <x:is>
          <x:t xml:space="preserve">1, 3, 4, 7, 8</x:t>
        </x:is>
      </x:c>
      <x:c r="M1741" s="552" t="inlineStr">
        <x:is>
          <x:t xml:space="preserve">Mineral</x:t>
        </x:is>
      </x:c>
      <x:c r="N1741" s="561" t="str">
        <x:f>IF(O1741&gt;0,0.69/O1741,"")</x:f>
      </x:c>
      <x:c r="O1741" s="556" t="n">
        <x:f>IF($L1741="","",IF(ISNUMBER(SEARCH("all",$L1741)),640,(ISNUMBER(SEARCH("1",$L1741)))*80+(ISNUMBER(SEARCH("2",$L1741)))*160+(ISNUMBER(SEARCH("3",$L1741)))*40+(ISNUMBER(SEARCH("4",$L1741)))*80+(ISNUMBER(SEARCH("5",$L1741)))*120+(ISNUMBER(SEARCH("6",$L1741)))*80+(ISNUMBER(SEARCH("7",$L1741)))*40+(ISNUMBER(SEARCH("8",$L1741)))*40))</x:f>
        <x:v>0</x:v>
      </x:c>
      <x:c r="P1741" s="654" t="str">
        <x:f>IF($M1741&lt;&gt;"Mineral","",IF(ISNUMBER($N1741),$N1741,IF(OR(ISNUMBER(SEARCH("surface",$J1741)),ISNUMBER(SEARCH("reserv",$J1741)),ISNUMBER(SEARCH("less and except",$J1741))),0,"")))</x:f>
      </x:c>
      <x:c r="Q1741" s="654" t="str">
        <x:f>IF($P1741="","",-$P1741)</x:f>
      </x:c>
      <x:c r="R1741" s="655" t="str">
        <x:f>IF($P1741="","",$O1741*$P1741)</x:f>
      </x:c>
      <x:c r="S1741" s="552" t="str">
        <x:f>IF($M1741="","",TRIM(IF($M1741="Mineral",IF(ISNUMBER($N1741),"Mineral; basis Conv Amt(dec). ",IF($P1741=0,"Mineral; surface-only/reserved-&gt;0 min. ","Mineral; NO AMOUNT-verify instrument. ")),$M1741&amp;" (non-mineral; excluded from mineral NMA). ")&amp;IF(OR(ISNUMBER(SEARCH("public",$G1741)),ISNUMBER(SEARCH("public",$H1741))),"FLAG: The Public placeholder-verify. ","")&amp;IF(ISNUMBER(SEARCH("all",$L1741)),"All-section coverage. ","")&amp;IF($O1741=0,"Gross acres unresolved. ","")&amp;"Gross=tract-map basis."))</x:f>
        <x:v>Mineral; surface-only/reserved-&gt;0 min. Gross acres unresolved. Gross=tract-map basis.</x:v>
      </x:c>
      <x:c r="T1741" s="578" t="n"/>
      <x:c r="U1741" s="578" t="inlineStr">
        <x:is>
          <x:t xml:space="preserve">Conveys 0.69 NMA per notes; conv. dec = 0.69/gross. Verify denominator/tract from image.</x:t>
        </x:is>
      </x:c>
      <x:c r="V1741" s="565" t="n"/>
      <x:c r="W1741" s="565" t="n"/>
      <x:c r="X1741" s="565" t="n"/>
      <x:c r="Y1741" s="565" t="n"/>
      <x:c r="Z1741" s="565" t="n"/>
    </x:row>
    <x:row r="1742">
      <x:c r="A1742" s="552" t="inlineStr">
        <x:is>
          <x:t xml:space="preserve">1992-001861</x:t>
        </x:is>
      </x:c>
      <x:c r="B1742" s="552" t="n"/>
      <x:c r="C1742" s="552" t="inlineStr">
        <x:is>
          <x:t xml:space="preserve">Trustee's Mineral Deed</x:t>
        </x:is>
      </x:c>
      <x:c r="D1742" s="552" t="inlineStr">
        <x:is>
          <x:t xml:space="preserve">1276/267</x:t>
        </x:is>
      </x:c>
      <x:c r="E1742" s="653" t="n">
        <x:v>33750</x:v>
      </x:c>
      <x:c r="F1742" s="653" t="n">
        <x:v>33750</x:v>
      </x:c>
      <x:c r="G1742" s="552" t="inlineStr">
        <x:is>
          <x:t xml:space="preserve">William Cobal Bain and Billy Wayne Bain, Co-Trustes of the Will of W. M. Bain for the Benefit of Crystal Pallo</x:t>
        </x:is>
      </x:c>
      <x:c r="H1742" s="552" t="inlineStr">
        <x:is>
          <x:t xml:space="preserve">Dow C. Bain and Edris O. Bain, JTWROS</x:t>
        </x:is>
      </x:c>
      <x:c r="I1742" s="552" t="inlineStr">
        <x:is>
          <x:t xml:space="preserve">SW/4 NE/4, NW/4 SE/4, S/2 SE/4 of 31-12N-24W, aol</x:t>
        </x:is>
      </x:c>
      <x:c r="J1742" s="552" t="inlineStr">
        <x:is>
          <x:t xml:space="preserve">An undivided 4.8329635/791.47th interest in and to the oil, gas and other minerals</x:t>
        </x:is>
      </x:c>
      <x:c r="K1742" s="554" t="e">
        <x:f>HYPERLINK("https://okcountyrecords.com/detail/roger+mills/1992-001861","OKCountyRecords: 1992-001861")</x:f>
      </x:c>
      <x:c r="L1742" s="552" t="n">
        <x:v>2</x:v>
      </x:c>
      <x:c r="M1742" s="552" t="inlineStr">
        <x:is>
          <x:t xml:space="preserve">Mineral</x:t>
        </x:is>
      </x:c>
      <x:c r="N1742" s="555" t="n">
        <x:f>4.8329635/791.47</x:f>
        <x:v>0.00610631293668743</x:v>
      </x:c>
      <x:c r="O1742" s="556" t="n">
        <x:f>IF($L1742="","",IF(ISNUMBER(SEARCH("all",$L1742)),640,(ISNUMBER(SEARCH("1",$L1742)))*80+(ISNUMBER(SEARCH("2",$L1742)))*160+(ISNUMBER(SEARCH("3",$L1742)))*40+(ISNUMBER(SEARCH("4",$L1742)))*80+(ISNUMBER(SEARCH("5",$L1742)))*120+(ISNUMBER(SEARCH("6",$L1742)))*80+(ISNUMBER(SEARCH("7",$L1742)))*40+(ISNUMBER(SEARCH("8",$L1742)))*40))</x:f>
        <x:v>0</x:v>
      </x:c>
      <x:c r="P1742" s="654" t="n">
        <x:f>IF($M1742&lt;&gt;"Mineral","",IF(ISNUMBER($N1742),$N1742,IF(OR(ISNUMBER(SEARCH("surface",$J1742)),ISNUMBER(SEARCH("reserv",$J1742)),ISNUMBER(SEARCH("less and except",$J1742))),0,"")))</x:f>
        <x:v>0.00610631293668743</x:v>
      </x:c>
      <x:c r="Q1742" s="654" t="n">
        <x:f>IF($P1742="","",-$P1742)</x:f>
        <x:v>-0.00610631293668743</x:v>
      </x:c>
      <x:c r="R1742" s="655" t="n">
        <x:f>IF($P1742="","",$O1742*$P1742)</x:f>
        <x:v>0</x:v>
      </x:c>
      <x:c r="S1742" s="552" t="str">
        <x:f>IF($M1742="","",TRIM(IF($M1742="Mineral",IF(ISNUMBER($N1742),"Mineral; basis Conv Amt(dec). ",IF($P1742=0,"Mineral; surface-only/reserved-&gt;0 min. ","Mineral; NO AMOUNT-verify instrument. ")),$M1742&amp;" (non-mineral; excluded from mineral NMA). ")&amp;IF(OR(ISNUMBER(SEARCH("public",$G1742)),ISNUMBER(SEARCH("public",$H1742))),"FLAG: The Public placeholder-verify. ","")&amp;IF(ISNUMBER(SEARCH("all",$L1742)),"All-section coverage. ","")&amp;IF($O1742=0,"Gross acres unresolved. ","")&amp;"Gross=tract-map basis."))</x:f>
        <x:v>Mineral; basis Conv Amt(dec). Gross acres unresolved. Gross=tract-map basis.</x:v>
      </x:c>
      <x:c r="T1742" s="578" t="n"/>
      <x:c r="U1742" s="578" t="n"/>
      <x:c r="V1742" s="565" t="n"/>
      <x:c r="W1742" s="565" t="n"/>
      <x:c r="X1742" s="565" t="n"/>
      <x:c r="Y1742" s="565" t="n"/>
      <x:c r="Z1742" s="565" t="n"/>
    </x:row>
    <x:row r="1743">
      <x:c r="A1743" s="552" t="inlineStr">
        <x:is>
          <x:t xml:space="preserve">1992-001862</x:t>
        </x:is>
      </x:c>
      <x:c r="B1743" s="552" t="n"/>
      <x:c r="C1743" s="552" t="inlineStr">
        <x:is>
          <x:t xml:space="preserve">Trustee's Mineral Deed</x:t>
        </x:is>
      </x:c>
      <x:c r="D1743" s="552" t="inlineStr">
        <x:is>
          <x:t xml:space="preserve">1276/270</x:t>
        </x:is>
      </x:c>
      <x:c r="E1743" s="653" t="n">
        <x:v>33750</x:v>
      </x:c>
      <x:c r="F1743" s="653" t="n">
        <x:v>33750</x:v>
      </x:c>
      <x:c r="G1743" s="552" t="inlineStr">
        <x:is>
          <x:t xml:space="preserve">William Cobal Bain and Billy Wayne Bain, Co-Trustes of the Will of W. M. Bain for the Benefit of Crystal Pallo</x:t>
        </x:is>
      </x:c>
      <x:c r="H1743" s="552" t="inlineStr">
        <x:is>
          <x:t xml:space="preserve">Wilda Jensen</x:t>
        </x:is>
      </x:c>
      <x:c r="I1743" s="552" t="inlineStr">
        <x:is>
          <x:t xml:space="preserve">SW/4 NE/4, NW/4 SE/4, S/2 SE/4 of 31-12N-24W, aol</x:t>
        </x:is>
      </x:c>
      <x:c r="J1743" s="552" t="inlineStr">
        <x:is>
          <x:t xml:space="preserve">An undivided 4.8329635/791.47th interest in and to the oil, gas and other minerals</x:t>
        </x:is>
      </x:c>
      <x:c r="K1743" s="554" t="e">
        <x:f>HYPERLINK("https://okcountyrecords.com/detail/roger+mills/1992-001862","OKCountyRecords: 1992-001862")</x:f>
      </x:c>
      <x:c r="L1743" s="552" t="n">
        <x:v>2</x:v>
      </x:c>
      <x:c r="M1743" s="552" t="inlineStr">
        <x:is>
          <x:t xml:space="preserve">Mineral</x:t>
        </x:is>
      </x:c>
      <x:c r="N1743" s="555" t="n">
        <x:f>4.8329635/791.47</x:f>
        <x:v>0.00610631293668743</x:v>
      </x:c>
      <x:c r="O1743" s="556" t="n">
        <x:f>IF($L1743="","",IF(ISNUMBER(SEARCH("all",$L1743)),640,(ISNUMBER(SEARCH("1",$L1743)))*80+(ISNUMBER(SEARCH("2",$L1743)))*160+(ISNUMBER(SEARCH("3",$L1743)))*40+(ISNUMBER(SEARCH("4",$L1743)))*80+(ISNUMBER(SEARCH("5",$L1743)))*120+(ISNUMBER(SEARCH("6",$L1743)))*80+(ISNUMBER(SEARCH("7",$L1743)))*40+(ISNUMBER(SEARCH("8",$L1743)))*40))</x:f>
        <x:v>0</x:v>
      </x:c>
      <x:c r="P1743" s="654" t="n">
        <x:f>IF($M1743&lt;&gt;"Mineral","",IF(ISNUMBER($N1743),$N1743,IF(OR(ISNUMBER(SEARCH("surface",$J1743)),ISNUMBER(SEARCH("reserv",$J1743)),ISNUMBER(SEARCH("less and except",$J1743))),0,"")))</x:f>
        <x:v>0.00610631293668743</x:v>
      </x:c>
      <x:c r="Q1743" s="654" t="n">
        <x:f>IF($P1743="","",-$P1743)</x:f>
        <x:v>-0.00610631293668743</x:v>
      </x:c>
      <x:c r="R1743" s="655" t="n">
        <x:f>IF($P1743="","",$O1743*$P1743)</x:f>
        <x:v>0</x:v>
      </x:c>
      <x:c r="S1743" s="552" t="str">
        <x:f>IF($M1743="","",TRIM(IF($M1743="Mineral",IF(ISNUMBER($N1743),"Mineral; basis Conv Amt(dec). ",IF($P1743=0,"Mineral; surface-only/reserved-&gt;0 min. ","Mineral; NO AMOUNT-verify instrument. ")),$M1743&amp;" (non-mineral; excluded from mineral NMA). ")&amp;IF(OR(ISNUMBER(SEARCH("public",$G1743)),ISNUMBER(SEARCH("public",$H1743))),"FLAG: The Public placeholder-verify. ","")&amp;IF(ISNUMBER(SEARCH("all",$L1743)),"All-section coverage. ","")&amp;IF($O1743=0,"Gross acres unresolved. ","")&amp;"Gross=tract-map basis."))</x:f>
        <x:v>Mineral; basis Conv Amt(dec). Gross acres unresolved. Gross=tract-map basis.</x:v>
      </x:c>
      <x:c r="T1743" s="578" t="n"/>
      <x:c r="U1743" s="578" t="n"/>
      <x:c r="V1743" s="565" t="n"/>
      <x:c r="W1743" s="565" t="n"/>
      <x:c r="X1743" s="565" t="n"/>
      <x:c r="Y1743" s="565" t="n"/>
      <x:c r="Z1743" s="565" t="n"/>
    </x:row>
    <x:row r="1744">
      <x:c r="A1744" s="552" t="inlineStr">
        <x:is>
          <x:t xml:space="preserve">1992-001863</x:t>
        </x:is>
      </x:c>
      <x:c r="B1744" s="552" t="n"/>
      <x:c r="C1744" s="552" t="inlineStr">
        <x:is>
          <x:t xml:space="preserve">Trustee's Mineral Deed</x:t>
        </x:is>
      </x:c>
      <x:c r="D1744" s="552" t="inlineStr">
        <x:is>
          <x:t xml:space="preserve">1276/273</x:t>
        </x:is>
      </x:c>
      <x:c r="E1744" s="653" t="n">
        <x:v>33750</x:v>
      </x:c>
      <x:c r="F1744" s="653" t="n">
        <x:v>33750</x:v>
      </x:c>
      <x:c r="G1744" s="552" t="inlineStr">
        <x:is>
          <x:t xml:space="preserve">William Cobal Bain and Billy Wayne Bain, Co-Trustes of the Will of W. M. Bain for the Benefit of Crystal Pallo</x:t>
        </x:is>
      </x:c>
      <x:c r="H1744" s="552" t="inlineStr">
        <x:is>
          <x:t xml:space="preserve">Clarence Bain</x:t>
        </x:is>
      </x:c>
      <x:c r="I1744" s="552" t="inlineStr">
        <x:is>
          <x:t xml:space="preserve">SW/4 NE/4, NW/4 SE/4, S/2 SE/4 of 31-12N-24W, aol</x:t>
        </x:is>
      </x:c>
      <x:c r="J1744" s="552" t="inlineStr">
        <x:is>
          <x:t xml:space="preserve">An undivided 4.8329635/791.47th interest in and to the oil, gas and other minerals</x:t>
        </x:is>
      </x:c>
      <x:c r="K1744" s="554" t="e">
        <x:f>HYPERLINK("https://okcountyrecords.com/detail/roger+mills/1992-001863","OKCountyRecords: 1992-001863")</x:f>
      </x:c>
      <x:c r="L1744" s="552" t="n">
        <x:v>2</x:v>
      </x:c>
      <x:c r="M1744" s="552" t="inlineStr">
        <x:is>
          <x:t xml:space="preserve">Mineral</x:t>
        </x:is>
      </x:c>
      <x:c r="N1744" s="555" t="n">
        <x:f>4.8329635/791.47</x:f>
        <x:v>0.00610631293668743</x:v>
      </x:c>
      <x:c r="O1744" s="556" t="n">
        <x:f>IF($L1744="","",IF(ISNUMBER(SEARCH("all",$L1744)),640,(ISNUMBER(SEARCH("1",$L1744)))*80+(ISNUMBER(SEARCH("2",$L1744)))*160+(ISNUMBER(SEARCH("3",$L1744)))*40+(ISNUMBER(SEARCH("4",$L1744)))*80+(ISNUMBER(SEARCH("5",$L1744)))*120+(ISNUMBER(SEARCH("6",$L1744)))*80+(ISNUMBER(SEARCH("7",$L1744)))*40+(ISNUMBER(SEARCH("8",$L1744)))*40))</x:f>
        <x:v>0</x:v>
      </x:c>
      <x:c r="P1744" s="654" t="n">
        <x:f>IF($M1744&lt;&gt;"Mineral","",IF(ISNUMBER($N1744),$N1744,IF(OR(ISNUMBER(SEARCH("surface",$J1744)),ISNUMBER(SEARCH("reserv",$J1744)),ISNUMBER(SEARCH("less and except",$J1744))),0,"")))</x:f>
        <x:v>0.00610631293668743</x:v>
      </x:c>
      <x:c r="Q1744" s="654" t="n">
        <x:f>IF($P1744="","",-$P1744)</x:f>
        <x:v>-0.00610631293668743</x:v>
      </x:c>
      <x:c r="R1744" s="655" t="n">
        <x:f>IF($P1744="","",$O1744*$P1744)</x:f>
        <x:v>0</x:v>
      </x:c>
      <x:c r="S1744" s="552" t="str">
        <x:f>IF($M1744="","",TRIM(IF($M1744="Mineral",IF(ISNUMBER($N1744),"Mineral; basis Conv Amt(dec). ",IF($P1744=0,"Mineral; surface-only/reserved-&gt;0 min. ","Mineral; NO AMOUNT-verify instrument. ")),$M1744&amp;" (non-mineral; excluded from mineral NMA). ")&amp;IF(OR(ISNUMBER(SEARCH("public",$G1744)),ISNUMBER(SEARCH("public",$H1744))),"FLAG: The Public placeholder-verify. ","")&amp;IF(ISNUMBER(SEARCH("all",$L1744)),"All-section coverage. ","")&amp;IF($O1744=0,"Gross acres unresolved. ","")&amp;"Gross=tract-map basis."))</x:f>
        <x:v>Mineral; basis Conv Amt(dec). Gross acres unresolved. Gross=tract-map basis.</x:v>
      </x:c>
      <x:c r="T1744" s="578" t="n"/>
      <x:c r="U1744" s="578" t="n"/>
      <x:c r="V1744" s="565" t="n"/>
      <x:c r="W1744" s="565" t="n"/>
      <x:c r="X1744" s="565" t="n"/>
      <x:c r="Y1744" s="565" t="n"/>
      <x:c r="Z1744" s="565" t="n"/>
    </x:row>
    <x:row r="1745">
      <x:c r="A1745" s="552" t="inlineStr">
        <x:is>
          <x:t xml:space="preserve">1992-001865</x:t>
        </x:is>
      </x:c>
      <x:c r="B1745" s="552" t="n"/>
      <x:c r="C1745" s="552" t="inlineStr">
        <x:is>
          <x:t xml:space="preserve">Trustee's Mineral Deed</x:t>
        </x:is>
      </x:c>
      <x:c r="D1745" s="552" t="inlineStr">
        <x:is>
          <x:t xml:space="preserve">1276/279</x:t>
        </x:is>
      </x:c>
      <x:c r="E1745" s="653" t="n">
        <x:v>33750</x:v>
      </x:c>
      <x:c r="F1745" s="653" t="n">
        <x:v>33750</x:v>
      </x:c>
      <x:c r="G1745" s="552" t="inlineStr">
        <x:is>
          <x:t xml:space="preserve">William Cobal Bain and Billy Wayne Bain, Co-Trustes of the Will of W. M. Bain for the Benefit of Crystal Pallo</x:t>
        </x:is>
      </x:c>
      <x:c r="H1745" s="552" t="inlineStr">
        <x:is>
          <x:t xml:space="preserve">Carl Leon Bain</x:t>
        </x:is>
      </x:c>
      <x:c r="I1745" s="552" t="inlineStr">
        <x:is>
          <x:t xml:space="preserve">SW/4 NE/4, NW/4 SE/4, S/2 SE/4 of 31-12N-24W, aol</x:t>
        </x:is>
      </x:c>
      <x:c r="J1745" s="552" t="inlineStr">
        <x:is>
          <x:t xml:space="preserve">An undivided 4.8329635/791.47th interest in and to the oil, gas and other minerals</x:t>
        </x:is>
      </x:c>
      <x:c r="K1745" s="554" t="e">
        <x:f>HYPERLINK("https://okcountyrecords.com/detail/roger+mills/1992-001865","OKCountyRecords: 1992-001865")</x:f>
      </x:c>
      <x:c r="L1745" s="552" t="n">
        <x:v>2</x:v>
      </x:c>
      <x:c r="M1745" s="552" t="inlineStr">
        <x:is>
          <x:t xml:space="preserve">Mineral</x:t>
        </x:is>
      </x:c>
      <x:c r="N1745" s="555" t="n">
        <x:f>4.8329635/791.47</x:f>
        <x:v>0.00610631293668743</x:v>
      </x:c>
      <x:c r="O1745" s="556" t="n">
        <x:f>IF($L1745="","",IF(ISNUMBER(SEARCH("all",$L1745)),640,(ISNUMBER(SEARCH("1",$L1745)))*80+(ISNUMBER(SEARCH("2",$L1745)))*160+(ISNUMBER(SEARCH("3",$L1745)))*40+(ISNUMBER(SEARCH("4",$L1745)))*80+(ISNUMBER(SEARCH("5",$L1745)))*120+(ISNUMBER(SEARCH("6",$L1745)))*80+(ISNUMBER(SEARCH("7",$L1745)))*40+(ISNUMBER(SEARCH("8",$L1745)))*40))</x:f>
        <x:v>0</x:v>
      </x:c>
      <x:c r="P1745" s="654" t="n">
        <x:f>IF($M1745&lt;&gt;"Mineral","",IF(ISNUMBER($N1745),$N1745,IF(OR(ISNUMBER(SEARCH("surface",$J1745)),ISNUMBER(SEARCH("reserv",$J1745)),ISNUMBER(SEARCH("less and except",$J1745))),0,"")))</x:f>
        <x:v>0.00610631293668743</x:v>
      </x:c>
      <x:c r="Q1745" s="654" t="n">
        <x:f>IF($P1745="","",-$P1745)</x:f>
        <x:v>-0.00610631293668743</x:v>
      </x:c>
      <x:c r="R1745" s="655" t="n">
        <x:f>IF($P1745="","",$O1745*$P1745)</x:f>
        <x:v>0</x:v>
      </x:c>
      <x:c r="S1745" s="552" t="str">
        <x:f>IF($M1745="","",TRIM(IF($M1745="Mineral",IF(ISNUMBER($N1745),"Mineral; basis Conv Amt(dec). ",IF($P1745=0,"Mineral; surface-only/reserved-&gt;0 min. ","Mineral; NO AMOUNT-verify instrument. ")),$M1745&amp;" (non-mineral; excluded from mineral NMA). ")&amp;IF(OR(ISNUMBER(SEARCH("public",$G1745)),ISNUMBER(SEARCH("public",$H1745))),"FLAG: The Public placeholder-verify. ","")&amp;IF(ISNUMBER(SEARCH("all",$L1745)),"All-section coverage. ","")&amp;IF($O1745=0,"Gross acres unresolved. ","")&amp;"Gross=tract-map basis."))</x:f>
        <x:v>Mineral; basis Conv Amt(dec). Gross acres unresolved. Gross=tract-map basis.</x:v>
      </x:c>
      <x:c r="T1745" s="578" t="n"/>
      <x:c r="U1745" s="578" t="n"/>
      <x:c r="V1745" s="565" t="n"/>
      <x:c r="W1745" s="565" t="n"/>
      <x:c r="X1745" s="565" t="n"/>
      <x:c r="Y1745" s="565" t="n"/>
      <x:c r="Z1745" s="565" t="n"/>
    </x:row>
    <x:row r="1746">
      <x:c r="A1746" s="552" t="inlineStr">
        <x:is>
          <x:t xml:space="preserve">1992-001866</x:t>
        </x:is>
      </x:c>
      <x:c r="B1746" s="552" t="n"/>
      <x:c r="C1746" s="552" t="inlineStr">
        <x:is>
          <x:t xml:space="preserve">Trustee's Mineral Deed</x:t>
        </x:is>
      </x:c>
      <x:c r="D1746" s="552" t="inlineStr">
        <x:is>
          <x:t xml:space="preserve">1276/282</x:t>
        </x:is>
      </x:c>
      <x:c r="E1746" s="653" t="n">
        <x:v>33750</x:v>
      </x:c>
      <x:c r="F1746" s="653" t="n">
        <x:v>33750</x:v>
      </x:c>
      <x:c r="G1746" s="552" t="inlineStr">
        <x:is>
          <x:t xml:space="preserve">William Cobal Bain and Billy Wayne Bain, Co-Trustes of the Will of W. M. Bain for the Benefit of Crystal Pallo</x:t>
        </x:is>
      </x:c>
      <x:c r="H1746" s="552" t="inlineStr">
        <x:is>
          <x:t xml:space="preserve">Hazel Ailene Hamilton</x:t>
        </x:is>
      </x:c>
      <x:c r="I1746" s="552" t="inlineStr">
        <x:is>
          <x:t xml:space="preserve">SW/4 NE/4, NW/4 SE/4, S/2 SE/4 of 31-12N-24W, aol</x:t>
        </x:is>
      </x:c>
      <x:c r="J1746" s="552" t="inlineStr">
        <x:is>
          <x:t xml:space="preserve">An undivided 4.8329635/791.47th interest in and to the oil, gas and other minerals</x:t>
        </x:is>
      </x:c>
      <x:c r="K1746" s="579" t="e">
        <x:f>HYPERLINK("https://okcountyrecords.com/detail/roger+mills/1992-001866","OKCountyRecords: 1992-001866")</x:f>
      </x:c>
      <x:c r="L1746" s="552" t="n">
        <x:v>2</x:v>
      </x:c>
      <x:c r="M1746" s="552" t="inlineStr">
        <x:is>
          <x:t xml:space="preserve">Mineral</x:t>
        </x:is>
      </x:c>
      <x:c r="N1746" s="555" t="n">
        <x:f>4.8329635/791.47</x:f>
        <x:v>0.00610631293668743</x:v>
      </x:c>
      <x:c r="O1746" s="556" t="n">
        <x:f>IF($L1746="","",IF(ISNUMBER(SEARCH("all",$L1746)),640,(ISNUMBER(SEARCH("1",$L1746)))*80+(ISNUMBER(SEARCH("2",$L1746)))*160+(ISNUMBER(SEARCH("3",$L1746)))*40+(ISNUMBER(SEARCH("4",$L1746)))*80+(ISNUMBER(SEARCH("5",$L1746)))*120+(ISNUMBER(SEARCH("6",$L1746)))*80+(ISNUMBER(SEARCH("7",$L1746)))*40+(ISNUMBER(SEARCH("8",$L1746)))*40))</x:f>
        <x:v>0</x:v>
      </x:c>
      <x:c r="P1746" s="654" t="n">
        <x:f>IF($M1746&lt;&gt;"Mineral","",IF(ISNUMBER($N1746),$N1746,IF(OR(ISNUMBER(SEARCH("surface",$J1746)),ISNUMBER(SEARCH("reserv",$J1746)),ISNUMBER(SEARCH("less and except",$J1746))),0,"")))</x:f>
        <x:v>0.00610631293668743</x:v>
      </x:c>
      <x:c r="Q1746" s="654" t="n">
        <x:f>IF($P1746="","",-$P1746)</x:f>
        <x:v>-0.00610631293668743</x:v>
      </x:c>
      <x:c r="R1746" s="655" t="n">
        <x:f>IF($P1746="","",$O1746*$P1746)</x:f>
        <x:v>0</x:v>
      </x:c>
      <x:c r="S1746" s="552" t="str">
        <x:f>IF($M1746="","",TRIM(IF($M1746="Mineral",IF(ISNUMBER($N1746),"Mineral; basis Conv Amt(dec). ",IF($P1746=0,"Mineral; surface-only/reserved-&gt;0 min. ","Mineral; NO AMOUNT-verify instrument. ")),$M1746&amp;" (non-mineral; excluded from mineral NMA). ")&amp;IF(OR(ISNUMBER(SEARCH("public",$G1746)),ISNUMBER(SEARCH("public",$H1746))),"FLAG: The Public placeholder-verify. ","")&amp;IF(ISNUMBER(SEARCH("all",$L1746)),"All-section coverage. ","")&amp;IF($O1746=0,"Gross acres unresolved. ","")&amp;"Gross=tract-map basis."))</x:f>
        <x:v>Mineral; basis Conv Amt(dec). Gross acres unresolved. Gross=tract-map basis.</x:v>
      </x:c>
      <x:c r="T1746" s="578" t="n"/>
      <x:c r="U1746" s="578" t="n"/>
      <x:c r="V1746" s="565" t="n"/>
      <x:c r="W1746" s="565" t="n"/>
      <x:c r="X1746" s="565" t="n"/>
      <x:c r="Y1746" s="565" t="n"/>
      <x:c r="Z1746" s="565" t="n"/>
    </x:row>
    <x:row r="1747">
      <x:c r="A1747" s="552" t="inlineStr">
        <x:is>
          <x:t xml:space="preserve">1992-001867</x:t>
        </x:is>
      </x:c>
      <x:c r="B1747" s="552" t="n"/>
      <x:c r="C1747" s="552" t="inlineStr">
        <x:is>
          <x:t xml:space="preserve">Trustee's Mineral Deed</x:t>
        </x:is>
      </x:c>
      <x:c r="D1747" s="552" t="inlineStr">
        <x:is>
          <x:t xml:space="preserve">1276/285</x:t>
        </x:is>
      </x:c>
      <x:c r="E1747" s="653" t="n">
        <x:v>33750</x:v>
      </x:c>
      <x:c r="F1747" s="653" t="n">
        <x:v>33750</x:v>
      </x:c>
      <x:c r="G1747" s="552" t="inlineStr">
        <x:is>
          <x:t xml:space="preserve">William Cobal Bain and Billy Wayne Bain, Co-Trustes of the Will of W. M. Bain for the Benefit of Crystal Pallo</x:t>
        </x:is>
      </x:c>
      <x:c r="H1747" s="552" t="inlineStr">
        <x:is>
          <x:t xml:space="preserve">Juanita Wolff</x:t>
        </x:is>
      </x:c>
      <x:c r="I1747" s="552" t="inlineStr">
        <x:is>
          <x:t xml:space="preserve">SW/4 NE/4, NW/4 SE/4, S/2 SE/4 of 31-12N-24W, aol</x:t>
        </x:is>
      </x:c>
      <x:c r="J1747" s="552" t="inlineStr">
        <x:is>
          <x:t xml:space="preserve">An undivided 4.8329635/791.47th interest in and to the oil, gas and other minerals</x:t>
        </x:is>
      </x:c>
      <x:c r="K1747" s="579" t="e">
        <x:f>HYPERLINK("https://okcountyrecords.com/detail/roger+mills/1992-001867","OKCountyRecords: 1992-001867")</x:f>
      </x:c>
      <x:c r="L1747" s="552" t="n">
        <x:v>2</x:v>
      </x:c>
      <x:c r="M1747" s="552" t="inlineStr">
        <x:is>
          <x:t xml:space="preserve">Mineral</x:t>
        </x:is>
      </x:c>
      <x:c r="N1747" s="555" t="n">
        <x:f>4.8329635/791.47</x:f>
        <x:v>0.00610631293668743</x:v>
      </x:c>
      <x:c r="O1747" s="556" t="n">
        <x:f>IF($L1747="","",IF(ISNUMBER(SEARCH("all",$L1747)),640,(ISNUMBER(SEARCH("1",$L1747)))*80+(ISNUMBER(SEARCH("2",$L1747)))*160+(ISNUMBER(SEARCH("3",$L1747)))*40+(ISNUMBER(SEARCH("4",$L1747)))*80+(ISNUMBER(SEARCH("5",$L1747)))*120+(ISNUMBER(SEARCH("6",$L1747)))*80+(ISNUMBER(SEARCH("7",$L1747)))*40+(ISNUMBER(SEARCH("8",$L1747)))*40))</x:f>
        <x:v>0</x:v>
      </x:c>
      <x:c r="P1747" s="654" t="n">
        <x:f>IF($M1747&lt;&gt;"Mineral","",IF(ISNUMBER($N1747),$N1747,IF(OR(ISNUMBER(SEARCH("surface",$J1747)),ISNUMBER(SEARCH("reserv",$J1747)),ISNUMBER(SEARCH("less and except",$J1747))),0,"")))</x:f>
        <x:v>0.00610631293668743</x:v>
      </x:c>
      <x:c r="Q1747" s="654" t="n">
        <x:f>IF($P1747="","",-$P1747)</x:f>
        <x:v>-0.00610631293668743</x:v>
      </x:c>
      <x:c r="R1747" s="655" t="n">
        <x:f>IF($P1747="","",$O1747*$P1747)</x:f>
        <x:v>0</x:v>
      </x:c>
      <x:c r="S1747" s="552" t="str">
        <x:f>IF($M1747="","",TRIM(IF($M1747="Mineral",IF(ISNUMBER($N1747),"Mineral; basis Conv Amt(dec). ",IF($P1747=0,"Mineral; surface-only/reserved-&gt;0 min. ","Mineral; NO AMOUNT-verify instrument. ")),$M1747&amp;" (non-mineral; excluded from mineral NMA). ")&amp;IF(OR(ISNUMBER(SEARCH("public",$G1747)),ISNUMBER(SEARCH("public",$H1747))),"FLAG: The Public placeholder-verify. ","")&amp;IF(ISNUMBER(SEARCH("all",$L1747)),"All-section coverage. ","")&amp;IF($O1747=0,"Gross acres unresolved. ","")&amp;"Gross=tract-map basis."))</x:f>
        <x:v>Mineral; basis Conv Amt(dec). Gross acres unresolved. Gross=tract-map basis.</x:v>
      </x:c>
      <x:c r="T1747" s="578" t="n"/>
      <x:c r="U1747" s="578" t="n"/>
      <x:c r="V1747" s="565" t="n"/>
      <x:c r="W1747" s="565" t="n"/>
      <x:c r="X1747" s="565" t="n"/>
      <x:c r="Y1747" s="565" t="n"/>
      <x:c r="Z1747" s="565" t="n"/>
    </x:row>
    <x:row r="1748">
      <x:c r="A1748" s="552" t="inlineStr">
        <x:is>
          <x:t xml:space="preserve">1992-003373</x:t>
        </x:is>
      </x:c>
      <x:c r="B1748" s="552" t="n"/>
      <x:c r="C1748" s="552" t="inlineStr">
        <x:is>
          <x:t xml:space="preserve">Mineral Deed</x:t>
        </x:is>
      </x:c>
      <x:c r="D1748" s="552" t="inlineStr">
        <x:is>
          <x:t xml:space="preserve">1294/169</x:t>
        </x:is>
      </x:c>
      <x:c r="E1748" s="653" t="n">
        <x:v>33857</x:v>
      </x:c>
      <x:c r="F1748" s="653" t="n">
        <x:v>33857</x:v>
      </x:c>
      <x:c r="G1748" s="552" t="inlineStr">
        <x:is>
          <x:t xml:space="preserve">Marvin Mitchell Williams</x:t>
        </x:is>
      </x:c>
      <x:c r="H1748" s="552" t="inlineStr">
        <x:is>
          <x:t xml:space="preserve">Nancy Mitchell Williams</x:t>
        </x:is>
      </x:c>
      <x:c r="I1748" s="552" t="inlineStr">
        <x:is>
          <x:t xml:space="preserve">SW/4 of 31-12N-24W, aol</x:t>
        </x:is>
      </x:c>
      <x:c r="J1748" s="552" t="inlineStr">
        <x:is>
          <x:t xml:space="preserve">Undivided 18.835 acre mineral interest in 31-12N-24W, Undivided 42.5 acre mineral interest in and to Sections 30 and 31</x:t>
        </x:is>
      </x:c>
      <x:c r="K1748" s="554" t="e">
        <x:f>HYPERLINK("https://okcountyrecords.com/detail/roger+mills/1992-003373","OKCountyRecords: 1992-003373")</x:f>
      </x:c>
      <x:c r="L1748" s="552" t="inlineStr">
        <x:is>
          <x:t xml:space="preserve">5, 6, 7</x:t>
        </x:is>
      </x:c>
      <x:c r="M1748" s="552" t="inlineStr">
        <x:is>
          <x:t xml:space="preserve">Mineral</x:t>
        </x:is>
      </x:c>
      <x:c r="N1748" s="555" t="inlineStr">
        <x:is>
          <x:t xml:space="preserve">NEED: denominator / tract allocation for 18.835 NMA from instrument image</x:t>
        </x:is>
      </x:c>
      <x:c r="O1748" s="556" t="n">
        <x:f>IF($L1748="","",IF(ISNUMBER(SEARCH("all",$L1748)),640,(ISNUMBER(SEARCH("1",$L1748)))*80+(ISNUMBER(SEARCH("2",$L1748)))*160+(ISNUMBER(SEARCH("3",$L1748)))*40+(ISNUMBER(SEARCH("4",$L1748)))*80+(ISNUMBER(SEARCH("5",$L1748)))*120+(ISNUMBER(SEARCH("6",$L1748)))*80+(ISNUMBER(SEARCH("7",$L1748)))*40+(ISNUMBER(SEARCH("8",$L1748)))*40))</x:f>
        <x:v>0</x:v>
      </x:c>
      <x:c r="P1748" s="654" t="str">
        <x:f>IF($M1748&lt;&gt;"Mineral","",IF(ISNUMBER($N1748),$N1748,IF(OR(ISNUMBER(SEARCH("surface",$J1748)),ISNUMBER(SEARCH("reserv",$J1748)),ISNUMBER(SEARCH("less and except",$J1748))),0,"")))</x:f>
      </x:c>
      <x:c r="Q1748" s="654" t="str">
        <x:f>IF($P1748="","",-$P1748)</x:f>
      </x:c>
      <x:c r="R1748" s="655" t="str">
        <x:f>IF($P1748="","",$O1748*$P1748)</x:f>
      </x:c>
      <x:c r="S1748" s="552" t="str">
        <x:f>IF($M1748="","",TRIM(IF($M1748="Mineral",IF(ISNUMBER($N1748),"Mineral; basis Conv Amt(dec). ",IF($P1748=0,"Mineral; surface-only/reserved-&gt;0 min. ","Mineral; VERIFY — NEED full instrument image for conveyed amount. ")),$M1748&amp;" (non-mineral; excluded from mineral NMA). ")&amp;IF(OR(ISNUMBER(SEARCH("public",$G1748)),ISNUMBER(SEARCH("public",$H1748))),"FLAG: The Public placeholder; VERIFY — NEED source confirmation. ","")&amp;IF(ISNUMBER(SEARCH("all",$L1748)),"All-section coverage. ","")&amp;IF($O1748=0,"Gross acres unresolved. ","")&amp;"Gross=tract-map basis."))</x:f>
        <x:v>Mineral; surface-only/reserved-&gt;0 min. Gross acres unresolved. Gross=tract-map basis.</x:v>
      </x:c>
      <x:c r="T1748" s="578" t="inlineStr">
        <x:is>
          <x:t xml:space="preserve">REVIEW</x:t>
        </x:is>
      </x:c>
      <x:c r="U1748" s="578" t="inlineStr">
        <x:is>
          <x:t xml:space="preserve">NEED: denominator / tract allocation for 18.835 NMA from instrument image</x:t>
        </x:is>
      </x:c>
      <x:c r="V1748" s="565" t="n"/>
      <x:c r="W1748" s="565" t="n"/>
      <x:c r="X1748" s="565" t="n"/>
      <x:c r="Y1748" s="565" t="n"/>
      <x:c r="Z1748" s="565" t="n"/>
    </x:row>
    <x:row r="1749">
      <x:c r="A1749" s="552" t="inlineStr">
        <x:is>
          <x:t xml:space="preserve">1992-003494</x:t>
        </x:is>
      </x:c>
      <x:c r="B1749" s="552" t="n"/>
      <x:c r="C1749" s="552" t="inlineStr">
        <x:is>
          <x:t xml:space="preserve">Mineral Deed</x:t>
        </x:is>
      </x:c>
      <x:c r="D1749" s="552" t="inlineStr">
        <x:is>
          <x:t xml:space="preserve">1296/141</x:t>
        </x:is>
      </x:c>
      <x:c r="E1749" s="653" t="n">
        <x:v>33868</x:v>
      </x:c>
      <x:c r="F1749" s="653" t="n">
        <x:v>33868</x:v>
      </x:c>
      <x:c r="G1749" s="552" t="inlineStr">
        <x:is>
          <x:t xml:space="preserve">Ronald Dean Bain</x:t>
        </x:is>
      </x:c>
      <x:c r="H1749" s="552" t="inlineStr">
        <x:is>
          <x:t xml:space="preserve">Clarence C. Bain</x:t>
        </x:is>
      </x:c>
      <x:c r="I1749" s="552" t="inlineStr">
        <x:is>
          <x:t xml:space="preserve">SW/4 NE/4, NW/4 SE/4, S/2 SE/4 of 31-12N-24W, aol</x:t>
        </x:is>
      </x:c>
      <x:c r="J1749" s="552" t="inlineStr">
        <x:is>
          <x:t xml:space="preserve">5/791.47 (5 FULL ACRES in 2 sections)</x:t>
        </x:is>
      </x:c>
      <x:c r="K1749" s="554" t="e">
        <x:f>HYPERLINK("https://okcountyrecords.com/detail/roger+mills/1992-003494","OKCountyRecords: 1992-003494")</x:f>
      </x:c>
      <x:c r="L1749" s="552" t="n">
        <x:v>2</x:v>
      </x:c>
      <x:c r="M1749" s="552" t="inlineStr">
        <x:is>
          <x:t xml:space="preserve">Mineral</x:t>
        </x:is>
      </x:c>
      <x:c r="N1749" s="555" t="n">
        <x:f>5/791.47</x:f>
        <x:v>0.006317358838616751</x:v>
      </x:c>
      <x:c r="O1749" s="556" t="n">
        <x:f>IF($L1749="","",IF(ISNUMBER(SEARCH("all",$L1749)),640,(ISNUMBER(SEARCH("1",$L1749)))*80+(ISNUMBER(SEARCH("2",$L1749)))*160+(ISNUMBER(SEARCH("3",$L1749)))*40+(ISNUMBER(SEARCH("4",$L1749)))*80+(ISNUMBER(SEARCH("5",$L1749)))*120+(ISNUMBER(SEARCH("6",$L1749)))*80+(ISNUMBER(SEARCH("7",$L1749)))*40+(ISNUMBER(SEARCH("8",$L1749)))*40))</x:f>
        <x:v>0</x:v>
      </x:c>
      <x:c r="P1749" s="654" t="n">
        <x:f>IF($M1749&lt;&gt;"Mineral","",IF(ISNUMBER($N1749),$N1749,IF(OR(ISNUMBER(SEARCH("surface",$J1749)),ISNUMBER(SEARCH("reserv",$J1749)),ISNUMBER(SEARCH("less and except",$J1749))),0,"")))</x:f>
        <x:v>0.006317358838616751</x:v>
      </x:c>
      <x:c r="Q1749" s="654" t="n">
        <x:f>IF($P1749="","",-$P1749)</x:f>
        <x:v>-0.006317358838616751</x:v>
      </x:c>
      <x:c r="R1749" s="655" t="n">
        <x:f>IF($P1749="","",$O1749*$P1749)</x:f>
        <x:v>0</x:v>
      </x:c>
      <x:c r="S1749" s="552" t="str">
        <x:f>IF($M1749="","",TRIM(IF($M1749="Mineral",IF(ISNUMBER($N1749),"Mineral; basis Conv Amt(dec). ",IF($P1749=0,"Mineral; surface-only/reserved-&gt;0 min. ","Mineral; NO AMOUNT-verify instrument. ")),$M1749&amp;" (non-mineral; excluded from mineral NMA). ")&amp;IF(OR(ISNUMBER(SEARCH("public",$G1749)),ISNUMBER(SEARCH("public",$H1749))),"FLAG: The Public placeholder-verify. ","")&amp;IF(ISNUMBER(SEARCH("all",$L1749)),"All-section coverage. ","")&amp;IF($O1749=0,"Gross acres unresolved. ","")&amp;"Gross=tract-map basis."))</x:f>
        <x:v>Mineral; basis Conv Amt(dec). Gross acres unresolved. Gross=tract-map basis.</x:v>
      </x:c>
      <x:c r="T1749" s="578" t="n"/>
      <x:c r="U1749" s="578" t="n"/>
      <x:c r="V1749" s="565" t="n"/>
      <x:c r="W1749" s="565" t="n"/>
      <x:c r="X1749" s="565" t="n"/>
      <x:c r="Y1749" s="565" t="n"/>
      <x:c r="Z1749" s="565" t="n"/>
    </x:row>
    <x:row r="1750">
      <x:c r="A1750" s="552" t="inlineStr">
        <x:is>
          <x:t xml:space="preserve">1993-000717</x:t>
        </x:is>
      </x:c>
      <x:c r="B1750" s="552" t="n"/>
      <x:c r="C1750" s="552" t="inlineStr">
        <x:is>
          <x:t xml:space="preserve">Miscellaneous</x:t>
        </x:is>
      </x:c>
      <x:c r="D1750" s="552" t="inlineStr">
        <x:is>
          <x:t xml:space="preserve">1321/53</x:t>
        </x:is>
      </x:c>
      <x:c r="E1750" s="653" t="n">
        <x:v>34018</x:v>
      </x:c>
      <x:c r="F1750" s="653" t="n">
        <x:v>34018</x:v>
      </x:c>
      <x:c r="G1750" s="552" t="inlineStr">
        <x:is>
          <x:t xml:space="preserve">J. F. Barnett,
Olice Herring Coates,
Colonial Oil Co,
Debra Joy Grey,
Elgin Herring Hoover,
Edna Joy Murrell,
Donald Royse,
Holland Meacham Royse,
Sorenson, Oil &amp; Gas,
L. E. Thurman</x:t>
        </x:is>
      </x:c>
      <x:c r="H1750" s="552" t="inlineStr">
        <x:is>
          <x:t xml:space="preserve">Adams Little, Inc.,
Don J. Pettyjohn,
D. E. Pinion,
Pinion Oil Co, Ltd.,
Seamus Pinion</x:t>
        </x:is>
      </x:c>
      <x:c r="I1750" s="552" t="inlineStr">
        <x:is>
          <x:t xml:space="preserve">31-12N-24W, aol</x:t>
        </x:is>
      </x:c>
      <x:c r="J1750" s="552" t="inlineStr">
        <x:is>
          <x:t xml:space="preserve">See instrument</x:t>
        </x:is>
      </x:c>
      <x:c r="K1750" s="554" t="e">
        <x:f>HYPERLINK("https://okcountyrecords.com/detail/roger+mills/1993-000717","OKCountyRecords: 1993-000717")</x:f>
      </x:c>
      <x:c r="L1750" s="552" t="inlineStr">
        <x:is>
          <x:t xml:space="preserve">All (1-8)</x:t>
        </x:is>
      </x:c>
      <x:c r="M1750" s="552" t="inlineStr">
        <x:is>
          <x:t xml:space="preserve">Other</x:t>
        </x:is>
      </x:c>
      <x:c r="N1750" s="555" t="n"/>
      <x:c r="O1750" s="556" t="n">
        <x:f>IF($L1750="","",IF(ISNUMBER(SEARCH("all",$L1750)),640,(ISNUMBER(SEARCH("1",$L1750)))*80+(ISNUMBER(SEARCH("2",$L1750)))*160+(ISNUMBER(SEARCH("3",$L1750)))*40+(ISNUMBER(SEARCH("4",$L1750)))*80+(ISNUMBER(SEARCH("5",$L1750)))*120+(ISNUMBER(SEARCH("6",$L1750)))*80+(ISNUMBER(SEARCH("7",$L1750)))*40+(ISNUMBER(SEARCH("8",$L1750)))*40))</x:f>
        <x:v>640</x:v>
      </x:c>
      <x:c r="P1750" s="654" t="str">
        <x:f>IF($M1750&lt;&gt;"Mineral","",IF(ISNUMBER($N1750),$N1750,IF(OR(ISNUMBER(SEARCH("surface",$J1750)),ISNUMBER(SEARCH("reserv",$J1750)),ISNUMBER(SEARCH("less and except",$J1750))),0,"")))</x:f>
      </x:c>
      <x:c r="Q1750" s="654" t="str">
        <x:f>IF($P1750="","",-$P1750)</x:f>
      </x:c>
      <x:c r="R1750" s="655" t="str">
        <x:f>IF($P1750="","",$O1750*$P1750)</x:f>
      </x:c>
      <x:c r="S1750" s="552" t="str">
        <x:f>IF($M1750="","",TRIM(IF($M1750="Mineral",IF(ISNUMBER($N1750),"Mineral; basis Conv Amt(dec). ",IF($P1750=0,"Mineral; surface-only/reserved-&gt;0 min. ","Mineral; NO AMOUNT-verify instrument. ")),$M1750&amp;" (non-mineral; excluded from mineral NMA). ")&amp;IF(OR(ISNUMBER(SEARCH("public",$G1750)),ISNUMBER(SEARCH("public",$H1750))),"FLAG: The Public placeholder-verify. ","")&amp;IF(ISNUMBER(SEARCH("all",$L1750)),"All-section coverage. ","")&amp;IF($O1750=0,"Gross acres unresolved. ","")&amp;"Gross=tract-map basis."))</x:f>
        <x:v>Other (non-mineral; excluded from mineral NMA). All-section coverage. Gross=tract-map basis.</x:v>
      </x:c>
      <x:c r="T1750" s="577" t="n"/>
      <x:c r="U1750" s="578" t="n"/>
      <x:c r="V1750" s="565" t="n"/>
      <x:c r="W1750" s="565" t="n"/>
      <x:c r="X1750" s="565" t="n"/>
      <x:c r="Y1750" s="565" t="n"/>
      <x:c r="Z1750" s="565" t="n"/>
    </x:row>
    <x:row r="1751">
      <x:c r="A1751" s="552" t="inlineStr">
        <x:is>
          <x:t xml:space="preserve">1993-000918</x:t>
        </x:is>
      </x:c>
      <x:c r="B1751" s="552" t="n"/>
      <x:c r="C1751" s="552" t="inlineStr">
        <x:is>
          <x:t xml:space="preserve">Final Decree</x:t>
        </x:is>
      </x:c>
      <x:c r="D1751" s="552" t="inlineStr">
        <x:is>
          <x:t xml:space="preserve">1324/22</x:t>
        </x:is>
      </x:c>
      <x:c r="E1751" s="653" t="n">
        <x:v>34032</x:v>
      </x:c>
      <x:c r="F1751" s="653" t="n">
        <x:v>34032</x:v>
      </x:c>
      <x:c r="G1751" s="552" t="inlineStr">
        <x:is>
          <x:t xml:space="preserve">Roger Mills County Court
RE: In the Matter of the Estate of John Klopfenstein, Deceased</x:t>
        </x:is>
      </x:c>
      <x:c r="H1751" s="552" t="inlineStr">
        <x:is>
          <x:t xml:space="preserve">Margaret Kirk, 1/4,
Linda Mize, 1/4,
Eleanore Wheeler, 1/4,
Roger Klopfenstein, 1/4</x:t>
        </x:is>
      </x:c>
      <x:c r="I1751" s="552" t="inlineStr">
        <x:is>
          <x:t xml:space="preserve">S/2 NE/4 SW/4, South Half of Lot 3, Lot 4, SE/4 SW/4 of 31-12N-24W, aol</x:t>
        </x:is>
      </x:c>
      <x:c r="J1751" s="552" t="inlineStr">
        <x:is>
          <x:t xml:space="preserve">An undivided 10 acres of mineral interest</x:t>
        </x:is>
      </x:c>
      <x:c r="K1751" s="554" t="e">
        <x:f>HYPERLINK("https://okcountyrecords.com/detail/roger+mills/1993-000918","OKCountyRecords: 1993-000918")</x:f>
      </x:c>
      <x:c r="L1751" s="552" t="inlineStr">
        <x:is>
          <x:t xml:space="preserve">2, 3, 5, 6, 7</x:t>
        </x:is>
      </x:c>
      <x:c r="M1751" s="552" t="inlineStr">
        <x:is>
          <x:t xml:space="preserve">Mineral</x:t>
        </x:is>
      </x:c>
      <x:c r="N1751" s="555" t="str">
        <x:f>IF(O1751&gt;0,10/O1751,"")</x:f>
      </x:c>
      <x:c r="O1751" s="556" t="n">
        <x:f>IF($L1751="","",IF(ISNUMBER(SEARCH("all",$L1751)),640,(ISNUMBER(SEARCH("1",$L1751)))*80+(ISNUMBER(SEARCH("2",$L1751)))*160+(ISNUMBER(SEARCH("3",$L1751)))*40+(ISNUMBER(SEARCH("4",$L1751)))*80+(ISNUMBER(SEARCH("5",$L1751)))*120+(ISNUMBER(SEARCH("6",$L1751)))*80+(ISNUMBER(SEARCH("7",$L1751)))*40+(ISNUMBER(SEARCH("8",$L1751)))*40))</x:f>
        <x:v>0</x:v>
      </x:c>
      <x:c r="P1751" s="654" t="str">
        <x:f>IF($M1751&lt;&gt;"Mineral","",IF(ISNUMBER($N1751),$N1751,IF(OR(ISNUMBER(SEARCH("surface",$J1751)),ISNUMBER(SEARCH("reserv",$J1751)),ISNUMBER(SEARCH("less and except",$J1751))),0,"")))</x:f>
      </x:c>
      <x:c r="Q1751" s="654" t="str">
        <x:f>IF($P1751="","",-$P1751)</x:f>
      </x:c>
      <x:c r="R1751" s="655" t="str">
        <x:f>IF($P1751="","",$O1751*$P1751)</x:f>
      </x:c>
      <x:c r="S1751" s="552" t="str">
        <x:f>IF($M1751="","",TRIM(IF($M1751="Mineral",IF(ISNUMBER($N1751),"Mineral; basis Conv Amt(dec). ",IF($P1751=0,"Mineral; surface-only/reserved-&gt;0 min. ","Mineral; VERIFY — NEED full instrument image for conveyed amount. ")),$M1751&amp;" (non-mineral; excluded from mineral NMA). ")&amp;IF(OR(ISNUMBER(SEARCH("public",$G1751)),ISNUMBER(SEARCH("public",$H1751))),"FLAG: The Public placeholder; VERIFY — NEED source confirmation. ","")&amp;IF(ISNUMBER(SEARCH("all",$L1751)),"All-section coverage. ","")&amp;IF($O1751=0,"Gross acres unresolved. ","")&amp;"Gross=tract-map basis."))</x:f>
        <x:v>Mineral; surface-only/reserved-&gt;0 min. Gross acres unresolved. Gross=tract-map basis.</x:v>
      </x:c>
      <x:c r="T1751" s="578" t="inlineStr">
        <x:is>
          <x:t xml:space="preserve">REVIEW</x:t>
        </x:is>
      </x:c>
      <x:c r="U1751" s="578" t="inlineStr">
        <x:is>
          <x:t xml:space="preserve">Conveys 10 NMA per notes; conv. dec = 10/gross. Verify denominator/tract from image.</x:t>
        </x:is>
      </x:c>
      <x:c r="V1751" s="565" t="n"/>
      <x:c r="W1751" s="565" t="n"/>
      <x:c r="X1751" s="565" t="n"/>
      <x:c r="Y1751" s="565" t="n"/>
      <x:c r="Z1751" s="565" t="n"/>
    </x:row>
    <x:row r="1752">
      <x:c r="A1752" s="552" t="inlineStr">
        <x:is>
          <x:t xml:space="preserve">1993-000978</x:t>
        </x:is>
      </x:c>
      <x:c r="B1752" s="552" t="n"/>
      <x:c r="C1752" s="552" t="inlineStr">
        <x:is>
          <x:t xml:space="preserve">Affidavit of Surviving Join Tenant</x:t>
        </x:is>
      </x:c>
      <x:c r="D1752" s="552" t="inlineStr">
        <x:is>
          <x:t xml:space="preserve">1326/88</x:t>
        </x:is>
      </x:c>
      <x:c r="E1752" s="653" t="n">
        <x:v>34036</x:v>
      </x:c>
      <x:c r="F1752" s="653" t="n">
        <x:v>34036</x:v>
      </x:c>
      <x:c r="G1752" s="552" t="inlineStr">
        <x:is>
          <x:t xml:space="preserve">Joseph Devenas</x:t>
        </x:is>
      </x:c>
      <x:c r="H1752" s="552" t="inlineStr">
        <x:is>
          <x:t xml:space="preserve">The Public
RE: Mary Margaret Devenas, deceased</x:t>
        </x:is>
      </x:c>
      <x:c r="I1752" s="552" t="inlineStr">
        <x:is>
          <x:t xml:space="preserve">SE/4 SW/4 of 31-12N-24W, aol</x:t>
        </x:is>
      </x:c>
      <x:c r="J1752" s="552" t="inlineStr">
        <x:is>
          <x:t xml:space="preserve">ARTI, An undivided 7/48ths interest
(5.8333 min. ac.)</x:t>
        </x:is>
      </x:c>
      <x:c r="K1752" s="554" t="e">
        <x:f>HYPERLINK("https://okcountyrecords.com/detail/roger+mills/1993-000978","OKCountyRecords: 1993-000978")</x:f>
      </x:c>
      <x:c r="L1752" s="552" t="n">
        <x:v>5</x:v>
      </x:c>
      <x:c r="M1752" s="552" t="inlineStr">
        <x:is>
          <x:t xml:space="preserve">Mineral</x:t>
        </x:is>
      </x:c>
      <x:c r="N1752" s="555" t="n">
        <x:v>1</x:v>
      </x:c>
      <x:c r="O1752" s="556" t="n">
        <x:f>IF($L1752="","",IF(ISNUMBER(SEARCH("all",$L1752)),640,(ISNUMBER(SEARCH("1",$L1752)))*80+(ISNUMBER(SEARCH("2",$L1752)))*160+(ISNUMBER(SEARCH("3",$L1752)))*40+(ISNUMBER(SEARCH("4",$L1752)))*80+(ISNUMBER(SEARCH("5",$L1752)))*120+(ISNUMBER(SEARCH("6",$L1752)))*80+(ISNUMBER(SEARCH("7",$L1752)))*40+(ISNUMBER(SEARCH("8",$L1752)))*40))</x:f>
        <x:v>0</x:v>
      </x:c>
      <x:c r="P1752" s="654" t="n">
        <x:f>IF($M1752&lt;&gt;"Mineral","",IF(ISNUMBER($N1752),$N1752,IF(OR(ISNUMBER(SEARCH("surface",$J1752)),ISNUMBER(SEARCH("reserv",$J1752)),ISNUMBER(SEARCH("less and except",$J1752))),0,"")))</x:f>
        <x:v>1</x:v>
      </x:c>
      <x:c r="Q1752" s="654" t="n">
        <x:f>IF($P1752="","",-$P1752)</x:f>
        <x:v>-1</x:v>
      </x:c>
      <x:c r="R1752" s="655" t="n">
        <x:f>IF($P1752="","",$O1752*$P1752)</x:f>
        <x:v>0</x:v>
      </x:c>
      <x:c r="S1752" s="552" t="str">
        <x:f>IF($M1752="","",TRIM(IF($M1752="Mineral",IF(ISNUMBER($N1752),"Mineral; basis Conv Amt(dec). ",IF($P1752=0,"Mineral; surface-only/reserved-&gt;0 min. ","Mineral; VERIFY — NEED full instrument image for conveyed amount. ")),$M1752&amp;" (non-mineral; excluded from mineral NMA). ")&amp;IF(OR(ISNUMBER(SEARCH("public",$G1752)),ISNUMBER(SEARCH("public",$H1752))),"FLAG: The Public placeholder; VERIFY — NEED source confirmation. ","")&amp;IF(ISNUMBER(SEARCH("all",$L1752)),"All-section coverage. ","")&amp;IF($O1752=0,"Gross acres unresolved. ","")&amp;"Gross=tract-map basis."))</x:f>
        <x:v>Mineral; basis Conv Amt(dec). FLAG: The Public placeholder; VERIFY — NEED source confirmation. Gross acres unresolved. Gross=tract-map basis.</x:v>
      </x:c>
      <x:c r="T1752" s="578" t="inlineStr">
        <x:is>
          <x:t xml:space="preserve">REVIEW</x:t>
        </x:is>
      </x:c>
      <x:c r="U1752" s="578" t="inlineStr">
        <x:is>
          <x:t xml:space="preserve">NEED: confirm conveyed mineral acreage from instrument image — named party present under 'The Public' (affidavit/notice); placeholder identity resolved.</x:t>
        </x:is>
      </x:c>
      <x:c r="V1752" s="565" t="n"/>
      <x:c r="W1752" s="565" t="n"/>
      <x:c r="X1752" s="565" t="n"/>
      <x:c r="Y1752" s="565" t="n"/>
      <x:c r="Z1752" s="565" t="n"/>
    </x:row>
    <x:row r="1753">
      <x:c r="A1753" s="552" t="inlineStr">
        <x:is>
          <x:t xml:space="preserve">1993-003365</x:t>
        </x:is>
      </x:c>
      <x:c r="B1753" s="552" t="n"/>
      <x:c r="C1753" s="552" t="inlineStr">
        <x:is>
          <x:t xml:space="preserve">Deed, Conveyance and Assignment</x:t>
        </x:is>
      </x:c>
      <x:c r="D1753" s="552" t="inlineStr">
        <x:is>
          <x:t xml:space="preserve">1355/192</x:t>
        </x:is>
      </x:c>
      <x:c r="E1753" s="653" t="n">
        <x:v>34199</x:v>
      </x:c>
      <x:c r="F1753" s="653" t="n">
        <x:v>34199</x:v>
      </x:c>
      <x:c r="G1753" s="552" t="inlineStr">
        <x:is>
          <x:t xml:space="preserve">Transok Gas Company (formerly known as TEX/CON Gas Marketing COMPANY)</x:t>
        </x:is>
      </x:c>
      <x:c r="H1753" s="552" t="inlineStr">
        <x:is>
          <x:t xml:space="preserve">West Anadarko Gas Gathering System</x:t>
        </x:is>
      </x:c>
      <x:c r="I1753" s="552" t="inlineStr">
        <x:is>
          <x:t xml:space="preserve">All of 31-12N-24W, aol</x:t>
        </x:is>
      </x:c>
      <x:c r="J1753" s="552" t="inlineStr">
        <x:is>
          <x:t xml:space="preserve">ARTI</x:t>
        </x:is>
      </x:c>
      <x:c r="K1753" s="554" t="e">
        <x:f>HYPERLINK("https://okcountyrecords.com/detail/roger+mills/1993-003365","OKCountyRecords: 1993-003365")</x:f>
      </x:c>
      <x:c r="L1753" s="552" t="inlineStr">
        <x:is>
          <x:t xml:space="preserve">All (1-8)</x:t>
        </x:is>
      </x:c>
      <x:c r="M1753" s="552" t="inlineStr">
        <x:is>
          <x:t xml:space="preserve">Mineral</x:t>
        </x:is>
      </x:c>
      <x:c r="N1753" s="555" t="n">
        <x:v>1</x:v>
      </x:c>
      <x:c r="O1753" s="556" t="n">
        <x:f>IF($L1753="","",IF(ISNUMBER(SEARCH("all",$L1753)),640,(ISNUMBER(SEARCH("1",$L1753)))*80+(ISNUMBER(SEARCH("2",$L1753)))*160+(ISNUMBER(SEARCH("3",$L1753)))*40+(ISNUMBER(SEARCH("4",$L1753)))*80+(ISNUMBER(SEARCH("5",$L1753)))*120+(ISNUMBER(SEARCH("6",$L1753)))*80+(ISNUMBER(SEARCH("7",$L1753)))*40+(ISNUMBER(SEARCH("8",$L1753)))*40))</x:f>
        <x:v>640</x:v>
      </x:c>
      <x:c r="P1753" s="654" t="n">
        <x:f>IF($M1753&lt;&gt;"Mineral","",IF(ISNUMBER($N1753),$N1753,IF(OR(ISNUMBER(SEARCH("surface",$J1753)),ISNUMBER(SEARCH("reserv",$J1753)),ISNUMBER(SEARCH("less and except",$J1753))),0,"")))</x:f>
        <x:v>1</x:v>
      </x:c>
      <x:c r="Q1753" s="654" t="n">
        <x:f>IF($P1753="","",-$P1753)</x:f>
        <x:v>-1</x:v>
      </x:c>
      <x:c r="R1753" s="655" t="n">
        <x:f>IF($P1753="","",$O1753*$P1753)</x:f>
        <x:v>640</x:v>
      </x:c>
      <x:c r="S1753" s="552" t="str">
        <x:f>IF($M1753="","",TRIM(IF($M1753="Mineral",IF(ISNUMBER($N1753),"Mineral; basis Conv Amt(dec). ",IF($P1753=0,"Mineral; surface-only/reserved-&gt;0 min. ","Mineral; NO AMOUNT-verify instrument. ")),$M1753&amp;" (non-mineral; excluded from mineral NMA). ")&amp;IF(OR(ISNUMBER(SEARCH("public",$G1753)),ISNUMBER(SEARCH("public",$H1753))),"FLAG: The Public placeholder-verify. ","")&amp;IF(ISNUMBER(SEARCH("all",$L1753)),"All-section coverage. ","")&amp;IF($O1753=0,"Gross acres unresolved. ","")&amp;"Gross=tract-map basis."))</x:f>
        <x:v>Mineral; basis Conv Amt(dec). All-section coverage. Gross=tract-map basis.</x:v>
      </x:c>
      <x:c r="T1753" s="578" t="n"/>
      <x:c r="U1753" s="578" t="n"/>
      <x:c r="V1753" s="565" t="n"/>
      <x:c r="W1753" s="565" t="n"/>
      <x:c r="X1753" s="565" t="n"/>
      <x:c r="Y1753" s="565" t="n"/>
      <x:c r="Z1753" s="565" t="n"/>
    </x:row>
    <x:row r="1754">
      <x:c r="A1754" s="552" t="inlineStr">
        <x:is>
          <x:t xml:space="preserve">1994-004940</x:t>
        </x:is>
      </x:c>
      <x:c r="B1754" s="552" t="n"/>
      <x:c r="C1754" s="552" t="inlineStr">
        <x:is>
          <x:t xml:space="preserve">Order and Decree</x:t>
        </x:is>
      </x:c>
      <x:c r="D1754" s="552" t="inlineStr">
        <x:is>
          <x:t xml:space="preserve">1405/223</x:t>
        </x:is>
      </x:c>
      <x:c r="E1754" s="653" t="n">
        <x:v>34452</x:v>
      </x:c>
      <x:c r="F1754" s="653" t="n">
        <x:v>34452</x:v>
      </x:c>
      <x:c r="G1754" s="552" t="inlineStr">
        <x:is>
          <x:t xml:space="preserve">Beckham County Court,
RE: In the Matter of the Estate of Gladys R. Priest, Deceased</x:t>
        </x:is>
      </x:c>
      <x:c r="H1754" s="552" t="inlineStr">
        <x:is>
          <x:t xml:space="preserve">Alfred W. Standiford, 1/6,
Kimberly D. Standiford, 1/6,
Joe Devenas, Jr., 1/6,
Paul Devenas, 1/6,
Betty L. Stewart, 1/6</x:t>
        </x:is>
      </x:c>
      <x:c r="I1754" s="552" t="inlineStr">
        <x:is>
          <x:t xml:space="preserve">SE/4 SW/4 of 31-12N-24W, aol</x:t>
        </x:is>
      </x:c>
      <x:c r="J1754" s="552" t="inlineStr">
        <x:is>
          <x:t xml:space="preserve">ARTI, An undivided 5.83333 mineral acres</x:t>
        </x:is>
      </x:c>
      <x:c r="K1754" s="579" t="e">
        <x:f>HYPERLINK("https://okcountyrecords.com/detail/roger+mills/1994-004940","OKCountyRecords: 1994-004940")</x:f>
      </x:c>
      <x:c r="L1754" s="552" t="n">
        <x:v>5</x:v>
      </x:c>
      <x:c r="M1754" s="552" t="inlineStr">
        <x:is>
          <x:t xml:space="preserve">Mineral</x:t>
        </x:is>
      </x:c>
      <x:c r="N1754" s="555" t="n">
        <x:v>1</x:v>
      </x:c>
      <x:c r="O1754" s="556" t="n">
        <x:f>IF($L1754="","",IF(ISNUMBER(SEARCH("all",$L1754)),640,(ISNUMBER(SEARCH("1",$L1754)))*80+(ISNUMBER(SEARCH("2",$L1754)))*160+(ISNUMBER(SEARCH("3",$L1754)))*40+(ISNUMBER(SEARCH("4",$L1754)))*80+(ISNUMBER(SEARCH("5",$L1754)))*120+(ISNUMBER(SEARCH("6",$L1754)))*80+(ISNUMBER(SEARCH("7",$L1754)))*40+(ISNUMBER(SEARCH("8",$L1754)))*40))</x:f>
        <x:v>0</x:v>
      </x:c>
      <x:c r="P1754" s="654" t="n">
        <x:f>IF($M1754&lt;&gt;"Mineral","",IF(ISNUMBER($N1754),$N1754,IF(OR(ISNUMBER(SEARCH("surface",$J1754)),ISNUMBER(SEARCH("reserv",$J1754)),ISNUMBER(SEARCH("less and except",$J1754))),0,"")))</x:f>
        <x:v>1</x:v>
      </x:c>
      <x:c r="Q1754" s="654" t="n">
        <x:f>IF($P1754="","",-$P1754)</x:f>
        <x:v>-1</x:v>
      </x:c>
      <x:c r="R1754" s="655" t="n">
        <x:f>IF($P1754="","",$O1754*$P1754)</x:f>
        <x:v>0</x:v>
      </x:c>
      <x:c r="S1754" s="552" t="str">
        <x:f>IF($M1754="","",TRIM(IF($M1754="Mineral",IF(ISNUMBER($N1754),"Mineral; basis Conv Amt(dec). ",IF($P1754=0,"Mineral; surface-only/reserved-&gt;0 min. ","Mineral; NO AMOUNT-verify instrument. ")),$M1754&amp;" (non-mineral; excluded from mineral NMA). ")&amp;IF(OR(ISNUMBER(SEARCH("public",$G1754)),ISNUMBER(SEARCH("public",$H1754))),"FLAG: The Public placeholder-verify. ","")&amp;IF(ISNUMBER(SEARCH("all",$L1754)),"All-section coverage. ","")&amp;IF($O1754=0,"Gross acres unresolved. ","")&amp;"Gross=tract-map basis."))</x:f>
        <x:v>Mineral; basis Conv Amt(dec). Gross acres unresolved. Gross=tract-map basis.</x:v>
      </x:c>
      <x:c r="T1754" s="578" t="n"/>
      <x:c r="U1754" s="578" t="n"/>
      <x:c r="V1754" s="565" t="n"/>
      <x:c r="W1754" s="565" t="n"/>
      <x:c r="X1754" s="565" t="n"/>
      <x:c r="Y1754" s="565" t="n"/>
      <x:c r="Z1754" s="565" t="n"/>
    </x:row>
    <x:row r="1755">
      <x:c r="A1755" s="552" t="inlineStr">
        <x:is>
          <x:t xml:space="preserve">1994-006415</x:t>
        </x:is>
      </x:c>
      <x:c r="B1755" s="552" t="n"/>
      <x:c r="C1755" s="552" t="inlineStr">
        <x:is>
          <x:t xml:space="preserve">Mineral Deed</x:t>
        </x:is>
      </x:c>
      <x:c r="D1755" s="552" t="inlineStr">
        <x:is>
          <x:t xml:space="preserve">1422/9</x:t>
        </x:is>
      </x:c>
      <x:c r="E1755" s="653" t="n">
        <x:v>34542</x:v>
      </x:c>
      <x:c r="F1755" s="653" t="n">
        <x:v>34542</x:v>
      </x:c>
      <x:c r="G1755" s="552" t="inlineStr">
        <x:is>
          <x:t xml:space="preserve">Hayhurst Oil Properties, Inc.</x:t>
        </x:is>
      </x:c>
      <x:c r="H1755" s="552" t="inlineStr">
        <x:is>
          <x:t xml:space="preserve">Nam Corporation, 1/2,
Tripco, Inc., 1/2</x:t>
        </x:is>
      </x:c>
      <x:c r="I1755" s="552" t="inlineStr">
        <x:is>
          <x:t xml:space="preserve">E/2 NW/4, N/2 NE/4 SW/4, NE/4 SE/4, SE/4 NE/4 of 31-12N-24W, aol</x:t>
        </x:is>
      </x:c>
      <x:c r="J1755" s="552" t="inlineStr">
        <x:is>
          <x:t xml:space="preserve">2/260 interest in 2 sections</x:t>
        </x:is>
      </x:c>
      <x:c r="K1755" s="554" t="e">
        <x:f>HYPERLINK("https://okcountyrecords.com/detail/roger+mills/1994-006415","OKCountyRecords: 1994-006415")</x:f>
      </x:c>
      <x:c r="L1755" s="552" t="inlineStr">
        <x:is>
          <x:t xml:space="preserve">1, 3, 4, 7, 8</x:t>
        </x:is>
      </x:c>
      <x:c r="M1755" s="552" t="inlineStr">
        <x:is>
          <x:t xml:space="preserve">Mineral</x:t>
        </x:is>
      </x:c>
      <x:c r="N1755" s="561" t="n">
        <x:f>2/260</x:f>
        <x:v>0.007692307692307693</x:v>
      </x:c>
      <x:c r="O1755" s="556" t="n">
        <x:f>IF($L1755="","",IF(ISNUMBER(SEARCH("all",$L1755)),640,(ISNUMBER(SEARCH("1",$L1755)))*80+(ISNUMBER(SEARCH("2",$L1755)))*160+(ISNUMBER(SEARCH("3",$L1755)))*40+(ISNUMBER(SEARCH("4",$L1755)))*80+(ISNUMBER(SEARCH("5",$L1755)))*120+(ISNUMBER(SEARCH("6",$L1755)))*80+(ISNUMBER(SEARCH("7",$L1755)))*40+(ISNUMBER(SEARCH("8",$L1755)))*40))</x:f>
        <x:v>0</x:v>
      </x:c>
      <x:c r="P1755" s="654" t="n">
        <x:f>IF($M1755&lt;&gt;"Mineral","",IF(ISNUMBER($N1755),$N1755,IF(OR(ISNUMBER(SEARCH("surface",$J1755)),ISNUMBER(SEARCH("reserv",$J1755)),ISNUMBER(SEARCH("less and except",$J1755))),0,"")))</x:f>
        <x:v>0.007692307692307693</x:v>
      </x:c>
      <x:c r="Q1755" s="654" t="n">
        <x:f>IF($P1755="","",-$P1755)</x:f>
        <x:v>-0.007692307692307693</x:v>
      </x:c>
      <x:c r="R1755" s="655" t="n">
        <x:f>IF($P1755="","",$O1755*$P1755)</x:f>
        <x:v>0</x:v>
      </x:c>
      <x:c r="S1755" s="552" t="str">
        <x:f>IF($M1755="","",TRIM(IF($M1755="Mineral",IF(ISNUMBER($N1755),"Mineral; basis Conv Amt(dec). ",IF($P1755=0,"Mineral; surface-only/reserved-&gt;0 min. ","Mineral; NO AMOUNT-verify instrument. ")),$M1755&amp;" (non-mineral; excluded from mineral NMA). ")&amp;IF(OR(ISNUMBER(SEARCH("public",$G1755)),ISNUMBER(SEARCH("public",$H1755))),"FLAG: The Public placeholder-verify. ","")&amp;IF(ISNUMBER(SEARCH("all",$L1755)),"All-section coverage. ","")&amp;IF($O1755=0,"Gross acres unresolved. ","")&amp;"Gross=tract-map basis."))</x:f>
        <x:v>Mineral; basis Conv Amt(dec). Gross acres unresolved. Gross=tract-map basis.</x:v>
      </x:c>
      <x:c r="T1755" s="577" t="n"/>
      <x:c r="U1755" s="577" t="n"/>
      <x:c r="V1755" s="565" t="n"/>
      <x:c r="W1755" s="565" t="n"/>
      <x:c r="X1755" s="565" t="n"/>
      <x:c r="Y1755" s="565" t="n"/>
      <x:c r="Z1755" s="565" t="n"/>
    </x:row>
    <x:row r="1756">
      <x:c r="A1756" s="552" t="inlineStr">
        <x:is>
          <x:t xml:space="preserve">1995-003404</x:t>
        </x:is>
      </x:c>
      <x:c r="B1756" s="552" t="n"/>
      <x:c r="C1756" s="552" t="inlineStr">
        <x:is>
          <x:t xml:space="preserve">Mineral Deed</x:t>
        </x:is>
      </x:c>
      <x:c r="D1756" s="552" t="inlineStr">
        <x:is>
          <x:t xml:space="preserve">1457/173</x:t>
        </x:is>
      </x:c>
      <x:c r="E1756" s="653" t="n">
        <x:v>34754</x:v>
      </x:c>
      <x:c r="F1756" s="653" t="n">
        <x:v>34754</x:v>
      </x:c>
      <x:c r="G1756" s="552" t="inlineStr">
        <x:is>
          <x:t xml:space="preserve">Tripco, Inc.</x:t>
        </x:is>
      </x:c>
      <x:c r="H1756" s="552" t="inlineStr">
        <x:is>
          <x:t xml:space="preserve">Prudential Securities, C/F Cynthia L. Pipkin I.R.A. Rollover Dated January 23, 1995</x:t>
        </x:is>
      </x:c>
      <x:c r="I1756" s="552" t="inlineStr">
        <x:is>
          <x:t xml:space="preserve">E/2 NW/4, N/2 NE/4 SW/4, NE/4 SE/4, SE/4 NE/4 of 31-12N-24W, aol</x:t>
        </x:is>
      </x:c>
      <x:c r="J1756" s="552" t="inlineStr">
        <x:is>
          <x:t xml:space="preserve">ARTI</x:t>
        </x:is>
      </x:c>
      <x:c r="K1756" s="554" t="e">
        <x:f>HYPERLINK("https://okcountyrecords.com/detail/roger+mills/1995-003404","OKCountyRecords: 1995-003404")</x:f>
      </x:c>
      <x:c r="L1756" s="552" t="inlineStr">
        <x:is>
          <x:t xml:space="preserve">1, 3, 4, 7, 8</x:t>
        </x:is>
      </x:c>
      <x:c r="M1756" s="552" t="inlineStr">
        <x:is>
          <x:t xml:space="preserve">Mineral</x:t>
        </x:is>
      </x:c>
      <x:c r="N1756" s="561" t="n">
        <x:v>1</x:v>
      </x:c>
      <x:c r="O1756" s="556" t="n">
        <x:f>IF($L1756="","",IF(ISNUMBER(SEARCH("all",$L1756)),640,(ISNUMBER(SEARCH("1",$L1756)))*80+(ISNUMBER(SEARCH("2",$L1756)))*160+(ISNUMBER(SEARCH("3",$L1756)))*40+(ISNUMBER(SEARCH("4",$L1756)))*80+(ISNUMBER(SEARCH("5",$L1756)))*120+(ISNUMBER(SEARCH("6",$L1756)))*80+(ISNUMBER(SEARCH("7",$L1756)))*40+(ISNUMBER(SEARCH("8",$L1756)))*40))</x:f>
        <x:v>0</x:v>
      </x:c>
      <x:c r="P1756" s="654" t="n">
        <x:f>IF($M1756&lt;&gt;"Mineral","",IF(ISNUMBER($N1756),$N1756,IF(OR(ISNUMBER(SEARCH("surface",$J1756)),ISNUMBER(SEARCH("reserv",$J1756)),ISNUMBER(SEARCH("less and except",$J1756))),0,"")))</x:f>
        <x:v>1</x:v>
      </x:c>
      <x:c r="Q1756" s="654" t="n">
        <x:f>IF($P1756="","",-$P1756)</x:f>
        <x:v>-1</x:v>
      </x:c>
      <x:c r="R1756" s="655" t="n">
        <x:f>IF($P1756="","",$O1756*$P1756)</x:f>
        <x:v>0</x:v>
      </x:c>
      <x:c r="S1756" s="552" t="str">
        <x:f>IF($M1756="","",TRIM(IF($M1756="Mineral",IF(ISNUMBER($N1756),"Mineral; basis Conv Amt(dec). ",IF($P1756=0,"Mineral; surface-only/reserved-&gt;0 min. ","Mineral; NO AMOUNT-verify instrument. ")),$M1756&amp;" (non-mineral; excluded from mineral NMA). ")&amp;IF(OR(ISNUMBER(SEARCH("public",$G1756)),ISNUMBER(SEARCH("public",$H1756))),"FLAG: The Public placeholder-verify. ","")&amp;IF(ISNUMBER(SEARCH("all",$L1756)),"All-section coverage. ","")&amp;IF($O1756=0,"Gross acres unresolved. ","")&amp;"Gross=tract-map basis."))</x:f>
        <x:v>Mineral; basis Conv Amt(dec). Gross acres unresolved. Gross=tract-map basis.</x:v>
      </x:c>
      <x:c r="T1756" s="578" t="n"/>
      <x:c r="U1756" s="578" t="n"/>
      <x:c r="V1756" s="565" t="n"/>
      <x:c r="W1756" s="565" t="n"/>
      <x:c r="X1756" s="565" t="n"/>
      <x:c r="Y1756" s="565" t="n"/>
      <x:c r="Z1756" s="565" t="n"/>
    </x:row>
    <x:row r="1757">
      <x:c r="A1757" s="552" t="inlineStr">
        <x:is>
          <x:t xml:space="preserve">1995-003767</x:t>
        </x:is>
      </x:c>
      <x:c r="B1757" s="552" t="n"/>
      <x:c r="C1757" s="552" t="inlineStr">
        <x:is>
          <x:t xml:space="preserve">Quit Claim Deed</x:t>
        </x:is>
      </x:c>
      <x:c r="D1757" s="552" t="inlineStr">
        <x:is>
          <x:t xml:space="preserve">1459/583</x:t>
        </x:is>
      </x:c>
      <x:c r="E1757" s="653" t="n">
        <x:v>34778</x:v>
      </x:c>
      <x:c r="F1757" s="653" t="n">
        <x:v>34778</x:v>
      </x:c>
      <x:c r="G1757" s="552" t="inlineStr">
        <x:is>
          <x:t xml:space="preserve">Joseph Devenas</x:t>
        </x:is>
      </x:c>
      <x:c r="H1757" s="552" t="inlineStr">
        <x:is>
          <x:t xml:space="preserve">Joseph Devenas, As Trustee of The Joseph Devenas Trust Declaration Dated September 7, 1994</x:t>
        </x:is>
      </x:c>
      <x:c r="I1757" s="552" t="inlineStr">
        <x:is>
          <x:t xml:space="preserve">SE/4 SW/4 of 31-12N-24W, aol</x:t>
        </x:is>
      </x:c>
      <x:c r="J1757" s="552" t="inlineStr">
        <x:is>
          <x:t xml:space="preserve">ARTI, An undivided 7/48ths interest
(5.8333 min. ac.)</x:t>
        </x:is>
      </x:c>
      <x:c r="K1757" s="554" t="e">
        <x:f>HYPERLINK("https://okcountyrecords.com/detail/roger+mills/1995-003767","OKCountyRecords: 1995-003767")</x:f>
      </x:c>
      <x:c r="L1757" s="552" t="n">
        <x:v>5</x:v>
      </x:c>
      <x:c r="M1757" s="552" t="inlineStr">
        <x:is>
          <x:t xml:space="preserve">Mineral</x:t>
        </x:is>
      </x:c>
      <x:c r="N1757" s="555" t="n">
        <x:v>1</x:v>
      </x:c>
      <x:c r="O1757" s="556" t="n">
        <x:f>IF($L1757="","",IF(ISNUMBER(SEARCH("all",$L1757)),640,(ISNUMBER(SEARCH("1",$L1757)))*80+(ISNUMBER(SEARCH("2",$L1757)))*160+(ISNUMBER(SEARCH("3",$L1757)))*40+(ISNUMBER(SEARCH("4",$L1757)))*80+(ISNUMBER(SEARCH("5",$L1757)))*120+(ISNUMBER(SEARCH("6",$L1757)))*80+(ISNUMBER(SEARCH("7",$L1757)))*40+(ISNUMBER(SEARCH("8",$L1757)))*40))</x:f>
        <x:v>0</x:v>
      </x:c>
      <x:c r="P1757" s="654" t="n">
        <x:f>IF($M1757&lt;&gt;"Mineral","",IF(ISNUMBER($N1757),$N1757,IF(OR(ISNUMBER(SEARCH("surface",$J1757)),ISNUMBER(SEARCH("reserv",$J1757)),ISNUMBER(SEARCH("less and except",$J1757))),0,"")))</x:f>
        <x:v>1</x:v>
      </x:c>
      <x:c r="Q1757" s="654" t="n">
        <x:f>IF($P1757="","",-$P1757)</x:f>
        <x:v>-1</x:v>
      </x:c>
      <x:c r="R1757" s="655" t="n">
        <x:f>IF($P1757="","",$O1757*$P1757)</x:f>
        <x:v>0</x:v>
      </x:c>
      <x:c r="S1757" s="552" t="str">
        <x:f>IF($M1757="","",TRIM(IF($M1757="Mineral",IF(ISNUMBER($N1757),"Mineral; basis Conv Amt(dec). ",IF($P1757=0,"Mineral; surface-only/reserved-&gt;0 min. ","Mineral; NO AMOUNT-verify instrument. ")),$M1757&amp;" (non-mineral; excluded from mineral NMA). ")&amp;IF(OR(ISNUMBER(SEARCH("public",$G1757)),ISNUMBER(SEARCH("public",$H1757))),"FLAG: The Public placeholder-verify. ","")&amp;IF(ISNUMBER(SEARCH("all",$L1757)),"All-section coverage. ","")&amp;IF($O1757=0,"Gross acres unresolved. ","")&amp;"Gross=tract-map basis."))</x:f>
        <x:v>Mineral; basis Conv Amt(dec). Gross acres unresolved. Gross=tract-map basis.</x:v>
      </x:c>
      <x:c r="T1757" s="578" t="n"/>
      <x:c r="U1757" s="578" t="n"/>
      <x:c r="V1757" s="565" t="n"/>
      <x:c r="W1757" s="565" t="n"/>
      <x:c r="X1757" s="565" t="n"/>
      <x:c r="Y1757" s="565" t="n"/>
      <x:c r="Z1757" s="565" t="n"/>
    </x:row>
    <x:row r="1758">
      <x:c r="A1758" s="552" t="inlineStr">
        <x:is>
          <x:t xml:space="preserve">1995-000396</x:t>
        </x:is>
      </x:c>
      <x:c r="B1758" s="552" t="n"/>
      <x:c r="C1758" s="552" t="inlineStr">
        <x:is>
          <x:t xml:space="preserve">Mineral Deed</x:t>
        </x:is>
      </x:c>
      <x:c r="D1758" s="552" t="inlineStr">
        <x:is>
          <x:t xml:space="preserve">1470/59</x:t>
        </x:is>
      </x:c>
      <x:c r="E1758" s="653" t="n">
        <x:v>34920</x:v>
      </x:c>
      <x:c r="F1758" s="653" t="n">
        <x:v>34920</x:v>
      </x:c>
      <x:c r="G1758" s="552" t="inlineStr">
        <x:is>
          <x:t xml:space="preserve">Alpine Oil and Royalty Co, Inc.</x:t>
        </x:is>
      </x:c>
      <x:c r="H1758" s="552" t="inlineStr">
        <x:is>
          <x:t xml:space="preserve">Melinda McCaul Mulvihill, Executor of the Estate of Dwight J. Wilson, deceased</x:t>
        </x:is>
      </x:c>
      <x:c r="I1758" s="552" t="inlineStr">
        <x:is>
          <x:t xml:space="preserve">NW/4 SE/4, SW/4 NE/4, S/2 SE/4 of 31-12N-24W, aol</x:t>
        </x:is>
      </x:c>
      <x:c r="J1758" s="552" t="inlineStr">
        <x:is>
          <x:t xml:space="preserve">ARTI
It is the intention of the Grantor to grant, bargain, sell, convey, transfer, assign and deliver unto aboved named Grantees, all the right title and interest in the above described land held in the name of Alpine Oil &amp; Royalty Co., Inc, Alpine Oil &amp; Royalty, Alpine Oil &amp; Royalty Co., or Alpine Royalty, all being one and the same company, and Alpine Investments, Inc.or Union Royalty Company.</x:t>
        </x:is>
      </x:c>
      <x:c r="K1758" s="554" t="e">
        <x:f>HYPERLINK("https://okcountyrecords.com/detail/roger+mills/1995-000396","OKCountyRecords: 1995-000396")</x:f>
      </x:c>
      <x:c r="L1758" s="552" t="n">
        <x:v>2</x:v>
      </x:c>
      <x:c r="M1758" s="552" t="inlineStr">
        <x:is>
          <x:t xml:space="preserve">Mineral</x:t>
        </x:is>
      </x:c>
      <x:c r="N1758" s="555" t="n">
        <x:v>1</x:v>
      </x:c>
      <x:c r="O1758" s="556" t="n">
        <x:f>IF($L1758="","",IF(ISNUMBER(SEARCH("all",$L1758)),640,(ISNUMBER(SEARCH("1",$L1758)))*80+(ISNUMBER(SEARCH("2",$L1758)))*160+(ISNUMBER(SEARCH("3",$L1758)))*40+(ISNUMBER(SEARCH("4",$L1758)))*80+(ISNUMBER(SEARCH("5",$L1758)))*120+(ISNUMBER(SEARCH("6",$L1758)))*80+(ISNUMBER(SEARCH("7",$L1758)))*40+(ISNUMBER(SEARCH("8",$L1758)))*40))</x:f>
        <x:v>0</x:v>
      </x:c>
      <x:c r="P1758" s="654" t="n">
        <x:f>IF($M1758&lt;&gt;"Mineral","",IF(ISNUMBER($N1758),$N1758,IF(OR(ISNUMBER(SEARCH("surface",$J1758)),ISNUMBER(SEARCH("reserv",$J1758)),ISNUMBER(SEARCH("less and except",$J1758))),0,"")))</x:f>
        <x:v>1</x:v>
      </x:c>
      <x:c r="Q1758" s="654" t="n">
        <x:f>IF($P1758="","",-$P1758)</x:f>
        <x:v>-1</x:v>
      </x:c>
      <x:c r="R1758" s="655" t="n">
        <x:f>IF($P1758="","",$O1758*$P1758)</x:f>
        <x:v>0</x:v>
      </x:c>
      <x:c r="S1758" s="552" t="str">
        <x:f>IF($M1758="","",TRIM(IF($M1758="Mineral",IF(ISNUMBER($N1758),"Mineral; basis Conv Amt(dec). ",IF($P1758=0,"Mineral; surface-only/reserved-&gt;0 min. ","Mineral; NO AMOUNT-verify instrument. ")),$M1758&amp;" (non-mineral; excluded from mineral NMA). ")&amp;IF(OR(ISNUMBER(SEARCH("public",$G1758)),ISNUMBER(SEARCH("public",$H1758))),"FLAG: The Public placeholder-verify. ","")&amp;IF(ISNUMBER(SEARCH("all",$L1758)),"All-section coverage. ","")&amp;IF($O1758=0,"Gross acres unresolved. ","")&amp;"Gross=tract-map basis."))</x:f>
        <x:v>Mineral; basis Conv Amt(dec). Gross acres unresolved. Gross=tract-map basis.</x:v>
      </x:c>
      <x:c r="T1758" s="578" t="n"/>
      <x:c r="U1758" s="578" t="n"/>
      <x:c r="V1758" s="565" t="n"/>
      <x:c r="W1758" s="565" t="n"/>
      <x:c r="X1758" s="565" t="n"/>
      <x:c r="Y1758" s="565" t="n"/>
      <x:c r="Z1758" s="565" t="n"/>
    </x:row>
    <x:row r="1759">
      <x:c r="A1759" s="552" t="inlineStr">
        <x:is>
          <x:t xml:space="preserve">1995-000748</x:t>
        </x:is>
      </x:c>
      <x:c r="B1759" s="552" t="n"/>
      <x:c r="C1759" s="552" t="inlineStr">
        <x:is>
          <x:t xml:space="preserve">Quit Claim Mineral Deed</x:t>
        </x:is>
      </x:c>
      <x:c r="D1759" s="552" t="inlineStr">
        <x:is>
          <x:t xml:space="preserve">1471/574</x:t>
        </x:is>
      </x:c>
      <x:c r="E1759" s="653" t="n">
        <x:v>34950</x:v>
      </x:c>
      <x:c r="F1759" s="653" t="n">
        <x:v>34950</x:v>
      </x:c>
      <x:c r="G1759" s="552" t="inlineStr">
        <x:is>
          <x:t xml:space="preserve">Charles R. Atha, a/k/a Charles Atha and Letty Atha, HW</x:t>
        </x:is>
      </x:c>
      <x:c r="H1759" s="552" t="inlineStr">
        <x:is>
          <x:t xml:space="preserve">Charles R. Atha, a/k/a Charles Atha and Letty Atha, HW, JTWROS</x:t>
        </x:is>
      </x:c>
      <x:c r="I1759" s="552" t="inlineStr">
        <x:is>
          <x:t xml:space="preserve">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 aol</x:t>
        </x:is>
      </x:c>
      <x:c r="J1759" s="552" t="inlineStr">
        <x:is>
          <x:t xml:space="preserve">ARTI in minerals</x:t>
        </x:is>
      </x:c>
      <x:c r="K1759" s="554" t="e">
        <x:f>HYPERLINK("https://okcountyrecords.com/detail/roger+mills/1995-000748","OKCountyRecords: 1995-000748")</x:f>
      </x:c>
      <x:c r="L1759" s="552" t="inlineStr">
        <x:is>
          <x:t xml:space="preserve">4, 5</x:t>
        </x:is>
      </x:c>
      <x:c r="M1759" s="552" t="inlineStr">
        <x:is>
          <x:t xml:space="preserve">Mineral</x:t>
        </x:is>
      </x:c>
      <x:c r="N1759" s="555" t="n">
        <x:v>1</x:v>
      </x:c>
      <x:c r="O1759" s="556" t="n">
        <x:f>IF($L1759="","",IF(ISNUMBER(SEARCH("all",$L1759)),640,(ISNUMBER(SEARCH("1",$L1759)))*80+(ISNUMBER(SEARCH("2",$L1759)))*160+(ISNUMBER(SEARCH("3",$L1759)))*40+(ISNUMBER(SEARCH("4",$L1759)))*80+(ISNUMBER(SEARCH("5",$L1759)))*120+(ISNUMBER(SEARCH("6",$L1759)))*80+(ISNUMBER(SEARCH("7",$L1759)))*40+(ISNUMBER(SEARCH("8",$L1759)))*40))</x:f>
        <x:v>0</x:v>
      </x:c>
      <x:c r="P1759" s="654" t="n">
        <x:f>IF($M1759&lt;&gt;"Mineral","",IF(ISNUMBER($N1759),$N1759,IF(OR(ISNUMBER(SEARCH("surface",$J1759)),ISNUMBER(SEARCH("reserv",$J1759)),ISNUMBER(SEARCH("less and except",$J1759))),0,"")))</x:f>
        <x:v>1</x:v>
      </x:c>
      <x:c r="Q1759" s="654" t="n">
        <x:f>IF($P1759="","",-$P1759)</x:f>
        <x:v>-1</x:v>
      </x:c>
      <x:c r="R1759" s="655" t="n">
        <x:f>IF($P1759="","",$O1759*$P1759)</x:f>
        <x:v>0</x:v>
      </x:c>
      <x:c r="S1759" s="552" t="str">
        <x:f>IF($M1759="","",TRIM(IF($M1759="Mineral",IF(ISNUMBER($N1759),"Mineral; basis Conv Amt(dec). ",IF($P1759=0,"Mineral; surface-only/reserved-&gt;0 min. ","Mineral; NO AMOUNT-verify instrument. ")),$M1759&amp;" (non-mineral; excluded from mineral NMA). ")&amp;IF(OR(ISNUMBER(SEARCH("public",$G1759)),ISNUMBER(SEARCH("public",$H1759))),"FLAG: The Public placeholder-verify. ","")&amp;IF(ISNUMBER(SEARCH("all",$L1759)),"All-section coverage. ","")&amp;IF($O1759=0,"Gross acres unresolved. ","")&amp;"Gross=tract-map basis."))</x:f>
        <x:v>Mineral; basis Conv Amt(dec). Gross acres unresolved. Gross=tract-map basis.</x:v>
      </x:c>
      <x:c r="T1759" s="578" t="n"/>
      <x:c r="U1759" s="578" t="n"/>
      <x:c r="V1759" s="565" t="n"/>
      <x:c r="W1759" s="565" t="n"/>
      <x:c r="X1759" s="565" t="n"/>
      <x:c r="Y1759" s="565" t="n"/>
      <x:c r="Z1759" s="565" t="n"/>
    </x:row>
    <x:row r="1760">
      <x:c r="A1760" s="552" t="inlineStr">
        <x:is>
          <x:t xml:space="preserve">1995-001954</x:t>
        </x:is>
      </x:c>
      <x:c r="B1760" s="552" t="n"/>
      <x:c r="C1760" s="552" t="inlineStr">
        <x:is>
          <x:t xml:space="preserve">Final Decree</x:t>
        </x:is>
      </x:c>
      <x:c r="D1760" s="552" t="inlineStr">
        <x:is>
          <x:t xml:space="preserve">1479/191</x:t>
        </x:is>
      </x:c>
      <x:c r="E1760" s="653" t="n">
        <x:v>35038</x:v>
      </x:c>
      <x:c r="F1760" s="653" t="n">
        <x:v>35038</x:v>
      </x:c>
      <x:c r="G1760" s="552" t="inlineStr">
        <x:is>
          <x:t xml:space="preserve">Kingfisher County Court,
RE: In the Matter of the Estate of Dwight J. Wilson, Deceased</x:t>
        </x:is>
      </x:c>
      <x:c r="H1760" s="552" t="inlineStr">
        <x:is>
          <x:t xml:space="preserve">Rogene E. Williams, 28.571%
Rive Lind McCaul, 28.571%
Dwight J. Williams, 14.286%
on T. Williams, Jr., 14.286%
Jan Ann Schroff, 14.286%
Melinda Ann Mulvihill, 14.286%</x:t>
        </x:is>
      </x:c>
      <x:c r="I1760" s="552" t="inlineStr">
        <x:is>
          <x:t xml:space="preserve">NW/4 SE/4, S/2 SE/4, SW/4 NE/4 of 31-12N-24W, aol</x:t>
        </x:is>
      </x:c>
      <x:c r="J1760" s="552" t="inlineStr">
        <x:is>
          <x:t xml:space="preserve">ARTI, An undivided 10/791.47ths interest in the oil, gas and other minerals</x:t>
        </x:is>
      </x:c>
      <x:c r="K1760" s="554" t="e">
        <x:f>HYPERLINK("https://okcountyrecords.com/detail/roger+mills/1995-001954","OKCountyRecords: 1995-001954")</x:f>
      </x:c>
      <x:c r="L1760" s="552" t="n">
        <x:v>2</x:v>
      </x:c>
      <x:c r="M1760" s="552" t="inlineStr">
        <x:is>
          <x:t xml:space="preserve">Mineral</x:t>
        </x:is>
      </x:c>
      <x:c r="N1760" s="555" t="n">
        <x:v>1</x:v>
      </x:c>
      <x:c r="O1760" s="556" t="n">
        <x:f>IF($L1760="","",IF(ISNUMBER(SEARCH("all",$L1760)),640,(ISNUMBER(SEARCH("1",$L1760)))*80+(ISNUMBER(SEARCH("2",$L1760)))*160+(ISNUMBER(SEARCH("3",$L1760)))*40+(ISNUMBER(SEARCH("4",$L1760)))*80+(ISNUMBER(SEARCH("5",$L1760)))*120+(ISNUMBER(SEARCH("6",$L1760)))*80+(ISNUMBER(SEARCH("7",$L1760)))*40+(ISNUMBER(SEARCH("8",$L1760)))*40))</x:f>
        <x:v>0</x:v>
      </x:c>
      <x:c r="P1760" s="654" t="n">
        <x:f>IF($M1760&lt;&gt;"Mineral","",IF(ISNUMBER($N1760),$N1760,IF(OR(ISNUMBER(SEARCH("surface",$J1760)),ISNUMBER(SEARCH("reserv",$J1760)),ISNUMBER(SEARCH("less and except",$J1760))),0,"")))</x:f>
        <x:v>1</x:v>
      </x:c>
      <x:c r="Q1760" s="654" t="n">
        <x:f>IF($P1760="","",-$P1760)</x:f>
        <x:v>-1</x:v>
      </x:c>
      <x:c r="R1760" s="655" t="n">
        <x:f>IF($P1760="","",$O1760*$P1760)</x:f>
        <x:v>0</x:v>
      </x:c>
      <x:c r="S1760" s="552" t="str">
        <x:f>IF($M1760="","",TRIM(IF($M1760="Mineral",IF(ISNUMBER($N1760),"Mineral; basis Conv Amt(dec). ",IF($P1760=0,"Mineral; surface-only/reserved-&gt;0 min. ","Mineral; NO AMOUNT-verify instrument. ")),$M1760&amp;" (non-mineral; excluded from mineral NMA). ")&amp;IF(OR(ISNUMBER(SEARCH("public",$G1760)),ISNUMBER(SEARCH("public",$H1760))),"FLAG: The Public placeholder-verify. ","")&amp;IF(ISNUMBER(SEARCH("all",$L1760)),"All-section coverage. ","")&amp;IF($O1760=0,"Gross acres unresolved. ","")&amp;"Gross=tract-map basis."))</x:f>
        <x:v>Mineral; basis Conv Amt(dec). Gross acres unresolved. Gross=tract-map basis.</x:v>
      </x:c>
      <x:c r="T1760" s="578" t="n"/>
      <x:c r="U1760" s="578" t="n"/>
      <x:c r="V1760" s="565" t="n"/>
      <x:c r="W1760" s="565" t="n"/>
      <x:c r="X1760" s="565" t="n"/>
      <x:c r="Y1760" s="565" t="n"/>
      <x:c r="Z1760" s="565" t="n"/>
    </x:row>
    <x:row r="1761">
      <x:c r="A1761" s="552" t="inlineStr">
        <x:is>
          <x:t xml:space="preserve">1997-006370</x:t>
        </x:is>
      </x:c>
      <x:c r="B1761" s="552" t="n"/>
      <x:c r="C1761" s="552" t="inlineStr">
        <x:is>
          <x:t xml:space="preserve">Quit Claim Deed</x:t>
        </x:is>
      </x:c>
      <x:c r="D1761" s="552" t="inlineStr">
        <x:is>
          <x:t xml:space="preserve">1510/566</x:t>
        </x:is>
      </x:c>
      <x:c r="E1761" s="653" t="n">
        <x:v>35430</x:v>
      </x:c>
      <x:c r="F1761" s="653" t="n">
        <x:v>35432</x:v>
      </x:c>
      <x:c r="G1761" s="552" t="inlineStr">
        <x:is>
          <x:t xml:space="preserve">Eula Cross, also known as Eula G. Cross, a single person</x:t>
        </x:is>
      </x:c>
      <x:c r="H1761" s="552" t="inlineStr">
        <x:is>
          <x:t xml:space="preserve">Patsy J. Crouse</x:t>
        </x:is>
      </x:c>
      <x:c r="I1761" s="552" t="inlineStr">
        <x:is>
          <x:t xml:space="preserve">NE/4 of 31-12N-24W, aol</x:t>
        </x:is>
      </x:c>
      <x:c r="J1761" s="552" t="inlineStr">
        <x:is>
          <x:t xml:space="preserve">ARTI</x:t>
        </x:is>
      </x:c>
      <x:c r="K1761" s="579" t="e">
        <x:f>HYPERLINK("https://okcountyrecords.com/detail/roger+mills/1997-006370","OKCountyRecords: 1997-006370")</x:f>
      </x:c>
      <x:c r="L1761" s="552" t="inlineStr">
        <x:is>
          <x:t xml:space="preserve">1, 2, 3</x:t>
        </x:is>
      </x:c>
      <x:c r="M1761" s="552" t="inlineStr">
        <x:is>
          <x:t xml:space="preserve">Mineral</x:t>
        </x:is>
      </x:c>
      <x:c r="N1761" s="555" t="n">
        <x:v>1</x:v>
      </x:c>
      <x:c r="O1761" s="556" t="n">
        <x:f>IF($L1761="","",IF(ISNUMBER(SEARCH("all",$L1761)),640,(ISNUMBER(SEARCH("1",$L1761)))*80+(ISNUMBER(SEARCH("2",$L1761)))*160+(ISNUMBER(SEARCH("3",$L1761)))*40+(ISNUMBER(SEARCH("4",$L1761)))*80+(ISNUMBER(SEARCH("5",$L1761)))*120+(ISNUMBER(SEARCH("6",$L1761)))*80+(ISNUMBER(SEARCH("7",$L1761)))*40+(ISNUMBER(SEARCH("8",$L1761)))*40))</x:f>
        <x:v>0</x:v>
      </x:c>
      <x:c r="P1761" s="654" t="n">
        <x:f>IF($M1761&lt;&gt;"Mineral","",IF(ISNUMBER($N1761),$N1761,IF(OR(ISNUMBER(SEARCH("surface",$J1761)),ISNUMBER(SEARCH("reserv",$J1761)),ISNUMBER(SEARCH("less and except",$J1761))),0,"")))</x:f>
        <x:v>1</x:v>
      </x:c>
      <x:c r="Q1761" s="654" t="n">
        <x:f>IF($P1761="","",-$P1761)</x:f>
        <x:v>-1</x:v>
      </x:c>
      <x:c r="R1761" s="655" t="n">
        <x:f>IF($P1761="","",$O1761*$P1761)</x:f>
        <x:v>0</x:v>
      </x:c>
      <x:c r="S1761" s="552" t="str">
        <x:f>IF($M1761="","",TRIM(IF($M1761="Mineral",IF(ISNUMBER($N1761),"Mineral; basis Conv Amt(dec). ",IF($P1761=0,"Mineral; surface-only/reserved-&gt;0 min. ","Mineral; NO AMOUNT-verify instrument. ")),$M1761&amp;" (non-mineral; excluded from mineral NMA). ")&amp;IF(OR(ISNUMBER(SEARCH("public",$G1761)),ISNUMBER(SEARCH("public",$H1761))),"FLAG: The Public placeholder-verify. ","")&amp;IF(ISNUMBER(SEARCH("all",$L1761)),"All-section coverage. ","")&amp;IF($O1761=0,"Gross acres unresolved. ","")&amp;"Gross=tract-map basis."))</x:f>
        <x:v>Mineral; basis Conv Amt(dec). Gross acres unresolved. Gross=tract-map basis.</x:v>
      </x:c>
      <x:c r="T1761" s="578" t="n"/>
      <x:c r="U1761" s="578" t="n"/>
      <x:c r="V1761" s="565" t="n"/>
      <x:c r="W1761" s="565" t="n"/>
      <x:c r="X1761" s="565" t="n"/>
      <x:c r="Y1761" s="565" t="n"/>
      <x:c r="Z1761" s="565" t="n"/>
    </x:row>
    <x:row r="1762">
      <x:c r="A1762" s="552" t="inlineStr">
        <x:is>
          <x:t xml:space="preserve">1997-005183</x:t>
        </x:is>
      </x:c>
      <x:c r="B1762" s="552" t="n"/>
      <x:c r="C1762" s="552" t="inlineStr">
        <x:is>
          <x:t xml:space="preserve">Quit Claim Deed</x:t>
        </x:is>
      </x:c>
      <x:c r="D1762" s="552" t="inlineStr">
        <x:is>
          <x:t xml:space="preserve">1511/32</x:t>
        </x:is>
      </x:c>
      <x:c r="E1762" s="653" t="n">
        <x:v>35432</x:v>
      </x:c>
      <x:c r="F1762" s="653" t="n">
        <x:v>35433</x:v>
      </x:c>
      <x:c r="G1762" s="552" t="inlineStr">
        <x:is>
          <x:t xml:space="preserve">Eula Cross, also known as Eula G. Cross, a single person</x:t>
        </x:is>
      </x:c>
      <x:c r="H1762" s="552" t="inlineStr">
        <x:is>
          <x:t xml:space="preserve">Patsy J. Crouse</x:t>
        </x:is>
      </x:c>
      <x:c r="I1762" s="552" t="inlineStr">
        <x:is>
          <x:t xml:space="preserve">NE/4 of 31-12N-24W, aol</x:t>
        </x:is>
      </x:c>
      <x:c r="J1762" s="552" t="inlineStr">
        <x:is>
          <x:t xml:space="preserve">ARTI</x:t>
        </x:is>
      </x:c>
      <x:c r="K1762" s="554" t="e">
        <x:f>HYPERLINK("https://okcountyrecords.com/detail/roger+mills/1997-005183","OKCountyRecords: 1997-005183")</x:f>
      </x:c>
      <x:c r="L1762" s="552" t="inlineStr">
        <x:is>
          <x:t xml:space="preserve">1, 2, 3</x:t>
        </x:is>
      </x:c>
      <x:c r="M1762" s="552" t="inlineStr">
        <x:is>
          <x:t xml:space="preserve">Mineral</x:t>
        </x:is>
      </x:c>
      <x:c r="N1762" s="555" t="n">
        <x:v>1</x:v>
      </x:c>
      <x:c r="O1762" s="556" t="n">
        <x:f>IF($L1762="","",IF(ISNUMBER(SEARCH("all",$L1762)),640,(ISNUMBER(SEARCH("1",$L1762)))*80+(ISNUMBER(SEARCH("2",$L1762)))*160+(ISNUMBER(SEARCH("3",$L1762)))*40+(ISNUMBER(SEARCH("4",$L1762)))*80+(ISNUMBER(SEARCH("5",$L1762)))*120+(ISNUMBER(SEARCH("6",$L1762)))*80+(ISNUMBER(SEARCH("7",$L1762)))*40+(ISNUMBER(SEARCH("8",$L1762)))*40))</x:f>
        <x:v>0</x:v>
      </x:c>
      <x:c r="P1762" s="654" t="n">
        <x:f>IF($M1762&lt;&gt;"Mineral","",IF(ISNUMBER($N1762),$N1762,IF(OR(ISNUMBER(SEARCH("surface",$J1762)),ISNUMBER(SEARCH("reserv",$J1762)),ISNUMBER(SEARCH("less and except",$J1762))),0,"")))</x:f>
        <x:v>1</x:v>
      </x:c>
      <x:c r="Q1762" s="654" t="n">
        <x:f>IF($P1762="","",-$P1762)</x:f>
        <x:v>-1</x:v>
      </x:c>
      <x:c r="R1762" s="655" t="n">
        <x:f>IF($P1762="","",$O1762*$P1762)</x:f>
        <x:v>0</x:v>
      </x:c>
      <x:c r="S1762" s="552" t="str">
        <x:f>IF($M1762="","",TRIM(IF($M1762="Mineral",IF(ISNUMBER($N1762),"Mineral; basis Conv Amt(dec). ",IF($P1762=0,"Mineral; surface-only/reserved-&gt;0 min. ","Mineral; NO AMOUNT-verify instrument. ")),$M1762&amp;" (non-mineral; excluded from mineral NMA). ")&amp;IF(OR(ISNUMBER(SEARCH("public",$G1762)),ISNUMBER(SEARCH("public",$H1762))),"FLAG: The Public placeholder-verify. ","")&amp;IF(ISNUMBER(SEARCH("all",$L1762)),"All-section coverage. ","")&amp;IF($O1762=0,"Gross acres unresolved. ","")&amp;"Gross=tract-map basis."))</x:f>
        <x:v>Mineral; basis Conv Amt(dec). Gross acres unresolved. Gross=tract-map basis.</x:v>
      </x:c>
      <x:c r="T1762" s="577" t="n"/>
      <x:c r="U1762" s="578" t="n"/>
      <x:c r="V1762" s="565" t="n"/>
      <x:c r="W1762" s="565" t="n"/>
      <x:c r="X1762" s="565" t="n"/>
      <x:c r="Y1762" s="565" t="n"/>
      <x:c r="Z1762" s="565" t="n"/>
    </x:row>
    <x:row r="1763">
      <x:c r="A1763" s="552" t="inlineStr">
        <x:is>
          <x:t xml:space="preserve">1997-003023</x:t>
        </x:is>
      </x:c>
      <x:c r="B1763" s="552" t="n"/>
      <x:c r="C1763" s="552" t="inlineStr">
        <x:is>
          <x:t xml:space="preserve">Warranty Deed</x:t>
        </x:is>
      </x:c>
      <x:c r="D1763" s="552" t="inlineStr">
        <x:is>
          <x:t xml:space="preserve">1514/525</x:t>
        </x:is>
      </x:c>
      <x:c r="E1763" s="653" t="n">
        <x:v>35479</x:v>
      </x:c>
      <x:c r="F1763" s="653" t="n">
        <x:v>35479</x:v>
      </x:c>
      <x:c r="G1763" s="552" t="inlineStr">
        <x:is>
          <x:t xml:space="preserve">Eula Cross, a single person</x:t>
        </x:is>
      </x:c>
      <x:c r="H1763" s="552" t="inlineStr">
        <x:is>
          <x:t xml:space="preserve">Leonard Herzperg and Mary Alice Herzperg, HW, Jtwors</x:t>
        </x:is>
      </x:c>
      <x:c r="I1763" s="552" t="inlineStr">
        <x:is>
          <x:t xml:space="preserve">A tract of land in Lot One 1 of 31-12N-24W described as follows: Beginning at the NW corner of said Lot 1, thence East 420.58 feet, thence South 725 feet, thence West 420.58 feet, and thence North 725 feet to the point of beginning, containing 7 acres, more or less</x:t>
        </x:is>
      </x:c>
      <x:c r="J1763" s="552" t="inlineStr">
        <x:is>
          <x:t xml:space="preserve">ARTI</x:t>
        </x:is>
      </x:c>
      <x:c r="K1763" s="554" t="e">
        <x:f>HYPERLINK("https://okcountyrecords.com/detail/roger+mills/1997-003023","OKCountyRecords: 1997-003023")</x:f>
      </x:c>
      <x:c r="L1763" s="552" t="n">
        <x:v>5</x:v>
      </x:c>
      <x:c r="M1763" s="552" t="inlineStr">
        <x:is>
          <x:t xml:space="preserve">Mineral</x:t>
        </x:is>
      </x:c>
      <x:c r="N1763" s="555" t="n">
        <x:v>1</x:v>
      </x:c>
      <x:c r="O1763" s="556" t="n">
        <x:f>IF($L1763="","",IF(ISNUMBER(SEARCH("all",$L1763)),640,(ISNUMBER(SEARCH("1",$L1763)))*80+(ISNUMBER(SEARCH("2",$L1763)))*160+(ISNUMBER(SEARCH("3",$L1763)))*40+(ISNUMBER(SEARCH("4",$L1763)))*80+(ISNUMBER(SEARCH("5",$L1763)))*120+(ISNUMBER(SEARCH("6",$L1763)))*80+(ISNUMBER(SEARCH("7",$L1763)))*40+(ISNUMBER(SEARCH("8",$L1763)))*40))</x:f>
        <x:v>0</x:v>
      </x:c>
      <x:c r="P1763" s="654" t="n">
        <x:f>IF($M1763&lt;&gt;"Mineral","",IF(ISNUMBER($N1763),$N1763,IF(OR(ISNUMBER(SEARCH("surface",$J1763)),ISNUMBER(SEARCH("reserv",$J1763)),ISNUMBER(SEARCH("less and except",$J1763))),0,"")))</x:f>
        <x:v>1</x:v>
      </x:c>
      <x:c r="Q1763" s="654" t="n">
        <x:f>IF($P1763="","",-$P1763)</x:f>
        <x:v>-1</x:v>
      </x:c>
      <x:c r="R1763" s="655" t="n">
        <x:f>IF($P1763="","",$O1763*$P1763)</x:f>
        <x:v>0</x:v>
      </x:c>
      <x:c r="S1763" s="552" t="str">
        <x:f>IF($M1763="","",TRIM(IF($M1763="Mineral",IF(ISNUMBER($N1763),"Mineral; basis Conv Amt(dec). ",IF($P1763=0,"Mineral; surface-only/reserved-&gt;0 min. ","Mineral; NO AMOUNT-verify instrument. ")),$M1763&amp;" (non-mineral; excluded from mineral NMA). ")&amp;IF(OR(ISNUMBER(SEARCH("public",$G1763)),ISNUMBER(SEARCH("public",$H1763))),"FLAG: The Public placeholder-verify. ","")&amp;IF(ISNUMBER(SEARCH("all",$L1763)),"All-section coverage. ","")&amp;IF($O1763=0,"Gross acres unresolved. ","")&amp;"Gross=tract-map basis."))</x:f>
        <x:v>Mineral; basis Conv Amt(dec). Gross acres unresolved. Gross=tract-map basis.</x:v>
      </x:c>
      <x:c r="T1763" s="578" t="n"/>
      <x:c r="U1763" s="578" t="n"/>
      <x:c r="V1763" s="565" t="n"/>
      <x:c r="W1763" s="565" t="n"/>
      <x:c r="X1763" s="565" t="n"/>
      <x:c r="Y1763" s="565" t="n"/>
      <x:c r="Z1763" s="565" t="n"/>
    </x:row>
    <x:row r="1764">
      <x:c r="A1764" s="552" t="inlineStr">
        <x:is>
          <x:t xml:space="preserve">1997-004254</x:t>
        </x:is>
      </x:c>
      <x:c r="B1764" s="552" t="n"/>
      <x:c r="C1764" s="552" t="inlineStr">
        <x:is>
          <x:t xml:space="preserve">Affidavit of Surviving Join Tenant</x:t>
        </x:is>
      </x:c>
      <x:c r="D1764" s="552" t="inlineStr">
        <x:is>
          <x:t xml:space="preserve">1522/215</x:t>
        </x:is>
      </x:c>
      <x:c r="E1764" s="653" t="n">
        <x:v>35549</x:v>
      </x:c>
      <x:c r="F1764" s="653" t="n">
        <x:v>35549</x:v>
      </x:c>
      <x:c r="G1764" s="552" t="inlineStr">
        <x:is>
          <x:t xml:space="preserve">Letty Jane Atha, a/k/a Letty Atha</x:t>
        </x:is>
      </x:c>
      <x:c r="H1764" s="552" t="inlineStr">
        <x:is>
          <x:t xml:space="preserve">The Public
RE: Charles R. Atha, deceased</x:t>
        </x:is>
      </x:c>
      <x:c r="I1764" s="552" t="inlineStr">
        <x:is>
          <x:t xml:space="preserve">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x:t>
        </x:is>
      </x:c>
      <x:c r="J1764" s="552" t="inlineStr">
        <x:is>
          <x:t xml:space="preserve">ARTI, Charles R. Atha died intestate on March 12, 1997 Evidence of ownership is by Quit Claim Joint Tenancy Mineral Deed dated August 18, 1995, which deed was filed August 21, 1995, and recorded in Book 1804, Page 440 of the records in the office of the County Clerk of Grady County, Oklahoma, and filed September 8, 1995, and recorded in Book 1471, Page 574 of the records in the office of the County Clerk of Roger Mills County, Oklahoma</x:t>
        </x:is>
      </x:c>
      <x:c r="K1764" s="554" t="e">
        <x:f>HYPERLINK("https://okcountyrecords.com/detail/roger+mills/1997-004254","OKCountyRecords: 1997-004254")</x:f>
      </x:c>
      <x:c r="L1764" s="552" t="inlineStr">
        <x:is>
          <x:t xml:space="preserve">4, 5</x:t>
        </x:is>
      </x:c>
      <x:c r="M1764" s="552" t="inlineStr">
        <x:is>
          <x:t xml:space="preserve">Mineral</x:t>
        </x:is>
      </x:c>
      <x:c r="N1764" s="555" t="n">
        <x:v>1</x:v>
      </x:c>
      <x:c r="O1764" s="556" t="n">
        <x:f>IF($L1764="","",IF(ISNUMBER(SEARCH("all",$L1764)),640,(ISNUMBER(SEARCH("1",$L1764)))*80+(ISNUMBER(SEARCH("2",$L1764)))*160+(ISNUMBER(SEARCH("3",$L1764)))*40+(ISNUMBER(SEARCH("4",$L1764)))*80+(ISNUMBER(SEARCH("5",$L1764)))*120+(ISNUMBER(SEARCH("6",$L1764)))*80+(ISNUMBER(SEARCH("7",$L1764)))*40+(ISNUMBER(SEARCH("8",$L1764)))*40))</x:f>
        <x:v>0</x:v>
      </x:c>
      <x:c r="P1764" s="654" t="n">
        <x:f>IF($M1764&lt;&gt;"Mineral","",IF(ISNUMBER($N1764),$N1764,IF(OR(ISNUMBER(SEARCH("surface",$J1764)),ISNUMBER(SEARCH("reserv",$J1764)),ISNUMBER(SEARCH("less and except",$J1764))),0,"")))</x:f>
        <x:v>1</x:v>
      </x:c>
      <x:c r="Q1764" s="654" t="n">
        <x:f>IF($P1764="","",-$P1764)</x:f>
        <x:v>-1</x:v>
      </x:c>
      <x:c r="R1764" s="655" t="n">
        <x:f>IF($P1764="","",$O1764*$P1764)</x:f>
        <x:v>0</x:v>
      </x:c>
      <x:c r="S1764" s="552" t="str">
        <x:f>IF($M1764="","",TRIM(IF($M1764="Mineral",IF(ISNUMBER($N1764),"Mineral; basis Conv Amt(dec). ",IF($P1764=0,"Mineral; surface-only/reserved-&gt;0 min. ","Mineral; VERIFY — NEED full instrument image for conveyed amount. ")),$M1764&amp;" (non-mineral; excluded from mineral NMA). ")&amp;IF(OR(ISNUMBER(SEARCH("public",$G1764)),ISNUMBER(SEARCH("public",$H1764))),"FLAG: The Public placeholder; VERIFY — NEED source confirmation. ","")&amp;IF(ISNUMBER(SEARCH("all",$L1764)),"All-section coverage. ","")&amp;IF($O1764=0,"Gross acres unresolved. ","")&amp;"Gross=tract-map basis."))</x:f>
        <x:v>Mineral; basis Conv Amt(dec). FLAG: The Public placeholder; VERIFY — NEED source confirmation. Gross acres unresolved. Gross=tract-map basis.</x:v>
      </x:c>
      <x:c r="T1764" s="578" t="inlineStr">
        <x:is>
          <x:t xml:space="preserve">REVIEW</x:t>
        </x:is>
      </x:c>
      <x:c r="U1764" s="578" t="inlineStr">
        <x:is>
          <x:t xml:space="preserve">NEED: confirm conveyed mineral acreage from instrument image — named party present under 'The Public' (affidavit/notice); placeholder identity resolved.</x:t>
        </x:is>
      </x:c>
      <x:c r="V1764" s="565" t="n"/>
      <x:c r="W1764" s="565" t="n"/>
      <x:c r="X1764" s="565" t="n"/>
      <x:c r="Y1764" s="565" t="n"/>
      <x:c r="Z1764" s="565" t="n"/>
    </x:row>
    <x:row r="1765">
      <x:c r="A1765" s="552" t="inlineStr">
        <x:is>
          <x:t xml:space="preserve">1998-000584</x:t>
        </x:is>
      </x:c>
      <x:c r="B1765" s="552" t="n"/>
      <x:c r="C1765" s="552" t="inlineStr">
        <x:is>
          <x:t xml:space="preserve">Quit Claim Mineral Deed</x:t>
        </x:is>
      </x:c>
      <x:c r="D1765" s="552" t="inlineStr">
        <x:is>
          <x:t xml:space="preserve">1564/310</x:t>
        </x:is>
      </x:c>
      <x:c r="E1765" s="653" t="n">
        <x:v>36026</x:v>
      </x:c>
      <x:c r="F1765" s="653" t="n">
        <x:v>36026</x:v>
      </x:c>
      <x:c r="G1765" s="552" t="inlineStr">
        <x:is>
          <x:t xml:space="preserve">Jon T. Williams and Rogene E. Williams, HW</x:t>
        </x:is>
      </x:c>
      <x:c r="H1765" s="552" t="inlineStr">
        <x:is>
          <x:t xml:space="preserve">Jon T. Williams and Rogene E. Williams, Trustees of The Jon T. and Rogene E. Williams Trust
under Trust Agreement dated April 6, 1998</x:t>
        </x:is>
      </x:c>
      <x:c r="I1765" s="552" t="inlineStr">
        <x:is>
          <x:t xml:space="preserve">NW/4 SE/4, S/2 SE/4, SW/4 NE/4 of 31-12N-24W, aol</x:t>
        </x:is>
      </x:c>
      <x:c r="J1765" s="552" t="inlineStr">
        <x:is>
          <x:t xml:space="preserve">ARTI</x:t>
        </x:is>
      </x:c>
      <x:c r="K1765" s="554" t="e">
        <x:f>HYPERLINK("https://okcountyrecords.com/detail/roger+mills/1998-000584","OKCountyRecords: 1998-000584")</x:f>
      </x:c>
      <x:c r="L1765" s="552" t="n">
        <x:v>2</x:v>
      </x:c>
      <x:c r="M1765" s="552" t="inlineStr">
        <x:is>
          <x:t xml:space="preserve">Mineral</x:t>
        </x:is>
      </x:c>
      <x:c r="N1765" s="555" t="n">
        <x:v>1</x:v>
      </x:c>
      <x:c r="O1765" s="556" t="n">
        <x:f>IF($L1765="","",IF(ISNUMBER(SEARCH("all",$L1765)),640,(ISNUMBER(SEARCH("1",$L1765)))*80+(ISNUMBER(SEARCH("2",$L1765)))*160+(ISNUMBER(SEARCH("3",$L1765)))*40+(ISNUMBER(SEARCH("4",$L1765)))*80+(ISNUMBER(SEARCH("5",$L1765)))*120+(ISNUMBER(SEARCH("6",$L1765)))*80+(ISNUMBER(SEARCH("7",$L1765)))*40+(ISNUMBER(SEARCH("8",$L1765)))*40))</x:f>
        <x:v>0</x:v>
      </x:c>
      <x:c r="P1765" s="654" t="n">
        <x:f>IF($M1765&lt;&gt;"Mineral","",IF(ISNUMBER($N1765),$N1765,IF(OR(ISNUMBER(SEARCH("surface",$J1765)),ISNUMBER(SEARCH("reserv",$J1765)),ISNUMBER(SEARCH("less and except",$J1765))),0,"")))</x:f>
        <x:v>1</x:v>
      </x:c>
      <x:c r="Q1765" s="654" t="n">
        <x:f>IF($P1765="","",-$P1765)</x:f>
        <x:v>-1</x:v>
      </x:c>
      <x:c r="R1765" s="655" t="n">
        <x:f>IF($P1765="","",$O1765*$P1765)</x:f>
        <x:v>0</x:v>
      </x:c>
      <x:c r="S1765" s="552" t="str">
        <x:f>IF($M1765="","",TRIM(IF($M1765="Mineral",IF(ISNUMBER($N1765),"Mineral; basis Conv Amt(dec). ",IF($P1765=0,"Mineral; surface-only/reserved-&gt;0 min. ","Mineral; NO AMOUNT-verify instrument. ")),$M1765&amp;" (non-mineral; excluded from mineral NMA). ")&amp;IF(OR(ISNUMBER(SEARCH("public",$G1765)),ISNUMBER(SEARCH("public",$H1765))),"FLAG: The Public placeholder-verify. ","")&amp;IF(ISNUMBER(SEARCH("all",$L1765)),"All-section coverage. ","")&amp;IF($O1765=0,"Gross acres unresolved. ","")&amp;"Gross=tract-map basis."))</x:f>
        <x:v>Mineral; basis Conv Amt(dec). Gross acres unresolved. Gross=tract-map basis.</x:v>
      </x:c>
      <x:c r="T1765" s="578" t="n"/>
      <x:c r="U1765" s="578" t="n"/>
      <x:c r="V1765" s="565" t="n"/>
      <x:c r="W1765" s="565" t="n"/>
      <x:c r="X1765" s="565" t="n"/>
      <x:c r="Y1765" s="565" t="n"/>
      <x:c r="Z1765" s="565" t="n"/>
    </x:row>
    <x:row r="1766">
      <x:c r="A1766" s="552" t="inlineStr">
        <x:is>
          <x:t xml:space="preserve">1998-000907</x:t>
        </x:is>
      </x:c>
      <x:c r="B1766" s="552" t="n"/>
      <x:c r="C1766" s="552" t="inlineStr">
        <x:is>
          <x:t xml:space="preserve">Quit Claim Mineral Deed</x:t>
        </x:is>
      </x:c>
      <x:c r="D1766" s="552" t="inlineStr">
        <x:is>
          <x:t xml:space="preserve">1567/245</x:t>
        </x:is>
      </x:c>
      <x:c r="E1766" s="653" t="n">
        <x:v>36043</x:v>
      </x:c>
      <x:c r="F1766" s="653" t="n">
        <x:v>36059</x:v>
      </x:c>
      <x:c r="G1766" s="552" t="inlineStr">
        <x:is>
          <x:t xml:space="preserve">Jan A. Schroff</x:t>
        </x:is>
      </x:c>
      <x:c r="H1766" s="552" t="inlineStr">
        <x:is>
          <x:t xml:space="preserve">Jan A. Schroff, Trustee of The Jan A. Schroff Trust under Trust Agreement dated April 8, 1998</x:t>
        </x:is>
      </x:c>
      <x:c r="I1766" s="552" t="inlineStr">
        <x:is>
          <x:t xml:space="preserve">NW/4 SE/4, S/2 SE/4, SW/4 NE/4 of 31-12N-24W, aol</x:t>
        </x:is>
      </x:c>
      <x:c r="J1766" s="552" t="inlineStr">
        <x:is>
          <x:t xml:space="preserve">ARTI</x:t>
        </x:is>
      </x:c>
      <x:c r="K1766" s="554" t="e">
        <x:f>HYPERLINK("https://okcountyrecords.com/detail/roger+mills/1998-000907","OKCountyRecords: 1998-000907")</x:f>
      </x:c>
      <x:c r="L1766" s="552" t="n">
        <x:v>2</x:v>
      </x:c>
      <x:c r="M1766" s="552" t="inlineStr">
        <x:is>
          <x:t xml:space="preserve">Mineral</x:t>
        </x:is>
      </x:c>
      <x:c r="N1766" s="555" t="n">
        <x:v>1</x:v>
      </x:c>
      <x:c r="O1766" s="556" t="n">
        <x:f>IF($L1766="","",IF(ISNUMBER(SEARCH("all",$L1766)),640,(ISNUMBER(SEARCH("1",$L1766)))*80+(ISNUMBER(SEARCH("2",$L1766)))*160+(ISNUMBER(SEARCH("3",$L1766)))*40+(ISNUMBER(SEARCH("4",$L1766)))*80+(ISNUMBER(SEARCH("5",$L1766)))*120+(ISNUMBER(SEARCH("6",$L1766)))*80+(ISNUMBER(SEARCH("7",$L1766)))*40+(ISNUMBER(SEARCH("8",$L1766)))*40))</x:f>
        <x:v>0</x:v>
      </x:c>
      <x:c r="P1766" s="654" t="n">
        <x:f>IF($M1766&lt;&gt;"Mineral","",IF(ISNUMBER($N1766),$N1766,IF(OR(ISNUMBER(SEARCH("surface",$J1766)),ISNUMBER(SEARCH("reserv",$J1766)),ISNUMBER(SEARCH("less and except",$J1766))),0,"")))</x:f>
        <x:v>1</x:v>
      </x:c>
      <x:c r="Q1766" s="654" t="n">
        <x:f>IF($P1766="","",-$P1766)</x:f>
        <x:v>-1</x:v>
      </x:c>
      <x:c r="R1766" s="655" t="n">
        <x:f>IF($P1766="","",$O1766*$P1766)</x:f>
        <x:v>0</x:v>
      </x:c>
      <x:c r="S1766" s="552" t="str">
        <x:f>IF($M1766="","",TRIM(IF($M1766="Mineral",IF(ISNUMBER($N1766),"Mineral; basis Conv Amt(dec). ",IF($P1766=0,"Mineral; surface-only/reserved-&gt;0 min. ","Mineral; NO AMOUNT-verify instrument. ")),$M1766&amp;" (non-mineral; excluded from mineral NMA). ")&amp;IF(OR(ISNUMBER(SEARCH("public",$G1766)),ISNUMBER(SEARCH("public",$H1766))),"FLAG: The Public placeholder-verify. ","")&amp;IF(ISNUMBER(SEARCH("all",$L1766)),"All-section coverage. ","")&amp;IF($O1766=0,"Gross acres unresolved. ","")&amp;"Gross=tract-map basis."))</x:f>
        <x:v>Mineral; basis Conv Amt(dec). Gross acres unresolved. Gross=tract-map basis.</x:v>
      </x:c>
      <x:c r="T1766" s="577" t="n"/>
      <x:c r="U1766" s="578" t="n"/>
      <x:c r="V1766" s="565" t="n"/>
      <x:c r="W1766" s="565" t="n"/>
      <x:c r="X1766" s="565" t="n"/>
      <x:c r="Y1766" s="565" t="n"/>
      <x:c r="Z1766" s="565" t="n"/>
    </x:row>
    <x:row r="1767">
      <x:c r="A1767" s="552" t="inlineStr">
        <x:is>
          <x:t xml:space="preserve">1999-002220</x:t>
        </x:is>
      </x:c>
      <x:c r="B1767" s="552" t="n"/>
      <x:c r="C1767" s="552" t="inlineStr">
        <x:is>
          <x:t xml:space="preserve">Mineral Deed</x:t>
        </x:is>
      </x:c>
      <x:c r="D1767" s="552" t="inlineStr">
        <x:is>
          <x:t xml:space="preserve">1576/222</x:t>
        </x:is>
      </x:c>
      <x:c r="E1767" s="653" t="n">
        <x:v>36175</x:v>
      </x:c>
      <x:c r="F1767" s="653" t="n">
        <x:v>36175</x:v>
      </x:c>
      <x:c r="G1767" s="552" t="inlineStr">
        <x:is>
          <x:t xml:space="preserve">David Slobin</x:t>
        </x:is>
      </x:c>
      <x:c r="H1767" s="552" t="inlineStr">
        <x:is>
          <x:t xml:space="preserve">Myron V. Slobin</x:t>
        </x:is>
      </x:c>
      <x:c r="I1767" s="552" t="inlineStr">
        <x:is>
          <x:t xml:space="preserve">NW/4 SE/4, S/2 SE/4, SW/4 NE/4 of 31-12N-24W, aol</x:t>
        </x:is>
      </x:c>
      <x:c r="J1767" s="552" t="inlineStr">
        <x:is>
          <x:t xml:space="preserve">An undivided 1/791.47 interest in 2 sections</x:t>
        </x:is>
      </x:c>
      <x:c r="K1767" s="554" t="e">
        <x:f>HYPERLINK("https://okcountyrecords.com/detail/roger+mills/1999-002220","OKCountyRecords: 1999-002220")</x:f>
      </x:c>
      <x:c r="L1767" s="552" t="n">
        <x:v>2</x:v>
      </x:c>
      <x:c r="M1767" s="552" t="inlineStr">
        <x:is>
          <x:t xml:space="preserve">Mineral</x:t>
        </x:is>
      </x:c>
      <x:c r="N1767" s="555" t="n">
        <x:f>1/791.47</x:f>
        <x:v>0.0012634717677233501</x:v>
      </x:c>
      <x:c r="O1767" s="556" t="n">
        <x:f>IF($L1767="","",IF(ISNUMBER(SEARCH("all",$L1767)),640,(ISNUMBER(SEARCH("1",$L1767)))*80+(ISNUMBER(SEARCH("2",$L1767)))*160+(ISNUMBER(SEARCH("3",$L1767)))*40+(ISNUMBER(SEARCH("4",$L1767)))*80+(ISNUMBER(SEARCH("5",$L1767)))*120+(ISNUMBER(SEARCH("6",$L1767)))*80+(ISNUMBER(SEARCH("7",$L1767)))*40+(ISNUMBER(SEARCH("8",$L1767)))*40))</x:f>
        <x:v>0</x:v>
      </x:c>
      <x:c r="P1767" s="654" t="n">
        <x:f>IF($M1767&lt;&gt;"Mineral","",IF(ISNUMBER($N1767),$N1767,IF(OR(ISNUMBER(SEARCH("surface",$J1767)),ISNUMBER(SEARCH("reserv",$J1767)),ISNUMBER(SEARCH("less and except",$J1767))),0,"")))</x:f>
        <x:v>0.0012634717677233501</x:v>
      </x:c>
      <x:c r="Q1767" s="654" t="n">
        <x:f>IF($P1767="","",-$P1767)</x:f>
        <x:v>-0.0012634717677233501</x:v>
      </x:c>
      <x:c r="R1767" s="655" t="n">
        <x:f>IF($P1767="","",$O1767*$P1767)</x:f>
        <x:v>0</x:v>
      </x:c>
      <x:c r="S1767" s="552" t="str">
        <x:f>IF($M1767="","",TRIM(IF($M1767="Mineral",IF(ISNUMBER($N1767),"Mineral; basis Conv Amt(dec). ",IF($P1767=0,"Mineral; surface-only/reserved-&gt;0 min. ","Mineral; NO AMOUNT-verify instrument. ")),$M1767&amp;" (non-mineral; excluded from mineral NMA). ")&amp;IF(OR(ISNUMBER(SEARCH("public",$G1767)),ISNUMBER(SEARCH("public",$H1767))),"FLAG: The Public placeholder-verify. ","")&amp;IF(ISNUMBER(SEARCH("all",$L1767)),"All-section coverage. ","")&amp;IF($O1767=0,"Gross acres unresolved. ","")&amp;"Gross=tract-map basis."))</x:f>
        <x:v>Mineral; basis Conv Amt(dec). Gross acres unresolved. Gross=tract-map basis.</x:v>
      </x:c>
      <x:c r="T1767" s="578" t="n"/>
      <x:c r="U1767" s="578" t="n"/>
      <x:c r="V1767" s="565" t="n"/>
      <x:c r="W1767" s="565" t="n"/>
      <x:c r="X1767" s="565" t="n"/>
      <x:c r="Y1767" s="565" t="n"/>
      <x:c r="Z1767" s="565" t="n"/>
    </x:row>
    <x:row r="1768">
      <x:c r="A1768" s="552" t="inlineStr">
        <x:is>
          <x:t xml:space="preserve">1999-002219</x:t>
        </x:is>
      </x:c>
      <x:c r="B1768" s="552" t="n"/>
      <x:c r="C1768" s="552" t="inlineStr">
        <x:is>
          <x:t xml:space="preserve">Mineral Deed</x:t>
        </x:is>
      </x:c>
      <x:c r="D1768" s="552" t="inlineStr">
        <x:is>
          <x:t xml:space="preserve">1576/219</x:t>
        </x:is>
      </x:c>
      <x:c r="E1768" s="653" t="n">
        <x:v>36175</x:v>
      </x:c>
      <x:c r="F1768" s="653" t="n">
        <x:v>36175</x:v>
      </x:c>
      <x:c r="G1768" s="552" t="inlineStr">
        <x:is>
          <x:t xml:space="preserve">David Slobin</x:t>
        </x:is>
      </x:c>
      <x:c r="H1768" s="552" t="inlineStr">
        <x:is>
          <x:t xml:space="preserve">Myron V. Slobin</x:t>
        </x:is>
      </x:c>
      <x:c r="I1768" s="552" t="inlineStr">
        <x:is>
          <x:t xml:space="preserve">NW/4 SE/4, S/2 SE/4, SW/4 NE/4 of 31-12N-24W, aol</x:t>
        </x:is>
      </x:c>
      <x:c r="J1768" s="552" t="inlineStr">
        <x:is>
          <x:t xml:space="preserve">An undivided 6/791.47 interest in 2 sections</x:t>
        </x:is>
      </x:c>
      <x:c r="K1768" s="554" t="e">
        <x:f>HYPERLINK("https://okcountyrecords.com/detail/roger+mills/1999-002219","OKCountyRecords: 1999-002219")</x:f>
      </x:c>
      <x:c r="L1768" s="552" t="n">
        <x:v>2</x:v>
      </x:c>
      <x:c r="M1768" s="552" t="inlineStr">
        <x:is>
          <x:t xml:space="preserve">Mineral</x:t>
        </x:is>
      </x:c>
      <x:c r="N1768" s="555" t="n">
        <x:f>6/791.47</x:f>
        <x:v>0.007580830606340101</x:v>
      </x:c>
      <x:c r="O1768" s="556" t="n">
        <x:f>IF($L1768="","",IF(ISNUMBER(SEARCH("all",$L1768)),640,(ISNUMBER(SEARCH("1",$L1768)))*80+(ISNUMBER(SEARCH("2",$L1768)))*160+(ISNUMBER(SEARCH("3",$L1768)))*40+(ISNUMBER(SEARCH("4",$L1768)))*80+(ISNUMBER(SEARCH("5",$L1768)))*120+(ISNUMBER(SEARCH("6",$L1768)))*80+(ISNUMBER(SEARCH("7",$L1768)))*40+(ISNUMBER(SEARCH("8",$L1768)))*40))</x:f>
        <x:v>0</x:v>
      </x:c>
      <x:c r="P1768" s="654" t="n">
        <x:f>IF($M1768&lt;&gt;"Mineral","",IF(ISNUMBER($N1768),$N1768,IF(OR(ISNUMBER(SEARCH("surface",$J1768)),ISNUMBER(SEARCH("reserv",$J1768)),ISNUMBER(SEARCH("less and except",$J1768))),0,"")))</x:f>
        <x:v>0.007580830606340101</x:v>
      </x:c>
      <x:c r="Q1768" s="654" t="n">
        <x:f>IF($P1768="","",-$P1768)</x:f>
        <x:v>-0.007580830606340101</x:v>
      </x:c>
      <x:c r="R1768" s="655" t="n">
        <x:f>IF($P1768="","",$O1768*$P1768)</x:f>
        <x:v>0</x:v>
      </x:c>
      <x:c r="S1768" s="552" t="str">
        <x:f>IF($M1768="","",TRIM(IF($M1768="Mineral",IF(ISNUMBER($N1768),"Mineral; basis Conv Amt(dec). ",IF($P1768=0,"Mineral; surface-only/reserved-&gt;0 min. ","Mineral; NO AMOUNT-verify instrument. ")),$M1768&amp;" (non-mineral; excluded from mineral NMA). ")&amp;IF(OR(ISNUMBER(SEARCH("public",$G1768)),ISNUMBER(SEARCH("public",$H1768))),"FLAG: The Public placeholder-verify. ","")&amp;IF(ISNUMBER(SEARCH("all",$L1768)),"All-section coverage. ","")&amp;IF($O1768=0,"Gross acres unresolved. ","")&amp;"Gross=tract-map basis."))</x:f>
        <x:v>Mineral; basis Conv Amt(dec). Gross acres unresolved. Gross=tract-map basis.</x:v>
      </x:c>
      <x:c r="T1768" s="578" t="n"/>
      <x:c r="U1768" s="578" t="n"/>
      <x:c r="V1768" s="565" t="n"/>
      <x:c r="W1768" s="565" t="n"/>
      <x:c r="X1768" s="565" t="n"/>
      <x:c r="Y1768" s="565" t="n"/>
      <x:c r="Z1768" s="565" t="n"/>
    </x:row>
    <x:row r="1769">
      <x:c r="A1769" s="552" t="inlineStr">
        <x:is>
          <x:t xml:space="preserve">1999-002739</x:t>
        </x:is>
      </x:c>
      <x:c r="B1769" s="552" t="n"/>
      <x:c r="C1769" s="552" t="inlineStr">
        <x:is>
          <x:t xml:space="preserve">Quit Claim Mineral Deed</x:t>
        </x:is>
      </x:c>
      <x:c r="D1769" s="552" t="inlineStr">
        <x:is>
          <x:t xml:space="preserve">1579/358</x:t>
        </x:is>
      </x:c>
      <x:c r="E1769" s="653" t="n">
        <x:v>36215</x:v>
      </x:c>
      <x:c r="F1769" s="653" t="n">
        <x:v>36215</x:v>
      </x:c>
      <x:c r="G1769" s="552" t="inlineStr">
        <x:is>
          <x:t xml:space="preserve">Melinda McCaul Mulvihill, a/k/a Melinda Ann McCaul, a single person</x:t>
        </x:is>
      </x:c>
      <x:c r="H1769" s="552" t="inlineStr">
        <x:is>
          <x:t xml:space="preserve">Melinda McCaul Mulvihill</x:t>
        </x:is>
      </x:c>
      <x:c r="I1769" s="552" t="inlineStr">
        <x:is>
          <x:t xml:space="preserve">NW/4 SE/4, S/2 SE/4, SW/4 NE/4 of 31-12N-24W, aol</x:t>
        </x:is>
      </x:c>
      <x:c r="J1769" s="552" t="inlineStr">
        <x:is>
          <x:t xml:space="preserve">ARTI</x:t>
        </x:is>
      </x:c>
      <x:c r="K1769" s="554" t="e">
        <x:f>HYPERLINK("https://okcountyrecords.com/detail/roger+mills/1999-002739","OKCountyRecords: 1999-002739")</x:f>
      </x:c>
      <x:c r="L1769" s="552" t="n">
        <x:v>2</x:v>
      </x:c>
      <x:c r="M1769" s="552" t="inlineStr">
        <x:is>
          <x:t xml:space="preserve">Mineral</x:t>
        </x:is>
      </x:c>
      <x:c r="N1769" s="555" t="n">
        <x:v>1</x:v>
      </x:c>
      <x:c r="O1769" s="556" t="n">
        <x:f>IF($L1769="","",IF(ISNUMBER(SEARCH("all",$L1769)),640,(ISNUMBER(SEARCH("1",$L1769)))*80+(ISNUMBER(SEARCH("2",$L1769)))*160+(ISNUMBER(SEARCH("3",$L1769)))*40+(ISNUMBER(SEARCH("4",$L1769)))*80+(ISNUMBER(SEARCH("5",$L1769)))*120+(ISNUMBER(SEARCH("6",$L1769)))*80+(ISNUMBER(SEARCH("7",$L1769)))*40+(ISNUMBER(SEARCH("8",$L1769)))*40))</x:f>
        <x:v>0</x:v>
      </x:c>
      <x:c r="P1769" s="654" t="n">
        <x:f>IF($M1769&lt;&gt;"Mineral","",IF(ISNUMBER($N1769),$N1769,IF(OR(ISNUMBER(SEARCH("surface",$J1769)),ISNUMBER(SEARCH("reserv",$J1769)),ISNUMBER(SEARCH("less and except",$J1769))),0,"")))</x:f>
        <x:v>1</x:v>
      </x:c>
      <x:c r="Q1769" s="654" t="n">
        <x:f>IF($P1769="","",-$P1769)</x:f>
        <x:v>-1</x:v>
      </x:c>
      <x:c r="R1769" s="655" t="n">
        <x:f>IF($P1769="","",$O1769*$P1769)</x:f>
        <x:v>0</x:v>
      </x:c>
      <x:c r="S1769" s="552" t="str">
        <x:f>IF($M1769="","",TRIM(IF($M1769="Mineral",IF(ISNUMBER($N1769),"Mineral; basis Conv Amt(dec). ",IF($P1769=0,"Mineral; surface-only/reserved-&gt;0 min. ","Mineral; NO AMOUNT-verify instrument. ")),$M1769&amp;" (non-mineral; excluded from mineral NMA). ")&amp;IF(OR(ISNUMBER(SEARCH("public",$G1769)),ISNUMBER(SEARCH("public",$H1769))),"FLAG: The Public placeholder-verify. ","")&amp;IF(ISNUMBER(SEARCH("all",$L1769)),"All-section coverage. ","")&amp;IF($O1769=0,"Gross acres unresolved. ","")&amp;"Gross=tract-map basis."))</x:f>
        <x:v>Mineral; basis Conv Amt(dec). Gross acres unresolved. Gross=tract-map basis.</x:v>
      </x:c>
      <x:c r="T1769" s="578" t="n"/>
      <x:c r="U1769" s="578" t="n"/>
      <x:c r="V1769" s="565" t="n"/>
      <x:c r="W1769" s="565" t="n"/>
      <x:c r="X1769" s="565" t="n"/>
      <x:c r="Y1769" s="565" t="n"/>
      <x:c r="Z1769" s="565" t="n"/>
    </x:row>
    <x:row r="1770">
      <x:c r="A1770" s="552" t="inlineStr">
        <x:is>
          <x:t xml:space="preserve">1999-003117</x:t>
        </x:is>
      </x:c>
      <x:c r="B1770" s="552" t="n"/>
      <x:c r="C1770" s="552" t="inlineStr">
        <x:is>
          <x:t xml:space="preserve">Affidavit Surviving Joint Tenant</x:t>
        </x:is>
      </x:c>
      <x:c r="D1770" s="552" t="inlineStr">
        <x:is>
          <x:t xml:space="preserve">1581/316</x:t>
        </x:is>
      </x:c>
      <x:c r="E1770" s="653" t="n">
        <x:v>36250</x:v>
      </x:c>
      <x:c r="F1770" s="653" t="n">
        <x:v>36250</x:v>
      </x:c>
      <x:c r="G1770" s="552" t="inlineStr">
        <x:is>
          <x:t xml:space="preserve">Ella Pearl Kirk</x:t>
        </x:is>
      </x:c>
      <x:c r="H1770" s="552" t="inlineStr">
        <x:is>
          <x:t xml:space="preserve">The Public</x:t>
        </x:is>
      </x:c>
      <x:c r="I1770" s="552" t="inlineStr">
        <x:is>
          <x:t xml:space="preserve">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x:t>
        </x:is>
      </x:c>
      <x:c r="J1770" s="552" t="inlineStr">
        <x:is>
          <x:t xml:space="preserve">On the 16th day of November, 1977, there was conveyed to GORDON E. KIRK and ELLA PEARL KIRK, Husband and Wife, by Warranty Deed, as joint tenants and not as tenants in common, with full rights of survivorship, which said Deed was recorded in the office of the County Clerk of Roger Mills County, Oklahoma, in Book 227 of Misc. at page 89. GORDON E. KIRK died on the 25th day of May, 1998, and on the said 25th day of May, 1998.</x:t>
        </x:is>
      </x:c>
      <x:c r="K1770" s="554" t="e">
        <x:f>HYPERLINK("https://okcountyrecords.com/detail/roger+mills/1999-003117","OKCountyRecords: 1999-003117")</x:f>
      </x:c>
      <x:c r="L1770" s="552" t="inlineStr">
        <x:is>
          <x:t xml:space="preserve">4, 5</x:t>
        </x:is>
      </x:c>
      <x:c r="M1770" s="552" t="inlineStr">
        <x:is>
          <x:t xml:space="preserve">Mineral</x:t>
        </x:is>
      </x:c>
      <x:c r="N1770" s="555" t="n"/>
      <x:c r="O1770" s="556" t="n">
        <x:f>IF($L1770="","",IF(ISNUMBER(SEARCH("all",$L1770)),640,(ISNUMBER(SEARCH("1",$L1770)))*80+(ISNUMBER(SEARCH("2",$L1770)))*160+(ISNUMBER(SEARCH("3",$L1770)))*40+(ISNUMBER(SEARCH("4",$L1770)))*80+(ISNUMBER(SEARCH("5",$L1770)))*120+(ISNUMBER(SEARCH("6",$L1770)))*80+(ISNUMBER(SEARCH("7",$L1770)))*40+(ISNUMBER(SEARCH("8",$L1770)))*40))</x:f>
        <x:v>0</x:v>
      </x:c>
      <x:c r="P1770" s="654" t="str">
        <x:f>IF($M1770&lt;&gt;"Mineral","",IF(ISNUMBER($N1770),$N1770,IF(OR(ISNUMBER(SEARCH("surface",$J1770)),ISNUMBER(SEARCH("reserv",$J1770)),ISNUMBER(SEARCH("less and except",$J1770))),0,"")))</x:f>
      </x:c>
      <x:c r="Q1770" s="654" t="str">
        <x:f>IF($P1770="","",-$P1770)</x:f>
      </x:c>
      <x:c r="R1770" s="655" t="str">
        <x:f>IF($P1770="","",$O1770*$P1770)</x:f>
      </x:c>
      <x:c r="S1770" s="552" t="inlineStr">
        <x:is>
          <x:t xml:space="preserve">Mineral; VERIFY — NEED full instrument image for conveyed amount. Gross=tract-map basis.</x:t>
        </x:is>
      </x:c>
      <x:c r="T1770" s="578" t="inlineStr">
        <x:is>
          <x:t xml:space="preserve">OK</x:t>
        </x:is>
      </x:c>
      <x:c r="U1770" s="578" t="inlineStr">
        <x:is>
          <x:t xml:space="preserve">Resolved into Tract 9: affidavit of surviving joint tenant vests full interest in Ella Pearl Kirk.</x:t>
        </x:is>
      </x:c>
      <x:c r="V1770" s="565" t="n"/>
      <x:c r="W1770" s="565" t="n"/>
      <x:c r="X1770" s="565" t="n"/>
      <x:c r="Y1770" s="565" t="n"/>
      <x:c r="Z1770" s="565" t="n"/>
    </x:row>
    <x:row r="1771">
      <x:c r="A1771" s="552" t="inlineStr">
        <x:is>
          <x:t xml:space="preserve">1999-003362</x:t>
        </x:is>
      </x:c>
      <x:c r="B1771" s="552" t="n"/>
      <x:c r="C1771" s="552" t="inlineStr">
        <x:is>
          <x:t xml:space="preserve">Affidavit</x:t>
        </x:is>
      </x:c>
      <x:c r="D1771" s="552" t="inlineStr">
        <x:is>
          <x:t xml:space="preserve">1583/389</x:t>
        </x:is>
      </x:c>
      <x:c r="E1771" s="653" t="n">
        <x:v>36270</x:v>
      </x:c>
      <x:c r="F1771" s="653" t="n">
        <x:v>36270</x:v>
      </x:c>
      <x:c r="G1771" s="552" t="inlineStr">
        <x:is>
          <x:t xml:space="preserve">Albert Earnest Fuchs</x:t>
        </x:is>
      </x:c>
      <x:c r="H1771" s="552" t="inlineStr">
        <x:is>
          <x:t xml:space="preserve">The Public
RE: Opal Fuchs, Deceased
Heirs:
Aquilla Fuchs,
Delbert Norwood Fuchs,
Eldred Stephen Fuchs,
Eunice Evelyn Cook,
Isa May Smith,
Jesse William Fuchs,
LaDon Gilbert Fuchs,
Lola Fern Richard,
Maretha Opal Karezman,
Mark Joel Fuchs,
Mary Lou Dowell,
Ocie Harlon Fuchs,
Olivia Leah Lemmons,
Raymond Marcus Fuchs,
Rocilla Jewel Dilger,
Albert Earnest Fuchs</x:t>
        </x:is>
      </x:c>
      <x:c r="I1771" s="552" t="inlineStr">
        <x:is>
          <x:t xml:space="preserve">NW/4 SE/4, S/2 SE/4, SW/4 NE/4 of 31-12N-24W, aol</x:t>
        </x:is>
      </x:c>
      <x:c r="J1771" s="552" t="inlineStr">
        <x:is>
          <x:t xml:space="preserve">ARTI, An undivided 4.8329635/791.47 interest</x:t>
        </x:is>
      </x:c>
      <x:c r="K1771" s="554" t="e">
        <x:f>HYPERLINK("https://okcountyrecords.com/detail/roger+mills/1999-003362","OKCountyRecords: 1999-003362")</x:f>
      </x:c>
      <x:c r="L1771" s="552" t="n">
        <x:v>2</x:v>
      </x:c>
      <x:c r="M1771" s="552" t="inlineStr">
        <x:is>
          <x:t xml:space="preserve">Mineral</x:t>
        </x:is>
      </x:c>
      <x:c r="N1771" s="555" t="n">
        <x:v>1</x:v>
      </x:c>
      <x:c r="O1771" s="556" t="n">
        <x:f>IF($L1771="","",IF(ISNUMBER(SEARCH("all",$L1771)),640,(ISNUMBER(SEARCH("1",$L1771)))*80+(ISNUMBER(SEARCH("2",$L1771)))*160+(ISNUMBER(SEARCH("3",$L1771)))*40+(ISNUMBER(SEARCH("4",$L1771)))*80+(ISNUMBER(SEARCH("5",$L1771)))*120+(ISNUMBER(SEARCH("6",$L1771)))*80+(ISNUMBER(SEARCH("7",$L1771)))*40+(ISNUMBER(SEARCH("8",$L1771)))*40))</x:f>
        <x:v>0</x:v>
      </x:c>
      <x:c r="P1771" s="654" t="n">
        <x:f>IF($M1771&lt;&gt;"Mineral","",IF(ISNUMBER($N1771),$N1771,IF(OR(ISNUMBER(SEARCH("surface",$J1771)),ISNUMBER(SEARCH("reserv",$J1771)),ISNUMBER(SEARCH("less and except",$J1771))),0,"")))</x:f>
        <x:v>1</x:v>
      </x:c>
      <x:c r="Q1771" s="654" t="n">
        <x:f>IF($P1771="","",-$P1771)</x:f>
        <x:v>-1</x:v>
      </x:c>
      <x:c r="R1771" s="655" t="n">
        <x:f>IF($P1771="","",$O1771*$P1771)</x:f>
        <x:v>0</x:v>
      </x:c>
      <x:c r="S1771" s="552" t="str">
        <x:f>IF($M1771="","",TRIM(IF($M1771="Mineral",IF(ISNUMBER($N1771),"Mineral; basis Conv Amt(dec). ",IF($P1771=0,"Mineral; surface-only/reserved-&gt;0 min. ","Mineral; VERIFY — NEED full instrument image for conveyed amount. ")),$M1771&amp;" (non-mineral; excluded from mineral NMA). ")&amp;IF(OR(ISNUMBER(SEARCH("public",$G1771)),ISNUMBER(SEARCH("public",$H1771))),"FLAG: The Public placeholder; VERIFY — NEED source confirmation. ","")&amp;IF(ISNUMBER(SEARCH("all",$L1771)),"All-section coverage. ","")&amp;IF($O1771=0,"Gross acres unresolved. ","")&amp;"Gross=tract-map basis."))</x:f>
        <x:v>Mineral; basis Conv Amt(dec). FLAG: The Public placeholder; VERIFY — NEED source confirmation. Gross acres unresolved. Gross=tract-map basis.</x:v>
      </x:c>
      <x:c r="T1771" s="578" t="inlineStr">
        <x:is>
          <x:t xml:space="preserve">REVIEW</x:t>
        </x:is>
      </x:c>
      <x:c r="U1771" s="578" t="inlineStr">
        <x:is>
          <x:t xml:space="preserve">NEED: confirm conveyed mineral acreage from instrument image — named party present under 'The Public' (affidavit/notice); placeholder identity resolved.</x:t>
        </x:is>
      </x:c>
      <x:c r="V1771" s="565" t="n"/>
      <x:c r="W1771" s="565" t="n"/>
      <x:c r="X1771" s="565" t="n"/>
      <x:c r="Y1771" s="565" t="n"/>
      <x:c r="Z1771" s="565" t="n"/>
    </x:row>
    <x:row r="1772">
      <x:c r="A1772" s="552" t="inlineStr">
        <x:is>
          <x:t xml:space="preserve">1999-003363</x:t>
        </x:is>
      </x:c>
      <x:c r="B1772" s="552" t="n"/>
      <x:c r="C1772" s="552" t="inlineStr">
        <x:is>
          <x:t xml:space="preserve">Mineral Deed</x:t>
        </x:is>
      </x:c>
      <x:c r="D1772" s="552" t="inlineStr">
        <x:is>
          <x:t xml:space="preserve">1583/391</x:t>
        </x:is>
      </x:c>
      <x:c r="E1772" s="653" t="n">
        <x:v>36270</x:v>
      </x:c>
      <x:c r="F1772" s="653" t="n">
        <x:v>36270</x:v>
      </x:c>
      <x:c r="G1772" s="552" t="inlineStr">
        <x:is>
          <x:t xml:space="preserve">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x:t>
        </x:is>
      </x:c>
      <x:c r="H1772" s="552" t="inlineStr">
        <x:is>
          <x:t xml:space="preserve">Lola F. Richrads</x:t>
        </x:is>
      </x:c>
      <x:c r="I1772" s="552" t="inlineStr">
        <x:is>
          <x:t xml:space="preserve">NW/4 SE/4, S/2 SE/4, SW/4 NE/4 of 31-12N-24W, aol</x:t>
        </x:is>
      </x:c>
      <x:c r="J1772" s="552" t="inlineStr">
        <x:is>
          <x:t xml:space="preserve">An undivided 11.457870/791.47 interest in and to all of the oil, gas and other minerals</x:t>
        </x:is>
      </x:c>
      <x:c r="K1772" s="554" t="e">
        <x:f>HYPERLINK("https://okcountyrecords.com/detail/roger+mills/1999-003363","OKCountyRecords: 1999-003363")</x:f>
      </x:c>
      <x:c r="L1772" s="552" t="n">
        <x:v>2</x:v>
      </x:c>
      <x:c r="M1772" s="552" t="inlineStr">
        <x:is>
          <x:t xml:space="preserve">Mineral</x:t>
        </x:is>
      </x:c>
      <x:c r="N1772" s="555" t="n">
        <x:f>11.45787/791.47</x:f>
        <x:v>0.014476695263244342</x:v>
      </x:c>
      <x:c r="O1772" s="556" t="n">
        <x:f>IF($L1772="","",IF(ISNUMBER(SEARCH("all",$L1772)),640,(ISNUMBER(SEARCH("1",$L1772)))*80+(ISNUMBER(SEARCH("2",$L1772)))*160+(ISNUMBER(SEARCH("3",$L1772)))*40+(ISNUMBER(SEARCH("4",$L1772)))*80+(ISNUMBER(SEARCH("5",$L1772)))*120+(ISNUMBER(SEARCH("6",$L1772)))*80+(ISNUMBER(SEARCH("7",$L1772)))*40+(ISNUMBER(SEARCH("8",$L1772)))*40))</x:f>
        <x:v>0</x:v>
      </x:c>
      <x:c r="P1772" s="654" t="n">
        <x:f>IF($M1772&lt;&gt;"Mineral","",IF(ISNUMBER($N1772),$N1772,IF(OR(ISNUMBER(SEARCH("surface",$J1772)),ISNUMBER(SEARCH("reserv",$J1772)),ISNUMBER(SEARCH("less and except",$J1772))),0,"")))</x:f>
        <x:v>0.014476695263244342</x:v>
      </x:c>
      <x:c r="Q1772" s="654" t="n">
        <x:f>IF($P1772="","",-$P1772)</x:f>
        <x:v>-0.014476695263244342</x:v>
      </x:c>
      <x:c r="R1772" s="655" t="n">
        <x:f>IF($P1772="","",$O1772*$P1772)</x:f>
        <x:v>0</x:v>
      </x:c>
      <x:c r="S1772" s="552" t="str">
        <x:f>IF($M1772="","",TRIM(IF($M1772="Mineral",IF(ISNUMBER($N1772),"Mineral; basis Conv Amt(dec). ",IF($P1772=0,"Mineral; surface-only/reserved-&gt;0 min. ","Mineral; NO AMOUNT-verify instrument. ")),$M1772&amp;" (non-mineral; excluded from mineral NMA). ")&amp;IF(OR(ISNUMBER(SEARCH("public",$G1772)),ISNUMBER(SEARCH("public",$H1772))),"FLAG: The Public placeholder-verify. ","")&amp;IF(ISNUMBER(SEARCH("all",$L1772)),"All-section coverage. ","")&amp;IF($O1772=0,"Gross acres unresolved. ","")&amp;"Gross=tract-map basis."))</x:f>
        <x:v>Mineral; basis Conv Amt(dec). Gross acres unresolved. Gross=tract-map basis.</x:v>
      </x:c>
      <x:c r="T1772" s="578" t="n"/>
      <x:c r="U1772" s="578" t="n"/>
      <x:c r="V1772" s="565" t="n"/>
      <x:c r="W1772" s="565" t="n"/>
      <x:c r="X1772" s="565" t="n"/>
      <x:c r="Y1772" s="565" t="n"/>
      <x:c r="Z1772" s="565" t="n"/>
    </x:row>
    <x:row r="1773">
      <x:c r="A1773" s="552" t="inlineStr">
        <x:is>
          <x:t xml:space="preserve">1999-003365</x:t>
        </x:is>
      </x:c>
      <x:c r="B1773" s="552" t="n"/>
      <x:c r="C1773" s="552" t="inlineStr">
        <x:is>
          <x:t xml:space="preserve">Mineral Deed</x:t>
        </x:is>
      </x:c>
      <x:c r="D1773" s="552" t="inlineStr">
        <x:is>
          <x:t xml:space="preserve">1583/405</x:t>
        </x:is>
      </x:c>
      <x:c r="E1773" s="653" t="n">
        <x:v>36270</x:v>
      </x:c>
      <x:c r="F1773" s="653" t="n">
        <x:v>36270</x:v>
      </x:c>
      <x:c r="G1773" s="552" t="inlineStr">
        <x:is>
          <x:t xml:space="preserve">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x:t>
        </x:is>
      </x:c>
      <x:c r="H1773" s="552" t="inlineStr">
        <x:is>
          <x:t xml:space="preserve">Jessie W. Fuchs</x:t>
        </x:is>
      </x:c>
      <x:c r="I1773" s="552" t="inlineStr">
        <x:is>
          <x:t xml:space="preserve">NW/4 SE/4, S/2 SE/4, SW/4 NE/4 of 31-12N-24W, aol</x:t>
        </x:is>
      </x:c>
      <x:c r="J1773" s="552" t="inlineStr">
        <x:is>
          <x:t xml:space="preserve">An undivided 22.915741/791.47 interest in and to all of the oil, gas and other minerals</x:t>
        </x:is>
      </x:c>
      <x:c r="K1773" s="554" t="e">
        <x:f>HYPERLINK("https://okcountyrecords.com/detail/roger+mills/1999-003365","OKCountyRecords: 1999-003365")</x:f>
      </x:c>
      <x:c r="L1773" s="552" t="n">
        <x:v>2</x:v>
      </x:c>
      <x:c r="M1773" s="552" t="inlineStr">
        <x:is>
          <x:t xml:space="preserve">Mineral</x:t>
        </x:is>
      </x:c>
      <x:c r="N1773" s="555" t="n">
        <x:f>22.915741/791.47</x:f>
        <x:v>0.028953391789960453</x:v>
      </x:c>
      <x:c r="O1773" s="556" t="n">
        <x:f>IF($L1773="","",IF(ISNUMBER(SEARCH("all",$L1773)),640,(ISNUMBER(SEARCH("1",$L1773)))*80+(ISNUMBER(SEARCH("2",$L1773)))*160+(ISNUMBER(SEARCH("3",$L1773)))*40+(ISNUMBER(SEARCH("4",$L1773)))*80+(ISNUMBER(SEARCH("5",$L1773)))*120+(ISNUMBER(SEARCH("6",$L1773)))*80+(ISNUMBER(SEARCH("7",$L1773)))*40+(ISNUMBER(SEARCH("8",$L1773)))*40))</x:f>
        <x:v>0</x:v>
      </x:c>
      <x:c r="P1773" s="654" t="n">
        <x:f>IF($M1773&lt;&gt;"Mineral","",IF(ISNUMBER($N1773),$N1773,IF(OR(ISNUMBER(SEARCH("surface",$J1773)),ISNUMBER(SEARCH("reserv",$J1773)),ISNUMBER(SEARCH("less and except",$J1773))),0,"")))</x:f>
        <x:v>0.028953391789960453</x:v>
      </x:c>
      <x:c r="Q1773" s="654" t="n">
        <x:f>IF($P1773="","",-$P1773)</x:f>
        <x:v>-0.028953391789960453</x:v>
      </x:c>
      <x:c r="R1773" s="655" t="n">
        <x:f>IF($P1773="","",$O1773*$P1773)</x:f>
        <x:v>0</x:v>
      </x:c>
      <x:c r="S1773" s="552" t="str">
        <x:f>IF($M1773="","",TRIM(IF($M1773="Mineral",IF(ISNUMBER($N1773),"Mineral; basis Conv Amt(dec). ",IF($P1773=0,"Mineral; surface-only/reserved-&gt;0 min. ","Mineral; NO AMOUNT-verify instrument. ")),$M1773&amp;" (non-mineral; excluded from mineral NMA). ")&amp;IF(OR(ISNUMBER(SEARCH("public",$G1773)),ISNUMBER(SEARCH("public",$H1773))),"FLAG: The Public placeholder-verify. ","")&amp;IF(ISNUMBER(SEARCH("all",$L1773)),"All-section coverage. ","")&amp;IF($O1773=0,"Gross acres unresolved. ","")&amp;"Gross=tract-map basis."))</x:f>
        <x:v>Mineral; basis Conv Amt(dec). Gross acres unresolved. Gross=tract-map basis.</x:v>
      </x:c>
      <x:c r="T1773" s="578" t="n"/>
      <x:c r="U1773" s="578" t="n"/>
      <x:c r="V1773" s="565" t="n"/>
      <x:c r="W1773" s="565" t="n"/>
      <x:c r="X1773" s="565" t="n"/>
      <x:c r="Y1773" s="565" t="n"/>
      <x:c r="Z1773" s="565" t="n"/>
    </x:row>
    <x:row r="1774">
      <x:c r="A1774" s="552" t="inlineStr">
        <x:is>
          <x:t xml:space="preserve">1999-003366</x:t>
        </x:is>
      </x:c>
      <x:c r="B1774" s="552" t="n"/>
      <x:c r="C1774" s="552" t="inlineStr">
        <x:is>
          <x:t xml:space="preserve">Mineral Deed</x:t>
        </x:is>
      </x:c>
      <x:c r="D1774" s="552" t="inlineStr">
        <x:is>
          <x:t xml:space="preserve">1583/412</x:t>
        </x:is>
      </x:c>
      <x:c r="E1774" s="653" t="n">
        <x:v>36270</x:v>
      </x:c>
      <x:c r="F1774" s="653" t="n">
        <x:v>36270</x:v>
      </x:c>
      <x:c r="G1774" s="552" t="inlineStr">
        <x:is>
          <x:t xml:space="preserve">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x:t>
        </x:is>
      </x:c>
      <x:c r="H1774" s="552" t="inlineStr">
        <x:is>
          <x:t xml:space="preserve">Raymond M. Fuchs</x:t>
        </x:is>
      </x:c>
      <x:c r="I1774" s="552" t="inlineStr">
        <x:is>
          <x:t xml:space="preserve">NW/4 SE/4, S/2 SE/4, SW/4 NE/4 of 31-12N-24W, aol</x:t>
        </x:is>
      </x:c>
      <x:c r="J1774" s="552" t="inlineStr">
        <x:is>
          <x:t xml:space="preserve">An undivided 22.915741/791.47 interest in and to all of the oil, gas and other minerals</x:t>
        </x:is>
      </x:c>
      <x:c r="K1774" s="554" t="e">
        <x:f>HYPERLINK("https://okcountyrecords.com/detail/roger+mills/1999-003366","OKCountyRecords: 1999-003366")</x:f>
      </x:c>
      <x:c r="L1774" s="552" t="n">
        <x:v>2</x:v>
      </x:c>
      <x:c r="M1774" s="552" t="inlineStr">
        <x:is>
          <x:t xml:space="preserve">Mineral</x:t>
        </x:is>
      </x:c>
      <x:c r="N1774" s="555" t="n">
        <x:f>22.915741/791.47</x:f>
        <x:v>0.028953391789960453</x:v>
      </x:c>
      <x:c r="O1774" s="556" t="n">
        <x:f>IF($L1774="","",IF(ISNUMBER(SEARCH("all",$L1774)),640,(ISNUMBER(SEARCH("1",$L1774)))*80+(ISNUMBER(SEARCH("2",$L1774)))*160+(ISNUMBER(SEARCH("3",$L1774)))*40+(ISNUMBER(SEARCH("4",$L1774)))*80+(ISNUMBER(SEARCH("5",$L1774)))*120+(ISNUMBER(SEARCH("6",$L1774)))*80+(ISNUMBER(SEARCH("7",$L1774)))*40+(ISNUMBER(SEARCH("8",$L1774)))*40))</x:f>
        <x:v>0</x:v>
      </x:c>
      <x:c r="P1774" s="654" t="n">
        <x:f>IF($M1774&lt;&gt;"Mineral","",IF(ISNUMBER($N1774),$N1774,IF(OR(ISNUMBER(SEARCH("surface",$J1774)),ISNUMBER(SEARCH("reserv",$J1774)),ISNUMBER(SEARCH("less and except",$J1774))),0,"")))</x:f>
        <x:v>0.028953391789960453</x:v>
      </x:c>
      <x:c r="Q1774" s="654" t="n">
        <x:f>IF($P1774="","",-$P1774)</x:f>
        <x:v>-0.028953391789960453</x:v>
      </x:c>
      <x:c r="R1774" s="655" t="n">
        <x:f>IF($P1774="","",$O1774*$P1774)</x:f>
        <x:v>0</x:v>
      </x:c>
      <x:c r="S1774" s="552" t="str">
        <x:f>IF($M1774="","",TRIM(IF($M1774="Mineral",IF(ISNUMBER($N1774),"Mineral; basis Conv Amt(dec). ",IF($P1774=0,"Mineral; surface-only/reserved-&gt;0 min. ","Mineral; NO AMOUNT-verify instrument. ")),$M1774&amp;" (non-mineral; excluded from mineral NMA). ")&amp;IF(OR(ISNUMBER(SEARCH("public",$G1774)),ISNUMBER(SEARCH("public",$H1774))),"FLAG: The Public placeholder-verify. ","")&amp;IF(ISNUMBER(SEARCH("all",$L1774)),"All-section coverage. ","")&amp;IF($O1774=0,"Gross acres unresolved. ","")&amp;"Gross=tract-map basis."))</x:f>
        <x:v>Mineral; basis Conv Amt(dec). Gross acres unresolved. Gross=tract-map basis.</x:v>
      </x:c>
      <x:c r="T1774" s="578" t="n"/>
      <x:c r="U1774" s="578" t="n"/>
      <x:c r="V1774" s="565" t="n"/>
      <x:c r="W1774" s="565" t="n"/>
      <x:c r="X1774" s="565" t="n"/>
      <x:c r="Y1774" s="565" t="n"/>
      <x:c r="Z1774" s="565" t="n"/>
    </x:row>
    <x:row r="1775">
      <x:c r="A1775" s="552" t="inlineStr">
        <x:is>
          <x:t xml:space="preserve">1999-003367</x:t>
        </x:is>
      </x:c>
      <x:c r="B1775" s="552" t="n"/>
      <x:c r="C1775" s="552" t="inlineStr">
        <x:is>
          <x:t xml:space="preserve">Mineral Deed</x:t>
        </x:is>
      </x:c>
      <x:c r="D1775" s="552" t="inlineStr">
        <x:is>
          <x:t xml:space="preserve">1583/419</x:t>
        </x:is>
      </x:c>
      <x:c r="E1775" s="653" t="n">
        <x:v>36270</x:v>
      </x:c>
      <x:c r="F1775" s="653" t="n">
        <x:v>36270</x:v>
      </x:c>
      <x:c r="G1775" s="552" t="inlineStr">
        <x:is>
          <x:t xml:space="preserve">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x:t>
        </x:is>
      </x:c>
      <x:c r="H1775" s="552" t="inlineStr">
        <x:is>
          <x:t xml:space="preserve">Isa May Smith</x:t>
        </x:is>
      </x:c>
      <x:c r="I1775" s="552" t="inlineStr">
        <x:is>
          <x:t xml:space="preserve">NW/4 SE/4, S/2 SE/4, SW/4 NE/4 of 31-12N-24W, aol</x:t>
        </x:is>
      </x:c>
      <x:c r="J1775" s="552" t="inlineStr">
        <x:is>
          <x:t xml:space="preserve">An undivided 28.644676/791.47 interest in and to all of the oil, gas and other minerals</x:t>
        </x:is>
      </x:c>
      <x:c r="K1775" s="554" t="e">
        <x:f>HYPERLINK("https://okcountyrecords.com/detail/roger+mills/1999-003367","OKCountyRecords: 1999-003367")</x:f>
      </x:c>
      <x:c r="L1775" s="552" t="n">
        <x:v>2</x:v>
      </x:c>
      <x:c r="M1775" s="552" t="inlineStr">
        <x:is>
          <x:t xml:space="preserve">Mineral</x:t>
        </x:is>
      </x:c>
      <x:c r="N1775" s="555" t="n">
        <x:f>28.644676/791.47</x:f>
        <x:v>0.036191739421582624</x:v>
      </x:c>
      <x:c r="O1775" s="556" t="n">
        <x:f>IF($L1775="","",IF(ISNUMBER(SEARCH("all",$L1775)),640,(ISNUMBER(SEARCH("1",$L1775)))*80+(ISNUMBER(SEARCH("2",$L1775)))*160+(ISNUMBER(SEARCH("3",$L1775)))*40+(ISNUMBER(SEARCH("4",$L1775)))*80+(ISNUMBER(SEARCH("5",$L1775)))*120+(ISNUMBER(SEARCH("6",$L1775)))*80+(ISNUMBER(SEARCH("7",$L1775)))*40+(ISNUMBER(SEARCH("8",$L1775)))*40))</x:f>
        <x:v>0</x:v>
      </x:c>
      <x:c r="P1775" s="654" t="n">
        <x:f>IF($M1775&lt;&gt;"Mineral","",IF(ISNUMBER($N1775),$N1775,IF(OR(ISNUMBER(SEARCH("surface",$J1775)),ISNUMBER(SEARCH("reserv",$J1775)),ISNUMBER(SEARCH("less and except",$J1775))),0,"")))</x:f>
        <x:v>0.036191739421582624</x:v>
      </x:c>
      <x:c r="Q1775" s="654" t="n">
        <x:f>IF($P1775="","",-$P1775)</x:f>
        <x:v>-0.036191739421582624</x:v>
      </x:c>
      <x:c r="R1775" s="655" t="n">
        <x:f>IF($P1775="","",$O1775*$P1775)</x:f>
        <x:v>0</x:v>
      </x:c>
      <x:c r="S1775" s="552" t="str">
        <x:f>IF($M1775="","",TRIM(IF($M1775="Mineral",IF(ISNUMBER($N1775),"Mineral; basis Conv Amt(dec). ",IF($P1775=0,"Mineral; surface-only/reserved-&gt;0 min. ","Mineral; NO AMOUNT-verify instrument. ")),$M1775&amp;" (non-mineral; excluded from mineral NMA). ")&amp;IF(OR(ISNUMBER(SEARCH("public",$G1775)),ISNUMBER(SEARCH("public",$H1775))),"FLAG: The Public placeholder-verify. ","")&amp;IF(ISNUMBER(SEARCH("all",$L1775)),"All-section coverage. ","")&amp;IF($O1775=0,"Gross acres unresolved. ","")&amp;"Gross=tract-map basis."))</x:f>
        <x:v>Mineral; basis Conv Amt(dec). Gross acres unresolved. Gross=tract-map basis.</x:v>
      </x:c>
      <x:c r="T1775" s="577" t="n"/>
      <x:c r="U1775" s="578" t="n"/>
      <x:c r="V1775" s="565" t="n"/>
      <x:c r="W1775" s="565" t="n"/>
      <x:c r="X1775" s="565" t="n"/>
      <x:c r="Y1775" s="565" t="n"/>
      <x:c r="Z1775" s="565" t="n"/>
    </x:row>
    <x:row r="1776">
      <x:c r="A1776" s="552" t="inlineStr">
        <x:is>
          <x:t xml:space="preserve">1999-003368</x:t>
        </x:is>
      </x:c>
      <x:c r="B1776" s="552" t="n"/>
      <x:c r="C1776" s="552" t="inlineStr">
        <x:is>
          <x:t xml:space="preserve">Mineral Deed</x:t>
        </x:is>
      </x:c>
      <x:c r="D1776" s="552" t="inlineStr">
        <x:is>
          <x:t xml:space="preserve">1583/426</x:t>
        </x:is>
      </x:c>
      <x:c r="E1776" s="653" t="n">
        <x:v>36270</x:v>
      </x:c>
      <x:c r="F1776" s="653" t="n">
        <x:v>36270</x:v>
      </x:c>
      <x:c r="G1776" s="552" t="inlineStr">
        <x:is>
          <x:t xml:space="preserve">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x:t>
        </x:is>
      </x:c>
      <x:c r="H1776" s="552" t="inlineStr">
        <x:is>
          <x:t xml:space="preserve">Ocie H. Fuchs and Albert E. Fuchs, as Trustees of the Fuchs Family</x:t>
        </x:is>
      </x:c>
      <x:c r="I1776" s="552" t="inlineStr">
        <x:is>
          <x:t xml:space="preserve">NW/4 SE/4, S/2 SE/4, SW/4 NE/4 of 31-12N-24W, aol</x:t>
        </x:is>
      </x:c>
      <x:c r="J1776" s="552" t="inlineStr">
        <x:is>
          <x:t xml:space="preserve">An undivided 4.8329635/791.47 interest</x:t>
        </x:is>
      </x:c>
      <x:c r="K1776" s="554" t="e">
        <x:f>HYPERLINK("https://okcountyrecords.com/detail/roger+mills/1999-003368","OKCountyRecords: 1999-003368")</x:f>
      </x:c>
      <x:c r="L1776" s="552" t="n">
        <x:v>2</x:v>
      </x:c>
      <x:c r="M1776" s="552" t="inlineStr">
        <x:is>
          <x:t xml:space="preserve">Mineral</x:t>
        </x:is>
      </x:c>
      <x:c r="N1776" s="555" t="n">
        <x:f>4.8329635/791.47</x:f>
        <x:v>0.00610631293668743</x:v>
      </x:c>
      <x:c r="O1776" s="556" t="n">
        <x:f>IF($L1776="","",IF(ISNUMBER(SEARCH("all",$L1776)),640,(ISNUMBER(SEARCH("1",$L1776)))*80+(ISNUMBER(SEARCH("2",$L1776)))*160+(ISNUMBER(SEARCH("3",$L1776)))*40+(ISNUMBER(SEARCH("4",$L1776)))*80+(ISNUMBER(SEARCH("5",$L1776)))*120+(ISNUMBER(SEARCH("6",$L1776)))*80+(ISNUMBER(SEARCH("7",$L1776)))*40+(ISNUMBER(SEARCH("8",$L1776)))*40))</x:f>
        <x:v>0</x:v>
      </x:c>
      <x:c r="P1776" s="654" t="n">
        <x:f>IF($M1776&lt;&gt;"Mineral","",IF(ISNUMBER($N1776),$N1776,IF(OR(ISNUMBER(SEARCH("surface",$J1776)),ISNUMBER(SEARCH("reserv",$J1776)),ISNUMBER(SEARCH("less and except",$J1776))),0,"")))</x:f>
        <x:v>0.00610631293668743</x:v>
      </x:c>
      <x:c r="Q1776" s="654" t="n">
        <x:f>IF($P1776="","",-$P1776)</x:f>
        <x:v>-0.00610631293668743</x:v>
      </x:c>
      <x:c r="R1776" s="655" t="n">
        <x:f>IF($P1776="","",$O1776*$P1776)</x:f>
        <x:v>0</x:v>
      </x:c>
      <x:c r="S1776" s="552" t="str">
        <x:f>IF($M1776="","",TRIM(IF($M1776="Mineral",IF(ISNUMBER($N1776),"Mineral; basis Conv Amt(dec). ",IF($P1776=0,"Mineral; surface-only/reserved-&gt;0 min. ","Mineral; NO AMOUNT-verify instrument. ")),$M1776&amp;" (non-mineral; excluded from mineral NMA). ")&amp;IF(OR(ISNUMBER(SEARCH("public",$G1776)),ISNUMBER(SEARCH("public",$H1776))),"FLAG: The Public placeholder-verify. ","")&amp;IF(ISNUMBER(SEARCH("all",$L1776)),"All-section coverage. ","")&amp;IF($O1776=0,"Gross acres unresolved. ","")&amp;"Gross=tract-map basis."))</x:f>
        <x:v>Mineral; basis Conv Amt(dec). Gross acres unresolved. Gross=tract-map basis.</x:v>
      </x:c>
      <x:c r="T1776" s="577" t="n"/>
      <x:c r="U1776" s="578" t="n"/>
      <x:c r="V1776" s="565" t="n"/>
      <x:c r="W1776" s="565" t="n"/>
      <x:c r="X1776" s="565" t="n"/>
      <x:c r="Y1776" s="565" t="n"/>
      <x:c r="Z1776" s="565" t="n"/>
    </x:row>
    <x:row r="1777">
      <x:c r="A1777" s="552" t="inlineStr">
        <x:is>
          <x:t xml:space="preserve">1999-003364</x:t>
        </x:is>
      </x:c>
      <x:c r="B1777" s="552" t="n"/>
      <x:c r="C1777" s="552" t="inlineStr">
        <x:is>
          <x:t xml:space="preserve">Mineral Deed</x:t>
        </x:is>
      </x:c>
      <x:c r="D1777" s="552" t="inlineStr">
        <x:is>
          <x:t xml:space="preserve">1583/398</x:t>
        </x:is>
      </x:c>
      <x:c r="E1777" s="653" t="n">
        <x:v>36270</x:v>
      </x:c>
      <x:c r="F1777" s="653" t="n">
        <x:v>36270</x:v>
      </x:c>
      <x:c r="G1777" s="552" t="inlineStr">
        <x:is>
          <x:t xml:space="preserve">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x:t>
        </x:is>
      </x:c>
      <x:c r="H1777" s="552" t="inlineStr">
        <x:is>
          <x:t xml:space="preserve">Mark J. Fuchs</x:t>
        </x:is>
      </x:c>
      <x:c r="I1777" s="552" t="inlineStr">
        <x:is>
          <x:t xml:space="preserve">NW/4 SE/4, S/2 SE/4, SW/4 NE/4 of 31-12N-24W, aol</x:t>
        </x:is>
      </x:c>
      <x:c r="J1777" s="552" t="inlineStr">
        <x:is>
          <x:t xml:space="preserve">An undivided 5.728935/791.47 interest in and to all of the oil, gas and other minerals</x:t>
        </x:is>
      </x:c>
      <x:c r="K1777" s="554" t="e">
        <x:f>HYPERLINK("https://okcountyrecords.com/detail/roger+mills/1999-003364","OKCountyRecords: 1999-003364")</x:f>
      </x:c>
      <x:c r="L1777" s="552" t="n">
        <x:v>2</x:v>
      </x:c>
      <x:c r="M1777" s="552" t="inlineStr">
        <x:is>
          <x:t xml:space="preserve">Mineral</x:t>
        </x:is>
      </x:c>
      <x:c r="N1777" s="555" t="n">
        <x:f>5.728935/791.47</x:f>
        <x:v>0.007238347631622171</x:v>
      </x:c>
      <x:c r="O1777" s="556" t="n">
        <x:f>IF($L1777="","",IF(ISNUMBER(SEARCH("all",$L1777)),640,(ISNUMBER(SEARCH("1",$L1777)))*80+(ISNUMBER(SEARCH("2",$L1777)))*160+(ISNUMBER(SEARCH("3",$L1777)))*40+(ISNUMBER(SEARCH("4",$L1777)))*80+(ISNUMBER(SEARCH("5",$L1777)))*120+(ISNUMBER(SEARCH("6",$L1777)))*80+(ISNUMBER(SEARCH("7",$L1777)))*40+(ISNUMBER(SEARCH("8",$L1777)))*40))</x:f>
        <x:v>0</x:v>
      </x:c>
      <x:c r="P1777" s="654" t="n">
        <x:f>IF($M1777&lt;&gt;"Mineral","",IF(ISNUMBER($N1777),$N1777,IF(OR(ISNUMBER(SEARCH("surface",$J1777)),ISNUMBER(SEARCH("reserv",$J1777)),ISNUMBER(SEARCH("less and except",$J1777))),0,"")))</x:f>
        <x:v>0.007238347631622171</x:v>
      </x:c>
      <x:c r="Q1777" s="654" t="n">
        <x:f>IF($P1777="","",-$P1777)</x:f>
        <x:v>-0.007238347631622171</x:v>
      </x:c>
      <x:c r="R1777" s="655" t="n">
        <x:f>IF($P1777="","",$O1777*$P1777)</x:f>
        <x:v>0</x:v>
      </x:c>
      <x:c r="S1777" s="552" t="str">
        <x:f>IF($M1777="","",TRIM(IF($M1777="Mineral",IF(ISNUMBER($N1777),"Mineral; basis Conv Amt(dec). ",IF($P1777=0,"Mineral; surface-only/reserved-&gt;0 min. ","Mineral; NO AMOUNT-verify instrument. ")),$M1777&amp;" (non-mineral; excluded from mineral NMA). ")&amp;IF(OR(ISNUMBER(SEARCH("public",$G1777)),ISNUMBER(SEARCH("public",$H1777))),"FLAG: The Public placeholder-verify. ","")&amp;IF(ISNUMBER(SEARCH("all",$L1777)),"All-section coverage. ","")&amp;IF($O1777=0,"Gross acres unresolved. ","")&amp;"Gross=tract-map basis."))</x:f>
        <x:v>Mineral; basis Conv Amt(dec). Gross acres unresolved. Gross=tract-map basis.</x:v>
      </x:c>
      <x:c r="T1777" s="578" t="n"/>
      <x:c r="U1777" s="578" t="n"/>
      <x:c r="V1777" s="565" t="n"/>
      <x:c r="W1777" s="565" t="n"/>
      <x:c r="X1777" s="565" t="n"/>
      <x:c r="Y1777" s="565" t="n"/>
      <x:c r="Z1777" s="565" t="n"/>
    </x:row>
    <x:row r="1778">
      <x:c r="A1778" s="552" t="inlineStr">
        <x:is>
          <x:t xml:space="preserve">2016-002265</x:t>
        </x:is>
      </x:c>
      <x:c r="B1778" s="552" t="n"/>
      <x:c r="C1778" s="552" t="inlineStr">
        <x:is>
          <x:t xml:space="preserve">Certificate</x:t>
        </x:is>
      </x:c>
      <x:c r="D1778" s="552" t="inlineStr">
        <x:is>
          <x:t xml:space="preserve">2348/288</x:t>
        </x:is>
      </x:c>
      <x:c r="E1778" s="653" t="n">
        <x:v>36389</x:v>
      </x:c>
      <x:c r="F1778" s="653" t="n">
        <x:v>42642</x:v>
      </x:c>
      <x:c r="G1778" s="552" t="inlineStr">
        <x:is>
          <x:t xml:space="preserve">Bryan Living Trust,
Marilyn K. Bryan, Trustee,
Norman B. Bryan, Trustee</x:t>
        </x:is>
      </x:c>
      <x:c r="H1778" s="552" t="inlineStr">
        <x:is>
          <x:t xml:space="preserve">The Public</x:t>
        </x:is>
      </x:c>
      <x:c r="I1778" s="552" t="inlineStr">
        <x:is>
          <x:t xml:space="preserve">SE/4 SW/4 Lot 4 of 31-12N-24W, aol</x:t>
        </x:is>
      </x:c>
      <x:c r="J1778" s="552" t="inlineStr">
        <x:is>
          <x:t xml:space="preserve">Trust</x:t>
        </x:is>
      </x:c>
      <x:c r="K1778" s="554" t="e">
        <x:f>HYPERLINK("https://okcountyrecords.com/detail/roger+mills/2016-002265","OKCountyRecords: 2016-002265")</x:f>
      </x:c>
      <x:c r="L1778" s="552" t="inlineStr">
        <x:is>
          <x:t xml:space="preserve">5, 6</x:t>
        </x:is>
      </x:c>
      <x:c r="M1778" s="552" t="inlineStr">
        <x:is>
          <x:t xml:space="preserve">Other</x:t>
        </x:is>
      </x:c>
      <x:c r="N1778" s="555" t="n"/>
      <x:c r="O1778" s="556" t="n">
        <x:f>IF($L1778="","",IF(ISNUMBER(SEARCH("all",$L1778)),640,(ISNUMBER(SEARCH("1",$L1778)))*80+(ISNUMBER(SEARCH("2",$L1778)))*160+(ISNUMBER(SEARCH("3",$L1778)))*40+(ISNUMBER(SEARCH("4",$L1778)))*80+(ISNUMBER(SEARCH("5",$L1778)))*120+(ISNUMBER(SEARCH("6",$L1778)))*80+(ISNUMBER(SEARCH("7",$L1778)))*40+(ISNUMBER(SEARCH("8",$L1778)))*40))</x:f>
        <x:v>0</x:v>
      </x:c>
      <x:c r="P1778" s="654" t="str">
        <x:f>IF($M1778&lt;&gt;"Mineral","",IF(ISNUMBER($N1778),$N1778,IF(OR(ISNUMBER(SEARCH("surface",$J1778)),ISNUMBER(SEARCH("reserv",$J1778)),ISNUMBER(SEARCH("less and except",$J1778))),0,"")))</x:f>
      </x:c>
      <x:c r="Q1778" s="654" t="str">
        <x:f>IF($P1778="","",-$P1778)</x:f>
      </x:c>
      <x:c r="R1778" s="655" t="str">
        <x:f>IF($P1778="","",$O1778*$P1778)</x:f>
      </x:c>
      <x:c r="S1778" s="552" t="inlineStr">
        <x:is>
          <x:t xml:space="preserve">Other (non-mineral; excluded from mineral NMA). Gross=tract-map basis.</x:t>
        </x:is>
      </x:c>
      <x:c r="T1778" s="578" t="inlineStr">
        <x:is>
          <x:t xml:space="preserve">OK</x:t>
        </x:is>
      </x:c>
      <x:c r="U1778" s="578" t="inlineStr">
        <x:is>
          <x:t xml:space="preserve">Non-conveying — notice/affidavit/address change (The Public).</x:t>
        </x:is>
      </x:c>
      <x:c r="V1778" s="565" t="n"/>
      <x:c r="W1778" s="565" t="n"/>
      <x:c r="X1778" s="565" t="n"/>
      <x:c r="Y1778" s="565" t="n"/>
      <x:c r="Z1778" s="565" t="n"/>
    </x:row>
    <x:row r="1779">
      <x:c r="A1779" s="552" t="inlineStr">
        <x:is>
          <x:t xml:space="preserve">1999-005522</x:t>
        </x:is>
      </x:c>
      <x:c r="B1779" s="552" t="n"/>
      <x:c r="C1779" s="552" t="inlineStr">
        <x:is>
          <x:t xml:space="preserve">Quit Claim Deed</x:t>
        </x:is>
      </x:c>
      <x:c r="D1779" s="552" t="inlineStr">
        <x:is>
          <x:t xml:space="preserve">1597/174</x:t>
        </x:is>
      </x:c>
      <x:c r="E1779" s="653" t="n">
        <x:v>36481</x:v>
      </x:c>
      <x:c r="F1779" s="653" t="n">
        <x:v>36481</x:v>
      </x:c>
      <x:c r="G1779" s="552" t="inlineStr">
        <x:is>
          <x:t xml:space="preserve">Jack Mahoney</x:t>
        </x:is>
      </x:c>
      <x:c r="H1779" s="552" t="inlineStr">
        <x:is>
          <x:t xml:space="preserve">The Mahoney Childrens Trust</x:t>
        </x:is>
      </x:c>
      <x:c r="I1779" s="552" t="inlineStr">
        <x:is>
          <x:t xml:space="preserve">All of 31-12N-24W, aol</x:t>
        </x:is>
      </x:c>
      <x:c r="J1779" s="552" t="inlineStr">
        <x:is>
          <x:t xml:space="preserve">ARTI</x:t>
        </x:is>
      </x:c>
      <x:c r="K1779" s="554" t="e">
        <x:f>HYPERLINK("https://okcountyrecords.com/detail/roger+mills/1999-005522","OKCountyRecords: 1999-005522")</x:f>
      </x:c>
      <x:c r="L1779" s="552" t="inlineStr">
        <x:is>
          <x:t xml:space="preserve">All (1-8)</x:t>
        </x:is>
      </x:c>
      <x:c r="M1779" s="552" t="inlineStr">
        <x:is>
          <x:t xml:space="preserve">Mineral</x:t>
        </x:is>
      </x:c>
      <x:c r="N1779" s="555" t="n">
        <x:v>1</x:v>
      </x:c>
      <x:c r="O1779" s="556" t="n">
        <x:f>IF($L1779="","",IF(ISNUMBER(SEARCH("all",$L1779)),640,(ISNUMBER(SEARCH("1",$L1779)))*80+(ISNUMBER(SEARCH("2",$L1779)))*160+(ISNUMBER(SEARCH("3",$L1779)))*40+(ISNUMBER(SEARCH("4",$L1779)))*80+(ISNUMBER(SEARCH("5",$L1779)))*120+(ISNUMBER(SEARCH("6",$L1779)))*80+(ISNUMBER(SEARCH("7",$L1779)))*40+(ISNUMBER(SEARCH("8",$L1779)))*40))</x:f>
        <x:v>640</x:v>
      </x:c>
      <x:c r="P1779" s="654" t="n">
        <x:f>IF($M1779&lt;&gt;"Mineral","",IF(ISNUMBER($N1779),$N1779,IF(OR(ISNUMBER(SEARCH("surface",$J1779)),ISNUMBER(SEARCH("reserv",$J1779)),ISNUMBER(SEARCH("less and except",$J1779))),0,"")))</x:f>
        <x:v>1</x:v>
      </x:c>
      <x:c r="Q1779" s="654" t="n">
        <x:f>IF($P1779="","",-$P1779)</x:f>
        <x:v>-1</x:v>
      </x:c>
      <x:c r="R1779" s="655" t="n">
        <x:f>IF($P1779="","",$O1779*$P1779)</x:f>
        <x:v>640</x:v>
      </x:c>
      <x:c r="S1779" s="552" t="str">
        <x:f>IF($M1779="","",TRIM(IF($M1779="Mineral",IF(ISNUMBER($N1779),"Mineral; basis Conv Amt(dec). ",IF($P1779=0,"Mineral; surface-only/reserved-&gt;0 min. ","Mineral; NO AMOUNT-verify instrument. ")),$M1779&amp;" (non-mineral; excluded from mineral NMA). ")&amp;IF(OR(ISNUMBER(SEARCH("public",$G1779)),ISNUMBER(SEARCH("public",$H1779))),"FLAG: The Public placeholder-verify. ","")&amp;IF(ISNUMBER(SEARCH("all",$L1779)),"All-section coverage. ","")&amp;IF($O1779=0,"Gross acres unresolved. ","")&amp;"Gross=tract-map basis."))</x:f>
        <x:v>Mineral; basis Conv Amt(dec). All-section coverage. Gross=tract-map basis.</x:v>
      </x:c>
      <x:c r="T1779" s="577" t="n"/>
      <x:c r="U1779" s="578" t="n"/>
      <x:c r="V1779" s="565" t="n"/>
      <x:c r="W1779" s="565" t="n"/>
      <x:c r="X1779" s="565" t="n"/>
      <x:c r="Y1779" s="565" t="n"/>
      <x:c r="Z1779" s="565" t="n"/>
    </x:row>
    <x:row r="1780">
      <x:c r="A1780" s="552" t="inlineStr">
        <x:is>
          <x:t xml:space="preserve">1999-005936</x:t>
        </x:is>
      </x:c>
      <x:c r="B1780" s="552" t="n"/>
      <x:c r="C1780" s="552" t="inlineStr">
        <x:is>
          <x:t xml:space="preserve">Decree</x:t>
        </x:is>
      </x:c>
      <x:c r="D1780" s="552" t="inlineStr">
        <x:is>
          <x:t xml:space="preserve">1600/1</x:t>
        </x:is>
      </x:c>
      <x:c r="E1780" s="653" t="n">
        <x:v>36511</x:v>
      </x:c>
      <x:c r="F1780" s="653" t="n">
        <x:v>36511</x:v>
      </x:c>
      <x:c r="G1780" s="552" t="inlineStr">
        <x:is>
          <x:t xml:space="preserve">Roger Mills County Court
RE: In the Matter of the Estate of Letty Jane Atha, Deceased</x:t>
        </x:is>
      </x:c>
      <x:c r="H1780" s="552" t="inlineStr">
        <x:is>
          <x:t xml:space="preserve">Charles Allen Atha</x:t>
        </x:is>
      </x:c>
      <x:c r="I1780" s="552" t="inlineStr">
        <x:is>
          <x:t xml:space="preserve">A tract of land lying in 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x:t>
        </x:is>
      </x:c>
      <x:c r="J1780" s="552" t="inlineStr">
        <x:is>
          <x:t xml:space="preserve">ARTI, An undivided 23 acre interest in and to the OIL, GAS AND OTHER MINERALS</x:t>
        </x:is>
      </x:c>
      <x:c r="K1780" s="554" t="e">
        <x:f>HYPERLINK("https://okcountyrecords.com/detail/roger+mills/1999-005936","OKCountyRecords: 1999-005936")</x:f>
      </x:c>
      <x:c r="L1780" s="552" t="inlineStr">
        <x:is>
          <x:t xml:space="preserve">4, 5</x:t>
        </x:is>
      </x:c>
      <x:c r="M1780" s="552" t="inlineStr">
        <x:is>
          <x:t xml:space="preserve">Mineral</x:t>
        </x:is>
      </x:c>
      <x:c r="N1780" s="555" t="n">
        <x:v>1</x:v>
      </x:c>
      <x:c r="O1780" s="556" t="n">
        <x:f>IF($L1780="","",IF(ISNUMBER(SEARCH("all",$L1780)),640,(ISNUMBER(SEARCH("1",$L1780)))*80+(ISNUMBER(SEARCH("2",$L1780)))*160+(ISNUMBER(SEARCH("3",$L1780)))*40+(ISNUMBER(SEARCH("4",$L1780)))*80+(ISNUMBER(SEARCH("5",$L1780)))*120+(ISNUMBER(SEARCH("6",$L1780)))*80+(ISNUMBER(SEARCH("7",$L1780)))*40+(ISNUMBER(SEARCH("8",$L1780)))*40))</x:f>
        <x:v>0</x:v>
      </x:c>
      <x:c r="P1780" s="654" t="n">
        <x:f>IF($M1780&lt;&gt;"Mineral","",IF(ISNUMBER($N1780),$N1780,IF(OR(ISNUMBER(SEARCH("surface",$J1780)),ISNUMBER(SEARCH("reserv",$J1780)),ISNUMBER(SEARCH("less and except",$J1780))),0,"")))</x:f>
        <x:v>1</x:v>
      </x:c>
      <x:c r="Q1780" s="654" t="n">
        <x:f>IF($P1780="","",-$P1780)</x:f>
        <x:v>-1</x:v>
      </x:c>
      <x:c r="R1780" s="655" t="n">
        <x:f>IF($P1780="","",$O1780*$P1780)</x:f>
        <x:v>0</x:v>
      </x:c>
      <x:c r="S1780" s="552" t="str">
        <x:f>IF($M1780="","",TRIM(IF($M1780="Mineral",IF(ISNUMBER($N1780),"Mineral; basis Conv Amt(dec). ",IF($P1780=0,"Mineral; surface-only/reserved-&gt;0 min. ","Mineral; NO AMOUNT-verify instrument. ")),$M1780&amp;" (non-mineral; excluded from mineral NMA). ")&amp;IF(OR(ISNUMBER(SEARCH("public",$G1780)),ISNUMBER(SEARCH("public",$H1780))),"FLAG: The Public placeholder-verify. ","")&amp;IF(ISNUMBER(SEARCH("all",$L1780)),"All-section coverage. ","")&amp;IF($O1780=0,"Gross acres unresolved. ","")&amp;"Gross=tract-map basis."))</x:f>
        <x:v>Mineral; basis Conv Amt(dec). Gross acres unresolved. Gross=tract-map basis.</x:v>
      </x:c>
      <x:c r="T1780" s="577" t="n"/>
      <x:c r="U1780" s="578" t="n"/>
      <x:c r="V1780" s="565" t="n"/>
      <x:c r="W1780" s="565" t="n"/>
      <x:c r="X1780" s="565" t="n"/>
      <x:c r="Y1780" s="565" t="n"/>
      <x:c r="Z1780" s="565" t="n"/>
    </x:row>
    <x:row r="1781">
      <x:c r="A1781" s="552" t="inlineStr">
        <x:is>
          <x:t xml:space="preserve">1999-006000</x:t>
        </x:is>
      </x:c>
      <x:c r="B1781" s="552" t="n"/>
      <x:c r="C1781" s="552" t="inlineStr">
        <x:is>
          <x:t xml:space="preserve">Oil and Gas Lease</x:t>
        </x:is>
      </x:c>
      <x:c r="D1781" s="552" t="inlineStr">
        <x:is>
          <x:t xml:space="preserve">1600/208</x:t>
        </x:is>
      </x:c>
      <x:c r="E1781" s="653" t="n">
        <x:v>36516</x:v>
      </x:c>
      <x:c r="F1781" s="653" t="n">
        <x:v>36516</x:v>
      </x:c>
      <x:c r="G1781" s="552" t="inlineStr">
        <x:is>
          <x:t xml:space="preserve">Lola F. Richards
Route 2, Box 141
Wanette, OK 74878</x:t>
        </x:is>
      </x:c>
      <x:c r="H1781" s="552" t="inlineStr">
        <x:is>
          <x:t xml:space="preserve">EOG Resources, Inc.</x:t>
        </x:is>
      </x:c>
      <x:c r="I1781" s="552" t="inlineStr">
        <x:is>
          <x:t xml:space="preserve">NW/4 SE/4, S/2 SE/4, SW/4 NE/4 of 31-12N-24W</x:t>
        </x:is>
      </x:c>
      <x:c r="J1781" s="552" t="inlineStr">
        <x:is>
          <x:t xml:space="preserve">160 gross acres
3 years
3/16ths royalty</x:t>
        </x:is>
      </x:c>
      <x:c r="K1781" s="554" t="e">
        <x:f>HYPERLINK("https://okcountyrecords.com/detail/roger+mills/1999-006000","OKCountyRecords: 1999-006000")</x:f>
      </x:c>
      <x:c r="L1781" s="552" t="n">
        <x:v>2</x:v>
      </x:c>
      <x:c r="M1781" s="552" t="inlineStr">
        <x:is>
          <x:t xml:space="preserve">Leasehold</x:t>
        </x:is>
      </x:c>
      <x:c r="N1781" s="555" t="n"/>
      <x:c r="O1781" s="556" t="n">
        <x:f>IF($L1781="","",IF(ISNUMBER(SEARCH("all",$L1781)),640,(ISNUMBER(SEARCH("1",$L1781)))*80+(ISNUMBER(SEARCH("2",$L1781)))*160+(ISNUMBER(SEARCH("3",$L1781)))*40+(ISNUMBER(SEARCH("4",$L1781)))*80+(ISNUMBER(SEARCH("5",$L1781)))*120+(ISNUMBER(SEARCH("6",$L1781)))*80+(ISNUMBER(SEARCH("7",$L1781)))*40+(ISNUMBER(SEARCH("8",$L1781)))*40))</x:f>
        <x:v>0</x:v>
      </x:c>
      <x:c r="P1781" s="654" t="str">
        <x:f>IF($M1781&lt;&gt;"Mineral","",IF(ISNUMBER($N1781),$N1781,IF(OR(ISNUMBER(SEARCH("surface",$J1781)),ISNUMBER(SEARCH("reserv",$J1781)),ISNUMBER(SEARCH("less and except",$J1781))),0,"")))</x:f>
      </x:c>
      <x:c r="Q1781" s="654" t="str">
        <x:f>IF($P1781="","",-$P1781)</x:f>
      </x:c>
      <x:c r="R1781" s="655" t="str">
        <x:f>IF($P1781="","",$O1781*$P1781)</x:f>
      </x:c>
      <x:c r="S1781" s="552" t="str">
        <x:f>IF($M1781="","",TRIM(IF($M1781="Mineral",IF(ISNUMBER($N1781),"Mineral; basis Conv Amt(dec). ",IF($P1781=0,"Mineral; surface-only/reserved-&gt;0 min. ","Mineral; NO AMOUNT-verify instrument. ")),$M1781&amp;" (non-mineral; excluded from mineral NMA). ")&amp;IF(OR(ISNUMBER(SEARCH("public",$G1781)),ISNUMBER(SEARCH("public",$H1781))),"FLAG: The Public placeholder-verify. ","")&amp;IF(ISNUMBER(SEARCH("all",$L1781)),"All-section coverage. ","")&amp;IF($O1781=0,"Gross acres unresolved. ","")&amp;"Gross=tract-map basis."))</x:f>
        <x:v>Leasehold (non-mineral; excluded from mineral NMA). Gross acres unresolved. Gross=tract-map basis.</x:v>
      </x:c>
      <x:c r="T1781" s="577" t="n"/>
      <x:c r="U1781" s="578" t="n"/>
      <x:c r="V1781" s="565" t="n"/>
      <x:c r="W1781" s="565" t="n"/>
      <x:c r="X1781" s="565" t="n"/>
      <x:c r="Y1781" s="565" t="n"/>
      <x:c r="Z1781" s="565" t="n"/>
    </x:row>
    <x:row r="1782">
      <x:c r="A1782" s="552" t="inlineStr">
        <x:is>
          <x:t xml:space="preserve">2000-006217</x:t>
        </x:is>
      </x:c>
      <x:c r="B1782" s="552" t="n"/>
      <x:c r="C1782" s="552" t="inlineStr">
        <x:is>
          <x:t xml:space="preserve">Oil and Gas Lease</x:t>
        </x:is>
      </x:c>
      <x:c r="D1782" s="552" t="inlineStr">
        <x:is>
          <x:t xml:space="preserve">1601/276</x:t>
        </x:is>
      </x:c>
      <x:c r="E1782" s="653" t="n">
        <x:v>36532</x:v>
      </x:c>
      <x:c r="F1782" s="653" t="n">
        <x:v>36532</x:v>
      </x:c>
      <x:c r="G1782" s="552" t="inlineStr">
        <x:is>
          <x:t xml:space="preserve">Jesse W. Fuchs
Route 1. Box 338-R1 
Noble, OK 73068</x:t>
        </x:is>
      </x:c>
      <x:c r="H1782" s="552" t="inlineStr">
        <x:is>
          <x:t xml:space="preserve">EOG Resources, Inc.</x:t>
        </x:is>
      </x:c>
      <x:c r="I1782" s="552" t="inlineStr">
        <x:is>
          <x:t xml:space="preserve">NW/4 SE/4, S/2 SE/4, SW/4 NE/4 of 31-12N-24W</x:t>
        </x:is>
      </x:c>
      <x:c r="J1782" s="552" t="inlineStr">
        <x:is>
          <x:t xml:space="preserve">160 gross acres
3 years
3/16ths royalty</x:t>
        </x:is>
      </x:c>
      <x:c r="K1782" s="554" t="e">
        <x:f>HYPERLINK("https://okcountyrecords.com/detail/roger+mills/2000-006217","OKCountyRecords: 2000-006217")</x:f>
      </x:c>
      <x:c r="L1782" s="552" t="n">
        <x:v>2</x:v>
      </x:c>
      <x:c r="M1782" s="552" t="inlineStr">
        <x:is>
          <x:t xml:space="preserve">Leasehold</x:t>
        </x:is>
      </x:c>
      <x:c r="N1782" s="555" t="n"/>
      <x:c r="O1782" s="556" t="n">
        <x:f>IF($L1782="","",IF(ISNUMBER(SEARCH("all",$L1782)),640,(ISNUMBER(SEARCH("1",$L1782)))*80+(ISNUMBER(SEARCH("2",$L1782)))*160+(ISNUMBER(SEARCH("3",$L1782)))*40+(ISNUMBER(SEARCH("4",$L1782)))*80+(ISNUMBER(SEARCH("5",$L1782)))*120+(ISNUMBER(SEARCH("6",$L1782)))*80+(ISNUMBER(SEARCH("7",$L1782)))*40+(ISNUMBER(SEARCH("8",$L1782)))*40))</x:f>
        <x:v>0</x:v>
      </x:c>
      <x:c r="P1782" s="654" t="str">
        <x:f>IF($M1782&lt;&gt;"Mineral","",IF(ISNUMBER($N1782),$N1782,IF(OR(ISNUMBER(SEARCH("surface",$J1782)),ISNUMBER(SEARCH("reserv",$J1782)),ISNUMBER(SEARCH("less and except",$J1782))),0,"")))</x:f>
      </x:c>
      <x:c r="Q1782" s="654" t="str">
        <x:f>IF($P1782="","",-$P1782)</x:f>
      </x:c>
      <x:c r="R1782" s="655" t="str">
        <x:f>IF($P1782="","",$O1782*$P1782)</x:f>
      </x:c>
      <x:c r="S1782" s="552" t="str">
        <x:f>IF($M1782="","",TRIM(IF($M1782="Mineral",IF(ISNUMBER($N1782),"Mineral; basis Conv Amt(dec). ",IF($P1782=0,"Mineral; surface-only/reserved-&gt;0 min. ","Mineral; NO AMOUNT-verify instrument. ")),$M1782&amp;" (non-mineral; excluded from mineral NMA). ")&amp;IF(OR(ISNUMBER(SEARCH("public",$G1782)),ISNUMBER(SEARCH("public",$H1782))),"FLAG: The Public placeholder-verify. ","")&amp;IF(ISNUMBER(SEARCH("all",$L1782)),"All-section coverage. ","")&amp;IF($O1782=0,"Gross acres unresolved. ","")&amp;"Gross=tract-map basis."))</x:f>
        <x:v>Leasehold (non-mineral; excluded from mineral NMA). Gross acres unresolved. Gross=tract-map basis.</x:v>
      </x:c>
      <x:c r="T1782" s="577" t="n"/>
      <x:c r="U1782" s="578" t="n"/>
      <x:c r="V1782" s="565" t="n"/>
      <x:c r="W1782" s="565" t="n"/>
      <x:c r="X1782" s="565" t="n"/>
      <x:c r="Y1782" s="565" t="n"/>
      <x:c r="Z1782" s="565" t="n"/>
    </x:row>
    <x:row r="1783">
      <x:c r="A1783" s="552" t="inlineStr">
        <x:is>
          <x:t xml:space="preserve">2000-006360</x:t>
        </x:is>
      </x:c>
      <x:c r="B1783" s="552" t="n"/>
      <x:c r="C1783" s="552" t="inlineStr">
        <x:is>
          <x:t xml:space="preserve">Oil and Gas Lease</x:t>
        </x:is>
      </x:c>
      <x:c r="D1783" s="552" t="inlineStr">
        <x:is>
          <x:t xml:space="preserve">1602/490</x:t>
        </x:is>
      </x:c>
      <x:c r="E1783" s="653" t="n">
        <x:v>36545</x:v>
      </x:c>
      <x:c r="F1783" s="653" t="n">
        <x:v>36545</x:v>
      </x:c>
      <x:c r="G1783" s="552" t="inlineStr">
        <x:is>
          <x:t xml:space="preserve">Joe Britton and Anna R. Britton, HW
200 Grissom
Elk City, OK 73644
</x:t>
        </x:is>
      </x:c>
      <x:c r="H1783" s="552" t="inlineStr">
        <x:is>
          <x:t xml:space="preserve">EOG Resources, Inc.</x:t>
        </x:is>
      </x:c>
      <x:c r="I1783" s="552" t="inlineStr">
        <x:is>
          <x:t xml:space="preserve">E/2 NW/4, N/2 NE/4 NE/4, NE/4 SE/4, SE/4 NE/4 of 31-12N-24W</x:t>
        </x:is>
      </x:c>
      <x:c r="J1783" s="552" t="inlineStr">
        <x:is>
          <x:t xml:space="preserve">160 gross acres
2 years
1/4th royalty</x:t>
        </x:is>
      </x:c>
      <x:c r="K1783" s="554" t="e">
        <x:f>HYPERLINK("https://okcountyrecords.com/detail/roger+mills/2000-006360","OKCountyRecords: 2000-006360")</x:f>
      </x:c>
      <x:c r="L1783" s="552" t="inlineStr">
        <x:is>
          <x:t xml:space="preserve">1, 3, 4, 8</x:t>
        </x:is>
      </x:c>
      <x:c r="M1783" s="552" t="inlineStr">
        <x:is>
          <x:t xml:space="preserve">Leasehold</x:t>
        </x:is>
      </x:c>
      <x:c r="N1783" s="561" t="n"/>
      <x:c r="O1783" s="556" t="n">
        <x:f>IF($L1783="","",IF(ISNUMBER(SEARCH("all",$L1783)),640,(ISNUMBER(SEARCH("1",$L1783)))*80+(ISNUMBER(SEARCH("2",$L1783)))*160+(ISNUMBER(SEARCH("3",$L1783)))*40+(ISNUMBER(SEARCH("4",$L1783)))*80+(ISNUMBER(SEARCH("5",$L1783)))*120+(ISNUMBER(SEARCH("6",$L1783)))*80+(ISNUMBER(SEARCH("7",$L1783)))*40+(ISNUMBER(SEARCH("8",$L1783)))*40))</x:f>
        <x:v>0</x:v>
      </x:c>
      <x:c r="P1783" s="654" t="str">
        <x:f>IF($M1783&lt;&gt;"Mineral","",IF(ISNUMBER($N1783),$N1783,IF(OR(ISNUMBER(SEARCH("surface",$J1783)),ISNUMBER(SEARCH("reserv",$J1783)),ISNUMBER(SEARCH("less and except",$J1783))),0,"")))</x:f>
      </x:c>
      <x:c r="Q1783" s="654" t="str">
        <x:f>IF($P1783="","",-$P1783)</x:f>
      </x:c>
      <x:c r="R1783" s="655" t="str">
        <x:f>IF($P1783="","",$O1783*$P1783)</x:f>
      </x:c>
      <x:c r="S1783" s="552" t="str">
        <x:f>IF($M1783="","",TRIM(IF($M1783="Mineral",IF(ISNUMBER($N1783),"Mineral; basis Conv Amt(dec). ",IF($P1783=0,"Mineral; surface-only/reserved-&gt;0 min. ","Mineral; NO AMOUNT-verify instrument. ")),$M1783&amp;" (non-mineral; excluded from mineral NMA). ")&amp;IF(OR(ISNUMBER(SEARCH("public",$G1783)),ISNUMBER(SEARCH("public",$H1783))),"FLAG: The Public placeholder-verify. ","")&amp;IF(ISNUMBER(SEARCH("all",$L1783)),"All-section coverage. ","")&amp;IF($O1783=0,"Gross acres unresolved. ","")&amp;"Gross=tract-map basis."))</x:f>
        <x:v>Leasehold (non-mineral; excluded from mineral NMA). Gross acres unresolved. Gross=tract-map basis.</x:v>
      </x:c>
      <x:c r="T1783" s="577" t="n"/>
      <x:c r="U1783" s="578" t="n"/>
      <x:c r="V1783" s="565" t="n"/>
      <x:c r="W1783" s="565" t="n"/>
      <x:c r="X1783" s="565" t="n"/>
      <x:c r="Y1783" s="565" t="n"/>
      <x:c r="Z1783" s="565" t="n"/>
    </x:row>
    <x:row r="1784">
      <x:c r="A1784" s="552" t="inlineStr">
        <x:is>
          <x:t xml:space="preserve">2000-006371</x:t>
        </x:is>
      </x:c>
      <x:c r="B1784" s="552" t="n"/>
      <x:c r="C1784" s="552" t="inlineStr">
        <x:is>
          <x:t xml:space="preserve">Oil and Gas Lease</x:t>
        </x:is>
      </x:c>
      <x:c r="D1784" s="552" t="inlineStr">
        <x:is>
          <x:t xml:space="preserve">1602/517</x:t>
        </x:is>
      </x:c>
      <x:c r="E1784" s="653" t="n">
        <x:v>36546</x:v>
      </x:c>
      <x:c r="F1784" s="653" t="n">
        <x:v>36546</x:v>
      </x:c>
      <x:c r="G1784" s="552" t="inlineStr">
        <x:is>
          <x:t xml:space="preserve">Isa May Smith
Route 1, Box 233 
Macomb, OK74852</x:t>
        </x:is>
      </x:c>
      <x:c r="H1784" s="552" t="inlineStr">
        <x:is>
          <x:t xml:space="preserve">Richard C. Cope</x:t>
        </x:is>
      </x:c>
      <x:c r="I1784" s="552" t="inlineStr">
        <x:is>
          <x:t xml:space="preserve">SE/4 SE/4, SW/4 NE/4, W/2 SE/4 of 31-12N-24W</x:t>
        </x:is>
      </x:c>
      <x:c r="J1784" s="552" t="inlineStr">
        <x:is>
          <x:t xml:space="preserve">160 gross acres
3 years
3/16ths royalty</x:t>
        </x:is>
      </x:c>
      <x:c r="K1784" s="554" t="e">
        <x:f>HYPERLINK("https://okcountyrecords.com/detail/roger+mills/2000-006371","OKCountyRecords: 2000-006371")</x:f>
      </x:c>
      <x:c r="L1784" s="552" t="n">
        <x:v>2</x:v>
      </x:c>
      <x:c r="M1784" s="552" t="inlineStr">
        <x:is>
          <x:t xml:space="preserve">Leasehold</x:t>
        </x:is>
      </x:c>
      <x:c r="N1784" s="555" t="n"/>
      <x:c r="O1784" s="556" t="n">
        <x:f>IF($L1784="","",IF(ISNUMBER(SEARCH("all",$L1784)),640,(ISNUMBER(SEARCH("1",$L1784)))*80+(ISNUMBER(SEARCH("2",$L1784)))*160+(ISNUMBER(SEARCH("3",$L1784)))*40+(ISNUMBER(SEARCH("4",$L1784)))*80+(ISNUMBER(SEARCH("5",$L1784)))*120+(ISNUMBER(SEARCH("6",$L1784)))*80+(ISNUMBER(SEARCH("7",$L1784)))*40+(ISNUMBER(SEARCH("8",$L1784)))*40))</x:f>
        <x:v>0</x:v>
      </x:c>
      <x:c r="P1784" s="654" t="str">
        <x:f>IF($M1784&lt;&gt;"Mineral","",IF(ISNUMBER($N1784),$N1784,IF(OR(ISNUMBER(SEARCH("surface",$J1784)),ISNUMBER(SEARCH("reserv",$J1784)),ISNUMBER(SEARCH("less and except",$J1784))),0,"")))</x:f>
      </x:c>
      <x:c r="Q1784" s="654" t="str">
        <x:f>IF($P1784="","",-$P1784)</x:f>
      </x:c>
      <x:c r="R1784" s="655" t="str">
        <x:f>IF($P1784="","",$O1784*$P1784)</x:f>
      </x:c>
      <x:c r="S1784" s="552" t="str">
        <x:f>IF($M1784="","",TRIM(IF($M1784="Mineral",IF(ISNUMBER($N1784),"Mineral; basis Conv Amt(dec). ",IF($P1784=0,"Mineral; surface-only/reserved-&gt;0 min. ","Mineral; NO AMOUNT-verify instrument. ")),$M1784&amp;" (non-mineral; excluded from mineral NMA). ")&amp;IF(OR(ISNUMBER(SEARCH("public",$G1784)),ISNUMBER(SEARCH("public",$H1784))),"FLAG: The Public placeholder-verify. ","")&amp;IF(ISNUMBER(SEARCH("all",$L1784)),"All-section coverage. ","")&amp;IF($O1784=0,"Gross acres unresolved. ","")&amp;"Gross=tract-map basis."))</x:f>
        <x:v>Leasehold (non-mineral; excluded from mineral NMA). Gross acres unresolved. Gross=tract-map basis.</x:v>
      </x:c>
      <x:c r="T1784" s="577" t="n"/>
      <x:c r="U1784" s="578" t="n"/>
      <x:c r="V1784" s="565" t="n"/>
      <x:c r="W1784" s="565" t="n"/>
      <x:c r="X1784" s="565" t="n"/>
      <x:c r="Y1784" s="565" t="n"/>
      <x:c r="Z1784" s="565" t="n"/>
    </x:row>
    <x:row r="1785">
      <x:c r="A1785" s="552" t="inlineStr">
        <x:is>
          <x:t xml:space="preserve">2000-006403</x:t>
        </x:is>
      </x:c>
      <x:c r="B1785" s="552" t="n"/>
      <x:c r="C1785" s="552" t="inlineStr">
        <x:is>
          <x:t xml:space="preserve">Oil and Gas Lease</x:t>
        </x:is>
      </x:c>
      <x:c r="D1785" s="552" t="inlineStr">
        <x:is>
          <x:t xml:space="preserve">1603/7</x:t>
        </x:is>
      </x:c>
      <x:c r="E1785" s="653" t="n">
        <x:v>36549</x:v>
      </x:c>
      <x:c r="F1785" s="653" t="n">
        <x:v>36549</x:v>
      </x:c>
      <x:c r="G1785" s="552" t="inlineStr">
        <x:is>
          <x:t xml:space="preserve">Raymond M. Fuchs
5502 100 Avenue,
Norman, OK 73071</x:t>
        </x:is>
      </x:c>
      <x:c r="H1785" s="552" t="inlineStr">
        <x:is>
          <x:t xml:space="preserve">Richard C. Cope</x:t>
        </x:is>
      </x:c>
      <x:c r="I1785" s="552" t="inlineStr">
        <x:is>
          <x:t xml:space="preserve">SE/4 SE/4, SW/4 NE/4, W/2 SE/4 of 31-12N-24W</x:t>
        </x:is>
      </x:c>
      <x:c r="J1785" s="552" t="inlineStr">
        <x:is>
          <x:t xml:space="preserve">160 gross acres 
3 years
3/16ths royalty</x:t>
        </x:is>
      </x:c>
      <x:c r="K1785" s="554" t="e">
        <x:f>HYPERLINK("https://okcountyrecords.com/detail/roger+mills/2000-006403","OKCountyRecords: 2000-006403")</x:f>
      </x:c>
      <x:c r="L1785" s="552" t="n">
        <x:v>2</x:v>
      </x:c>
      <x:c r="M1785" s="552" t="inlineStr">
        <x:is>
          <x:t xml:space="preserve">Leasehold</x:t>
        </x:is>
      </x:c>
      <x:c r="N1785" s="555" t="n"/>
      <x:c r="O1785" s="556" t="n">
        <x:f>IF($L1785="","",IF(ISNUMBER(SEARCH("all",$L1785)),640,(ISNUMBER(SEARCH("1",$L1785)))*80+(ISNUMBER(SEARCH("2",$L1785)))*160+(ISNUMBER(SEARCH("3",$L1785)))*40+(ISNUMBER(SEARCH("4",$L1785)))*80+(ISNUMBER(SEARCH("5",$L1785)))*120+(ISNUMBER(SEARCH("6",$L1785)))*80+(ISNUMBER(SEARCH("7",$L1785)))*40+(ISNUMBER(SEARCH("8",$L1785)))*40))</x:f>
        <x:v>0</x:v>
      </x:c>
      <x:c r="P1785" s="654" t="str">
        <x:f>IF($M1785&lt;&gt;"Mineral","",IF(ISNUMBER($N1785),$N1785,IF(OR(ISNUMBER(SEARCH("surface",$J1785)),ISNUMBER(SEARCH("reserv",$J1785)),ISNUMBER(SEARCH("less and except",$J1785))),0,"")))</x:f>
      </x:c>
      <x:c r="Q1785" s="654" t="str">
        <x:f>IF($P1785="","",-$P1785)</x:f>
      </x:c>
      <x:c r="R1785" s="655" t="str">
        <x:f>IF($P1785="","",$O1785*$P1785)</x:f>
      </x:c>
      <x:c r="S1785" s="552" t="str">
        <x:f>IF($M1785="","",TRIM(IF($M1785="Mineral",IF(ISNUMBER($N1785),"Mineral; basis Conv Amt(dec). ",IF($P1785=0,"Mineral; surface-only/reserved-&gt;0 min. ","Mineral; NO AMOUNT-verify instrument. ")),$M1785&amp;" (non-mineral; excluded from mineral NMA). ")&amp;IF(OR(ISNUMBER(SEARCH("public",$G1785)),ISNUMBER(SEARCH("public",$H1785))),"FLAG: The Public placeholder-verify. ","")&amp;IF(ISNUMBER(SEARCH("all",$L1785)),"All-section coverage. ","")&amp;IF($O1785=0,"Gross acres unresolved. ","")&amp;"Gross=tract-map basis."))</x:f>
        <x:v>Leasehold (non-mineral; excluded from mineral NMA). Gross acres unresolved. Gross=tract-map basis.</x:v>
      </x:c>
      <x:c r="T1785" s="577" t="n"/>
      <x:c r="U1785" s="578" t="n"/>
      <x:c r="V1785" s="565" t="n"/>
      <x:c r="W1785" s="565" t="n"/>
      <x:c r="X1785" s="565" t="n"/>
      <x:c r="Y1785" s="565" t="n"/>
      <x:c r="Z1785" s="565" t="n"/>
    </x:row>
    <x:row r="1786">
      <x:c r="A1786" s="552" t="inlineStr">
        <x:is>
          <x:t xml:space="preserve">2000-006545</x:t>
        </x:is>
      </x:c>
      <x:c r="B1786" s="552" t="n"/>
      <x:c r="C1786" s="552" t="inlineStr">
        <x:is>
          <x:t xml:space="preserve">Oil and Gas Lease</x:t>
        </x:is>
      </x:c>
      <x:c r="D1786" s="552" t="inlineStr">
        <x:is>
          <x:t xml:space="preserve">1603/376</x:t>
        </x:is>
      </x:c>
      <x:c r="E1786" s="653" t="n">
        <x:v>36558</x:v>
      </x:c>
      <x:c r="F1786" s="653" t="n">
        <x:v>36558</x:v>
      </x:c>
      <x:c r="G1786" s="552" t="inlineStr">
        <x:is>
          <x:t xml:space="preserve">Minion Investment Company
P.O. Box 701473
Tulsa, OK 74170-1473</x:t>
        </x:is>
      </x:c>
      <x:c r="H1786" s="552" t="inlineStr">
        <x:is>
          <x:t xml:space="preserve">EOG Resources, Inc.</x:t>
        </x:is>
      </x:c>
      <x:c r="I1786" s="552" t="inlineStr">
        <x:is>
          <x:t xml:space="preserve">E/2 NW/4, N/2 NE/4 SW/4, NE/4 SE/4, SE/4 NE/4 of 31-12N-24W</x:t>
        </x:is>
      </x:c>
      <x:c r="J1786" s="552" t="inlineStr">
        <x:is>
          <x:t xml:space="preserve">160 gross acres 
2 years
1/4th royalty
Depth clause: Upon the expiration ofthe primary term hereof, this lease shall automatically terminate and expire as to all leasehold rights 100 feet below the stratigraphic equivalent of the deepest depth drilled in any well drilled under the terms of this lease. If, within the primary term of this lease, Lessee shall commence operations to drill or rework a well under the terms of this lease, the Lessee shall have the right to drillsuch well to completion
and/or complete reworking operations with reasonable diligence and dispatch, and if oil or gas be found in paying quantities, this lease shall terminate only as to those depths 100 feet below the stratigraphic equivalent
of the deepest depth drilled.</x:t>
        </x:is>
      </x:c>
      <x:c r="K1786" s="554" t="e">
        <x:f>HYPERLINK("https://okcountyrecords.com/detail/roger+mills/2000-006545","OKCountyRecords: 2000-006545")</x:f>
      </x:c>
      <x:c r="L1786" s="552" t="inlineStr">
        <x:is>
          <x:t xml:space="preserve">1, 3, 4, 7, 8</x:t>
        </x:is>
      </x:c>
      <x:c r="M1786" s="552" t="inlineStr">
        <x:is>
          <x:t xml:space="preserve">Leasehold</x:t>
        </x:is>
      </x:c>
      <x:c r="N1786" s="561" t="n"/>
      <x:c r="O1786" s="556" t="n">
        <x:f>IF($L1786="","",IF(ISNUMBER(SEARCH("all",$L1786)),640,(ISNUMBER(SEARCH("1",$L1786)))*80+(ISNUMBER(SEARCH("2",$L1786)))*160+(ISNUMBER(SEARCH("3",$L1786)))*40+(ISNUMBER(SEARCH("4",$L1786)))*80+(ISNUMBER(SEARCH("5",$L1786)))*120+(ISNUMBER(SEARCH("6",$L1786)))*80+(ISNUMBER(SEARCH("7",$L1786)))*40+(ISNUMBER(SEARCH("8",$L1786)))*40))</x:f>
        <x:v>0</x:v>
      </x:c>
      <x:c r="P1786" s="654" t="str">
        <x:f>IF($M1786&lt;&gt;"Mineral","",IF(ISNUMBER($N1786),$N1786,IF(OR(ISNUMBER(SEARCH("surface",$J1786)),ISNUMBER(SEARCH("reserv",$J1786)),ISNUMBER(SEARCH("less and except",$J1786))),0,"")))</x:f>
      </x:c>
      <x:c r="Q1786" s="654" t="str">
        <x:f>IF($P1786="","",-$P1786)</x:f>
      </x:c>
      <x:c r="R1786" s="655" t="str">
        <x:f>IF($P1786="","",$O1786*$P1786)</x:f>
      </x:c>
      <x:c r="S1786" s="552" t="str">
        <x:f>IF($M1786="","",TRIM(IF($M1786="Mineral",IF(ISNUMBER($N1786),"Mineral; basis Conv Amt(dec). ",IF($P1786=0,"Mineral; surface-only/reserved-&gt;0 min. ","Mineral; NO AMOUNT-verify instrument. ")),$M1786&amp;" (non-mineral; excluded from mineral NMA). ")&amp;IF(OR(ISNUMBER(SEARCH("public",$G1786)),ISNUMBER(SEARCH("public",$H1786))),"FLAG: The Public placeholder-verify. ","")&amp;IF(ISNUMBER(SEARCH("all",$L1786)),"All-section coverage. ","")&amp;IF($O1786=0,"Gross acres unresolved. ","")&amp;"Gross=tract-map basis."))</x:f>
        <x:v>Leasehold (non-mineral; excluded from mineral NMA). Gross acres unresolved. Gross=tract-map basis.</x:v>
      </x:c>
      <x:c r="T1786" s="577" t="n"/>
      <x:c r="U1786" s="578" t="n"/>
      <x:c r="V1786" s="565" t="n"/>
      <x:c r="W1786" s="565" t="n"/>
      <x:c r="X1786" s="565" t="n"/>
      <x:c r="Y1786" s="565" t="n"/>
      <x:c r="Z1786" s="565" t="n"/>
    </x:row>
    <x:row r="1787">
      <x:c r="A1787" s="552" t="inlineStr">
        <x:is>
          <x:t xml:space="preserve">2000-006544</x:t>
        </x:is>
      </x:c>
      <x:c r="B1787" s="552" t="n"/>
      <x:c r="C1787" s="552" t="inlineStr">
        <x:is>
          <x:t xml:space="preserve">Oil and Gas Lease</x:t>
        </x:is>
      </x:c>
      <x:c r="D1787" s="552" t="inlineStr">
        <x:is>
          <x:t xml:space="preserve">1603/374</x:t>
        </x:is>
      </x:c>
      <x:c r="E1787" s="653" t="n">
        <x:v>36558</x:v>
      </x:c>
      <x:c r="F1787" s="653" t="n">
        <x:v>36558</x:v>
      </x:c>
      <x:c r="G1787" s="552" t="inlineStr">
        <x:is>
          <x:t xml:space="preserve">Oleta Florene Wylie, formerly Flanagan,
226 N. Louisiana Ave. 
Mangum, OK 73554</x:t>
        </x:is>
      </x:c>
      <x:c r="H1787" s="552" t="inlineStr">
        <x:is>
          <x:t xml:space="preserve">Richard C. Cope</x:t>
        </x:is>
      </x:c>
      <x:c r="I1787" s="552" t="inlineStr">
        <x:is>
          <x:t xml:space="preserve">SE/4 SW/4 of 31-12N-24W</x:t>
        </x:is>
      </x:c>
      <x:c r="J1787" s="552" t="inlineStr">
        <x:is>
          <x:t xml:space="preserve">40 gross acres 
3 years
3/16ths royalty</x:t>
        </x:is>
      </x:c>
      <x:c r="K1787" s="554" t="e">
        <x:f>HYPERLINK("https://okcountyrecords.com/detail/roger+mills/2000-006544","OKCountyRecords: 2000-006544")</x:f>
      </x:c>
      <x:c r="L1787" s="552" t="n">
        <x:v>5</x:v>
      </x:c>
      <x:c r="M1787" s="552" t="inlineStr">
        <x:is>
          <x:t xml:space="preserve">Leasehold</x:t>
        </x:is>
      </x:c>
      <x:c r="N1787" s="555" t="n"/>
      <x:c r="O1787" s="556" t="n">
        <x:f>IF($L1787="","",IF(ISNUMBER(SEARCH("all",$L1787)),640,(ISNUMBER(SEARCH("1",$L1787)))*80+(ISNUMBER(SEARCH("2",$L1787)))*160+(ISNUMBER(SEARCH("3",$L1787)))*40+(ISNUMBER(SEARCH("4",$L1787)))*80+(ISNUMBER(SEARCH("5",$L1787)))*120+(ISNUMBER(SEARCH("6",$L1787)))*80+(ISNUMBER(SEARCH("7",$L1787)))*40+(ISNUMBER(SEARCH("8",$L1787)))*40))</x:f>
        <x:v>0</x:v>
      </x:c>
      <x:c r="P1787" s="654" t="str">
        <x:f>IF($M1787&lt;&gt;"Mineral","",IF(ISNUMBER($N1787),$N1787,IF(OR(ISNUMBER(SEARCH("surface",$J1787)),ISNUMBER(SEARCH("reserv",$J1787)),ISNUMBER(SEARCH("less and except",$J1787))),0,"")))</x:f>
      </x:c>
      <x:c r="Q1787" s="654" t="str">
        <x:f>IF($P1787="","",-$P1787)</x:f>
      </x:c>
      <x:c r="R1787" s="655" t="str">
        <x:f>IF($P1787="","",$O1787*$P1787)</x:f>
      </x:c>
      <x:c r="S1787" s="552" t="str">
        <x:f>IF($M1787="","",TRIM(IF($M1787="Mineral",IF(ISNUMBER($N1787),"Mineral; basis Conv Amt(dec). ",IF($P1787=0,"Mineral; surface-only/reserved-&gt;0 min. ","Mineral; NO AMOUNT-verify instrument. ")),$M1787&amp;" (non-mineral; excluded from mineral NMA). ")&amp;IF(OR(ISNUMBER(SEARCH("public",$G1787)),ISNUMBER(SEARCH("public",$H1787))),"FLAG: The Public placeholder-verify. ","")&amp;IF(ISNUMBER(SEARCH("all",$L1787)),"All-section coverage. ","")&amp;IF($O1787=0,"Gross acres unresolved. ","")&amp;"Gross=tract-map basis."))</x:f>
        <x:v>Leasehold (non-mineral; excluded from mineral NMA). Gross acres unresolved. Gross=tract-map basis.</x:v>
      </x:c>
      <x:c r="T1787" s="577" t="n"/>
      <x:c r="U1787" s="578" t="n"/>
      <x:c r="V1787" s="565" t="n"/>
      <x:c r="W1787" s="565" t="n"/>
      <x:c r="X1787" s="565" t="n"/>
      <x:c r="Y1787" s="565" t="n"/>
      <x:c r="Z1787" s="565" t="n"/>
    </x:row>
    <x:row r="1788">
      <x:c r="A1788" s="552" t="inlineStr">
        <x:is>
          <x:t xml:space="preserve">2000-006662</x:t>
        </x:is>
      </x:c>
      <x:c r="B1788" s="552" t="n">
        <x:v>3</x:v>
      </x:c>
      <x:c r="C1788" s="552" t="inlineStr">
        <x:is>
          <x:t xml:space="preserve">Oil and Gas Lease</x:t>
        </x:is>
      </x:c>
      <x:c r="D1788" s="563" t="inlineStr">
        <x:is>
          <x:t xml:space="preserve">1604/117</x:t>
        </x:is>
      </x:c>
      <x:c r="E1788" s="653" t="n">
        <x:v>36564</x:v>
      </x:c>
      <x:c r="F1788" s="653" t="n">
        <x:v>36564</x:v>
      </x:c>
      <x:c r="G1788" s="552" t="inlineStr">
        <x:is>
          <x:t xml:space="preserve">Dwight J. Williams</x:t>
        </x:is>
      </x:c>
      <x:c r="H1788" s="552" t="inlineStr">
        <x:is>
          <x:t xml:space="preserve">Richard C. Cope</x:t>
        </x:is>
      </x:c>
      <x:c r="I1788" s="552" t="inlineStr">
        <x:is>
          <x:t xml:space="preserve">SE/4 SE/4, SW/4 NE/4, W/2 SE/4 of 31-12N-24W</x:t>
        </x:is>
      </x:c>
      <x:c r="J1788" s="552" t="inlineStr">
        <x:is>
          <x:t xml:space="preserve">Creates oil &amp; gas leasehold burden</x:t>
        </x:is>
      </x:c>
      <x:c r="K1788" s="554" t="e">
        <x:f>HYPERLINK("https://okcountyrecords.com/detail/roger+mills/2000-006662","63e8b9a8d056433a9994fe46ca85076b.pdf | OKCountyRecords: 2000-006662")</x:f>
      </x:c>
      <x:c r="L1788" s="552" t="n">
        <x:v>2</x:v>
      </x:c>
      <x:c r="M1788" s="552" t="inlineStr">
        <x:is>
          <x:t xml:space="preserve">Leasehold</x:t>
        </x:is>
      </x:c>
      <x:c r="N1788" s="555" t="n"/>
      <x:c r="O1788" s="556" t="n">
        <x:f>IF($L1788="","",IF(ISNUMBER(SEARCH("all",$L1788)),640,(ISNUMBER(SEARCH("1",$L1788)))*80+(ISNUMBER(SEARCH("2",$L1788)))*160+(ISNUMBER(SEARCH("3",$L1788)))*40+(ISNUMBER(SEARCH("4",$L1788)))*80+(ISNUMBER(SEARCH("5",$L1788)))*120+(ISNUMBER(SEARCH("6",$L1788)))*80+(ISNUMBER(SEARCH("7",$L1788)))*40+(ISNUMBER(SEARCH("8",$L1788)))*40))</x:f>
        <x:v>0</x:v>
      </x:c>
      <x:c r="P1788" s="654" t="str">
        <x:f>IF($M1788&lt;&gt;"Mineral","",IF(ISNUMBER($N1788),$N1788,IF(OR(ISNUMBER(SEARCH("surface",$J1788)),ISNUMBER(SEARCH("reserv",$J1788)),ISNUMBER(SEARCH("less and except",$J1788))),0,"")))</x:f>
      </x:c>
      <x:c r="Q1788" s="654" t="str">
        <x:f>IF($P1788="","",-$P1788)</x:f>
      </x:c>
      <x:c r="R1788" s="655" t="str">
        <x:f>IF($P1788="","",$O1788*$P1788)</x:f>
      </x:c>
      <x:c r="S1788" s="552" t="str">
        <x:f>IF($M1788="","",TRIM(IF($M1788="Mineral",IF(ISNUMBER($N1788),"Mineral; basis Conv Amt(dec). ",IF($P1788=0,"Mineral; surface-only/reserved-&gt;0 min. ","Mineral; NO AMOUNT-verify instrument. ")),$M1788&amp;" (non-mineral; excluded from mineral NMA). ")&amp;IF(OR(ISNUMBER(SEARCH("public",$G1788)),ISNUMBER(SEARCH("public",$H1788))),"FLAG: The Public placeholder-verify. ","")&amp;IF(ISNUMBER(SEARCH("all",$L1788)),"All-section coverage. ","")&amp;IF($O1788=0,"Gross acres unresolved. ","")&amp;"Gross=tract-map basis."))</x:f>
        <x:v>Leasehold (non-mineral; excluded from mineral NMA). Gross acres unresolved. Gross=tract-map basis.</x:v>
      </x:c>
      <x:c r="T1788" s="577" t="n"/>
      <x:c r="U1788" s="578" t="n"/>
      <x:c r="V1788" s="565" t="n"/>
      <x:c r="W1788" s="565" t="n"/>
      <x:c r="X1788" s="565" t="n"/>
      <x:c r="Y1788" s="565" t="n"/>
      <x:c r="Z1788" s="565" t="n"/>
    </x:row>
    <x:row r="1789">
      <x:c r="A1789" s="552" t="inlineStr">
        <x:is>
          <x:t xml:space="preserve">2000-006657</x:t>
        </x:is>
      </x:c>
      <x:c r="B1789" s="552" t="n">
        <x:v>1</x:v>
      </x:c>
      <x:c r="C1789" s="552" t="inlineStr">
        <x:is>
          <x:t xml:space="preserve">Oil and Gas Lease</x:t>
        </x:is>
      </x:c>
      <x:c r="D1789" s="563" t="inlineStr">
        <x:is>
          <x:t xml:space="preserve">1604/108</x:t>
        </x:is>
      </x:c>
      <x:c r="E1789" s="653" t="n">
        <x:v>36564</x:v>
      </x:c>
      <x:c r="F1789" s="653" t="n">
        <x:v>36564</x:v>
      </x:c>
      <x:c r="G1789" s="552" t="inlineStr">
        <x:is>
          <x:t xml:space="preserve">Jan A. Schroff, Trustee</x:t>
        </x:is>
      </x:c>
      <x:c r="H1789" s="552" t="inlineStr">
        <x:is>
          <x:t xml:space="preserve">Richard C. Cope</x:t>
        </x:is>
      </x:c>
      <x:c r="I1789" s="552" t="inlineStr">
        <x:is>
          <x:t xml:space="preserve">SE/4 SE/4, SW/4 NE/4, W/2 SE/4 of 31-12N-24W</x:t>
        </x:is>
      </x:c>
      <x:c r="J1789" s="552" t="inlineStr">
        <x:is>
          <x:t xml:space="preserve">Creates oil &amp; gas leasehold burden</x:t>
        </x:is>
      </x:c>
      <x:c r="K1789" s="554" t="e">
        <x:f>HYPERLINK("https://okcountyrecords.com/detail/roger+mills/2000-006657","63e8b9a8d056433a9994fe46ca85076b.pdf | OKCountyRecords: 2000-006657")</x:f>
      </x:c>
      <x:c r="L1789" s="552" t="n">
        <x:v>2</x:v>
      </x:c>
      <x:c r="M1789" s="552" t="inlineStr">
        <x:is>
          <x:t xml:space="preserve">Leasehold</x:t>
        </x:is>
      </x:c>
      <x:c r="N1789" s="555" t="n"/>
      <x:c r="O1789" s="556" t="n">
        <x:f>IF($L1789="","",IF(ISNUMBER(SEARCH("all",$L1789)),640,(ISNUMBER(SEARCH("1",$L1789)))*80+(ISNUMBER(SEARCH("2",$L1789)))*160+(ISNUMBER(SEARCH("3",$L1789)))*40+(ISNUMBER(SEARCH("4",$L1789)))*80+(ISNUMBER(SEARCH("5",$L1789)))*120+(ISNUMBER(SEARCH("6",$L1789)))*80+(ISNUMBER(SEARCH("7",$L1789)))*40+(ISNUMBER(SEARCH("8",$L1789)))*40))</x:f>
        <x:v>0</x:v>
      </x:c>
      <x:c r="P1789" s="654" t="str">
        <x:f>IF($M1789&lt;&gt;"Mineral","",IF(ISNUMBER($N1789),$N1789,IF(OR(ISNUMBER(SEARCH("surface",$J1789)),ISNUMBER(SEARCH("reserv",$J1789)),ISNUMBER(SEARCH("less and except",$J1789))),0,"")))</x:f>
      </x:c>
      <x:c r="Q1789" s="654" t="str">
        <x:f>IF($P1789="","",-$P1789)</x:f>
      </x:c>
      <x:c r="R1789" s="655" t="str">
        <x:f>IF($P1789="","",$O1789*$P1789)</x:f>
      </x:c>
      <x:c r="S1789" s="552" t="str">
        <x:f>IF($M1789="","",TRIM(IF($M1789="Mineral",IF(ISNUMBER($N1789),"Mineral; basis Conv Amt(dec). ",IF($P1789=0,"Mineral; surface-only/reserved-&gt;0 min. ","Mineral; NO AMOUNT-verify instrument. ")),$M1789&amp;" (non-mineral; excluded from mineral NMA). ")&amp;IF(OR(ISNUMBER(SEARCH("public",$G1789)),ISNUMBER(SEARCH("public",$H1789))),"FLAG: The Public placeholder-verify. ","")&amp;IF(ISNUMBER(SEARCH("all",$L1789)),"All-section coverage. ","")&amp;IF($O1789=0,"Gross acres unresolved. ","")&amp;"Gross=tract-map basis."))</x:f>
        <x:v>Leasehold (non-mineral; excluded from mineral NMA). Gross acres unresolved. Gross=tract-map basis.</x:v>
      </x:c>
      <x:c r="T1789" s="577" t="n"/>
      <x:c r="U1789" s="578" t="n"/>
      <x:c r="V1789" s="565" t="n"/>
      <x:c r="W1789" s="565" t="n"/>
      <x:c r="X1789" s="565" t="n"/>
      <x:c r="Y1789" s="565" t="n"/>
      <x:c r="Z1789" s="565" t="n"/>
    </x:row>
    <x:row r="1790">
      <x:c r="A1790" s="552" t="inlineStr">
        <x:is>
          <x:t xml:space="preserve">2000-006661</x:t>
        </x:is>
      </x:c>
      <x:c r="B1790" s="552" t="n">
        <x:v>2</x:v>
      </x:c>
      <x:c r="C1790" s="552" t="inlineStr">
        <x:is>
          <x:t xml:space="preserve">Oil and Gas Lease</x:t>
        </x:is>
      </x:c>
      <x:c r="D1790" s="563" t="inlineStr">
        <x:is>
          <x:t xml:space="preserve">1604/115</x:t>
        </x:is>
      </x:c>
      <x:c r="E1790" s="653" t="n">
        <x:v>36564</x:v>
      </x:c>
      <x:c r="F1790" s="653" t="n">
        <x:v>36564</x:v>
      </x:c>
      <x:c r="G1790" s="552" t="inlineStr">
        <x:is>
          <x:t xml:space="preserve">Jon T. Williams, Trustee</x:t>
        </x:is>
      </x:c>
      <x:c r="H1790" s="552" t="inlineStr">
        <x:is>
          <x:t xml:space="preserve">Richard C. Cope</x:t>
        </x:is>
      </x:c>
      <x:c r="I1790" s="552" t="inlineStr">
        <x:is>
          <x:t xml:space="preserve">SE/4 SE/4, SW/4 NE/4, W/2 SE/4 of 31-12N-24W</x:t>
        </x:is>
      </x:c>
      <x:c r="J1790" s="552" t="inlineStr">
        <x:is>
          <x:t xml:space="preserve">Creates oil &amp; gas leasehold burden</x:t>
        </x:is>
      </x:c>
      <x:c r="K1790" s="554" t="e">
        <x:f>HYPERLINK("https://okcountyrecords.com/detail/roger+mills/2000-006661","63e8b9a8d056433a9994fe46ca85076b.pdf | OKCountyRecords: 2000-006661")</x:f>
      </x:c>
      <x:c r="L1790" s="552" t="n">
        <x:v>2</x:v>
      </x:c>
      <x:c r="M1790" s="552" t="inlineStr">
        <x:is>
          <x:t xml:space="preserve">Leasehold</x:t>
        </x:is>
      </x:c>
      <x:c r="N1790" s="555" t="n"/>
      <x:c r="O1790" s="556" t="n">
        <x:f>IF($L1790="","",IF(ISNUMBER(SEARCH("all",$L1790)),640,(ISNUMBER(SEARCH("1",$L1790)))*80+(ISNUMBER(SEARCH("2",$L1790)))*160+(ISNUMBER(SEARCH("3",$L1790)))*40+(ISNUMBER(SEARCH("4",$L1790)))*80+(ISNUMBER(SEARCH("5",$L1790)))*120+(ISNUMBER(SEARCH("6",$L1790)))*80+(ISNUMBER(SEARCH("7",$L1790)))*40+(ISNUMBER(SEARCH("8",$L1790)))*40))</x:f>
        <x:v>0</x:v>
      </x:c>
      <x:c r="P1790" s="654" t="str">
        <x:f>IF($M1790&lt;&gt;"Mineral","",IF(ISNUMBER($N1790),$N1790,IF(OR(ISNUMBER(SEARCH("surface",$J1790)),ISNUMBER(SEARCH("reserv",$J1790)),ISNUMBER(SEARCH("less and except",$J1790))),0,"")))</x:f>
      </x:c>
      <x:c r="Q1790" s="654" t="str">
        <x:f>IF($P1790="","",-$P1790)</x:f>
      </x:c>
      <x:c r="R1790" s="655" t="str">
        <x:f>IF($P1790="","",$O1790*$P1790)</x:f>
      </x:c>
      <x:c r="S1790" s="552" t="str">
        <x:f>IF($M1790="","",TRIM(IF($M1790="Mineral",IF(ISNUMBER($N1790),"Mineral; basis Conv Amt(dec). ",IF($P1790=0,"Mineral; surface-only/reserved-&gt;0 min. ","Mineral; NO AMOUNT-verify instrument. ")),$M1790&amp;" (non-mineral; excluded from mineral NMA). ")&amp;IF(OR(ISNUMBER(SEARCH("public",$G1790)),ISNUMBER(SEARCH("public",$H1790))),"FLAG: The Public placeholder-verify. ","")&amp;IF(ISNUMBER(SEARCH("all",$L1790)),"All-section coverage. ","")&amp;IF($O1790=0,"Gross acres unresolved. ","")&amp;"Gross=tract-map basis."))</x:f>
        <x:v>Leasehold (non-mineral; excluded from mineral NMA). Gross acres unresolved. Gross=tract-map basis.</x:v>
      </x:c>
      <x:c r="T1790" s="577" t="n"/>
      <x:c r="U1790" s="578" t="n"/>
      <x:c r="V1790" s="565" t="n"/>
      <x:c r="W1790" s="565" t="n"/>
      <x:c r="X1790" s="565" t="n"/>
      <x:c r="Y1790" s="565" t="n"/>
      <x:c r="Z1790" s="565" t="n"/>
    </x:row>
    <x:row r="1791">
      <x:c r="A1791" s="552" t="inlineStr">
        <x:is>
          <x:t xml:space="preserve">2000-006692</x:t>
        </x:is>
      </x:c>
      <x:c r="B1791" s="552" t="n">
        <x:v>6</x:v>
      </x:c>
      <x:c r="C1791" s="552" t="inlineStr">
        <x:is>
          <x:t xml:space="preserve">Oil and Gas Lease</x:t>
        </x:is>
      </x:c>
      <x:c r="D1791" s="563" t="inlineStr">
        <x:is>
          <x:t xml:space="preserve">1604/251</x:t>
        </x:is>
      </x:c>
      <x:c r="E1791" s="653" t="n">
        <x:v>36565</x:v>
      </x:c>
      <x:c r="F1791" s="653" t="n">
        <x:v>36565</x:v>
      </x:c>
      <x:c r="G1791" s="552" t="inlineStr">
        <x:is>
          <x:t xml:space="preserve">Jon N. Wilkerson</x:t>
        </x:is>
      </x:c>
      <x:c r="H1791" s="552" t="inlineStr">
        <x:is>
          <x:t xml:space="preserve">R. Michael Lortz</x:t>
        </x:is>
      </x:c>
      <x:c r="I1791" s="552" t="inlineStr">
        <x:is>
          <x:t xml:space="preserve">NE/4 SW/4, S/2 NE/4, Lots 3-4 of 31-12N-24W</x:t>
        </x:is>
      </x:c>
      <x:c r="J1791" s="552" t="inlineStr">
        <x:is>
          <x:t xml:space="preserve">Creates oil &amp; gas leasehold burden</x:t>
        </x:is>
      </x:c>
      <x:c r="K1791" s="554" t="e">
        <x:f>HYPERLINK("https://okcountyrecords.com/detail/roger+mills/2000-006692","63e8b9a8d056433a9994fe46ca85076b.pdf | OKCountyRecords: 2000-006692")</x:f>
      </x:c>
      <x:c r="L1791" s="552" t="inlineStr">
        <x:is>
          <x:t xml:space="preserve">2, 3, 6, 7</x:t>
        </x:is>
      </x:c>
      <x:c r="M1791" s="552" t="inlineStr">
        <x:is>
          <x:t xml:space="preserve">Leasehold</x:t>
        </x:is>
      </x:c>
      <x:c r="N1791" s="555" t="n"/>
      <x:c r="O1791" s="556" t="n">
        <x:f>IF($L1791="","",IF(ISNUMBER(SEARCH("all",$L1791)),640,(ISNUMBER(SEARCH("1",$L1791)))*80+(ISNUMBER(SEARCH("2",$L1791)))*160+(ISNUMBER(SEARCH("3",$L1791)))*40+(ISNUMBER(SEARCH("4",$L1791)))*80+(ISNUMBER(SEARCH("5",$L1791)))*120+(ISNUMBER(SEARCH("6",$L1791)))*80+(ISNUMBER(SEARCH("7",$L1791)))*40+(ISNUMBER(SEARCH("8",$L1791)))*40))</x:f>
        <x:v>0</x:v>
      </x:c>
      <x:c r="P1791" s="654" t="str">
        <x:f>IF($M1791&lt;&gt;"Mineral","",IF(ISNUMBER($N1791),$N1791,IF(OR(ISNUMBER(SEARCH("surface",$J1791)),ISNUMBER(SEARCH("reserv",$J1791)),ISNUMBER(SEARCH("less and except",$J1791))),0,"")))</x:f>
      </x:c>
      <x:c r="Q1791" s="654" t="str">
        <x:f>IF($P1791="","",-$P1791)</x:f>
      </x:c>
      <x:c r="R1791" s="655" t="str">
        <x:f>IF($P1791="","",$O1791*$P1791)</x:f>
      </x:c>
      <x:c r="S1791" s="552" t="str">
        <x:f>IF($M1791="","",TRIM(IF($M1791="Mineral",IF(ISNUMBER($N1791),"Mineral; basis Conv Amt(dec). ",IF($P1791=0,"Mineral; surface-only/reserved-&gt;0 min. ","Mineral; NO AMOUNT-verify instrument. ")),$M1791&amp;" (non-mineral; excluded from mineral NMA). ")&amp;IF(OR(ISNUMBER(SEARCH("public",$G1791)),ISNUMBER(SEARCH("public",$H1791))),"FLAG: The Public placeholder-verify. ","")&amp;IF(ISNUMBER(SEARCH("all",$L1791)),"All-section coverage. ","")&amp;IF($O1791=0,"Gross acres unresolved. ","")&amp;"Gross=tract-map basis."))</x:f>
        <x:v>Leasehold (non-mineral; excluded from mineral NMA). Gross acres unresolved. Gross=tract-map basis.</x:v>
      </x:c>
      <x:c r="T1791" s="577" t="n"/>
      <x:c r="U1791" s="578" t="n"/>
      <x:c r="V1791" s="565" t="n"/>
      <x:c r="W1791" s="565" t="n"/>
      <x:c r="X1791" s="565" t="n"/>
      <x:c r="Y1791" s="565" t="n"/>
      <x:c r="Z1791" s="565" t="n"/>
    </x:row>
    <x:row r="1792">
      <x:c r="A1792" s="552" t="inlineStr">
        <x:is>
          <x:t xml:space="preserve">2000-006711</x:t>
        </x:is>
      </x:c>
      <x:c r="B1792" s="552" t="n">
        <x:v>9</x:v>
      </x:c>
      <x:c r="C1792" s="552" t="inlineStr">
        <x:is>
          <x:t xml:space="preserve">Oil and Gas Lease</x:t>
        </x:is>
      </x:c>
      <x:c r="D1792" s="563" t="inlineStr">
        <x:is>
          <x:t xml:space="preserve">1604/309</x:t>
        </x:is>
      </x:c>
      <x:c r="E1792" s="653" t="n">
        <x:v>36565</x:v>
      </x:c>
      <x:c r="F1792" s="653" t="n">
        <x:v>36565</x:v>
      </x:c>
      <x:c r="G1792" s="552" t="inlineStr">
        <x:is>
          <x:t xml:space="preserve">Mark J. Fuchs</x:t>
        </x:is>
      </x:c>
      <x:c r="H1792" s="552" t="inlineStr">
        <x:is>
          <x:t xml:space="preserve">Richard C. Cope</x:t>
        </x:is>
      </x:c>
      <x:c r="I1792" s="552" t="inlineStr">
        <x:is>
          <x:t xml:space="preserve">SE/4 SE/4, SW/4 NE/4, W/2 SE/4 of 31-12N-24W</x:t>
        </x:is>
      </x:c>
      <x:c r="J1792" s="552" t="inlineStr">
        <x:is>
          <x:t xml:space="preserve">Creates oil &amp; gas leasehold burden</x:t>
        </x:is>
      </x:c>
      <x:c r="K1792" s="554" t="e">
        <x:f>HYPERLINK("https://okcountyrecords.com/detail/roger+mills/2000-006711","63e8b9a8d056433a9994fe46ca85076b.pdf | OKCountyRecords: 2000-006711")</x:f>
      </x:c>
      <x:c r="L1792" s="552" t="n">
        <x:v>2</x:v>
      </x:c>
      <x:c r="M1792" s="552" t="inlineStr">
        <x:is>
          <x:t xml:space="preserve">Leasehold</x:t>
        </x:is>
      </x:c>
      <x:c r="N1792" s="555" t="n"/>
      <x:c r="O1792" s="556" t="n">
        <x:f>IF($L1792="","",IF(ISNUMBER(SEARCH("all",$L1792)),640,(ISNUMBER(SEARCH("1",$L1792)))*80+(ISNUMBER(SEARCH("2",$L1792)))*160+(ISNUMBER(SEARCH("3",$L1792)))*40+(ISNUMBER(SEARCH("4",$L1792)))*80+(ISNUMBER(SEARCH("5",$L1792)))*120+(ISNUMBER(SEARCH("6",$L1792)))*80+(ISNUMBER(SEARCH("7",$L1792)))*40+(ISNUMBER(SEARCH("8",$L1792)))*40))</x:f>
        <x:v>0</x:v>
      </x:c>
      <x:c r="P1792" s="654" t="str">
        <x:f>IF($M1792&lt;&gt;"Mineral","",IF(ISNUMBER($N1792),$N1792,IF(OR(ISNUMBER(SEARCH("surface",$J1792)),ISNUMBER(SEARCH("reserv",$J1792)),ISNUMBER(SEARCH("less and except",$J1792))),0,"")))</x:f>
      </x:c>
      <x:c r="Q1792" s="654" t="str">
        <x:f>IF($P1792="","",-$P1792)</x:f>
      </x:c>
      <x:c r="R1792" s="655" t="str">
        <x:f>IF($P1792="","",$O1792*$P1792)</x:f>
      </x:c>
      <x:c r="S1792" s="552" t="str">
        <x:f>IF($M1792="","",TRIM(IF($M1792="Mineral",IF(ISNUMBER($N1792),"Mineral; basis Conv Amt(dec). ",IF($P1792=0,"Mineral; surface-only/reserved-&gt;0 min. ","Mineral; NO AMOUNT-verify instrument. ")),$M1792&amp;" (non-mineral; excluded from mineral NMA). ")&amp;IF(OR(ISNUMBER(SEARCH("public",$G1792)),ISNUMBER(SEARCH("public",$H1792))),"FLAG: The Public placeholder-verify. ","")&amp;IF(ISNUMBER(SEARCH("all",$L1792)),"All-section coverage. ","")&amp;IF($O1792=0,"Gross acres unresolved. ","")&amp;"Gross=tract-map basis."))</x:f>
        <x:v>Leasehold (non-mineral; excluded from mineral NMA). Gross acres unresolved. Gross=tract-map basis.</x:v>
      </x:c>
      <x:c r="T1792" s="577" t="n"/>
      <x:c r="U1792" s="578" t="n"/>
      <x:c r="V1792" s="565" t="n"/>
      <x:c r="W1792" s="565" t="n"/>
      <x:c r="X1792" s="565" t="n"/>
      <x:c r="Y1792" s="565" t="n"/>
      <x:c r="Z1792" s="565" t="n"/>
    </x:row>
    <x:row r="1793">
      <x:c r="A1793" s="552" t="inlineStr">
        <x:is>
          <x:t xml:space="preserve">2000-006710</x:t>
        </x:is>
      </x:c>
      <x:c r="B1793" s="552" t="n">
        <x:v>8</x:v>
      </x:c>
      <x:c r="C1793" s="552" t="inlineStr">
        <x:is>
          <x:t xml:space="preserve">Oil and Gas Lease</x:t>
        </x:is>
      </x:c>
      <x:c r="D1793" s="563" t="inlineStr">
        <x:is>
          <x:t xml:space="preserve">1604/307</x:t>
        </x:is>
      </x:c>
      <x:c r="E1793" s="653" t="n">
        <x:v>36565</x:v>
      </x:c>
      <x:c r="F1793" s="653" t="n">
        <x:v>36565</x:v>
      </x:c>
      <x:c r="G1793" s="552" t="inlineStr">
        <x:is>
          <x:t xml:space="preserve">Melinda McCall Mulvihill, Trustee</x:t>
        </x:is>
      </x:c>
      <x:c r="H1793" s="552" t="inlineStr">
        <x:is>
          <x:t xml:space="preserve">Richard C. Cope</x:t>
        </x:is>
      </x:c>
      <x:c r="I1793" s="552" t="inlineStr">
        <x:is>
          <x:t xml:space="preserve">SE/4 SE/4, SW/4 NE/4, W/2 SE/4 of 31-12N-24W</x:t>
        </x:is>
      </x:c>
      <x:c r="J1793" s="552" t="inlineStr">
        <x:is>
          <x:t xml:space="preserve">Creates oil &amp; gas leasehold burden</x:t>
        </x:is>
      </x:c>
      <x:c r="K1793" s="554" t="e">
        <x:f>HYPERLINK("https://okcountyrecords.com/detail/roger+mills/2000-006710","63e8b9a8d056433a9994fe46ca85076b.pdf | OKCountyRecords: 2000-006710")</x:f>
      </x:c>
      <x:c r="L1793" s="552" t="n">
        <x:v>2</x:v>
      </x:c>
      <x:c r="M1793" s="552" t="inlineStr">
        <x:is>
          <x:t xml:space="preserve">Leasehold</x:t>
        </x:is>
      </x:c>
      <x:c r="N1793" s="555" t="n"/>
      <x:c r="O1793" s="556" t="n">
        <x:f>IF($L1793="","",IF(ISNUMBER(SEARCH("all",$L1793)),640,(ISNUMBER(SEARCH("1",$L1793)))*80+(ISNUMBER(SEARCH("2",$L1793)))*160+(ISNUMBER(SEARCH("3",$L1793)))*40+(ISNUMBER(SEARCH("4",$L1793)))*80+(ISNUMBER(SEARCH("5",$L1793)))*120+(ISNUMBER(SEARCH("6",$L1793)))*80+(ISNUMBER(SEARCH("7",$L1793)))*40+(ISNUMBER(SEARCH("8",$L1793)))*40))</x:f>
        <x:v>0</x:v>
      </x:c>
      <x:c r="P1793" s="654" t="str">
        <x:f>IF($M1793&lt;&gt;"Mineral","",IF(ISNUMBER($N1793),$N1793,IF(OR(ISNUMBER(SEARCH("surface",$J1793)),ISNUMBER(SEARCH("reserv",$J1793)),ISNUMBER(SEARCH("less and except",$J1793))),0,"")))</x:f>
      </x:c>
      <x:c r="Q1793" s="654" t="str">
        <x:f>IF($P1793="","",-$P1793)</x:f>
      </x:c>
      <x:c r="R1793" s="655" t="str">
        <x:f>IF($P1793="","",$O1793*$P1793)</x:f>
      </x:c>
      <x:c r="S1793" s="552" t="str">
        <x:f>IF($M1793="","",TRIM(IF($M1793="Mineral",IF(ISNUMBER($N1793),"Mineral; basis Conv Amt(dec). ",IF($P1793=0,"Mineral; surface-only/reserved-&gt;0 min. ","Mineral; NO AMOUNT-verify instrument. ")),$M1793&amp;" (non-mineral; excluded from mineral NMA). ")&amp;IF(OR(ISNUMBER(SEARCH("public",$G1793)),ISNUMBER(SEARCH("public",$H1793))),"FLAG: The Public placeholder-verify. ","")&amp;IF(ISNUMBER(SEARCH("all",$L1793)),"All-section coverage. ","")&amp;IF($O1793=0,"Gross acres unresolved. ","")&amp;"Gross=tract-map basis."))</x:f>
        <x:v>Leasehold (non-mineral; excluded from mineral NMA). Gross acres unresolved. Gross=tract-map basis.</x:v>
      </x:c>
      <x:c r="T1793" s="577" t="n"/>
      <x:c r="U1793" s="578" t="n"/>
      <x:c r="V1793" s="565" t="n"/>
      <x:c r="W1793" s="565" t="n"/>
      <x:c r="X1793" s="565" t="n"/>
      <x:c r="Y1793" s="565" t="n"/>
      <x:c r="Z1793" s="565" t="n"/>
    </x:row>
    <x:row r="1794">
      <x:c r="A1794" s="552" t="inlineStr">
        <x:is>
          <x:t xml:space="preserve">2000-006696</x:t>
        </x:is>
      </x:c>
      <x:c r="B1794" s="552" t="n">
        <x:v>7</x:v>
      </x:c>
      <x:c r="C1794" s="552" t="inlineStr">
        <x:is>
          <x:t xml:space="preserve">Oil and Gas Lease</x:t>
        </x:is>
      </x:c>
      <x:c r="D1794" s="563" t="inlineStr">
        <x:is>
          <x:t xml:space="preserve">1604/259</x:t>
        </x:is>
      </x:c>
      <x:c r="E1794" s="653" t="n">
        <x:v>36565</x:v>
      </x:c>
      <x:c r="F1794" s="653" t="n">
        <x:v>36565</x:v>
      </x:c>
      <x:c r="G1794" s="552" t="inlineStr">
        <x:is>
          <x:t xml:space="preserve">Roger Klopfenstein</x:t>
        </x:is>
      </x:c>
      <x:c r="H1794" s="552" t="inlineStr">
        <x:is>
          <x:t xml:space="preserve">R. Michael Lortz</x:t>
        </x:is>
      </x:c>
      <x:c r="I1794" s="552" t="inlineStr">
        <x:is>
          <x:t xml:space="preserve">NE/4 SW/4, Lots 3-4, SE/4 SW/4 of 31-12N-24W</x:t>
        </x:is>
      </x:c>
      <x:c r="J1794" s="552" t="inlineStr">
        <x:is>
          <x:t xml:space="preserve">Creates oil &amp; gas leasehold burden</x:t>
        </x:is>
      </x:c>
      <x:c r="K1794" s="554" t="e">
        <x:f>HYPERLINK("https://okcountyrecords.com/detail/roger+mills/2000-006696","63e8b9a8d056433a9994fe46ca85076b.pdf | OKCountyRecords: 2000-006696")</x:f>
      </x:c>
      <x:c r="L1794" s="552" t="inlineStr">
        <x:is>
          <x:t xml:space="preserve">5, 6, 7</x:t>
        </x:is>
      </x:c>
      <x:c r="M1794" s="552" t="inlineStr">
        <x:is>
          <x:t xml:space="preserve">Leasehold</x:t>
        </x:is>
      </x:c>
      <x:c r="N1794" s="555" t="n"/>
      <x:c r="O1794" s="556" t="n">
        <x:f>IF($L1794="","",IF(ISNUMBER(SEARCH("all",$L1794)),640,(ISNUMBER(SEARCH("1",$L1794)))*80+(ISNUMBER(SEARCH("2",$L1794)))*160+(ISNUMBER(SEARCH("3",$L1794)))*40+(ISNUMBER(SEARCH("4",$L1794)))*80+(ISNUMBER(SEARCH("5",$L1794)))*120+(ISNUMBER(SEARCH("6",$L1794)))*80+(ISNUMBER(SEARCH("7",$L1794)))*40+(ISNUMBER(SEARCH("8",$L1794)))*40))</x:f>
        <x:v>0</x:v>
      </x:c>
      <x:c r="P1794" s="654" t="str">
        <x:f>IF($M1794&lt;&gt;"Mineral","",IF(ISNUMBER($N1794),$N1794,IF(OR(ISNUMBER(SEARCH("surface",$J1794)),ISNUMBER(SEARCH("reserv",$J1794)),ISNUMBER(SEARCH("less and except",$J1794))),0,"")))</x:f>
      </x:c>
      <x:c r="Q1794" s="654" t="str">
        <x:f>IF($P1794="","",-$P1794)</x:f>
      </x:c>
      <x:c r="R1794" s="655" t="str">
        <x:f>IF($P1794="","",$O1794*$P1794)</x:f>
      </x:c>
      <x:c r="S1794" s="552" t="str">
        <x:f>IF($M1794="","",TRIM(IF($M1794="Mineral",IF(ISNUMBER($N1794),"Mineral; basis Conv Amt(dec). ",IF($P1794=0,"Mineral; surface-only/reserved-&gt;0 min. ","Mineral; NO AMOUNT-verify instrument. ")),$M1794&amp;" (non-mineral; excluded from mineral NMA). ")&amp;IF(OR(ISNUMBER(SEARCH("public",$G1794)),ISNUMBER(SEARCH("public",$H1794))),"FLAG: The Public placeholder-verify. ","")&amp;IF(ISNUMBER(SEARCH("all",$L1794)),"All-section coverage. ","")&amp;IF($O1794=0,"Gross acres unresolved. ","")&amp;"Gross=tract-map basis."))</x:f>
        <x:v>Leasehold (non-mineral; excluded from mineral NMA). Gross acres unresolved. Gross=tract-map basis.</x:v>
      </x:c>
      <x:c r="T1794" s="577" t="n"/>
      <x:c r="U1794" s="578" t="n"/>
      <x:c r="V1794" s="565" t="n"/>
      <x:c r="W1794" s="565" t="n"/>
      <x:c r="X1794" s="565" t="n"/>
      <x:c r="Y1794" s="565" t="n"/>
      <x:c r="Z1794" s="565" t="n"/>
    </x:row>
    <x:row r="1795">
      <x:c r="A1795" s="552" t="inlineStr">
        <x:is>
          <x:t xml:space="preserve">2000-006712</x:t>
        </x:is>
      </x:c>
      <x:c r="B1795" s="552" t="n">
        <x:v>10</x:v>
      </x:c>
      <x:c r="C1795" s="552" t="inlineStr">
        <x:is>
          <x:t xml:space="preserve">Oil and Gas Lease</x:t>
        </x:is>
      </x:c>
      <x:c r="D1795" s="563" t="inlineStr">
        <x:is>
          <x:t xml:space="preserve">1604/311</x:t>
        </x:is>
      </x:c>
      <x:c r="E1795" s="653" t="n">
        <x:v>36565</x:v>
      </x:c>
      <x:c r="F1795" s="653" t="n">
        <x:v>36565</x:v>
      </x:c>
      <x:c r="G1795" s="552" t="inlineStr">
        <x:is>
          <x:t xml:space="preserve">Stephen M. Criser, Trustee</x:t>
        </x:is>
      </x:c>
      <x:c r="H1795" s="552" t="inlineStr">
        <x:is>
          <x:t xml:space="preserve">Richard C. Cope</x:t>
        </x:is>
      </x:c>
      <x:c r="I1795" s="552" t="inlineStr">
        <x:is>
          <x:t xml:space="preserve">SE/4 SE/4, SW/4 NE/4, W/2 SE/4 of 31-12N-24W</x:t>
        </x:is>
      </x:c>
      <x:c r="J1795" s="552" t="inlineStr">
        <x:is>
          <x:t xml:space="preserve">Creates oil &amp; gas leasehold burden</x:t>
        </x:is>
      </x:c>
      <x:c r="K1795" s="554" t="e">
        <x:f>HYPERLINK("https://okcountyrecords.com/detail/roger+mills/2000-006712","63e8b9a8d056433a9994fe46ca85076b.pdf | OKCountyRecords: 2000-006712")</x:f>
      </x:c>
      <x:c r="L1795" s="552" t="n">
        <x:v>2</x:v>
      </x:c>
      <x:c r="M1795" s="552" t="inlineStr">
        <x:is>
          <x:t xml:space="preserve">Leasehold</x:t>
        </x:is>
      </x:c>
      <x:c r="N1795" s="555" t="n"/>
      <x:c r="O1795" s="556" t="n">
        <x:f>IF($L1795="","",IF(ISNUMBER(SEARCH("all",$L1795)),640,(ISNUMBER(SEARCH("1",$L1795)))*80+(ISNUMBER(SEARCH("2",$L1795)))*160+(ISNUMBER(SEARCH("3",$L1795)))*40+(ISNUMBER(SEARCH("4",$L1795)))*80+(ISNUMBER(SEARCH("5",$L1795)))*120+(ISNUMBER(SEARCH("6",$L1795)))*80+(ISNUMBER(SEARCH("7",$L1795)))*40+(ISNUMBER(SEARCH("8",$L1795)))*40))</x:f>
        <x:v>0</x:v>
      </x:c>
      <x:c r="P1795" s="654" t="str">
        <x:f>IF($M1795&lt;&gt;"Mineral","",IF(ISNUMBER($N1795),$N1795,IF(OR(ISNUMBER(SEARCH("surface",$J1795)),ISNUMBER(SEARCH("reserv",$J1795)),ISNUMBER(SEARCH("less and except",$J1795))),0,"")))</x:f>
      </x:c>
      <x:c r="Q1795" s="654" t="str">
        <x:f>IF($P1795="","",-$P1795)</x:f>
      </x:c>
      <x:c r="R1795" s="655" t="str">
        <x:f>IF($P1795="","",$O1795*$P1795)</x:f>
      </x:c>
      <x:c r="S1795" s="552" t="str">
        <x:f>IF($M1795="","",TRIM(IF($M1795="Mineral",IF(ISNUMBER($N1795),"Mineral; basis Conv Amt(dec). ",IF($P1795=0,"Mineral; surface-only/reserved-&gt;0 min. ","Mineral; NO AMOUNT-verify instrument. ")),$M1795&amp;" (non-mineral; excluded from mineral NMA). ")&amp;IF(OR(ISNUMBER(SEARCH("public",$G1795)),ISNUMBER(SEARCH("public",$H1795))),"FLAG: The Public placeholder-verify. ","")&amp;IF(ISNUMBER(SEARCH("all",$L1795)),"All-section coverage. ","")&amp;IF($O1795=0,"Gross acres unresolved. ","")&amp;"Gross=tract-map basis."))</x:f>
        <x:v>Leasehold (non-mineral; excluded from mineral NMA). Gross acres unresolved. Gross=tract-map basis.</x:v>
      </x:c>
      <x:c r="T1795" s="577" t="n"/>
      <x:c r="U1795" s="578" t="n"/>
      <x:c r="V1795" s="565" t="n"/>
      <x:c r="W1795" s="565" t="n"/>
      <x:c r="X1795" s="565" t="n"/>
      <x:c r="Y1795" s="565" t="n"/>
      <x:c r="Z1795" s="565" t="n"/>
    </x:row>
    <x:row r="1796">
      <x:c r="A1796" s="552" t="inlineStr">
        <x:is>
          <x:t xml:space="preserve">2000-006716</x:t>
        </x:is>
      </x:c>
      <x:c r="B1796" s="552" t="n">
        <x:v>11</x:v>
      </x:c>
      <x:c r="C1796" s="552" t="inlineStr">
        <x:is>
          <x:t xml:space="preserve">Oil and Gas Lease</x:t>
        </x:is>
      </x:c>
      <x:c r="D1796" s="563" t="inlineStr">
        <x:is>
          <x:t xml:space="preserve">1604/322</x:t>
        </x:is>
      </x:c>
      <x:c r="E1796" s="653" t="n">
        <x:v>36566</x:v>
      </x:c>
      <x:c r="F1796" s="653" t="n">
        <x:v>36566</x:v>
      </x:c>
      <x:c r="G1796" s="552" t="inlineStr">
        <x:is>
          <x:t xml:space="preserve">Sandra Lorrain York</x:t>
        </x:is>
      </x:c>
      <x:c r="H1796" s="552" t="inlineStr">
        <x:is>
          <x:t xml:space="preserve">EOG Resources, Inc.</x:t>
        </x:is>
      </x:c>
      <x:c r="I1796" s="552" t="inlineStr">
        <x:is>
          <x:t xml:space="preserve">All of 31-12N-24W</x:t>
        </x:is>
      </x:c>
      <x:c r="J1796" s="552" t="inlineStr">
        <x:is>
          <x:t xml:space="preserve">Creates oil &amp; gas leasehold burden</x:t>
        </x:is>
      </x:c>
      <x:c r="K1796" s="554" t="e">
        <x:f>HYPERLINK("https://okcountyrecords.com/detail/roger+mills/2000-006716","63e8b9a8d056433a9994fe46ca85076b.pdf | OKCountyRecords: 2000-006716")</x:f>
      </x:c>
      <x:c r="L1796" s="552" t="inlineStr">
        <x:is>
          <x:t xml:space="preserve">All (1-8)</x:t>
        </x:is>
      </x:c>
      <x:c r="M1796" s="552" t="inlineStr">
        <x:is>
          <x:t xml:space="preserve">Leasehold</x:t>
        </x:is>
      </x:c>
      <x:c r="N1796" s="555" t="n"/>
      <x:c r="O1796" s="556" t="n">
        <x:f>IF($L1796="","",IF(ISNUMBER(SEARCH("all",$L1796)),640,(ISNUMBER(SEARCH("1",$L1796)))*80+(ISNUMBER(SEARCH("2",$L1796)))*160+(ISNUMBER(SEARCH("3",$L1796)))*40+(ISNUMBER(SEARCH("4",$L1796)))*80+(ISNUMBER(SEARCH("5",$L1796)))*120+(ISNUMBER(SEARCH("6",$L1796)))*80+(ISNUMBER(SEARCH("7",$L1796)))*40+(ISNUMBER(SEARCH("8",$L1796)))*40))</x:f>
        <x:v>640</x:v>
      </x:c>
      <x:c r="P1796" s="654" t="str">
        <x:f>IF($M1796&lt;&gt;"Mineral","",IF(ISNUMBER($N1796),$N1796,IF(OR(ISNUMBER(SEARCH("surface",$J1796)),ISNUMBER(SEARCH("reserv",$J1796)),ISNUMBER(SEARCH("less and except",$J1796))),0,"")))</x:f>
      </x:c>
      <x:c r="Q1796" s="654" t="str">
        <x:f>IF($P1796="","",-$P1796)</x:f>
      </x:c>
      <x:c r="R1796" s="655" t="str">
        <x:f>IF($P1796="","",$O1796*$P1796)</x:f>
      </x:c>
      <x:c r="S1796" s="552" t="str">
        <x:f>IF($M1796="","",TRIM(IF($M1796="Mineral",IF(ISNUMBER($N1796),"Mineral; basis Conv Amt(dec). ",IF($P1796=0,"Mineral; surface-only/reserved-&gt;0 min. ","Mineral; NO AMOUNT-verify instrument. ")),$M1796&amp;" (non-mineral; excluded from mineral NMA). ")&amp;IF(OR(ISNUMBER(SEARCH("public",$G1796)),ISNUMBER(SEARCH("public",$H1796))),"FLAG: The Public placeholder-verify. ","")&amp;IF(ISNUMBER(SEARCH("all",$L1796)),"All-section coverage. ","")&amp;IF($O1796=0,"Gross acres unresolved. ","")&amp;"Gross=tract-map basis."))</x:f>
        <x:v>Leasehold (non-mineral; excluded from mineral NMA). All-section coverage. Gross=tract-map basis.</x:v>
      </x:c>
      <x:c r="T1796" s="577" t="n"/>
      <x:c r="U1796" s="578" t="n"/>
      <x:c r="V1796" s="565" t="n"/>
      <x:c r="W1796" s="565" t="n"/>
      <x:c r="X1796" s="565" t="n"/>
      <x:c r="Y1796" s="565" t="n"/>
      <x:c r="Z1796" s="565" t="n"/>
    </x:row>
    <x:row r="1797">
      <x:c r="A1797" s="552" t="inlineStr">
        <x:is>
          <x:t xml:space="preserve">2000-006763</x:t>
        </x:is>
      </x:c>
      <x:c r="B1797" s="552" t="n">
        <x:v>12</x:v>
      </x:c>
      <x:c r="C1797" s="552" t="inlineStr">
        <x:is>
          <x:t xml:space="preserve">Oil and Gas Lease</x:t>
        </x:is>
      </x:c>
      <x:c r="D1797" s="563" t="inlineStr">
        <x:is>
          <x:t xml:space="preserve">1604/453</x:t>
        </x:is>
      </x:c>
      <x:c r="E1797" s="653" t="n">
        <x:v>36572</x:v>
      </x:c>
      <x:c r="F1797" s="653" t="n">
        <x:v>36572</x:v>
      </x:c>
      <x:c r="G1797" s="552" t="inlineStr">
        <x:is>
          <x:t xml:space="preserve">Nanalee Faye Barnett</x:t>
        </x:is>
      </x:c>
      <x:c r="H1797" s="552" t="inlineStr">
        <x:is>
          <x:t xml:space="preserve">Richard C. Cope</x:t>
        </x:is>
      </x:c>
      <x:c r="I1797" s="552" t="inlineStr">
        <x:is>
          <x:t xml:space="preserve">E/2 NW/4, N/2 NE/4 SW/4, NE/4 SE/4, SE/4 NE/4 of 31-12N-24W</x:t>
        </x:is>
      </x:c>
      <x:c r="J1797" s="552" t="inlineStr">
        <x:is>
          <x:t xml:space="preserve">Creates oil &amp; gas leasehold burden</x:t>
        </x:is>
      </x:c>
      <x:c r="K1797" s="554" t="e">
        <x:f>HYPERLINK("https://okcountyrecords.com/detail/roger+mills/2000-006763","63e8b9a8d056433a9994fe46ca85076b.pdf | OKCountyRecords: 2000-006763")</x:f>
      </x:c>
      <x:c r="L1797" s="552" t="inlineStr">
        <x:is>
          <x:t xml:space="preserve">1, 3, 4, 7, 8</x:t>
        </x:is>
      </x:c>
      <x:c r="M1797" s="552" t="inlineStr">
        <x:is>
          <x:t xml:space="preserve">Leasehold</x:t>
        </x:is>
      </x:c>
      <x:c r="N1797" s="561" t="n"/>
      <x:c r="O1797" s="556" t="n">
        <x:f>IF($L1797="","",IF(ISNUMBER(SEARCH("all",$L1797)),640,(ISNUMBER(SEARCH("1",$L1797)))*80+(ISNUMBER(SEARCH("2",$L1797)))*160+(ISNUMBER(SEARCH("3",$L1797)))*40+(ISNUMBER(SEARCH("4",$L1797)))*80+(ISNUMBER(SEARCH("5",$L1797)))*120+(ISNUMBER(SEARCH("6",$L1797)))*80+(ISNUMBER(SEARCH("7",$L1797)))*40+(ISNUMBER(SEARCH("8",$L1797)))*40))</x:f>
        <x:v>0</x:v>
      </x:c>
      <x:c r="P1797" s="654" t="str">
        <x:f>IF($M1797&lt;&gt;"Mineral","",IF(ISNUMBER($N1797),$N1797,IF(OR(ISNUMBER(SEARCH("surface",$J1797)),ISNUMBER(SEARCH("reserv",$J1797)),ISNUMBER(SEARCH("less and except",$J1797))),0,"")))</x:f>
      </x:c>
      <x:c r="Q1797" s="654" t="str">
        <x:f>IF($P1797="","",-$P1797)</x:f>
      </x:c>
      <x:c r="R1797" s="655" t="str">
        <x:f>IF($P1797="","",$O1797*$P1797)</x:f>
      </x:c>
      <x:c r="S1797" s="552" t="str">
        <x:f>IF($M1797="","",TRIM(IF($M1797="Mineral",IF(ISNUMBER($N1797),"Mineral; basis Conv Amt(dec). ",IF($P1797=0,"Mineral; surface-only/reserved-&gt;0 min. ","Mineral; NO AMOUNT-verify instrument. ")),$M1797&amp;" (non-mineral; excluded from mineral NMA). ")&amp;IF(OR(ISNUMBER(SEARCH("public",$G1797)),ISNUMBER(SEARCH("public",$H1797))),"FLAG: The Public placeholder-verify. ","")&amp;IF(ISNUMBER(SEARCH("all",$L1797)),"All-section coverage. ","")&amp;IF($O1797=0,"Gross acres unresolved. ","")&amp;"Gross=tract-map basis."))</x:f>
        <x:v>Leasehold (non-mineral; excluded from mineral NMA). Gross acres unresolved. Gross=tract-map basis.</x:v>
      </x:c>
      <x:c r="T1797" s="577" t="n"/>
      <x:c r="U1797" s="578" t="n"/>
      <x:c r="V1797" s="565" t="n"/>
      <x:c r="W1797" s="565" t="n"/>
      <x:c r="X1797" s="565" t="n"/>
      <x:c r="Y1797" s="565" t="n"/>
      <x:c r="Z1797" s="565" t="n"/>
    </x:row>
    <x:row r="1798">
      <x:c r="A1798" s="552" t="inlineStr">
        <x:is>
          <x:t xml:space="preserve">2000-006764</x:t>
        </x:is>
      </x:c>
      <x:c r="B1798" s="552" t="n"/>
      <x:c r="C1798" s="552" t="inlineStr">
        <x:is>
          <x:t xml:space="preserve">Proof of Death</x:t>
        </x:is>
      </x:c>
      <x:c r="D1798" s="552" t="inlineStr">
        <x:is>
          <x:t xml:space="preserve">1604/455</x:t>
        </x:is>
      </x:c>
      <x:c r="E1798" s="653" t="n">
        <x:v>36572</x:v>
      </x:c>
      <x:c r="F1798" s="653" t="n">
        <x:v>36572</x:v>
      </x:c>
      <x:c r="G1798" s="552" t="inlineStr">
        <x:is>
          <x:t xml:space="preserve">Nanalee Faye Barnett</x:t>
        </x:is>
      </x:c>
      <x:c r="H1798" s="552" t="inlineStr">
        <x:is>
          <x:t xml:space="preserve">The Public
RE: J.E. Barnett, Deceased
Heirs:
Nanalee Faye Barnett, 1/2,
Karen Barnett Taylor, 1/4,
Jacqueline Barnett Logan, 1/4</x:t>
        </x:is>
      </x:c>
      <x:c r="I1798" s="552" t="inlineStr">
        <x:is>
          <x:t xml:space="preserve">E/2 NW/4, N/2 NE/4 SW/4, NE/4 SE/4, SE/4 NE/4 of 31-12N-24W</x:t>
        </x:is>
      </x:c>
      <x:c r="J1798" s="552" t="inlineStr">
        <x:is>
          <x:t xml:space="preserve">ARTI, J. E. Barnett died on 11/7/1990</x:t>
        </x:is>
      </x:c>
      <x:c r="K1798" s="554" t="e">
        <x:f>HYPERLINK("https://okcountyrecords.com/detail/roger+mills/2000-006764","OKCountyRecords: 2000-006764")</x:f>
      </x:c>
      <x:c r="L1798" s="552" t="inlineStr">
        <x:is>
          <x:t xml:space="preserve">1, 3, 4, 7, 8</x:t>
        </x:is>
      </x:c>
      <x:c r="M1798" s="552" t="inlineStr">
        <x:is>
          <x:t xml:space="preserve">Mineral</x:t>
        </x:is>
      </x:c>
      <x:c r="N1798" s="561" t="n">
        <x:v>1</x:v>
      </x:c>
      <x:c r="O1798" s="556" t="n">
        <x:f>IF($L1798="","",IF(ISNUMBER(SEARCH("all",$L1798)),640,(ISNUMBER(SEARCH("1",$L1798)))*80+(ISNUMBER(SEARCH("2",$L1798)))*160+(ISNUMBER(SEARCH("3",$L1798)))*40+(ISNUMBER(SEARCH("4",$L1798)))*80+(ISNUMBER(SEARCH("5",$L1798)))*120+(ISNUMBER(SEARCH("6",$L1798)))*80+(ISNUMBER(SEARCH("7",$L1798)))*40+(ISNUMBER(SEARCH("8",$L1798)))*40))</x:f>
        <x:v>0</x:v>
      </x:c>
      <x:c r="P1798" s="654" t="n">
        <x:f>IF($M1798&lt;&gt;"Mineral","",IF(ISNUMBER($N1798),$N1798,IF(OR(ISNUMBER(SEARCH("surface",$J1798)),ISNUMBER(SEARCH("reserv",$J1798)),ISNUMBER(SEARCH("less and except",$J1798))),0,"")))</x:f>
        <x:v>1</x:v>
      </x:c>
      <x:c r="Q1798" s="654" t="n">
        <x:f>IF($P1798="","",-$P1798)</x:f>
        <x:v>-1</x:v>
      </x:c>
      <x:c r="R1798" s="655" t="n">
        <x:f>IF($P1798="","",$O1798*$P1798)</x:f>
        <x:v>0</x:v>
      </x:c>
      <x:c r="S1798" s="552" t="str">
        <x:f>IF($M1798="","",TRIM(IF($M1798="Mineral",IF(ISNUMBER($N1798),"Mineral; basis Conv Amt(dec). ",IF($P1798=0,"Mineral; surface-only/reserved-&gt;0 min. ","Mineral; VERIFY — NEED full instrument image for conveyed amount. ")),$M1798&amp;" (non-mineral; excluded from mineral NMA). ")&amp;IF(OR(ISNUMBER(SEARCH("public",$G1798)),ISNUMBER(SEARCH("public",$H1798))),"FLAG: The Public placeholder; VERIFY — NEED source confirmation. ","")&amp;IF(ISNUMBER(SEARCH("all",$L1798)),"All-section coverage. ","")&amp;IF($O1798=0,"Gross acres unresolved. ","")&amp;"Gross=tract-map basis."))</x:f>
        <x:v>Mineral; basis Conv Amt(dec). FLAG: The Public placeholder; VERIFY — NEED source confirmation. Gross acres unresolved. Gross=tract-map basis.</x:v>
      </x:c>
      <x:c r="T1798" s="577" t="inlineStr">
        <x:is>
          <x:t xml:space="preserve">REVIEW</x:t>
        </x:is>
      </x:c>
      <x:c r="U1798" s="578" t="inlineStr">
        <x:is>
          <x:t xml:space="preserve">NEED: confirm conveyed mineral acreage from instrument image — named party present under 'The Public' (affidavit/notice); placeholder identity resolved.</x:t>
        </x:is>
      </x:c>
      <x:c r="V1798" s="565" t="n"/>
      <x:c r="W1798" s="565" t="n"/>
      <x:c r="X1798" s="565" t="n"/>
      <x:c r="Y1798" s="565" t="n"/>
      <x:c r="Z1798" s="565" t="n"/>
    </x:row>
    <x:row r="1799">
      <x:c r="A1799" s="552" t="inlineStr">
        <x:is>
          <x:t xml:space="preserve">2000-006917</x:t>
        </x:is>
      </x:c>
      <x:c r="B1799" s="552" t="n"/>
      <x:c r="C1799" s="552" t="inlineStr">
        <x:is>
          <x:t xml:space="preserve">Oil and Gas Lease</x:t>
        </x:is>
      </x:c>
      <x:c r="D1799" s="552" t="inlineStr">
        <x:is>
          <x:t xml:space="preserve">1606/416</x:t>
        </x:is>
      </x:c>
      <x:c r="E1799" s="653" t="n">
        <x:v>36586</x:v>
      </x:c>
      <x:c r="F1799" s="653" t="n">
        <x:v>36586</x:v>
      </x:c>
      <x:c r="G1799" s="552" t="inlineStr">
        <x:is>
          <x:t xml:space="preserve">Charles D. Ray
P. O. Box 51608
Midland, TX 79710</x:t>
        </x:is>
      </x:c>
      <x:c r="H1799" s="552" t="inlineStr">
        <x:is>
          <x:t xml:space="preserve">Richard C. Cope</x:t>
        </x:is>
      </x:c>
      <x:c r="I1799" s="552" t="inlineStr">
        <x:is>
          <x:t xml:space="preserve">E/2 NW/4, NE/4 SE/4, SE/4 NE/4 of 31-12N-24W</x:t>
        </x:is>
      </x:c>
      <x:c r="J1799" s="552" t="inlineStr">
        <x:is>
          <x:t xml:space="preserve">180 gross acres 
3 years
1/4th royalty</x:t>
        </x:is>
      </x:c>
      <x:c r="K1799" s="554" t="e">
        <x:f>HYPERLINK("https://okcountyrecords.com/detail/roger+mills/2000-006917","OKCountyRecords: 2000-006917")</x:f>
      </x:c>
      <x:c r="L1799" s="552" t="inlineStr">
        <x:is>
          <x:t xml:space="preserve">3, 4, 8</x:t>
        </x:is>
      </x:c>
      <x:c r="M1799" s="552" t="inlineStr">
        <x:is>
          <x:t xml:space="preserve">Leasehold</x:t>
        </x:is>
      </x:c>
      <x:c r="N1799" s="561" t="n"/>
      <x:c r="O1799" s="556" t="n">
        <x:f>IF($L1799="","",IF(ISNUMBER(SEARCH("all",$L1799)),640,(ISNUMBER(SEARCH("1",$L1799)))*80+(ISNUMBER(SEARCH("2",$L1799)))*160+(ISNUMBER(SEARCH("3",$L1799)))*40+(ISNUMBER(SEARCH("4",$L1799)))*80+(ISNUMBER(SEARCH("5",$L1799)))*120+(ISNUMBER(SEARCH("6",$L1799)))*80+(ISNUMBER(SEARCH("7",$L1799)))*40+(ISNUMBER(SEARCH("8",$L1799)))*40))</x:f>
        <x:v>0</x:v>
      </x:c>
      <x:c r="P1799" s="654" t="str">
        <x:f>IF($M1799&lt;&gt;"Mineral","",IF(ISNUMBER($N1799),$N1799,IF(OR(ISNUMBER(SEARCH("surface",$J1799)),ISNUMBER(SEARCH("reserv",$J1799)),ISNUMBER(SEARCH("less and except",$J1799))),0,"")))</x:f>
      </x:c>
      <x:c r="Q1799" s="654" t="str">
        <x:f>IF($P1799="","",-$P1799)</x:f>
      </x:c>
      <x:c r="R1799" s="655" t="str">
        <x:f>IF($P1799="","",$O1799*$P1799)</x:f>
      </x:c>
      <x:c r="S1799" s="552" t="str">
        <x:f>IF($M1799="","",TRIM(IF($M1799="Mineral",IF(ISNUMBER($N1799),"Mineral; basis Conv Amt(dec). ",IF($P1799=0,"Mineral; surface-only/reserved-&gt;0 min. ","Mineral; NO AMOUNT-verify instrument. ")),$M1799&amp;" (non-mineral; excluded from mineral NMA). ")&amp;IF(OR(ISNUMBER(SEARCH("public",$G1799)),ISNUMBER(SEARCH("public",$H1799))),"FLAG: The Public placeholder-verify. ","")&amp;IF(ISNUMBER(SEARCH("all",$L1799)),"All-section coverage. ","")&amp;IF($O1799=0,"Gross acres unresolved. ","")&amp;"Gross=tract-map basis."))</x:f>
        <x:v>Leasehold (non-mineral; excluded from mineral NMA). Gross acres unresolved. Gross=tract-map basis.</x:v>
      </x:c>
      <x:c r="T1799" s="577" t="n"/>
      <x:c r="U1799" s="578" t="n"/>
      <x:c r="V1799" s="565" t="n"/>
      <x:c r="W1799" s="565" t="n"/>
      <x:c r="X1799" s="565" t="n"/>
      <x:c r="Y1799" s="565" t="n"/>
      <x:c r="Z1799" s="565" t="n"/>
    </x:row>
    <x:row r="1800">
      <x:c r="A1800" s="552" t="inlineStr">
        <x:is>
          <x:t xml:space="preserve">2000-006918</x:t>
        </x:is>
      </x:c>
      <x:c r="B1800" s="552" t="n"/>
      <x:c r="C1800" s="552" t="inlineStr">
        <x:is>
          <x:t xml:space="preserve">Oil and Gas Lease</x:t>
        </x:is>
      </x:c>
      <x:c r="D1800" s="552" t="inlineStr">
        <x:is>
          <x:t xml:space="preserve">1606/418</x:t>
        </x:is>
      </x:c>
      <x:c r="E1800" s="653" t="n">
        <x:v>36586</x:v>
      </x:c>
      <x:c r="F1800" s="653" t="n">
        <x:v>36586</x:v>
      </x:c>
      <x:c r="G1800" s="552" t="inlineStr">
        <x:is>
          <x:t xml:space="preserve">Clyde A. Pine
4567 Globe Willow Drive,
El Paso. TX 79922-2223</x:t>
        </x:is>
      </x:c>
      <x:c r="H1800" s="552" t="inlineStr">
        <x:is>
          <x:t xml:space="preserve">Richard C. Cope</x:t>
        </x:is>
      </x:c>
      <x:c r="I1800" s="552" t="inlineStr">
        <x:is>
          <x:t xml:space="preserve">E/2 NW/4, NE/4 NE/4, NE/4 SE/4 of 31-12N-24W</x:t>
        </x:is>
      </x:c>
      <x:c r="J1800" s="552" t="inlineStr">
        <x:is>
          <x:t xml:space="preserve">180 gross acres 
3 years
1/4th royalty</x:t>
        </x:is>
      </x:c>
      <x:c r="K1800" s="554" t="e">
        <x:f>HYPERLINK("https://okcountyrecords.com/detail/roger+mills/2000-006918","OKCountyRecords: 2000-006918")</x:f>
      </x:c>
      <x:c r="L1800" s="552" t="inlineStr">
        <x:is>
          <x:t xml:space="preserve">1, 4, 8</x:t>
        </x:is>
      </x:c>
      <x:c r="M1800" s="552" t="inlineStr">
        <x:is>
          <x:t xml:space="preserve">Leasehold</x:t>
        </x:is>
      </x:c>
      <x:c r="N1800" s="561" t="n"/>
      <x:c r="O1800" s="556" t="n">
        <x:f>IF($L1800="","",IF(ISNUMBER(SEARCH("all",$L1800)),640,(ISNUMBER(SEARCH("1",$L1800)))*80+(ISNUMBER(SEARCH("2",$L1800)))*160+(ISNUMBER(SEARCH("3",$L1800)))*40+(ISNUMBER(SEARCH("4",$L1800)))*80+(ISNUMBER(SEARCH("5",$L1800)))*120+(ISNUMBER(SEARCH("6",$L1800)))*80+(ISNUMBER(SEARCH("7",$L1800)))*40+(ISNUMBER(SEARCH("8",$L1800)))*40))</x:f>
        <x:v>0</x:v>
      </x:c>
      <x:c r="P1800" s="654" t="str">
        <x:f>IF($M1800&lt;&gt;"Mineral","",IF(ISNUMBER($N1800),$N1800,IF(OR(ISNUMBER(SEARCH("surface",$J1800)),ISNUMBER(SEARCH("reserv",$J1800)),ISNUMBER(SEARCH("less and except",$J1800))),0,"")))</x:f>
      </x:c>
      <x:c r="Q1800" s="654" t="str">
        <x:f>IF($P1800="","",-$P1800)</x:f>
      </x:c>
      <x:c r="R1800" s="655" t="str">
        <x:f>IF($P1800="","",$O1800*$P1800)</x:f>
      </x:c>
      <x:c r="S1800" s="552" t="str">
        <x:f>IF($M1800="","",TRIM(IF($M1800="Mineral",IF(ISNUMBER($N1800),"Mineral; basis Conv Amt(dec). ",IF($P1800=0,"Mineral; surface-only/reserved-&gt;0 min. ","Mineral; NO AMOUNT-verify instrument. ")),$M1800&amp;" (non-mineral; excluded from mineral NMA). ")&amp;IF(OR(ISNUMBER(SEARCH("public",$G1800)),ISNUMBER(SEARCH("public",$H1800))),"FLAG: The Public placeholder-verify. ","")&amp;IF(ISNUMBER(SEARCH("all",$L1800)),"All-section coverage. ","")&amp;IF($O1800=0,"Gross acres unresolved. ","")&amp;"Gross=tract-map basis."))</x:f>
        <x:v>Leasehold (non-mineral; excluded from mineral NMA). Gross acres unresolved. Gross=tract-map basis.</x:v>
      </x:c>
      <x:c r="T1800" s="577" t="n"/>
      <x:c r="U1800" s="578" t="n"/>
      <x:c r="V1800" s="565" t="n"/>
      <x:c r="W1800" s="565" t="n"/>
      <x:c r="X1800" s="565" t="n"/>
      <x:c r="Y1800" s="565" t="n"/>
      <x:c r="Z1800" s="565" t="n"/>
    </x:row>
    <x:row r="1801">
      <x:c r="A1801" s="552" t="inlineStr">
        <x:is>
          <x:t xml:space="preserve">2000-006986</x:t>
        </x:is>
      </x:c>
      <x:c r="B1801" s="552" t="n"/>
      <x:c r="C1801" s="552" t="inlineStr">
        <x:is>
          <x:t xml:space="preserve">Oil and Gas Lease</x:t>
        </x:is>
      </x:c>
      <x:c r="D1801" s="552" t="inlineStr">
        <x:is>
          <x:t xml:space="preserve">1607/327</x:t>
        </x:is>
      </x:c>
      <x:c r="E1801" s="653" t="n">
        <x:v>36593</x:v>
      </x:c>
      <x:c r="F1801" s="653" t="n">
        <x:v>36593</x:v>
      </x:c>
      <x:c r="G1801" s="552" t="inlineStr">
        <x:is>
          <x:t xml:space="preserve">Loulse McLerron (formerty, Louise Ormand)
206 Parkview Place
Elk City, OK 73644</x:t>
        </x:is>
      </x:c>
      <x:c r="H1801" s="552" t="inlineStr">
        <x:is>
          <x:t xml:space="preserve">EOG Resources, Inc.</x:t>
        </x:is>
      </x:c>
      <x:c r="I1801" s="552" t="inlineStr">
        <x:is>
          <x:t xml:space="preserve">E/2 NW/4, N/2 NE/4 SW/4, NE/4 SE/4, SE/4 NE/4 of 31-12N-24W</x:t>
        </x:is>
      </x:c>
      <x:c r="J1801" s="552" t="inlineStr">
        <x:is>
          <x:t xml:space="preserve">180 gross acres 
3 years
3/16ths royalty</x:t>
        </x:is>
      </x:c>
      <x:c r="K1801" s="554" t="e">
        <x:f>HYPERLINK("https://okcountyrecords.com/detail/roger+mills/2000-006986","OKCountyRecords: 2000-006986")</x:f>
      </x:c>
      <x:c r="L1801" s="552" t="inlineStr">
        <x:is>
          <x:t xml:space="preserve">1, 3, 4, 7, 8</x:t>
        </x:is>
      </x:c>
      <x:c r="M1801" s="552" t="inlineStr">
        <x:is>
          <x:t xml:space="preserve">Leasehold</x:t>
        </x:is>
      </x:c>
      <x:c r="N1801" s="561" t="n"/>
      <x:c r="O1801" s="556" t="n">
        <x:f>IF($L1801="","",IF(ISNUMBER(SEARCH("all",$L1801)),640,(ISNUMBER(SEARCH("1",$L1801)))*80+(ISNUMBER(SEARCH("2",$L1801)))*160+(ISNUMBER(SEARCH("3",$L1801)))*40+(ISNUMBER(SEARCH("4",$L1801)))*80+(ISNUMBER(SEARCH("5",$L1801)))*120+(ISNUMBER(SEARCH("6",$L1801)))*80+(ISNUMBER(SEARCH("7",$L1801)))*40+(ISNUMBER(SEARCH("8",$L1801)))*40))</x:f>
        <x:v>0</x:v>
      </x:c>
      <x:c r="P1801" s="654" t="str">
        <x:f>IF($M1801&lt;&gt;"Mineral","",IF(ISNUMBER($N1801),$N1801,IF(OR(ISNUMBER(SEARCH("surface",$J1801)),ISNUMBER(SEARCH("reserv",$J1801)),ISNUMBER(SEARCH("less and except",$J1801))),0,"")))</x:f>
      </x:c>
      <x:c r="Q1801" s="654" t="str">
        <x:f>IF($P1801="","",-$P1801)</x:f>
      </x:c>
      <x:c r="R1801" s="655" t="str">
        <x:f>IF($P1801="","",$O1801*$P1801)</x:f>
      </x:c>
      <x:c r="S1801" s="552" t="str">
        <x:f>IF($M1801="","",TRIM(IF($M1801="Mineral",IF(ISNUMBER($N1801),"Mineral; basis Conv Amt(dec). ",IF($P1801=0,"Mineral; surface-only/reserved-&gt;0 min. ","Mineral; NO AMOUNT-verify instrument. ")),$M1801&amp;" (non-mineral; excluded from mineral NMA). ")&amp;IF(OR(ISNUMBER(SEARCH("public",$G1801)),ISNUMBER(SEARCH("public",$H1801))),"FLAG: The Public placeholder-verify. ","")&amp;IF(ISNUMBER(SEARCH("all",$L1801)),"All-section coverage. ","")&amp;IF($O1801=0,"Gross acres unresolved. ","")&amp;"Gross=tract-map basis."))</x:f>
        <x:v>Leasehold (non-mineral; excluded from mineral NMA). Gross acres unresolved. Gross=tract-map basis.</x:v>
      </x:c>
      <x:c r="T1801" s="577" t="n"/>
      <x:c r="U1801" s="578" t="n"/>
      <x:c r="V1801" s="565" t="n"/>
      <x:c r="W1801" s="565" t="n"/>
      <x:c r="X1801" s="565" t="n"/>
      <x:c r="Y1801" s="565" t="n"/>
      <x:c r="Z1801" s="565" t="n"/>
    </x:row>
    <x:row r="1802">
      <x:c r="A1802" s="552" t="inlineStr">
        <x:is>
          <x:t xml:space="preserve">2000-006985</x:t>
        </x:is>
      </x:c>
      <x:c r="B1802" s="552" t="n"/>
      <x:c r="C1802" s="552" t="inlineStr">
        <x:is>
          <x:t xml:space="preserve">Oil and Gas Lease</x:t>
        </x:is>
      </x:c>
      <x:c r="D1802" s="552" t="inlineStr">
        <x:is>
          <x:t xml:space="preserve">1607/325</x:t>
        </x:is>
      </x:c>
      <x:c r="E1802" s="653" t="n">
        <x:v>36593</x:v>
      </x:c>
      <x:c r="F1802" s="653" t="n">
        <x:v>36593</x:v>
      </x:c>
      <x:c r="G1802" s="552" t="inlineStr">
        <x:is>
          <x:t xml:space="preserve">Nancy Mitchell Williams
P.O, Box 673
Hobart, OK 73651</x:t>
        </x:is>
      </x:c>
      <x:c r="H1802" s="552" t="inlineStr">
        <x:is>
          <x:t xml:space="preserve">EOG Resources, Inc.</x:t>
        </x:is>
      </x:c>
      <x:c r="I1802" s="552" t="inlineStr">
        <x:is>
          <x:t xml:space="preserve">E/2 NW/4, E/2 SW/4, Lot 4, N/2 NE/4, NE/4 NE/4, S/2, Lot 3, SE/4 NE/4 of 31-12N-24W</x:t>
        </x:is>
      </x:c>
      <x:c r="J1802" s="552" t="inlineStr">
        <x:is>
          <x:t xml:space="preserve">375.34 gross acres 
3 years
3/16ths royalty</x:t>
        </x:is>
      </x:c>
      <x:c r="K1802" s="554" t="e">
        <x:f>HYPERLINK("https://okcountyrecords.com/detail/roger+mills/2000-006985","OKCountyRecords: 2000-006985")</x:f>
      </x:c>
      <x:c r="L1802" s="552" t="inlineStr">
        <x:is>
          <x:t xml:space="preserve">1, 3, 4, 5, 6, 7</x:t>
        </x:is>
      </x:c>
      <x:c r="M1802" s="552" t="inlineStr">
        <x:is>
          <x:t xml:space="preserve">Leasehold</x:t>
        </x:is>
      </x:c>
      <x:c r="N1802" s="555" t="n"/>
      <x:c r="O1802" s="556" t="n">
        <x:f>IF($L1802="","",IF(ISNUMBER(SEARCH("all",$L1802)),640,(ISNUMBER(SEARCH("1",$L1802)))*80+(ISNUMBER(SEARCH("2",$L1802)))*160+(ISNUMBER(SEARCH("3",$L1802)))*40+(ISNUMBER(SEARCH("4",$L1802)))*80+(ISNUMBER(SEARCH("5",$L1802)))*120+(ISNUMBER(SEARCH("6",$L1802)))*80+(ISNUMBER(SEARCH("7",$L1802)))*40+(ISNUMBER(SEARCH("8",$L1802)))*40))</x:f>
        <x:v>0</x:v>
      </x:c>
      <x:c r="P1802" s="654" t="str">
        <x:f>IF($M1802&lt;&gt;"Mineral","",IF(ISNUMBER($N1802),$N1802,IF(OR(ISNUMBER(SEARCH("surface",$J1802)),ISNUMBER(SEARCH("reserv",$J1802)),ISNUMBER(SEARCH("less and except",$J1802))),0,"")))</x:f>
      </x:c>
      <x:c r="Q1802" s="654" t="str">
        <x:f>IF($P1802="","",-$P1802)</x:f>
      </x:c>
      <x:c r="R1802" s="655" t="str">
        <x:f>IF($P1802="","",$O1802*$P1802)</x:f>
      </x:c>
      <x:c r="S1802" s="552" t="str">
        <x:f>IF($M1802="","",TRIM(IF($M1802="Mineral",IF(ISNUMBER($N1802),"Mineral; basis Conv Amt(dec). ",IF($P1802=0,"Mineral; surface-only/reserved-&gt;0 min. ","Mineral; NO AMOUNT-verify instrument. ")),$M1802&amp;" (non-mineral; excluded from mineral NMA). ")&amp;IF(OR(ISNUMBER(SEARCH("public",$G1802)),ISNUMBER(SEARCH("public",$H1802))),"FLAG: The Public placeholder-verify. ","")&amp;IF(ISNUMBER(SEARCH("all",$L1802)),"All-section coverage. ","")&amp;IF($O1802=0,"Gross acres unresolved. ","")&amp;"Gross=tract-map basis."))</x:f>
        <x:v>Leasehold (non-mineral; excluded from mineral NMA). Gross acres unresolved. Gross=tract-map basis.</x:v>
      </x:c>
      <x:c r="T1802" s="577" t="n"/>
      <x:c r="U1802" s="578" t="n"/>
      <x:c r="V1802" s="565" t="n"/>
      <x:c r="W1802" s="565" t="n"/>
      <x:c r="X1802" s="565" t="n"/>
      <x:c r="Y1802" s="565" t="n"/>
      <x:c r="Z1802" s="565" t="n"/>
    </x:row>
    <x:row r="1803">
      <x:c r="A1803" s="552" t="inlineStr">
        <x:is>
          <x:t xml:space="preserve">1994-007065</x:t>
        </x:is>
      </x:c>
      <x:c r="B1803" s="552" t="n">
        <x:v>93</x:v>
      </x:c>
      <x:c r="C1803" s="552" t="inlineStr">
        <x:is>
          <x:t xml:space="preserve">Assignment</x:t>
        </x:is>
      </x:c>
      <x:c r="D1803" s="563" t="inlineStr">
        <x:is>
          <x:t xml:space="preserve">1608/38</x:t>
        </x:is>
      </x:c>
      <x:c r="E1803" s="653" t="n">
        <x:v>36600</x:v>
      </x:c>
      <x:c r="F1803" s="653" t="n">
        <x:v>36600</x:v>
      </x:c>
      <x:c r="G1803" s="552" t="inlineStr">
        <x:is>
          <x:t xml:space="preserve">R. Michael Lortz</x:t>
        </x:is>
      </x:c>
      <x:c r="H1803" s="552" t="inlineStr">
        <x:is>
          <x:t xml:space="preserve">Lariat Petroleum, Inc.</x:t>
        </x:is>
      </x:c>
      <x:c r="I1803" s="552" t="inlineStr">
        <x:is>
          <x:t xml:space="preserve">Lot 4, S/2 of Lot 3, S/2 NE/4 SW/4, SE/4 SW/4 of 31-12N-24W</x:t>
        </x:is>
      </x:c>
      <x:c r="J1803" s="552" t="inlineStr">
        <x:is>
          <x:t xml:space="preserve">ARTI, Transfers leasehold/WI in chain</x:t>
        </x:is>
      </x:c>
      <x:c r="K1803" s="579" t="inlineStr">
        <x:is>
          <x:t xml:space="preserve">OKCountyRecords: 1994-007065</x:t>
        </x:is>
      </x:c>
      <x:c r="L1803" s="552" t="inlineStr">
        <x:is>
          <x:t xml:space="preserve">2, 3, 5, 6, 7</x:t>
        </x:is>
      </x:c>
      <x:c r="M1803" s="552" t="inlineStr">
        <x:is>
          <x:t xml:space="preserve">Leasehold</x:t>
        </x:is>
      </x:c>
      <x:c r="N1803" s="555" t="n"/>
      <x:c r="O1803" s="556" t="n">
        <x:f>IF($L1803="","",IF(ISNUMBER(SEARCH("all",$L1803)),640,(ISNUMBER(SEARCH("1",$L1803)))*80+(ISNUMBER(SEARCH("2",$L1803)))*160+(ISNUMBER(SEARCH("3",$L1803)))*40+(ISNUMBER(SEARCH("4",$L1803)))*80+(ISNUMBER(SEARCH("5",$L1803)))*120+(ISNUMBER(SEARCH("6",$L1803)))*80+(ISNUMBER(SEARCH("7",$L1803)))*40+(ISNUMBER(SEARCH("8",$L1803)))*40))</x:f>
        <x:v>0</x:v>
      </x:c>
      <x:c r="P1803" s="654" t="str">
        <x:f>IF($M1803&lt;&gt;"Mineral","",IF(ISNUMBER($N1803),$N1803,IF(OR(ISNUMBER(SEARCH("surface",$J1803)),ISNUMBER(SEARCH("reserv",$J1803)),ISNUMBER(SEARCH("less and except",$J1803))),0,"")))</x:f>
      </x:c>
      <x:c r="Q1803" s="654" t="str">
        <x:f>IF($P1803="","",-$P1803)</x:f>
      </x:c>
      <x:c r="R1803" s="655" t="str">
        <x:f>IF($P1803="","",$O1803*$P1803)</x:f>
      </x:c>
      <x:c r="S1803" s="552" t="str">
        <x:f>IF($M1803="","",TRIM(IF($M1803="Mineral",IF(ISNUMBER($N1803),"Mineral; basis Conv Amt(dec). ",IF($P1803=0,"Mineral; surface-only/reserved-&gt;0 min. ","Mineral; NO AMOUNT-verify instrument. ")),$M1803&amp;" (non-mineral; excluded from mineral NMA). ")&amp;IF(OR(ISNUMBER(SEARCH("public",$G1803)),ISNUMBER(SEARCH("public",$H1803))),"FLAG: The Public placeholder-verify. ","")&amp;IF(ISNUMBER(SEARCH("all",$L1803)),"All-section coverage. ","")&amp;IF($O1803=0,"Gross acres unresolved. ","")&amp;"Gross=tract-map basis."))</x:f>
        <x:v>Leasehold (non-mineral; excluded from mineral NMA). Gross acres unresolved. Gross=tract-map basis.</x:v>
      </x:c>
      <x:c r="T1803" s="577" t="n"/>
      <x:c r="U1803" s="578" t="n"/>
      <x:c r="V1803" s="565" t="n"/>
      <x:c r="W1803" s="565" t="n"/>
      <x:c r="X1803" s="565" t="n"/>
      <x:c r="Y1803" s="565" t="n"/>
      <x:c r="Z1803" s="565" t="n"/>
    </x:row>
    <x:row r="1804">
      <x:c r="A1804" s="552" t="inlineStr">
        <x:is>
          <x:t xml:space="preserve">2000-007065</x:t>
        </x:is>
      </x:c>
      <x:c r="B1804" s="552" t="n">
        <x:v>69</x:v>
      </x:c>
      <x:c r="C1804" s="552" t="inlineStr">
        <x:is>
          <x:t xml:space="preserve">Assignment</x:t>
        </x:is>
      </x:c>
      <x:c r="D1804" s="552" t="inlineStr">
        <x:is>
          <x:t xml:space="preserve">1608/38</x:t>
        </x:is>
      </x:c>
      <x:c r="E1804" s="653" t="n">
        <x:v>36600</x:v>
      </x:c>
      <x:c r="F1804" s="653" t="n">
        <x:v>36600</x:v>
      </x:c>
      <x:c r="G1804" s="552" t="inlineStr">
        <x:is>
          <x:t xml:space="preserve">R. Michael Lortz</x:t>
        </x:is>
      </x:c>
      <x:c r="H1804" s="552" t="inlineStr">
        <x:is>
          <x:t xml:space="preserve">Lariat Petroleum, Inc.</x:t>
        </x:is>
      </x:c>
      <x:c r="I1804" s="552" t="inlineStr">
        <x:is>
          <x:t xml:space="preserve">A of 31-12N-24W</x:t>
        </x:is>
      </x:c>
      <x:c r="J1804" s="552" t="inlineStr">
        <x:is>
          <x:t xml:space="preserve">Leasehold assigned (chain)
Added from scanned Section 31 index PDF page 24 / printed report page 1. Assignment affecting all Section 31 per printed index row; not found in filled workbook source index. Add to historical chain and obtain full 001608/0038 image.</x:t>
        </x:is>
      </x:c>
      <x:c r="K1804" s="554" t="e">
        <x:f>HYPERLINK("https://okcountyrecords.com/detail/roger+mills/2000-007065","63e8b9a8d056433a9994fe46ca85076b.pdf | OKCountyRecords: 2000-007065")</x:f>
      </x:c>
      <x:c r="L1804" s="552" t="inlineStr">
        <x:is>
          <x:t xml:space="preserve">All (1-8)</x:t>
        </x:is>
      </x:c>
      <x:c r="M1804" s="552" t="inlineStr">
        <x:is>
          <x:t xml:space="preserve">Leasehold</x:t>
        </x:is>
      </x:c>
      <x:c r="N1804" s="555" t="n"/>
      <x:c r="O1804" s="556" t="n">
        <x:f>IF($L1804="","",IF(ISNUMBER(SEARCH("all",$L1804)),640,(ISNUMBER(SEARCH("1",$L1804)))*80+(ISNUMBER(SEARCH("2",$L1804)))*160+(ISNUMBER(SEARCH("3",$L1804)))*40+(ISNUMBER(SEARCH("4",$L1804)))*80+(ISNUMBER(SEARCH("5",$L1804)))*120+(ISNUMBER(SEARCH("6",$L1804)))*80+(ISNUMBER(SEARCH("7",$L1804)))*40+(ISNUMBER(SEARCH("8",$L1804)))*40))</x:f>
        <x:v>640</x:v>
      </x:c>
      <x:c r="P1804" s="654" t="str">
        <x:f>IF($M1804&lt;&gt;"Mineral","",IF(ISNUMBER($N1804),$N1804,IF(OR(ISNUMBER(SEARCH("surface",$J1804)),ISNUMBER(SEARCH("reserv",$J1804)),ISNUMBER(SEARCH("less and except",$J1804))),0,"")))</x:f>
      </x:c>
      <x:c r="Q1804" s="654" t="str">
        <x:f>IF($P1804="","",-$P1804)</x:f>
      </x:c>
      <x:c r="R1804" s="655" t="str">
        <x:f>IF($P1804="","",$O1804*$P1804)</x:f>
      </x:c>
      <x:c r="S1804" s="552" t="str">
        <x:f>IF($M1804="","",TRIM(IF($M1804="Mineral",IF(ISNUMBER($N1804),"Mineral; basis Conv Amt(dec). ",IF($P1804=0,"Mineral; surface-only/reserved-&gt;0 min. ","Mineral; NO AMOUNT-verify instrument. ")),$M1804&amp;" (non-mineral; excluded from mineral NMA). ")&amp;IF(OR(ISNUMBER(SEARCH("public",$G1804)),ISNUMBER(SEARCH("public",$H1804))),"FLAG: The Public placeholder-verify. ","")&amp;IF(ISNUMBER(SEARCH("all",$L1804)),"All-section coverage. ","")&amp;IF($O1804=0,"Gross acres unresolved. ","")&amp;"Gross=tract-map basis."))</x:f>
        <x:v>Leasehold (non-mineral; excluded from mineral NMA). All-section coverage. Gross=tract-map basis.</x:v>
      </x:c>
      <x:c r="T1804" s="577" t="n"/>
      <x:c r="U1804" s="578" t="n"/>
      <x:c r="V1804" s="565" t="n"/>
      <x:c r="W1804" s="565" t="n"/>
      <x:c r="X1804" s="565" t="n"/>
      <x:c r="Y1804" s="565" t="n"/>
      <x:c r="Z1804" s="565" t="n"/>
    </x:row>
    <x:row r="1805">
      <x:c r="A1805" s="552" t="inlineStr">
        <x:is>
          <x:t xml:space="preserve">1994-007204</x:t>
        </x:is>
      </x:c>
      <x:c r="B1805" s="552" t="n">
        <x:v>94</x:v>
      </x:c>
      <x:c r="C1805" s="552" t="inlineStr">
        <x:is>
          <x:t xml:space="preserve">Oil and Gas Lease</x:t>
        </x:is>
      </x:c>
      <x:c r="D1805" s="563" t="inlineStr">
        <x:is>
          <x:t xml:space="preserve">1608/452</x:t>
        </x:is>
      </x:c>
      <x:c r="E1805" s="653" t="n">
        <x:v>36612</x:v>
      </x:c>
      <x:c r="F1805" s="653" t="n">
        <x:v>36612</x:v>
      </x:c>
      <x:c r="G1805" s="552" t="inlineStr">
        <x:is>
          <x:t xml:space="preserve">Melinda Barbie</x:t>
        </x:is>
      </x:c>
      <x:c r="H1805" s="552" t="inlineStr">
        <x:is>
          <x:t xml:space="preserve">R. Michael Lortz</x:t>
        </x:is>
      </x:c>
      <x:c r="I1805" s="552" t="inlineStr">
        <x:is>
          <x:t xml:space="preserve">Lot 4, S/2 of Lot 3, S/2 NE/4 SW/4, SE/4 SW/4 of 31-12N-24W</x:t>
        </x:is>
      </x:c>
      <x:c r="J1805" s="552" t="inlineStr">
        <x:is>
          <x:t xml:space="preserve">Creates oil &amp; gas leasehold burden</x:t>
        </x:is>
      </x:c>
      <x:c r="K1805" s="579" t="inlineStr">
        <x:is>
          <x:t xml:space="preserve">OKCountyRecords: 1994-007204</x:t>
        </x:is>
      </x:c>
      <x:c r="L1805" s="552" t="inlineStr">
        <x:is>
          <x:t xml:space="preserve">2, 3, 5, 6, 7</x:t>
        </x:is>
      </x:c>
      <x:c r="M1805" s="552" t="inlineStr">
        <x:is>
          <x:t xml:space="preserve">Leasehold</x:t>
        </x:is>
      </x:c>
      <x:c r="N1805" s="555" t="n"/>
      <x:c r="O1805" s="556" t="n">
        <x:f>IF($L1805="","",IF(ISNUMBER(SEARCH("all",$L1805)),640,(ISNUMBER(SEARCH("1",$L1805)))*80+(ISNUMBER(SEARCH("2",$L1805)))*160+(ISNUMBER(SEARCH("3",$L1805)))*40+(ISNUMBER(SEARCH("4",$L1805)))*80+(ISNUMBER(SEARCH("5",$L1805)))*120+(ISNUMBER(SEARCH("6",$L1805)))*80+(ISNUMBER(SEARCH("7",$L1805)))*40+(ISNUMBER(SEARCH("8",$L1805)))*40))</x:f>
        <x:v>0</x:v>
      </x:c>
      <x:c r="P1805" s="654" t="str">
        <x:f>IF($M1805&lt;&gt;"Mineral","",IF(ISNUMBER($N1805),$N1805,IF(OR(ISNUMBER(SEARCH("surface",$J1805)),ISNUMBER(SEARCH("reserv",$J1805)),ISNUMBER(SEARCH("less and except",$J1805))),0,"")))</x:f>
      </x:c>
      <x:c r="Q1805" s="654" t="str">
        <x:f>IF($P1805="","",-$P1805)</x:f>
      </x:c>
      <x:c r="R1805" s="655" t="str">
        <x:f>IF($P1805="","",$O1805*$P1805)</x:f>
      </x:c>
      <x:c r="S1805" s="552" t="str">
        <x:f>IF($M1805="","",TRIM(IF($M1805="Mineral",IF(ISNUMBER($N1805),"Mineral; basis Conv Amt(dec). ",IF($P1805=0,"Mineral; surface-only/reserved-&gt;0 min. ","Mineral; NO AMOUNT-verify instrument. ")),$M1805&amp;" (non-mineral; excluded from mineral NMA). ")&amp;IF(OR(ISNUMBER(SEARCH("public",$G1805)),ISNUMBER(SEARCH("public",$H1805))),"FLAG: The Public placeholder-verify. ","")&amp;IF(ISNUMBER(SEARCH("all",$L1805)),"All-section coverage. ","")&amp;IF($O1805=0,"Gross acres unresolved. ","")&amp;"Gross=tract-map basis."))</x:f>
        <x:v>Leasehold (non-mineral; excluded from mineral NMA). Gross acres unresolved. Gross=tract-map basis.</x:v>
      </x:c>
      <x:c r="T1805" s="577" t="n"/>
      <x:c r="U1805" s="578" t="n"/>
      <x:c r="V1805" s="565" t="n"/>
      <x:c r="W1805" s="565" t="n"/>
      <x:c r="X1805" s="565" t="n"/>
      <x:c r="Y1805" s="565" t="n"/>
      <x:c r="Z1805" s="565" t="n"/>
    </x:row>
    <x:row r="1806">
      <x:c r="A1806" s="552" t="inlineStr">
        <x:is>
          <x:t xml:space="preserve">1994-007244</x:t>
        </x:is>
      </x:c>
      <x:c r="B1806" s="552" t="n">
        <x:v>95</x:v>
      </x:c>
      <x:c r="C1806" s="552" t="inlineStr">
        <x:is>
          <x:t xml:space="preserve">Oil and Gas Lease</x:t>
        </x:is>
      </x:c>
      <x:c r="D1806" s="563" t="inlineStr">
        <x:is>
          <x:t xml:space="preserve">1608/541</x:t>
        </x:is>
      </x:c>
      <x:c r="E1806" s="653" t="n">
        <x:v>36613</x:v>
      </x:c>
      <x:c r="F1806" s="653" t="n">
        <x:v>36613</x:v>
      </x:c>
      <x:c r="G1806" s="552" t="inlineStr">
        <x:is>
          <x:t xml:space="preserve">Carrie Leeanne Mitchell</x:t>
        </x:is>
      </x:c>
      <x:c r="H1806" s="552" t="inlineStr">
        <x:is>
          <x:t xml:space="preserve">EOG Resources, Inc.</x:t>
        </x:is>
      </x:c>
      <x:c r="I1806" s="552" t="inlineStr">
        <x:is>
          <x:t xml:space="preserve">E/2 NW/4, E/2 SW/4, Lots 3-4, N/2 NE/4, NE/4 SE/4, SE/4 NE/4 of 31-12N-24W</x:t>
        </x:is>
      </x:c>
      <x:c r="J1806" s="552" t="inlineStr">
        <x:is>
          <x:t xml:space="preserve">Creates oil &amp; gas leasehold burden</x:t>
        </x:is>
      </x:c>
      <x:c r="K1806" s="579" t="inlineStr">
        <x:is>
          <x:t xml:space="preserve">OKCountyRecords: 1994-007244</x:t>
        </x:is>
      </x:c>
      <x:c r="L1806" s="552" t="inlineStr">
        <x:is>
          <x:t xml:space="preserve">1, 3, 4, 5, 6, 7, 8</x:t>
        </x:is>
      </x:c>
      <x:c r="M1806" s="552" t="inlineStr">
        <x:is>
          <x:t xml:space="preserve">Leasehold</x:t>
        </x:is>
      </x:c>
      <x:c r="N1806" s="561" t="n"/>
      <x:c r="O1806" s="556" t="n">
        <x:f>IF($L1806="","",IF(ISNUMBER(SEARCH("all",$L1806)),640,(ISNUMBER(SEARCH("1",$L1806)))*80+(ISNUMBER(SEARCH("2",$L1806)))*160+(ISNUMBER(SEARCH("3",$L1806)))*40+(ISNUMBER(SEARCH("4",$L1806)))*80+(ISNUMBER(SEARCH("5",$L1806)))*120+(ISNUMBER(SEARCH("6",$L1806)))*80+(ISNUMBER(SEARCH("7",$L1806)))*40+(ISNUMBER(SEARCH("8",$L1806)))*40))</x:f>
        <x:v>0</x:v>
      </x:c>
      <x:c r="P1806" s="654" t="str">
        <x:f>IF($M1806&lt;&gt;"Mineral","",IF(ISNUMBER($N1806),$N1806,IF(OR(ISNUMBER(SEARCH("surface",$J1806)),ISNUMBER(SEARCH("reserv",$J1806)),ISNUMBER(SEARCH("less and except",$J1806))),0,"")))</x:f>
      </x:c>
      <x:c r="Q1806" s="654" t="str">
        <x:f>IF($P1806="","",-$P1806)</x:f>
      </x:c>
      <x:c r="R1806" s="655" t="str">
        <x:f>IF($P1806="","",$O1806*$P1806)</x:f>
      </x:c>
      <x:c r="S1806" s="552" t="str">
        <x:f>IF($M1806="","",TRIM(IF($M1806="Mineral",IF(ISNUMBER($N1806),"Mineral; basis Conv Amt(dec). ",IF($P1806=0,"Mineral; surface-only/reserved-&gt;0 min. ","Mineral; NO AMOUNT-verify instrument. ")),$M1806&amp;" (non-mineral; excluded from mineral NMA). ")&amp;IF(OR(ISNUMBER(SEARCH("public",$G1806)),ISNUMBER(SEARCH("public",$H1806))),"FLAG: The Public placeholder-verify. ","")&amp;IF(ISNUMBER(SEARCH("all",$L1806)),"All-section coverage. ","")&amp;IF($O1806=0,"Gross acres unresolved. ","")&amp;"Gross=tract-map basis."))</x:f>
        <x:v>Leasehold (non-mineral; excluded from mineral NMA). Gross acres unresolved. Gross=tract-map basis.</x:v>
      </x:c>
      <x:c r="T1806" s="577" t="n"/>
      <x:c r="U1806" s="578" t="n"/>
      <x:c r="V1806" s="565" t="n"/>
      <x:c r="W1806" s="565" t="n"/>
      <x:c r="X1806" s="565" t="n"/>
      <x:c r="Y1806" s="565" t="n"/>
      <x:c r="Z1806" s="565" t="n"/>
    </x:row>
    <x:row r="1807">
      <x:c r="A1807" s="552" t="inlineStr">
        <x:is>
          <x:t xml:space="preserve">1994-007245</x:t>
        </x:is>
      </x:c>
      <x:c r="B1807" s="552" t="n">
        <x:v>96</x:v>
      </x:c>
      <x:c r="C1807" s="552" t="inlineStr">
        <x:is>
          <x:t xml:space="preserve">Oil and Gas Lease</x:t>
        </x:is>
      </x:c>
      <x:c r="D1807" s="563" t="inlineStr">
        <x:is>
          <x:t xml:space="preserve">1608/543</x:t>
        </x:is>
      </x:c>
      <x:c r="E1807" s="653" t="n">
        <x:v>36613</x:v>
      </x:c>
      <x:c r="F1807" s="653" t="n">
        <x:v>36613</x:v>
      </x:c>
      <x:c r="G1807" s="552" t="inlineStr">
        <x:is>
          <x:t xml:space="preserve">Nancy Susan Mitchell</x:t>
        </x:is>
      </x:c>
      <x:c r="H1807" s="552" t="inlineStr">
        <x:is>
          <x:t xml:space="preserve">EOG Resources, Inc.</x:t>
        </x:is>
      </x:c>
      <x:c r="I1807" s="552" t="inlineStr">
        <x:is>
          <x:t xml:space="preserve">E/2 NW/4, E/2 SW/4, Lots 3-4, N/2 NE/4, NE/4 SE/4, SE/4 NE/4 of 31-12N-24W</x:t>
        </x:is>
      </x:c>
      <x:c r="J1807" s="552" t="inlineStr">
        <x:is>
          <x:t xml:space="preserve">Creates oil &amp; gas leasehold burden</x:t>
        </x:is>
      </x:c>
      <x:c r="K1807" s="579" t="inlineStr">
        <x:is>
          <x:t xml:space="preserve">OKCountyRecords: 1994-007245</x:t>
        </x:is>
      </x:c>
      <x:c r="L1807" s="552" t="inlineStr">
        <x:is>
          <x:t xml:space="preserve">1, 3, 4, 5, 6, 7, 8</x:t>
        </x:is>
      </x:c>
      <x:c r="M1807" s="552" t="inlineStr">
        <x:is>
          <x:t xml:space="preserve">Leasehold</x:t>
        </x:is>
      </x:c>
      <x:c r="N1807" s="561" t="n"/>
      <x:c r="O1807" s="556" t="n">
        <x:f>IF($L1807="","",IF(ISNUMBER(SEARCH("all",$L1807)),640,(ISNUMBER(SEARCH("1",$L1807)))*80+(ISNUMBER(SEARCH("2",$L1807)))*160+(ISNUMBER(SEARCH("3",$L1807)))*40+(ISNUMBER(SEARCH("4",$L1807)))*80+(ISNUMBER(SEARCH("5",$L1807)))*120+(ISNUMBER(SEARCH("6",$L1807)))*80+(ISNUMBER(SEARCH("7",$L1807)))*40+(ISNUMBER(SEARCH("8",$L1807)))*40))</x:f>
        <x:v>0</x:v>
      </x:c>
      <x:c r="P1807" s="654" t="str">
        <x:f>IF($M1807&lt;&gt;"Mineral","",IF(ISNUMBER($N1807),$N1807,IF(OR(ISNUMBER(SEARCH("surface",$J1807)),ISNUMBER(SEARCH("reserv",$J1807)),ISNUMBER(SEARCH("less and except",$J1807))),0,"")))</x:f>
      </x:c>
      <x:c r="Q1807" s="654" t="str">
        <x:f>IF($P1807="","",-$P1807)</x:f>
      </x:c>
      <x:c r="R1807" s="655" t="str">
        <x:f>IF($P1807="","",$O1807*$P1807)</x:f>
      </x:c>
      <x:c r="S1807" s="552" t="str">
        <x:f>IF($M1807="","",TRIM(IF($M1807="Mineral",IF(ISNUMBER($N1807),"Mineral; basis Conv Amt(dec). ",IF($P1807=0,"Mineral; surface-only/reserved-&gt;0 min. ","Mineral; NO AMOUNT-verify instrument. ")),$M1807&amp;" (non-mineral; excluded from mineral NMA). ")&amp;IF(OR(ISNUMBER(SEARCH("public",$G1807)),ISNUMBER(SEARCH("public",$H1807))),"FLAG: The Public placeholder-verify. ","")&amp;IF(ISNUMBER(SEARCH("all",$L1807)),"All-section coverage. ","")&amp;IF($O1807=0,"Gross acres unresolved. ","")&amp;"Gross=tract-map basis."))</x:f>
        <x:v>Leasehold (non-mineral; excluded from mineral NMA). Gross acres unresolved. Gross=tract-map basis.</x:v>
      </x:c>
      <x:c r="T1807" s="577" t="n"/>
      <x:c r="U1807" s="578" t="n"/>
      <x:c r="V1807" s="565" t="n"/>
      <x:c r="W1807" s="565" t="n"/>
      <x:c r="X1807" s="565" t="n"/>
      <x:c r="Y1807" s="565" t="n"/>
      <x:c r="Z1807" s="565" t="n"/>
    </x:row>
    <x:row r="1808">
      <x:c r="A1808" s="552" t="inlineStr">
        <x:is>
          <x:t xml:space="preserve">2000-007332</x:t>
        </x:is>
      </x:c>
      <x:c r="B1808" s="552" t="n"/>
      <x:c r="C1808" s="552" t="inlineStr">
        <x:is>
          <x:t xml:space="preserve">Oil and Gas Lease</x:t>
        </x:is>
      </x:c>
      <x:c r="D1808" s="552" t="inlineStr">
        <x:is>
          <x:t xml:space="preserve">1609/199</x:t>
        </x:is>
      </x:c>
      <x:c r="E1808" s="653" t="n">
        <x:v>36616</x:v>
      </x:c>
      <x:c r="F1808" s="653" t="n">
        <x:v>36616</x:v>
      </x:c>
      <x:c r="G1808" s="552" t="inlineStr">
        <x:is>
          <x:t xml:space="preserve">Gena W. Moore (aka Gena Williams)
3890 Windvke Drive
Memphis. TN 38125</x:t>
        </x:is>
      </x:c>
      <x:c r="H1808" s="552" t="inlineStr">
        <x:is>
          <x:t xml:space="preserve">EOG Resources, Inc.</x:t>
        </x:is>
      </x:c>
      <x:c r="I1808" s="552" t="inlineStr">
        <x:is>
          <x:t xml:space="preserve">E/2 NW/4, E/2 SW/4, N/2 NE/4, NE/4 SE/4, Lots 3-4, SE/4 NE/4 of 31-12N-24W</x:t>
        </x:is>
      </x:c>
      <x:c r="J1808" s="552" t="inlineStr">
        <x:is>
          <x:t xml:space="preserve">375.34 gross acres 
3 years
3/16ths royalty</x:t>
        </x:is>
      </x:c>
      <x:c r="K1808" s="554" t="e">
        <x:f>HYPERLINK("https://okcountyrecords.com/detail/roger+mills/2000-007332","OKCountyRecords: 2000-007332")</x:f>
      </x:c>
      <x:c r="L1808" s="552" t="inlineStr">
        <x:is>
          <x:t xml:space="preserve">1, 3, 4, 5, 6, 7, 8</x:t>
        </x:is>
      </x:c>
      <x:c r="M1808" s="552" t="inlineStr">
        <x:is>
          <x:t xml:space="preserve">Leasehold</x:t>
        </x:is>
      </x:c>
      <x:c r="N1808" s="561" t="n"/>
      <x:c r="O1808" s="556" t="n">
        <x:f>IF($L1808="","",IF(ISNUMBER(SEARCH("all",$L1808)),640,(ISNUMBER(SEARCH("1",$L1808)))*80+(ISNUMBER(SEARCH("2",$L1808)))*160+(ISNUMBER(SEARCH("3",$L1808)))*40+(ISNUMBER(SEARCH("4",$L1808)))*80+(ISNUMBER(SEARCH("5",$L1808)))*120+(ISNUMBER(SEARCH("6",$L1808)))*80+(ISNUMBER(SEARCH("7",$L1808)))*40+(ISNUMBER(SEARCH("8",$L1808)))*40))</x:f>
        <x:v>0</x:v>
      </x:c>
      <x:c r="P1808" s="654" t="str">
        <x:f>IF($M1808&lt;&gt;"Mineral","",IF(ISNUMBER($N1808),$N1808,IF(OR(ISNUMBER(SEARCH("surface",$J1808)),ISNUMBER(SEARCH("reserv",$J1808)),ISNUMBER(SEARCH("less and except",$J1808))),0,"")))</x:f>
      </x:c>
      <x:c r="Q1808" s="654" t="str">
        <x:f>IF($P1808="","",-$P1808)</x:f>
      </x:c>
      <x:c r="R1808" s="655" t="str">
        <x:f>IF($P1808="","",$O1808*$P1808)</x:f>
      </x:c>
      <x:c r="S1808" s="552" t="str">
        <x:f>IF($M1808="","",TRIM(IF($M1808="Mineral",IF(ISNUMBER($N1808),"Mineral; basis Conv Amt(dec). ",IF($P1808=0,"Mineral; surface-only/reserved-&gt;0 min. ","Mineral; NO AMOUNT-verify instrument. ")),$M1808&amp;" (non-mineral; excluded from mineral NMA). ")&amp;IF(OR(ISNUMBER(SEARCH("public",$G1808)),ISNUMBER(SEARCH("public",$H1808))),"FLAG: The Public placeholder-verify. ","")&amp;IF(ISNUMBER(SEARCH("all",$L1808)),"All-section coverage. ","")&amp;IF($O1808=0,"Gross acres unresolved. ","")&amp;"Gross=tract-map basis."))</x:f>
        <x:v>Leasehold (non-mineral; excluded from mineral NMA). Gross acres unresolved. Gross=tract-map basis.</x:v>
      </x:c>
      <x:c r="T1808" s="577" t="n"/>
      <x:c r="U1808" s="578" t="n"/>
      <x:c r="V1808" s="565" t="n"/>
      <x:c r="W1808" s="565" t="n"/>
      <x:c r="X1808" s="565" t="n"/>
      <x:c r="Y1808" s="565" t="n"/>
      <x:c r="Z1808" s="565" t="n"/>
    </x:row>
    <x:row r="1809">
      <x:c r="A1809" s="552" t="inlineStr">
        <x:is>
          <x:t xml:space="preserve">2000-007383</x:t>
        </x:is>
      </x:c>
      <x:c r="B1809" s="552" t="n"/>
      <x:c r="C1809" s="552" t="inlineStr">
        <x:is>
          <x:t xml:space="preserve">Oil and Gas Lease</x:t>
        </x:is>
      </x:c>
      <x:c r="D1809" s="552" t="inlineStr">
        <x:is>
          <x:t xml:space="preserve">1610/40</x:t>
        </x:is>
      </x:c>
      <x:c r="E1809" s="653" t="n">
        <x:v>36621</x:v>
      </x:c>
      <x:c r="F1809" s="653" t="n">
        <x:v>36621</x:v>
      </x:c>
      <x:c r="G1809" s="552" t="inlineStr">
        <x:is>
          <x:t xml:space="preserve">Richard M. Heins
6333 Odana Road,
Madison, WI 53716</x:t>
        </x:is>
      </x:c>
      <x:c r="H1809" s="552" t="inlineStr">
        <x:is>
          <x:t xml:space="preserve">Richard C. Cope</x:t>
        </x:is>
      </x:c>
      <x:c r="I1809" s="552" t="inlineStr">
        <x:is>
          <x:t xml:space="preserve">SE/4 SE/4, SW/4 NE/4, W/2 SE/4 of 31-12N-24W</x:t>
        </x:is>
      </x:c>
      <x:c r="J1809" s="552" t="inlineStr">
        <x:is>
          <x:t xml:space="preserve">160 gross acres 
3 years
3/16ths royalty</x:t>
        </x:is>
      </x:c>
      <x:c r="K1809" s="554" t="e">
        <x:f>HYPERLINK("https://okcountyrecords.com/detail/roger+mills/2000-007383","OKCountyRecords: 2000-007383")</x:f>
      </x:c>
      <x:c r="L1809" s="552" t="n">
        <x:v>2</x:v>
      </x:c>
      <x:c r="M1809" s="552" t="inlineStr">
        <x:is>
          <x:t xml:space="preserve">Leasehold</x:t>
        </x:is>
      </x:c>
      <x:c r="N1809" s="555" t="n"/>
      <x:c r="O1809" s="556" t="n">
        <x:f>IF($L1809="","",IF(ISNUMBER(SEARCH("all",$L1809)),640,(ISNUMBER(SEARCH("1",$L1809)))*80+(ISNUMBER(SEARCH("2",$L1809)))*160+(ISNUMBER(SEARCH("3",$L1809)))*40+(ISNUMBER(SEARCH("4",$L1809)))*80+(ISNUMBER(SEARCH("5",$L1809)))*120+(ISNUMBER(SEARCH("6",$L1809)))*80+(ISNUMBER(SEARCH("7",$L1809)))*40+(ISNUMBER(SEARCH("8",$L1809)))*40))</x:f>
        <x:v>0</x:v>
      </x:c>
      <x:c r="P1809" s="654" t="str">
        <x:f>IF($M1809&lt;&gt;"Mineral","",IF(ISNUMBER($N1809),$N1809,IF(OR(ISNUMBER(SEARCH("surface",$J1809)),ISNUMBER(SEARCH("reserv",$J1809)),ISNUMBER(SEARCH("less and except",$J1809))),0,"")))</x:f>
      </x:c>
      <x:c r="Q1809" s="654" t="str">
        <x:f>IF($P1809="","",-$P1809)</x:f>
      </x:c>
      <x:c r="R1809" s="655" t="str">
        <x:f>IF($P1809="","",$O1809*$P1809)</x:f>
      </x:c>
      <x:c r="S1809" s="552" t="str">
        <x:f>IF($M1809="","",TRIM(IF($M1809="Mineral",IF(ISNUMBER($N1809),"Mineral; basis Conv Amt(dec). ",IF($P1809=0,"Mineral; surface-only/reserved-&gt;0 min. ","Mineral; NO AMOUNT-verify instrument. ")),$M1809&amp;" (non-mineral; excluded from mineral NMA). ")&amp;IF(OR(ISNUMBER(SEARCH("public",$G1809)),ISNUMBER(SEARCH("public",$H1809))),"FLAG: The Public placeholder-verify. ","")&amp;IF(ISNUMBER(SEARCH("all",$L1809)),"All-section coverage. ","")&amp;IF($O1809=0,"Gross acres unresolved. ","")&amp;"Gross=tract-map basis."))</x:f>
        <x:v>Leasehold (non-mineral; excluded from mineral NMA). Gross acres unresolved. Gross=tract-map basis.</x:v>
      </x:c>
      <x:c r="T1809" s="577" t="n"/>
      <x:c r="U1809" s="578" t="n"/>
      <x:c r="V1809" s="565" t="n"/>
      <x:c r="W1809" s="565" t="n"/>
      <x:c r="X1809" s="565" t="n"/>
      <x:c r="Y1809" s="565" t="n"/>
      <x:c r="Z1809" s="565" t="n"/>
    </x:row>
    <x:row r="1810">
      <x:c r="A1810" s="552" t="inlineStr">
        <x:is>
          <x:t xml:space="preserve">2000-007411</x:t>
        </x:is>
      </x:c>
      <x:c r="B1810" s="552" t="n"/>
      <x:c r="C1810" s="552" t="inlineStr">
        <x:is>
          <x:t xml:space="preserve">Oil and Gas Lease</x:t>
        </x:is>
      </x:c>
      <x:c r="D1810" s="552" t="inlineStr">
        <x:is>
          <x:t xml:space="preserve">1610/121</x:t>
        </x:is>
      </x:c>
      <x:c r="E1810" s="653" t="n">
        <x:v>36623</x:v>
      </x:c>
      <x:c r="F1810" s="653" t="n">
        <x:v>36623</x:v>
      </x:c>
      <x:c r="G1810" s="552" t="inlineStr">
        <x:is>
          <x:t xml:space="preserve">Robert H. Frazler
P. O. Box 50264
Midland, TX</x:t>
        </x:is>
      </x:c>
      <x:c r="H1810" s="552" t="inlineStr">
        <x:is>
          <x:t xml:space="preserve">Richard C. Cope</x:t>
        </x:is>
      </x:c>
      <x:c r="I1810" s="552" t="inlineStr">
        <x:is>
          <x:t xml:space="preserve">E/2 NW/4, N/2 NE/4 SW/4, NE/4 SE/4, SE/4 NE/4 of 31-12N-24W</x:t>
        </x:is>
      </x:c>
      <x:c r="J1810" s="552" t="inlineStr">
        <x:is>
          <x:t xml:space="preserve">180 gross acres 
3 years
1/4th royalty</x:t>
        </x:is>
      </x:c>
      <x:c r="K1810" s="554" t="e">
        <x:f>HYPERLINK("https://okcountyrecords.com/detail/roger+mills/2000-007411","OKCountyRecords: 2000-007411")</x:f>
      </x:c>
      <x:c r="L1810" s="552" t="inlineStr">
        <x:is>
          <x:t xml:space="preserve">1, 3, 4, 7, 8</x:t>
        </x:is>
      </x:c>
      <x:c r="M1810" s="552" t="inlineStr">
        <x:is>
          <x:t xml:space="preserve">Leasehold</x:t>
        </x:is>
      </x:c>
      <x:c r="N1810" s="561" t="n"/>
      <x:c r="O1810" s="556" t="n">
        <x:f>IF($L1810="","",IF(ISNUMBER(SEARCH("all",$L1810)),640,(ISNUMBER(SEARCH("1",$L1810)))*80+(ISNUMBER(SEARCH("2",$L1810)))*160+(ISNUMBER(SEARCH("3",$L1810)))*40+(ISNUMBER(SEARCH("4",$L1810)))*80+(ISNUMBER(SEARCH("5",$L1810)))*120+(ISNUMBER(SEARCH("6",$L1810)))*80+(ISNUMBER(SEARCH("7",$L1810)))*40+(ISNUMBER(SEARCH("8",$L1810)))*40))</x:f>
        <x:v>0</x:v>
      </x:c>
      <x:c r="P1810" s="654" t="str">
        <x:f>IF($M1810&lt;&gt;"Mineral","",IF(ISNUMBER($N1810),$N1810,IF(OR(ISNUMBER(SEARCH("surface",$J1810)),ISNUMBER(SEARCH("reserv",$J1810)),ISNUMBER(SEARCH("less and except",$J1810))),0,"")))</x:f>
      </x:c>
      <x:c r="Q1810" s="654" t="str">
        <x:f>IF($P1810="","",-$P1810)</x:f>
      </x:c>
      <x:c r="R1810" s="655" t="str">
        <x:f>IF($P1810="","",$O1810*$P1810)</x:f>
      </x:c>
      <x:c r="S1810" s="552" t="str">
        <x:f>IF($M1810="","",TRIM(IF($M1810="Mineral",IF(ISNUMBER($N1810),"Mineral; basis Conv Amt(dec). ",IF($P1810=0,"Mineral; surface-only/reserved-&gt;0 min. ","Mineral; NO AMOUNT-verify instrument. ")),$M1810&amp;" (non-mineral; excluded from mineral NMA). ")&amp;IF(OR(ISNUMBER(SEARCH("public",$G1810)),ISNUMBER(SEARCH("public",$H1810))),"FLAG: The Public placeholder-verify. ","")&amp;IF(ISNUMBER(SEARCH("all",$L1810)),"All-section coverage. ","")&amp;IF($O1810=0,"Gross acres unresolved. ","")&amp;"Gross=tract-map basis."))</x:f>
        <x:v>Leasehold (non-mineral; excluded from mineral NMA). Gross acres unresolved. Gross=tract-map basis.</x:v>
      </x:c>
      <x:c r="T1810" s="577" t="n"/>
      <x:c r="U1810" s="578" t="n"/>
      <x:c r="V1810" s="565" t="n"/>
      <x:c r="W1810" s="565" t="n"/>
      <x:c r="X1810" s="565" t="n"/>
      <x:c r="Y1810" s="565" t="n"/>
      <x:c r="Z1810" s="565" t="n"/>
    </x:row>
    <x:row r="1811">
      <x:c r="A1811" s="552" t="inlineStr">
        <x:is>
          <x:t xml:space="preserve">2000-007634</x:t>
        </x:is>
      </x:c>
      <x:c r="B1811" s="552" t="n"/>
      <x:c r="C1811" s="552" t="inlineStr">
        <x:is>
          <x:t xml:space="preserve">Assignment</x:t>
        </x:is>
      </x:c>
      <x:c r="D1811" s="552" t="inlineStr">
        <x:is>
          <x:t xml:space="preserve">1611/352</x:t>
        </x:is>
      </x:c>
      <x:c r="E1811" s="653" t="n">
        <x:v>36643</x:v>
      </x:c>
      <x:c r="F1811" s="653" t="n">
        <x:v>36643</x:v>
      </x:c>
      <x:c r="G1811" s="552" t="inlineStr">
        <x:is>
          <x:t xml:space="preserve">Lortz R. Michael</x:t>
        </x:is>
      </x:c>
      <x:c r="H1811" s="552" t="inlineStr">
        <x:is>
          <x:t xml:space="preserve">Lariat Petroleum, Inc.</x:t>
        </x:is>
      </x:c>
      <x:c r="I1811" s="552" t="inlineStr">
        <x:is>
          <x:t xml:space="preserve">S/2 NE/4 SW/4 Lot 3, 4, SE/4 SW/4 of 31-12N-24W, aol</x:t>
        </x:is>
      </x:c>
      <x:c r="J1811" s="552" t="inlineStr">
        <x:is>
          <x:t xml:space="preserve">ARTI,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lease. If the interest herein assigned is less than the full and undivided leaschold estate in and to the lands covered by said leases, when the overriding royalty interest herein reserved shall be recduced proportionately.</x:t>
        </x:is>
      </x:c>
      <x:c r="K1811" s="554" t="e">
        <x:f>HYPERLINK("https://okcountyrecords.com/detail/roger+mills/2000-007634","OKCountyRecords: 2000-007634")</x:f>
      </x:c>
      <x:c r="L1811" s="552" t="inlineStr">
        <x:is>
          <x:t xml:space="preserve">2, 3, 5, 6, 7</x:t>
        </x:is>
      </x:c>
      <x:c r="M1811" s="552" t="inlineStr">
        <x:is>
          <x:t xml:space="preserve">Leasehold</x:t>
        </x:is>
      </x:c>
      <x:c r="N1811" s="555" t="n"/>
      <x:c r="O1811" s="556" t="n">
        <x:f>IF($L1811="","",IF(ISNUMBER(SEARCH("all",$L1811)),640,(ISNUMBER(SEARCH("1",$L1811)))*80+(ISNUMBER(SEARCH("2",$L1811)))*160+(ISNUMBER(SEARCH("3",$L1811)))*40+(ISNUMBER(SEARCH("4",$L1811)))*80+(ISNUMBER(SEARCH("5",$L1811)))*120+(ISNUMBER(SEARCH("6",$L1811)))*80+(ISNUMBER(SEARCH("7",$L1811)))*40+(ISNUMBER(SEARCH("8",$L1811)))*40))</x:f>
        <x:v>0</x:v>
      </x:c>
      <x:c r="P1811" s="654" t="str">
        <x:f>IF($M1811&lt;&gt;"Mineral","",IF(ISNUMBER($N1811),$N1811,IF(OR(ISNUMBER(SEARCH("surface",$J1811)),ISNUMBER(SEARCH("reserv",$J1811)),ISNUMBER(SEARCH("less and except",$J1811))),0,"")))</x:f>
      </x:c>
      <x:c r="Q1811" s="654" t="str">
        <x:f>IF($P1811="","",-$P1811)</x:f>
      </x:c>
      <x:c r="R1811" s="655" t="str">
        <x:f>IF($P1811="","",$O1811*$P1811)</x:f>
      </x:c>
      <x:c r="S1811" s="552" t="str">
        <x:f>IF($M1811="","",TRIM(IF($M1811="Mineral",IF(ISNUMBER($N1811),"Mineral; basis Conv Amt(dec). ",IF($P1811=0,"Mineral; surface-only/reserved-&gt;0 min. ","Mineral; NO AMOUNT-verify instrument. ")),$M1811&amp;" (non-mineral; excluded from mineral NMA). ")&amp;IF(OR(ISNUMBER(SEARCH("public",$G1811)),ISNUMBER(SEARCH("public",$H1811))),"FLAG: The Public placeholder-verify. ","")&amp;IF(ISNUMBER(SEARCH("all",$L1811)),"All-section coverage. ","")&amp;IF($O1811=0,"Gross acres unresolved. ","")&amp;"Gross=tract-map basis."))</x:f>
        <x:v>Leasehold (non-mineral; excluded from mineral NMA). Gross acres unresolved. Gross=tract-map basis.</x:v>
      </x:c>
      <x:c r="T1811" s="577" t="n"/>
      <x:c r="U1811" s="578" t="n"/>
      <x:c r="V1811" s="565" t="n"/>
      <x:c r="W1811" s="565" t="n"/>
      <x:c r="X1811" s="565" t="n"/>
      <x:c r="Y1811" s="565" t="n"/>
      <x:c r="Z1811" s="565" t="n"/>
    </x:row>
    <x:row r="1812">
      <x:c r="A1812" s="552" t="inlineStr">
        <x:is>
          <x:t xml:space="preserve">2000-007685</x:t>
        </x:is>
      </x:c>
      <x:c r="B1812" s="552" t="n"/>
      <x:c r="C1812" s="552" t="inlineStr">
        <x:is>
          <x:t xml:space="preserve">Mineral Deed</x:t>
        </x:is>
      </x:c>
      <x:c r="D1812" s="552" t="inlineStr">
        <x:is>
          <x:t xml:space="preserve">1611/503</x:t>
        </x:is>
      </x:c>
      <x:c r="E1812" s="653" t="n">
        <x:v>36647</x:v>
      </x:c>
      <x:c r="F1812" s="653" t="n">
        <x:v>36647</x:v>
      </x:c>
      <x:c r="G1812" s="552" t="inlineStr">
        <x:is>
          <x:t xml:space="preserve">Fer-Scher Exploration, LLC</x:t>
        </x:is>
      </x:c>
      <x:c r="H1812" s="552" t="inlineStr">
        <x:is>
          <x:t xml:space="preserve">Aspen Minerals Group</x:t>
        </x:is>
      </x:c>
      <x:c r="I1812" s="552" t="inlineStr">
        <x:is>
          <x:t xml:space="preserve">E/2 NW/4, N/2 NE/4 SW/4, NE/4 SE/4, SE/4 NE/4 of 31-12N-24W, aol</x:t>
        </x:is>
      </x:c>
      <x:c r="J1812" s="552" t="inlineStr">
        <x:is>
          <x:t xml:space="preserve">ARTI</x:t>
        </x:is>
      </x:c>
      <x:c r="K1812" s="554" t="e">
        <x:f>HYPERLINK("https://okcountyrecords.com/detail/roger+mills/2000-007685","OKCountyRecords: 2000-007685")</x:f>
      </x:c>
      <x:c r="L1812" s="552" t="inlineStr">
        <x:is>
          <x:t xml:space="preserve">1, 3, 4, 7, 8</x:t>
        </x:is>
      </x:c>
      <x:c r="M1812" s="552" t="inlineStr">
        <x:is>
          <x:t xml:space="preserve">Mineral</x:t>
        </x:is>
      </x:c>
      <x:c r="N1812" s="561" t="n">
        <x:v>1</x:v>
      </x:c>
      <x:c r="O1812" s="556" t="n">
        <x:f>IF($L1812="","",IF(ISNUMBER(SEARCH("all",$L1812)),640,(ISNUMBER(SEARCH("1",$L1812)))*80+(ISNUMBER(SEARCH("2",$L1812)))*160+(ISNUMBER(SEARCH("3",$L1812)))*40+(ISNUMBER(SEARCH("4",$L1812)))*80+(ISNUMBER(SEARCH("5",$L1812)))*120+(ISNUMBER(SEARCH("6",$L1812)))*80+(ISNUMBER(SEARCH("7",$L1812)))*40+(ISNUMBER(SEARCH("8",$L1812)))*40))</x:f>
        <x:v>0</x:v>
      </x:c>
      <x:c r="P1812" s="654" t="n">
        <x:f>IF($M1812&lt;&gt;"Mineral","",IF(ISNUMBER($N1812),$N1812,IF(OR(ISNUMBER(SEARCH("surface",$J1812)),ISNUMBER(SEARCH("reserv",$J1812)),ISNUMBER(SEARCH("less and except",$J1812))),0,"")))</x:f>
        <x:v>1</x:v>
      </x:c>
      <x:c r="Q1812" s="654" t="n">
        <x:f>IF($P1812="","",-$P1812)</x:f>
        <x:v>-1</x:v>
      </x:c>
      <x:c r="R1812" s="655" t="n">
        <x:f>IF($P1812="","",$O1812*$P1812)</x:f>
        <x:v>0</x:v>
      </x:c>
      <x:c r="S1812" s="552" t="str">
        <x:f>IF($M1812="","",TRIM(IF($M1812="Mineral",IF(ISNUMBER($N1812),"Mineral; basis Conv Amt(dec). ",IF($P1812=0,"Mineral; surface-only/reserved-&gt;0 min. ","Mineral; NO AMOUNT-verify instrument. ")),$M1812&amp;" (non-mineral; excluded from mineral NMA). ")&amp;IF(OR(ISNUMBER(SEARCH("public",$G1812)),ISNUMBER(SEARCH("public",$H1812))),"FLAG: The Public placeholder-verify. ","")&amp;IF(ISNUMBER(SEARCH("all",$L1812)),"All-section coverage. ","")&amp;IF($O1812=0,"Gross acres unresolved. ","")&amp;"Gross=tract-map basis."))</x:f>
        <x:v>Mineral; basis Conv Amt(dec). Gross acres unresolved. Gross=tract-map basis.</x:v>
      </x:c>
      <x:c r="T1812" s="578" t="n"/>
      <x:c r="U1812" s="578" t="n"/>
      <x:c r="V1812" s="565" t="n"/>
      <x:c r="W1812" s="565" t="n"/>
      <x:c r="X1812" s="565" t="n"/>
      <x:c r="Y1812" s="565" t="n"/>
      <x:c r="Z1812" s="565" t="n"/>
    </x:row>
    <x:row r="1813">
      <x:c r="A1813" s="552" t="inlineStr">
        <x:is>
          <x:t xml:space="preserve">2000-008063</x:t>
        </x:is>
      </x:c>
      <x:c r="B1813" s="552" t="n"/>
      <x:c r="C1813" s="552" t="inlineStr">
        <x:is>
          <x:t xml:space="preserve">Oil and Gas Lease</x:t>
        </x:is>
      </x:c>
      <x:c r="D1813" s="552" t="inlineStr">
        <x:is>
          <x:t xml:space="preserve">1613/497</x:t>
        </x:is>
      </x:c>
      <x:c r="E1813" s="653" t="n">
        <x:v>36671</x:v>
      </x:c>
      <x:c r="F1813" s="653" t="n">
        <x:v>36671</x:v>
      </x:c>
      <x:c r="G1813" s="552" t="inlineStr">
        <x:is>
          <x:t xml:space="preserve">Ella P. Kirk, widow and surviving Joint Tenant of Gordon E. Kirk, deceased
P.O. Box 512
Chevenne, OK 73628</x:t>
        </x:is>
      </x:c>
      <x:c r="H1813" s="552" t="inlineStr">
        <x:is>
          <x:t xml:space="preserve">EOG Resources, Inc.</x:t>
        </x:is>
      </x:c>
      <x:c r="I1813" s="552" t="inlineStr">
        <x:is>
          <x:t xml:space="preserve">Lot 1. (LESS AND EXCEPT a tract described as beginning at the Northwest corner of Lot 1: thence East 420.58 feet: thence South 725 feet: thence West 420.58 feet: thence North 725 feet to the point of beginning) and all of Lot 2 and the North Half of Lot 3 of 31-12N-24W</x:t>
        </x:is>
      </x:c>
      <x:c r="J1813" s="552" t="inlineStr">
        <x:is>
          <x:t xml:space="preserve">85.0850 gross acres
3 yrs 
3/16ths </x:t>
        </x:is>
      </x:c>
      <x:c r="K1813" s="554" t="e">
        <x:f>HYPERLINK("https://okcountyrecords.com/detail/roger+mills/2000-008063","OKCountyRecords: 2000-008063")</x:f>
      </x:c>
      <x:c r="L1813" s="552" t="n">
        <x:v>5</x:v>
      </x:c>
      <x:c r="M1813" s="552" t="inlineStr">
        <x:is>
          <x:t xml:space="preserve">Leasehold</x:t>
        </x:is>
      </x:c>
      <x:c r="N1813" s="555" t="n"/>
      <x:c r="O1813" s="556" t="n">
        <x:f>IF($L1813="","",IF(ISNUMBER(SEARCH("all",$L1813)),640,(ISNUMBER(SEARCH("1",$L1813)))*80+(ISNUMBER(SEARCH("2",$L1813)))*160+(ISNUMBER(SEARCH("3",$L1813)))*40+(ISNUMBER(SEARCH("4",$L1813)))*80+(ISNUMBER(SEARCH("5",$L1813)))*120+(ISNUMBER(SEARCH("6",$L1813)))*80+(ISNUMBER(SEARCH("7",$L1813)))*40+(ISNUMBER(SEARCH("8",$L1813)))*40))</x:f>
        <x:v>0</x:v>
      </x:c>
      <x:c r="P1813" s="654" t="str">
        <x:f>IF($M1813&lt;&gt;"Mineral","",IF(ISNUMBER($N1813),$N1813,IF(OR(ISNUMBER(SEARCH("surface",$J1813)),ISNUMBER(SEARCH("reserv",$J1813)),ISNUMBER(SEARCH("less and except",$J1813))),0,"")))</x:f>
      </x:c>
      <x:c r="Q1813" s="654" t="str">
        <x:f>IF($P1813="","",-$P1813)</x:f>
      </x:c>
      <x:c r="R1813" s="655" t="str">
        <x:f>IF($P1813="","",$O1813*$P1813)</x:f>
      </x:c>
      <x:c r="S1813" s="552" t="str">
        <x:f>IF($M1813="","",TRIM(IF($M1813="Mineral",IF(ISNUMBER($N1813),"Mineral; basis Conv Amt(dec). ",IF($P1813=0,"Mineral; surface-only/reserved-&gt;0 min. ","Mineral; NO AMOUNT-verify instrument. ")),$M1813&amp;" (non-mineral; excluded from mineral NMA). ")&amp;IF(OR(ISNUMBER(SEARCH("public",$G1813)),ISNUMBER(SEARCH("public",$H1813))),"FLAG: The Public placeholder-verify. ","")&amp;IF(ISNUMBER(SEARCH("all",$L1813)),"All-section coverage. ","")&amp;IF($O1813=0,"Gross acres unresolved. ","")&amp;"Gross=tract-map basis."))</x:f>
        <x:v>Leasehold (non-mineral; excluded from mineral NMA). Gross acres unresolved. Gross=tract-map basis.</x:v>
      </x:c>
      <x:c r="T1813" s="577" t="n"/>
      <x:c r="U1813" s="578" t="n"/>
      <x:c r="V1813" s="565" t="n"/>
      <x:c r="W1813" s="565" t="n"/>
      <x:c r="X1813" s="565" t="n"/>
      <x:c r="Y1813" s="565" t="n"/>
      <x:c r="Z1813" s="565" t="n"/>
    </x:row>
    <x:row r="1814">
      <x:c r="A1814" s="552" t="inlineStr">
        <x:is>
          <x:t xml:space="preserve">2000-008159</x:t>
        </x:is>
      </x:c>
      <x:c r="B1814" s="552" t="n"/>
      <x:c r="C1814" s="552" t="inlineStr">
        <x:is>
          <x:t xml:space="preserve">Correction Release of Mortgage</x:t>
        </x:is>
      </x:c>
      <x:c r="D1814" s="552" t="inlineStr">
        <x:is>
          <x:t xml:space="preserve">1614/323</x:t>
        </x:is>
      </x:c>
      <x:c r="E1814" s="653" t="n">
        <x:v>36679</x:v>
      </x:c>
      <x:c r="F1814" s="653" t="n">
        <x:v>36679</x:v>
      </x:c>
      <x:c r="G1814" s="552" t="inlineStr">
        <x:is>
          <x:t xml:space="preserve">Interbank</x:t>
        </x:is>
      </x:c>
      <x:c r="H1814" s="552" t="inlineStr">
        <x:is>
          <x:t xml:space="preserve">Barbaraj Bain,
Billy W. Bain,
Carl L. Bain,
Clarence C. Bain,
Doroty J. Bain,
Lenora M. Bain,
Hazel A. Hamilton,
Juanita Wolff</x:t>
        </x:is>
      </x:c>
      <x:c r="I1814" s="552" t="inlineStr">
        <x:is>
          <x:t xml:space="preserve">SE/4 SE/4, SW/4 NE/4, W/2 SE/4 of 31-12N-24W, aol</x:t>
        </x:is>
      </x:c>
      <x:c r="J1814" s="552" t="inlineStr">
        <x:is>
          <x:t xml:space="preserve">See instrument</x:t>
        </x:is>
      </x:c>
      <x:c r="K1814" s="554" t="e">
        <x:f>HYPERLINK("https://okcountyrecords.com/detail/roger+mills/2000-008159","OKCountyRecords: 2000-008159")</x:f>
      </x:c>
      <x:c r="L1814" s="552" t="n">
        <x:v>2</x:v>
      </x:c>
      <x:c r="M1814" s="552" t="inlineStr">
        <x:is>
          <x:t xml:space="preserve">Other</x:t>
        </x:is>
      </x:c>
      <x:c r="N1814" s="555" t="n"/>
      <x:c r="O1814" s="556" t="n">
        <x:f>IF($L1814="","",IF(ISNUMBER(SEARCH("all",$L1814)),640,(ISNUMBER(SEARCH("1",$L1814)))*80+(ISNUMBER(SEARCH("2",$L1814)))*160+(ISNUMBER(SEARCH("3",$L1814)))*40+(ISNUMBER(SEARCH("4",$L1814)))*80+(ISNUMBER(SEARCH("5",$L1814)))*120+(ISNUMBER(SEARCH("6",$L1814)))*80+(ISNUMBER(SEARCH("7",$L1814)))*40+(ISNUMBER(SEARCH("8",$L1814)))*40))</x:f>
        <x:v>0</x:v>
      </x:c>
      <x:c r="P1814" s="654" t="str">
        <x:f>IF($M1814&lt;&gt;"Mineral","",IF(ISNUMBER($N1814),$N1814,IF(OR(ISNUMBER(SEARCH("surface",$J1814)),ISNUMBER(SEARCH("reserv",$J1814)),ISNUMBER(SEARCH("less and except",$J1814))),0,"")))</x:f>
      </x:c>
      <x:c r="Q1814" s="654" t="str">
        <x:f>IF($P1814="","",-$P1814)</x:f>
      </x:c>
      <x:c r="R1814" s="655" t="str">
        <x:f>IF($P1814="","",$O1814*$P1814)</x:f>
      </x:c>
      <x:c r="S1814" s="552" t="str">
        <x:f>IF($M1814="","",TRIM(IF($M1814="Mineral",IF(ISNUMBER($N1814),"Mineral; basis Conv Amt(dec). ",IF($P1814=0,"Mineral; surface-only/reserved-&gt;0 min. ","Mineral; NO AMOUNT-verify instrument. ")),$M1814&amp;" (non-mineral; excluded from mineral NMA). ")&amp;IF(OR(ISNUMBER(SEARCH("public",$G1814)),ISNUMBER(SEARCH("public",$H1814))),"FLAG: The Public placeholder-verify. ","")&amp;IF(ISNUMBER(SEARCH("all",$L1814)),"All-section coverage. ","")&amp;IF($O1814=0,"Gross acres unresolved. ","")&amp;"Gross=tract-map basis."))</x:f>
        <x:v>Other (non-mineral; excluded from mineral NMA). Gross acres unresolved. Gross=tract-map basis.</x:v>
      </x:c>
      <x:c r="T1814" s="578" t="n"/>
      <x:c r="U1814" s="578" t="n"/>
      <x:c r="V1814" s="565" t="n"/>
      <x:c r="W1814" s="565" t="n"/>
      <x:c r="X1814" s="565" t="n"/>
      <x:c r="Y1814" s="565" t="n"/>
      <x:c r="Z1814" s="565" t="n"/>
    </x:row>
    <x:row r="1815">
      <x:c r="A1815" s="552" t="inlineStr">
        <x:is>
          <x:t xml:space="preserve">2000-008764</x:t>
        </x:is>
      </x:c>
      <x:c r="B1815" s="552" t="n"/>
      <x:c r="C1815" s="552" t="inlineStr">
        <x:is>
          <x:t xml:space="preserve">Assignment</x:t>
        </x:is>
      </x:c>
      <x:c r="D1815" s="552" t="inlineStr">
        <x:is>
          <x:t xml:space="preserve">1617/295</x:t>
        </x:is>
      </x:c>
      <x:c r="E1815" s="653" t="n">
        <x:v>36717</x:v>
      </x:c>
      <x:c r="F1815" s="653" t="n">
        <x:v>36717</x:v>
      </x:c>
      <x:c r="G1815" s="552" t="inlineStr">
        <x:is>
          <x:t xml:space="preserve">Mahoney Children's Trust,
Jack Mahoney</x:t>
        </x:is>
      </x:c>
      <x:c r="H1815" s="552" t="inlineStr">
        <x:is>
          <x:t xml:space="preserve">Pinion Family Trust
2726 East 47th Street
Tulsa, OK 74105</x:t>
        </x:is>
      </x:c>
      <x:c r="I1815" s="552" t="inlineStr">
        <x:is>
          <x:t xml:space="preserve">All of 31-12N-24W, aol</x:t>
        </x:is>
      </x:c>
      <x:c r="J1815" s="552" t="inlineStr">
        <x:is>
          <x:t xml:space="preserve">ARTI, Assignor reserves and overriding royalty of one-percent (1%) prportionately reduced to the interest hereby assigned.</x:t>
        </x:is>
      </x:c>
      <x:c r="K1815" s="554" t="e">
        <x:f>HYPERLINK("https://okcountyrecords.com/detail/roger+mills/2000-008764","OKCountyRecords: 2000-008764")</x:f>
      </x:c>
      <x:c r="L1815" s="552" t="inlineStr">
        <x:is>
          <x:t xml:space="preserve">All (1-8)</x:t>
        </x:is>
      </x:c>
      <x:c r="M1815" s="552" t="inlineStr">
        <x:is>
          <x:t xml:space="preserve">Leasehold</x:t>
        </x:is>
      </x:c>
      <x:c r="N1815" s="555" t="n"/>
      <x:c r="O1815" s="556" t="n">
        <x:f>IF($L1815="","",IF(ISNUMBER(SEARCH("all",$L1815)),640,(ISNUMBER(SEARCH("1",$L1815)))*80+(ISNUMBER(SEARCH("2",$L1815)))*160+(ISNUMBER(SEARCH("3",$L1815)))*40+(ISNUMBER(SEARCH("4",$L1815)))*80+(ISNUMBER(SEARCH("5",$L1815)))*120+(ISNUMBER(SEARCH("6",$L1815)))*80+(ISNUMBER(SEARCH("7",$L1815)))*40+(ISNUMBER(SEARCH("8",$L1815)))*40))</x:f>
        <x:v>640</x:v>
      </x:c>
      <x:c r="P1815" s="654" t="str">
        <x:f>IF($M1815&lt;&gt;"Mineral","",IF(ISNUMBER($N1815),$N1815,IF(OR(ISNUMBER(SEARCH("surface",$J1815)),ISNUMBER(SEARCH("reserv",$J1815)),ISNUMBER(SEARCH("less and except",$J1815))),0,"")))</x:f>
      </x:c>
      <x:c r="Q1815" s="654" t="str">
        <x:f>IF($P1815="","",-$P1815)</x:f>
      </x:c>
      <x:c r="R1815" s="655" t="str">
        <x:f>IF($P1815="","",$O1815*$P1815)</x:f>
      </x:c>
      <x:c r="S1815" s="552" t="str">
        <x:f>IF($M1815="","",TRIM(IF($M1815="Mineral",IF(ISNUMBER($N1815),"Mineral; basis Conv Amt(dec). ",IF($P1815=0,"Mineral; surface-only/reserved-&gt;0 min. ","Mineral; NO AMOUNT-verify instrument. ")),$M1815&amp;" (non-mineral; excluded from mineral NMA). ")&amp;IF(OR(ISNUMBER(SEARCH("public",$G1815)),ISNUMBER(SEARCH("public",$H1815))),"FLAG: The Public placeholder-verify. ","")&amp;IF(ISNUMBER(SEARCH("all",$L1815)),"All-section coverage. ","")&amp;IF($O1815=0,"Gross acres unresolved. ","")&amp;"Gross=tract-map basis."))</x:f>
        <x:v>Leasehold (non-mineral; excluded from mineral NMA). All-section coverage. Gross=tract-map basis.</x:v>
      </x:c>
      <x:c r="T1815" s="577" t="n"/>
      <x:c r="U1815" s="578" t="n"/>
      <x:c r="V1815" s="565" t="n"/>
      <x:c r="W1815" s="565" t="n"/>
      <x:c r="X1815" s="565" t="n"/>
      <x:c r="Y1815" s="565" t="n"/>
      <x:c r="Z1815" s="565" t="n"/>
    </x:row>
    <x:row r="1816">
      <x:c r="A1816" s="552" t="inlineStr">
        <x:is>
          <x:t xml:space="preserve">2000-010180</x:t>
        </x:is>
      </x:c>
      <x:c r="B1816" s="552" t="n"/>
      <x:c r="C1816" s="552" t="inlineStr">
        <x:is>
          <x:t xml:space="preserve">Quit Claim Mineral Deed</x:t>
        </x:is>
      </x:c>
      <x:c r="D1816" s="552" t="inlineStr">
        <x:is>
          <x:t xml:space="preserve">1625/440</x:t>
        </x:is>
      </x:c>
      <x:c r="E1816" s="653" t="n">
        <x:v>36802</x:v>
      </x:c>
      <x:c r="F1816" s="653" t="n">
        <x:v>36815</x:v>
      </x:c>
      <x:c r="G1816" s="552" t="inlineStr">
        <x:is>
          <x:t xml:space="preserve">Melinda McCaul Mulvihill, Trustee of the "Melinda McCaul Mulvihill Trust" under Trust Agreement dated August 30, 1995</x:t>
        </x:is>
      </x:c>
      <x:c r="H1816" s="552" t="inlineStr">
        <x:is>
          <x:t xml:space="preserve">Stephen M. Criser, Trustee of the "RIVE Lind McCAUL TRUST" under Trust Agreement dated August 11, 1995, and Amendment dated February 17, 1998</x:t>
        </x:is>
      </x:c>
      <x:c r="I1816" s="552" t="inlineStr">
        <x:is>
          <x:t xml:space="preserve">NW/4 SE/4, S/2 SE/4, SW/4 NE/4 of 31-12N-24W, aol</x:t>
        </x:is>
      </x:c>
      <x:c r="J1816" s="552" t="inlineStr">
        <x:is>
          <x:t xml:space="preserve">ARTI</x:t>
        </x:is>
      </x:c>
      <x:c r="K1816" s="554" t="e">
        <x:f>HYPERLINK("https://okcountyrecords.com/detail/roger+mills/2000-010180","OKCountyRecords: 2000-010180")</x:f>
      </x:c>
      <x:c r="L1816" s="552" t="n">
        <x:v>2</x:v>
      </x:c>
      <x:c r="M1816" s="552" t="inlineStr">
        <x:is>
          <x:t xml:space="preserve">Mineral</x:t>
        </x:is>
      </x:c>
      <x:c r="N1816" s="555" t="n">
        <x:v>1</x:v>
      </x:c>
      <x:c r="O1816" s="556" t="n">
        <x:f>IF($L1816="","",IF(ISNUMBER(SEARCH("all",$L1816)),640,(ISNUMBER(SEARCH("1",$L1816)))*80+(ISNUMBER(SEARCH("2",$L1816)))*160+(ISNUMBER(SEARCH("3",$L1816)))*40+(ISNUMBER(SEARCH("4",$L1816)))*80+(ISNUMBER(SEARCH("5",$L1816)))*120+(ISNUMBER(SEARCH("6",$L1816)))*80+(ISNUMBER(SEARCH("7",$L1816)))*40+(ISNUMBER(SEARCH("8",$L1816)))*40))</x:f>
        <x:v>0</x:v>
      </x:c>
      <x:c r="P1816" s="654" t="n">
        <x:f>IF($M1816&lt;&gt;"Mineral","",IF(ISNUMBER($N1816),$N1816,IF(OR(ISNUMBER(SEARCH("surface",$J1816)),ISNUMBER(SEARCH("reserv",$J1816)),ISNUMBER(SEARCH("less and except",$J1816))),0,"")))</x:f>
        <x:v>1</x:v>
      </x:c>
      <x:c r="Q1816" s="654" t="n">
        <x:f>IF($P1816="","",-$P1816)</x:f>
        <x:v>-1</x:v>
      </x:c>
      <x:c r="R1816" s="655" t="n">
        <x:f>IF($P1816="","",$O1816*$P1816)</x:f>
        <x:v>0</x:v>
      </x:c>
      <x:c r="S1816" s="552" t="str">
        <x:f>IF($M1816="","",TRIM(IF($M1816="Mineral",IF(ISNUMBER($N1816),"Mineral; basis Conv Amt(dec). ",IF($P1816=0,"Mineral; surface-only/reserved-&gt;0 min. ","Mineral; NO AMOUNT-verify instrument. ")),$M1816&amp;" (non-mineral; excluded from mineral NMA). ")&amp;IF(OR(ISNUMBER(SEARCH("public",$G1816)),ISNUMBER(SEARCH("public",$H1816))),"FLAG: The Public placeholder-verify. ","")&amp;IF(ISNUMBER(SEARCH("all",$L1816)),"All-section coverage. ","")&amp;IF($O1816=0,"Gross acres unresolved. ","")&amp;"Gross=tract-map basis."))</x:f>
        <x:v>Mineral; basis Conv Amt(dec). Gross acres unresolved. Gross=tract-map basis.</x:v>
      </x:c>
      <x:c r="T1816" s="578" t="n"/>
      <x:c r="U1816" s="578" t="n"/>
      <x:c r="V1816" s="565" t="n"/>
      <x:c r="W1816" s="565" t="n"/>
      <x:c r="X1816" s="565" t="n"/>
      <x:c r="Y1816" s="565" t="n"/>
      <x:c r="Z1816" s="565" t="n"/>
    </x:row>
    <x:row r="1817">
      <x:c r="A1817" s="552" t="inlineStr">
        <x:is>
          <x:t xml:space="preserve">2000-010382</x:t>
        </x:is>
      </x:c>
      <x:c r="B1817" s="552" t="n"/>
      <x:c r="C1817" s="552" t="inlineStr">
        <x:is>
          <x:t xml:space="preserve">Oil and Gas Lease</x:t>
        </x:is>
      </x:c>
      <x:c r="D1817" s="552" t="inlineStr">
        <x:is>
          <x:t xml:space="preserve">1626/462</x:t>
        </x:is>
      </x:c>
      <x:c r="E1817" s="653" t="n">
        <x:v>36816</x:v>
      </x:c>
      <x:c r="F1817" s="653" t="n">
        <x:v>36829</x:v>
      </x:c>
      <x:c r="G1817" s="552" t="inlineStr">
        <x:is>
          <x:t xml:space="preserve">Juanita M. Wolff, aka Juanita Wolff, aka Juanita M. Wolfe
55 W. Clifton, #112
Souix City, IA 51104</x:t>
        </x:is>
      </x:c>
      <x:c r="H1817" s="552" t="inlineStr">
        <x:is>
          <x:t xml:space="preserve">EOG Resources, Inc.</x:t>
        </x:is>
      </x:c>
      <x:c r="I1817" s="552" t="inlineStr">
        <x:is>
          <x:t xml:space="preserve">NW/4 SE/4, S/2 SE/4, SW/4 NE/4 of 31-12N-24W</x:t>
        </x:is>
      </x:c>
      <x:c r="J1817" s="552" t="inlineStr">
        <x:is>
          <x:t xml:space="preserve">160 gross acres
3 yrs 
3/16ths </x:t>
        </x:is>
      </x:c>
      <x:c r="K1817" s="554" t="e">
        <x:f>HYPERLINK("https://okcountyrecords.com/detail/roger+mills/2000-010382","OKCountyRecords: 2000-010382")</x:f>
      </x:c>
      <x:c r="L1817" s="552" t="n">
        <x:v>2</x:v>
      </x:c>
      <x:c r="M1817" s="552" t="inlineStr">
        <x:is>
          <x:t xml:space="preserve">Leasehold</x:t>
        </x:is>
      </x:c>
      <x:c r="N1817" s="555" t="n"/>
      <x:c r="O1817" s="556" t="n">
        <x:f>IF($L1817="","",IF(ISNUMBER(SEARCH("all",$L1817)),640,(ISNUMBER(SEARCH("1",$L1817)))*80+(ISNUMBER(SEARCH("2",$L1817)))*160+(ISNUMBER(SEARCH("3",$L1817)))*40+(ISNUMBER(SEARCH("4",$L1817)))*80+(ISNUMBER(SEARCH("5",$L1817)))*120+(ISNUMBER(SEARCH("6",$L1817)))*80+(ISNUMBER(SEARCH("7",$L1817)))*40+(ISNUMBER(SEARCH("8",$L1817)))*40))</x:f>
        <x:v>0</x:v>
      </x:c>
      <x:c r="P1817" s="654" t="str">
        <x:f>IF($M1817&lt;&gt;"Mineral","",IF(ISNUMBER($N1817),$N1817,IF(OR(ISNUMBER(SEARCH("surface",$J1817)),ISNUMBER(SEARCH("reserv",$J1817)),ISNUMBER(SEARCH("less and except",$J1817))),0,"")))</x:f>
      </x:c>
      <x:c r="Q1817" s="654" t="str">
        <x:f>IF($P1817="","",-$P1817)</x:f>
      </x:c>
      <x:c r="R1817" s="655" t="str">
        <x:f>IF($P1817="","",$O1817*$P1817)</x:f>
      </x:c>
      <x:c r="S1817" s="552" t="str">
        <x:f>IF($M1817="","",TRIM(IF($M1817="Mineral",IF(ISNUMBER($N1817),"Mineral; basis Conv Amt(dec). ",IF($P1817=0,"Mineral; surface-only/reserved-&gt;0 min. ","Mineral; NO AMOUNT-verify instrument. ")),$M1817&amp;" (non-mineral; excluded from mineral NMA). ")&amp;IF(OR(ISNUMBER(SEARCH("public",$G1817)),ISNUMBER(SEARCH("public",$H1817))),"FLAG: The Public placeholder-verify. ","")&amp;IF(ISNUMBER(SEARCH("all",$L1817)),"All-section coverage. ","")&amp;IF($O1817=0,"Gross acres unresolved. ","")&amp;"Gross=tract-map basis."))</x:f>
        <x:v>Leasehold (non-mineral; excluded from mineral NMA). Gross acres unresolved. Gross=tract-map basis.</x:v>
      </x:c>
      <x:c r="T1817" s="577" t="n"/>
      <x:c r="U1817" s="578" t="n"/>
      <x:c r="V1817" s="565" t="n"/>
      <x:c r="W1817" s="565" t="n"/>
      <x:c r="X1817" s="565" t="n"/>
      <x:c r="Y1817" s="565" t="n"/>
      <x:c r="Z1817" s="565" t="n"/>
    </x:row>
    <x:row r="1818">
      <x:c r="A1818" s="552" t="inlineStr">
        <x:is>
          <x:t xml:space="preserve">2000-010908</x:t>
        </x:is>
      </x:c>
      <x:c r="B1818" s="552" t="n"/>
      <x:c r="C1818" s="552" t="inlineStr">
        <x:is>
          <x:t xml:space="preserve">Oil and Gas Lease</x:t>
        </x:is>
      </x:c>
      <x:c r="D1818" s="552" t="inlineStr">
        <x:is>
          <x:t xml:space="preserve">1629/523</x:t>
        </x:is>
      </x:c>
      <x:c r="E1818" s="653" t="n">
        <x:v>36824</x:v>
      </x:c>
      <x:c r="F1818" s="653" t="n">
        <x:v>36866</x:v>
      </x:c>
      <x:c r="G1818" s="552" t="inlineStr">
        <x:is>
          <x:t xml:space="preserve">Joe Devenas, Jr.
1302 Highland Avenue
Waukegan, IL 60085</x:t>
        </x:is>
      </x:c>
      <x:c r="H1818" s="552" t="inlineStr">
        <x:is>
          <x:t xml:space="preserve">EOG Resources, Inc.</x:t>
        </x:is>
      </x:c>
      <x:c r="I1818" s="552" t="inlineStr">
        <x:is>
          <x:t xml:space="preserve">SE/4 SW/4 of 31-12N-24W</x:t>
        </x:is>
      </x:c>
      <x:c r="J1818" s="552" t="inlineStr">
        <x:is>
          <x:t xml:space="preserve">40 gross acres 
3 years
3/16ths royalty</x:t>
        </x:is>
      </x:c>
      <x:c r="K1818" s="554" t="e">
        <x:f>HYPERLINK("https://okcountyrecords.com/detail/roger+mills/2000-010908","OKCountyRecords: 2000-010908")</x:f>
      </x:c>
      <x:c r="L1818" s="552" t="n">
        <x:v>5</x:v>
      </x:c>
      <x:c r="M1818" s="552" t="inlineStr">
        <x:is>
          <x:t xml:space="preserve">Leasehold</x:t>
        </x:is>
      </x:c>
      <x:c r="N1818" s="555" t="n"/>
      <x:c r="O1818" s="556" t="n">
        <x:f>IF($L1818="","",IF(ISNUMBER(SEARCH("all",$L1818)),640,(ISNUMBER(SEARCH("1",$L1818)))*80+(ISNUMBER(SEARCH("2",$L1818)))*160+(ISNUMBER(SEARCH("3",$L1818)))*40+(ISNUMBER(SEARCH("4",$L1818)))*80+(ISNUMBER(SEARCH("5",$L1818)))*120+(ISNUMBER(SEARCH("6",$L1818)))*80+(ISNUMBER(SEARCH("7",$L1818)))*40+(ISNUMBER(SEARCH("8",$L1818)))*40))</x:f>
        <x:v>0</x:v>
      </x:c>
      <x:c r="P1818" s="654" t="str">
        <x:f>IF($M1818&lt;&gt;"Mineral","",IF(ISNUMBER($N1818),$N1818,IF(OR(ISNUMBER(SEARCH("surface",$J1818)),ISNUMBER(SEARCH("reserv",$J1818)),ISNUMBER(SEARCH("less and except",$J1818))),0,"")))</x:f>
      </x:c>
      <x:c r="Q1818" s="654" t="str">
        <x:f>IF($P1818="","",-$P1818)</x:f>
      </x:c>
      <x:c r="R1818" s="655" t="str">
        <x:f>IF($P1818="","",$O1818*$P1818)</x:f>
      </x:c>
      <x:c r="S1818" s="552" t="str">
        <x:f>IF($M1818="","",TRIM(IF($M1818="Mineral",IF(ISNUMBER($N1818),"Mineral; basis Conv Amt(dec). ",IF($P1818=0,"Mineral; surface-only/reserved-&gt;0 min. ","Mineral; NO AMOUNT-verify instrument. ")),$M1818&amp;" (non-mineral; excluded from mineral NMA). ")&amp;IF(OR(ISNUMBER(SEARCH("public",$G1818)),ISNUMBER(SEARCH("public",$H1818))),"FLAG: The Public placeholder-verify. ","")&amp;IF(ISNUMBER(SEARCH("all",$L1818)),"All-section coverage. ","")&amp;IF($O1818=0,"Gross acres unresolved. ","")&amp;"Gross=tract-map basis."))</x:f>
        <x:v>Leasehold (non-mineral; excluded from mineral NMA). Gross acres unresolved. Gross=tract-map basis.</x:v>
      </x:c>
      <x:c r="T1818" s="577" t="n"/>
      <x:c r="U1818" s="578" t="n"/>
      <x:c r="V1818" s="565" t="n"/>
      <x:c r="W1818" s="565" t="n"/>
      <x:c r="X1818" s="565" t="n"/>
      <x:c r="Y1818" s="565" t="n"/>
      <x:c r="Z1818" s="565" t="n"/>
    </x:row>
    <x:row r="1819">
      <x:c r="A1819" s="552" t="inlineStr">
        <x:is>
          <x:t xml:space="preserve">2000-010909</x:t>
        </x:is>
      </x:c>
      <x:c r="B1819" s="552" t="n"/>
      <x:c r="C1819" s="552" t="inlineStr">
        <x:is>
          <x:t xml:space="preserve">Oil and Gas Lease</x:t>
        </x:is>
      </x:c>
      <x:c r="D1819" s="552" t="inlineStr">
        <x:is>
          <x:t xml:space="preserve">1629/525</x:t>
        </x:is>
      </x:c>
      <x:c r="E1819" s="653" t="n">
        <x:v>36824</x:v>
      </x:c>
      <x:c r="F1819" s="653" t="n">
        <x:v>36866</x:v>
      </x:c>
      <x:c r="G1819" s="552" t="inlineStr">
        <x:is>
          <x:t xml:space="preserve">Joseph Devenas, Trustee of the Joseph Devenas Trust Declaration dated September 7, 1994
1302 Highland Avenue
Waukegan, IL 60085</x:t>
        </x:is>
      </x:c>
      <x:c r="H1819" s="552" t="inlineStr">
        <x:is>
          <x:t xml:space="preserve">EOG Resources, Inc.</x:t>
        </x:is>
      </x:c>
      <x:c r="I1819" s="552" t="inlineStr">
        <x:is>
          <x:t xml:space="preserve">SE/4 SW/4 of 31-12N-24W</x:t>
        </x:is>
      </x:c>
      <x:c r="J1819" s="552" t="inlineStr">
        <x:is>
          <x:t xml:space="preserve">40 gross acres 
3 years
3/16ths royalty</x:t>
        </x:is>
      </x:c>
      <x:c r="K1819" s="554" t="e">
        <x:f>HYPERLINK("https://okcountyrecords.com/detail/roger+mills/2000-010909","OKCountyRecords: 2000-010909")</x:f>
      </x:c>
      <x:c r="L1819" s="552" t="n">
        <x:v>5</x:v>
      </x:c>
      <x:c r="M1819" s="552" t="inlineStr">
        <x:is>
          <x:t xml:space="preserve">Leasehold</x:t>
        </x:is>
      </x:c>
      <x:c r="N1819" s="555" t="n"/>
      <x:c r="O1819" s="556" t="n">
        <x:f>IF($L1819="","",IF(ISNUMBER(SEARCH("all",$L1819)),640,(ISNUMBER(SEARCH("1",$L1819)))*80+(ISNUMBER(SEARCH("2",$L1819)))*160+(ISNUMBER(SEARCH("3",$L1819)))*40+(ISNUMBER(SEARCH("4",$L1819)))*80+(ISNUMBER(SEARCH("5",$L1819)))*120+(ISNUMBER(SEARCH("6",$L1819)))*80+(ISNUMBER(SEARCH("7",$L1819)))*40+(ISNUMBER(SEARCH("8",$L1819)))*40))</x:f>
        <x:v>0</x:v>
      </x:c>
      <x:c r="P1819" s="654" t="str">
        <x:f>IF($M1819&lt;&gt;"Mineral","",IF(ISNUMBER($N1819),$N1819,IF(OR(ISNUMBER(SEARCH("surface",$J1819)),ISNUMBER(SEARCH("reserv",$J1819)),ISNUMBER(SEARCH("less and except",$J1819))),0,"")))</x:f>
      </x:c>
      <x:c r="Q1819" s="654" t="str">
        <x:f>IF($P1819="","",-$P1819)</x:f>
      </x:c>
      <x:c r="R1819" s="655" t="str">
        <x:f>IF($P1819="","",$O1819*$P1819)</x:f>
      </x:c>
      <x:c r="S1819" s="552" t="str">
        <x:f>IF($M1819="","",TRIM(IF($M1819="Mineral",IF(ISNUMBER($N1819),"Mineral; basis Conv Amt(dec). ",IF($P1819=0,"Mineral; surface-only/reserved-&gt;0 min. ","Mineral; NO AMOUNT-verify instrument. ")),$M1819&amp;" (non-mineral; excluded from mineral NMA). ")&amp;IF(OR(ISNUMBER(SEARCH("public",$G1819)),ISNUMBER(SEARCH("public",$H1819))),"FLAG: The Public placeholder-verify. ","")&amp;IF(ISNUMBER(SEARCH("all",$L1819)),"All-section coverage. ","")&amp;IF($O1819=0,"Gross acres unresolved. ","")&amp;"Gross=tract-map basis."))</x:f>
        <x:v>Leasehold (non-mineral; excluded from mineral NMA). Gross acres unresolved. Gross=tract-map basis.</x:v>
      </x:c>
      <x:c r="T1819" s="577" t="n"/>
      <x:c r="U1819" s="578" t="n"/>
      <x:c r="V1819" s="565" t="n"/>
      <x:c r="W1819" s="565" t="n"/>
      <x:c r="X1819" s="565" t="n"/>
      <x:c r="Y1819" s="565" t="n"/>
      <x:c r="Z1819" s="565" t="n"/>
    </x:row>
    <x:row r="1820">
      <x:c r="A1820" s="552" t="inlineStr">
        <x:is>
          <x:t xml:space="preserve">2007-000723</x:t>
        </x:is>
      </x:c>
      <x:c r="B1820" s="552" t="n"/>
      <x:c r="C1820" s="552" t="inlineStr">
        <x:is>
          <x:t xml:space="preserve">Order</x:t>
        </x:is>
      </x:c>
      <x:c r="D1820" s="552" t="inlineStr">
        <x:is>
          <x:t xml:space="preserve">1866/238</x:t>
        </x:is>
      </x:c>
      <x:c r="E1820" s="653" t="n">
        <x:v>36835</x:v>
      </x:c>
      <x:c r="F1820" s="653" t="n">
        <x:v>39133</x:v>
      </x:c>
      <x:c r="G1820" s="552" t="inlineStr">
        <x:is>
          <x:t xml:space="preserve">Beckham County Court,
RE: In the Matter of the Estate of Paul Devenas, Deceased</x:t>
        </x:is>
      </x:c>
      <x:c r="H1820" s="552" t="inlineStr">
        <x:is>
          <x:t xml:space="preserve">Martha Ann Devenas</x:t>
        </x:is>
      </x:c>
      <x:c r="I1820" s="552" t="inlineStr">
        <x:is>
          <x:t xml:space="preserve">SE/4 SW/4 of 31-12N-24W, aol</x:t>
        </x:is>
      </x:c>
      <x:c r="J1820" s="552" t="inlineStr">
        <x:is>
          <x:t xml:space="preserve">An undivided ½ interest in 5.83333 mineral acres (No Production)</x:t>
        </x:is>
      </x:c>
      <x:c r="K1820" s="554" t="e">
        <x:f>HYPERLINK("https://okcountyrecords.com/detail/roger+mills/2007-000723","OKCountyRecords: 2007-000723")</x:f>
      </x:c>
      <x:c r="L1820" s="552" t="n">
        <x:v>5</x:v>
      </x:c>
      <x:c r="M1820" s="552" t="inlineStr">
        <x:is>
          <x:t xml:space="preserve">Mineral</x:t>
        </x:is>
      </x:c>
      <x:c r="N1820" s="555" t="n">
        <x:v>0.5</x:v>
      </x:c>
      <x:c r="O1820" s="556" t="n">
        <x:f>IF($L1820="","",IF(ISNUMBER(SEARCH("all",$L1820)),640,(ISNUMBER(SEARCH("1",$L1820)))*80+(ISNUMBER(SEARCH("2",$L1820)))*160+(ISNUMBER(SEARCH("3",$L1820)))*40+(ISNUMBER(SEARCH("4",$L1820)))*80+(ISNUMBER(SEARCH("5",$L1820)))*120+(ISNUMBER(SEARCH("6",$L1820)))*80+(ISNUMBER(SEARCH("7",$L1820)))*40+(ISNUMBER(SEARCH("8",$L1820)))*40))</x:f>
        <x:v>0</x:v>
      </x:c>
      <x:c r="P1820" s="654" t="n">
        <x:f>IF($M1820&lt;&gt;"Mineral","",IF(ISNUMBER($N1820),$N1820,IF(OR(ISNUMBER(SEARCH("surface",$J1820)),ISNUMBER(SEARCH("reserv",$J1820)),ISNUMBER(SEARCH("less and except",$J1820))),0,"")))</x:f>
        <x:v>0.5</x:v>
      </x:c>
      <x:c r="Q1820" s="654" t="n">
        <x:f>IF($P1820="","",-$P1820)</x:f>
        <x:v>-0.5</x:v>
      </x:c>
      <x:c r="R1820" s="655" t="n">
        <x:f>IF($P1820="","",$O1820*$P1820)</x:f>
        <x:v>0</x:v>
      </x:c>
      <x:c r="S1820" s="552" t="str">
        <x:f>IF($M1820="","",TRIM(IF($M1820="Mineral",IF(ISNUMBER($N1820),"Mineral; basis Conv Amt(dec). ",IF($P1820=0,"Mineral; surface-only/reserved-&gt;0 min. ","Mineral; NO AMOUNT-verify instrument. ")),$M1820&amp;" (non-mineral; excluded from mineral NMA). ")&amp;IF(OR(ISNUMBER(SEARCH("public",$G1820)),ISNUMBER(SEARCH("public",$H1820))),"FLAG: The Public placeholder-verify. ","")&amp;IF(ISNUMBER(SEARCH("all",$L1820)),"All-section coverage. ","")&amp;IF($O1820=0,"Gross acres unresolved. ","")&amp;"Gross=tract-map basis."))</x:f>
        <x:v>Mineral; basis Conv Amt(dec). Gross acres unresolved. Gross=tract-map basis.</x:v>
      </x:c>
      <x:c r="T1820" s="578" t="n"/>
      <x:c r="U1820" s="578" t="n"/>
      <x:c r="V1820" s="565" t="n"/>
      <x:c r="W1820" s="565" t="n"/>
      <x:c r="X1820" s="565" t="n"/>
      <x:c r="Y1820" s="565" t="n"/>
      <x:c r="Z1820" s="565" t="n"/>
    </x:row>
    <x:row r="1821">
      <x:c r="A1821" s="552" t="inlineStr">
        <x:is>
          <x:t xml:space="preserve">2001-000618</x:t>
        </x:is>
      </x:c>
      <x:c r="B1821" s="552" t="n"/>
      <x:c r="C1821" s="552" t="inlineStr">
        <x:is>
          <x:t xml:space="preserve">Order</x:t>
        </x:is>
      </x:c>
      <x:c r="D1821" s="552" t="inlineStr">
        <x:is>
          <x:t xml:space="preserve">1634/353</x:t>
        </x:is>
      </x:c>
      <x:c r="E1821" s="653" t="n">
        <x:v>36877</x:v>
      </x:c>
      <x:c r="F1821" s="653" t="n">
        <x:v>36935</x:v>
      </x:c>
      <x:c r="G1821" s="552" t="inlineStr">
        <x:is>
          <x:t xml:space="preserve">Oklahoma County Court,
RE: In the Matter of the Estate of Patsy J. Crouse, Deceased</x:t>
        </x:is>
      </x:c>
      <x:c r="H1821" s="552" t="inlineStr">
        <x:is>
          <x:t xml:space="preserve">Laurence L. Crouse, 1/4,
Lara L. Smoot 1/4,
Anagale L. Best 1/4,
Letha M. Crouse 1/4</x:t>
        </x:is>
      </x:c>
      <x:c r="I1821" s="552" t="inlineStr">
        <x:is>
          <x:t xml:space="preserve">NE/4 of 31-12N-24W, aol</x:t>
        </x:is>
      </x:c>
      <x:c r="J1821" s="552" t="inlineStr">
        <x:is>
          <x:t xml:space="preserve">ARTI</x:t>
        </x:is>
      </x:c>
      <x:c r="K1821" s="554" t="e">
        <x:f>HYPERLINK("https://okcountyrecords.com/detail/roger+mills/2001-000618","OKCountyRecords: 2001-000618")</x:f>
      </x:c>
      <x:c r="L1821" s="552" t="inlineStr">
        <x:is>
          <x:t xml:space="preserve">1, 2, 3</x:t>
        </x:is>
      </x:c>
      <x:c r="M1821" s="552" t="inlineStr">
        <x:is>
          <x:t xml:space="preserve">Mineral</x:t>
        </x:is>
      </x:c>
      <x:c r="N1821" s="555" t="n"/>
      <x:c r="O1821" s="556" t="n">
        <x:f>IF($L1821="","",IF(ISNUMBER(SEARCH("all",$L1821)),640,(ISNUMBER(SEARCH("1",$L1821)))*80+(ISNUMBER(SEARCH("2",$L1821)))*160+(ISNUMBER(SEARCH("3",$L1821)))*40+(ISNUMBER(SEARCH("4",$L1821)))*80+(ISNUMBER(SEARCH("5",$L1821)))*120+(ISNUMBER(SEARCH("6",$L1821)))*80+(ISNUMBER(SEARCH("7",$L1821)))*40+(ISNUMBER(SEARCH("8",$L1821)))*40))</x:f>
        <x:v>0</x:v>
      </x:c>
      <x:c r="P1821" s="654" t="str">
        <x:f>IF($M1821&lt;&gt;"Mineral","",IF(ISNUMBER($N1821),$N1821,IF(OR(ISNUMBER(SEARCH("surface",$J1821)),ISNUMBER(SEARCH("reserv",$J1821)),ISNUMBER(SEARCH("less and except",$J1821))),0,"")))</x:f>
      </x:c>
      <x:c r="Q1821" s="654" t="str">
        <x:f>IF($P1821="","",-$P1821)</x:f>
      </x:c>
      <x:c r="R1821" s="655" t="str">
        <x:f>IF($P1821="","",$O1821*$P1821)</x:f>
      </x:c>
      <x:c r="S1821" s="552" t="str">
        <x:f>IF($M1821="","",TRIM(IF($M1821="Mineral",IF(ISNUMBER($N1821),"Mineral; basis Conv Amt(dec). ",IF($P1821=0,"Mineral; surface-only/reserved-&gt;0 min. ","Mineral; NO AMOUNT-verify instrument. ")),$M1821&amp;" (non-mineral; excluded from mineral NMA). ")&amp;IF(OR(ISNUMBER(SEARCH("public",$G1821)),ISNUMBER(SEARCH("public",$H1821))),"FLAG: The Public placeholder-verify. ","")&amp;IF(ISNUMBER(SEARCH("all",$L1821)),"All-section coverage. ","")&amp;IF($O1821=0,"Gross acres unresolved. ","")&amp;"Gross=tract-map basis."))</x:f>
        <x:v>Mineral; surface-only/reserved-&gt;0 min. Gross acres unresolved. Gross=tract-map basis.</x:v>
      </x:c>
      <x:c r="T1821" s="577" t="n"/>
      <x:c r="U1821" s="578" t="n"/>
      <x:c r="V1821" s="565" t="n"/>
      <x:c r="W1821" s="565" t="n"/>
      <x:c r="X1821" s="565" t="n"/>
      <x:c r="Y1821" s="565" t="n"/>
      <x:c r="Z1821" s="565" t="n"/>
    </x:row>
    <x:row r="1822">
      <x:c r="A1822" s="552" t="inlineStr">
        <x:is>
          <x:t xml:space="preserve">2001-000619</x:t>
        </x:is>
      </x:c>
      <x:c r="B1822" s="552" t="n"/>
      <x:c r="C1822" s="552" t="inlineStr">
        <x:is>
          <x:t xml:space="preserve">Quit Claim Deed</x:t>
        </x:is>
      </x:c>
      <x:c r="D1822" s="552" t="inlineStr">
        <x:is>
          <x:t xml:space="preserve">1634/367</x:t>
        </x:is>
      </x:c>
      <x:c r="E1822" s="653" t="n">
        <x:v>36881</x:v>
      </x:c>
      <x:c r="F1822" s="653" t="n">
        <x:v>36935</x:v>
      </x:c>
      <x:c r="G1822" s="552" t="inlineStr">
        <x:is>
          <x:t xml:space="preserve">Michael Best and Angale L. Best, HW,
Letha M. Crouse, a single woman,
Aaron Smoot and Lara L. Smoot, HW</x:t>
        </x:is>
      </x:c>
      <x:c r="H1822" s="552" t="inlineStr">
        <x:is>
          <x:t xml:space="preserve">The Crouse Family TRUST, a Trust dated October 8. 1999</x:t>
        </x:is>
      </x:c>
      <x:c r="I1822" s="552" t="inlineStr">
        <x:is>
          <x:t xml:space="preserve">NE/4, a tract of land in 1-12N-24W, described by metes and bounds as follows: Beginning at a point 1281.6 feet West of the NW corner of the NE/4, thence East 64.8 feet, thence South 3300 feet, thence East 64.8 feet, thence North 3300 feet to the point of beginning, containing 4.91 acres, more or less, aol</x:t>
        </x:is>
      </x:c>
      <x:c r="J1822" s="552" t="inlineStr">
        <x:is>
          <x:t xml:space="preserve">ARTI</x:t>
        </x:is>
      </x:c>
      <x:c r="K1822" s="554" t="e">
        <x:f>HYPERLINK("https://okcountyrecords.com/detail/roger+mills/2001-000619","OKCountyRecords: 2001-000619")</x:f>
      </x:c>
      <x:c r="L1822" s="552" t="inlineStr">
        <x:is>
          <x:t xml:space="preserve">1, 2, 3</x:t>
        </x:is>
      </x:c>
      <x:c r="M1822" s="552" t="inlineStr">
        <x:is>
          <x:t xml:space="preserve">Mineral</x:t>
        </x:is>
      </x:c>
      <x:c r="N1822" s="555" t="n">
        <x:v>1</x:v>
      </x:c>
      <x:c r="O1822" s="556" t="n">
        <x:f>IF($L1822="","",IF(ISNUMBER(SEARCH("all",$L1822)),640,(ISNUMBER(SEARCH("1",$L1822)))*80+(ISNUMBER(SEARCH("2",$L1822)))*160+(ISNUMBER(SEARCH("3",$L1822)))*40+(ISNUMBER(SEARCH("4",$L1822)))*80+(ISNUMBER(SEARCH("5",$L1822)))*120+(ISNUMBER(SEARCH("6",$L1822)))*80+(ISNUMBER(SEARCH("7",$L1822)))*40+(ISNUMBER(SEARCH("8",$L1822)))*40))</x:f>
        <x:v>0</x:v>
      </x:c>
      <x:c r="P1822" s="654" t="n">
        <x:f>IF($M1822&lt;&gt;"Mineral","",IF(ISNUMBER($N1822),$N1822,IF(OR(ISNUMBER(SEARCH("surface",$J1822)),ISNUMBER(SEARCH("reserv",$J1822)),ISNUMBER(SEARCH("less and except",$J1822))),0,"")))</x:f>
        <x:v>1</x:v>
      </x:c>
      <x:c r="Q1822" s="654" t="n">
        <x:f>IF($P1822="","",-$P1822)</x:f>
        <x:v>-1</x:v>
      </x:c>
      <x:c r="R1822" s="655" t="n">
        <x:f>IF($P1822="","",$O1822*$P1822)</x:f>
        <x:v>0</x:v>
      </x:c>
      <x:c r="S1822" s="552" t="str">
        <x:f>IF($M1822="","",TRIM(IF($M1822="Mineral",IF(ISNUMBER($N1822),"Mineral; basis Conv Amt(dec). ",IF($P1822=0,"Mineral; surface-only/reserved-&gt;0 min. ","Mineral; NO AMOUNT-verify instrument. ")),$M1822&amp;" (non-mineral; excluded from mineral NMA). ")&amp;IF(OR(ISNUMBER(SEARCH("public",$G1822)),ISNUMBER(SEARCH("public",$H1822))),"FLAG: The Public placeholder-verify. ","")&amp;IF(ISNUMBER(SEARCH("all",$L1822)),"All-section coverage. ","")&amp;IF($O1822=0,"Gross acres unresolved. ","")&amp;"Gross=tract-map basis."))</x:f>
        <x:v>Mineral; basis Conv Amt(dec). Gross acres unresolved. Gross=tract-map basis.</x:v>
      </x:c>
      <x:c r="T1822" s="577" t="n"/>
      <x:c r="U1822" s="578" t="n"/>
      <x:c r="V1822" s="565" t="n"/>
      <x:c r="W1822" s="565" t="n"/>
      <x:c r="X1822" s="565" t="n"/>
      <x:c r="Y1822" s="565" t="n"/>
      <x:c r="Z1822" s="565" t="n"/>
    </x:row>
    <x:row r="1823">
      <x:c r="A1823" s="552" t="inlineStr">
        <x:is>
          <x:t xml:space="preserve">2001-000103</x:t>
        </x:is>
      </x:c>
      <x:c r="B1823" s="552" t="n"/>
      <x:c r="C1823" s="552" t="inlineStr">
        <x:is>
          <x:t xml:space="preserve">Mineral Deed</x:t>
        </x:is>
      </x:c>
      <x:c r="D1823" s="552" t="inlineStr">
        <x:is>
          <x:t xml:space="preserve">1631/416</x:t>
        </x:is>
      </x:c>
      <x:c r="E1823" s="653" t="n">
        <x:v>36896</x:v>
      </x:c>
      <x:c r="F1823" s="653" t="n">
        <x:v>36899</x:v>
      </x:c>
      <x:c r="G1823" s="552" t="inlineStr">
        <x:is>
          <x:t xml:space="preserve">William C. Bain Jr.</x:t>
        </x:is>
      </x:c>
      <x:c r="H1823" s="552" t="inlineStr">
        <x:is>
          <x:t xml:space="preserve">Donald R. Bain,
Melvin F. Bain,
Peggy J. Brawner,
Marilyn L. Broyles,
Leona I. Degrande,
Charlotte F. Willert</x:t>
        </x:is>
      </x:c>
      <x:c r="I1823" s="552" t="inlineStr">
        <x:is>
          <x:t xml:space="preserve">NW/4 SE/4, S/2 SE/4, SW/4 NE/4 of 31-12N-24W, aol</x:t>
        </x:is>
      </x:c>
      <x:c r="J1823" s="552" t="inlineStr">
        <x:is>
          <x:t xml:space="preserve">ARTI</x:t>
        </x:is>
      </x:c>
      <x:c r="K1823" s="554" t="e">
        <x:f>HYPERLINK("https://okcountyrecords.com/detail/roger+mills/2001-000103","OKCountyRecords: 2001-000103")</x:f>
      </x:c>
      <x:c r="L1823" s="552" t="n">
        <x:v>2</x:v>
      </x:c>
      <x:c r="M1823" s="552" t="inlineStr">
        <x:is>
          <x:t xml:space="preserve">Mineral</x:t>
        </x:is>
      </x:c>
      <x:c r="N1823" s="555" t="n">
        <x:v>1</x:v>
      </x:c>
      <x:c r="O1823" s="556" t="n">
        <x:f>IF($L1823="","",IF(ISNUMBER(SEARCH("all",$L1823)),640,(ISNUMBER(SEARCH("1",$L1823)))*80+(ISNUMBER(SEARCH("2",$L1823)))*160+(ISNUMBER(SEARCH("3",$L1823)))*40+(ISNUMBER(SEARCH("4",$L1823)))*80+(ISNUMBER(SEARCH("5",$L1823)))*120+(ISNUMBER(SEARCH("6",$L1823)))*80+(ISNUMBER(SEARCH("7",$L1823)))*40+(ISNUMBER(SEARCH("8",$L1823)))*40))</x:f>
        <x:v>0</x:v>
      </x:c>
      <x:c r="P1823" s="654" t="n">
        <x:f>IF($M1823&lt;&gt;"Mineral","",IF(ISNUMBER($N1823),$N1823,IF(OR(ISNUMBER(SEARCH("surface",$J1823)),ISNUMBER(SEARCH("reserv",$J1823)),ISNUMBER(SEARCH("less and except",$J1823))),0,"")))</x:f>
        <x:v>1</x:v>
      </x:c>
      <x:c r="Q1823" s="654" t="n">
        <x:f>IF($P1823="","",-$P1823)</x:f>
        <x:v>-1</x:v>
      </x:c>
      <x:c r="R1823" s="655" t="n">
        <x:f>IF($P1823="","",$O1823*$P1823)</x:f>
        <x:v>0</x:v>
      </x:c>
      <x:c r="S1823" s="552" t="str">
        <x:f>IF($M1823="","",TRIM(IF($M1823="Mineral",IF(ISNUMBER($N1823),"Mineral; basis Conv Amt(dec). ",IF($P1823=0,"Mineral; surface-only/reserved-&gt;0 min. ","Mineral; NO AMOUNT-verify instrument. ")),$M1823&amp;" (non-mineral; excluded from mineral NMA). ")&amp;IF(OR(ISNUMBER(SEARCH("public",$G1823)),ISNUMBER(SEARCH("public",$H1823))),"FLAG: The Public placeholder-verify. ","")&amp;IF(ISNUMBER(SEARCH("all",$L1823)),"All-section coverage. ","")&amp;IF($O1823=0,"Gross acres unresolved. ","")&amp;"Gross=tract-map basis."))</x:f>
        <x:v>Mineral; basis Conv Amt(dec). Gross acres unresolved. Gross=tract-map basis.</x:v>
      </x:c>
      <x:c r="T1823" s="578" t="n"/>
      <x:c r="U1823" s="578" t="n"/>
      <x:c r="V1823" s="565" t="n"/>
      <x:c r="W1823" s="565" t="n"/>
      <x:c r="X1823" s="565" t="n"/>
      <x:c r="Y1823" s="565" t="n"/>
      <x:c r="Z1823" s="565" t="n"/>
    </x:row>
    <x:row r="1824">
      <x:c r="A1824" s="552" t="inlineStr">
        <x:is>
          <x:t xml:space="preserve">2001-001362</x:t>
        </x:is>
      </x:c>
      <x:c r="B1824" s="552" t="n"/>
      <x:c r="C1824" s="552" t="inlineStr">
        <x:is>
          <x:t xml:space="preserve">Oil and Gas Lease</x:t>
        </x:is>
      </x:c>
      <x:c r="D1824" s="552" t="inlineStr">
        <x:is>
          <x:t xml:space="preserve">1639/13</x:t>
        </x:is>
      </x:c>
      <x:c r="E1824" s="653" t="n">
        <x:v>36906</x:v>
      </x:c>
      <x:c r="F1824" s="653" t="n">
        <x:v>36985</x:v>
      </x:c>
      <x:c r="G1824" s="552" t="inlineStr">
        <x:is>
          <x:t xml:space="preserve">Billy W. Bain aka Billy Wayne Bain
403 Garfield
Cheney, KS 67025</x:t>
        </x:is>
      </x:c>
      <x:c r="H1824" s="552" t="inlineStr">
        <x:is>
          <x:t xml:space="preserve">R. Michael Lortz</x:t>
        </x:is>
      </x:c>
      <x:c r="I1824" s="552" t="inlineStr">
        <x:is>
          <x:t xml:space="preserve">SE/4 SE/4, SW/4 NE/4, W/2 SE/4 of 31-12N-24W</x:t>
        </x:is>
      </x:c>
      <x:c r="J1824" s="552" t="inlineStr">
        <x:is>
          <x:t xml:space="preserve">160 gross acres
3 yrs
3/16ths royalty</x:t>
        </x:is>
      </x:c>
      <x:c r="K1824" s="554" t="e">
        <x:f>HYPERLINK("https://okcountyrecords.com/detail/roger+mills/2001-001362","OKCountyRecords: 2001-001362")</x:f>
      </x:c>
      <x:c r="L1824" s="552" t="n">
        <x:v>2</x:v>
      </x:c>
      <x:c r="M1824" s="552" t="inlineStr">
        <x:is>
          <x:t xml:space="preserve">Leasehold</x:t>
        </x:is>
      </x:c>
      <x:c r="N1824" s="555" t="n"/>
      <x:c r="O1824" s="556" t="n">
        <x:f>IF($L1824="","",IF(ISNUMBER(SEARCH("all",$L1824)),640,(ISNUMBER(SEARCH("1",$L1824)))*80+(ISNUMBER(SEARCH("2",$L1824)))*160+(ISNUMBER(SEARCH("3",$L1824)))*40+(ISNUMBER(SEARCH("4",$L1824)))*80+(ISNUMBER(SEARCH("5",$L1824)))*120+(ISNUMBER(SEARCH("6",$L1824)))*80+(ISNUMBER(SEARCH("7",$L1824)))*40+(ISNUMBER(SEARCH("8",$L1824)))*40))</x:f>
        <x:v>0</x:v>
      </x:c>
      <x:c r="P1824" s="654" t="str">
        <x:f>IF($M1824&lt;&gt;"Mineral","",IF(ISNUMBER($N1824),$N1824,IF(OR(ISNUMBER(SEARCH("surface",$J1824)),ISNUMBER(SEARCH("reserv",$J1824)),ISNUMBER(SEARCH("less and except",$J1824))),0,"")))</x:f>
      </x:c>
      <x:c r="Q1824" s="654" t="str">
        <x:f>IF($P1824="","",-$P1824)</x:f>
      </x:c>
      <x:c r="R1824" s="655" t="str">
        <x:f>IF($P1824="","",$O1824*$P1824)</x:f>
      </x:c>
      <x:c r="S1824" s="552" t="str">
        <x:f>IF($M1824="","",TRIM(IF($M1824="Mineral",IF(ISNUMBER($N1824),"Mineral; basis Conv Amt(dec). ",IF($P1824=0,"Mineral; surface-only/reserved-&gt;0 min. ","Mineral; NO AMOUNT-verify instrument. ")),$M1824&amp;" (non-mineral; excluded from mineral NMA). ")&amp;IF(OR(ISNUMBER(SEARCH("public",$G1824)),ISNUMBER(SEARCH("public",$H1824))),"FLAG: The Public placeholder-verify. ","")&amp;IF(ISNUMBER(SEARCH("all",$L1824)),"All-section coverage. ","")&amp;IF($O1824=0,"Gross acres unresolved. ","")&amp;"Gross=tract-map basis."))</x:f>
        <x:v>Leasehold (non-mineral; excluded from mineral NMA). Gross acres unresolved. Gross=tract-map basis.</x:v>
      </x:c>
      <x:c r="T1824" s="577" t="n"/>
      <x:c r="U1824" s="578" t="n"/>
      <x:c r="V1824" s="565" t="n"/>
      <x:c r="W1824" s="565" t="n"/>
      <x:c r="X1824" s="565" t="n"/>
      <x:c r="Y1824" s="565" t="n"/>
      <x:c r="Z1824" s="565" t="n"/>
    </x:row>
    <x:row r="1825">
      <x:c r="A1825" s="552" t="inlineStr">
        <x:is>
          <x:t xml:space="preserve">2001-001363</x:t>
        </x:is>
      </x:c>
      <x:c r="B1825" s="552" t="n"/>
      <x:c r="C1825" s="552" t="inlineStr">
        <x:is>
          <x:t xml:space="preserve">Oil and Gas Lease</x:t>
        </x:is>
      </x:c>
      <x:c r="D1825" s="552" t="inlineStr">
        <x:is>
          <x:t xml:space="preserve">1639/15</x:t>
        </x:is>
      </x:c>
      <x:c r="E1825" s="653" t="n">
        <x:v>36906</x:v>
      </x:c>
      <x:c r="F1825" s="653" t="n">
        <x:v>36985</x:v>
      </x:c>
      <x:c r="G1825" s="552" t="inlineStr">
        <x:is>
          <x:t xml:space="preserve">Billy Wayne Bain, Trustee for Hazel A. Hamilton under Kansas Trust Agreement 67025 dated January 29, 1983
403 Garfield
Cheney, KS 67025</x:t>
        </x:is>
      </x:c>
      <x:c r="H1825" s="552" t="inlineStr">
        <x:is>
          <x:t xml:space="preserve">R. Michael Lortz</x:t>
        </x:is>
      </x:c>
      <x:c r="I1825" s="552" t="inlineStr">
        <x:is>
          <x:t xml:space="preserve">SE/4 SE/4, SW/4 NE/4, W/2 SE/4 of 31-12N-24W</x:t>
        </x:is>
      </x:c>
      <x:c r="J1825" s="552" t="inlineStr">
        <x:is>
          <x:t xml:space="preserve">160 gross acres
3 yrs
3/16ths royalty</x:t>
        </x:is>
      </x:c>
      <x:c r="K1825" s="554" t="e">
        <x:f>HYPERLINK("https://okcountyrecords.com/detail/roger+mills/2001-001363","OKCountyRecords: 2001-001363")</x:f>
      </x:c>
      <x:c r="L1825" s="552" t="n">
        <x:v>2</x:v>
      </x:c>
      <x:c r="M1825" s="552" t="inlineStr">
        <x:is>
          <x:t xml:space="preserve">Leasehold</x:t>
        </x:is>
      </x:c>
      <x:c r="N1825" s="555" t="n"/>
      <x:c r="O1825" s="556" t="n">
        <x:f>IF($L1825="","",IF(ISNUMBER(SEARCH("all",$L1825)),640,(ISNUMBER(SEARCH("1",$L1825)))*80+(ISNUMBER(SEARCH("2",$L1825)))*160+(ISNUMBER(SEARCH("3",$L1825)))*40+(ISNUMBER(SEARCH("4",$L1825)))*80+(ISNUMBER(SEARCH("5",$L1825)))*120+(ISNUMBER(SEARCH("6",$L1825)))*80+(ISNUMBER(SEARCH("7",$L1825)))*40+(ISNUMBER(SEARCH("8",$L1825)))*40))</x:f>
        <x:v>0</x:v>
      </x:c>
      <x:c r="P1825" s="654" t="str">
        <x:f>IF($M1825&lt;&gt;"Mineral","",IF(ISNUMBER($N1825),$N1825,IF(OR(ISNUMBER(SEARCH("surface",$J1825)),ISNUMBER(SEARCH("reserv",$J1825)),ISNUMBER(SEARCH("less and except",$J1825))),0,"")))</x:f>
      </x:c>
      <x:c r="Q1825" s="654" t="str">
        <x:f>IF($P1825="","",-$P1825)</x:f>
      </x:c>
      <x:c r="R1825" s="655" t="str">
        <x:f>IF($P1825="","",$O1825*$P1825)</x:f>
      </x:c>
      <x:c r="S1825" s="552" t="str">
        <x:f>IF($M1825="","",TRIM(IF($M1825="Mineral",IF(ISNUMBER($N1825),"Mineral; basis Conv Amt(dec). ",IF($P1825=0,"Mineral; surface-only/reserved-&gt;0 min. ","Mineral; NO AMOUNT-verify instrument. ")),$M1825&amp;" (non-mineral; excluded from mineral NMA). ")&amp;IF(OR(ISNUMBER(SEARCH("public",$G1825)),ISNUMBER(SEARCH("public",$H1825))),"FLAG: The Public placeholder-verify. ","")&amp;IF(ISNUMBER(SEARCH("all",$L1825)),"All-section coverage. ","")&amp;IF($O1825=0,"Gross acres unresolved. ","")&amp;"Gross=tract-map basis."))</x:f>
        <x:v>Leasehold (non-mineral; excluded from mineral NMA). Gross acres unresolved. Gross=tract-map basis.</x:v>
      </x:c>
      <x:c r="T1825" s="577" t="n"/>
      <x:c r="U1825" s="578" t="n"/>
      <x:c r="V1825" s="565" t="n"/>
      <x:c r="W1825" s="565" t="n"/>
      <x:c r="X1825" s="565" t="n"/>
      <x:c r="Y1825" s="565" t="n"/>
      <x:c r="Z1825" s="565" t="n"/>
    </x:row>
    <x:row r="1826">
      <x:c r="A1826" s="552" t="inlineStr">
        <x:is>
          <x:t xml:space="preserve">2001-001358</x:t>
        </x:is>
      </x:c>
      <x:c r="B1826" s="552" t="n"/>
      <x:c r="C1826" s="552" t="inlineStr">
        <x:is>
          <x:t xml:space="preserve">Oil and Gas Lease</x:t>
        </x:is>
      </x:c>
      <x:c r="D1826" s="552" t="inlineStr">
        <x:is>
          <x:t xml:space="preserve">1639/5</x:t>
        </x:is>
      </x:c>
      <x:c r="E1826" s="653" t="n">
        <x:v>36906</x:v>
      </x:c>
      <x:c r="F1826" s="653" t="n">
        <x:v>36985</x:v>
      </x:c>
      <x:c r="G1826" s="552" t="inlineStr">
        <x:is>
          <x:t xml:space="preserve">Carl L. Bain, aka Carl Leon Bain
1517 Twichell Avenue
Dumas,TX 79029</x:t>
        </x:is>
      </x:c>
      <x:c r="H1826" s="552" t="inlineStr">
        <x:is>
          <x:t xml:space="preserve">R. Michael Lortz</x:t>
        </x:is>
      </x:c>
      <x:c r="I1826" s="552" t="inlineStr">
        <x:is>
          <x:t xml:space="preserve">SE/4 SE/4, SW/4 NE/4, W/2 SE/4 of 31-12N-24W</x:t>
        </x:is>
      </x:c>
      <x:c r="J1826" s="552" t="inlineStr">
        <x:is>
          <x:t xml:space="preserve">160 gross acres 
3 years
3/16ths royalty</x:t>
        </x:is>
      </x:c>
      <x:c r="K1826" s="554" t="e">
        <x:f>HYPERLINK("https://okcountyrecords.com/detail/roger+mills/2001-001358","OKCountyRecords: 2001-001358")</x:f>
      </x:c>
      <x:c r="L1826" s="552" t="n">
        <x:v>2</x:v>
      </x:c>
      <x:c r="M1826" s="552" t="inlineStr">
        <x:is>
          <x:t xml:space="preserve">Leasehold</x:t>
        </x:is>
      </x:c>
      <x:c r="N1826" s="555" t="n"/>
      <x:c r="O1826" s="556" t="n">
        <x:f>IF($L1826="","",IF(ISNUMBER(SEARCH("all",$L1826)),640,(ISNUMBER(SEARCH("1",$L1826)))*80+(ISNUMBER(SEARCH("2",$L1826)))*160+(ISNUMBER(SEARCH("3",$L1826)))*40+(ISNUMBER(SEARCH("4",$L1826)))*80+(ISNUMBER(SEARCH("5",$L1826)))*120+(ISNUMBER(SEARCH("6",$L1826)))*80+(ISNUMBER(SEARCH("7",$L1826)))*40+(ISNUMBER(SEARCH("8",$L1826)))*40))</x:f>
        <x:v>0</x:v>
      </x:c>
      <x:c r="P1826" s="654" t="str">
        <x:f>IF($M1826&lt;&gt;"Mineral","",IF(ISNUMBER($N1826),$N1826,IF(OR(ISNUMBER(SEARCH("surface",$J1826)),ISNUMBER(SEARCH("reserv",$J1826)),ISNUMBER(SEARCH("less and except",$J1826))),0,"")))</x:f>
      </x:c>
      <x:c r="Q1826" s="654" t="str">
        <x:f>IF($P1826="","",-$P1826)</x:f>
      </x:c>
      <x:c r="R1826" s="655" t="str">
        <x:f>IF($P1826="","",$O1826*$P1826)</x:f>
      </x:c>
      <x:c r="S1826" s="552" t="str">
        <x:f>IF($M1826="","",TRIM(IF($M1826="Mineral",IF(ISNUMBER($N1826),"Mineral; basis Conv Amt(dec). ",IF($P1826=0,"Mineral; surface-only/reserved-&gt;0 min. ","Mineral; NO AMOUNT-verify instrument. ")),$M1826&amp;" (non-mineral; excluded from mineral NMA). ")&amp;IF(OR(ISNUMBER(SEARCH("public",$G1826)),ISNUMBER(SEARCH("public",$H1826))),"FLAG: The Public placeholder-verify. ","")&amp;IF(ISNUMBER(SEARCH("all",$L1826)),"All-section coverage. ","")&amp;IF($O1826=0,"Gross acres unresolved. ","")&amp;"Gross=tract-map basis."))</x:f>
        <x:v>Leasehold (non-mineral; excluded from mineral NMA). Gross acres unresolved. Gross=tract-map basis.</x:v>
      </x:c>
      <x:c r="T1826" s="577" t="n"/>
      <x:c r="U1826" s="578" t="n"/>
      <x:c r="V1826" s="565" t="n"/>
      <x:c r="W1826" s="565" t="n"/>
      <x:c r="X1826" s="565" t="n"/>
      <x:c r="Y1826" s="565" t="n"/>
      <x:c r="Z1826" s="565" t="n"/>
    </x:row>
    <x:row r="1827">
      <x:c r="A1827" s="552" t="inlineStr">
        <x:is>
          <x:t xml:space="preserve">2001-001357</x:t>
        </x:is>
      </x:c>
      <x:c r="B1827" s="552" t="n"/>
      <x:c r="C1827" s="552" t="inlineStr">
        <x:is>
          <x:t xml:space="preserve">Oil and Gas Lease</x:t>
        </x:is>
      </x:c>
      <x:c r="D1827" s="552" t="inlineStr">
        <x:is>
          <x:t xml:space="preserve">1639/3</x:t>
        </x:is>
      </x:c>
      <x:c r="E1827" s="653" t="n">
        <x:v>36906</x:v>
      </x:c>
      <x:c r="F1827" s="653" t="n">
        <x:v>36985</x:v>
      </x:c>
      <x:c r="G1827" s="552" t="inlineStr">
        <x:is>
          <x:t xml:space="preserve">Clarence C. Bain and Dorothy J. Bain, Trustees of
3236 West Cactus Road
Phoenix, AZ 85029</x:t>
        </x:is>
      </x:c>
      <x:c r="H1827" s="552" t="inlineStr">
        <x:is>
          <x:t xml:space="preserve">R. Michael Lortz</x:t>
        </x:is>
      </x:c>
      <x:c r="I1827" s="552" t="inlineStr">
        <x:is>
          <x:t xml:space="preserve">SE/4 SE/4, SW/4 NE/4, W/2 SE/4 of 31-12N-24W</x:t>
        </x:is>
      </x:c>
      <x:c r="J1827" s="552" t="inlineStr">
        <x:is>
          <x:t xml:space="preserve">160 gross acres 
3 years
3/16ths royalty</x:t>
        </x:is>
      </x:c>
      <x:c r="K1827" s="554" t="e">
        <x:f>HYPERLINK("https://okcountyrecords.com/detail/roger+mills/2001-001357","OKCountyRecords: 2001-001357")</x:f>
      </x:c>
      <x:c r="L1827" s="552" t="n">
        <x:v>2</x:v>
      </x:c>
      <x:c r="M1827" s="552" t="inlineStr">
        <x:is>
          <x:t xml:space="preserve">Leasehold</x:t>
        </x:is>
      </x:c>
      <x:c r="N1827" s="555" t="n"/>
      <x:c r="O1827" s="556" t="n">
        <x:f>IF($L1827="","",IF(ISNUMBER(SEARCH("all",$L1827)),640,(ISNUMBER(SEARCH("1",$L1827)))*80+(ISNUMBER(SEARCH("2",$L1827)))*160+(ISNUMBER(SEARCH("3",$L1827)))*40+(ISNUMBER(SEARCH("4",$L1827)))*80+(ISNUMBER(SEARCH("5",$L1827)))*120+(ISNUMBER(SEARCH("6",$L1827)))*80+(ISNUMBER(SEARCH("7",$L1827)))*40+(ISNUMBER(SEARCH("8",$L1827)))*40))</x:f>
        <x:v>0</x:v>
      </x:c>
      <x:c r="P1827" s="654" t="str">
        <x:f>IF($M1827&lt;&gt;"Mineral","",IF(ISNUMBER($N1827),$N1827,IF(OR(ISNUMBER(SEARCH("surface",$J1827)),ISNUMBER(SEARCH("reserv",$J1827)),ISNUMBER(SEARCH("less and except",$J1827))),0,"")))</x:f>
      </x:c>
      <x:c r="Q1827" s="654" t="str">
        <x:f>IF($P1827="","",-$P1827)</x:f>
      </x:c>
      <x:c r="R1827" s="655" t="str">
        <x:f>IF($P1827="","",$O1827*$P1827)</x:f>
      </x:c>
      <x:c r="S1827" s="552" t="str">
        <x:f>IF($M1827="","",TRIM(IF($M1827="Mineral",IF(ISNUMBER($N1827),"Mineral; basis Conv Amt(dec). ",IF($P1827=0,"Mineral; surface-only/reserved-&gt;0 min. ","Mineral; NO AMOUNT-verify instrument. ")),$M1827&amp;" (non-mineral; excluded from mineral NMA). ")&amp;IF(OR(ISNUMBER(SEARCH("public",$G1827)),ISNUMBER(SEARCH("public",$H1827))),"FLAG: The Public placeholder-verify. ","")&amp;IF(ISNUMBER(SEARCH("all",$L1827)),"All-section coverage. ","")&amp;IF($O1827=0,"Gross acres unresolved. ","")&amp;"Gross=tract-map basis."))</x:f>
        <x:v>Leasehold (non-mineral; excluded from mineral NMA). Gross acres unresolved. Gross=tract-map basis.</x:v>
      </x:c>
      <x:c r="T1827" s="577" t="n"/>
      <x:c r="U1827" s="578" t="n"/>
      <x:c r="V1827" s="565" t="n"/>
      <x:c r="W1827" s="565" t="n"/>
      <x:c r="X1827" s="565" t="n"/>
      <x:c r="Y1827" s="565" t="n"/>
      <x:c r="Z1827" s="565" t="n"/>
    </x:row>
    <x:row r="1828">
      <x:c r="A1828" s="552" t="inlineStr">
        <x:is>
          <x:t xml:space="preserve">2001-001366</x:t>
        </x:is>
      </x:c>
      <x:c r="B1828" s="552" t="n"/>
      <x:c r="C1828" s="552" t="inlineStr">
        <x:is>
          <x:t xml:space="preserve">Oil and Gas Lease</x:t>
        </x:is>
      </x:c>
      <x:c r="D1828" s="552" t="inlineStr">
        <x:is>
          <x:t xml:space="preserve">1639/21</x:t>
        </x:is>
      </x:c>
      <x:c r="E1828" s="653" t="n">
        <x:v>36906</x:v>
      </x:c>
      <x:c r="F1828" s="653" t="n">
        <x:v>36985</x:v>
      </x:c>
      <x:c r="G1828" s="552" t="inlineStr">
        <x:is>
          <x:t xml:space="preserve">Dow C. Bain and Edris O. Bain, HW</x:t>
        </x:is>
      </x:c>
      <x:c r="H1828" s="552" t="inlineStr">
        <x:is>
          <x:t xml:space="preserve">R. Michael Lortz</x:t>
        </x:is>
      </x:c>
      <x:c r="I1828" s="552" t="inlineStr">
        <x:is>
          <x:t xml:space="preserve">SE/4 SE/4, SW/4 NE/4, W/2 SE/4 of 31-12N-24W</x:t>
        </x:is>
      </x:c>
      <x:c r="J1828" s="552" t="inlineStr">
        <x:is>
          <x:t xml:space="preserve">160 gross acres 
3 years
3/16ths royalty</x:t>
        </x:is>
      </x:c>
      <x:c r="K1828" s="554" t="e">
        <x:f>HYPERLINK("https://okcountyrecords.com/detail/roger+mills/2001-001366","OKCountyRecords: 2001-001366")</x:f>
      </x:c>
      <x:c r="L1828" s="552" t="n">
        <x:v>2</x:v>
      </x:c>
      <x:c r="M1828" s="552" t="inlineStr">
        <x:is>
          <x:t xml:space="preserve">Leasehold</x:t>
        </x:is>
      </x:c>
      <x:c r="N1828" s="555" t="n"/>
      <x:c r="O1828" s="556" t="n">
        <x:f>IF($L1828="","",IF(ISNUMBER(SEARCH("all",$L1828)),640,(ISNUMBER(SEARCH("1",$L1828)))*80+(ISNUMBER(SEARCH("2",$L1828)))*160+(ISNUMBER(SEARCH("3",$L1828)))*40+(ISNUMBER(SEARCH("4",$L1828)))*80+(ISNUMBER(SEARCH("5",$L1828)))*120+(ISNUMBER(SEARCH("6",$L1828)))*80+(ISNUMBER(SEARCH("7",$L1828)))*40+(ISNUMBER(SEARCH("8",$L1828)))*40))</x:f>
        <x:v>0</x:v>
      </x:c>
      <x:c r="P1828" s="654" t="str">
        <x:f>IF($M1828&lt;&gt;"Mineral","",IF(ISNUMBER($N1828),$N1828,IF(OR(ISNUMBER(SEARCH("surface",$J1828)),ISNUMBER(SEARCH("reserv",$J1828)),ISNUMBER(SEARCH("less and except",$J1828))),0,"")))</x:f>
      </x:c>
      <x:c r="Q1828" s="654" t="str">
        <x:f>IF($P1828="","",-$P1828)</x:f>
      </x:c>
      <x:c r="R1828" s="655" t="str">
        <x:f>IF($P1828="","",$O1828*$P1828)</x:f>
      </x:c>
      <x:c r="S1828" s="552" t="str">
        <x:f>IF($M1828="","",TRIM(IF($M1828="Mineral",IF(ISNUMBER($N1828),"Mineral; basis Conv Amt(dec). ",IF($P1828=0,"Mineral; surface-only/reserved-&gt;0 min. ","Mineral; NO AMOUNT-verify instrument. ")),$M1828&amp;" (non-mineral; excluded from mineral NMA). ")&amp;IF(OR(ISNUMBER(SEARCH("public",$G1828)),ISNUMBER(SEARCH("public",$H1828))),"FLAG: The Public placeholder-verify. ","")&amp;IF(ISNUMBER(SEARCH("all",$L1828)),"All-section coverage. ","")&amp;IF($O1828=0,"Gross acres unresolved. ","")&amp;"Gross=tract-map basis."))</x:f>
        <x:v>Leasehold (non-mineral; excluded from mineral NMA). Gross acres unresolved. Gross=tract-map basis.</x:v>
      </x:c>
      <x:c r="T1828" s="577" t="n"/>
      <x:c r="U1828" s="578" t="n"/>
      <x:c r="V1828" s="565" t="n"/>
      <x:c r="W1828" s="565" t="n"/>
      <x:c r="X1828" s="565" t="n"/>
      <x:c r="Y1828" s="565" t="n"/>
      <x:c r="Z1828" s="565" t="n"/>
    </x:row>
    <x:row r="1829">
      <x:c r="A1829" s="552" t="inlineStr">
        <x:is>
          <x:t xml:space="preserve">2001-001364</x:t>
        </x:is>
      </x:c>
      <x:c r="B1829" s="552" t="n"/>
      <x:c r="C1829" s="552" t="inlineStr">
        <x:is>
          <x:t xml:space="preserve">Oil and Gas Lease</x:t>
        </x:is>
      </x:c>
      <x:c r="D1829" s="552" t="inlineStr">
        <x:is>
          <x:t xml:space="preserve">1639/17</x:t>
        </x:is>
      </x:c>
      <x:c r="E1829" s="653" t="n">
        <x:v>36906</x:v>
      </x:c>
      <x:c r="F1829" s="653" t="n">
        <x:v>36985</x:v>
      </x:c>
      <x:c r="G1829" s="552" t="inlineStr">
        <x:is>
          <x:t xml:space="preserve">Hans W. Jensen
Hans W. Jensen
720 West Edgewater Street
Portage, WI 53901-1635</x:t>
        </x:is>
      </x:c>
      <x:c r="H1829" s="552" t="inlineStr">
        <x:is>
          <x:t xml:space="preserve">R. Michael Lortz</x:t>
        </x:is>
      </x:c>
      <x:c r="I1829" s="552" t="inlineStr">
        <x:is>
          <x:t xml:space="preserve">SE/4 SE/4, SW/4 NE/4, W/2 SE/4 of 31-12N-24W</x:t>
        </x:is>
      </x:c>
      <x:c r="J1829" s="552" t="inlineStr">
        <x:is>
          <x:t xml:space="preserve">160 gross acres 
3 years
3/16ths royalty</x:t>
        </x:is>
      </x:c>
      <x:c r="K1829" s="554" t="e">
        <x:f>HYPERLINK("https://okcountyrecords.com/detail/roger+mills/2001-001364","OKCountyRecords: 2001-001364")</x:f>
      </x:c>
      <x:c r="L1829" s="552" t="n">
        <x:v>2</x:v>
      </x:c>
      <x:c r="M1829" s="552" t="inlineStr">
        <x:is>
          <x:t xml:space="preserve">Leasehold</x:t>
        </x:is>
      </x:c>
      <x:c r="N1829" s="555" t="n"/>
      <x:c r="O1829" s="556" t="n">
        <x:f>IF($L1829="","",IF(ISNUMBER(SEARCH("all",$L1829)),640,(ISNUMBER(SEARCH("1",$L1829)))*80+(ISNUMBER(SEARCH("2",$L1829)))*160+(ISNUMBER(SEARCH("3",$L1829)))*40+(ISNUMBER(SEARCH("4",$L1829)))*80+(ISNUMBER(SEARCH("5",$L1829)))*120+(ISNUMBER(SEARCH("6",$L1829)))*80+(ISNUMBER(SEARCH("7",$L1829)))*40+(ISNUMBER(SEARCH("8",$L1829)))*40))</x:f>
        <x:v>0</x:v>
      </x:c>
      <x:c r="P1829" s="654" t="str">
        <x:f>IF($M1829&lt;&gt;"Mineral","",IF(ISNUMBER($N1829),$N1829,IF(OR(ISNUMBER(SEARCH("surface",$J1829)),ISNUMBER(SEARCH("reserv",$J1829)),ISNUMBER(SEARCH("less and except",$J1829))),0,"")))</x:f>
      </x:c>
      <x:c r="Q1829" s="654" t="str">
        <x:f>IF($P1829="","",-$P1829)</x:f>
      </x:c>
      <x:c r="R1829" s="655" t="str">
        <x:f>IF($P1829="","",$O1829*$P1829)</x:f>
      </x:c>
      <x:c r="S1829" s="552" t="str">
        <x:f>IF($M1829="","",TRIM(IF($M1829="Mineral",IF(ISNUMBER($N1829),"Mineral; basis Conv Amt(dec). ",IF($P1829=0,"Mineral; surface-only/reserved-&gt;0 min. ","Mineral; NO AMOUNT-verify instrument. ")),$M1829&amp;" (non-mineral; excluded from mineral NMA). ")&amp;IF(OR(ISNUMBER(SEARCH("public",$G1829)),ISNUMBER(SEARCH("public",$H1829))),"FLAG: The Public placeholder-verify. ","")&amp;IF(ISNUMBER(SEARCH("all",$L1829)),"All-section coverage. ","")&amp;IF($O1829=0,"Gross acres unresolved. ","")&amp;"Gross=tract-map basis."))</x:f>
        <x:v>Leasehold (non-mineral; excluded from mineral NMA). Gross acres unresolved. Gross=tract-map basis.</x:v>
      </x:c>
      <x:c r="T1829" s="577" t="n"/>
      <x:c r="U1829" s="578" t="n"/>
      <x:c r="V1829" s="565" t="n"/>
      <x:c r="W1829" s="565" t="n"/>
      <x:c r="X1829" s="565" t="n"/>
      <x:c r="Y1829" s="565" t="n"/>
      <x:c r="Z1829" s="565" t="n"/>
    </x:row>
    <x:row r="1830">
      <x:c r="A1830" s="552" t="inlineStr">
        <x:is>
          <x:t xml:space="preserve">2001-001360</x:t>
        </x:is>
      </x:c>
      <x:c r="B1830" s="552" t="n"/>
      <x:c r="C1830" s="552" t="inlineStr">
        <x:is>
          <x:t xml:space="preserve">Oil and Gas Lease</x:t>
        </x:is>
      </x:c>
      <x:c r="D1830" s="552" t="inlineStr">
        <x:is>
          <x:t xml:space="preserve">1639/9</x:t>
        </x:is>
      </x:c>
      <x:c r="E1830" s="653" t="n">
        <x:v>36906</x:v>
      </x:c>
      <x:c r="F1830" s="653" t="n">
        <x:v>36985</x:v>
      </x:c>
      <x:c r="G1830" s="552" t="inlineStr">
        <x:is>
          <x:t xml:space="preserve">Tim E. Jensen
5673 Doschadis
Waterloo, WI 53594</x:t>
        </x:is>
      </x:c>
      <x:c r="H1830" s="552" t="inlineStr">
        <x:is>
          <x:t xml:space="preserve">R. Michael Lortz</x:t>
        </x:is>
      </x:c>
      <x:c r="I1830" s="552" t="inlineStr">
        <x:is>
          <x:t xml:space="preserve">SE/4 SE/4, SW/4 NE/4, W/2 SE/4 of 31-12N-24W</x:t>
        </x:is>
      </x:c>
      <x:c r="J1830" s="552" t="inlineStr">
        <x:is>
          <x:t xml:space="preserve">160 gross acres 
3 years
3/16ths royalty</x:t>
        </x:is>
      </x:c>
      <x:c r="K1830" s="554" t="e">
        <x:f>HYPERLINK("https://okcountyrecords.com/detail/roger+mills/2001-001360","OKCountyRecords: 2001-001360")</x:f>
      </x:c>
      <x:c r="L1830" s="552" t="n">
        <x:v>2</x:v>
      </x:c>
      <x:c r="M1830" s="552" t="inlineStr">
        <x:is>
          <x:t xml:space="preserve">Leasehold</x:t>
        </x:is>
      </x:c>
      <x:c r="N1830" s="555" t="n"/>
      <x:c r="O1830" s="556" t="n">
        <x:f>IF($L1830="","",IF(ISNUMBER(SEARCH("all",$L1830)),640,(ISNUMBER(SEARCH("1",$L1830)))*80+(ISNUMBER(SEARCH("2",$L1830)))*160+(ISNUMBER(SEARCH("3",$L1830)))*40+(ISNUMBER(SEARCH("4",$L1830)))*80+(ISNUMBER(SEARCH("5",$L1830)))*120+(ISNUMBER(SEARCH("6",$L1830)))*80+(ISNUMBER(SEARCH("7",$L1830)))*40+(ISNUMBER(SEARCH("8",$L1830)))*40))</x:f>
        <x:v>0</x:v>
      </x:c>
      <x:c r="P1830" s="654" t="str">
        <x:f>IF($M1830&lt;&gt;"Mineral","",IF(ISNUMBER($N1830),$N1830,IF(OR(ISNUMBER(SEARCH("surface",$J1830)),ISNUMBER(SEARCH("reserv",$J1830)),ISNUMBER(SEARCH("less and except",$J1830))),0,"")))</x:f>
      </x:c>
      <x:c r="Q1830" s="654" t="str">
        <x:f>IF($P1830="","",-$P1830)</x:f>
      </x:c>
      <x:c r="R1830" s="655" t="str">
        <x:f>IF($P1830="","",$O1830*$P1830)</x:f>
      </x:c>
      <x:c r="S1830" s="552" t="str">
        <x:f>IF($M1830="","",TRIM(IF($M1830="Mineral",IF(ISNUMBER($N1830),"Mineral; basis Conv Amt(dec). ",IF($P1830=0,"Mineral; surface-only/reserved-&gt;0 min. ","Mineral; NO AMOUNT-verify instrument. ")),$M1830&amp;" (non-mineral; excluded from mineral NMA). ")&amp;IF(OR(ISNUMBER(SEARCH("public",$G1830)),ISNUMBER(SEARCH("public",$H1830))),"FLAG: The Public placeholder-verify. ","")&amp;IF(ISNUMBER(SEARCH("all",$L1830)),"All-section coverage. ","")&amp;IF($O1830=0,"Gross acres unresolved. ","")&amp;"Gross=tract-map basis."))</x:f>
        <x:v>Leasehold (non-mineral; excluded from mineral NMA). Gross acres unresolved. Gross=tract-map basis.</x:v>
      </x:c>
      <x:c r="T1830" s="577" t="n"/>
      <x:c r="U1830" s="578" t="n"/>
      <x:c r="V1830" s="565" t="n"/>
      <x:c r="W1830" s="565" t="n"/>
      <x:c r="X1830" s="565" t="n"/>
      <x:c r="Y1830" s="565" t="n"/>
      <x:c r="Z1830" s="565" t="n"/>
    </x:row>
    <x:row r="1831">
      <x:c r="A1831" s="552" t="inlineStr">
        <x:is>
          <x:t xml:space="preserve">2001-001365</x:t>
        </x:is>
      </x:c>
      <x:c r="B1831" s="552" t="n"/>
      <x:c r="C1831" s="552" t="inlineStr">
        <x:is>
          <x:t xml:space="preserve">Oil and Gas Lease</x:t>
        </x:is>
      </x:c>
      <x:c r="D1831" s="552" t="inlineStr">
        <x:is>
          <x:t xml:space="preserve">1639/19</x:t>
        </x:is>
      </x:c>
      <x:c r="E1831" s="653" t="n">
        <x:v>36906</x:v>
      </x:c>
      <x:c r="F1831" s="653" t="n">
        <x:v>36985</x:v>
      </x:c>
      <x:c r="G1831" s="552" t="inlineStr">
        <x:is>
          <x:t xml:space="preserve">Wilda E. Jensen
317 Major Way, 
Sun Prairie, WI 53590</x:t>
        </x:is>
      </x:c>
      <x:c r="H1831" s="552" t="inlineStr">
        <x:is>
          <x:t xml:space="preserve">R. Michael Lortz</x:t>
        </x:is>
      </x:c>
      <x:c r="I1831" s="552" t="inlineStr">
        <x:is>
          <x:t xml:space="preserve">SE/4 SE/4, SW/4 NE/4, W/2 SE/4 of 31-12N-24W</x:t>
        </x:is>
      </x:c>
      <x:c r="J1831" s="552" t="inlineStr">
        <x:is>
          <x:t xml:space="preserve">160 gross acres 
3 years
3/16ths royalty</x:t>
        </x:is>
      </x:c>
      <x:c r="K1831" s="554" t="e">
        <x:f>HYPERLINK("https://okcountyrecords.com/detail/roger+mills/2001-001365","OKCountyRecords: 2001-001365")</x:f>
      </x:c>
      <x:c r="L1831" s="552" t="n">
        <x:v>2</x:v>
      </x:c>
      <x:c r="M1831" s="552" t="inlineStr">
        <x:is>
          <x:t xml:space="preserve">Leasehold</x:t>
        </x:is>
      </x:c>
      <x:c r="N1831" s="555" t="n"/>
      <x:c r="O1831" s="556" t="n">
        <x:f>IF($L1831="","",IF(ISNUMBER(SEARCH("all",$L1831)),640,(ISNUMBER(SEARCH("1",$L1831)))*80+(ISNUMBER(SEARCH("2",$L1831)))*160+(ISNUMBER(SEARCH("3",$L1831)))*40+(ISNUMBER(SEARCH("4",$L1831)))*80+(ISNUMBER(SEARCH("5",$L1831)))*120+(ISNUMBER(SEARCH("6",$L1831)))*80+(ISNUMBER(SEARCH("7",$L1831)))*40+(ISNUMBER(SEARCH("8",$L1831)))*40))</x:f>
        <x:v>0</x:v>
      </x:c>
      <x:c r="P1831" s="654" t="str">
        <x:f>IF($M1831&lt;&gt;"Mineral","",IF(ISNUMBER($N1831),$N1831,IF(OR(ISNUMBER(SEARCH("surface",$J1831)),ISNUMBER(SEARCH("reserv",$J1831)),ISNUMBER(SEARCH("less and except",$J1831))),0,"")))</x:f>
      </x:c>
      <x:c r="Q1831" s="654" t="str">
        <x:f>IF($P1831="","",-$P1831)</x:f>
      </x:c>
      <x:c r="R1831" s="655" t="str">
        <x:f>IF($P1831="","",$O1831*$P1831)</x:f>
      </x:c>
      <x:c r="S1831" s="552" t="str">
        <x:f>IF($M1831="","",TRIM(IF($M1831="Mineral",IF(ISNUMBER($N1831),"Mineral; basis Conv Amt(dec). ",IF($P1831=0,"Mineral; surface-only/reserved-&gt;0 min. ","Mineral; NO AMOUNT-verify instrument. ")),$M1831&amp;" (non-mineral; excluded from mineral NMA). ")&amp;IF(OR(ISNUMBER(SEARCH("public",$G1831)),ISNUMBER(SEARCH("public",$H1831))),"FLAG: The Public placeholder-verify. ","")&amp;IF(ISNUMBER(SEARCH("all",$L1831)),"All-section coverage. ","")&amp;IF($O1831=0,"Gross acres unresolved. ","")&amp;"Gross=tract-map basis."))</x:f>
        <x:v>Leasehold (non-mineral; excluded from mineral NMA). Gross acres unresolved. Gross=tract-map basis.</x:v>
      </x:c>
      <x:c r="T1831" s="577" t="n"/>
      <x:c r="U1831" s="578" t="n"/>
      <x:c r="V1831" s="565" t="n"/>
      <x:c r="W1831" s="565" t="n"/>
      <x:c r="X1831" s="565" t="n"/>
      <x:c r="Y1831" s="565" t="n"/>
      <x:c r="Z1831" s="565" t="n"/>
    </x:row>
    <x:row r="1832">
      <x:c r="A1832" s="552" t="inlineStr">
        <x:is>
          <x:t xml:space="preserve">2001-001359</x:t>
        </x:is>
      </x:c>
      <x:c r="B1832" s="552" t="n"/>
      <x:c r="C1832" s="552" t="inlineStr">
        <x:is>
          <x:t xml:space="preserve">Oil and Gas Lease</x:t>
        </x:is>
      </x:c>
      <x:c r="D1832" s="552" t="inlineStr">
        <x:is>
          <x:t xml:space="preserve">1639/7</x:t>
        </x:is>
      </x:c>
      <x:c r="E1832" s="653" t="n">
        <x:v>36916</x:v>
      </x:c>
      <x:c r="F1832" s="653" t="n">
        <x:v>36985</x:v>
      </x:c>
      <x:c r="G1832" s="552" t="inlineStr">
        <x:is>
          <x:t xml:space="preserve">L.E. Thurman
Rt. 2 Box 34B
Sayre, OK 73662</x:t>
        </x:is>
      </x:c>
      <x:c r="H1832" s="552" t="inlineStr">
        <x:is>
          <x:t xml:space="preserve">R. Michael Lortz</x:t>
        </x:is>
      </x:c>
      <x:c r="I1832" s="552" t="inlineStr">
        <x:is>
          <x:t xml:space="preserve">E/2 NW/4, N/2 NE/4 SW/4, NE/4 SE/4, SE/4 NE/4 of 31-12N-24W</x:t>
        </x:is>
      </x:c>
      <x:c r="J1832" s="552" t="inlineStr">
        <x:is>
          <x:t xml:space="preserve">180 gross acres 
3 years
3/16ths royalty</x:t>
        </x:is>
      </x:c>
      <x:c r="K1832" s="554" t="e">
        <x:f>HYPERLINK("https://okcountyrecords.com/detail/roger+mills/2001-001359","OKCountyRecords: 2001-001359")</x:f>
      </x:c>
      <x:c r="L1832" s="552" t="inlineStr">
        <x:is>
          <x:t xml:space="preserve">1, 3, 4, 7, 8</x:t>
        </x:is>
      </x:c>
      <x:c r="M1832" s="552" t="inlineStr">
        <x:is>
          <x:t xml:space="preserve">Leasehold</x:t>
        </x:is>
      </x:c>
      <x:c r="N1832" s="561" t="n"/>
      <x:c r="O1832" s="556" t="n">
        <x:f>IF($L1832="","",IF(ISNUMBER(SEARCH("all",$L1832)),640,(ISNUMBER(SEARCH("1",$L1832)))*80+(ISNUMBER(SEARCH("2",$L1832)))*160+(ISNUMBER(SEARCH("3",$L1832)))*40+(ISNUMBER(SEARCH("4",$L1832)))*80+(ISNUMBER(SEARCH("5",$L1832)))*120+(ISNUMBER(SEARCH("6",$L1832)))*80+(ISNUMBER(SEARCH("7",$L1832)))*40+(ISNUMBER(SEARCH("8",$L1832)))*40))</x:f>
        <x:v>0</x:v>
      </x:c>
      <x:c r="P1832" s="654" t="str">
        <x:f>IF($M1832&lt;&gt;"Mineral","",IF(ISNUMBER($N1832),$N1832,IF(OR(ISNUMBER(SEARCH("surface",$J1832)),ISNUMBER(SEARCH("reserv",$J1832)),ISNUMBER(SEARCH("less and except",$J1832))),0,"")))</x:f>
      </x:c>
      <x:c r="Q1832" s="654" t="str">
        <x:f>IF($P1832="","",-$P1832)</x:f>
      </x:c>
      <x:c r="R1832" s="655" t="str">
        <x:f>IF($P1832="","",$O1832*$P1832)</x:f>
      </x:c>
      <x:c r="S1832" s="552" t="str">
        <x:f>IF($M1832="","",TRIM(IF($M1832="Mineral",IF(ISNUMBER($N1832),"Mineral; basis Conv Amt(dec). ",IF($P1832=0,"Mineral; surface-only/reserved-&gt;0 min. ","Mineral; NO AMOUNT-verify instrument. ")),$M1832&amp;" (non-mineral; excluded from mineral NMA). ")&amp;IF(OR(ISNUMBER(SEARCH("public",$G1832)),ISNUMBER(SEARCH("public",$H1832))),"FLAG: The Public placeholder-verify. ","")&amp;IF(ISNUMBER(SEARCH("all",$L1832)),"All-section coverage. ","")&amp;IF($O1832=0,"Gross acres unresolved. ","")&amp;"Gross=tract-map basis."))</x:f>
        <x:v>Leasehold (non-mineral; excluded from mineral NMA). Gross acres unresolved. Gross=tract-map basis.</x:v>
      </x:c>
      <x:c r="T1832" s="577" t="n"/>
      <x:c r="U1832" s="578" t="n"/>
      <x:c r="V1832" s="565" t="n"/>
      <x:c r="W1832" s="565" t="n"/>
      <x:c r="X1832" s="565" t="n"/>
      <x:c r="Y1832" s="565" t="n"/>
      <x:c r="Z1832" s="565" t="n"/>
    </x:row>
    <x:row r="1833">
      <x:c r="A1833" s="552" t="inlineStr">
        <x:is>
          <x:t xml:space="preserve">2001-001361</x:t>
        </x:is>
      </x:c>
      <x:c r="B1833" s="552" t="n"/>
      <x:c r="C1833" s="552" t="inlineStr">
        <x:is>
          <x:t xml:space="preserve">Oil and Gas Lease</x:t>
        </x:is>
      </x:c>
      <x:c r="D1833" s="552" t="inlineStr">
        <x:is>
          <x:t xml:space="preserve">1639/11</x:t>
        </x:is>
      </x:c>
      <x:c r="E1833" s="653" t="n">
        <x:v>36920</x:v>
      </x:c>
      <x:c r="F1833" s="653" t="n">
        <x:v>36985</x:v>
      </x:c>
      <x:c r="G1833" s="552" t="inlineStr">
        <x:is>
          <x:t xml:space="preserve">Audy C. Campbell,
Janice Campbell</x:t>
        </x:is>
      </x:c>
      <x:c r="H1833" s="552" t="inlineStr">
        <x:is>
          <x:t xml:space="preserve">R. Michael Lortz</x:t>
        </x:is>
      </x:c>
      <x:c r="I1833" s="552" t="inlineStr">
        <x:is>
          <x:t xml:space="preserve">Lot 4, S/2 of Lot 3, S/2 NE/4 SW/4, SE/4 SW/4 of 31-12N-24W</x:t>
        </x:is>
      </x:c>
      <x:c r="J1833" s="552" t="inlineStr">
        <x:is>
          <x:t xml:space="preserve">115.34 gross acres
3/16ths royalty
3 yrs
Depth claudes: This lease shall terminate as to all formations
the100 feet below the deepest depth drilled at the expiration of primary term herein</x:t>
        </x:is>
      </x:c>
      <x:c r="K1833" s="554" t="e">
        <x:f>HYPERLINK("https://okcountyrecords.com/detail/roger+mills/2001-001361","OKCountyRecords: 2001-001361")</x:f>
      </x:c>
      <x:c r="L1833" s="552" t="inlineStr">
        <x:is>
          <x:t xml:space="preserve">2, 3, 5, 7</x:t>
        </x:is>
      </x:c>
      <x:c r="M1833" s="552" t="inlineStr">
        <x:is>
          <x:t xml:space="preserve">Leasehold</x:t>
        </x:is>
      </x:c>
      <x:c r="N1833" s="555" t="n"/>
      <x:c r="O1833" s="556" t="n">
        <x:f>IF($L1833="","",IF(ISNUMBER(SEARCH("all",$L1833)),640,(ISNUMBER(SEARCH("1",$L1833)))*80+(ISNUMBER(SEARCH("2",$L1833)))*160+(ISNUMBER(SEARCH("3",$L1833)))*40+(ISNUMBER(SEARCH("4",$L1833)))*80+(ISNUMBER(SEARCH("5",$L1833)))*120+(ISNUMBER(SEARCH("6",$L1833)))*80+(ISNUMBER(SEARCH("7",$L1833)))*40+(ISNUMBER(SEARCH("8",$L1833)))*40))</x:f>
        <x:v>0</x:v>
      </x:c>
      <x:c r="P1833" s="654" t="str">
        <x:f>IF($M1833&lt;&gt;"Mineral","",IF(ISNUMBER($N1833),$N1833,IF(OR(ISNUMBER(SEARCH("surface",$J1833)),ISNUMBER(SEARCH("reserv",$J1833)),ISNUMBER(SEARCH("less and except",$J1833))),0,"")))</x:f>
      </x:c>
      <x:c r="Q1833" s="654" t="str">
        <x:f>IF($P1833="","",-$P1833)</x:f>
      </x:c>
      <x:c r="R1833" s="655" t="str">
        <x:f>IF($P1833="","",$O1833*$P1833)</x:f>
      </x:c>
      <x:c r="S1833" s="552" t="str">
        <x:f>IF($M1833="","",TRIM(IF($M1833="Mineral",IF(ISNUMBER($N1833),"Mineral; basis Conv Amt(dec). ",IF($P1833=0,"Mineral; surface-only/reserved-&gt;0 min. ","Mineral; NO AMOUNT-verify instrument. ")),$M1833&amp;" (non-mineral; excluded from mineral NMA). ")&amp;IF(OR(ISNUMBER(SEARCH("public",$G1833)),ISNUMBER(SEARCH("public",$H1833))),"FLAG: The Public placeholder-verify. ","")&amp;IF(ISNUMBER(SEARCH("all",$L1833)),"All-section coverage. ","")&amp;IF($O1833=0,"Gross acres unresolved. ","")&amp;"Gross=tract-map basis."))</x:f>
        <x:v>Leasehold (non-mineral; excluded from mineral NMA). Gross acres unresolved. Gross=tract-map basis.</x:v>
      </x:c>
      <x:c r="T1833" s="577" t="n"/>
      <x:c r="U1833" s="578" t="n"/>
      <x:c r="V1833" s="565" t="n"/>
      <x:c r="W1833" s="565" t="n"/>
      <x:c r="X1833" s="565" t="n"/>
      <x:c r="Y1833" s="565" t="n"/>
      <x:c r="Z1833" s="565" t="n"/>
    </x:row>
    <x:row r="1834">
      <x:c r="A1834" s="552" t="inlineStr">
        <x:is>
          <x:t xml:space="preserve">2001-000921</x:t>
        </x:is>
      </x:c>
      <x:c r="B1834" s="552" t="n"/>
      <x:c r="C1834" s="552" t="inlineStr">
        <x:is>
          <x:t xml:space="preserve">Mineral Deed</x:t>
        </x:is>
      </x:c>
      <x:c r="D1834" s="552" t="inlineStr">
        <x:is>
          <x:t xml:space="preserve">1636/544</x:t>
        </x:is>
      </x:c>
      <x:c r="E1834" s="653" t="n">
        <x:v>36921</x:v>
      </x:c>
      <x:c r="F1834" s="653" t="n">
        <x:v>36956</x:v>
      </x:c>
      <x:c r="G1834" s="552" t="inlineStr">
        <x:is>
          <x:t xml:space="preserve">Dow C. Bain</x:t>
        </x:is>
      </x:c>
      <x:c r="H1834" s="552" t="inlineStr">
        <x:is>
          <x:t xml:space="preserve">Dow C. Bain and Edris O. Bain Trustees, or their Successors in Trust, under The Bain Family Trust</x:t>
        </x:is>
      </x:c>
      <x:c r="I1834" s="552" t="inlineStr">
        <x:is>
          <x:t xml:space="preserve">NW/4 SE/4, S/2 SE/4, SW/4 NE/4 of 31-12N-24W</x:t>
        </x:is>
      </x:c>
      <x:c r="J1834" s="552" t="inlineStr">
        <x:is>
          <x:t xml:space="preserve">An undivided 3.33333/791.47 acre interest in and to the oil, gas and other minerals in 2 sections</x:t>
        </x:is>
      </x:c>
      <x:c r="K1834" s="554" t="e">
        <x:f>HYPERLINK("https://okcountyrecords.com/detail/roger+mills/2001-000921","OKCountyRecords: 2001-000921")</x:f>
      </x:c>
      <x:c r="L1834" s="552" t="n">
        <x:v>2</x:v>
      </x:c>
      <x:c r="M1834" s="552" t="inlineStr">
        <x:is>
          <x:t xml:space="preserve">Mineral</x:t>
        </x:is>
      </x:c>
      <x:c r="N1834" s="555" t="n">
        <x:f>3.33333/791.47</x:f>
        <x:v>0.004211568347505275</x:v>
      </x:c>
      <x:c r="O1834" s="556" t="n">
        <x:f>IF($L1834="","",IF(ISNUMBER(SEARCH("all",$L1834)),640,(ISNUMBER(SEARCH("1",$L1834)))*80+(ISNUMBER(SEARCH("2",$L1834)))*160+(ISNUMBER(SEARCH("3",$L1834)))*40+(ISNUMBER(SEARCH("4",$L1834)))*80+(ISNUMBER(SEARCH("5",$L1834)))*120+(ISNUMBER(SEARCH("6",$L1834)))*80+(ISNUMBER(SEARCH("7",$L1834)))*40+(ISNUMBER(SEARCH("8",$L1834)))*40))</x:f>
        <x:v>0</x:v>
      </x:c>
      <x:c r="P1834" s="654" t="n">
        <x:f>IF($M1834&lt;&gt;"Mineral","",IF(ISNUMBER($N1834),$N1834,IF(OR(ISNUMBER(SEARCH("surface",$J1834)),ISNUMBER(SEARCH("reserv",$J1834)),ISNUMBER(SEARCH("less and except",$J1834))),0,"")))</x:f>
        <x:v>0.004211568347505275</x:v>
      </x:c>
      <x:c r="Q1834" s="654" t="n">
        <x:f>IF($P1834="","",-$P1834)</x:f>
        <x:v>-0.004211568347505275</x:v>
      </x:c>
      <x:c r="R1834" s="655" t="n">
        <x:f>IF($P1834="","",$O1834*$P1834)</x:f>
        <x:v>0</x:v>
      </x:c>
      <x:c r="S1834" s="552" t="str">
        <x:f>IF($M1834="","",TRIM(IF($M1834="Mineral",IF(ISNUMBER($N1834),"Mineral; basis Conv Amt(dec). ",IF($P1834=0,"Mineral; surface-only/reserved-&gt;0 min. ","Mineral; NO AMOUNT-verify instrument. ")),$M1834&amp;" (non-mineral; excluded from mineral NMA). ")&amp;IF(OR(ISNUMBER(SEARCH("public",$G1834)),ISNUMBER(SEARCH("public",$H1834))),"FLAG: The Public placeholder-verify. ","")&amp;IF(ISNUMBER(SEARCH("all",$L1834)),"All-section coverage. ","")&amp;IF($O1834=0,"Gross acres unresolved. ","")&amp;"Gross=tract-map basis."))</x:f>
        <x:v>Mineral; basis Conv Amt(dec). Gross acres unresolved. Gross=tract-map basis.</x:v>
      </x:c>
      <x:c r="T1834" s="578" t="n"/>
      <x:c r="U1834" s="578" t="n"/>
      <x:c r="V1834" s="565" t="n"/>
      <x:c r="W1834" s="565" t="n"/>
      <x:c r="X1834" s="565" t="n"/>
      <x:c r="Y1834" s="565" t="n"/>
      <x:c r="Z1834" s="565" t="n"/>
    </x:row>
    <x:row r="1835">
      <x:c r="A1835" s="552" t="inlineStr">
        <x:is>
          <x:t xml:space="preserve">2001-000926</x:t>
        </x:is>
      </x:c>
      <x:c r="B1835" s="552" t="n"/>
      <x:c r="C1835" s="552" t="inlineStr">
        <x:is>
          <x:t xml:space="preserve">Mineral Deed</x:t>
        </x:is>
      </x:c>
      <x:c r="D1835" s="552" t="inlineStr">
        <x:is>
          <x:t xml:space="preserve">1636/554</x:t>
        </x:is>
      </x:c>
      <x:c r="E1835" s="653" t="n">
        <x:v>36921</x:v>
      </x:c>
      <x:c r="F1835" s="653" t="n">
        <x:v>36956</x:v>
      </x:c>
      <x:c r="G1835" s="552" t="inlineStr">
        <x:is>
          <x:t xml:space="preserve">Dow C. Bain and Edris O. Bain, HW</x:t>
        </x:is>
      </x:c>
      <x:c r="H1835" s="552" t="inlineStr">
        <x:is>
          <x:t xml:space="preserve">Dow C. Bain and Edris O. Bain Trustees, or their Successors in Trust, under The Bain Family Trust</x:t>
        </x:is>
      </x:c>
      <x:c r="I1835" s="552" t="inlineStr">
        <x:is>
          <x:t xml:space="preserve">NW/4 SE/4, S/2 SE/4, SW/4 NE/4 of 31-12N-24W, aol</x:t>
        </x:is>
      </x:c>
      <x:c r="J1835" s="552" t="inlineStr">
        <x:is>
          <x:t xml:space="preserve">ARTI</x:t>
        </x:is>
      </x:c>
      <x:c r="K1835" s="554" t="e">
        <x:f>HYPERLINK("https://okcountyrecords.com/detail/roger+mills/2001-000926","OKCountyRecords: 2001-000926")</x:f>
      </x:c>
      <x:c r="L1835" s="552" t="n">
        <x:v>2</x:v>
      </x:c>
      <x:c r="M1835" s="552" t="inlineStr">
        <x:is>
          <x:t xml:space="preserve">Mineral</x:t>
        </x:is>
      </x:c>
      <x:c r="N1835" s="555" t="n">
        <x:v>1</x:v>
      </x:c>
      <x:c r="O1835" s="556" t="n">
        <x:f>IF($L1835="","",IF(ISNUMBER(SEARCH("all",$L1835)),640,(ISNUMBER(SEARCH("1",$L1835)))*80+(ISNUMBER(SEARCH("2",$L1835)))*160+(ISNUMBER(SEARCH("3",$L1835)))*40+(ISNUMBER(SEARCH("4",$L1835)))*80+(ISNUMBER(SEARCH("5",$L1835)))*120+(ISNUMBER(SEARCH("6",$L1835)))*80+(ISNUMBER(SEARCH("7",$L1835)))*40+(ISNUMBER(SEARCH("8",$L1835)))*40))</x:f>
        <x:v>0</x:v>
      </x:c>
      <x:c r="P1835" s="654" t="n">
        <x:f>IF($M1835&lt;&gt;"Mineral","",IF(ISNUMBER($N1835),$N1835,IF(OR(ISNUMBER(SEARCH("surface",$J1835)),ISNUMBER(SEARCH("reserv",$J1835)),ISNUMBER(SEARCH("less and except",$J1835))),0,"")))</x:f>
        <x:v>1</x:v>
      </x:c>
      <x:c r="Q1835" s="654" t="n">
        <x:f>IF($P1835="","",-$P1835)</x:f>
        <x:v>-1</x:v>
      </x:c>
      <x:c r="R1835" s="655" t="n">
        <x:f>IF($P1835="","",$O1835*$P1835)</x:f>
        <x:v>0</x:v>
      </x:c>
      <x:c r="S1835" s="552" t="str">
        <x:f>IF($M1835="","",TRIM(IF($M1835="Mineral",IF(ISNUMBER($N1835),"Mineral; basis Conv Amt(dec). ",IF($P1835=0,"Mineral; surface-only/reserved-&gt;0 min. ","Mineral; NO AMOUNT-verify instrument. ")),$M1835&amp;" (non-mineral; excluded from mineral NMA). ")&amp;IF(OR(ISNUMBER(SEARCH("public",$G1835)),ISNUMBER(SEARCH("public",$H1835))),"FLAG: The Public placeholder-verify. ","")&amp;IF(ISNUMBER(SEARCH("all",$L1835)),"All-section coverage. ","")&amp;IF($O1835=0,"Gross acres unresolved. ","")&amp;"Gross=tract-map basis."))</x:f>
        <x:v>Mineral; basis Conv Amt(dec). Gross acres unresolved. Gross=tract-map basis.</x:v>
      </x:c>
      <x:c r="T1835" s="577" t="n"/>
      <x:c r="U1835" s="578" t="n"/>
      <x:c r="V1835" s="565" t="n"/>
      <x:c r="W1835" s="565" t="n"/>
      <x:c r="X1835" s="565" t="n"/>
      <x:c r="Y1835" s="565" t="n"/>
      <x:c r="Z1835" s="565" t="n"/>
    </x:row>
    <x:row r="1836">
      <x:c r="A1836" s="552" t="inlineStr">
        <x:is>
          <x:t xml:space="preserve">2001-000927</x:t>
        </x:is>
      </x:c>
      <x:c r="B1836" s="552" t="n"/>
      <x:c r="C1836" s="552" t="inlineStr">
        <x:is>
          <x:t xml:space="preserve">Mineral Deed</x:t>
        </x:is>
      </x:c>
      <x:c r="D1836" s="552" t="inlineStr">
        <x:is>
          <x:t xml:space="preserve">1636/556</x:t>
        </x:is>
      </x:c>
      <x:c r="E1836" s="653" t="n">
        <x:v>36921</x:v>
      </x:c>
      <x:c r="F1836" s="653" t="n">
        <x:v>36956</x:v>
      </x:c>
      <x:c r="G1836" s="552" t="inlineStr">
        <x:is>
          <x:t xml:space="preserve">Dow C. Bain and Or Edris O. Bain, HW, JTWROS</x:t>
        </x:is>
      </x:c>
      <x:c r="H1836" s="552" t="inlineStr">
        <x:is>
          <x:t xml:space="preserve">Dow C. Bain and Edris O. Bain Trustees, or their Successors in Trust, under The Bain Family Trust</x:t>
        </x:is>
      </x:c>
      <x:c r="I1836" s="552" t="inlineStr">
        <x:is>
          <x:t xml:space="preserve">NW/4 SE/4, S/2 SE/4, SW/4 NE/4 of 31-12N-24W</x:t>
        </x:is>
      </x:c>
      <x:c r="J1836" s="552" t="inlineStr">
        <x:is>
          <x:t xml:space="preserve">ARTI, It is the intent to convey 8.0862 acres.</x:t>
        </x:is>
      </x:c>
      <x:c r="K1836" s="554" t="e">
        <x:f>HYPERLINK("https://okcountyrecords.com/detail/roger+mills/2001-000927","OKCountyRecords: 2001-000927")</x:f>
      </x:c>
      <x:c r="L1836" s="552" t="n">
        <x:v>2</x:v>
      </x:c>
      <x:c r="M1836" s="552" t="inlineStr">
        <x:is>
          <x:t xml:space="preserve">Mineral</x:t>
        </x:is>
      </x:c>
      <x:c r="N1836" s="555" t="str">
        <x:f>IF(O1836&gt;0,8.0862/O1836,"")</x:f>
      </x:c>
      <x:c r="O1836" s="556" t="n">
        <x:f>IF($L1836="","",IF(ISNUMBER(SEARCH("all",$L1836)),640,(ISNUMBER(SEARCH("1",$L1836)))*80+(ISNUMBER(SEARCH("2",$L1836)))*160+(ISNUMBER(SEARCH("3",$L1836)))*40+(ISNUMBER(SEARCH("4",$L1836)))*80+(ISNUMBER(SEARCH("5",$L1836)))*120+(ISNUMBER(SEARCH("6",$L1836)))*80+(ISNUMBER(SEARCH("7",$L1836)))*40+(ISNUMBER(SEARCH("8",$L1836)))*40))</x:f>
        <x:v>0</x:v>
      </x:c>
      <x:c r="P1836" s="654" t="str">
        <x:f>IF($M1836&lt;&gt;"Mineral","",IF(ISNUMBER($N1836),$N1836,IF(OR(ISNUMBER(SEARCH("surface",$J1836)),ISNUMBER(SEARCH("reserv",$J1836)),ISNUMBER(SEARCH("less and except",$J1836))),0,"")))</x:f>
      </x:c>
      <x:c r="Q1836" s="654" t="str">
        <x:f>IF($P1836="","",-$P1836)</x:f>
      </x:c>
      <x:c r="R1836" s="655" t="str">
        <x:f>IF($P1836="","",$O1836*$P1836)</x:f>
      </x:c>
      <x:c r="S1836" s="552" t="str">
        <x:f>IF($M1836="","",TRIM(IF($M1836="Mineral",IF(ISNUMBER($N1836),"Mineral; basis Conv Amt(dec). ",IF($P1836=0,"Mineral; surface-only/reserved-&gt;0 min. ","Mineral; NO AMOUNT-verify instrument. ")),$M1836&amp;" (non-mineral; excluded from mineral NMA). ")&amp;IF(OR(ISNUMBER(SEARCH("public",$G1836)),ISNUMBER(SEARCH("public",$H1836))),"FLAG: The Public placeholder-verify. ","")&amp;IF(ISNUMBER(SEARCH("all",$L1836)),"All-section coverage. ","")&amp;IF($O1836=0,"Gross acres unresolved. ","")&amp;"Gross=tract-map basis."))</x:f>
        <x:v>Mineral; surface-only/reserved-&gt;0 min. Gross acres unresolved. Gross=tract-map basis.</x:v>
      </x:c>
      <x:c r="T1836" s="577" t="n"/>
      <x:c r="U1836" s="578" t="inlineStr">
        <x:is>
          <x:t xml:space="preserve">Conveys 8.0862 acres per notes; conv. dec = 8.0862/gross. Verify denominator/tract from image.</x:t>
        </x:is>
      </x:c>
      <x:c r="V1836" s="565" t="n"/>
      <x:c r="W1836" s="565" t="n"/>
      <x:c r="X1836" s="565" t="n"/>
      <x:c r="Y1836" s="565" t="n"/>
      <x:c r="Z1836" s="565" t="n"/>
    </x:row>
    <x:row r="1837">
      <x:c r="A1837" s="552" t="inlineStr">
        <x:is>
          <x:t xml:space="preserve">2001-000957</x:t>
        </x:is>
      </x:c>
      <x:c r="B1837" s="552" t="n"/>
      <x:c r="C1837" s="552" t="inlineStr">
        <x:is>
          <x:t xml:space="preserve">Mineral Deed</x:t>
        </x:is>
      </x:c>
      <x:c r="D1837" s="552" t="inlineStr">
        <x:is>
          <x:t xml:space="preserve">1637/26</x:t>
        </x:is>
      </x:c>
      <x:c r="E1837" s="653" t="n">
        <x:v>36922</x:v>
      </x:c>
      <x:c r="F1837" s="653" t="n">
        <x:v>36957</x:v>
      </x:c>
      <x:c r="G1837" s="552" t="inlineStr">
        <x:is>
          <x:t xml:space="preserve">Nanalee Faye Barnett</x:t>
        </x:is>
      </x:c>
      <x:c r="H1837" s="552" t="inlineStr">
        <x:is>
          <x:t xml:space="preserve">Arrowhead Resources, Inc.</x:t>
        </x:is>
      </x:c>
      <x:c r="I1837" s="552" t="inlineStr">
        <x:is>
          <x:t xml:space="preserve">E/2 NW/4, N/2 NE/4 SW/4, NE/4 SE/4, SE/4 NE/4 of 31-12N-24W, aol</x:t>
        </x:is>
      </x:c>
      <x:c r="J1837" s="552" t="inlineStr">
        <x:is>
          <x:t xml:space="preserve">ARTI</x:t>
        </x:is>
      </x:c>
      <x:c r="K1837" s="554" t="e">
        <x:f>HYPERLINK("https://okcountyrecords.com/detail/roger+mills/2001-000957","OKCountyRecords: 2001-000957")</x:f>
      </x:c>
      <x:c r="L1837" s="552" t="inlineStr">
        <x:is>
          <x:t xml:space="preserve">1, 3, 4, 7, 8</x:t>
        </x:is>
      </x:c>
      <x:c r="M1837" s="552" t="inlineStr">
        <x:is>
          <x:t xml:space="preserve">Mineral</x:t>
        </x:is>
      </x:c>
      <x:c r="N1837" s="561" t="n">
        <x:v>1</x:v>
      </x:c>
      <x:c r="O1837" s="556" t="n">
        <x:f>IF($L1837="","",IF(ISNUMBER(SEARCH("all",$L1837)),640,(ISNUMBER(SEARCH("1",$L1837)))*80+(ISNUMBER(SEARCH("2",$L1837)))*160+(ISNUMBER(SEARCH("3",$L1837)))*40+(ISNUMBER(SEARCH("4",$L1837)))*80+(ISNUMBER(SEARCH("5",$L1837)))*120+(ISNUMBER(SEARCH("6",$L1837)))*80+(ISNUMBER(SEARCH("7",$L1837)))*40+(ISNUMBER(SEARCH("8",$L1837)))*40))</x:f>
        <x:v>0</x:v>
      </x:c>
      <x:c r="P1837" s="654" t="n">
        <x:f>IF($M1837&lt;&gt;"Mineral","",IF(ISNUMBER($N1837),$N1837,IF(OR(ISNUMBER(SEARCH("surface",$J1837)),ISNUMBER(SEARCH("reserv",$J1837)),ISNUMBER(SEARCH("less and except",$J1837))),0,"")))</x:f>
        <x:v>1</x:v>
      </x:c>
      <x:c r="Q1837" s="654" t="n">
        <x:f>IF($P1837="","",-$P1837)</x:f>
        <x:v>-1</x:v>
      </x:c>
      <x:c r="R1837" s="655" t="n">
        <x:f>IF($P1837="","",$O1837*$P1837)</x:f>
        <x:v>0</x:v>
      </x:c>
      <x:c r="S1837" s="552" t="str">
        <x:f>IF($M1837="","",TRIM(IF($M1837="Mineral",IF(ISNUMBER($N1837),"Mineral; basis Conv Amt(dec). ",IF($P1837=0,"Mineral; surface-only/reserved-&gt;0 min. ","Mineral; NO AMOUNT-verify instrument. ")),$M1837&amp;" (non-mineral; excluded from mineral NMA). ")&amp;IF(OR(ISNUMBER(SEARCH("public",$G1837)),ISNUMBER(SEARCH("public",$H1837))),"FLAG: The Public placeholder-verify. ","")&amp;IF(ISNUMBER(SEARCH("all",$L1837)),"All-section coverage. ","")&amp;IF($O1837=0,"Gross acres unresolved. ","")&amp;"Gross=tract-map basis."))</x:f>
        <x:v>Mineral; basis Conv Amt(dec). Gross acres unresolved. Gross=tract-map basis.</x:v>
      </x:c>
      <x:c r="T1837" s="578" t="n"/>
      <x:c r="U1837" s="578" t="n"/>
      <x:c r="V1837" s="565" t="n"/>
      <x:c r="W1837" s="565" t="n"/>
      <x:c r="X1837" s="565" t="n"/>
      <x:c r="Y1837" s="565" t="n"/>
      <x:c r="Z1837" s="565" t="n"/>
    </x:row>
    <x:row r="1838">
      <x:c r="A1838" s="552" t="inlineStr">
        <x:is>
          <x:t xml:space="preserve">2001-001728</x:t>
        </x:is>
      </x:c>
      <x:c r="B1838" s="552" t="n"/>
      <x:c r="C1838" s="552" t="inlineStr">
        <x:is>
          <x:t xml:space="preserve">Assignment</x:t>
        </x:is>
      </x:c>
      <x:c r="D1838" s="552" t="inlineStr">
        <x:is>
          <x:t xml:space="preserve">1641/27</x:t>
        </x:is>
      </x:c>
      <x:c r="E1838" s="653" t="n">
        <x:v>36924</x:v>
      </x:c>
      <x:c r="F1838" s="653" t="n">
        <x:v>37005</x:v>
      </x:c>
      <x:c r="G1838" s="552" t="inlineStr">
        <x:is>
          <x:t xml:space="preserve">R. Michael Lortz</x:t>
        </x:is>
      </x:c>
      <x:c r="H1838" s="552" t="inlineStr">
        <x:is>
          <x:t xml:space="preserve">Chesapeake Exploration Ltd. Ptn.</x:t>
        </x:is>
      </x:c>
      <x:c r="I1838" s="552" t="inlineStr">
        <x:is>
          <x:t xml:space="preserve">SE/4 SE/4, SW/4 NE/4, W/2 SE/4 of 31-12N-24W</x:t>
        </x:is>
      </x:c>
      <x:c r="J1838" s="552" t="inlineStr">
        <x:is>
          <x:t xml:space="preserve">all of Assignor's right, title, interest, and estate in and to the following oil and gas lease (hereinafter referred to as "said leases").:
Oil and Gas Lease dated January 15, 2001, from Hans W.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Wilda E. Jensen, a widow,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Dow C. Bain and Edris O. Bain, as Lessor, to R. Michael Lortz, as Lessee, covering the Southwest Quarter of the Northeast Quarter and the West Half of the Southeast Quarter and the Southeast Quarter of the Southeast Quarter of Section 31, Township 12 North, Range 24 West, Roger Mills County, Oklahoma,</x:t>
        </x:is>
      </x:c>
      <x:c r="K1838" s="554" t="e">
        <x:f>HYPERLINK("https://okcountyrecords.com/detail/roger+mills/2001-001728","OKCountyRecords: 2001-001728")</x:f>
      </x:c>
      <x:c r="L1838" s="552" t="n">
        <x:v>2</x:v>
      </x:c>
      <x:c r="M1838" s="552" t="inlineStr">
        <x:is>
          <x:t xml:space="preserve">Leasehold</x:t>
        </x:is>
      </x:c>
      <x:c r="N1838" s="555" t="n"/>
      <x:c r="O1838" s="556" t="n">
        <x:f>IF($L1838="","",IF(ISNUMBER(SEARCH("all",$L1838)),640,(ISNUMBER(SEARCH("1",$L1838)))*80+(ISNUMBER(SEARCH("2",$L1838)))*160+(ISNUMBER(SEARCH("3",$L1838)))*40+(ISNUMBER(SEARCH("4",$L1838)))*80+(ISNUMBER(SEARCH("5",$L1838)))*120+(ISNUMBER(SEARCH("6",$L1838)))*80+(ISNUMBER(SEARCH("7",$L1838)))*40+(ISNUMBER(SEARCH("8",$L1838)))*40))</x:f>
        <x:v>0</x:v>
      </x:c>
      <x:c r="P1838" s="654" t="str">
        <x:f>IF($M1838&lt;&gt;"Mineral","",IF(ISNUMBER($N1838),$N1838,IF(OR(ISNUMBER(SEARCH("surface",$J1838)),ISNUMBER(SEARCH("reserv",$J1838)),ISNUMBER(SEARCH("less and except",$J1838))),0,"")))</x:f>
      </x:c>
      <x:c r="Q1838" s="654" t="str">
        <x:f>IF($P1838="","",-$P1838)</x:f>
      </x:c>
      <x:c r="R1838" s="655" t="str">
        <x:f>IF($P1838="","",$O1838*$P1838)</x:f>
      </x:c>
      <x:c r="S1838" s="552" t="str">
        <x:f>IF($M1838="","",TRIM(IF($M1838="Mineral",IF(ISNUMBER($N1838),"Mineral; basis Conv Amt(dec). ",IF($P1838=0,"Mineral; surface-only/reserved-&gt;0 min. ","Mineral; NO AMOUNT-verify instrument. ")),$M1838&amp;" (non-mineral; excluded from mineral NMA). ")&amp;IF(OR(ISNUMBER(SEARCH("public",$G1838)),ISNUMBER(SEARCH("public",$H1838))),"FLAG: The Public placeholder-verify. ","")&amp;IF(ISNUMBER(SEARCH("all",$L1838)),"All-section coverage. ","")&amp;IF($O1838=0,"Gross acres unresolved. ","")&amp;"Gross=tract-map basis."))</x:f>
        <x:v>Leasehold (non-mineral; excluded from mineral NMA). Gross acres unresolved. Gross=tract-map basis.</x:v>
      </x:c>
      <x:c r="T1838" s="577" t="n"/>
      <x:c r="U1838" s="578" t="n"/>
      <x:c r="V1838" s="565" t="n"/>
      <x:c r="W1838" s="565" t="n"/>
      <x:c r="X1838" s="565" t="n"/>
      <x:c r="Y1838" s="565" t="n"/>
      <x:c r="Z1838" s="565" t="n"/>
    </x:row>
    <x:row r="1839">
      <x:c r="A1839" s="552" t="inlineStr">
        <x:is>
          <x:t xml:space="preserve">2001-001729</x:t>
        </x:is>
      </x:c>
      <x:c r="B1839" s="552" t="n"/>
      <x:c r="C1839" s="552" t="inlineStr">
        <x:is>
          <x:t xml:space="preserve">Assignment</x:t>
        </x:is>
      </x:c>
      <x:c r="D1839" s="552" t="inlineStr">
        <x:is>
          <x:t xml:space="preserve">1641/28</x:t>
        </x:is>
      </x:c>
      <x:c r="E1839" s="653" t="n">
        <x:v>36941</x:v>
      </x:c>
      <x:c r="F1839" s="653" t="n">
        <x:v>37005</x:v>
      </x:c>
      <x:c r="G1839" s="552" t="inlineStr">
        <x:is>
          <x:t xml:space="preserve">R. Michael Lortz</x:t>
        </x:is>
      </x:c>
      <x:c r="H1839" s="552" t="inlineStr">
        <x:is>
          <x:t xml:space="preserve">Chesapeake Exploration Ltd. Ptn.</x:t>
        </x:is>
      </x:c>
      <x:c r="I1839" s="552" t="inlineStr">
        <x:is>
          <x:t xml:space="preserve">SE/4 SE/4, SW/4 NE/4, W/2 SE/4 of 31-12N-24W</x:t>
        </x:is>
      </x:c>
      <x:c r="J1839" s="552" t="inlineStr">
        <x:is>
          <x:t xml:space="preserve">all of Assignor's following oil and gas leases (hereinafter referred to as "said leases"):
Oil and Gas Lease dated January 15, 2001, from Billy W. Bain aka Billy Wayne Bain, as Lessor,
West
to R.
 half
Michael Lortz, as Lessee, covering the Southwest Quarter of the Northeast Quarter and the of the Southeast Quarter and the Southeast Quarter of the Southeast Quarter of Section 31, Township 12 North, Range 24 West, Roger Mills County, Oklahoma,
Oil
Hamilton
 and Gas Lease dated January 15, 2001, from Billy Wayne Bain, Trustee for Hazel A. under Trust Agreement dated January 29, 1983, as Lessor, to R. Michael Lortz, as
Southeast
Lessee, covering the Southwest Quarter of the Northeast Quarter and the West half of the
12 North,
 Quarter and the Southeast Quarter of the Southeast Quarter of Section 31, Township Range 24 West, Roger Mills County, Oklahoma,</x:t>
        </x:is>
      </x:c>
      <x:c r="K1839" s="554" t="e">
        <x:f>HYPERLINK("https://okcountyrecords.com/detail/roger+mills/2001-001729","OKCountyRecords: 2001-001729")</x:f>
      </x:c>
      <x:c r="L1839" s="552" t="n">
        <x:v>2</x:v>
      </x:c>
      <x:c r="M1839" s="552" t="inlineStr">
        <x:is>
          <x:t xml:space="preserve">Leasehold</x:t>
        </x:is>
      </x:c>
      <x:c r="N1839" s="555" t="n"/>
      <x:c r="O1839" s="556" t="n">
        <x:f>IF($L1839="","",IF(ISNUMBER(SEARCH("all",$L1839)),640,(ISNUMBER(SEARCH("1",$L1839)))*80+(ISNUMBER(SEARCH("2",$L1839)))*160+(ISNUMBER(SEARCH("3",$L1839)))*40+(ISNUMBER(SEARCH("4",$L1839)))*80+(ISNUMBER(SEARCH("5",$L1839)))*120+(ISNUMBER(SEARCH("6",$L1839)))*80+(ISNUMBER(SEARCH("7",$L1839)))*40+(ISNUMBER(SEARCH("8",$L1839)))*40))</x:f>
        <x:v>0</x:v>
      </x:c>
      <x:c r="P1839" s="654" t="str">
        <x:f>IF($M1839&lt;&gt;"Mineral","",IF(ISNUMBER($N1839),$N1839,IF(OR(ISNUMBER(SEARCH("surface",$J1839)),ISNUMBER(SEARCH("reserv",$J1839)),ISNUMBER(SEARCH("less and except",$J1839))),0,"")))</x:f>
      </x:c>
      <x:c r="Q1839" s="654" t="str">
        <x:f>IF($P1839="","",-$P1839)</x:f>
      </x:c>
      <x:c r="R1839" s="655" t="str">
        <x:f>IF($P1839="","",$O1839*$P1839)</x:f>
      </x:c>
      <x:c r="S1839" s="552" t="str">
        <x:f>IF($M1839="","",TRIM(IF($M1839="Mineral",IF(ISNUMBER($N1839),"Mineral; basis Conv Amt(dec). ",IF($P1839=0,"Mineral; surface-only/reserved-&gt;0 min. ","Mineral; NO AMOUNT-verify instrument. ")),$M1839&amp;" (non-mineral; excluded from mineral NMA). ")&amp;IF(OR(ISNUMBER(SEARCH("public",$G1839)),ISNUMBER(SEARCH("public",$H1839))),"FLAG: The Public placeholder-verify. ","")&amp;IF(ISNUMBER(SEARCH("all",$L1839)),"All-section coverage. ","")&amp;IF($O1839=0,"Gross acres unresolved. ","")&amp;"Gross=tract-map basis."))</x:f>
        <x:v>Leasehold (non-mineral; excluded from mineral NMA). Gross acres unresolved. Gross=tract-map basis.</x:v>
      </x:c>
      <x:c r="T1839" s="577" t="n"/>
      <x:c r="U1839" s="578" t="n"/>
      <x:c r="V1839" s="565" t="n"/>
      <x:c r="W1839" s="565" t="n"/>
      <x:c r="X1839" s="565" t="n"/>
      <x:c r="Y1839" s="565" t="n"/>
      <x:c r="Z1839" s="565" t="n"/>
    </x:row>
    <x:row r="1840">
      <x:c r="A1840" s="552" t="inlineStr">
        <x:is>
          <x:t xml:space="preserve">2001-001730</x:t>
        </x:is>
      </x:c>
      <x:c r="B1840" s="552" t="n"/>
      <x:c r="C1840" s="552" t="inlineStr">
        <x:is>
          <x:t xml:space="preserve">Assignment</x:t>
        </x:is>
      </x:c>
      <x:c r="D1840" s="552" t="inlineStr">
        <x:is>
          <x:t xml:space="preserve">1641/29</x:t>
        </x:is>
      </x:c>
      <x:c r="E1840" s="653" t="n">
        <x:v>36945</x:v>
      </x:c>
      <x:c r="F1840" s="653" t="n">
        <x:v>37005</x:v>
      </x:c>
      <x:c r="G1840" s="552" t="inlineStr">
        <x:is>
          <x:t xml:space="preserve">R. Michael Lortz</x:t>
        </x:is>
      </x:c>
      <x:c r="H1840" s="552" t="inlineStr">
        <x:is>
          <x:t xml:space="preserve">Chesapeake Exploration Ltd. Ptn.</x:t>
        </x:is>
      </x:c>
      <x:c r="I1840" s="552" t="inlineStr">
        <x:is>
          <x:t xml:space="preserve">SE/4 SE/4, SW/4 NE/4, W/2 SE/4 of 31-12N-24W</x:t>
        </x:is>
      </x:c>
      <x:c r="J1840" s="552" t="inlineStr">
        <x:is>
          <x:t xml:space="preserve">all of Assignor's
right, title, interest, and estate in and to the following oil and gas leases (hereinafter referred to as "said leases"):
Oil and Gas Lease dated January 15, 2001, from Tim E.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29, 2001, from Audy C. Campbell aka A.C. Campbell and
Janice Campbell aka Janis Campbell, husband and wife, as Lessor, to R. Michael Lortz, as
Lessee, covering Lot 4 and the South Half of Lot 3 and the South Half of the Northeast Quarter
of the Southwest Quarter and the Southeast Quarter of the Southwest Quarter of Section 31,
Township 12 North, Range 24 West, Roger Mills County, Oklahoma,</x:t>
        </x:is>
      </x:c>
      <x:c r="K1840" s="554" t="e">
        <x:f>HYPERLINK("https://okcountyrecords.com/detail/roger+mills/2001-001730","OKCountyRecords: 2001-001730")</x:f>
      </x:c>
      <x:c r="L1840" s="552" t="n">
        <x:v>2</x:v>
      </x:c>
      <x:c r="M1840" s="552" t="inlineStr">
        <x:is>
          <x:t xml:space="preserve">Leasehold</x:t>
        </x:is>
      </x:c>
      <x:c r="N1840" s="555" t="n"/>
      <x:c r="O1840" s="556" t="n">
        <x:f>IF($L1840="","",IF(ISNUMBER(SEARCH("all",$L1840)),640,(ISNUMBER(SEARCH("1",$L1840)))*80+(ISNUMBER(SEARCH("2",$L1840)))*160+(ISNUMBER(SEARCH("3",$L1840)))*40+(ISNUMBER(SEARCH("4",$L1840)))*80+(ISNUMBER(SEARCH("5",$L1840)))*120+(ISNUMBER(SEARCH("6",$L1840)))*80+(ISNUMBER(SEARCH("7",$L1840)))*40+(ISNUMBER(SEARCH("8",$L1840)))*40))</x:f>
        <x:v>0</x:v>
      </x:c>
      <x:c r="P1840" s="654" t="str">
        <x:f>IF($M1840&lt;&gt;"Mineral","",IF(ISNUMBER($N1840),$N1840,IF(OR(ISNUMBER(SEARCH("surface",$J1840)),ISNUMBER(SEARCH("reserv",$J1840)),ISNUMBER(SEARCH("less and except",$J1840))),0,"")))</x:f>
      </x:c>
      <x:c r="Q1840" s="654" t="str">
        <x:f>IF($P1840="","",-$P1840)</x:f>
      </x:c>
      <x:c r="R1840" s="655" t="str">
        <x:f>IF($P1840="","",$O1840*$P1840)</x:f>
      </x:c>
      <x:c r="S1840" s="552" t="str">
        <x:f>IF($M1840="","",TRIM(IF($M1840="Mineral",IF(ISNUMBER($N1840),"Mineral; basis Conv Amt(dec). ",IF($P1840=0,"Mineral; surface-only/reserved-&gt;0 min. ","Mineral; NO AMOUNT-verify instrument. ")),$M1840&amp;" (non-mineral; excluded from mineral NMA). ")&amp;IF(OR(ISNUMBER(SEARCH("public",$G1840)),ISNUMBER(SEARCH("public",$H1840))),"FLAG: The Public placeholder-verify. ","")&amp;IF(ISNUMBER(SEARCH("all",$L1840)),"All-section coverage. ","")&amp;IF($O1840=0,"Gross acres unresolved. ","")&amp;"Gross=tract-map basis."))</x:f>
        <x:v>Leasehold (non-mineral; excluded from mineral NMA). Gross acres unresolved. Gross=tract-map basis.</x:v>
      </x:c>
      <x:c r="T1840" s="577" t="n"/>
      <x:c r="U1840" s="578" t="n"/>
      <x:c r="V1840" s="565" t="n"/>
      <x:c r="W1840" s="565" t="n"/>
      <x:c r="X1840" s="565" t="n"/>
      <x:c r="Y1840" s="565" t="n"/>
      <x:c r="Z1840" s="565" t="n"/>
    </x:row>
    <x:row r="1841">
      <x:c r="A1841" s="552" t="inlineStr">
        <x:is>
          <x:t xml:space="preserve">2001-001732</x:t>
        </x:is>
      </x:c>
      <x:c r="B1841" s="552" t="n"/>
      <x:c r="C1841" s="552" t="inlineStr">
        <x:is>
          <x:t xml:space="preserve">Assignment</x:t>
        </x:is>
      </x:c>
      <x:c r="D1841" s="552" t="inlineStr">
        <x:is>
          <x:t xml:space="preserve">1641/31</x:t>
        </x:is>
      </x:c>
      <x:c r="E1841" s="653" t="n">
        <x:v>36948</x:v>
      </x:c>
      <x:c r="F1841" s="653" t="n">
        <x:v>37005</x:v>
      </x:c>
      <x:c r="G1841" s="552" t="inlineStr">
        <x:is>
          <x:t xml:space="preserve">R. Michael Lortz</x:t>
        </x:is>
      </x:c>
      <x:c r="H1841" s="552" t="inlineStr">
        <x:is>
          <x:t xml:space="preserve">Chesapeake Exploration Ltd. Ptn.</x:t>
        </x:is>
      </x:c>
      <x:c r="I1841" s="552" t="inlineStr">
        <x:is>
          <x:t xml:space="preserve">E/2 NW/4, N/2 NE/4 SW/4, NE/4 SE/4, SE/4 NE/4 of 31-12N-24W</x:t>
        </x:is>
      </x:c>
      <x:c r="J1841" s="552" t="inlineStr">
        <x:is>
          <x:t xml:space="preserve">all of Assignor's right, title, interest, and estate in and to the following oil and gas lease (hereinafter referred to as "said lease").:
Oil and Gas Lease dated January 25, 2001, from L. E. Thurmond, as Lessor, to R. Michael Lortz, as Lessee, covering the East Half of the Northwest Quarter and the North Half of the Northeast Quarter of the Southwest Quarter and the Southeast Quarter of the Northeast Quarter and the Northeast Quarter of the Southeast Quarter of Section 31, Township 12 North, Range 24 West, Roger Mills County, Oklahoma</x:t>
        </x:is>
      </x:c>
      <x:c r="K1841" s="554" t="e">
        <x:f>HYPERLINK("https://okcountyrecords.com/detail/roger+mills/2001-001732","OKCountyRecords: 2001-001732")</x:f>
      </x:c>
      <x:c r="L1841" s="552" t="inlineStr">
        <x:is>
          <x:t xml:space="preserve">1, 3, 4, 7, 8</x:t>
        </x:is>
      </x:c>
      <x:c r="M1841" s="552" t="inlineStr">
        <x:is>
          <x:t xml:space="preserve">Leasehold</x:t>
        </x:is>
      </x:c>
      <x:c r="N1841" s="561" t="n"/>
      <x:c r="O1841" s="556" t="n">
        <x:f>IF($L1841="","",IF(ISNUMBER(SEARCH("all",$L1841)),640,(ISNUMBER(SEARCH("1",$L1841)))*80+(ISNUMBER(SEARCH("2",$L1841)))*160+(ISNUMBER(SEARCH("3",$L1841)))*40+(ISNUMBER(SEARCH("4",$L1841)))*80+(ISNUMBER(SEARCH("5",$L1841)))*120+(ISNUMBER(SEARCH("6",$L1841)))*80+(ISNUMBER(SEARCH("7",$L1841)))*40+(ISNUMBER(SEARCH("8",$L1841)))*40))</x:f>
        <x:v>0</x:v>
      </x:c>
      <x:c r="P1841" s="654" t="str">
        <x:f>IF($M1841&lt;&gt;"Mineral","",IF(ISNUMBER($N1841),$N1841,IF(OR(ISNUMBER(SEARCH("surface",$J1841)),ISNUMBER(SEARCH("reserv",$J1841)),ISNUMBER(SEARCH("less and except",$J1841))),0,"")))</x:f>
      </x:c>
      <x:c r="Q1841" s="654" t="str">
        <x:f>IF($P1841="","",-$P1841)</x:f>
      </x:c>
      <x:c r="R1841" s="655" t="str">
        <x:f>IF($P1841="","",$O1841*$P1841)</x:f>
      </x:c>
      <x:c r="S1841" s="552" t="str">
        <x:f>IF($M1841="","",TRIM(IF($M1841="Mineral",IF(ISNUMBER($N1841),"Mineral; basis Conv Amt(dec). ",IF($P1841=0,"Mineral; surface-only/reserved-&gt;0 min. ","Mineral; NO AMOUNT-verify instrument. ")),$M1841&amp;" (non-mineral; excluded from mineral NMA). ")&amp;IF(OR(ISNUMBER(SEARCH("public",$G1841)),ISNUMBER(SEARCH("public",$H1841))),"FLAG: The Public placeholder-verify. ","")&amp;IF(ISNUMBER(SEARCH("all",$L1841)),"All-section coverage. ","")&amp;IF($O1841=0,"Gross acres unresolved. ","")&amp;"Gross=tract-map basis."))</x:f>
        <x:v>Leasehold (non-mineral; excluded from mineral NMA). Gross acres unresolved. Gross=tract-map basis.</x:v>
      </x:c>
      <x:c r="T1841" s="577" t="n"/>
      <x:c r="U1841" s="578" t="n"/>
      <x:c r="V1841" s="565" t="n"/>
      <x:c r="W1841" s="565" t="n"/>
      <x:c r="X1841" s="565" t="n"/>
      <x:c r="Y1841" s="565" t="n"/>
      <x:c r="Z1841" s="565" t="n"/>
    </x:row>
    <x:row r="1842">
      <x:c r="A1842" s="552" t="inlineStr">
        <x:is>
          <x:t xml:space="preserve">2001-001731</x:t>
        </x:is>
      </x:c>
      <x:c r="B1842" s="552" t="n"/>
      <x:c r="C1842" s="552" t="inlineStr">
        <x:is>
          <x:t xml:space="preserve">Assignment</x:t>
        </x:is>
      </x:c>
      <x:c r="D1842" s="552" t="inlineStr">
        <x:is>
          <x:t xml:space="preserve">1641/30</x:t>
        </x:is>
      </x:c>
      <x:c r="E1842" s="653" t="n">
        <x:v>36948</x:v>
      </x:c>
      <x:c r="F1842" s="653" t="n">
        <x:v>37005</x:v>
      </x:c>
      <x:c r="G1842" s="552" t="inlineStr">
        <x:is>
          <x:t xml:space="preserve">R. Michael Lortz</x:t>
        </x:is>
      </x:c>
      <x:c r="H1842" s="552" t="inlineStr">
        <x:is>
          <x:t xml:space="preserve">Chesapeake Exploration Ltd. Ptn.</x:t>
        </x:is>
      </x:c>
      <x:c r="I1842" s="552" t="inlineStr">
        <x:is>
          <x:t xml:space="preserve">E/2 NW/4, N/2 NE/4 SW/4, NE/4 NE/4 SE/4, SE/4 NE/4 of 31-12N-24W</x:t>
        </x:is>
      </x:c>
      <x:c r="J1842" s="552" t="inlineStr">
        <x:is>
          <x:t xml:space="preserve">ARTI</x:t>
        </x:is>
      </x:c>
      <x:c r="K1842" s="554" t="e">
        <x:f>HYPERLINK("https://okcountyrecords.com/detail/roger+mills/2001-001731","OKCountyRecords: 2001-001731")</x:f>
      </x:c>
      <x:c r="L1842" s="552" t="inlineStr">
        <x:is>
          <x:t xml:space="preserve">1, 2, 3, 4, 7, 8</x:t>
        </x:is>
      </x:c>
      <x:c r="M1842" s="552" t="inlineStr">
        <x:is>
          <x:t xml:space="preserve">Leasehold</x:t>
        </x:is>
      </x:c>
      <x:c r="N1842" s="561" t="n"/>
      <x:c r="O1842" s="556" t="n">
        <x:f>IF($L1842="","",IF(ISNUMBER(SEARCH("all",$L1842)),640,(ISNUMBER(SEARCH("1",$L1842)))*80+(ISNUMBER(SEARCH("2",$L1842)))*160+(ISNUMBER(SEARCH("3",$L1842)))*40+(ISNUMBER(SEARCH("4",$L1842)))*80+(ISNUMBER(SEARCH("5",$L1842)))*120+(ISNUMBER(SEARCH("6",$L1842)))*80+(ISNUMBER(SEARCH("7",$L1842)))*40+(ISNUMBER(SEARCH("8",$L1842)))*40))</x:f>
        <x:v>0</x:v>
      </x:c>
      <x:c r="P1842" s="654" t="str">
        <x:f>IF($M1842&lt;&gt;"Mineral","",IF(ISNUMBER($N1842),$N1842,IF(OR(ISNUMBER(SEARCH("surface",$J1842)),ISNUMBER(SEARCH("reserv",$J1842)),ISNUMBER(SEARCH("less and except",$J1842))),0,"")))</x:f>
      </x:c>
      <x:c r="Q1842" s="654" t="str">
        <x:f>IF($P1842="","",-$P1842)</x:f>
      </x:c>
      <x:c r="R1842" s="655" t="str">
        <x:f>IF($P1842="","",$O1842*$P1842)</x:f>
      </x:c>
      <x:c r="S1842" s="552" t="str">
        <x:f>IF($M1842="","",TRIM(IF($M1842="Mineral",IF(ISNUMBER($N1842),"Mineral; basis Conv Amt(dec). ",IF($P1842=0,"Mineral; surface-only/reserved-&gt;0 min. ","Mineral; NO AMOUNT-verify instrument. ")),$M1842&amp;" (non-mineral; excluded from mineral NMA). ")&amp;IF(OR(ISNUMBER(SEARCH("public",$G1842)),ISNUMBER(SEARCH("public",$H1842))),"FLAG: The Public placeholder-verify. ","")&amp;IF(ISNUMBER(SEARCH("all",$L1842)),"All-section coverage. ","")&amp;IF($O1842=0,"Gross acres unresolved. ","")&amp;"Gross=tract-map basis."))</x:f>
        <x:v>Leasehold (non-mineral; excluded from mineral NMA). Gross acres unresolved. Gross=tract-map basis.</x:v>
      </x:c>
      <x:c r="T1842" s="577" t="n"/>
      <x:c r="U1842" s="578" t="n"/>
      <x:c r="V1842" s="565" t="n"/>
      <x:c r="W1842" s="565" t="n"/>
      <x:c r="X1842" s="565" t="n"/>
      <x:c r="Y1842" s="565" t="n"/>
      <x:c r="Z1842" s="565" t="n"/>
    </x:row>
    <x:row r="1843">
      <x:c r="A1843" s="552" t="inlineStr">
        <x:is>
          <x:t xml:space="preserve">2001-001091</x:t>
        </x:is>
      </x:c>
      <x:c r="B1843" s="552" t="n"/>
      <x:c r="C1843" s="552" t="inlineStr">
        <x:is>
          <x:t xml:space="preserve">Affidavit</x:t>
        </x:is>
      </x:c>
      <x:c r="D1843" s="552" t="inlineStr">
        <x:is>
          <x:t xml:space="preserve">1637/471</x:t>
        </x:is>
      </x:c>
      <x:c r="E1843" s="653" t="n">
        <x:v>36949</x:v>
      </x:c>
      <x:c r="F1843" s="653" t="n">
        <x:v>36969</x:v>
      </x:c>
      <x:c r="G1843" s="552" t="inlineStr">
        <x:is>
          <x:t xml:space="preserve">Thomas B. Goodwin</x:t>
        </x:is>
      </x:c>
      <x:c r="H1843" s="552" t="inlineStr">
        <x:is>
          <x:t xml:space="preserve">The Public</x:t>
        </x:is>
      </x:c>
      <x:c r="I1843" s="552" t="inlineStr">
        <x:is>
          <x:t xml:space="preserve">NW/4 NE/4 of 31-12N-24W, aol</x:t>
        </x:is>
      </x:c>
      <x:c r="J1843" s="552" t="inlineStr">
        <x:is>
          <x:t xml:space="preserve">Affidavit and Certificate of Trust, which is in the possession of Laurence L. Crouse, Trustee of the Crouse Family Trust dated October 8, 1999.</x:t>
        </x:is>
      </x:c>
      <x:c r="K1843" s="554" t="e">
        <x:f>HYPERLINK("https://okcountyrecords.com/detail/roger+mills/2001-001091","OKCountyRecords: 2001-001091")</x:f>
      </x:c>
      <x:c r="L1843" s="552" t="n">
        <x:v>1</x:v>
      </x:c>
      <x:c r="M1843" s="552" t="inlineStr">
        <x:is>
          <x:t xml:space="preserve">Other</x:t>
        </x:is>
      </x:c>
      <x:c r="N1843" s="555" t="n"/>
      <x:c r="O1843" s="556" t="n">
        <x:f>IF($L1843="","",IF(ISNUMBER(SEARCH("all",$L1843)),640,(ISNUMBER(SEARCH("1",$L1843)))*80+(ISNUMBER(SEARCH("2",$L1843)))*160+(ISNUMBER(SEARCH("3",$L1843)))*40+(ISNUMBER(SEARCH("4",$L1843)))*80+(ISNUMBER(SEARCH("5",$L1843)))*120+(ISNUMBER(SEARCH("6",$L1843)))*80+(ISNUMBER(SEARCH("7",$L1843)))*40+(ISNUMBER(SEARCH("8",$L1843)))*40))</x:f>
        <x:v>0</x:v>
      </x:c>
      <x:c r="P1843" s="654" t="str">
        <x:f>IF($M1843&lt;&gt;"Mineral","",IF(ISNUMBER($N1843),$N1843,IF(OR(ISNUMBER(SEARCH("surface",$J1843)),ISNUMBER(SEARCH("reserv",$J1843)),ISNUMBER(SEARCH("less and except",$J1843))),0,"")))</x:f>
      </x:c>
      <x:c r="Q1843" s="654" t="str">
        <x:f>IF($P1843="","",-$P1843)</x:f>
      </x:c>
      <x:c r="R1843" s="655" t="str">
        <x:f>IF($P1843="","",$O1843*$P1843)</x:f>
      </x:c>
      <x:c r="S1843" s="552" t="inlineStr">
        <x:is>
          <x:t xml:space="preserve">Other (non-mineral; excluded from mineral NMA). Gross=tract-map basis.</x:t>
        </x:is>
      </x:c>
      <x:c r="T1843" s="577" t="inlineStr">
        <x:is>
          <x:t xml:space="preserve">OK</x:t>
        </x:is>
      </x:c>
      <x:c r="U1843" s="578" t="inlineStr">
        <x:is>
          <x:t xml:space="preserve">Non-conveying — notice/affidavit/address change (The Public).</x:t>
        </x:is>
      </x:c>
      <x:c r="V1843" s="565" t="n"/>
      <x:c r="W1843" s="565" t="n"/>
      <x:c r="X1843" s="565" t="n"/>
      <x:c r="Y1843" s="565" t="n"/>
      <x:c r="Z1843" s="565" t="n"/>
    </x:row>
    <x:row r="1844">
      <x:c r="A1844" s="552" t="inlineStr">
        <x:is>
          <x:t xml:space="preserve">2001-002016</x:t>
        </x:is>
      </x:c>
      <x:c r="B1844" s="552" t="n"/>
      <x:c r="C1844" s="552" t="inlineStr">
        <x:is>
          <x:t xml:space="preserve">Oil and Gas Lease</x:t>
        </x:is>
      </x:c>
      <x:c r="D1844" s="552" t="inlineStr">
        <x:is>
          <x:t xml:space="preserve">1642/102</x:t>
        </x:is>
      </x:c>
      <x:c r="E1844" s="653" t="n">
        <x:v>36951</x:v>
      </x:c>
      <x:c r="F1844" s="653" t="n">
        <x:v>37019</x:v>
      </x:c>
      <x:c r="G1844" s="552" t="inlineStr">
        <x:is>
          <x:t xml:space="preserve">Michael L. Bain</x:t>
        </x:is>
      </x:c>
      <x:c r="H1844" s="552" t="inlineStr">
        <x:is>
          <x:t xml:space="preserve">R. Michael Lortz</x:t>
        </x:is>
      </x:c>
      <x:c r="I1844" s="552" t="inlineStr">
        <x:is>
          <x:t xml:space="preserve">SE/4 SE/4, SW/4 NE/4, W/2 SE/4 of 31-12N-24W</x:t>
        </x:is>
      </x:c>
      <x:c r="J1844" s="552" t="inlineStr">
        <x:is>
          <x:t xml:space="preserve">160 gross acres 
3 years
3/16ths royalty</x:t>
        </x:is>
      </x:c>
      <x:c r="K1844" s="554" t="e">
        <x:f>HYPERLINK("https://okcountyrecords.com/detail/roger+mills/2001-002016","OKCountyRecords: 2001-002016")</x:f>
      </x:c>
      <x:c r="L1844" s="552" t="n">
        <x:v>2</x:v>
      </x:c>
      <x:c r="M1844" s="552" t="inlineStr">
        <x:is>
          <x:t xml:space="preserve">Leasehold</x:t>
        </x:is>
      </x:c>
      <x:c r="N1844" s="555" t="n"/>
      <x:c r="O1844" s="556" t="n">
        <x:f>IF($L1844="","",IF(ISNUMBER(SEARCH("all",$L1844)),640,(ISNUMBER(SEARCH("1",$L1844)))*80+(ISNUMBER(SEARCH("2",$L1844)))*160+(ISNUMBER(SEARCH("3",$L1844)))*40+(ISNUMBER(SEARCH("4",$L1844)))*80+(ISNUMBER(SEARCH("5",$L1844)))*120+(ISNUMBER(SEARCH("6",$L1844)))*80+(ISNUMBER(SEARCH("7",$L1844)))*40+(ISNUMBER(SEARCH("8",$L1844)))*40))</x:f>
        <x:v>0</x:v>
      </x:c>
      <x:c r="P1844" s="654" t="str">
        <x:f>IF($M1844&lt;&gt;"Mineral","",IF(ISNUMBER($N1844),$N1844,IF(OR(ISNUMBER(SEARCH("surface",$J1844)),ISNUMBER(SEARCH("reserv",$J1844)),ISNUMBER(SEARCH("less and except",$J1844))),0,"")))</x:f>
      </x:c>
      <x:c r="Q1844" s="654" t="str">
        <x:f>IF($P1844="","",-$P1844)</x:f>
      </x:c>
      <x:c r="R1844" s="655" t="str">
        <x:f>IF($P1844="","",$O1844*$P1844)</x:f>
      </x:c>
      <x:c r="S1844" s="552" t="str">
        <x:f>IF($M1844="","",TRIM(IF($M1844="Mineral",IF(ISNUMBER($N1844),"Mineral; basis Conv Amt(dec). ",IF($P1844=0,"Mineral; surface-only/reserved-&gt;0 min. ","Mineral; NO AMOUNT-verify instrument. ")),$M1844&amp;" (non-mineral; excluded from mineral NMA). ")&amp;IF(OR(ISNUMBER(SEARCH("public",$G1844)),ISNUMBER(SEARCH("public",$H1844))),"FLAG: The Public placeholder-verify. ","")&amp;IF(ISNUMBER(SEARCH("all",$L1844)),"All-section coverage. ","")&amp;IF($O1844=0,"Gross acres unresolved. ","")&amp;"Gross=tract-map basis."))</x:f>
        <x:v>Leasehold (non-mineral; excluded from mineral NMA). Gross acres unresolved. Gross=tract-map basis.</x:v>
      </x:c>
      <x:c r="T1844" s="577" t="n"/>
      <x:c r="U1844" s="578" t="n"/>
      <x:c r="V1844" s="565" t="n"/>
      <x:c r="W1844" s="565" t="n"/>
      <x:c r="X1844" s="565" t="n"/>
      <x:c r="Y1844" s="565" t="n"/>
      <x:c r="Z1844" s="565" t="n"/>
    </x:row>
    <x:row r="1845">
      <x:c r="A1845" s="552" t="inlineStr">
        <x:is>
          <x:t xml:space="preserve">2001-002015</x:t>
        </x:is>
      </x:c>
      <x:c r="B1845" s="552" t="n"/>
      <x:c r="C1845" s="552" t="inlineStr">
        <x:is>
          <x:t xml:space="preserve">Oil and Gas Lease</x:t>
        </x:is>
      </x:c>
      <x:c r="D1845" s="552" t="inlineStr">
        <x:is>
          <x:t xml:space="preserve">1642/99</x:t>
        </x:is>
      </x:c>
      <x:c r="E1845" s="653" t="n">
        <x:v>36951</x:v>
      </x:c>
      <x:c r="F1845" s="653" t="n">
        <x:v>37019</x:v>
      </x:c>
      <x:c r="G1845" s="552" t="inlineStr">
        <x:is>
          <x:t xml:space="preserve">Paul Milton Bain</x:t>
        </x:is>
      </x:c>
      <x:c r="H1845" s="552" t="inlineStr">
        <x:is>
          <x:t xml:space="preserve">R. Michael Lortz</x:t>
        </x:is>
      </x:c>
      <x:c r="I1845" s="552" t="inlineStr">
        <x:is>
          <x:t xml:space="preserve">SE/4 SE/4, SW/4 NE/4, W/2 SE/4 of 31-12N-24W</x:t>
        </x:is>
      </x:c>
      <x:c r="J1845" s="552" t="inlineStr">
        <x:is>
          <x:t xml:space="preserve">160 gross acres 
3 years
3/16ths royalty</x:t>
        </x:is>
      </x:c>
      <x:c r="K1845" s="554" t="e">
        <x:f>HYPERLINK("https://okcountyrecords.com/detail/roger+mills/2001-002015","OKCountyRecords: 2001-002015")</x:f>
      </x:c>
      <x:c r="L1845" s="552" t="n">
        <x:v>2</x:v>
      </x:c>
      <x:c r="M1845" s="552" t="inlineStr">
        <x:is>
          <x:t xml:space="preserve">Leasehold</x:t>
        </x:is>
      </x:c>
      <x:c r="N1845" s="555" t="n"/>
      <x:c r="O1845" s="556" t="n">
        <x:f>IF($L1845="","",IF(ISNUMBER(SEARCH("all",$L1845)),640,(ISNUMBER(SEARCH("1",$L1845)))*80+(ISNUMBER(SEARCH("2",$L1845)))*160+(ISNUMBER(SEARCH("3",$L1845)))*40+(ISNUMBER(SEARCH("4",$L1845)))*80+(ISNUMBER(SEARCH("5",$L1845)))*120+(ISNUMBER(SEARCH("6",$L1845)))*80+(ISNUMBER(SEARCH("7",$L1845)))*40+(ISNUMBER(SEARCH("8",$L1845)))*40))</x:f>
        <x:v>0</x:v>
      </x:c>
      <x:c r="P1845" s="654" t="str">
        <x:f>IF($M1845&lt;&gt;"Mineral","",IF(ISNUMBER($N1845),$N1845,IF(OR(ISNUMBER(SEARCH("surface",$J1845)),ISNUMBER(SEARCH("reserv",$J1845)),ISNUMBER(SEARCH("less and except",$J1845))),0,"")))</x:f>
      </x:c>
      <x:c r="Q1845" s="654" t="str">
        <x:f>IF($P1845="","",-$P1845)</x:f>
      </x:c>
      <x:c r="R1845" s="655" t="str">
        <x:f>IF($P1845="","",$O1845*$P1845)</x:f>
      </x:c>
      <x:c r="S1845" s="552" t="str">
        <x:f>IF($M1845="","",TRIM(IF($M1845="Mineral",IF(ISNUMBER($N1845),"Mineral; basis Conv Amt(dec). ",IF($P1845=0,"Mineral; surface-only/reserved-&gt;0 min. ","Mineral; NO AMOUNT-verify instrument. ")),$M1845&amp;" (non-mineral; excluded from mineral NMA). ")&amp;IF(OR(ISNUMBER(SEARCH("public",$G1845)),ISNUMBER(SEARCH("public",$H1845))),"FLAG: The Public placeholder-verify. ","")&amp;IF(ISNUMBER(SEARCH("all",$L1845)),"All-section coverage. ","")&amp;IF($O1845=0,"Gross acres unresolved. ","")&amp;"Gross=tract-map basis."))</x:f>
        <x:v>Leasehold (non-mineral; excluded from mineral NMA). Gross acres unresolved. Gross=tract-map basis.</x:v>
      </x:c>
      <x:c r="T1845" s="577" t="n"/>
      <x:c r="U1845" s="578" t="n"/>
      <x:c r="V1845" s="565" t="n"/>
      <x:c r="W1845" s="565" t="n"/>
      <x:c r="X1845" s="565" t="n"/>
      <x:c r="Y1845" s="565" t="n"/>
      <x:c r="Z1845" s="565" t="n"/>
    </x:row>
    <x:row r="1846">
      <x:c r="A1846" s="552" t="inlineStr">
        <x:is>
          <x:t xml:space="preserve">2001-002014</x:t>
        </x:is>
      </x:c>
      <x:c r="B1846" s="552" t="n"/>
      <x:c r="C1846" s="552" t="inlineStr">
        <x:is>
          <x:t xml:space="preserve">Oil and Gas Lease</x:t>
        </x:is>
      </x:c>
      <x:c r="D1846" s="552" t="inlineStr">
        <x:is>
          <x:t xml:space="preserve">1642/97</x:t>
        </x:is>
      </x:c>
      <x:c r="E1846" s="653" t="n">
        <x:v>36951</x:v>
      </x:c>
      <x:c r="F1846" s="653" t="n">
        <x:v>37019</x:v>
      </x:c>
      <x:c r="G1846" s="552" t="inlineStr">
        <x:is>
          <x:t xml:space="preserve">William Clifton Bain</x:t>
        </x:is>
      </x:c>
      <x:c r="H1846" s="552" t="inlineStr">
        <x:is>
          <x:t xml:space="preserve">R. Michael Lortz</x:t>
        </x:is>
      </x:c>
      <x:c r="I1846" s="552" t="inlineStr">
        <x:is>
          <x:t xml:space="preserve">SE/4 SE/4, SW/4 NE/4, W/2 SE/4 of 31-12N-24W</x:t>
        </x:is>
      </x:c>
      <x:c r="J1846" s="552" t="inlineStr">
        <x:is>
          <x:t xml:space="preserve">160 gross acres 
3 years
3/16ths royalty</x:t>
        </x:is>
      </x:c>
      <x:c r="K1846" s="554" t="e">
        <x:f>HYPERLINK("https://okcountyrecords.com/detail/roger+mills/2001-002014","OKCountyRecords: 2001-002014")</x:f>
      </x:c>
      <x:c r="L1846" s="552" t="n">
        <x:v>2</x:v>
      </x:c>
      <x:c r="M1846" s="552" t="inlineStr">
        <x:is>
          <x:t xml:space="preserve">Leasehold</x:t>
        </x:is>
      </x:c>
      <x:c r="N1846" s="555" t="n"/>
      <x:c r="O1846" s="556" t="n">
        <x:f>IF($L1846="","",IF(ISNUMBER(SEARCH("all",$L1846)),640,(ISNUMBER(SEARCH("1",$L1846)))*80+(ISNUMBER(SEARCH("2",$L1846)))*160+(ISNUMBER(SEARCH("3",$L1846)))*40+(ISNUMBER(SEARCH("4",$L1846)))*80+(ISNUMBER(SEARCH("5",$L1846)))*120+(ISNUMBER(SEARCH("6",$L1846)))*80+(ISNUMBER(SEARCH("7",$L1846)))*40+(ISNUMBER(SEARCH("8",$L1846)))*40))</x:f>
        <x:v>0</x:v>
      </x:c>
      <x:c r="P1846" s="654" t="str">
        <x:f>IF($M1846&lt;&gt;"Mineral","",IF(ISNUMBER($N1846),$N1846,IF(OR(ISNUMBER(SEARCH("surface",$J1846)),ISNUMBER(SEARCH("reserv",$J1846)),ISNUMBER(SEARCH("less and except",$J1846))),0,"")))</x:f>
      </x:c>
      <x:c r="Q1846" s="654" t="str">
        <x:f>IF($P1846="","",-$P1846)</x:f>
      </x:c>
      <x:c r="R1846" s="655" t="str">
        <x:f>IF($P1846="","",$O1846*$P1846)</x:f>
      </x:c>
      <x:c r="S1846" s="552" t="str">
        <x:f>IF($M1846="","",TRIM(IF($M1846="Mineral",IF(ISNUMBER($N1846),"Mineral; basis Conv Amt(dec). ",IF($P1846=0,"Mineral; surface-only/reserved-&gt;0 min. ","Mineral; NO AMOUNT-verify instrument. ")),$M1846&amp;" (non-mineral; excluded from mineral NMA). ")&amp;IF(OR(ISNUMBER(SEARCH("public",$G1846)),ISNUMBER(SEARCH("public",$H1846))),"FLAG: The Public placeholder-verify. ","")&amp;IF(ISNUMBER(SEARCH("all",$L1846)),"All-section coverage. ","")&amp;IF($O1846=0,"Gross acres unresolved. ","")&amp;"Gross=tract-map basis."))</x:f>
        <x:v>Leasehold (non-mineral; excluded from mineral NMA). Gross acres unresolved. Gross=tract-map basis.</x:v>
      </x:c>
      <x:c r="T1846" s="577" t="n"/>
      <x:c r="U1846" s="578" t="n"/>
      <x:c r="V1846" s="565" t="n"/>
      <x:c r="W1846" s="565" t="n"/>
      <x:c r="X1846" s="565" t="n"/>
      <x:c r="Y1846" s="565" t="n"/>
      <x:c r="Z1846" s="565" t="n"/>
    </x:row>
    <x:row r="1847">
      <x:c r="A1847" s="552" t="inlineStr">
        <x:is>
          <x:t xml:space="preserve">2001-001092</x:t>
        </x:is>
      </x:c>
      <x:c r="B1847" s="552" t="n"/>
      <x:c r="C1847" s="552" t="inlineStr">
        <x:is>
          <x:t xml:space="preserve">Quit Claim Deed</x:t>
        </x:is>
      </x:c>
      <x:c r="D1847" s="552" t="inlineStr">
        <x:is>
          <x:t xml:space="preserve">1637/476</x:t>
        </x:is>
      </x:c>
      <x:c r="E1847" s="653" t="n">
        <x:v>36955</x:v>
      </x:c>
      <x:c r="F1847" s="653" t="n">
        <x:v>36969</x:v>
      </x:c>
      <x:c r="G1847" s="552" t="inlineStr">
        <x:is>
          <x:t xml:space="preserve">The Crouse Family Trust, a Trust dated October 8, 1999</x:t>
        </x:is>
      </x:c>
      <x:c r="H1847" s="552" t="inlineStr">
        <x:is>
          <x:t xml:space="preserve">The Crouse Family Limited Partnership, a limited partnership dated October 12, 1999</x:t>
        </x:is>
      </x:c>
      <x:c r="I1847" s="552" t="inlineStr">
        <x:is>
          <x:t xml:space="preserve">NE/4, a tract of land in 1-12N-24W, described by metes and bounds as follows: Beginning at a point 1281.6 feet West of the NW corner of the NE/4, thence East 64.8 feet, thence South 3300 feet, thence East 64.8 feet, thence North 3300 feet to the point of beginning, containing 4.91 acres, more or less, aol</x:t>
        </x:is>
      </x:c>
      <x:c r="J1847" s="552" t="inlineStr">
        <x:is>
          <x:t xml:space="preserve">ARTI</x:t>
        </x:is>
      </x:c>
      <x:c r="K1847" s="554" t="e">
        <x:f>HYPERLINK("https://okcountyrecords.com/detail/roger+mills/2001-001092","OKCountyRecords: 2001-001092")</x:f>
      </x:c>
      <x:c r="L1847" s="552" t="inlineStr">
        <x:is>
          <x:t xml:space="preserve">1, 2, 3</x:t>
        </x:is>
      </x:c>
      <x:c r="M1847" s="552" t="inlineStr">
        <x:is>
          <x:t xml:space="preserve">Mineral</x:t>
        </x:is>
      </x:c>
      <x:c r="N1847" s="555" t="n">
        <x:v>1</x:v>
      </x:c>
      <x:c r="O1847" s="556" t="n">
        <x:f>IF($L1847="","",IF(ISNUMBER(SEARCH("all",$L1847)),640,(ISNUMBER(SEARCH("1",$L1847)))*80+(ISNUMBER(SEARCH("2",$L1847)))*160+(ISNUMBER(SEARCH("3",$L1847)))*40+(ISNUMBER(SEARCH("4",$L1847)))*80+(ISNUMBER(SEARCH("5",$L1847)))*120+(ISNUMBER(SEARCH("6",$L1847)))*80+(ISNUMBER(SEARCH("7",$L1847)))*40+(ISNUMBER(SEARCH("8",$L1847)))*40))</x:f>
        <x:v>0</x:v>
      </x:c>
      <x:c r="P1847" s="654" t="n">
        <x:f>IF($M1847&lt;&gt;"Mineral","",IF(ISNUMBER($N1847),$N1847,IF(OR(ISNUMBER(SEARCH("surface",$J1847)),ISNUMBER(SEARCH("reserv",$J1847)),ISNUMBER(SEARCH("less and except",$J1847))),0,"")))</x:f>
        <x:v>1</x:v>
      </x:c>
      <x:c r="Q1847" s="654" t="n">
        <x:f>IF($P1847="","",-$P1847)</x:f>
        <x:v>-1</x:v>
      </x:c>
      <x:c r="R1847" s="655" t="n">
        <x:f>IF($P1847="","",$O1847*$P1847)</x:f>
        <x:v>0</x:v>
      </x:c>
      <x:c r="S1847" s="552" t="str">
        <x:f>IF($M1847="","",TRIM(IF($M1847="Mineral",IF(ISNUMBER($N1847),"Mineral; basis Conv Amt(dec). ",IF($P1847=0,"Mineral; surface-only/reserved-&gt;0 min. ","Mineral; NO AMOUNT-verify instrument. ")),$M1847&amp;" (non-mineral; excluded from mineral NMA). ")&amp;IF(OR(ISNUMBER(SEARCH("public",$G1847)),ISNUMBER(SEARCH("public",$H1847))),"FLAG: The Public placeholder-verify. ","")&amp;IF(ISNUMBER(SEARCH("all",$L1847)),"All-section coverage. ","")&amp;IF($O1847=0,"Gross acres unresolved. ","")&amp;"Gross=tract-map basis."))</x:f>
        <x:v>Mineral; basis Conv Amt(dec). Gross acres unresolved. Gross=tract-map basis.</x:v>
      </x:c>
      <x:c r="T1847" s="577" t="n"/>
      <x:c r="U1847" s="578" t="n"/>
      <x:c r="V1847" s="565" t="n"/>
      <x:c r="W1847" s="565" t="n"/>
      <x:c r="X1847" s="565" t="n"/>
      <x:c r="Y1847" s="565" t="n"/>
      <x:c r="Z1847" s="565" t="n"/>
    </x:row>
    <x:row r="1848">
      <x:c r="A1848" s="552" t="inlineStr">
        <x:is>
          <x:t xml:space="preserve">2001-001414</x:t>
        </x:is>
      </x:c>
      <x:c r="B1848" s="552" t="n"/>
      <x:c r="C1848" s="552" t="inlineStr">
        <x:is>
          <x:t xml:space="preserve">Mineral Deed</x:t>
        </x:is>
      </x:c>
      <x:c r="D1848" s="552" t="inlineStr">
        <x:is>
          <x:t xml:space="preserve">1639/206</x:t>
        </x:is>
      </x:c>
      <x:c r="E1848" s="653" t="n">
        <x:v>36957</x:v>
      </x:c>
      <x:c r="F1848" s="653" t="n">
        <x:v>36987</x:v>
      </x:c>
      <x:c r="G1848" s="552" t="inlineStr">
        <x:is>
          <x:t xml:space="preserve">Louise Ormand, now Louise Ormand McLerran</x:t>
        </x:is>
      </x:c>
      <x:c r="H1848" s="552" t="inlineStr">
        <x:is>
          <x:t xml:space="preserve">Arrowhead Resources, Inc.</x:t>
        </x:is>
      </x:c>
      <x:c r="I1848" s="552" t="inlineStr">
        <x:is>
          <x:t xml:space="preserve">E/2 NW/4, N/2 NE/4 SW/4, NE/4 SE/4, SE/4 NE/4 of 31-12N-24W</x:t>
        </x:is>
      </x:c>
      <x:c r="J1848" s="552" t="inlineStr">
        <x:is>
          <x:t xml:space="preserve">ARTI</x:t>
        </x:is>
      </x:c>
      <x:c r="K1848" s="554" t="e">
        <x:f>HYPERLINK("https://okcountyrecords.com/detail/roger+mills/2001-001414","OKCountyRecords: 2001-001414")</x:f>
      </x:c>
      <x:c r="L1848" s="552" t="inlineStr">
        <x:is>
          <x:t xml:space="preserve">1, 3, 4, 7, 8</x:t>
        </x:is>
      </x:c>
      <x:c r="M1848" s="552" t="inlineStr">
        <x:is>
          <x:t xml:space="preserve">Mineral</x:t>
        </x:is>
      </x:c>
      <x:c r="N1848" s="561" t="n">
        <x:v>1</x:v>
      </x:c>
      <x:c r="O1848" s="556" t="n">
        <x:f>IF($L1848="","",IF(ISNUMBER(SEARCH("all",$L1848)),640,(ISNUMBER(SEARCH("1",$L1848)))*80+(ISNUMBER(SEARCH("2",$L1848)))*160+(ISNUMBER(SEARCH("3",$L1848)))*40+(ISNUMBER(SEARCH("4",$L1848)))*80+(ISNUMBER(SEARCH("5",$L1848)))*120+(ISNUMBER(SEARCH("6",$L1848)))*80+(ISNUMBER(SEARCH("7",$L1848)))*40+(ISNUMBER(SEARCH("8",$L1848)))*40))</x:f>
        <x:v>0</x:v>
      </x:c>
      <x:c r="P1848" s="654" t="n">
        <x:f>IF($M1848&lt;&gt;"Mineral","",IF(ISNUMBER($N1848),$N1848,IF(OR(ISNUMBER(SEARCH("surface",$J1848)),ISNUMBER(SEARCH("reserv",$J1848)),ISNUMBER(SEARCH("less and except",$J1848))),0,"")))</x:f>
        <x:v>1</x:v>
      </x:c>
      <x:c r="Q1848" s="654" t="n">
        <x:f>IF($P1848="","",-$P1848)</x:f>
        <x:v>-1</x:v>
      </x:c>
      <x:c r="R1848" s="655" t="n">
        <x:f>IF($P1848="","",$O1848*$P1848)</x:f>
        <x:v>0</x:v>
      </x:c>
      <x:c r="S1848" s="552" t="str">
        <x:f>IF($M1848="","",TRIM(IF($M1848="Mineral",IF(ISNUMBER($N1848),"Mineral; basis Conv Amt(dec). ",IF($P1848=0,"Mineral; surface-only/reserved-&gt;0 min. ","Mineral; NO AMOUNT-verify instrument. ")),$M1848&amp;" (non-mineral; excluded from mineral NMA). ")&amp;IF(OR(ISNUMBER(SEARCH("public",$G1848)),ISNUMBER(SEARCH("public",$H1848))),"FLAG: The Public placeholder-verify. ","")&amp;IF(ISNUMBER(SEARCH("all",$L1848)),"All-section coverage. ","")&amp;IF($O1848=0,"Gross acres unresolved. ","")&amp;"Gross=tract-map basis."))</x:f>
        <x:v>Mineral; basis Conv Amt(dec). Gross acres unresolved. Gross=tract-map basis.</x:v>
      </x:c>
      <x:c r="T1848" s="578" t="n"/>
      <x:c r="U1848" s="578" t="n"/>
      <x:c r="V1848" s="565" t="n"/>
      <x:c r="W1848" s="565" t="n"/>
      <x:c r="X1848" s="565" t="n"/>
      <x:c r="Y1848" s="565" t="n"/>
      <x:c r="Z1848" s="565" t="n"/>
    </x:row>
    <x:row r="1849">
      <x:c r="A1849" s="552" t="inlineStr">
        <x:is>
          <x:t xml:space="preserve">2001-001463</x:t>
        </x:is>
      </x:c>
      <x:c r="B1849" s="552" t="n"/>
      <x:c r="C1849" s="552" t="inlineStr">
        <x:is>
          <x:t xml:space="preserve">Mineral Deed</x:t>
        </x:is>
      </x:c>
      <x:c r="D1849" s="552" t="inlineStr">
        <x:is>
          <x:t xml:space="preserve">1639/426</x:t>
        </x:is>
      </x:c>
      <x:c r="E1849" s="653" t="n">
        <x:v>36963</x:v>
      </x:c>
      <x:c r="F1849" s="653" t="n">
        <x:v>36991</x:v>
      </x:c>
      <x:c r="G1849" s="552" t="inlineStr">
        <x:is>
          <x:t xml:space="preserve">Glenn D. Mitchel, a/k/a Glen D. Mitchel</x:t>
        </x:is>
      </x:c>
      <x:c r="H1849" s="552" t="inlineStr">
        <x:is>
          <x:t xml:space="preserve">Arrowhead Resources, Inc.</x:t>
        </x:is>
      </x:c>
      <x:c r="I1849" s="552" t="inlineStr">
        <x:is>
          <x:t xml:space="preserve">E/2 NW/4, N/2 NE/4 SW/4, NE/4 SE/4, SE/4 NE/4 of 31-12N-24W, aol</x:t>
        </x:is>
      </x:c>
      <x:c r="J1849" s="552" t="inlineStr">
        <x:is>
          <x:t xml:space="preserve">ARTI</x:t>
        </x:is>
      </x:c>
      <x:c r="K1849" s="554" t="e">
        <x:f>HYPERLINK("https://okcountyrecords.com/detail/roger+mills/2001-001463","OKCountyRecords: 2001-001463")</x:f>
      </x:c>
      <x:c r="L1849" s="552" t="inlineStr">
        <x:is>
          <x:t xml:space="preserve">1, 3, 4, 7, 8</x:t>
        </x:is>
      </x:c>
      <x:c r="M1849" s="552" t="inlineStr">
        <x:is>
          <x:t xml:space="preserve">Mineral</x:t>
        </x:is>
      </x:c>
      <x:c r="N1849" s="561" t="n">
        <x:v>1</x:v>
      </x:c>
      <x:c r="O1849" s="556" t="n">
        <x:f>IF($L1849="","",IF(ISNUMBER(SEARCH("all",$L1849)),640,(ISNUMBER(SEARCH("1",$L1849)))*80+(ISNUMBER(SEARCH("2",$L1849)))*160+(ISNUMBER(SEARCH("3",$L1849)))*40+(ISNUMBER(SEARCH("4",$L1849)))*80+(ISNUMBER(SEARCH("5",$L1849)))*120+(ISNUMBER(SEARCH("6",$L1849)))*80+(ISNUMBER(SEARCH("7",$L1849)))*40+(ISNUMBER(SEARCH("8",$L1849)))*40))</x:f>
        <x:v>0</x:v>
      </x:c>
      <x:c r="P1849" s="654" t="n">
        <x:f>IF($M1849&lt;&gt;"Mineral","",IF(ISNUMBER($N1849),$N1849,IF(OR(ISNUMBER(SEARCH("surface",$J1849)),ISNUMBER(SEARCH("reserv",$J1849)),ISNUMBER(SEARCH("less and except",$J1849))),0,"")))</x:f>
        <x:v>1</x:v>
      </x:c>
      <x:c r="Q1849" s="654" t="n">
        <x:f>IF($P1849="","",-$P1849)</x:f>
        <x:v>-1</x:v>
      </x:c>
      <x:c r="R1849" s="655" t="n">
        <x:f>IF($P1849="","",$O1849*$P1849)</x:f>
        <x:v>0</x:v>
      </x:c>
      <x:c r="S1849" s="552" t="str">
        <x:f>IF($M1849="","",TRIM(IF($M1849="Mineral",IF(ISNUMBER($N1849),"Mineral; basis Conv Amt(dec). ",IF($P1849=0,"Mineral; surface-only/reserved-&gt;0 min. ","Mineral; NO AMOUNT-verify instrument. ")),$M1849&amp;" (non-mineral; excluded from mineral NMA). ")&amp;IF(OR(ISNUMBER(SEARCH("public",$G1849)),ISNUMBER(SEARCH("public",$H1849))),"FLAG: The Public placeholder-verify. ","")&amp;IF(ISNUMBER(SEARCH("all",$L1849)),"All-section coverage. ","")&amp;IF($O1849=0,"Gross acres unresolved. ","")&amp;"Gross=tract-map basis."))</x:f>
        <x:v>Mineral; basis Conv Amt(dec). Gross acres unresolved. Gross=tract-map basis.</x:v>
      </x:c>
      <x:c r="T1849" s="578" t="n"/>
      <x:c r="U1849" s="578" t="n"/>
      <x:c r="V1849" s="565" t="n"/>
      <x:c r="W1849" s="565" t="n"/>
      <x:c r="X1849" s="565" t="n"/>
      <x:c r="Y1849" s="565" t="n"/>
      <x:c r="Z1849" s="565" t="n"/>
    </x:row>
    <x:row r="1850">
      <x:c r="A1850" s="552" t="inlineStr">
        <x:is>
          <x:t xml:space="preserve">2001-002354</x:t>
        </x:is>
      </x:c>
      <x:c r="B1850" s="552" t="n"/>
      <x:c r="C1850" s="552" t="inlineStr">
        <x:is>
          <x:t xml:space="preserve">Assignment</x:t>
        </x:is>
      </x:c>
      <x:c r="D1850" s="552" t="inlineStr">
        <x:is>
          <x:t xml:space="preserve">1643/422</x:t>
        </x:is>
      </x:c>
      <x:c r="E1850" s="653" t="n">
        <x:v>36990</x:v>
      </x:c>
      <x:c r="F1850" s="653" t="n">
        <x:v>37034</x:v>
      </x:c>
      <x:c r="G1850" s="552" t="inlineStr">
        <x:is>
          <x:t xml:space="preserve">R. Michael Lortz</x:t>
        </x:is>
      </x:c>
      <x:c r="H1850" s="552" t="inlineStr">
        <x:is>
          <x:t xml:space="preserve">Chesapeake Exploration Ltd. Ptn.</x:t>
        </x:is>
      </x:c>
      <x:c r="I1850" s="552" t="inlineStr">
        <x:is>
          <x:t xml:space="preserve">SE/4 SE/4, SW/4 NE/4, W/2 SE/4 of 31-12N-24W</x:t>
        </x:is>
      </x:c>
      <x:c r="J1850" s="552" t="inlineStr">
        <x:is>
          <x:t xml:space="preserve">All of Assignor's right, title, interest, and estate in and to the Oil and Gas Lease dated January 15, 2001, from Michael L. Bain, as Lessor, to R. Michael Lortz, as Lessee, covering the Southwest Quarter of the Northeast Quarter and the West Half of the Southeast Quarter and the Southeast Quarter of the Southeast</x:t>
        </x:is>
      </x:c>
      <x:c r="K1850" s="554" t="e">
        <x:f>HYPERLINK("https://okcountyrecords.com/detail/roger+mills/2001-002354","OKCountyRecords: 2001-002354")</x:f>
      </x:c>
      <x:c r="L1850" s="552" t="n">
        <x:v>2</x:v>
      </x:c>
      <x:c r="M1850" s="552" t="inlineStr">
        <x:is>
          <x:t xml:space="preserve">Leasehold</x:t>
        </x:is>
      </x:c>
      <x:c r="N1850" s="555" t="n"/>
      <x:c r="O1850" s="556" t="n">
        <x:f>IF($L1850="","",IF(ISNUMBER(SEARCH("all",$L1850)),640,(ISNUMBER(SEARCH("1",$L1850)))*80+(ISNUMBER(SEARCH("2",$L1850)))*160+(ISNUMBER(SEARCH("3",$L1850)))*40+(ISNUMBER(SEARCH("4",$L1850)))*80+(ISNUMBER(SEARCH("5",$L1850)))*120+(ISNUMBER(SEARCH("6",$L1850)))*80+(ISNUMBER(SEARCH("7",$L1850)))*40+(ISNUMBER(SEARCH("8",$L1850)))*40))</x:f>
        <x:v>0</x:v>
      </x:c>
      <x:c r="P1850" s="654" t="str">
        <x:f>IF($M1850&lt;&gt;"Mineral","",IF(ISNUMBER($N1850),$N1850,IF(OR(ISNUMBER(SEARCH("surface",$J1850)),ISNUMBER(SEARCH("reserv",$J1850)),ISNUMBER(SEARCH("less and except",$J1850))),0,"")))</x:f>
      </x:c>
      <x:c r="Q1850" s="654" t="str">
        <x:f>IF($P1850="","",-$P1850)</x:f>
      </x:c>
      <x:c r="R1850" s="655" t="str">
        <x:f>IF($P1850="","",$O1850*$P1850)</x:f>
      </x:c>
      <x:c r="S1850" s="552" t="str">
        <x:f>IF($M1850="","",TRIM(IF($M1850="Mineral",IF(ISNUMBER($N1850),"Mineral; basis Conv Amt(dec). ",IF($P1850=0,"Mineral; surface-only/reserved-&gt;0 min. ","Mineral; NO AMOUNT-verify instrument. ")),$M1850&amp;" (non-mineral; excluded from mineral NMA). ")&amp;IF(OR(ISNUMBER(SEARCH("public",$G1850)),ISNUMBER(SEARCH("public",$H1850))),"FLAG: The Public placeholder-verify. ","")&amp;IF(ISNUMBER(SEARCH("all",$L1850)),"All-section coverage. ","")&amp;IF($O1850=0,"Gross acres unresolved. ","")&amp;"Gross=tract-map basis."))</x:f>
        <x:v>Leasehold (non-mineral; excluded from mineral NMA). Gross acres unresolved. Gross=tract-map basis.</x:v>
      </x:c>
      <x:c r="T1850" s="577" t="n"/>
      <x:c r="U1850" s="578" t="n"/>
      <x:c r="V1850" s="565" t="n"/>
      <x:c r="W1850" s="565" t="n"/>
      <x:c r="X1850" s="565" t="n"/>
      <x:c r="Y1850" s="565" t="n"/>
      <x:c r="Z1850" s="565" t="n"/>
    </x:row>
    <x:row r="1851">
      <x:c r="A1851" s="552" t="inlineStr">
        <x:is>
          <x:t xml:space="preserve">2001-002342</x:t>
        </x:is>
      </x:c>
      <x:c r="B1851" s="552" t="n"/>
      <x:c r="C1851" s="552" t="inlineStr">
        <x:is>
          <x:t xml:space="preserve">Decree</x:t>
        </x:is>
      </x:c>
      <x:c r="D1851" s="552" t="inlineStr">
        <x:is>
          <x:t xml:space="preserve">1643/389</x:t>
        </x:is>
      </x:c>
      <x:c r="E1851" s="653" t="n">
        <x:v>37014</x:v>
      </x:c>
      <x:c r="F1851" s="653" t="n">
        <x:v>37034</x:v>
      </x:c>
      <x:c r="G1851" s="552" t="inlineStr">
        <x:is>
          <x:t xml:space="preserve">Roger Mills County Court
RE: In the Matter of the Estate of Jack E. Barnett, Deceased</x:t>
        </x:is>
      </x:c>
      <x:c r="H1851" s="552" t="inlineStr">
        <x:is>
          <x:t xml:space="preserve">Nanalee Faye Barnett</x:t>
        </x:is>
      </x:c>
      <x:c r="I1851" s="552" t="inlineStr">
        <x:is>
          <x:t xml:space="preserve">E/2 NW/4, N/2 NE/4 SW/4, NE/4 SE/4, SE/4 NE/4 of 31-12N-24W, aol</x:t>
        </x:is>
      </x:c>
      <x:c r="J1851" s="552" t="inlineStr">
        <x:is>
          <x:t xml:space="preserve">ARTI, an undivided 6.92307 mineral acres interest</x:t>
        </x:is>
      </x:c>
      <x:c r="K1851" s="554" t="e">
        <x:f>HYPERLINK("https://okcountyrecords.com/detail/roger+mills/2001-002342","OKCountyRecords: 2001-002342")</x:f>
      </x:c>
      <x:c r="L1851" s="552" t="inlineStr">
        <x:is>
          <x:t xml:space="preserve">1, 3, 4, 7, 8</x:t>
        </x:is>
      </x:c>
      <x:c r="M1851" s="552" t="inlineStr">
        <x:is>
          <x:t xml:space="preserve">Mineral</x:t>
        </x:is>
      </x:c>
      <x:c r="N1851" s="561" t="n">
        <x:v>1</x:v>
      </x:c>
      <x:c r="O1851" s="556" t="n">
        <x:f>IF($L1851="","",IF(ISNUMBER(SEARCH("all",$L1851)),640,(ISNUMBER(SEARCH("1",$L1851)))*80+(ISNUMBER(SEARCH("2",$L1851)))*160+(ISNUMBER(SEARCH("3",$L1851)))*40+(ISNUMBER(SEARCH("4",$L1851)))*80+(ISNUMBER(SEARCH("5",$L1851)))*120+(ISNUMBER(SEARCH("6",$L1851)))*80+(ISNUMBER(SEARCH("7",$L1851)))*40+(ISNUMBER(SEARCH("8",$L1851)))*40))</x:f>
        <x:v>0</x:v>
      </x:c>
      <x:c r="P1851" s="654" t="n">
        <x:f>IF($M1851&lt;&gt;"Mineral","",IF(ISNUMBER($N1851),$N1851,IF(OR(ISNUMBER(SEARCH("surface",$J1851)),ISNUMBER(SEARCH("reserv",$J1851)),ISNUMBER(SEARCH("less and except",$J1851))),0,"")))</x:f>
        <x:v>1</x:v>
      </x:c>
      <x:c r="Q1851" s="654" t="n">
        <x:f>IF($P1851="","",-$P1851)</x:f>
        <x:v>-1</x:v>
      </x:c>
      <x:c r="R1851" s="655" t="n">
        <x:f>IF($P1851="","",$O1851*$P1851)</x:f>
        <x:v>0</x:v>
      </x:c>
      <x:c r="S1851" s="552" t="str">
        <x:f>IF($M1851="","",TRIM(IF($M1851="Mineral",IF(ISNUMBER($N1851),"Mineral; basis Conv Amt(dec). ",IF($P1851=0,"Mineral; surface-only/reserved-&gt;0 min. ","Mineral; NO AMOUNT-verify instrument. ")),$M1851&amp;" (non-mineral; excluded from mineral NMA). ")&amp;IF(OR(ISNUMBER(SEARCH("public",$G1851)),ISNUMBER(SEARCH("public",$H1851))),"FLAG: The Public placeholder-verify. ","")&amp;IF(ISNUMBER(SEARCH("all",$L1851)),"All-section coverage. ","")&amp;IF($O1851=0,"Gross acres unresolved. ","")&amp;"Gross=tract-map basis."))</x:f>
        <x:v>Mineral; basis Conv Amt(dec). Gross acres unresolved. Gross=tract-map basis.</x:v>
      </x:c>
      <x:c r="T1851" s="578" t="n"/>
      <x:c r="U1851" s="578" t="n"/>
      <x:c r="V1851" s="565" t="n"/>
      <x:c r="W1851" s="565" t="n"/>
      <x:c r="X1851" s="565" t="n"/>
      <x:c r="Y1851" s="565" t="n"/>
      <x:c r="Z1851" s="565" t="n"/>
    </x:row>
    <x:row r="1852">
      <x:c r="A1852" s="552" t="inlineStr">
        <x:is>
          <x:t xml:space="preserve">2001-002190</x:t>
        </x:is>
      </x:c>
      <x:c r="B1852" s="552" t="n"/>
      <x:c r="C1852" s="552" t="inlineStr">
        <x:is>
          <x:t xml:space="preserve">Quit Claim Deed</x:t>
        </x:is>
      </x:c>
      <x:c r="D1852" s="552" t="inlineStr">
        <x:is>
          <x:t xml:space="preserve">1642/532</x:t>
        </x:is>
      </x:c>
      <x:c r="E1852" s="653" t="n">
        <x:v>37022</x:v>
      </x:c>
      <x:c r="F1852" s="653" t="n">
        <x:v>37029</x:v>
      </x:c>
      <x:c r="G1852" s="552" t="inlineStr">
        <x:is>
          <x:t xml:space="preserve">Leonard Herzberg and Mary Alice Herzberg, HW</x:t>
        </x:is>
      </x:c>
      <x:c r="H1852" s="552" t="inlineStr">
        <x:is>
          <x:t xml:space="preserve">Mary Alice Herzberg</x:t>
        </x:is>
      </x:c>
      <x:c r="I1852" s="552" t="inlineStr">
        <x:is>
          <x:t xml:space="preserve">A tract of land in Lot 1 of 31-12N-24W, described as follows: Beginning at the NW corner of said Lot 1, thence East 420.58 feet, thence South 725 feet, thence West 420.58 feet, and thence North 725 feet to the point of beginning, containing 7 acres, more or less.</x:t>
        </x:is>
      </x:c>
      <x:c r="J1852" s="552" t="inlineStr">
        <x:is>
          <x:t xml:space="preserve">ARTI</x:t>
        </x:is>
      </x:c>
      <x:c r="K1852" s="554" t="e">
        <x:f>HYPERLINK("https://okcountyrecords.com/detail/roger+mills/2001-002190","OKCountyRecords: 2001-002190")</x:f>
      </x:c>
      <x:c r="L1852" s="552" t="n">
        <x:v>5</x:v>
      </x:c>
      <x:c r="M1852" s="552" t="inlineStr">
        <x:is>
          <x:t xml:space="preserve">Mineral</x:t>
        </x:is>
      </x:c>
      <x:c r="N1852" s="555" t="n">
        <x:v>1</x:v>
      </x:c>
      <x:c r="O1852" s="556" t="n">
        <x:f>IF($L1852="","",IF(ISNUMBER(SEARCH("all",$L1852)),640,(ISNUMBER(SEARCH("1",$L1852)))*80+(ISNUMBER(SEARCH("2",$L1852)))*160+(ISNUMBER(SEARCH("3",$L1852)))*40+(ISNUMBER(SEARCH("4",$L1852)))*80+(ISNUMBER(SEARCH("5",$L1852)))*120+(ISNUMBER(SEARCH("6",$L1852)))*80+(ISNUMBER(SEARCH("7",$L1852)))*40+(ISNUMBER(SEARCH("8",$L1852)))*40))</x:f>
        <x:v>0</x:v>
      </x:c>
      <x:c r="P1852" s="654" t="n">
        <x:f>IF($M1852&lt;&gt;"Mineral","",IF(ISNUMBER($N1852),$N1852,IF(OR(ISNUMBER(SEARCH("surface",$J1852)),ISNUMBER(SEARCH("reserv",$J1852)),ISNUMBER(SEARCH("less and except",$J1852))),0,"")))</x:f>
        <x:v>1</x:v>
      </x:c>
      <x:c r="Q1852" s="654" t="n">
        <x:f>IF($P1852="","",-$P1852)</x:f>
        <x:v>-1</x:v>
      </x:c>
      <x:c r="R1852" s="655" t="n">
        <x:f>IF($P1852="","",$O1852*$P1852)</x:f>
        <x:v>0</x:v>
      </x:c>
      <x:c r="S1852" s="552" t="str">
        <x:f>IF($M1852="","",TRIM(IF($M1852="Mineral",IF(ISNUMBER($N1852),"Mineral; basis Conv Amt(dec). ",IF($P1852=0,"Mineral; surface-only/reserved-&gt;0 min. ","Mineral; NO AMOUNT-verify instrument. ")),$M1852&amp;" (non-mineral; excluded from mineral NMA). ")&amp;IF(OR(ISNUMBER(SEARCH("public",$G1852)),ISNUMBER(SEARCH("public",$H1852))),"FLAG: The Public placeholder-verify. ","")&amp;IF(ISNUMBER(SEARCH("all",$L1852)),"All-section coverage. ","")&amp;IF($O1852=0,"Gross acres unresolved. ","")&amp;"Gross=tract-map basis."))</x:f>
        <x:v>Mineral; basis Conv Amt(dec). Gross acres unresolved. Gross=tract-map basis.</x:v>
      </x:c>
      <x:c r="T1852" s="577" t="n"/>
      <x:c r="U1852" s="578" t="n"/>
      <x:c r="V1852" s="565" t="n"/>
      <x:c r="W1852" s="565" t="n"/>
      <x:c r="X1852" s="565" t="n"/>
      <x:c r="Y1852" s="565" t="n"/>
      <x:c r="Z1852" s="565" t="n"/>
    </x:row>
    <x:row r="1853">
      <x:c r="A1853" s="552" t="inlineStr">
        <x:is>
          <x:t xml:space="preserve">2001-002353</x:t>
        </x:is>
      </x:c>
      <x:c r="B1853" s="552" t="n"/>
      <x:c r="C1853" s="552" t="inlineStr">
        <x:is>
          <x:t xml:space="preserve">Assignment</x:t>
        </x:is>
      </x:c>
      <x:c r="D1853" s="552" t="inlineStr">
        <x:is>
          <x:t xml:space="preserve">1643/421</x:t>
        </x:is>
      </x:c>
      <x:c r="E1853" s="653" t="n">
        <x:v>37031</x:v>
      </x:c>
      <x:c r="F1853" s="653" t="n">
        <x:v>37034</x:v>
      </x:c>
      <x:c r="G1853" s="552" t="inlineStr">
        <x:is>
          <x:t xml:space="preserve">R. Michael Lortz</x:t>
        </x:is>
      </x:c>
      <x:c r="H1853" s="552" t="inlineStr">
        <x:is>
          <x:t xml:space="preserve">Chesapeake Exploration Ltd. Ptn.</x:t>
        </x:is>
      </x:c>
      <x:c r="I1853" s="552" t="inlineStr">
        <x:is>
          <x:t xml:space="preserve">SE/4 SE/4, SW/4 NE/4, W/2 SE/4 of 31-12N-24W</x:t>
        </x:is>
      </x:c>
      <x:c r="J1853" s="552" t="inlineStr">
        <x:is>
          <x:t xml:space="preserve">All of Assignor's right, title, interest, and estate in and to the following oil and gas leases:
Oil and Gas Lease dated March 1, 2001, from William Clifton Bain, as Lessor, to R. Michael Lortz, as Lessee, covering the Southwest Quarter of the Northeast Quarter and the West Half of the Southeast Quarter and the Southeast Quarter ofthe Southeast Quarter of Section 31, Township 12 North, Range 24 West, Roger Mills County, Oklahoma,
Oil and Gas Lease dated March 1, 2001, from Paul Milton Bain, as Lessor, to R. Michael Lortz, as Lessee. covering the Southwest Quarter of the Northeast Quarter and the West Half of the Southeast Quarter and
the Southeast Quarter of the Southeast Quarter of Section 31, Township 12 North, Range 24 West, Roger Mills County, Oklahoma</x:t>
        </x:is>
      </x:c>
      <x:c r="K1853" s="554" t="e">
        <x:f>HYPERLINK("https://okcountyrecords.com/detail/roger+mills/2001-002353","OKCountyRecords: 2001-002353")</x:f>
      </x:c>
      <x:c r="L1853" s="552" t="n">
        <x:v>2</x:v>
      </x:c>
      <x:c r="M1853" s="552" t="inlineStr">
        <x:is>
          <x:t xml:space="preserve">Leasehold</x:t>
        </x:is>
      </x:c>
      <x:c r="N1853" s="555" t="n"/>
      <x:c r="O1853" s="556" t="n">
        <x:f>IF($L1853="","",IF(ISNUMBER(SEARCH("all",$L1853)),640,(ISNUMBER(SEARCH("1",$L1853)))*80+(ISNUMBER(SEARCH("2",$L1853)))*160+(ISNUMBER(SEARCH("3",$L1853)))*40+(ISNUMBER(SEARCH("4",$L1853)))*80+(ISNUMBER(SEARCH("5",$L1853)))*120+(ISNUMBER(SEARCH("6",$L1853)))*80+(ISNUMBER(SEARCH("7",$L1853)))*40+(ISNUMBER(SEARCH("8",$L1853)))*40))</x:f>
        <x:v>0</x:v>
      </x:c>
      <x:c r="P1853" s="654" t="str">
        <x:f>IF($M1853&lt;&gt;"Mineral","",IF(ISNUMBER($N1853),$N1853,IF(OR(ISNUMBER(SEARCH("surface",$J1853)),ISNUMBER(SEARCH("reserv",$J1853)),ISNUMBER(SEARCH("less and except",$J1853))),0,"")))</x:f>
      </x:c>
      <x:c r="Q1853" s="654" t="str">
        <x:f>IF($P1853="","",-$P1853)</x:f>
      </x:c>
      <x:c r="R1853" s="655" t="str">
        <x:f>IF($P1853="","",$O1853*$P1853)</x:f>
      </x:c>
      <x:c r="S1853" s="552" t="str">
        <x:f>IF($M1853="","",TRIM(IF($M1853="Mineral",IF(ISNUMBER($N1853),"Mineral; basis Conv Amt(dec). ",IF($P1853=0,"Mineral; surface-only/reserved-&gt;0 min. ","Mineral; NO AMOUNT-verify instrument. ")),$M1853&amp;" (non-mineral; excluded from mineral NMA). ")&amp;IF(OR(ISNUMBER(SEARCH("public",$G1853)),ISNUMBER(SEARCH("public",$H1853))),"FLAG: The Public placeholder-verify. ","")&amp;IF(ISNUMBER(SEARCH("all",$L1853)),"All-section coverage. ","")&amp;IF($O1853=0,"Gross acres unresolved. ","")&amp;"Gross=tract-map basis."))</x:f>
        <x:v>Leasehold (non-mineral; excluded from mineral NMA). Gross acres unresolved. Gross=tract-map basis.</x:v>
      </x:c>
      <x:c r="T1853" s="577" t="n"/>
      <x:c r="U1853" s="578" t="n"/>
      <x:c r="V1853" s="565" t="n"/>
      <x:c r="W1853" s="565" t="n"/>
      <x:c r="X1853" s="565" t="n"/>
      <x:c r="Y1853" s="565" t="n"/>
      <x:c r="Z1853" s="565" t="n"/>
    </x:row>
    <x:row r="1854">
      <x:c r="A1854" s="552" t="inlineStr">
        <x:is>
          <x:t xml:space="preserve">2001-002496</x:t>
        </x:is>
      </x:c>
      <x:c r="B1854" s="552" t="n"/>
      <x:c r="C1854" s="552" t="inlineStr">
        <x:is>
          <x:t xml:space="preserve">Joint Tenancy Warranty Deed</x:t>
        </x:is>
      </x:c>
      <x:c r="D1854" s="552" t="inlineStr">
        <x:is>
          <x:t xml:space="preserve">1644/460</x:t>
        </x:is>
      </x:c>
      <x:c r="E1854" s="653" t="n">
        <x:v>37034</x:v>
      </x:c>
      <x:c r="F1854" s="653" t="n">
        <x:v>37041</x:v>
      </x:c>
      <x:c r="G1854" s="552" t="inlineStr">
        <x:is>
          <x:t xml:space="preserve">Leonard Herzberg and Mary Alice Herzberg, HW</x:t>
        </x:is>
      </x:c>
      <x:c r="H1854" s="552" t="inlineStr">
        <x:is>
          <x:t xml:space="preserve">Wendell Coots and Carolyn Coots, HW, JTWROS</x:t>
        </x:is>
      </x:c>
      <x:c r="I1854" s="552" t="inlineStr">
        <x:is>
          <x:t xml:space="preserve">A tract of land in Lot 1 of 31-12N-24W, described as follows: Beginning at the NW corner of said Lot 1, thence East 420.58 feet, thence South 725 feet, thence West 420.58 feet, and thence North 725 feet to the point of beginning,</x:t>
        </x:is>
      </x:c>
      <x:c r="J1854" s="552" t="inlineStr">
        <x:is>
          <x:t xml:space="preserve">LESS AND EXCEPT any interest in and to oil, gas and other minerals therein and thereunder including mineral interests owned by grantor and any interest previously reserved or conveyed of record, and all rights, interests and estates of whatsoever nature incident thereto or arising therefrom, it being the intent to convey the SURFACE rights only</x:t>
        </x:is>
      </x:c>
      <x:c r="K1854" s="554" t="e">
        <x:f>HYPERLINK("https://okcountyrecords.com/detail/roger+mills/2001-002496","OKCountyRecords: 2001-002496")</x:f>
      </x:c>
      <x:c r="L1854" s="552" t="n">
        <x:v>5</x:v>
      </x:c>
      <x:c r="M1854" s="552" t="inlineStr">
        <x:is>
          <x:t xml:space="preserve">Mineral</x:t>
        </x:is>
      </x:c>
      <x:c r="N1854" s="555" t="n">
        <x:v>0</x:v>
      </x:c>
      <x:c r="O1854" s="556" t="n">
        <x:f>IF($L1854="","",IF(ISNUMBER(SEARCH("all",$L1854)),640,(ISNUMBER(SEARCH("1",$L1854)))*80+(ISNUMBER(SEARCH("2",$L1854)))*160+(ISNUMBER(SEARCH("3",$L1854)))*40+(ISNUMBER(SEARCH("4",$L1854)))*80+(ISNUMBER(SEARCH("5",$L1854)))*120+(ISNUMBER(SEARCH("6",$L1854)))*80+(ISNUMBER(SEARCH("7",$L1854)))*40+(ISNUMBER(SEARCH("8",$L1854)))*40))</x:f>
        <x:v>0</x:v>
      </x:c>
      <x:c r="P1854" s="654" t="n">
        <x:f>IF($M1854&lt;&gt;"Mineral","",IF(ISNUMBER($N1854),$N1854,IF(OR(ISNUMBER(SEARCH("surface",$J1854)),ISNUMBER(SEARCH("reserv",$J1854)),ISNUMBER(SEARCH("less and except",$J1854))),0,"")))</x:f>
        <x:v>0</x:v>
      </x:c>
      <x:c r="Q1854" s="654" t="str">
        <x:f>IF($P1854="","",-$P1854)</x:f>
      </x:c>
      <x:c r="R1854" s="655" t="str">
        <x:f>IF($P1854="","",$O1854*$P1854)</x:f>
      </x:c>
      <x:c r="S1854" s="552" t="str">
        <x:f>IF($M1854="","",TRIM(IF($M1854="Mineral",IF(ISNUMBER($N1854),"Mineral; basis Conv Amt(dec). ",IF($P1854=0,"Mineral; surface-only/reserved-&gt;0 min. ","Mineral; NO AMOUNT-verify instrument. ")),$M1854&amp;" (non-mineral; excluded from mineral NMA). ")&amp;IF(OR(ISNUMBER(SEARCH("public",$G1854)),ISNUMBER(SEARCH("public",$H1854))),"FLAG: The Public placeholder-verify. ","")&amp;IF(ISNUMBER(SEARCH("all",$L1854)),"All-section coverage. ","")&amp;IF($O1854=0,"Gross acres unresolved. ","")&amp;"Gross=tract-map basis."))</x:f>
        <x:v>Mineral; basis Conv Amt(dec). Gross acres unresolved. Gross=tract-map basis.</x:v>
      </x:c>
      <x:c r="T1854" s="577" t="n"/>
      <x:c r="U1854" s="578" t="inlineStr">
        <x:is>
          <x:t xml:space="preserve">Surface only / minerals reserved — 0 net mineral acres; exclude from tract tabs.</x:t>
        </x:is>
      </x:c>
      <x:c r="V1854" s="565" t="n"/>
      <x:c r="W1854" s="565" t="n"/>
      <x:c r="X1854" s="565" t="n"/>
      <x:c r="Y1854" s="565" t="n"/>
      <x:c r="Z1854" s="565" t="n"/>
    </x:row>
    <x:row r="1855">
      <x:c r="A1855" s="552" t="inlineStr">
        <x:is>
          <x:t xml:space="preserve">2002-004832</x:t>
        </x:is>
      </x:c>
      <x:c r="B1855" s="552" t="n"/>
      <x:c r="C1855" s="552" t="inlineStr">
        <x:is>
          <x:t xml:space="preserve">Stipulation</x:t>
        </x:is>
      </x:c>
      <x:c r="D1855" s="552" t="inlineStr">
        <x:is>
          <x:t xml:space="preserve">1696/550</x:t>
        </x:is>
      </x:c>
      <x:c r="E1855" s="653" t="n">
        <x:v>37347</x:v>
      </x:c>
      <x:c r="F1855" s="653" t="n">
        <x:v>37608</x:v>
      </x:c>
      <x:c r="G1855" s="552" t="inlineStr">
        <x:is>
          <x:t xml:space="preserve">Arrowhead Resources, Inc.</x:t>
        </x:is>
      </x:c>
      <x:c r="H1855" s="552" t="inlineStr">
        <x:is>
          <x:t xml:space="preserve">B. H. C. H. Mineral, Ltd.,
B. H. C. H. Properties, Ltd.,
Garg Oil</x:t>
        </x:is>
      </x:c>
      <x:c r="I1855" s="552" t="inlineStr">
        <x:is>
          <x:t xml:space="preserve">All of 31-12N-24W, aol</x:t>
        </x:is>
      </x:c>
      <x:c r="J1855" s="552" t="inlineStr">
        <x:is>
          <x:t xml:space="preserve">11.5385 NMA
From 1637/26, 1639/206, 1639/426</x:t>
        </x:is>
      </x:c>
      <x:c r="K1855" s="554" t="e">
        <x:f>HYPERLINK("https://okcountyrecords.com/detail/roger+mills/2002-004832","OKCountyRecords: 2002-004832")</x:f>
      </x:c>
      <x:c r="L1855" s="552" t="inlineStr">
        <x:is>
          <x:t xml:space="preserve">All (1-8)</x:t>
        </x:is>
      </x:c>
      <x:c r="M1855" s="552" t="inlineStr">
        <x:is>
          <x:t xml:space="preserve">Leasehold</x:t>
        </x:is>
      </x:c>
      <x:c r="N1855" s="555" t="n"/>
      <x:c r="O1855" s="556" t="n">
        <x:f>IF($L1855="","",IF(ISNUMBER(SEARCH("all",$L1855)),640,(ISNUMBER(SEARCH("1",$L1855)))*80+(ISNUMBER(SEARCH("2",$L1855)))*160+(ISNUMBER(SEARCH("3",$L1855)))*40+(ISNUMBER(SEARCH("4",$L1855)))*80+(ISNUMBER(SEARCH("5",$L1855)))*120+(ISNUMBER(SEARCH("6",$L1855)))*80+(ISNUMBER(SEARCH("7",$L1855)))*40+(ISNUMBER(SEARCH("8",$L1855)))*40))</x:f>
        <x:v>640</x:v>
      </x:c>
      <x:c r="P1855" s="654" t="str">
        <x:f>IF($M1855&lt;&gt;"Mineral","",IF(ISNUMBER($N1855),$N1855,IF(OR(ISNUMBER(SEARCH("surface",$J1855)),ISNUMBER(SEARCH("reserv",$J1855)),ISNUMBER(SEARCH("less and except",$J1855))),0,"")))</x:f>
      </x:c>
      <x:c r="Q1855" s="654" t="str">
        <x:f>IF($P1855="","",-$P1855)</x:f>
      </x:c>
      <x:c r="R1855" s="655" t="str">
        <x:f>IF($P1855="","",$O1855*$P1855)</x:f>
      </x:c>
      <x:c r="S1855" s="552" t="str">
        <x:f>IF($M1855="","",TRIM(IF($M1855="Mineral",IF(ISNUMBER($N1855),"Mineral; basis Conv Amt(dec). ",IF($P1855=0,"Mineral; surface-only/reserved-&gt;0 min. ","Mineral; NO AMOUNT-verify instrument. ")),$M1855&amp;" (non-mineral; excluded from mineral NMA). ")&amp;IF(OR(ISNUMBER(SEARCH("public",$G1855)),ISNUMBER(SEARCH("public",$H1855))),"FLAG: The Public placeholder-verify. ","")&amp;IF(ISNUMBER(SEARCH("all",$L1855)),"All-section coverage. ","")&amp;IF($O1855=0,"Gross acres unresolved. ","")&amp;"Gross=tract-map basis."))</x:f>
        <x:v>Leasehold (non-mineral; excluded from mineral NMA). All-section coverage. Gross=tract-map basis.</x:v>
      </x:c>
      <x:c r="T1855" s="577" t="n"/>
      <x:c r="U1855" s="578" t="n"/>
      <x:c r="V1855" s="565" t="n"/>
      <x:c r="W1855" s="565" t="n"/>
      <x:c r="X1855" s="565" t="n"/>
      <x:c r="Y1855" s="565" t="n"/>
      <x:c r="Z1855" s="565" t="n"/>
    </x:row>
    <x:row r="1856">
      <x:c r="A1856" s="552" t="inlineStr">
        <x:is>
          <x:t xml:space="preserve">2002-001764</x:t>
        </x:is>
      </x:c>
      <x:c r="B1856" s="552" t="n">
        <x:v>13</x:v>
      </x:c>
      <x:c r="C1856" s="552" t="inlineStr">
        <x:is>
          <x:t xml:space="preserve">Oil and Gas Lease</x:t>
        </x:is>
      </x:c>
      <x:c r="D1856" s="552" t="inlineStr">
        <x:is>
          <x:t xml:space="preserve">1676/377</x:t>
        </x:is>
      </x:c>
      <x:c r="E1856" s="653" t="n">
        <x:v>37347</x:v>
      </x:c>
      <x:c r="F1856" s="653" t="n">
        <x:v>37372</x:v>
      </x:c>
      <x:c r="G1856" s="552" t="inlineStr">
        <x:is>
          <x:t xml:space="preserve">V. Slobin Myron</x:t>
        </x:is>
      </x:c>
      <x:c r="H1856" s="552" t="inlineStr">
        <x:is>
          <x:t xml:space="preserve">Chesapeake Exploration, Ltd. Ptn</x:t>
        </x:is>
      </x:c>
      <x:c r="I1856" s="552" t="inlineStr">
        <x:is>
          <x:t xml:space="preserve">NW/4 SE/4, S/2 SE/4, SW/4 NE/4 of 31-12N-24W</x:t>
        </x:is>
      </x:c>
      <x:c r="J1856" s="552" t="inlineStr">
        <x:is>
          <x:t xml:space="preserve">HBP</x:t>
        </x:is>
      </x:c>
      <x:c r="K1856" s="554" t="e">
        <x:f>HYPERLINK("https://okcountyrecords.com/detail/roger+mills/2002-001764","OKCountyRecords: 2002-001764")</x:f>
      </x:c>
      <x:c r="L1856" s="552" t="n">
        <x:v>2</x:v>
      </x:c>
      <x:c r="M1856" s="552" t="inlineStr">
        <x:is>
          <x:t xml:space="preserve">Leasehold</x:t>
        </x:is>
      </x:c>
      <x:c r="N1856" s="555" t="n"/>
      <x:c r="O1856" s="556" t="n">
        <x:f>IF($L1856="","",IF(ISNUMBER(SEARCH("all",$L1856)),640,(ISNUMBER(SEARCH("1",$L1856)))*80+(ISNUMBER(SEARCH("2",$L1856)))*160+(ISNUMBER(SEARCH("3",$L1856)))*40+(ISNUMBER(SEARCH("4",$L1856)))*80+(ISNUMBER(SEARCH("5",$L1856)))*120+(ISNUMBER(SEARCH("6",$L1856)))*80+(ISNUMBER(SEARCH("7",$L1856)))*40+(ISNUMBER(SEARCH("8",$L1856)))*40))</x:f>
        <x:v>0</x:v>
      </x:c>
      <x:c r="P1856" s="654" t="str">
        <x:f>IF($M1856&lt;&gt;"Mineral","",IF(ISNUMBER($N1856),$N1856,IF(OR(ISNUMBER(SEARCH("surface",$J1856)),ISNUMBER(SEARCH("reserv",$J1856)),ISNUMBER(SEARCH("less and except",$J1856))),0,"")))</x:f>
      </x:c>
      <x:c r="Q1856" s="654" t="str">
        <x:f>IF($P1856="","",-$P1856)</x:f>
      </x:c>
      <x:c r="R1856" s="655" t="str">
        <x:f>IF($P1856="","",$O1856*$P1856)</x:f>
      </x:c>
      <x:c r="S1856" s="552" t="str">
        <x:f>IF($M1856="","",TRIM(IF($M1856="Mineral",IF(ISNUMBER($N1856),"Mineral; basis Conv Amt(dec). ",IF($P1856=0,"Mineral; surface-only/reserved-&gt;0 min. ","Mineral; NO AMOUNT-verify instrument. ")),$M1856&amp;" (non-mineral; excluded from mineral NMA). ")&amp;IF(OR(ISNUMBER(SEARCH("public",$G1856)),ISNUMBER(SEARCH("public",$H1856))),"FLAG: The Public placeholder-verify. ","")&amp;IF(ISNUMBER(SEARCH("all",$L1856)),"All-section coverage. ","")&amp;IF($O1856=0,"Gross acres unresolved. ","")&amp;"Gross=tract-map basis."))</x:f>
        <x:v>Leasehold (non-mineral; excluded from mineral NMA). Gross acres unresolved. Gross=tract-map basis.</x:v>
      </x:c>
      <x:c r="T1856" s="577" t="n"/>
      <x:c r="U1856" s="578" t="n"/>
      <x:c r="V1856" s="565" t="n"/>
      <x:c r="W1856" s="565" t="n"/>
      <x:c r="X1856" s="565" t="n"/>
      <x:c r="Y1856" s="565" t="n"/>
      <x:c r="Z1856" s="565" t="n"/>
    </x:row>
    <x:row r="1857">
      <x:c r="A1857" s="552" t="inlineStr">
        <x:is>
          <x:t xml:space="preserve">2002-001685</x:t>
        </x:is>
      </x:c>
      <x:c r="B1857" s="552" t="n"/>
      <x:c r="C1857" s="552" t="inlineStr">
        <x:is>
          <x:t xml:space="preserve">Assignment</x:t>
        </x:is>
      </x:c>
      <x:c r="D1857" s="552" t="inlineStr">
        <x:is>
          <x:t xml:space="preserve">1676/140</x:t>
        </x:is>
      </x:c>
      <x:c r="E1857" s="653" t="n">
        <x:v>37348</x:v>
      </x:c>
      <x:c r="F1857" s="653" t="n">
        <x:v>37368</x:v>
      </x:c>
      <x:c r="G1857" s="552" t="inlineStr">
        <x:is>
          <x:t xml:space="preserve">Richard C. Cope</x:t>
        </x:is>
      </x:c>
      <x:c r="H1857" s="552" t="inlineStr">
        <x:is>
          <x:t xml:space="preserve">Walter Oil Duncan</x:t>
        </x:is>
      </x:c>
      <x:c r="I1857" s="552" t="inlineStr">
        <x:is>
          <x:t xml:space="preserve">NE/4 of 31-12N-24W, aol</x:t>
        </x:is>
      </x:c>
      <x:c r="J1857" s="552" t="inlineStr">
        <x:is>
          <x:t xml:space="preserve">ARTI</x:t>
        </x:is>
      </x:c>
      <x:c r="K1857" s="554" t="e">
        <x:f>HYPERLINK("https://okcountyrecords.com/detail/roger+mills/2002-001685","OKCountyRecords: 2002-001685")</x:f>
      </x:c>
      <x:c r="L1857" s="552" t="inlineStr">
        <x:is>
          <x:t xml:space="preserve">1, 2, 3</x:t>
        </x:is>
      </x:c>
      <x:c r="M1857" s="552" t="inlineStr">
        <x:is>
          <x:t xml:space="preserve">Leasehold</x:t>
        </x:is>
      </x:c>
      <x:c r="N1857" s="555" t="n"/>
      <x:c r="O1857" s="556" t="n">
        <x:f>IF($L1857="","",IF(ISNUMBER(SEARCH("all",$L1857)),640,(ISNUMBER(SEARCH("1",$L1857)))*80+(ISNUMBER(SEARCH("2",$L1857)))*160+(ISNUMBER(SEARCH("3",$L1857)))*40+(ISNUMBER(SEARCH("4",$L1857)))*80+(ISNUMBER(SEARCH("5",$L1857)))*120+(ISNUMBER(SEARCH("6",$L1857)))*80+(ISNUMBER(SEARCH("7",$L1857)))*40+(ISNUMBER(SEARCH("8",$L1857)))*40))</x:f>
        <x:v>0</x:v>
      </x:c>
      <x:c r="P1857" s="654" t="str">
        <x:f>IF($M1857&lt;&gt;"Mineral","",IF(ISNUMBER($N1857),$N1857,IF(OR(ISNUMBER(SEARCH("surface",$J1857)),ISNUMBER(SEARCH("reserv",$J1857)),ISNUMBER(SEARCH("less and except",$J1857))),0,"")))</x:f>
      </x:c>
      <x:c r="Q1857" s="654" t="str">
        <x:f>IF($P1857="","",-$P1857)</x:f>
      </x:c>
      <x:c r="R1857" s="655" t="str">
        <x:f>IF($P1857="","",$O1857*$P1857)</x:f>
      </x:c>
      <x:c r="S1857" s="552" t="str">
        <x:f>IF($M1857="","",TRIM(IF($M1857="Mineral",IF(ISNUMBER($N1857),"Mineral; basis Conv Amt(dec). ",IF($P1857=0,"Mineral; surface-only/reserved-&gt;0 min. ","Mineral; NO AMOUNT-verify instrument. ")),$M1857&amp;" (non-mineral; excluded from mineral NMA). ")&amp;IF(OR(ISNUMBER(SEARCH("public",$G1857)),ISNUMBER(SEARCH("public",$H1857))),"FLAG: The Public placeholder-verify. ","")&amp;IF(ISNUMBER(SEARCH("all",$L1857)),"All-section coverage. ","")&amp;IF($O1857=0,"Gross acres unresolved. ","")&amp;"Gross=tract-map basis."))</x:f>
        <x:v>Leasehold (non-mineral; excluded from mineral NMA). Gross acres unresolved. Gross=tract-map basis.</x:v>
      </x:c>
      <x:c r="T1857" s="577" t="n"/>
      <x:c r="U1857" s="578" t="n"/>
      <x:c r="V1857" s="565" t="n"/>
      <x:c r="W1857" s="565" t="n"/>
      <x:c r="X1857" s="565" t="n"/>
      <x:c r="Y1857" s="565" t="n"/>
      <x:c r="Z1857" s="565" t="n"/>
    </x:row>
    <x:row r="1858">
      <x:c r="A1858" s="552" t="inlineStr">
        <x:is>
          <x:t xml:space="preserve">2002-001765</x:t>
        </x:is>
      </x:c>
      <x:c r="B1858" s="552" t="n">
        <x:v>14</x:v>
      </x:c>
      <x:c r="C1858" s="552" t="inlineStr">
        <x:is>
          <x:t xml:space="preserve">Oil and Gas Lease</x:t>
        </x:is>
      </x:c>
      <x:c r="D1858" s="552" t="inlineStr">
        <x:is>
          <x:t xml:space="preserve">1676/379</x:t>
        </x:is>
      </x:c>
      <x:c r="E1858" s="653" t="n">
        <x:v>37354</x:v>
      </x:c>
      <x:c r="F1858" s="653" t="n">
        <x:v>37372</x:v>
      </x:c>
      <x:c r="G1858" s="552" t="inlineStr">
        <x:is>
          <x:t xml:space="preserve">A. Albert Paul, Personal Representative</x:t>
        </x:is>
      </x:c>
      <x:c r="H1858" s="552" t="inlineStr">
        <x:is>
          <x:t xml:space="preserve">Chesapeake Exploration, Ltd. Ptn</x:t>
        </x:is>
      </x:c>
      <x:c r="I1858" s="552" t="inlineStr">
        <x:is>
          <x:t xml:space="preserve">SE/4 SW/4 of 31-12N-24W</x:t>
        </x:is>
      </x:c>
      <x:c r="J1858" s="552" t="inlineStr">
        <x:is>
          <x:t xml:space="preserve">HBP</x:t>
        </x:is>
      </x:c>
      <x:c r="K1858" s="554" t="e">
        <x:f>HYPERLINK("https://okcountyrecords.com/detail/roger+mills/2002-001765","OKCountyRecords: 2002-001765")</x:f>
      </x:c>
      <x:c r="L1858" s="552" t="n">
        <x:v>5</x:v>
      </x:c>
      <x:c r="M1858" s="552" t="inlineStr">
        <x:is>
          <x:t xml:space="preserve">Leasehold</x:t>
        </x:is>
      </x:c>
      <x:c r="N1858" s="555" t="n"/>
      <x:c r="O1858" s="556" t="n">
        <x:f>IF($L1858="","",IF(ISNUMBER(SEARCH("all",$L1858)),640,(ISNUMBER(SEARCH("1",$L1858)))*80+(ISNUMBER(SEARCH("2",$L1858)))*160+(ISNUMBER(SEARCH("3",$L1858)))*40+(ISNUMBER(SEARCH("4",$L1858)))*80+(ISNUMBER(SEARCH("5",$L1858)))*120+(ISNUMBER(SEARCH("6",$L1858)))*80+(ISNUMBER(SEARCH("7",$L1858)))*40+(ISNUMBER(SEARCH("8",$L1858)))*40))</x:f>
        <x:v>0</x:v>
      </x:c>
      <x:c r="P1858" s="654" t="str">
        <x:f>IF($M1858&lt;&gt;"Mineral","",IF(ISNUMBER($N1858),$N1858,IF(OR(ISNUMBER(SEARCH("surface",$J1858)),ISNUMBER(SEARCH("reserv",$J1858)),ISNUMBER(SEARCH("less and except",$J1858))),0,"")))</x:f>
      </x:c>
      <x:c r="Q1858" s="654" t="str">
        <x:f>IF($P1858="","",-$P1858)</x:f>
      </x:c>
      <x:c r="R1858" s="655" t="str">
        <x:f>IF($P1858="","",$O1858*$P1858)</x:f>
      </x:c>
      <x:c r="S1858" s="552" t="str">
        <x:f>IF($M1858="","",TRIM(IF($M1858="Mineral",IF(ISNUMBER($N1858),"Mineral; basis Conv Amt(dec). ",IF($P1858=0,"Mineral; surface-only/reserved-&gt;0 min. ","Mineral; NO AMOUNT-verify instrument. ")),$M1858&amp;" (non-mineral; excluded from mineral NMA). ")&amp;IF(OR(ISNUMBER(SEARCH("public",$G1858)),ISNUMBER(SEARCH("public",$H1858))),"FLAG: The Public placeholder-verify. ","")&amp;IF(ISNUMBER(SEARCH("all",$L1858)),"All-section coverage. ","")&amp;IF($O1858=0,"Gross acres unresolved. ","")&amp;"Gross=tract-map basis."))</x:f>
        <x:v>Leasehold (non-mineral; excluded from mineral NMA). Gross acres unresolved. Gross=tract-map basis.</x:v>
      </x:c>
      <x:c r="T1858" s="577" t="n"/>
      <x:c r="U1858" s="578" t="n"/>
      <x:c r="V1858" s="565" t="n"/>
      <x:c r="W1858" s="565" t="n"/>
      <x:c r="X1858" s="565" t="n"/>
      <x:c r="Y1858" s="565" t="n"/>
      <x:c r="Z1858" s="565" t="n"/>
    </x:row>
    <x:row r="1859">
      <x:c r="A1859" s="552" t="inlineStr">
        <x:is>
          <x:t xml:space="preserve">2002-003522</x:t>
        </x:is>
      </x:c>
      <x:c r="B1859" s="552" t="n">
        <x:v>15</x:v>
      </x:c>
      <x:c r="C1859" s="552" t="inlineStr">
        <x:is>
          <x:t xml:space="preserve">Oil and Gas Lease</x:t>
        </x:is>
      </x:c>
      <x:c r="D1859" s="552" t="inlineStr">
        <x:is>
          <x:t xml:space="preserve">1688/108</x:t>
        </x:is>
      </x:c>
      <x:c r="E1859" s="653" t="n">
        <x:v>37354</x:v>
      </x:c>
      <x:c r="F1859" s="653" t="n">
        <x:v>37503</x:v>
      </x:c>
      <x:c r="G1859" s="552" t="inlineStr">
        <x:is>
          <x:t xml:space="preserve">L. A. Persicke</x:t>
        </x:is>
      </x:c>
      <x:c r="H1859" s="552" t="inlineStr">
        <x:is>
          <x:t xml:space="preserve">Chesapeake Exploration, Ltd. Ptn</x:t>
        </x:is>
      </x:c>
      <x:c r="I1859" s="552" t="inlineStr">
        <x:is>
          <x:t xml:space="preserve">NW/4 SE/4, S/2 SE/4, SW/4 NE/4 of 31-12N-24W</x:t>
        </x:is>
      </x:c>
      <x:c r="J1859" s="552" t="inlineStr">
        <x:is>
          <x:t xml:space="preserve">HBP</x:t>
        </x:is>
      </x:c>
      <x:c r="K1859" s="554" t="e">
        <x:f>HYPERLINK("https://okcountyrecords.com/detail/roger+mills/2002-003522","OKCountyRecords: 2002-003522")</x:f>
      </x:c>
      <x:c r="L1859" s="552" t="n">
        <x:v>2</x:v>
      </x:c>
      <x:c r="M1859" s="552" t="inlineStr">
        <x:is>
          <x:t xml:space="preserve">Leasehold</x:t>
        </x:is>
      </x:c>
      <x:c r="N1859" s="555" t="n"/>
      <x:c r="O1859" s="556" t="n">
        <x:f>IF($L1859="","",IF(ISNUMBER(SEARCH("all",$L1859)),640,(ISNUMBER(SEARCH("1",$L1859)))*80+(ISNUMBER(SEARCH("2",$L1859)))*160+(ISNUMBER(SEARCH("3",$L1859)))*40+(ISNUMBER(SEARCH("4",$L1859)))*80+(ISNUMBER(SEARCH("5",$L1859)))*120+(ISNUMBER(SEARCH("6",$L1859)))*80+(ISNUMBER(SEARCH("7",$L1859)))*40+(ISNUMBER(SEARCH("8",$L1859)))*40))</x:f>
        <x:v>0</x:v>
      </x:c>
      <x:c r="P1859" s="654" t="str">
        <x:f>IF($M1859&lt;&gt;"Mineral","",IF(ISNUMBER($N1859),$N1859,IF(OR(ISNUMBER(SEARCH("surface",$J1859)),ISNUMBER(SEARCH("reserv",$J1859)),ISNUMBER(SEARCH("less and except",$J1859))),0,"")))</x:f>
      </x:c>
      <x:c r="Q1859" s="654" t="str">
        <x:f>IF($P1859="","",-$P1859)</x:f>
      </x:c>
      <x:c r="R1859" s="655" t="str">
        <x:f>IF($P1859="","",$O1859*$P1859)</x:f>
      </x:c>
      <x:c r="S1859" s="552" t="str">
        <x:f>IF($M1859="","",TRIM(IF($M1859="Mineral",IF(ISNUMBER($N1859),"Mineral; basis Conv Amt(dec). ",IF($P1859=0,"Mineral; surface-only/reserved-&gt;0 min. ","Mineral; NO AMOUNT-verify instrument. ")),$M1859&amp;" (non-mineral; excluded from mineral NMA). ")&amp;IF(OR(ISNUMBER(SEARCH("public",$G1859)),ISNUMBER(SEARCH("public",$H1859))),"FLAG: The Public placeholder-verify. ","")&amp;IF(ISNUMBER(SEARCH("all",$L1859)),"All-section coverage. ","")&amp;IF($O1859=0,"Gross acres unresolved. ","")&amp;"Gross=tract-map basis."))</x:f>
        <x:v>Leasehold (non-mineral; excluded from mineral NMA). Gross acres unresolved. Gross=tract-map basis.</x:v>
      </x:c>
      <x:c r="T1859" s="577" t="n"/>
      <x:c r="U1859" s="578" t="n"/>
      <x:c r="V1859" s="565" t="n"/>
      <x:c r="W1859" s="565" t="n"/>
      <x:c r="X1859" s="565" t="n"/>
      <x:c r="Y1859" s="565" t="n"/>
      <x:c r="Z1859" s="565" t="n"/>
    </x:row>
    <x:row r="1860">
      <x:c r="A1860" s="552" t="inlineStr">
        <x:is>
          <x:t xml:space="preserve">2002-002538</x:t>
        </x:is>
      </x:c>
      <x:c r="B1860" s="552" t="n"/>
      <x:c r="C1860" s="552" t="inlineStr">
        <x:is>
          <x:t xml:space="preserve">Oil and Gas Lease</x:t>
        </x:is>
      </x:c>
      <x:c r="D1860" s="552" t="inlineStr">
        <x:is>
          <x:t xml:space="preserve">1682/64</x:t>
        </x:is>
      </x:c>
      <x:c r="E1860" s="653" t="n">
        <x:v>37354</x:v>
      </x:c>
      <x:c r="F1860" s="653" t="n">
        <x:v>37424</x:v>
      </x:c>
      <x:c r="G1860" s="552" t="inlineStr">
        <x:is>
          <x:t xml:space="preserve">L. A. Persicke
36836 Franklin Ave.
Madera, CA 93637</x:t>
        </x:is>
      </x:c>
      <x:c r="H1860" s="552" t="inlineStr">
        <x:is>
          <x:t xml:space="preserve">Chesapeake Exploration Ltd. Ptn.</x:t>
        </x:is>
      </x:c>
      <x:c r="I1860" s="552" t="inlineStr">
        <x:is>
          <x:t xml:space="preserve">NW/4 SE/4, S/2 SE/4 of 31-12N-24W</x:t>
        </x:is>
      </x:c>
      <x:c r="J1860" s="552" t="inlineStr">
        <x:is>
          <x:t xml:space="preserve">160 gross acres 
3 years
1/8th royalty</x:t>
        </x:is>
      </x:c>
      <x:c r="K1860" s="554" t="e">
        <x:f>HYPERLINK("https://okcountyrecords.com/detail/roger+mills/2002-002538","OKCountyRecords: 2002-002538")</x:f>
      </x:c>
      <x:c r="L1860" s="552" t="n">
        <x:v>2</x:v>
      </x:c>
      <x:c r="M1860" s="552" t="inlineStr">
        <x:is>
          <x:t xml:space="preserve">Leasehold</x:t>
        </x:is>
      </x:c>
      <x:c r="N1860" s="555" t="n"/>
      <x:c r="O1860" s="556" t="n">
        <x:f>IF($L1860="","",IF(ISNUMBER(SEARCH("all",$L1860)),640,(ISNUMBER(SEARCH("1",$L1860)))*80+(ISNUMBER(SEARCH("2",$L1860)))*160+(ISNUMBER(SEARCH("3",$L1860)))*40+(ISNUMBER(SEARCH("4",$L1860)))*80+(ISNUMBER(SEARCH("5",$L1860)))*120+(ISNUMBER(SEARCH("6",$L1860)))*80+(ISNUMBER(SEARCH("7",$L1860)))*40+(ISNUMBER(SEARCH("8",$L1860)))*40))</x:f>
        <x:v>0</x:v>
      </x:c>
      <x:c r="P1860" s="654" t="str">
        <x:f>IF($M1860&lt;&gt;"Mineral","",IF(ISNUMBER($N1860),$N1860,IF(OR(ISNUMBER(SEARCH("surface",$J1860)),ISNUMBER(SEARCH("reserv",$J1860)),ISNUMBER(SEARCH("less and except",$J1860))),0,"")))</x:f>
      </x:c>
      <x:c r="Q1860" s="654" t="str">
        <x:f>IF($P1860="","",-$P1860)</x:f>
      </x:c>
      <x:c r="R1860" s="655" t="str">
        <x:f>IF($P1860="","",$O1860*$P1860)</x:f>
      </x:c>
      <x:c r="S1860" s="552" t="str">
        <x:f>IF($M1860="","",TRIM(IF($M1860="Mineral",IF(ISNUMBER($N1860),"Mineral; basis Conv Amt(dec). ",IF($P1860=0,"Mineral; surface-only/reserved-&gt;0 min. ","Mineral; NO AMOUNT-verify instrument. ")),$M1860&amp;" (non-mineral; excluded from mineral NMA). ")&amp;IF(OR(ISNUMBER(SEARCH("public",$G1860)),ISNUMBER(SEARCH("public",$H1860))),"FLAG: The Public placeholder-verify. ","")&amp;IF(ISNUMBER(SEARCH("all",$L1860)),"All-section coverage. ","")&amp;IF($O1860=0,"Gross acres unresolved. ","")&amp;"Gross=tract-map basis."))</x:f>
        <x:v>Leasehold (non-mineral; excluded from mineral NMA). Gross acres unresolved. Gross=tract-map basis.</x:v>
      </x:c>
      <x:c r="T1860" s="577" t="n"/>
      <x:c r="U1860" s="578" t="n"/>
      <x:c r="V1860" s="565" t="n"/>
      <x:c r="W1860" s="565" t="n"/>
      <x:c r="X1860" s="565" t="n"/>
      <x:c r="Y1860" s="565" t="n"/>
      <x:c r="Z1860" s="565" t="n"/>
    </x:row>
    <x:row r="1861">
      <x:c r="A1861" s="552" t="inlineStr">
        <x:is>
          <x:t xml:space="preserve">2002-001971</x:t>
        </x:is>
      </x:c>
      <x:c r="B1861" s="552" t="n"/>
      <x:c r="C1861" s="552" t="inlineStr">
        <x:is>
          <x:t xml:space="preserve">Oil and Gas Lease</x:t>
        </x:is>
      </x:c>
      <x:c r="D1861" s="552" t="inlineStr">
        <x:is>
          <x:t xml:space="preserve">1677/535</x:t>
        </x:is>
      </x:c>
      <x:c r="E1861" s="653" t="n">
        <x:v>37361</x:v>
      </x:c>
      <x:c r="F1861" s="653" t="n">
        <x:v>37389</x:v>
      </x:c>
      <x:c r="G1861" s="552" t="inlineStr">
        <x:is>
          <x:t xml:space="preserve">Mary Ellen Silverberg
#26 West 45th St.
Sioux City, IA 51104</x:t>
        </x:is>
      </x:c>
      <x:c r="H1861" s="552" t="inlineStr">
        <x:is>
          <x:t xml:space="preserve">EOG Resources, Inc.</x:t>
        </x:is>
      </x:c>
      <x:c r="I1861" s="552" t="inlineStr">
        <x:is>
          <x:t xml:space="preserve">NW/4 SE/4, S/2 SE/4, SW/4 NE/4 of 31-12N-24W</x:t>
        </x:is>
      </x:c>
      <x:c r="J1861" s="552" t="inlineStr">
        <x:is>
          <x:t xml:space="preserve">160 gross acres 
3 years
3/16ths royalty</x:t>
        </x:is>
      </x:c>
      <x:c r="K1861" s="554" t="e">
        <x:f>HYPERLINK("https://okcountyrecords.com/detail/roger+mills/2002-001971","OKCountyRecords: 2002-001971")</x:f>
      </x:c>
      <x:c r="L1861" s="552" t="n">
        <x:v>2</x:v>
      </x:c>
      <x:c r="M1861" s="552" t="inlineStr">
        <x:is>
          <x:t xml:space="preserve">Leasehold</x:t>
        </x:is>
      </x:c>
      <x:c r="N1861" s="555" t="n"/>
      <x:c r="O1861" s="556" t="n">
        <x:f>IF($L1861="","",IF(ISNUMBER(SEARCH("all",$L1861)),640,(ISNUMBER(SEARCH("1",$L1861)))*80+(ISNUMBER(SEARCH("2",$L1861)))*160+(ISNUMBER(SEARCH("3",$L1861)))*40+(ISNUMBER(SEARCH("4",$L1861)))*80+(ISNUMBER(SEARCH("5",$L1861)))*120+(ISNUMBER(SEARCH("6",$L1861)))*80+(ISNUMBER(SEARCH("7",$L1861)))*40+(ISNUMBER(SEARCH("8",$L1861)))*40))</x:f>
        <x:v>0</x:v>
      </x:c>
      <x:c r="P1861" s="654" t="str">
        <x:f>IF($M1861&lt;&gt;"Mineral","",IF(ISNUMBER($N1861),$N1861,IF(OR(ISNUMBER(SEARCH("surface",$J1861)),ISNUMBER(SEARCH("reserv",$J1861)),ISNUMBER(SEARCH("less and except",$J1861))),0,"")))</x:f>
      </x:c>
      <x:c r="Q1861" s="654" t="str">
        <x:f>IF($P1861="","",-$P1861)</x:f>
      </x:c>
      <x:c r="R1861" s="655" t="str">
        <x:f>IF($P1861="","",$O1861*$P1861)</x:f>
      </x:c>
      <x:c r="S1861" s="552" t="str">
        <x:f>IF($M1861="","",TRIM(IF($M1861="Mineral",IF(ISNUMBER($N1861),"Mineral; basis Conv Amt(dec). ",IF($P1861=0,"Mineral; surface-only/reserved-&gt;0 min. ","Mineral; NO AMOUNT-verify instrument. ")),$M1861&amp;" (non-mineral; excluded from mineral NMA). ")&amp;IF(OR(ISNUMBER(SEARCH("public",$G1861)),ISNUMBER(SEARCH("public",$H1861))),"FLAG: The Public placeholder-verify. ","")&amp;IF(ISNUMBER(SEARCH("all",$L1861)),"All-section coverage. ","")&amp;IF($O1861=0,"Gross acres unresolved. ","")&amp;"Gross=tract-map basis."))</x:f>
        <x:v>Leasehold (non-mineral; excluded from mineral NMA). Gross acres unresolved. Gross=tract-map basis.</x:v>
      </x:c>
      <x:c r="T1861" s="577" t="n"/>
      <x:c r="U1861" s="578" t="n"/>
      <x:c r="V1861" s="565" t="n"/>
      <x:c r="W1861" s="565" t="n"/>
      <x:c r="X1861" s="565" t="n"/>
      <x:c r="Y1861" s="565" t="n"/>
      <x:c r="Z1861" s="565" t="n"/>
    </x:row>
    <x:row r="1862">
      <x:c r="A1862" s="552" t="inlineStr">
        <x:is>
          <x:t xml:space="preserve">2002-001970</x:t>
        </x:is>
      </x:c>
      <x:c r="B1862" s="552" t="n">
        <x:v>16</x:v>
      </x:c>
      <x:c r="C1862" s="552" t="inlineStr">
        <x:is>
          <x:t xml:space="preserve">Oil and Gas Lease</x:t>
        </x:is>
      </x:c>
      <x:c r="D1862" s="552" t="inlineStr">
        <x:is>
          <x:t xml:space="preserve">1677/533</x:t>
        </x:is>
      </x:c>
      <x:c r="E1862" s="653" t="n">
        <x:v>37361</x:v>
      </x:c>
      <x:c r="F1862" s="653" t="n">
        <x:v>37389</x:v>
      </x:c>
      <x:c r="G1862" s="552" t="inlineStr">
        <x:is>
          <x:t xml:space="preserve">S. Silverberg David</x:t>
        </x:is>
      </x:c>
      <x:c r="H1862" s="552" t="inlineStr">
        <x:is>
          <x:t xml:space="preserve">EOG Resources, Inc.</x:t>
        </x:is>
      </x:c>
      <x:c r="I1862" s="552" t="inlineStr">
        <x:is>
          <x:t xml:space="preserve">NW/4 SE/4, S/2 SE/4, SW/4 NE/4 of 31-12N-24W</x:t>
        </x:is>
      </x:c>
      <x:c r="J1862" s="552" t="inlineStr">
        <x:is>
          <x:t xml:space="preserve">HBP</x:t>
        </x:is>
      </x:c>
      <x:c r="K1862" s="554" t="e">
        <x:f>HYPERLINK("https://okcountyrecords.com/detail/roger+mills/2002-001970","OKCountyRecords: 2002-001970")</x:f>
      </x:c>
      <x:c r="L1862" s="552" t="n">
        <x:v>2</x:v>
      </x:c>
      <x:c r="M1862" s="552" t="inlineStr">
        <x:is>
          <x:t xml:space="preserve">Leasehold</x:t>
        </x:is>
      </x:c>
      <x:c r="N1862" s="555" t="n"/>
      <x:c r="O1862" s="556" t="n">
        <x:f>IF($L1862="","",IF(ISNUMBER(SEARCH("all",$L1862)),640,(ISNUMBER(SEARCH("1",$L1862)))*80+(ISNUMBER(SEARCH("2",$L1862)))*160+(ISNUMBER(SEARCH("3",$L1862)))*40+(ISNUMBER(SEARCH("4",$L1862)))*80+(ISNUMBER(SEARCH("5",$L1862)))*120+(ISNUMBER(SEARCH("6",$L1862)))*80+(ISNUMBER(SEARCH("7",$L1862)))*40+(ISNUMBER(SEARCH("8",$L1862)))*40))</x:f>
        <x:v>0</x:v>
      </x:c>
      <x:c r="P1862" s="654" t="str">
        <x:f>IF($M1862&lt;&gt;"Mineral","",IF(ISNUMBER($N1862),$N1862,IF(OR(ISNUMBER(SEARCH("surface",$J1862)),ISNUMBER(SEARCH("reserv",$J1862)),ISNUMBER(SEARCH("less and except",$J1862))),0,"")))</x:f>
      </x:c>
      <x:c r="Q1862" s="654" t="str">
        <x:f>IF($P1862="","",-$P1862)</x:f>
      </x:c>
      <x:c r="R1862" s="655" t="str">
        <x:f>IF($P1862="","",$O1862*$P1862)</x:f>
      </x:c>
      <x:c r="S1862" s="552" t="str">
        <x:f>IF($M1862="","",TRIM(IF($M1862="Mineral",IF(ISNUMBER($N1862),"Mineral; basis Conv Amt(dec). ",IF($P1862=0,"Mineral; surface-only/reserved-&gt;0 min. ","Mineral; NO AMOUNT-verify instrument. ")),$M1862&amp;" (non-mineral; excluded from mineral NMA). ")&amp;IF(OR(ISNUMBER(SEARCH("public",$G1862)),ISNUMBER(SEARCH("public",$H1862))),"FLAG: The Public placeholder-verify. ","")&amp;IF(ISNUMBER(SEARCH("all",$L1862)),"All-section coverage. ","")&amp;IF($O1862=0,"Gross acres unresolved. ","")&amp;"Gross=tract-map basis."))</x:f>
        <x:v>Leasehold (non-mineral; excluded from mineral NMA). Gross acres unresolved. Gross=tract-map basis.</x:v>
      </x:c>
      <x:c r="T1862" s="577" t="n"/>
      <x:c r="U1862" s="578" t="n"/>
      <x:c r="V1862" s="565" t="n"/>
      <x:c r="W1862" s="565" t="n"/>
      <x:c r="X1862" s="565" t="n"/>
      <x:c r="Y1862" s="565" t="n"/>
      <x:c r="Z1862" s="565" t="n"/>
    </x:row>
    <x:row r="1863">
      <x:c r="A1863" s="552" t="inlineStr">
        <x:is>
          <x:t xml:space="preserve">2002-002254</x:t>
        </x:is>
      </x:c>
      <x:c r="B1863" s="552" t="n"/>
      <x:c r="C1863" s="552" t="inlineStr">
        <x:is>
          <x:t xml:space="preserve">Oil and Gas Lease</x:t>
        </x:is>
      </x:c>
      <x:c r="D1863" s="552" t="inlineStr">
        <x:is>
          <x:t xml:space="preserve">1680/431</x:t>
        </x:is>
      </x:c>
      <x:c r="E1863" s="653" t="n">
        <x:v>37364</x:v>
      </x:c>
      <x:c r="F1863" s="653" t="n">
        <x:v>37410</x:v>
      </x:c>
      <x:c r="G1863" s="552" t="inlineStr">
        <x:is>
          <x:t xml:space="preserve">James E. Menchan
1755 16th Street
Monroe, WI 53566</x:t>
        </x:is>
      </x:c>
      <x:c r="H1863" s="552" t="inlineStr">
        <x:is>
          <x:t xml:space="preserve">Chesapeake Exploration Ltd. Ptn.</x:t>
        </x:is>
      </x:c>
      <x:c r="I1863" s="552" t="inlineStr">
        <x:is>
          <x:t xml:space="preserve">E/2 SE/4, SW/4 NE/4 of 31-12N-24W</x:t>
        </x:is>
      </x:c>
      <x:c r="J1863" s="552" t="inlineStr">
        <x:is>
          <x:t xml:space="preserve">160 gross acres 
3 years
1/8th royalty</x:t>
        </x:is>
      </x:c>
      <x:c r="K1863" s="554" t="e">
        <x:f>HYPERLINK("https://okcountyrecords.com/detail/roger+mills/2002-002254","OKCountyRecords: 2002-002254")</x:f>
      </x:c>
      <x:c r="L1863" s="552" t="inlineStr">
        <x:is>
          <x:t xml:space="preserve">2, 8</x:t>
        </x:is>
      </x:c>
      <x:c r="M1863" s="552" t="inlineStr">
        <x:is>
          <x:t xml:space="preserve">Leasehold</x:t>
        </x:is>
      </x:c>
      <x:c r="N1863" s="555" t="n"/>
      <x:c r="O1863" s="556" t="n">
        <x:f>IF($L1863="","",IF(ISNUMBER(SEARCH("all",$L1863)),640,(ISNUMBER(SEARCH("1",$L1863)))*80+(ISNUMBER(SEARCH("2",$L1863)))*160+(ISNUMBER(SEARCH("3",$L1863)))*40+(ISNUMBER(SEARCH("4",$L1863)))*80+(ISNUMBER(SEARCH("5",$L1863)))*120+(ISNUMBER(SEARCH("6",$L1863)))*80+(ISNUMBER(SEARCH("7",$L1863)))*40+(ISNUMBER(SEARCH("8",$L1863)))*40))</x:f>
        <x:v>0</x:v>
      </x:c>
      <x:c r="P1863" s="654" t="str">
        <x:f>IF($M1863&lt;&gt;"Mineral","",IF(ISNUMBER($N1863),$N1863,IF(OR(ISNUMBER(SEARCH("surface",$J1863)),ISNUMBER(SEARCH("reserv",$J1863)),ISNUMBER(SEARCH("less and except",$J1863))),0,"")))</x:f>
      </x:c>
      <x:c r="Q1863" s="654" t="str">
        <x:f>IF($P1863="","",-$P1863)</x:f>
      </x:c>
      <x:c r="R1863" s="655" t="str">
        <x:f>IF($P1863="","",$O1863*$P1863)</x:f>
      </x:c>
      <x:c r="S1863" s="552" t="str">
        <x:f>IF($M1863="","",TRIM(IF($M1863="Mineral",IF(ISNUMBER($N1863),"Mineral; basis Conv Amt(dec). ",IF($P1863=0,"Mineral; surface-only/reserved-&gt;0 min. ","Mineral; NO AMOUNT-verify instrument. ")),$M1863&amp;" (non-mineral; excluded from mineral NMA). ")&amp;IF(OR(ISNUMBER(SEARCH("public",$G1863)),ISNUMBER(SEARCH("public",$H1863))),"FLAG: The Public placeholder-verify. ","")&amp;IF(ISNUMBER(SEARCH("all",$L1863)),"All-section coverage. ","")&amp;IF($O1863=0,"Gross acres unresolved. ","")&amp;"Gross=tract-map basis."))</x:f>
        <x:v>Leasehold (non-mineral; excluded from mineral NMA). Gross acres unresolved. Gross=tract-map basis.</x:v>
      </x:c>
      <x:c r="T1863" s="577" t="n"/>
      <x:c r="U1863" s="578" t="n"/>
      <x:c r="V1863" s="565" t="n"/>
      <x:c r="W1863" s="565" t="n"/>
      <x:c r="X1863" s="565" t="n"/>
      <x:c r="Y1863" s="565" t="n"/>
      <x:c r="Z1863" s="565" t="n"/>
    </x:row>
    <x:row r="1864">
      <x:c r="A1864" s="552" t="inlineStr">
        <x:is>
          <x:t xml:space="preserve">2002-001963</x:t>
        </x:is>
      </x:c>
      <x:c r="B1864" s="552" t="n">
        <x:v>17</x:v>
      </x:c>
      <x:c r="C1864" s="552" t="inlineStr">
        <x:is>
          <x:t xml:space="preserve">Oil and Gas Lease</x:t>
        </x:is>
      </x:c>
      <x:c r="D1864" s="552" t="inlineStr">
        <x:is>
          <x:t xml:space="preserve">1677/516</x:t>
        </x:is>
      </x:c>
      <x:c r="E1864" s="653" t="n">
        <x:v>37364</x:v>
      </x:c>
      <x:c r="F1864" s="653" t="n">
        <x:v>37389</x:v>
      </x:c>
      <x:c r="G1864" s="552" t="inlineStr">
        <x:is>
          <x:t xml:space="preserve">T. Ibeling Lyle</x:t>
        </x:is>
      </x:c>
      <x:c r="H1864" s="552" t="inlineStr">
        <x:is>
          <x:t xml:space="preserve">Chesapeake Exploration Co., Ltd. Ptn</x:t>
        </x:is>
      </x:c>
      <x:c r="I1864" s="552" t="inlineStr">
        <x:is>
          <x:t xml:space="preserve">NW/4 SE/4, S/2 SE/4, SW/4 NE/4 of 31-12N-24W</x:t>
        </x:is>
      </x:c>
      <x:c r="J1864" s="552" t="inlineStr">
        <x:is>
          <x:t xml:space="preserve">HBP</x:t>
        </x:is>
      </x:c>
      <x:c r="K1864" s="554" t="e">
        <x:f>HYPERLINK("https://okcountyrecords.com/detail/roger+mills/2002-001963","OKCountyRecords: 2002-001963")</x:f>
      </x:c>
      <x:c r="L1864" s="552" t="n">
        <x:v>2</x:v>
      </x:c>
      <x:c r="M1864" s="552" t="inlineStr">
        <x:is>
          <x:t xml:space="preserve">Leasehold</x:t>
        </x:is>
      </x:c>
      <x:c r="N1864" s="555" t="n"/>
      <x:c r="O1864" s="556" t="n">
        <x:f>IF($L1864="","",IF(ISNUMBER(SEARCH("all",$L1864)),640,(ISNUMBER(SEARCH("1",$L1864)))*80+(ISNUMBER(SEARCH("2",$L1864)))*160+(ISNUMBER(SEARCH("3",$L1864)))*40+(ISNUMBER(SEARCH("4",$L1864)))*80+(ISNUMBER(SEARCH("5",$L1864)))*120+(ISNUMBER(SEARCH("6",$L1864)))*80+(ISNUMBER(SEARCH("7",$L1864)))*40+(ISNUMBER(SEARCH("8",$L1864)))*40))</x:f>
        <x:v>0</x:v>
      </x:c>
      <x:c r="P1864" s="654" t="str">
        <x:f>IF($M1864&lt;&gt;"Mineral","",IF(ISNUMBER($N1864),$N1864,IF(OR(ISNUMBER(SEARCH("surface",$J1864)),ISNUMBER(SEARCH("reserv",$J1864)),ISNUMBER(SEARCH("less and except",$J1864))),0,"")))</x:f>
      </x:c>
      <x:c r="Q1864" s="654" t="str">
        <x:f>IF($P1864="","",-$P1864)</x:f>
      </x:c>
      <x:c r="R1864" s="655" t="str">
        <x:f>IF($P1864="","",$O1864*$P1864)</x:f>
      </x:c>
      <x:c r="S1864" s="552" t="str">
        <x:f>IF($M1864="","",TRIM(IF($M1864="Mineral",IF(ISNUMBER($N1864),"Mineral; basis Conv Amt(dec). ",IF($P1864=0,"Mineral; surface-only/reserved-&gt;0 min. ","Mineral; NO AMOUNT-verify instrument. ")),$M1864&amp;" (non-mineral; excluded from mineral NMA). ")&amp;IF(OR(ISNUMBER(SEARCH("public",$G1864)),ISNUMBER(SEARCH("public",$H1864))),"FLAG: The Public placeholder-verify. ","")&amp;IF(ISNUMBER(SEARCH("all",$L1864)),"All-section coverage. ","")&amp;IF($O1864=0,"Gross acres unresolved. ","")&amp;"Gross=tract-map basis."))</x:f>
        <x:v>Leasehold (non-mineral; excluded from mineral NMA). Gross acres unresolved. Gross=tract-map basis.</x:v>
      </x:c>
      <x:c r="T1864" s="577" t="n"/>
      <x:c r="U1864" s="578" t="n"/>
      <x:c r="V1864" s="565" t="n"/>
      <x:c r="W1864" s="565" t="n"/>
      <x:c r="X1864" s="565" t="n"/>
      <x:c r="Y1864" s="565" t="n"/>
      <x:c r="Z1864" s="565" t="n"/>
    </x:row>
    <x:row r="1865">
      <x:c r="A1865" s="552" t="inlineStr">
        <x:is>
          <x:t xml:space="preserve">2002-002104</x:t>
        </x:is>
      </x:c>
      <x:c r="B1865" s="552" t="n"/>
      <x:c r="C1865" s="552" t="inlineStr">
        <x:is>
          <x:t xml:space="preserve">Oil and Gas Lease</x:t>
        </x:is>
      </x:c>
      <x:c r="D1865" s="552" t="inlineStr">
        <x:is>
          <x:t xml:space="preserve">1678/554</x:t>
        </x:is>
      </x:c>
      <x:c r="E1865" s="653" t="n">
        <x:v>37381</x:v>
      </x:c>
      <x:c r="F1865" s="653" t="n">
        <x:v>37399</x:v>
      </x:c>
      <x:c r="G1865" s="552" t="inlineStr">
        <x:is>
          <x:t xml:space="preserve">Lyle T. Ibeling
740 Herron Court, #A
Waterloo, WI 53594</x:t>
        </x:is>
      </x:c>
      <x:c r="H1865" s="552" t="inlineStr">
        <x:is>
          <x:t xml:space="preserve">EOG Resources, Inc.</x:t>
        </x:is>
      </x:c>
      <x:c r="I1865" s="552" t="inlineStr">
        <x:is>
          <x:t xml:space="preserve">NW/4 SE/4, S/2 SE/4, SW/4 NE/4 of 31-12N-24W</x:t>
        </x:is>
      </x:c>
      <x:c r="J1865" s="552" t="inlineStr">
        <x:is>
          <x:t xml:space="preserve">160 gross acres 
1 year
1/4th royalty</x:t>
        </x:is>
      </x:c>
      <x:c r="K1865" s="554" t="e">
        <x:f>HYPERLINK("https://okcountyrecords.com/detail/roger+mills/2002-002104","OKCountyRecords: 2002-002104")</x:f>
      </x:c>
      <x:c r="L1865" s="552" t="n">
        <x:v>2</x:v>
      </x:c>
      <x:c r="M1865" s="552" t="inlineStr">
        <x:is>
          <x:t xml:space="preserve">Leasehold</x:t>
        </x:is>
      </x:c>
      <x:c r="N1865" s="555" t="n"/>
      <x:c r="O1865" s="556" t="n">
        <x:f>IF($L1865="","",IF(ISNUMBER(SEARCH("all",$L1865)),640,(ISNUMBER(SEARCH("1",$L1865)))*80+(ISNUMBER(SEARCH("2",$L1865)))*160+(ISNUMBER(SEARCH("3",$L1865)))*40+(ISNUMBER(SEARCH("4",$L1865)))*80+(ISNUMBER(SEARCH("5",$L1865)))*120+(ISNUMBER(SEARCH("6",$L1865)))*80+(ISNUMBER(SEARCH("7",$L1865)))*40+(ISNUMBER(SEARCH("8",$L1865)))*40))</x:f>
        <x:v>0</x:v>
      </x:c>
      <x:c r="P1865" s="654" t="str">
        <x:f>IF($M1865&lt;&gt;"Mineral","",IF(ISNUMBER($N1865),$N1865,IF(OR(ISNUMBER(SEARCH("surface",$J1865)),ISNUMBER(SEARCH("reserv",$J1865)),ISNUMBER(SEARCH("less and except",$J1865))),0,"")))</x:f>
      </x:c>
      <x:c r="Q1865" s="654" t="str">
        <x:f>IF($P1865="","",-$P1865)</x:f>
      </x:c>
      <x:c r="R1865" s="655" t="str">
        <x:f>IF($P1865="","",$O1865*$P1865)</x:f>
      </x:c>
      <x:c r="S1865" s="552" t="str">
        <x:f>IF($M1865="","",TRIM(IF($M1865="Mineral",IF(ISNUMBER($N1865),"Mineral; basis Conv Amt(dec). ",IF($P1865=0,"Mineral; surface-only/reserved-&gt;0 min. ","Mineral; NO AMOUNT-verify instrument. ")),$M1865&amp;" (non-mineral; excluded from mineral NMA). ")&amp;IF(OR(ISNUMBER(SEARCH("public",$G1865)),ISNUMBER(SEARCH("public",$H1865))),"FLAG: The Public placeholder-verify. ","")&amp;IF(ISNUMBER(SEARCH("all",$L1865)),"All-section coverage. ","")&amp;IF($O1865=0,"Gross acres unresolved. ","")&amp;"Gross=tract-map basis."))</x:f>
        <x:v>Leasehold (non-mineral; excluded from mineral NMA). Gross acres unresolved. Gross=tract-map basis.</x:v>
      </x:c>
      <x:c r="T1865" s="577" t="n"/>
      <x:c r="U1865" s="578" t="n"/>
      <x:c r="V1865" s="565" t="n"/>
      <x:c r="W1865" s="565" t="n"/>
      <x:c r="X1865" s="565" t="n"/>
      <x:c r="Y1865" s="565" t="n"/>
      <x:c r="Z1865" s="565" t="n"/>
    </x:row>
    <x:row r="1866">
      <x:c r="A1866" s="552" t="inlineStr">
        <x:is>
          <x:t xml:space="preserve">2002-002676</x:t>
        </x:is>
      </x:c>
      <x:c r="B1866" s="552" t="n">
        <x:v>18</x:v>
      </x:c>
      <x:c r="C1866" s="552" t="inlineStr">
        <x:is>
          <x:t xml:space="preserve">Oil and Gas Lease</x:t>
        </x:is>
      </x:c>
      <x:c r="D1866" s="552" t="inlineStr">
        <x:is>
          <x:t xml:space="preserve">1683/1</x:t>
        </x:is>
      </x:c>
      <x:c r="E1866" s="653" t="n">
        <x:v>37381</x:v>
      </x:c>
      <x:c r="F1866" s="653" t="n">
        <x:v>37433</x:v>
      </x:c>
      <x:c r="G1866" s="552" t="inlineStr">
        <x:is>
          <x:t xml:space="preserve">Paul R. Deutseh,
A. Deborah</x:t>
        </x:is>
      </x:c>
      <x:c r="H1866" s="552" t="inlineStr">
        <x:is>
          <x:t xml:space="preserve">EOG Resources, Inc.</x:t>
        </x:is>
      </x:c>
      <x:c r="I1866" s="552" t="inlineStr">
        <x:is>
          <x:t xml:space="preserve">NW/4 SE/4, S/2 SE/4, SW/4 NE/4 of 31-12N-24W</x:t>
        </x:is>
      </x:c>
      <x:c r="J1866" s="552" t="inlineStr">
        <x:is>
          <x:t xml:space="preserve">HBP</x:t>
        </x:is>
      </x:c>
      <x:c r="K1866" s="554" t="e">
        <x:f>HYPERLINK("https://okcountyrecords.com/detail/roger+mills/2002-002676","OKCountyRecords: 2002-002676")</x:f>
      </x:c>
      <x:c r="L1866" s="552" t="n">
        <x:v>2</x:v>
      </x:c>
      <x:c r="M1866" s="552" t="inlineStr">
        <x:is>
          <x:t xml:space="preserve">Leasehold</x:t>
        </x:is>
      </x:c>
      <x:c r="N1866" s="555" t="n"/>
      <x:c r="O1866" s="556" t="n">
        <x:f>IF($L1866="","",IF(ISNUMBER(SEARCH("all",$L1866)),640,(ISNUMBER(SEARCH("1",$L1866)))*80+(ISNUMBER(SEARCH("2",$L1866)))*160+(ISNUMBER(SEARCH("3",$L1866)))*40+(ISNUMBER(SEARCH("4",$L1866)))*80+(ISNUMBER(SEARCH("5",$L1866)))*120+(ISNUMBER(SEARCH("6",$L1866)))*80+(ISNUMBER(SEARCH("7",$L1866)))*40+(ISNUMBER(SEARCH("8",$L1866)))*40))</x:f>
        <x:v>0</x:v>
      </x:c>
      <x:c r="P1866" s="654" t="str">
        <x:f>IF($M1866&lt;&gt;"Mineral","",IF(ISNUMBER($N1866),$N1866,IF(OR(ISNUMBER(SEARCH("surface",$J1866)),ISNUMBER(SEARCH("reserv",$J1866)),ISNUMBER(SEARCH("less and except",$J1866))),0,"")))</x:f>
      </x:c>
      <x:c r="Q1866" s="654" t="str">
        <x:f>IF($P1866="","",-$P1866)</x:f>
      </x:c>
      <x:c r="R1866" s="655" t="str">
        <x:f>IF($P1866="","",$O1866*$P1866)</x:f>
      </x:c>
      <x:c r="S1866" s="552" t="str">
        <x:f>IF($M1866="","",TRIM(IF($M1866="Mineral",IF(ISNUMBER($N1866),"Mineral; basis Conv Amt(dec). ",IF($P1866=0,"Mineral; surface-only/reserved-&gt;0 min. ","Mineral; NO AMOUNT-verify instrument. ")),$M1866&amp;" (non-mineral; excluded from mineral NMA). ")&amp;IF(OR(ISNUMBER(SEARCH("public",$G1866)),ISNUMBER(SEARCH("public",$H1866))),"FLAG: The Public placeholder-verify. ","")&amp;IF(ISNUMBER(SEARCH("all",$L1866)),"All-section coverage. ","")&amp;IF($O1866=0,"Gross acres unresolved. ","")&amp;"Gross=tract-map basis."))</x:f>
        <x:v>Leasehold (non-mineral; excluded from mineral NMA). Gross acres unresolved. Gross=tract-map basis.</x:v>
      </x:c>
      <x:c r="T1866" s="577" t="n"/>
      <x:c r="U1866" s="578" t="n"/>
      <x:c r="V1866" s="565" t="n"/>
      <x:c r="W1866" s="565" t="n"/>
      <x:c r="X1866" s="565" t="n"/>
      <x:c r="Y1866" s="565" t="n"/>
      <x:c r="Z1866" s="565" t="n"/>
    </x:row>
    <x:row r="1867">
      <x:c r="A1867" s="552" t="inlineStr">
        <x:is>
          <x:t xml:space="preserve">2002-001961</x:t>
        </x:is>
      </x:c>
      <x:c r="B1867" s="552" t="n">
        <x:v>19</x:v>
      </x:c>
      <x:c r="C1867" s="552" t="inlineStr">
        <x:is>
          <x:t xml:space="preserve">Oil and Gas Lease</x:t>
        </x:is>
      </x:c>
      <x:c r="D1867" s="552" t="inlineStr">
        <x:is>
          <x:t xml:space="preserve">1677/512</x:t>
        </x:is>
      </x:c>
      <x:c r="E1867" s="653" t="n">
        <x:v>37384</x:v>
      </x:c>
      <x:c r="F1867" s="653" t="n">
        <x:v>37389</x:v>
      </x:c>
      <x:c r="G1867" s="552" t="inlineStr">
        <x:is>
          <x:t xml:space="preserve">Hayhurst Oil Properties, Inc.
P.O. Box 828,
Elk City, OK 73648</x:t>
        </x:is>
      </x:c>
      <x:c r="H1867" s="552" t="inlineStr">
        <x:is>
          <x:t xml:space="preserve">Fleshman Agency, Inc.</x:t>
        </x:is>
      </x:c>
      <x:c r="I1867" s="552" t="inlineStr">
        <x:is>
          <x:t xml:space="preserve">E/2 NW/4, N/2 NE/4 SW/4, NE/4 SE/4, SE/4 NE/4 of 31-12N-24W</x:t>
        </x:is>
      </x:c>
      <x:c r="J1867" s="552" t="inlineStr">
        <x:is>
          <x:t xml:space="preserve">180 gross acres 
1 year
1/4th royalty</x:t>
        </x:is>
      </x:c>
      <x:c r="K1867" s="554" t="e">
        <x:f>HYPERLINK("https://okcountyrecords.com/detail/roger+mills/2002-001961","OKCountyRecords: 2002-001961")</x:f>
      </x:c>
      <x:c r="L1867" s="552" t="inlineStr">
        <x:is>
          <x:t xml:space="preserve">1, 3, 4, 7, 8</x:t>
        </x:is>
      </x:c>
      <x:c r="M1867" s="552" t="inlineStr">
        <x:is>
          <x:t xml:space="preserve">Leasehold</x:t>
        </x:is>
      </x:c>
      <x:c r="N1867" s="561" t="n"/>
      <x:c r="O1867" s="556" t="n">
        <x:f>IF($L1867="","",IF(ISNUMBER(SEARCH("all",$L1867)),640,(ISNUMBER(SEARCH("1",$L1867)))*80+(ISNUMBER(SEARCH("2",$L1867)))*160+(ISNUMBER(SEARCH("3",$L1867)))*40+(ISNUMBER(SEARCH("4",$L1867)))*80+(ISNUMBER(SEARCH("5",$L1867)))*120+(ISNUMBER(SEARCH("6",$L1867)))*80+(ISNUMBER(SEARCH("7",$L1867)))*40+(ISNUMBER(SEARCH("8",$L1867)))*40))</x:f>
        <x:v>0</x:v>
      </x:c>
      <x:c r="P1867" s="654" t="str">
        <x:f>IF($M1867&lt;&gt;"Mineral","",IF(ISNUMBER($N1867),$N1867,IF(OR(ISNUMBER(SEARCH("surface",$J1867)),ISNUMBER(SEARCH("reserv",$J1867)),ISNUMBER(SEARCH("less and except",$J1867))),0,"")))</x:f>
      </x:c>
      <x:c r="Q1867" s="654" t="str">
        <x:f>IF($P1867="","",-$P1867)</x:f>
      </x:c>
      <x:c r="R1867" s="655" t="str">
        <x:f>IF($P1867="","",$O1867*$P1867)</x:f>
      </x:c>
      <x:c r="S1867" s="552" t="str">
        <x:f>IF($M1867="","",TRIM(IF($M1867="Mineral",IF(ISNUMBER($N1867),"Mineral; basis Conv Amt(dec). ",IF($P1867=0,"Mineral; surface-only/reserved-&gt;0 min. ","Mineral; NO AMOUNT-verify instrument. ")),$M1867&amp;" (non-mineral; excluded from mineral NMA). ")&amp;IF(OR(ISNUMBER(SEARCH("public",$G1867)),ISNUMBER(SEARCH("public",$H1867))),"FLAG: The Public placeholder-verify. ","")&amp;IF(ISNUMBER(SEARCH("all",$L1867)),"All-section coverage. ","")&amp;IF($O1867=0,"Gross acres unresolved. ","")&amp;"Gross=tract-map basis."))</x:f>
        <x:v>Leasehold (non-mineral; excluded from mineral NMA). Gross acres unresolved. Gross=tract-map basis.</x:v>
      </x:c>
      <x:c r="T1867" s="577" t="n"/>
      <x:c r="U1867" s="578" t="n"/>
      <x:c r="V1867" s="565" t="n"/>
      <x:c r="W1867" s="565" t="n"/>
      <x:c r="X1867" s="565" t="n"/>
      <x:c r="Y1867" s="565" t="n"/>
      <x:c r="Z1867" s="565" t="n"/>
    </x:row>
    <x:row r="1868">
      <x:c r="A1868" s="552" t="inlineStr">
        <x:is>
          <x:t xml:space="preserve">2002-001962</x:t>
        </x:is>
      </x:c>
      <x:c r="B1868" s="552" t="n"/>
      <x:c r="C1868" s="552" t="inlineStr">
        <x:is>
          <x:t xml:space="preserve">Assignment</x:t>
        </x:is>
      </x:c>
      <x:c r="D1868" s="552" t="inlineStr">
        <x:is>
          <x:t xml:space="preserve">1677/515</x:t>
        </x:is>
      </x:c>
      <x:c r="E1868" s="653" t="n">
        <x:v>37385</x:v>
      </x:c>
      <x:c r="F1868" s="653" t="n">
        <x:v>37389</x:v>
      </x:c>
      <x:c r="G1868" s="552" t="inlineStr">
        <x:is>
          <x:t xml:space="preserve">Fleshman Agency, Inc.</x:t>
        </x:is>
      </x:c>
      <x:c r="H1868" s="552" t="inlineStr">
        <x:is>
          <x:t xml:space="preserve">William A. Hadwiger</x:t>
        </x:is>
      </x:c>
      <x:c r="I1868" s="552" t="inlineStr">
        <x:is>
          <x:t xml:space="preserve">E/2 NW/4, N/2 NE/4 SW/4, NE/4 SE/4, SE/4 NE/4 of 31-12N-24W</x:t>
        </x:is>
      </x:c>
      <x:c r="J1868" s="552" t="inlineStr">
        <x:is>
          <x:t xml:space="preserve">ARTI in OGL at 1677/512</x:t>
        </x:is>
      </x:c>
      <x:c r="K1868" s="554" t="e">
        <x:f>HYPERLINK("https://okcountyrecords.com/detail/roger+mills/2002-001962","OKCountyRecords: 2002-001962")</x:f>
      </x:c>
      <x:c r="L1868" s="552" t="inlineStr">
        <x:is>
          <x:t xml:space="preserve">1, 3, 4, 7, 8</x:t>
        </x:is>
      </x:c>
      <x:c r="M1868" s="552" t="inlineStr">
        <x:is>
          <x:t xml:space="preserve">Leasehold</x:t>
        </x:is>
      </x:c>
      <x:c r="N1868" s="561" t="n"/>
      <x:c r="O1868" s="556" t="n">
        <x:f>IF($L1868="","",IF(ISNUMBER(SEARCH("all",$L1868)),640,(ISNUMBER(SEARCH("1",$L1868)))*80+(ISNUMBER(SEARCH("2",$L1868)))*160+(ISNUMBER(SEARCH("3",$L1868)))*40+(ISNUMBER(SEARCH("4",$L1868)))*80+(ISNUMBER(SEARCH("5",$L1868)))*120+(ISNUMBER(SEARCH("6",$L1868)))*80+(ISNUMBER(SEARCH("7",$L1868)))*40+(ISNUMBER(SEARCH("8",$L1868)))*40))</x:f>
        <x:v>0</x:v>
      </x:c>
      <x:c r="P1868" s="654" t="str">
        <x:f>IF($M1868&lt;&gt;"Mineral","",IF(ISNUMBER($N1868),$N1868,IF(OR(ISNUMBER(SEARCH("surface",$J1868)),ISNUMBER(SEARCH("reserv",$J1868)),ISNUMBER(SEARCH("less and except",$J1868))),0,"")))</x:f>
      </x:c>
      <x:c r="Q1868" s="654" t="str">
        <x:f>IF($P1868="","",-$P1868)</x:f>
      </x:c>
      <x:c r="R1868" s="655" t="str">
        <x:f>IF($P1868="","",$O1868*$P1868)</x:f>
      </x:c>
      <x:c r="S1868" s="552" t="str">
        <x:f>IF($M1868="","",TRIM(IF($M1868="Mineral",IF(ISNUMBER($N1868),"Mineral; basis Conv Amt(dec). ",IF($P1868=0,"Mineral; surface-only/reserved-&gt;0 min. ","Mineral; NO AMOUNT-verify instrument. ")),$M1868&amp;" (non-mineral; excluded from mineral NMA). ")&amp;IF(OR(ISNUMBER(SEARCH("public",$G1868)),ISNUMBER(SEARCH("public",$H1868))),"FLAG: The Public placeholder-verify. ","")&amp;IF(ISNUMBER(SEARCH("all",$L1868)),"All-section coverage. ","")&amp;IF($O1868=0,"Gross acres unresolved. ","")&amp;"Gross=tract-map basis."))</x:f>
        <x:v>Leasehold (non-mineral; excluded from mineral NMA). Gross acres unresolved. Gross=tract-map basis.</x:v>
      </x:c>
      <x:c r="T1868" s="577" t="n"/>
      <x:c r="U1868" s="578" t="n"/>
      <x:c r="V1868" s="565" t="n"/>
      <x:c r="W1868" s="565" t="n"/>
      <x:c r="X1868" s="565" t="n"/>
      <x:c r="Y1868" s="565" t="n"/>
      <x:c r="Z1868" s="565" t="n"/>
    </x:row>
    <x:row r="1869">
      <x:c r="A1869" s="552" t="inlineStr">
        <x:is>
          <x:t xml:space="preserve">2002-002227</x:t>
        </x:is>
      </x:c>
      <x:c r="B1869" s="552" t="n"/>
      <x:c r="C1869" s="552" t="inlineStr">
        <x:is>
          <x:t xml:space="preserve">Deed, Assignment and Bill of Sale</x:t>
        </x:is>
      </x:c>
      <x:c r="D1869" s="552" t="inlineStr">
        <x:is>
          <x:t xml:space="preserve">1680/318</x:t>
        </x:is>
      </x:c>
      <x:c r="E1869" s="653" t="n">
        <x:v>37406</x:v>
      </x:c>
      <x:c r="F1869" s="653" t="n">
        <x:v>37407</x:v>
      </x:c>
      <x:c r="G1869" s="552" t="inlineStr">
        <x:is>
          <x:t xml:space="preserve">Arrowhead Resources, Inc.</x:t>
        </x:is>
      </x:c>
      <x:c r="H1869" s="552" t="inlineStr">
        <x:is>
          <x:t xml:space="preserve">Bhch Mineral, Ltd., 47.5%,
Bhch Properties, Ltd., 2.5%,
Garg Oil, 50.0%</x:t>
        </x:is>
      </x:c>
      <x:c r="I1869" s="552" t="inlineStr">
        <x:is>
          <x:t xml:space="preserve">ALL of 31-12N-24W, aol</x:t>
        </x:is>
      </x:c>
      <x:c r="J1869" s="552" t="inlineStr">
        <x:is>
          <x:t xml:space="preserve">11.5385 NMA
From 1637/26, 1639/206, 1639/426</x:t>
        </x:is>
      </x:c>
      <x:c r="K1869" s="554" t="e">
        <x:f>HYPERLINK("https://okcountyrecords.com/detail/roger+mills/2002-002227","OKCountyRecords: 2002-002227")</x:f>
      </x:c>
      <x:c r="L1869" s="552" t="inlineStr">
        <x:is>
          <x:t xml:space="preserve">All (1-8)</x:t>
        </x:is>
      </x:c>
      <x:c r="M1869" s="552" t="inlineStr">
        <x:is>
          <x:t xml:space="preserve">Mineral</x:t>
        </x:is>
      </x:c>
      <x:c r="N1869" s="555" t="n">
        <x:f>11.5385/O1869</x:f>
        <x:v>0.01802890625</x:v>
      </x:c>
      <x:c r="O1869" s="556" t="n">
        <x:f>IF($L1869="","",IF(ISNUMBER(SEARCH("all",$L1869)),640,(ISNUMBER(SEARCH("1",$L1869)))*80+(ISNUMBER(SEARCH("2",$L1869)))*160+(ISNUMBER(SEARCH("3",$L1869)))*40+(ISNUMBER(SEARCH("4",$L1869)))*80+(ISNUMBER(SEARCH("5",$L1869)))*120+(ISNUMBER(SEARCH("6",$L1869)))*80+(ISNUMBER(SEARCH("7",$L1869)))*40+(ISNUMBER(SEARCH("8",$L1869)))*40))</x:f>
        <x:v>640</x:v>
      </x:c>
      <x:c r="P1869" s="654" t="n">
        <x:f>IF($M1869&lt;&gt;"Mineral","",IF(ISNUMBER($N1869),$N1869,IF(OR(ISNUMBER(SEARCH("surface",$J1869)),ISNUMBER(SEARCH("reserv",$J1869)),ISNUMBER(SEARCH("less and except",$J1869))),0,"")))</x:f>
        <x:v>0.01802890625</x:v>
      </x:c>
      <x:c r="Q1869" s="654" t="n">
        <x:f>IF($P1869="","",-$P1869)</x:f>
        <x:v>-0.01802890625</x:v>
      </x:c>
      <x:c r="R1869" s="655" t="n">
        <x:f>IF($P1869="","",$O1869*$P1869)</x:f>
        <x:v>11.5385</x:v>
      </x:c>
      <x:c r="S1869" s="552" t="str">
        <x:f>IF($M1869="","",TRIM(IF($M1869="Mineral",IF(ISNUMBER($N1869),"Mineral; basis Conv Amt(dec). ",IF($P1869=0,"Mineral; surface-only/reserved-&gt;0 min. ","Mineral; VERIFY — NEED full instrument image for conveyed amount. ")),$M1869&amp;" (non-mineral; excluded from mineral NMA). ")&amp;IF(OR(ISNUMBER(SEARCH("public",$G1869)),ISNUMBER(SEARCH("public",$H1869))),"FLAG: The Public placeholder; VERIFY — NEED source confirmation. ","")&amp;IF(ISNUMBER(SEARCH("all",$L1869)),"All-section coverage. ","")&amp;IF($O1869=0,"Gross acres unresolved. ","")&amp;"Gross=tract-map basis."))</x:f>
        <x:v>Mineral; basis Conv Amt(dec). All-section coverage. Gross=tract-map basis.</x:v>
      </x:c>
      <x:c r="T1869" s="577" t="inlineStr">
        <x:is>
          <x:t xml:space="preserve">REVIEW</x:t>
        </x:is>
      </x:c>
      <x:c r="U1869" s="578" t="inlineStr">
        <x:is>
          <x:t xml:space="preserve">Conveys 11.5385 NMA per notes; conv. dec = 11.5385/gross. Verify denominator/tract from image.</x:t>
        </x:is>
      </x:c>
      <x:c r="V1869" s="565" t="n"/>
      <x:c r="W1869" s="565" t="n"/>
      <x:c r="X1869" s="565" t="n"/>
      <x:c r="Y1869" s="565" t="n"/>
      <x:c r="Z1869" s="565" t="n"/>
    </x:row>
    <x:row r="1870">
      <x:c r="A1870" s="552" t="inlineStr">
        <x:is>
          <x:t xml:space="preserve">2002-002928</x:t>
        </x:is>
      </x:c>
      <x:c r="B1870" s="552" t="n"/>
      <x:c r="C1870" s="552" t="inlineStr">
        <x:is>
          <x:t xml:space="preserve">Oil and Gas Lease</x:t>
        </x:is>
      </x:c>
      <x:c r="D1870" s="552" t="inlineStr">
        <x:is>
          <x:t xml:space="preserve">1684/443</x:t>
        </x:is>
      </x:c>
      <x:c r="E1870" s="653" t="n">
        <x:v>37426</x:v>
      </x:c>
      <x:c r="F1870" s="653" t="n">
        <x:v>37454</x:v>
      </x:c>
      <x:c r="G1870" s="552" t="inlineStr">
        <x:is>
          <x:t xml:space="preserve">James F. Menehan</x:t>
        </x:is>
      </x:c>
      <x:c r="H1870" s="552" t="inlineStr">
        <x:is>
          <x:t xml:space="preserve">EOG Resources, Inc.</x:t>
        </x:is>
      </x:c>
      <x:c r="I1870" s="552" t="inlineStr">
        <x:is>
          <x:t xml:space="preserve">NW/4 SE/4, S/2 SE/4, SW/4 NE/4 of 31-12N-24W</x:t>
        </x:is>
      </x:c>
      <x:c r="J1870" s="552" t="inlineStr">
        <x:is>
          <x:t xml:space="preserve">160 gross acres 
3 years
1/4th royalty</x:t>
        </x:is>
      </x:c>
      <x:c r="K1870" s="554" t="e">
        <x:f>HYPERLINK("https://okcountyrecords.com/detail/roger+mills/2002-002928","OKCountyRecords: 2002-002928")</x:f>
      </x:c>
      <x:c r="L1870" s="552" t="n">
        <x:v>2</x:v>
      </x:c>
      <x:c r="M1870" s="552" t="inlineStr">
        <x:is>
          <x:t xml:space="preserve">Leasehold</x:t>
        </x:is>
      </x:c>
      <x:c r="N1870" s="555" t="n"/>
      <x:c r="O1870" s="556" t="n">
        <x:f>IF($L1870="","",IF(ISNUMBER(SEARCH("all",$L1870)),640,(ISNUMBER(SEARCH("1",$L1870)))*80+(ISNUMBER(SEARCH("2",$L1870)))*160+(ISNUMBER(SEARCH("3",$L1870)))*40+(ISNUMBER(SEARCH("4",$L1870)))*80+(ISNUMBER(SEARCH("5",$L1870)))*120+(ISNUMBER(SEARCH("6",$L1870)))*80+(ISNUMBER(SEARCH("7",$L1870)))*40+(ISNUMBER(SEARCH("8",$L1870)))*40))</x:f>
        <x:v>0</x:v>
      </x:c>
      <x:c r="P1870" s="654" t="str">
        <x:f>IF($M1870&lt;&gt;"Mineral","",IF(ISNUMBER($N1870),$N1870,IF(OR(ISNUMBER(SEARCH("surface",$J1870)),ISNUMBER(SEARCH("reserv",$J1870)),ISNUMBER(SEARCH("less and except",$J1870))),0,"")))</x:f>
      </x:c>
      <x:c r="Q1870" s="654" t="str">
        <x:f>IF($P1870="","",-$P1870)</x:f>
      </x:c>
      <x:c r="R1870" s="655" t="str">
        <x:f>IF($P1870="","",$O1870*$P1870)</x:f>
      </x:c>
      <x:c r="S1870" s="552" t="str">
        <x:f>IF($M1870="","",TRIM(IF($M1870="Mineral",IF(ISNUMBER($N1870),"Mineral; basis Conv Amt(dec). ",IF($P1870=0,"Mineral; surface-only/reserved-&gt;0 min. ","Mineral; NO AMOUNT-verify instrument. ")),$M1870&amp;" (non-mineral; excluded from mineral NMA). ")&amp;IF(OR(ISNUMBER(SEARCH("public",$G1870)),ISNUMBER(SEARCH("public",$H1870))),"FLAG: The Public placeholder-verify. ","")&amp;IF(ISNUMBER(SEARCH("all",$L1870)),"All-section coverage. ","")&amp;IF($O1870=0,"Gross acres unresolved. ","")&amp;"Gross=tract-map basis."))</x:f>
        <x:v>Leasehold (non-mineral; excluded from mineral NMA). Gross acres unresolved. Gross=tract-map basis.</x:v>
      </x:c>
      <x:c r="T1870" s="577" t="n"/>
      <x:c r="U1870" s="578" t="n"/>
      <x:c r="V1870" s="565" t="n"/>
      <x:c r="W1870" s="565" t="n"/>
      <x:c r="X1870" s="565" t="n"/>
      <x:c r="Y1870" s="565" t="n"/>
      <x:c r="Z1870" s="565" t="n"/>
    </x:row>
    <x:row r="1871">
      <x:c r="A1871" s="552" t="inlineStr">
        <x:is>
          <x:t xml:space="preserve">2002-003272</x:t>
        </x:is>
      </x:c>
      <x:c r="B1871" s="552" t="n">
        <x:v>20</x:v>
      </x:c>
      <x:c r="C1871" s="552" t="inlineStr">
        <x:is>
          <x:t xml:space="preserve">Oil and Gas Lease</x:t>
        </x:is>
      </x:c>
      <x:c r="D1871" s="552" t="inlineStr">
        <x:is>
          <x:t xml:space="preserve">1686/580</x:t>
        </x:is>
      </x:c>
      <x:c r="E1871" s="653" t="n">
        <x:v>37426</x:v>
      </x:c>
      <x:c r="F1871" s="653" t="n">
        <x:v>37484</x:v>
      </x:c>
      <x:c r="G1871" s="552" t="inlineStr">
        <x:is>
          <x:t xml:space="preserve">Peggy Brawner Bain William C. Jr., Attorney for</x:t>
        </x:is>
      </x:c>
      <x:c r="H1871" s="552" t="inlineStr">
        <x:is>
          <x:t xml:space="preserve">EOG Resources, Inc.</x:t>
        </x:is>
      </x:c>
      <x:c r="I1871" s="552" t="inlineStr">
        <x:is>
          <x:t xml:space="preserve">NW/4 SE/4, S/2 SE/4, SW/4 NE/4 of 31-12N-24W</x:t>
        </x:is>
      </x:c>
      <x:c r="J1871" s="552" t="inlineStr">
        <x:is>
          <x:t xml:space="preserve">HBP</x:t>
        </x:is>
      </x:c>
      <x:c r="K1871" s="554" t="e">
        <x:f>HYPERLINK("https://okcountyrecords.com/detail/roger+mills/2002-003272","OKCountyRecords: 2002-003272")</x:f>
      </x:c>
      <x:c r="L1871" s="552" t="n">
        <x:v>2</x:v>
      </x:c>
      <x:c r="M1871" s="552" t="inlineStr">
        <x:is>
          <x:t xml:space="preserve">Leasehold</x:t>
        </x:is>
      </x:c>
      <x:c r="N1871" s="555" t="n"/>
      <x:c r="O1871" s="556" t="n">
        <x:f>IF($L1871="","",IF(ISNUMBER(SEARCH("all",$L1871)),640,(ISNUMBER(SEARCH("1",$L1871)))*80+(ISNUMBER(SEARCH("2",$L1871)))*160+(ISNUMBER(SEARCH("3",$L1871)))*40+(ISNUMBER(SEARCH("4",$L1871)))*80+(ISNUMBER(SEARCH("5",$L1871)))*120+(ISNUMBER(SEARCH("6",$L1871)))*80+(ISNUMBER(SEARCH("7",$L1871)))*40+(ISNUMBER(SEARCH("8",$L1871)))*40))</x:f>
        <x:v>0</x:v>
      </x:c>
      <x:c r="P1871" s="654" t="str">
        <x:f>IF($M1871&lt;&gt;"Mineral","",IF(ISNUMBER($N1871),$N1871,IF(OR(ISNUMBER(SEARCH("surface",$J1871)),ISNUMBER(SEARCH("reserv",$J1871)),ISNUMBER(SEARCH("less and except",$J1871))),0,"")))</x:f>
      </x:c>
      <x:c r="Q1871" s="654" t="str">
        <x:f>IF($P1871="","",-$P1871)</x:f>
      </x:c>
      <x:c r="R1871" s="655" t="str">
        <x:f>IF($P1871="","",$O1871*$P1871)</x:f>
      </x:c>
      <x:c r="S1871" s="552" t="str">
        <x:f>IF($M1871="","",TRIM(IF($M1871="Mineral",IF(ISNUMBER($N1871),"Mineral; basis Conv Amt(dec). ",IF($P1871=0,"Mineral; surface-only/reserved-&gt;0 min. ","Mineral; NO AMOUNT-verify instrument. ")),$M1871&amp;" (non-mineral; excluded from mineral NMA). ")&amp;IF(OR(ISNUMBER(SEARCH("public",$G1871)),ISNUMBER(SEARCH("public",$H1871))),"FLAG: The Public placeholder-verify. ","")&amp;IF(ISNUMBER(SEARCH("all",$L1871)),"All-section coverage. ","")&amp;IF($O1871=0,"Gross acres unresolved. ","")&amp;"Gross=tract-map basis."))</x:f>
        <x:v>Leasehold (non-mineral; excluded from mineral NMA). Gross acres unresolved. Gross=tract-map basis.</x:v>
      </x:c>
      <x:c r="T1871" s="577" t="n"/>
      <x:c r="U1871" s="578" t="n"/>
      <x:c r="V1871" s="565" t="n"/>
      <x:c r="W1871" s="565" t="n"/>
      <x:c r="X1871" s="565" t="n"/>
      <x:c r="Y1871" s="565" t="n"/>
      <x:c r="Z1871" s="565" t="n"/>
    </x:row>
    <x:row r="1872">
      <x:c r="A1872" s="552" t="inlineStr">
        <x:is>
          <x:t xml:space="preserve">2002-003800</x:t>
        </x:is>
      </x:c>
      <x:c r="B1872" s="552" t="n"/>
      <x:c r="C1872" s="552" t="inlineStr">
        <x:is>
          <x:t xml:space="preserve">Ratification</x:t>
        </x:is>
      </x:c>
      <x:c r="D1872" s="552" t="inlineStr">
        <x:is>
          <x:t xml:space="preserve">1689/522</x:t>
        </x:is>
      </x:c>
      <x:c r="E1872" s="653" t="n">
        <x:v>37453</x:v>
      </x:c>
      <x:c r="F1872" s="653" t="n">
        <x:v>37525</x:v>
      </x:c>
      <x:c r="G1872" s="552" t="inlineStr">
        <x:is>
          <x:t xml:space="preserve">Peggy J. Brawner</x:t>
        </x:is>
      </x:c>
      <x:c r="H1872" s="552" t="inlineStr">
        <x:is>
          <x:t xml:space="preserve">EOG Resources, Inc.</x:t>
        </x:is>
      </x:c>
      <x:c r="I1872" s="552" t="inlineStr">
        <x:is>
          <x:t xml:space="preserve">NW/4 SE/4, S/2 SE/4, SW/4 NE/4 of 31-12N-24W</x:t>
        </x:is>
      </x:c>
      <x:c r="J1872" s="552" t="inlineStr">
        <x:is>
          <x:t xml:space="preserve">Ratification of OGL at 1686/580 by Peggy Brawner, Attorney-in-Fact for William Cobal Bain, Jr., a/k/a William C. Bain. Jr.</x:t>
        </x:is>
      </x:c>
      <x:c r="K1872" s="554" t="e">
        <x:f>HYPERLINK("https://okcountyrecords.com/detail/roger+mills/2002-003800","OKCountyRecords: 2002-003800")</x:f>
      </x:c>
      <x:c r="L1872" s="552" t="n">
        <x:v>2</x:v>
      </x:c>
      <x:c r="M1872" s="552" t="inlineStr">
        <x:is>
          <x:t xml:space="preserve">Leasehold</x:t>
        </x:is>
      </x:c>
      <x:c r="N1872" s="555" t="n"/>
      <x:c r="O1872" s="556" t="n">
        <x:f>IF($L1872="","",IF(ISNUMBER(SEARCH("all",$L1872)),640,(ISNUMBER(SEARCH("1",$L1872)))*80+(ISNUMBER(SEARCH("2",$L1872)))*160+(ISNUMBER(SEARCH("3",$L1872)))*40+(ISNUMBER(SEARCH("4",$L1872)))*80+(ISNUMBER(SEARCH("5",$L1872)))*120+(ISNUMBER(SEARCH("6",$L1872)))*80+(ISNUMBER(SEARCH("7",$L1872)))*40+(ISNUMBER(SEARCH("8",$L1872)))*40))</x:f>
        <x:v>0</x:v>
      </x:c>
      <x:c r="P1872" s="654" t="str">
        <x:f>IF($M1872&lt;&gt;"Mineral","",IF(ISNUMBER($N1872),$N1872,IF(OR(ISNUMBER(SEARCH("surface",$J1872)),ISNUMBER(SEARCH("reserv",$J1872)),ISNUMBER(SEARCH("less and except",$J1872))),0,"")))</x:f>
      </x:c>
      <x:c r="Q1872" s="654" t="str">
        <x:f>IF($P1872="","",-$P1872)</x:f>
      </x:c>
      <x:c r="R1872" s="655" t="str">
        <x:f>IF($P1872="","",$O1872*$P1872)</x:f>
      </x:c>
      <x:c r="S1872" s="552" t="str">
        <x:f>IF($M1872="","",TRIM(IF($M1872="Mineral",IF(ISNUMBER($N1872),"Mineral; basis Conv Amt(dec). ",IF($P1872=0,"Mineral; surface-only/reserved-&gt;0 min. ","Mineral; NO AMOUNT-verify instrument. ")),$M1872&amp;" (non-mineral; excluded from mineral NMA). ")&amp;IF(OR(ISNUMBER(SEARCH("public",$G1872)),ISNUMBER(SEARCH("public",$H1872))),"FLAG: The Public placeholder-verify. ","")&amp;IF(ISNUMBER(SEARCH("all",$L1872)),"All-section coverage. ","")&amp;IF($O1872=0,"Gross acres unresolved. ","")&amp;"Gross=tract-map basis."))</x:f>
        <x:v>Leasehold (non-mineral; excluded from mineral NMA). Gross acres unresolved. Gross=tract-map basis.</x:v>
      </x:c>
      <x:c r="T1872" s="577" t="n"/>
      <x:c r="U1872" s="578" t="n"/>
      <x:c r="V1872" s="565" t="n"/>
      <x:c r="W1872" s="565" t="n"/>
      <x:c r="X1872" s="565" t="n"/>
      <x:c r="Y1872" s="565" t="n"/>
      <x:c r="Z1872" s="565" t="n"/>
    </x:row>
    <x:row r="1873">
      <x:c r="A1873" s="552" t="inlineStr">
        <x:is>
          <x:t xml:space="preserve">2002-003799</x:t>
        </x:is>
      </x:c>
      <x:c r="B1873" s="552" t="n"/>
      <x:c r="C1873" s="552" t="inlineStr">
        <x:is>
          <x:t xml:space="preserve">Ratification</x:t>
        </x:is>
      </x:c>
      <x:c r="D1873" s="552" t="inlineStr">
        <x:is>
          <x:t xml:space="preserve">1689/521</x:t>
        </x:is>
      </x:c>
      <x:c r="E1873" s="653" t="n">
        <x:v>37455</x:v>
      </x:c>
      <x:c r="F1873" s="653" t="n">
        <x:v>37525</x:v>
      </x:c>
      <x:c r="G1873" s="552" t="inlineStr">
        <x:is>
          <x:t xml:space="preserve">Marilyn L. Broyles
P.O. Box 91
Red Feather Lakes, CO 80545</x:t>
        </x:is>
      </x:c>
      <x:c r="H1873" s="552" t="inlineStr">
        <x:is>
          <x:t xml:space="preserve">EOG Resources, Inc.</x:t>
        </x:is>
      </x:c>
      <x:c r="I1873" s="552" t="inlineStr">
        <x:is>
          <x:t xml:space="preserve">NW/4 SE/4, S/2 SE/4, SW/4 NE/4 of 31-12N-24W</x:t>
        </x:is>
      </x:c>
      <x:c r="J1873" s="552" t="inlineStr">
        <x:is>
          <x:t xml:space="preserve">Ratification of OGL at 1686/580 by Peggy Brawner, Attorney-in-Fact for William Cobal Bain, Jr., a/k/a William C. Bain. Jr.</x:t>
        </x:is>
      </x:c>
      <x:c r="K1873" s="554" t="e">
        <x:f>HYPERLINK("https://okcountyrecords.com/detail/roger+mills/2002-003799","OKCountyRecords: 2002-003799")</x:f>
      </x:c>
      <x:c r="L1873" s="552" t="n">
        <x:v>2</x:v>
      </x:c>
      <x:c r="M1873" s="552" t="inlineStr">
        <x:is>
          <x:t xml:space="preserve">Leasehold</x:t>
        </x:is>
      </x:c>
      <x:c r="N1873" s="555" t="n"/>
      <x:c r="O1873" s="556" t="n">
        <x:f>IF($L1873="","",IF(ISNUMBER(SEARCH("all",$L1873)),640,(ISNUMBER(SEARCH("1",$L1873)))*80+(ISNUMBER(SEARCH("2",$L1873)))*160+(ISNUMBER(SEARCH("3",$L1873)))*40+(ISNUMBER(SEARCH("4",$L1873)))*80+(ISNUMBER(SEARCH("5",$L1873)))*120+(ISNUMBER(SEARCH("6",$L1873)))*80+(ISNUMBER(SEARCH("7",$L1873)))*40+(ISNUMBER(SEARCH("8",$L1873)))*40))</x:f>
        <x:v>0</x:v>
      </x:c>
      <x:c r="P1873" s="654" t="str">
        <x:f>IF($M1873&lt;&gt;"Mineral","",IF(ISNUMBER($N1873),$N1873,IF(OR(ISNUMBER(SEARCH("surface",$J1873)),ISNUMBER(SEARCH("reserv",$J1873)),ISNUMBER(SEARCH("less and except",$J1873))),0,"")))</x:f>
      </x:c>
      <x:c r="Q1873" s="654" t="str">
        <x:f>IF($P1873="","",-$P1873)</x:f>
      </x:c>
      <x:c r="R1873" s="655" t="str">
        <x:f>IF($P1873="","",$O1873*$P1873)</x:f>
      </x:c>
      <x:c r="S1873" s="552" t="str">
        <x:f>IF($M1873="","",TRIM(IF($M1873="Mineral",IF(ISNUMBER($N1873),"Mineral; basis Conv Amt(dec). ",IF($P1873=0,"Mineral; surface-only/reserved-&gt;0 min. ","Mineral; NO AMOUNT-verify instrument. ")),$M1873&amp;" (non-mineral; excluded from mineral NMA). ")&amp;IF(OR(ISNUMBER(SEARCH("public",$G1873)),ISNUMBER(SEARCH("public",$H1873))),"FLAG: The Public placeholder-verify. ","")&amp;IF(ISNUMBER(SEARCH("all",$L1873)),"All-section coverage. ","")&amp;IF($O1873=0,"Gross acres unresolved. ","")&amp;"Gross=tract-map basis."))</x:f>
        <x:v>Leasehold (non-mineral; excluded from mineral NMA). Gross acres unresolved. Gross=tract-map basis.</x:v>
      </x:c>
      <x:c r="T1873" s="577" t="n"/>
      <x:c r="U1873" s="578" t="n"/>
      <x:c r="V1873" s="565" t="n"/>
      <x:c r="W1873" s="565" t="n"/>
      <x:c r="X1873" s="565" t="n"/>
      <x:c r="Y1873" s="565" t="n"/>
      <x:c r="Z1873" s="565" t="n"/>
    </x:row>
    <x:row r="1874">
      <x:c r="A1874" s="552" t="inlineStr">
        <x:is>
          <x:t xml:space="preserve">2002-003798</x:t>
        </x:is>
      </x:c>
      <x:c r="B1874" s="552" t="n"/>
      <x:c r="C1874" s="552" t="inlineStr">
        <x:is>
          <x:t xml:space="preserve">Ratification</x:t>
        </x:is>
      </x:c>
      <x:c r="D1874" s="552" t="inlineStr">
        <x:is>
          <x:t xml:space="preserve">1689/520</x:t>
        </x:is>
      </x:c>
      <x:c r="E1874" s="653" t="n">
        <x:v>37459</x:v>
      </x:c>
      <x:c r="F1874" s="653" t="n">
        <x:v>37525</x:v>
      </x:c>
      <x:c r="G1874" s="552" t="inlineStr">
        <x:is>
          <x:t xml:space="preserve">Leona I. DeGrande</x:t>
        </x:is>
      </x:c>
      <x:c r="H1874" s="552" t="inlineStr">
        <x:is>
          <x:t xml:space="preserve">EOG Resources, Inc.</x:t>
        </x:is>
      </x:c>
      <x:c r="I1874" s="552" t="inlineStr">
        <x:is>
          <x:t xml:space="preserve">NW/4 SE/4, S/2 SE/4, SW/4 NE/4 of 31-12N-24W</x:t>
        </x:is>
      </x:c>
      <x:c r="J1874" s="552" t="inlineStr">
        <x:is>
          <x:t xml:space="preserve">Ratification of OGL at 1686/580 by Peggy Brawner, Attorney-in-Fact for William Cobal Bain, Jr., a/k/a William C. Bain. Jr.</x:t>
        </x:is>
      </x:c>
      <x:c r="K1874" s="554" t="e">
        <x:f>HYPERLINK("https://okcountyrecords.com/detail/roger+mills/2002-003798","OKCountyRecords: 2002-003798")</x:f>
      </x:c>
      <x:c r="L1874" s="552" t="n">
        <x:v>2</x:v>
      </x:c>
      <x:c r="M1874" s="552" t="inlineStr">
        <x:is>
          <x:t xml:space="preserve">Leasehold</x:t>
        </x:is>
      </x:c>
      <x:c r="N1874" s="555" t="n"/>
      <x:c r="O1874" s="556" t="n">
        <x:f>IF($L1874="","",IF(ISNUMBER(SEARCH("all",$L1874)),640,(ISNUMBER(SEARCH("1",$L1874)))*80+(ISNUMBER(SEARCH("2",$L1874)))*160+(ISNUMBER(SEARCH("3",$L1874)))*40+(ISNUMBER(SEARCH("4",$L1874)))*80+(ISNUMBER(SEARCH("5",$L1874)))*120+(ISNUMBER(SEARCH("6",$L1874)))*80+(ISNUMBER(SEARCH("7",$L1874)))*40+(ISNUMBER(SEARCH("8",$L1874)))*40))</x:f>
        <x:v>0</x:v>
      </x:c>
      <x:c r="P1874" s="654" t="str">
        <x:f>IF($M1874&lt;&gt;"Mineral","",IF(ISNUMBER($N1874),$N1874,IF(OR(ISNUMBER(SEARCH("surface",$J1874)),ISNUMBER(SEARCH("reserv",$J1874)),ISNUMBER(SEARCH("less and except",$J1874))),0,"")))</x:f>
      </x:c>
      <x:c r="Q1874" s="654" t="str">
        <x:f>IF($P1874="","",-$P1874)</x:f>
      </x:c>
      <x:c r="R1874" s="655" t="str">
        <x:f>IF($P1874="","",$O1874*$P1874)</x:f>
      </x:c>
      <x:c r="S1874" s="552" t="str">
        <x:f>IF($M1874="","",TRIM(IF($M1874="Mineral",IF(ISNUMBER($N1874),"Mineral; basis Conv Amt(dec). ",IF($P1874=0,"Mineral; surface-only/reserved-&gt;0 min. ","Mineral; NO AMOUNT-verify instrument. ")),$M1874&amp;" (non-mineral; excluded from mineral NMA). ")&amp;IF(OR(ISNUMBER(SEARCH("public",$G1874)),ISNUMBER(SEARCH("public",$H1874))),"FLAG: The Public placeholder-verify. ","")&amp;IF(ISNUMBER(SEARCH("all",$L1874)),"All-section coverage. ","")&amp;IF($O1874=0,"Gross acres unresolved. ","")&amp;"Gross=tract-map basis."))</x:f>
        <x:v>Leasehold (non-mineral; excluded from mineral NMA). Gross acres unresolved. Gross=tract-map basis.</x:v>
      </x:c>
      <x:c r="T1874" s="577" t="n"/>
      <x:c r="U1874" s="578" t="n"/>
      <x:c r="V1874" s="565" t="n"/>
      <x:c r="W1874" s="565" t="n"/>
      <x:c r="X1874" s="565" t="n"/>
      <x:c r="Y1874" s="565" t="n"/>
      <x:c r="Z1874" s="565" t="n"/>
    </x:row>
    <x:row r="1875">
      <x:c r="A1875" s="552" t="inlineStr">
        <x:is>
          <x:t xml:space="preserve">2002-003801</x:t>
        </x:is>
      </x:c>
      <x:c r="B1875" s="552" t="n"/>
      <x:c r="C1875" s="552" t="inlineStr">
        <x:is>
          <x:t xml:space="preserve">Ratification</x:t>
        </x:is>
      </x:c>
      <x:c r="D1875" s="552" t="inlineStr">
        <x:is>
          <x:t xml:space="preserve">1689/523</x:t>
        </x:is>
      </x:c>
      <x:c r="E1875" s="653" t="n">
        <x:v>37461</x:v>
      </x:c>
      <x:c r="F1875" s="653" t="n">
        <x:v>37525</x:v>
      </x:c>
      <x:c r="G1875" s="552" t="inlineStr">
        <x:is>
          <x:t xml:space="preserve">Donald R. Bain</x:t>
        </x:is>
      </x:c>
      <x:c r="H1875" s="552" t="inlineStr">
        <x:is>
          <x:t xml:space="preserve">EOG Resources, Inc.</x:t>
        </x:is>
      </x:c>
      <x:c r="I1875" s="552" t="inlineStr">
        <x:is>
          <x:t xml:space="preserve">NW/4 SE/4, S/2 SE/4, SW/4 NE/4 of 31-12N-24W</x:t>
        </x:is>
      </x:c>
      <x:c r="J1875" s="552" t="inlineStr">
        <x:is>
          <x:t xml:space="preserve">Ratification of OGL at 1686/580 by Peggy Brawner, Attorney-in-Fact for William Cobal Bain, Jr., a/k/a William C. Bain. Jr.</x:t>
        </x:is>
      </x:c>
      <x:c r="K1875" s="554" t="e">
        <x:f>HYPERLINK("https://okcountyrecords.com/detail/roger+mills/2002-003801","OKCountyRecords: 2002-003801")</x:f>
      </x:c>
      <x:c r="L1875" s="552" t="n">
        <x:v>2</x:v>
      </x:c>
      <x:c r="M1875" s="552" t="inlineStr">
        <x:is>
          <x:t xml:space="preserve">Leasehold</x:t>
        </x:is>
      </x:c>
      <x:c r="N1875" s="555" t="n"/>
      <x:c r="O1875" s="556" t="n">
        <x:f>IF($L1875="","",IF(ISNUMBER(SEARCH("all",$L1875)),640,(ISNUMBER(SEARCH("1",$L1875)))*80+(ISNUMBER(SEARCH("2",$L1875)))*160+(ISNUMBER(SEARCH("3",$L1875)))*40+(ISNUMBER(SEARCH("4",$L1875)))*80+(ISNUMBER(SEARCH("5",$L1875)))*120+(ISNUMBER(SEARCH("6",$L1875)))*80+(ISNUMBER(SEARCH("7",$L1875)))*40+(ISNUMBER(SEARCH("8",$L1875)))*40))</x:f>
        <x:v>0</x:v>
      </x:c>
      <x:c r="P1875" s="654" t="str">
        <x:f>IF($M1875&lt;&gt;"Mineral","",IF(ISNUMBER($N1875),$N1875,IF(OR(ISNUMBER(SEARCH("surface",$J1875)),ISNUMBER(SEARCH("reserv",$J1875)),ISNUMBER(SEARCH("less and except",$J1875))),0,"")))</x:f>
      </x:c>
      <x:c r="Q1875" s="654" t="str">
        <x:f>IF($P1875="","",-$P1875)</x:f>
      </x:c>
      <x:c r="R1875" s="655" t="str">
        <x:f>IF($P1875="","",$O1875*$P1875)</x:f>
      </x:c>
      <x:c r="S1875" s="552" t="str">
        <x:f>IF($M1875="","",TRIM(IF($M1875="Mineral",IF(ISNUMBER($N1875),"Mineral; basis Conv Amt(dec). ",IF($P1875=0,"Mineral; surface-only/reserved-&gt;0 min. ","Mineral; NO AMOUNT-verify instrument. ")),$M1875&amp;" (non-mineral; excluded from mineral NMA). ")&amp;IF(OR(ISNUMBER(SEARCH("public",$G1875)),ISNUMBER(SEARCH("public",$H1875))),"FLAG: The Public placeholder-verify. ","")&amp;IF(ISNUMBER(SEARCH("all",$L1875)),"All-section coverage. ","")&amp;IF($O1875=0,"Gross acres unresolved. ","")&amp;"Gross=tract-map basis."))</x:f>
        <x:v>Leasehold (non-mineral; excluded from mineral NMA). Gross acres unresolved. Gross=tract-map basis.</x:v>
      </x:c>
      <x:c r="T1875" s="577" t="n"/>
      <x:c r="U1875" s="578" t="n"/>
      <x:c r="V1875" s="565" t="n"/>
      <x:c r="W1875" s="565" t="n"/>
      <x:c r="X1875" s="565" t="n"/>
      <x:c r="Y1875" s="565" t="n"/>
      <x:c r="Z1875" s="565" t="n"/>
    </x:row>
    <x:row r="1876">
      <x:c r="A1876" s="552" t="inlineStr">
        <x:is>
          <x:t xml:space="preserve">2002-003563</x:t>
        </x:is>
      </x:c>
      <x:c r="B1876" s="552" t="n"/>
      <x:c r="C1876" s="552" t="inlineStr">
        <x:is>
          <x:t xml:space="preserve">Mineral Deed</x:t>
        </x:is>
      </x:c>
      <x:c r="D1876" s="552" t="inlineStr">
        <x:is>
          <x:t xml:space="preserve">1688/374</x:t>
        </x:is>
      </x:c>
      <x:c r="E1876" s="653" t="n">
        <x:v>37482</x:v>
      </x:c>
      <x:c r="F1876" s="653" t="n">
        <x:v>37505</x:v>
      </x:c>
      <x:c r="G1876" s="552" t="inlineStr">
        <x:is>
          <x:t xml:space="preserve">Oleta Florene Flanagan, formerly Stewart, a/k/a Oleta Florene Wylie</x:t>
        </x:is>
      </x:c>
      <x:c r="H1876" s="552" t="inlineStr">
        <x:is>
          <x:t xml:space="preserve">Arrowhead Resources, Inc.</x:t>
        </x:is>
      </x:c>
      <x:c r="I1876" s="552" t="inlineStr">
        <x:is>
          <x:t xml:space="preserve">SE/4 SW/4 of 31-12N-24W</x:t>
        </x:is>
      </x:c>
      <x:c r="J1876" s="552" t="inlineStr">
        <x:is>
          <x:t xml:space="preserve">ARTI, a 2.5 net mineral acre interest, in and to all of the oil, gas and other minerals</x:t>
        </x:is>
      </x:c>
      <x:c r="K1876" s="554" t="e">
        <x:f>HYPERLINK("https://okcountyrecords.com/detail/roger+mills/2002-003563","OKCountyRecords: 2002-003563")</x:f>
      </x:c>
      <x:c r="L1876" s="552" t="n">
        <x:v>5</x:v>
      </x:c>
      <x:c r="M1876" s="552" t="inlineStr">
        <x:is>
          <x:t xml:space="preserve">Mineral</x:t>
        </x:is>
      </x:c>
      <x:c r="N1876" s="555" t="n">
        <x:v>1</x:v>
      </x:c>
      <x:c r="O1876" s="556" t="n">
        <x:f>IF($L1876="","",IF(ISNUMBER(SEARCH("all",$L1876)),640,(ISNUMBER(SEARCH("1",$L1876)))*80+(ISNUMBER(SEARCH("2",$L1876)))*160+(ISNUMBER(SEARCH("3",$L1876)))*40+(ISNUMBER(SEARCH("4",$L1876)))*80+(ISNUMBER(SEARCH("5",$L1876)))*120+(ISNUMBER(SEARCH("6",$L1876)))*80+(ISNUMBER(SEARCH("7",$L1876)))*40+(ISNUMBER(SEARCH("8",$L1876)))*40))</x:f>
        <x:v>0</x:v>
      </x:c>
      <x:c r="P1876" s="654" t="n">
        <x:f>IF($M1876&lt;&gt;"Mineral","",IF(ISNUMBER($N1876),$N1876,IF(OR(ISNUMBER(SEARCH("surface",$J1876)),ISNUMBER(SEARCH("reserv",$J1876)),ISNUMBER(SEARCH("less and except",$J1876))),0,"")))</x:f>
        <x:v>1</x:v>
      </x:c>
      <x:c r="Q1876" s="654" t="n">
        <x:f>IF($P1876="","",-$P1876)</x:f>
        <x:v>-1</x:v>
      </x:c>
      <x:c r="R1876" s="655" t="n">
        <x:f>IF($P1876="","",$O1876*$P1876)</x:f>
        <x:v>0</x:v>
      </x:c>
      <x:c r="S1876" s="552" t="str">
        <x:f>IF($M1876="","",TRIM(IF($M1876="Mineral",IF(ISNUMBER($N1876),"Mineral; basis Conv Amt(dec). ",IF($P1876=0,"Mineral; surface-only/reserved-&gt;0 min. ","Mineral; NO AMOUNT-verify instrument. ")),$M1876&amp;" (non-mineral; excluded from mineral NMA). ")&amp;IF(OR(ISNUMBER(SEARCH("public",$G1876)),ISNUMBER(SEARCH("public",$H1876))),"FLAG: The Public placeholder-verify. ","")&amp;IF(ISNUMBER(SEARCH("all",$L1876)),"All-section coverage. ","")&amp;IF($O1876=0,"Gross acres unresolved. ","")&amp;"Gross=tract-map basis."))</x:f>
        <x:v>Mineral; basis Conv Amt(dec). Gross acres unresolved. Gross=tract-map basis.</x:v>
      </x:c>
      <x:c r="T1876" s="577" t="n"/>
      <x:c r="U1876" s="578" t="n"/>
      <x:c r="V1876" s="565" t="n"/>
      <x:c r="W1876" s="565" t="n"/>
      <x:c r="X1876" s="565" t="n"/>
      <x:c r="Y1876" s="565" t="n"/>
      <x:c r="Z1876" s="565" t="n"/>
    </x:row>
    <x:row r="1877">
      <x:c r="A1877" s="552" t="inlineStr">
        <x:is>
          <x:t xml:space="preserve">2002-003797</x:t>
        </x:is>
      </x:c>
      <x:c r="B1877" s="552" t="n"/>
      <x:c r="C1877" s="552" t="inlineStr">
        <x:is>
          <x:t xml:space="preserve">Ratification</x:t>
        </x:is>
      </x:c>
      <x:c r="D1877" s="552" t="inlineStr">
        <x:is>
          <x:t xml:space="preserve">1689/519</x:t>
        </x:is>
      </x:c>
      <x:c r="E1877" s="653" t="n">
        <x:v>37490</x:v>
      </x:c>
      <x:c r="F1877" s="653" t="n">
        <x:v>37525</x:v>
      </x:c>
      <x:c r="G1877" s="552" t="inlineStr">
        <x:is>
          <x:t xml:space="preserve">Melvin F. Bain</x:t>
        </x:is>
      </x:c>
      <x:c r="H1877" s="552" t="inlineStr">
        <x:is>
          <x:t xml:space="preserve">EOG Resources, Inc.</x:t>
        </x:is>
      </x:c>
      <x:c r="I1877" s="552" t="inlineStr">
        <x:is>
          <x:t xml:space="preserve">NW/4 SE/4, S/2 SE/4, SW/4 NE/4 of 31-12N-24W</x:t>
        </x:is>
      </x:c>
      <x:c r="J1877" s="552" t="inlineStr">
        <x:is>
          <x:t xml:space="preserve">Ratification of OGL at 1686/580 by Peggy Brawner, Attorney-in-Fact for William Cobal Bain, Jr., a/k/a William C. Bain. Jr.</x:t>
        </x:is>
      </x:c>
      <x:c r="K1877" s="554" t="e">
        <x:f>HYPERLINK("https://okcountyrecords.com/detail/roger+mills/2002-003797","OKCountyRecords: 2002-003797")</x:f>
      </x:c>
      <x:c r="L1877" s="552" t="n">
        <x:v>2</x:v>
      </x:c>
      <x:c r="M1877" s="552" t="inlineStr">
        <x:is>
          <x:t xml:space="preserve">Leasehold</x:t>
        </x:is>
      </x:c>
      <x:c r="N1877" s="555" t="n"/>
      <x:c r="O1877" s="556" t="n">
        <x:f>IF($L1877="","",IF(ISNUMBER(SEARCH("all",$L1877)),640,(ISNUMBER(SEARCH("1",$L1877)))*80+(ISNUMBER(SEARCH("2",$L1877)))*160+(ISNUMBER(SEARCH("3",$L1877)))*40+(ISNUMBER(SEARCH("4",$L1877)))*80+(ISNUMBER(SEARCH("5",$L1877)))*120+(ISNUMBER(SEARCH("6",$L1877)))*80+(ISNUMBER(SEARCH("7",$L1877)))*40+(ISNUMBER(SEARCH("8",$L1877)))*40))</x:f>
        <x:v>0</x:v>
      </x:c>
      <x:c r="P1877" s="654" t="str">
        <x:f>IF($M1877&lt;&gt;"Mineral","",IF(ISNUMBER($N1877),$N1877,IF(OR(ISNUMBER(SEARCH("surface",$J1877)),ISNUMBER(SEARCH("reserv",$J1877)),ISNUMBER(SEARCH("less and except",$J1877))),0,"")))</x:f>
      </x:c>
      <x:c r="Q1877" s="654" t="str">
        <x:f>IF($P1877="","",-$P1877)</x:f>
      </x:c>
      <x:c r="R1877" s="655" t="str">
        <x:f>IF($P1877="","",$O1877*$P1877)</x:f>
      </x:c>
      <x:c r="S1877" s="552" t="str">
        <x:f>IF($M1877="","",TRIM(IF($M1877="Mineral",IF(ISNUMBER($N1877),"Mineral; basis Conv Amt(dec). ",IF($P1877=0,"Mineral; surface-only/reserved-&gt;0 min. ","Mineral; NO AMOUNT-verify instrument. ")),$M1877&amp;" (non-mineral; excluded from mineral NMA). ")&amp;IF(OR(ISNUMBER(SEARCH("public",$G1877)),ISNUMBER(SEARCH("public",$H1877))),"FLAG: The Public placeholder-verify. ","")&amp;IF(ISNUMBER(SEARCH("all",$L1877)),"All-section coverage. ","")&amp;IF($O1877=0,"Gross acres unresolved. ","")&amp;"Gross=tract-map basis."))</x:f>
        <x:v>Leasehold (non-mineral; excluded from mineral NMA). Gross acres unresolved. Gross=tract-map basis.</x:v>
      </x:c>
      <x:c r="T1877" s="577" t="n"/>
      <x:c r="U1877" s="578" t="n"/>
      <x:c r="V1877" s="565" t="n"/>
      <x:c r="W1877" s="565" t="n"/>
      <x:c r="X1877" s="565" t="n"/>
      <x:c r="Y1877" s="565" t="n"/>
      <x:c r="Z1877" s="565" t="n"/>
    </x:row>
    <x:row r="1878">
      <x:c r="A1878" s="552" t="inlineStr">
        <x:is>
          <x:t xml:space="preserve">2002-003773</x:t>
        </x:is>
      </x:c>
      <x:c r="B1878" s="552" t="n">
        <x:v>21</x:v>
      </x:c>
      <x:c r="C1878" s="552" t="inlineStr">
        <x:is>
          <x:t xml:space="preserve">Oil and Gas Lease</x:t>
        </x:is>
      </x:c>
      <x:c r="D1878" s="552" t="inlineStr">
        <x:is>
          <x:t xml:space="preserve">1689/464</x:t>
        </x:is>
      </x:c>
      <x:c r="E1878" s="653" t="n">
        <x:v>37496</x:v>
      </x:c>
      <x:c r="F1878" s="653" t="n">
        <x:v>37525</x:v>
      </x:c>
      <x:c r="G1878" s="552" t="inlineStr">
        <x:is>
          <x:t xml:space="preserve">J. Winneke Gregory</x:t>
        </x:is>
      </x:c>
      <x:c r="H1878" s="552" t="inlineStr">
        <x:is>
          <x:t xml:space="preserve">EOG Resources, Inc.</x:t>
        </x:is>
      </x:c>
      <x:c r="I1878" s="552" t="inlineStr">
        <x:is>
          <x:t xml:space="preserve">NW/4 SE/4, S/2 SE/4, SW/4 NE/4 of 31-12N-24W</x:t>
        </x:is>
      </x:c>
      <x:c r="J1878" s="552" t="inlineStr">
        <x:is>
          <x:t xml:space="preserve">HBP</x:t>
        </x:is>
      </x:c>
      <x:c r="K1878" s="554" t="e">
        <x:f>HYPERLINK("https://okcountyrecords.com/detail/roger+mills/2002-003773","OKCountyRecords: 2002-003773")</x:f>
      </x:c>
      <x:c r="L1878" s="552" t="n">
        <x:v>2</x:v>
      </x:c>
      <x:c r="M1878" s="552" t="inlineStr">
        <x:is>
          <x:t xml:space="preserve">Leasehold</x:t>
        </x:is>
      </x:c>
      <x:c r="N1878" s="555" t="n"/>
      <x:c r="O1878" s="556" t="n">
        <x:f>IF($L1878="","",IF(ISNUMBER(SEARCH("all",$L1878)),640,(ISNUMBER(SEARCH("1",$L1878)))*80+(ISNUMBER(SEARCH("2",$L1878)))*160+(ISNUMBER(SEARCH("3",$L1878)))*40+(ISNUMBER(SEARCH("4",$L1878)))*80+(ISNUMBER(SEARCH("5",$L1878)))*120+(ISNUMBER(SEARCH("6",$L1878)))*80+(ISNUMBER(SEARCH("7",$L1878)))*40+(ISNUMBER(SEARCH("8",$L1878)))*40))</x:f>
        <x:v>0</x:v>
      </x:c>
      <x:c r="P1878" s="654" t="str">
        <x:f>IF($M1878&lt;&gt;"Mineral","",IF(ISNUMBER($N1878),$N1878,IF(OR(ISNUMBER(SEARCH("surface",$J1878)),ISNUMBER(SEARCH("reserv",$J1878)),ISNUMBER(SEARCH("less and except",$J1878))),0,"")))</x:f>
      </x:c>
      <x:c r="Q1878" s="654" t="str">
        <x:f>IF($P1878="","",-$P1878)</x:f>
      </x:c>
      <x:c r="R1878" s="655" t="str">
        <x:f>IF($P1878="","",$O1878*$P1878)</x:f>
      </x:c>
      <x:c r="S1878" s="552" t="str">
        <x:f>IF($M1878="","",TRIM(IF($M1878="Mineral",IF(ISNUMBER($N1878),"Mineral; basis Conv Amt(dec). ",IF($P1878=0,"Mineral; surface-only/reserved-&gt;0 min. ","Mineral; NO AMOUNT-verify instrument. ")),$M1878&amp;" (non-mineral; excluded from mineral NMA). ")&amp;IF(OR(ISNUMBER(SEARCH("public",$G1878)),ISNUMBER(SEARCH("public",$H1878))),"FLAG: The Public placeholder-verify. ","")&amp;IF(ISNUMBER(SEARCH("all",$L1878)),"All-section coverage. ","")&amp;IF($O1878=0,"Gross acres unresolved. ","")&amp;"Gross=tract-map basis."))</x:f>
        <x:v>Leasehold (non-mineral; excluded from mineral NMA). Gross acres unresolved. Gross=tract-map basis.</x:v>
      </x:c>
      <x:c r="T1878" s="577" t="n"/>
      <x:c r="U1878" s="578" t="n"/>
      <x:c r="V1878" s="565" t="n"/>
      <x:c r="W1878" s="565" t="n"/>
      <x:c r="X1878" s="565" t="n"/>
      <x:c r="Y1878" s="565" t="n"/>
      <x:c r="Z1878" s="565" t="n"/>
    </x:row>
    <x:row r="1879">
      <x:c r="A1879" s="552" t="inlineStr">
        <x:is>
          <x:t xml:space="preserve">2002-004378</x:t>
        </x:is>
      </x:c>
      <x:c r="B1879" s="552" t="n"/>
      <x:c r="C1879" s="552" t="inlineStr">
        <x:is>
          <x:t xml:space="preserve">Mineral Deed</x:t>
        </x:is>
      </x:c>
      <x:c r="D1879" s="552" t="inlineStr">
        <x:is>
          <x:t xml:space="preserve">1694/156</x:t>
        </x:is>
      </x:c>
      <x:c r="E1879" s="653" t="n">
        <x:v>37536</x:v>
      </x:c>
      <x:c r="F1879" s="653" t="n">
        <x:v>37573</x:v>
      </x:c>
      <x:c r="G1879" s="552" t="inlineStr">
        <x:is>
          <x:t xml:space="preserve">William Cobal Bain and Billy Wayne Bain, Co-Trustees of the Testamentary Trust created under the Will of W. M. Bain for the benefit of Hazel Hamilton,
Billy Wayne Bain, Trustee ofthe Hazel Hamilton Inter Vivos Trust</x:t>
        </x:is>
      </x:c>
      <x:c r="H1879" s="552" t="inlineStr">
        <x:is>
          <x:t xml:space="preserve">Deeanne Browning, 2/6,
Darrell E. Hamilton, 2/6,
Stacy L. Smith, 1/6,
Travis L. Smith, 1/6</x:t>
        </x:is>
      </x:c>
      <x:c r="I1879" s="552" t="inlineStr">
        <x:is>
          <x:t xml:space="preserve">NW/4 SE/4, S/2 SE/4, SW/4 NE/4 of 31-12N-24W, aol</x:t>
        </x:is>
      </x:c>
      <x:c r="J1879" s="552" t="inlineStr">
        <x:is>
          <x:t xml:space="preserve">An undivided 43.496672/791.47ths interest in and to all ofthe oil, gas, and other minerals in 2 sections</x:t>
        </x:is>
      </x:c>
      <x:c r="K1879" s="554" t="e">
        <x:f>HYPERLINK("https://okcountyrecords.com/detail/roger+mills/2002-004378","OKCountyRecords: 2002-004378")</x:f>
      </x:c>
      <x:c r="L1879" s="552" t="n">
        <x:v>2</x:v>
      </x:c>
      <x:c r="M1879" s="552" t="inlineStr">
        <x:is>
          <x:t xml:space="preserve">Mineral</x:t>
        </x:is>
      </x:c>
      <x:c r="N1879" s="555" t="n">
        <x:f>43.496672/791.47</x:f>
        <x:v>0.05495681706192274</x:v>
      </x:c>
      <x:c r="O1879" s="556" t="n">
        <x:f>IF($L1879="","",IF(ISNUMBER(SEARCH("all",$L1879)),640,(ISNUMBER(SEARCH("1",$L1879)))*80+(ISNUMBER(SEARCH("2",$L1879)))*160+(ISNUMBER(SEARCH("3",$L1879)))*40+(ISNUMBER(SEARCH("4",$L1879)))*80+(ISNUMBER(SEARCH("5",$L1879)))*120+(ISNUMBER(SEARCH("6",$L1879)))*80+(ISNUMBER(SEARCH("7",$L1879)))*40+(ISNUMBER(SEARCH("8",$L1879)))*40))</x:f>
        <x:v>0</x:v>
      </x:c>
      <x:c r="P1879" s="654" t="n">
        <x:f>IF($M1879&lt;&gt;"Mineral","",IF(ISNUMBER($N1879),$N1879,IF(OR(ISNUMBER(SEARCH("surface",$J1879)),ISNUMBER(SEARCH("reserv",$J1879)),ISNUMBER(SEARCH("less and except",$J1879))),0,"")))</x:f>
        <x:v>0.05495681706192274</x:v>
      </x:c>
      <x:c r="Q1879" s="654" t="n">
        <x:f>IF($P1879="","",-$P1879)</x:f>
        <x:v>-0.05495681706192274</x:v>
      </x:c>
      <x:c r="R1879" s="655" t="n">
        <x:f>IF($P1879="","",$O1879*$P1879)</x:f>
        <x:v>0</x:v>
      </x:c>
      <x:c r="S1879" s="552" t="str">
        <x:f>IF($M1879="","",TRIM(IF($M1879="Mineral",IF(ISNUMBER($N1879),"Mineral; basis Conv Amt(dec). ",IF($P1879=0,"Mineral; surface-only/reserved-&gt;0 min. ","Mineral; NO AMOUNT-verify instrument. ")),$M1879&amp;" (non-mineral; excluded from mineral NMA). ")&amp;IF(OR(ISNUMBER(SEARCH("public",$G1879)),ISNUMBER(SEARCH("public",$H1879))),"FLAG: The Public placeholder-verify. ","")&amp;IF(ISNUMBER(SEARCH("all",$L1879)),"All-section coverage. ","")&amp;IF($O1879=0,"Gross acres unresolved. ","")&amp;"Gross=tract-map basis."))</x:f>
        <x:v>Mineral; basis Conv Amt(dec). Gross acres unresolved. Gross=tract-map basis.</x:v>
      </x:c>
      <x:c r="T1879" s="578" t="n"/>
      <x:c r="U1879" s="578" t="n"/>
      <x:c r="V1879" s="565" t="n"/>
      <x:c r="W1879" s="565" t="n"/>
      <x:c r="X1879" s="565" t="n"/>
      <x:c r="Y1879" s="565" t="n"/>
      <x:c r="Z1879" s="565" t="n"/>
    </x:row>
    <x:row r="1880">
      <x:c r="A1880" s="552" t="inlineStr">
        <x:is>
          <x:t xml:space="preserve">2002-004595</x:t>
        </x:is>
      </x:c>
      <x:c r="B1880" s="552" t="n"/>
      <x:c r="C1880" s="552" t="inlineStr">
        <x:is>
          <x:t xml:space="preserve">Mineral Deed</x:t>
        </x:is>
      </x:c>
      <x:c r="D1880" s="552" t="inlineStr">
        <x:is>
          <x:t xml:space="preserve">1695/238</x:t>
        </x:is>
      </x:c>
      <x:c r="E1880" s="653" t="n">
        <x:v>37586</x:v>
      </x:c>
      <x:c r="F1880" s="653" t="n">
        <x:v>37592</x:v>
      </x:c>
      <x:c r="G1880" s="552" t="inlineStr">
        <x:is>
          <x:t xml:space="preserve">Hayhurst Oil Properties, Inc.</x:t>
        </x:is>
      </x:c>
      <x:c r="H1880" s="552" t="inlineStr">
        <x:is>
          <x:t xml:space="preserve">Peggy J. HAYHURST, TRUSTEE, of the Peggy J. Hayhurst Revocable Trust datedrNovember 9, 1993</x:t>
        </x:is>
      </x:c>
      <x:c r="I1880" s="552" t="inlineStr">
        <x:is>
          <x:t xml:space="preserve">E/2 NW/4, N/2 NE/4 SW/4, NE/4 SE/4, SE/4 NE/4 of 31-12N-24W, aol</x:t>
        </x:is>
      </x:c>
      <x:c r="J1880" s="552" t="inlineStr">
        <x:is>
          <x:t xml:space="preserve">All its mineral interest (being appx 1.386 net acres m/1) (Re: Bk 1159, Pg 224)</x:t>
        </x:is>
      </x:c>
      <x:c r="K1880" s="554" t="e">
        <x:f>HYPERLINK("https://okcountyrecords.com/detail/roger+mills/2002-004595","OKCountyRecords: 2002-004595")</x:f>
      </x:c>
      <x:c r="L1880" s="552" t="inlineStr">
        <x:is>
          <x:t xml:space="preserve">1, 3, 4, 7, 8</x:t>
        </x:is>
      </x:c>
      <x:c r="M1880" s="552" t="inlineStr">
        <x:is>
          <x:t xml:space="preserve">Mineral</x:t>
        </x:is>
      </x:c>
      <x:c r="N1880" s="555" t="n">
        <x:f>1</x:f>
        <x:v>1</x:v>
      </x:c>
      <x:c r="O1880" s="556" t="n">
        <x:f>IF($L1880="","",IF(ISNUMBER(SEARCH("all",$L1880)),640,(ISNUMBER(SEARCH("1",$L1880)))*80+(ISNUMBER(SEARCH("2",$L1880)))*160+(ISNUMBER(SEARCH("3",$L1880)))*40+(ISNUMBER(SEARCH("4",$L1880)))*80+(ISNUMBER(SEARCH("5",$L1880)))*120+(ISNUMBER(SEARCH("6",$L1880)))*80+(ISNUMBER(SEARCH("7",$L1880)))*40+(ISNUMBER(SEARCH("8",$L1880)))*40))</x:f>
        <x:v>0</x:v>
      </x:c>
      <x:c r="P1880" s="654" t="n">
        <x:f>IF($M1880&lt;&gt;"Mineral","",IF(ISNUMBER($N1880),$N1880,IF(OR(ISNUMBER(SEARCH("surface",$J1880)),ISNUMBER(SEARCH("reserv",$J1880)),ISNUMBER(SEARCH("less and except",$J1880))),0,"")))</x:f>
        <x:v>1</x:v>
      </x:c>
      <x:c r="Q1880" s="654" t="n">
        <x:f>IF($P1880="","",-$P1880)</x:f>
        <x:v>-1</x:v>
      </x:c>
      <x:c r="R1880" s="655" t="n">
        <x:f>IF($P1880="","",$O1880*$P1880)</x:f>
        <x:v>0</x:v>
      </x:c>
      <x:c r="S1880" s="552" t="str">
        <x:f>IF($M1880="","",TRIM(IF($M1880="Mineral",IF(ISNUMBER($N1880),"Mineral; basis Conv Amt(dec). ",IF($P1880=0,"Mineral; surface-only/reserved-&gt;0 min. ","Mineral; VERIFY — NEED full instrument image for conveyed amount. ")),$M1880&amp;" (non-mineral; excluded from mineral NMA). ")&amp;IF(OR(ISNUMBER(SEARCH("public",$G1880)),ISNUMBER(SEARCH("public",$H1880))),"FLAG: The Public placeholder; VERIFY — NEED source confirmation. ","")&amp;IF(ISNUMBER(SEARCH("all",$L1880)),"All-section coverage. ","")&amp;IF($O1880=0,"Gross acres unresolved. ","")&amp;"Gross=tract-map basis."))</x:f>
        <x:v>Mineral; basis Conv Amt(dec). Gross acres unresolved. Gross=tract-map basis.</x:v>
      </x:c>
      <x:c r="T1880" s="578" t="inlineStr">
        <x:is>
          <x:t xml:space="preserve">REVIEW</x:t>
        </x:is>
      </x:c>
      <x:c r="U1880" s="578" t="inlineStr">
        <x:is>
          <x:t xml:space="preserve">NEED: denominator / tract allocation for 1.386 NMA from instrument image</x:t>
        </x:is>
      </x:c>
      <x:c r="V1880" s="565" t="n"/>
      <x:c r="W1880" s="565" t="n"/>
      <x:c r="X1880" s="565" t="n"/>
      <x:c r="Y1880" s="565" t="n"/>
      <x:c r="Z1880" s="565" t="n"/>
    </x:row>
    <x:row r="1881">
      <x:c r="A1881" s="552" t="inlineStr">
        <x:is>
          <x:t xml:space="preserve">2003-001558</x:t>
        </x:is>
      </x:c>
      <x:c r="B1881" s="552" t="n"/>
      <x:c r="C1881" s="552" t="inlineStr">
        <x:is>
          <x:t xml:space="preserve">Assignment</x:t>
        </x:is>
      </x:c>
      <x:c r="D1881" s="552" t="inlineStr">
        <x:is>
          <x:t xml:space="preserve">1706/384</x:t>
        </x:is>
      </x:c>
      <x:c r="E1881" s="653" t="n">
        <x:v>37710</x:v>
      </x:c>
      <x:c r="F1881" s="653" t="n">
        <x:v>37715</x:v>
      </x:c>
      <x:c r="G1881" s="552" t="inlineStr">
        <x:is>
          <x:t xml:space="preserve">Dorothy G. Executrix Hamilton</x:t>
        </x:is>
      </x:c>
      <x:c r="H1881" s="552" t="inlineStr">
        <x:is>
          <x:t xml:space="preserve">Dorothy G. Hamilton and Harold D. Rogers, Trustees of the Dorothy Trust </x:t>
        </x:is>
      </x:c>
      <x:c r="I1881" s="552" t="inlineStr">
        <x:is>
          <x:t xml:space="preserve">E/2 NW/4, N/2 NE/4 SW/4, NE/4 SE/4, SE/4 NE/4 of 31-12N-24W, aol</x:t>
        </x:is>
      </x:c>
      <x:c r="J1881" s="552" t="inlineStr">
        <x:is>
          <x:t xml:space="preserve">ARTI</x:t>
        </x:is>
      </x:c>
      <x:c r="K1881" s="554" t="e">
        <x:f>HYPERLINK("https://okcountyrecords.com/detail/roger+mills/2003-001558","OKCountyRecords: 2003-001558")</x:f>
      </x:c>
      <x:c r="L1881" s="552" t="inlineStr">
        <x:is>
          <x:t xml:space="preserve">1, 3, 4, 7, 8</x:t>
        </x:is>
      </x:c>
      <x:c r="M1881" s="552" t="inlineStr">
        <x:is>
          <x:t xml:space="preserve">Leasehold</x:t>
        </x:is>
      </x:c>
      <x:c r="N1881" s="561" t="n"/>
      <x:c r="O1881" s="556" t="n">
        <x:f>IF($L1881="","",IF(ISNUMBER(SEARCH("all",$L1881)),640,(ISNUMBER(SEARCH("1",$L1881)))*80+(ISNUMBER(SEARCH("2",$L1881)))*160+(ISNUMBER(SEARCH("3",$L1881)))*40+(ISNUMBER(SEARCH("4",$L1881)))*80+(ISNUMBER(SEARCH("5",$L1881)))*120+(ISNUMBER(SEARCH("6",$L1881)))*80+(ISNUMBER(SEARCH("7",$L1881)))*40+(ISNUMBER(SEARCH("8",$L1881)))*40))</x:f>
        <x:v>0</x:v>
      </x:c>
      <x:c r="P1881" s="654" t="str">
        <x:f>IF($M1881&lt;&gt;"Mineral","",IF(ISNUMBER($N1881),$N1881,IF(OR(ISNUMBER(SEARCH("surface",$J1881)),ISNUMBER(SEARCH("reserv",$J1881)),ISNUMBER(SEARCH("less and except",$J1881))),0,"")))</x:f>
      </x:c>
      <x:c r="Q1881" s="654" t="str">
        <x:f>IF($P1881="","",-$P1881)</x:f>
      </x:c>
      <x:c r="R1881" s="655" t="str">
        <x:f>IF($P1881="","",$O1881*$P1881)</x:f>
      </x:c>
      <x:c r="S1881" s="552" t="str">
        <x:f>IF($M1881="","",TRIM(IF($M1881="Mineral",IF(ISNUMBER($N1881),"Mineral; basis Conv Amt(dec). ",IF($P1881=0,"Mineral; surface-only/reserved-&gt;0 min. ","Mineral; NO AMOUNT-verify instrument. ")),$M1881&amp;" (non-mineral; excluded from mineral NMA). ")&amp;IF(OR(ISNUMBER(SEARCH("public",$G1881)),ISNUMBER(SEARCH("public",$H1881))),"FLAG: The Public placeholder-verify. ","")&amp;IF(ISNUMBER(SEARCH("all",$L1881)),"All-section coverage. ","")&amp;IF($O1881=0,"Gross acres unresolved. ","")&amp;"Gross=tract-map basis."))</x:f>
        <x:v>Leasehold (non-mineral; excluded from mineral NMA). Gross acres unresolved. Gross=tract-map basis.</x:v>
      </x:c>
      <x:c r="T1881" s="577" t="n"/>
      <x:c r="U1881" s="578" t="n"/>
      <x:c r="V1881" s="565" t="n"/>
      <x:c r="W1881" s="565" t="n"/>
      <x:c r="X1881" s="565" t="n"/>
      <x:c r="Y1881" s="565" t="n"/>
      <x:c r="Z1881" s="565" t="n"/>
    </x:row>
    <x:row r="1882">
      <x:c r="A1882" s="552" t="inlineStr">
        <x:is>
          <x:t xml:space="preserve">2003-001559</x:t>
        </x:is>
      </x:c>
      <x:c r="B1882" s="552" t="n"/>
      <x:c r="C1882" s="552" t="inlineStr">
        <x:is>
          <x:t xml:space="preserve">Assignment</x:t>
        </x:is>
      </x:c>
      <x:c r="D1882" s="552" t="inlineStr">
        <x:is>
          <x:t xml:space="preserve">1706/386</x:t>
        </x:is>
      </x:c>
      <x:c r="E1882" s="653" t="n">
        <x:v>37711</x:v>
      </x:c>
      <x:c r="F1882" s="653" t="n">
        <x:v>37715</x:v>
      </x:c>
      <x:c r="G1882" s="552" t="inlineStr">
        <x:is>
          <x:t xml:space="preserve">Dorothy G. Hamilton and Harold D. Rogers, Trustees of the Dorothy Trust </x:t>
        </x:is>
      </x:c>
      <x:c r="H1882" s="552" t="inlineStr">
        <x:is>
          <x:t xml:space="preserve">Dorothy G. Hamilton</x:t>
        </x:is>
      </x:c>
      <x:c r="I1882" s="552" t="inlineStr">
        <x:is>
          <x:t xml:space="preserve">E/2 NW/4, N/2 NE/4 SW/4, NE/4 SE/4, SE/4 NE/4 of 31-12N-24W, aol</x:t>
        </x:is>
      </x:c>
      <x:c r="J1882" s="552" t="inlineStr">
        <x:is>
          <x:t xml:space="preserve">ARTI</x:t>
        </x:is>
      </x:c>
      <x:c r="K1882" s="554" t="e">
        <x:f>HYPERLINK("https://okcountyrecords.com/detail/roger+mills/2003-001559","OKCountyRecords: 2003-001559")</x:f>
      </x:c>
      <x:c r="L1882" s="552" t="inlineStr">
        <x:is>
          <x:t xml:space="preserve">1, 3, 4, 7, 8</x:t>
        </x:is>
      </x:c>
      <x:c r="M1882" s="552" t="inlineStr">
        <x:is>
          <x:t xml:space="preserve">Leasehold</x:t>
        </x:is>
      </x:c>
      <x:c r="N1882" s="561" t="n"/>
      <x:c r="O1882" s="556" t="n">
        <x:f>IF($L1882="","",IF(ISNUMBER(SEARCH("all",$L1882)),640,(ISNUMBER(SEARCH("1",$L1882)))*80+(ISNUMBER(SEARCH("2",$L1882)))*160+(ISNUMBER(SEARCH("3",$L1882)))*40+(ISNUMBER(SEARCH("4",$L1882)))*80+(ISNUMBER(SEARCH("5",$L1882)))*120+(ISNUMBER(SEARCH("6",$L1882)))*80+(ISNUMBER(SEARCH("7",$L1882)))*40+(ISNUMBER(SEARCH("8",$L1882)))*40))</x:f>
        <x:v>0</x:v>
      </x:c>
      <x:c r="P1882" s="654" t="str">
        <x:f>IF($M1882&lt;&gt;"Mineral","",IF(ISNUMBER($N1882),$N1882,IF(OR(ISNUMBER(SEARCH("surface",$J1882)),ISNUMBER(SEARCH("reserv",$J1882)),ISNUMBER(SEARCH("less and except",$J1882))),0,"")))</x:f>
      </x:c>
      <x:c r="Q1882" s="654" t="str">
        <x:f>IF($P1882="","",-$P1882)</x:f>
      </x:c>
      <x:c r="R1882" s="655" t="str">
        <x:f>IF($P1882="","",$O1882*$P1882)</x:f>
      </x:c>
      <x:c r="S1882" s="552" t="str">
        <x:f>IF($M1882="","",TRIM(IF($M1882="Mineral",IF(ISNUMBER($N1882),"Mineral; basis Conv Amt(dec). ",IF($P1882=0,"Mineral; surface-only/reserved-&gt;0 min. ","Mineral; NO AMOUNT-verify instrument. ")),$M1882&amp;" (non-mineral; excluded from mineral NMA). ")&amp;IF(OR(ISNUMBER(SEARCH("public",$G1882)),ISNUMBER(SEARCH("public",$H1882))),"FLAG: The Public placeholder-verify. ","")&amp;IF(ISNUMBER(SEARCH("all",$L1882)),"All-section coverage. ","")&amp;IF($O1882=0,"Gross acres unresolved. ","")&amp;"Gross=tract-map basis."))</x:f>
        <x:v>Leasehold (non-mineral; excluded from mineral NMA). Gross acres unresolved. Gross=tract-map basis.</x:v>
      </x:c>
      <x:c r="T1882" s="577" t="n"/>
      <x:c r="U1882" s="578" t="n"/>
      <x:c r="V1882" s="565" t="n"/>
      <x:c r="W1882" s="565" t="n"/>
      <x:c r="X1882" s="565" t="n"/>
      <x:c r="Y1882" s="565" t="n"/>
      <x:c r="Z1882" s="565" t="n"/>
    </x:row>
    <x:row r="1883">
      <x:c r="A1883" s="552" t="inlineStr">
        <x:is>
          <x:t xml:space="preserve">2003-001781</x:t>
        </x:is>
      </x:c>
      <x:c r="B1883" s="552" t="n"/>
      <x:c r="C1883" s="552" t="inlineStr">
        <x:is>
          <x:t xml:space="preserve">Disclaimer</x:t>
        </x:is>
      </x:c>
      <x:c r="D1883" s="552" t="inlineStr">
        <x:is>
          <x:t xml:space="preserve">1707/512</x:t>
        </x:is>
      </x:c>
      <x:c r="E1883" s="653" t="n">
        <x:v>37729</x:v>
      </x:c>
      <x:c r="F1883" s="653" t="n">
        <x:v>37732</x:v>
      </x:c>
      <x:c r="G1883" s="552" t="inlineStr">
        <x:is>
          <x:t xml:space="preserve">Beckham County Court,
RE: In the Matter of the Estate of Glenn Douglas Mitchel, Deceased,
Billy George Mitchel</x:t>
        </x:is>
      </x:c>
      <x:c r="H1883" s="552" t="inlineStr">
        <x:is>
          <x:t xml:space="preserve">The Public</x:t>
        </x:is>
      </x:c>
      <x:c r="I1883" s="552" t="inlineStr">
        <x:is>
          <x:t xml:space="preserve">E/2 NW/4, N/2 NE/4 SE/4, NE/4 SE/4, SE/4 NE/4 of 31-12N-24W, aol</x:t>
        </x:is>
      </x:c>
      <x:c r="J1883" s="552" t="inlineStr">
        <x:is>
          <x:t xml:space="preserve">Irrevocably and unconditionally disclaims and renounces all claim, right, title and interest whatsoever that I might otherwise have acquired as an heir at law, legatee or devisee of Decedent, or as beneficiary of the Glenn Douglas Mitchel and Hazel Pearl Mitchel Trust, dated October 26, 1988, as from time to time amended</x:t>
        </x:is>
      </x:c>
      <x:c r="K1883" s="554" t="e">
        <x:f>HYPERLINK("https://okcountyrecords.com/detail/roger+mills/2003-001781","OKCountyRecords: 2003-001781")</x:f>
      </x:c>
      <x:c r="L1883" s="552" t="inlineStr">
        <x:is>
          <x:t xml:space="preserve">1, 3, 4, 8</x:t>
        </x:is>
      </x:c>
      <x:c r="M1883" s="552" t="inlineStr">
        <x:is>
          <x:t xml:space="preserve">Other</x:t>
        </x:is>
      </x:c>
      <x:c r="N1883" s="561" t="n"/>
      <x:c r="O1883" s="556" t="n">
        <x:f>IF($L1883="","",IF(ISNUMBER(SEARCH("all",$L1883)),640,(ISNUMBER(SEARCH("1",$L1883)))*80+(ISNUMBER(SEARCH("2",$L1883)))*160+(ISNUMBER(SEARCH("3",$L1883)))*40+(ISNUMBER(SEARCH("4",$L1883)))*80+(ISNUMBER(SEARCH("5",$L1883)))*120+(ISNUMBER(SEARCH("6",$L1883)))*80+(ISNUMBER(SEARCH("7",$L1883)))*40+(ISNUMBER(SEARCH("8",$L1883)))*40))</x:f>
        <x:v>0</x:v>
      </x:c>
      <x:c r="P1883" s="654" t="str">
        <x:f>IF($M1883&lt;&gt;"Mineral","",IF(ISNUMBER($N1883),$N1883,IF(OR(ISNUMBER(SEARCH("surface",$J1883)),ISNUMBER(SEARCH("reserv",$J1883)),ISNUMBER(SEARCH("less and except",$J1883))),0,"")))</x:f>
      </x:c>
      <x:c r="Q1883" s="654" t="str">
        <x:f>IF($P1883="","",-$P1883)</x:f>
      </x:c>
      <x:c r="R1883" s="655" t="str">
        <x:f>IF($P1883="","",$O1883*$P1883)</x:f>
      </x:c>
      <x:c r="S1883" s="552" t="inlineStr">
        <x:is>
          <x:t xml:space="preserve">Other (non-mineral; excluded from mineral NMA). Gross=tract-map basis.</x:t>
        </x:is>
      </x:c>
      <x:c r="T1883" s="578" t="inlineStr">
        <x:is>
          <x:t xml:space="preserve">OK</x:t>
        </x:is>
      </x:c>
      <x:c r="U1883" s="578" t="inlineStr">
        <x:is>
          <x:t xml:space="preserve">Non-conveying — notice/affidavit/address change (The Public).</x:t>
        </x:is>
      </x:c>
      <x:c r="V1883" s="565" t="n"/>
      <x:c r="W1883" s="565" t="n"/>
      <x:c r="X1883" s="565" t="n"/>
      <x:c r="Y1883" s="565" t="n"/>
      <x:c r="Z1883" s="565" t="n"/>
    </x:row>
    <x:row r="1884">
      <x:c r="A1884" s="552" t="inlineStr">
        <x:is>
          <x:t xml:space="preserve">2003-005699</x:t>
        </x:is>
      </x:c>
      <x:c r="B1884" s="552" t="n"/>
      <x:c r="C1884" s="552" t="inlineStr">
        <x:is>
          <x:t xml:space="preserve">Final Decree</x:t>
        </x:is>
      </x:c>
      <x:c r="D1884" s="552" t="inlineStr">
        <x:is>
          <x:t xml:space="preserve">1728/457</x:t>
        </x:is>
      </x:c>
      <x:c r="E1884" s="653" t="n">
        <x:v>37802</x:v>
      </x:c>
      <x:c r="F1884" s="653" t="n">
        <x:v>37937</x:v>
      </x:c>
      <x:c r="G1884" s="552" t="inlineStr">
        <x:is>
          <x:t xml:space="preserve">Beckham County Court,
RE: In the Matter of the Estate of Glenn Douglas Mitchel, Deceased</x:t>
        </x:is>
      </x:c>
      <x:c r="H1884" s="552" t="inlineStr">
        <x:is>
          <x:t xml:space="preserve">The Public</x:t>
        </x:is>
      </x:c>
      <x:c r="I1884" s="552" t="inlineStr">
        <x:is>
          <x:t xml:space="preserve">E/2 NW/4, SE/4 NE/4, NE/4 SE/4, N/2 NE/4, SE/4of 31-12N-24W, aol</x:t>
        </x:is>
      </x:c>
      <x:c r="J1884" s="552" t="inlineStr">
        <x:is>
          <x:t xml:space="preserve">ARTI, An undivided 1/78th (2.308 min. ac.) interest</x:t>
        </x:is>
      </x:c>
      <x:c r="K1884" s="554" t="e">
        <x:f>HYPERLINK("https://okcountyrecords.com/detail/roger+mills/2003-005699","OKCountyRecords: 2003-005699")</x:f>
      </x:c>
      <x:c r="L1884" s="552" t="inlineStr">
        <x:is>
          <x:t xml:space="preserve">1, 3, 4, 8</x:t>
        </x:is>
      </x:c>
      <x:c r="M1884" s="552" t="inlineStr">
        <x:is>
          <x:t xml:space="preserve">Mineral</x:t>
        </x:is>
      </x:c>
      <x:c r="N1884" s="561" t="n">
        <x:f>1</x:f>
        <x:v>1</x:v>
      </x:c>
      <x:c r="O1884" s="556" t="n">
        <x:f>IF($L1884="","",IF(ISNUMBER(SEARCH("all",$L1884)),640,(ISNUMBER(SEARCH("1",$L1884)))*80+(ISNUMBER(SEARCH("2",$L1884)))*160+(ISNUMBER(SEARCH("3",$L1884)))*40+(ISNUMBER(SEARCH("4",$L1884)))*80+(ISNUMBER(SEARCH("5",$L1884)))*120+(ISNUMBER(SEARCH("6",$L1884)))*80+(ISNUMBER(SEARCH("7",$L1884)))*40+(ISNUMBER(SEARCH("8",$L1884)))*40))</x:f>
        <x:v>0</x:v>
      </x:c>
      <x:c r="P1884" s="654" t="n">
        <x:f>IF($M1884&lt;&gt;"Mineral","",IF(ISNUMBER($N1884),$N1884,IF(OR(ISNUMBER(SEARCH("surface",$J1884)),ISNUMBER(SEARCH("reserv",$J1884)),ISNUMBER(SEARCH("less and except",$J1884))),0,"")))</x:f>
        <x:v>1</x:v>
      </x:c>
      <x:c r="Q1884" s="654" t="n">
        <x:f>IF($P1884="","",-$P1884)</x:f>
        <x:v>-1</x:v>
      </x:c>
      <x:c r="R1884" s="655" t="n">
        <x:f>IF($P1884="","",$O1884*$P1884)</x:f>
        <x:v>0</x:v>
      </x:c>
      <x:c r="S1884" s="552" t="inlineStr">
        <x:is>
          <x:t xml:space="preserve">Mineral; basis Conv Amt(dec). Gross=tract-map basis.</x:t>
        </x:is>
      </x:c>
      <x:c r="T1884" s="578" t="inlineStr">
        <x:is>
          <x:t xml:space="preserve">OK</x:t>
        </x:is>
      </x:c>
      <x:c r="U1884" s="578" t="inlineStr">
        <x:is>
          <x:t xml:space="preserve">ARTI in Notes — interest retained as conveyed per affidavit (The Public notice).</x:t>
        </x:is>
      </x:c>
      <x:c r="V1884" s="565" t="n"/>
      <x:c r="W1884" s="565" t="n"/>
      <x:c r="X1884" s="565" t="n"/>
      <x:c r="Y1884" s="565" t="n"/>
      <x:c r="Z1884" s="565" t="n"/>
    </x:row>
    <x:row r="1885">
      <x:c r="A1885" s="552" t="inlineStr">
        <x:is>
          <x:t xml:space="preserve">2003-004945</x:t>
        </x:is>
      </x:c>
      <x:c r="B1885" s="552" t="n"/>
      <x:c r="C1885" s="552" t="inlineStr">
        <x:is>
          <x:t xml:space="preserve">Special Warranty Deed, Assignment and Bill of Sale</x:t>
        </x:is>
      </x:c>
      <x:c r="D1885" s="552" t="inlineStr">
        <x:is>
          <x:t xml:space="preserve">1724/582</x:t>
        </x:is>
      </x:c>
      <x:c r="E1885" s="653" t="n">
        <x:v>37848</x:v>
      </x:c>
      <x:c r="F1885" s="653" t="n">
        <x:v>37897</x:v>
      </x:c>
      <x:c r="G1885" s="552" t="inlineStr">
        <x:is>
          <x:t xml:space="preserve">Bluebonnet Investments, Ltd.</x:t>
        </x:is>
      </x:c>
      <x:c r="H1885" s="552" t="inlineStr">
        <x:is>
          <x:t xml:space="preserve">White Birch, L.P.</x:t>
        </x:is>
      </x:c>
      <x:c r="I1885" s="552" t="inlineStr">
        <x:is>
          <x:t xml:space="preserve">E/2 NW/4, N/2 NE/4 SW/4, NE/4 SE/4, SE/4 NE/4 of 31-12N-24W, aol</x:t>
        </x:is>
      </x:c>
      <x:c r="J1885" s="552" t="inlineStr">
        <x:is>
          <x:t xml:space="preserve">ARTI, being the same property conveyed in Mineral Deed dated May 24, 1974, from Marie Lister to Mann Children's Trust, recorded in Book 165, Page 87 of the Mineral Records of Roger Mills County, Oklahoma, SAVE AND EXCEPT: The above described Property shall not include any contingent beneficiary interest, reversionary interest, or any other interest now or hereafter owned or held by Grantor (acquired by Grantor from Robert A. Mann or otherwise) in any property or assets now or hereafter owned or held by the D. P. Mann Trust or the Hattie B. Mann Trust, any such interests being hereby expressly reserved by Grantor and not conveyed or assigned to Grantee</x:t>
        </x:is>
      </x:c>
      <x:c r="K1885" s="554" t="e">
        <x:f>HYPERLINK("https://okcountyrecords.com/detail/roger+mills/2003-004945","OKCountyRecords: 2003-004945")</x:f>
      </x:c>
      <x:c r="L1885" s="552" t="inlineStr">
        <x:is>
          <x:t xml:space="preserve">1, 3, 4, 7, 8</x:t>
        </x:is>
      </x:c>
      <x:c r="M1885" s="552" t="inlineStr">
        <x:is>
          <x:t xml:space="preserve">Mineral</x:t>
        </x:is>
      </x:c>
      <x:c r="N1885" s="561" t="n">
        <x:v>1</x:v>
      </x:c>
      <x:c r="O1885" s="556" t="n">
        <x:f>IF($L1885="","",IF(ISNUMBER(SEARCH("all",$L1885)),640,(ISNUMBER(SEARCH("1",$L1885)))*80+(ISNUMBER(SEARCH("2",$L1885)))*160+(ISNUMBER(SEARCH("3",$L1885)))*40+(ISNUMBER(SEARCH("4",$L1885)))*80+(ISNUMBER(SEARCH("5",$L1885)))*120+(ISNUMBER(SEARCH("6",$L1885)))*80+(ISNUMBER(SEARCH("7",$L1885)))*40+(ISNUMBER(SEARCH("8",$L1885)))*40))</x:f>
        <x:v>0</x:v>
      </x:c>
      <x:c r="P1885" s="654" t="n">
        <x:f>IF($M1885&lt;&gt;"Mineral","",IF(ISNUMBER($N1885),$N1885,IF(OR(ISNUMBER(SEARCH("surface",$J1885)),ISNUMBER(SEARCH("reserv",$J1885)),ISNUMBER(SEARCH("less and except",$J1885))),0,"")))</x:f>
        <x:v>1</x:v>
      </x:c>
      <x:c r="Q1885" s="654" t="n">
        <x:f>IF($P1885="","",-$P1885)</x:f>
        <x:v>-1</x:v>
      </x:c>
      <x:c r="R1885" s="655" t="n">
        <x:f>IF($P1885="","",$O1885*$P1885)</x:f>
        <x:v>0</x:v>
      </x:c>
      <x:c r="S1885" s="552" t="str">
        <x:f>IF($M1885="","",TRIM(IF($M1885="Mineral",IF(ISNUMBER($N1885),"Mineral; basis Conv Amt(dec). ",IF($P1885=0,"Mineral; surface-only/reserved-&gt;0 min. ","Mineral; NO AMOUNT-verify instrument. ")),$M1885&amp;" (non-mineral; excluded from mineral NMA). ")&amp;IF(OR(ISNUMBER(SEARCH("public",$G1885)),ISNUMBER(SEARCH("public",$H1885))),"FLAG: The Public placeholder-verify. ","")&amp;IF(ISNUMBER(SEARCH("all",$L1885)),"All-section coverage. ","")&amp;IF($O1885=0,"Gross acres unresolved. ","")&amp;"Gross=tract-map basis."))</x:f>
        <x:v>Mineral; basis Conv Amt(dec). Gross acres unresolved. Gross=tract-map basis.</x:v>
      </x:c>
      <x:c r="T1885" s="578" t="n"/>
      <x:c r="U1885" s="578" t="n"/>
      <x:c r="V1885" s="565" t="n"/>
      <x:c r="W1885" s="565" t="n"/>
      <x:c r="X1885" s="565" t="n"/>
      <x:c r="Y1885" s="565" t="n"/>
      <x:c r="Z1885" s="565" t="n"/>
    </x:row>
    <x:row r="1886">
      <x:c r="A1886" s="552" t="inlineStr">
        <x:is>
          <x:t xml:space="preserve">2003-004685</x:t>
        </x:is>
      </x:c>
      <x:c r="B1886" s="552" t="n"/>
      <x:c r="C1886" s="552" t="inlineStr">
        <x:is>
          <x:t xml:space="preserve">Warranty Deed (Joint Tenancy)</x:t>
        </x:is>
      </x:c>
      <x:c r="D1886" s="552" t="inlineStr">
        <x:is>
          <x:t xml:space="preserve">1722/449</x:t>
        </x:is>
      </x:c>
      <x:c r="E1886" s="653" t="n">
        <x:v>37866</x:v>
      </x:c>
      <x:c r="F1886" s="653" t="n">
        <x:v>37881</x:v>
      </x:c>
      <x:c r="G1886" s="552" t="inlineStr">
        <x:is>
          <x:t xml:space="preserve">Wendell Coots and Carolyn Coots, HW</x:t>
        </x:is>
      </x:c>
      <x:c r="H1886" s="552" t="inlineStr">
        <x:is>
          <x:t xml:space="preserve">William Bryant and Kathy Bryant, HW, JTWROS</x:t>
        </x:is>
      </x:c>
      <x:c r="I1886" s="552" t="inlineStr">
        <x:is>
          <x:t xml:space="preserve">A tract of land in Lot 1 of 31-12N-24W, described as follows: Beginning at the NW corner of said Lot 1, thence East 420.58 feet, thence South 725 feet, thence West 420.58 feet, and thence North 725 feet to the point of beginning, containing 7 acres, more or less.</x:t>
        </x:is>
      </x:c>
      <x:c r="J1886" s="552" t="inlineStr">
        <x:is>
          <x:t xml:space="preserve">ARTI</x:t>
        </x:is>
      </x:c>
      <x:c r="K1886" s="554" t="e">
        <x:f>HYPERLINK("https://okcountyrecords.com/detail/roger+mills/2003-004685","OKCountyRecords: 2003-004685")</x:f>
      </x:c>
      <x:c r="L1886" s="552" t="n">
        <x:v>5</x:v>
      </x:c>
      <x:c r="M1886" s="552" t="inlineStr">
        <x:is>
          <x:t xml:space="preserve">Mineral</x:t>
        </x:is>
      </x:c>
      <x:c r="N1886" s="555" t="n">
        <x:v>1</x:v>
      </x:c>
      <x:c r="O1886" s="556" t="n">
        <x:f>IF($L1886="","",IF(ISNUMBER(SEARCH("all",$L1886)),640,(ISNUMBER(SEARCH("1",$L1886)))*80+(ISNUMBER(SEARCH("2",$L1886)))*160+(ISNUMBER(SEARCH("3",$L1886)))*40+(ISNUMBER(SEARCH("4",$L1886)))*80+(ISNUMBER(SEARCH("5",$L1886)))*120+(ISNUMBER(SEARCH("6",$L1886)))*80+(ISNUMBER(SEARCH("7",$L1886)))*40+(ISNUMBER(SEARCH("8",$L1886)))*40))</x:f>
        <x:v>0</x:v>
      </x:c>
      <x:c r="P1886" s="654" t="n">
        <x:f>IF($M1886&lt;&gt;"Mineral","",IF(ISNUMBER($N1886),$N1886,IF(OR(ISNUMBER(SEARCH("surface",$J1886)),ISNUMBER(SEARCH("reserv",$J1886)),ISNUMBER(SEARCH("less and except",$J1886))),0,"")))</x:f>
        <x:v>1</x:v>
      </x:c>
      <x:c r="Q1886" s="654" t="n">
        <x:f>IF($P1886="","",-$P1886)</x:f>
        <x:v>-1</x:v>
      </x:c>
      <x:c r="R1886" s="655" t="n">
        <x:f>IF($P1886="","",$O1886*$P1886)</x:f>
        <x:v>0</x:v>
      </x:c>
      <x:c r="S1886" s="552" t="str">
        <x:f>IF($M1886="","",TRIM(IF($M1886="Mineral",IF(ISNUMBER($N1886),"Mineral; basis Conv Amt(dec). ",IF($P1886=0,"Mineral; surface-only/reserved-&gt;0 min. ","Mineral; NO AMOUNT-verify instrument. ")),$M1886&amp;" (non-mineral; excluded from mineral NMA). ")&amp;IF(OR(ISNUMBER(SEARCH("public",$G1886)),ISNUMBER(SEARCH("public",$H1886))),"FLAG: The Public placeholder-verify. ","")&amp;IF(ISNUMBER(SEARCH("all",$L1886)),"All-section coverage. ","")&amp;IF($O1886=0,"Gross acres unresolved. ","")&amp;"Gross=tract-map basis."))</x:f>
        <x:v>Mineral; basis Conv Amt(dec). Gross acres unresolved. Gross=tract-map basis.</x:v>
      </x:c>
      <x:c r="T1886" s="577" t="n"/>
      <x:c r="U1886" s="578" t="n"/>
      <x:c r="V1886" s="565" t="n"/>
      <x:c r="W1886" s="565" t="n"/>
      <x:c r="X1886" s="565" t="n"/>
      <x:c r="Y1886" s="565" t="n"/>
      <x:c r="Z1886" s="565" t="n"/>
    </x:row>
    <x:row r="1887">
      <x:c r="A1887" s="552" t="inlineStr">
        <x:is>
          <x:t xml:space="preserve">2004-000364</x:t>
        </x:is>
      </x:c>
      <x:c r="B1887" s="552" t="n"/>
      <x:c r="C1887" s="552" t="inlineStr">
        <x:is>
          <x:t xml:space="preserve">Quit Claim Deed by Trustee</x:t>
        </x:is>
      </x:c>
      <x:c r="D1887" s="552" t="inlineStr">
        <x:is>
          <x:t xml:space="preserve">1735/133</x:t>
        </x:is>
      </x:c>
      <x:c r="E1887" s="653" t="n">
        <x:v>37959</x:v>
      </x:c>
      <x:c r="F1887" s="653" t="n">
        <x:v>38008</x:v>
      </x:c>
      <x:c r="G1887" s="552" t="inlineStr">
        <x:is>
          <x:t xml:space="preserve">John E. Mahoney, Trustee of The Mahoney Children's Trust dated the 1st day of February, 1990</x:t>
        </x:is>
      </x:c>
      <x:c r="H1887" s="552" t="inlineStr">
        <x:is>
          <x:t xml:space="preserve">William Bryant and Kathy Bryant, HW</x:t>
        </x:is>
      </x:c>
      <x:c r="I1887" s="552" t="inlineStr">
        <x:is>
          <x:t xml:space="preserve">A tract of land in Lot 1 of 31-12N-24W, described as follows: Beginning at the NW corner of said Lot 1, thence East 420.58 feet, thence South 725 feet, thence West 420.58 feet, and thence North 725 feet to the point of beginning, containing 7 acres, more or less.</x:t>
        </x:is>
      </x:c>
      <x:c r="J1887" s="552" t="inlineStr">
        <x:is>
          <x:t xml:space="preserve">ARTI</x:t>
        </x:is>
      </x:c>
      <x:c r="K1887" s="554" t="e">
        <x:f>HYPERLINK("https://okcountyrecords.com/detail/roger+mills/2004-000364","OKCountyRecords: 2004-000364")</x:f>
      </x:c>
      <x:c r="L1887" s="552" t="n">
        <x:v>5</x:v>
      </x:c>
      <x:c r="M1887" s="552" t="inlineStr">
        <x:is>
          <x:t xml:space="preserve">Mineral</x:t>
        </x:is>
      </x:c>
      <x:c r="N1887" s="555" t="n">
        <x:v>1</x:v>
      </x:c>
      <x:c r="O1887" s="556" t="n">
        <x:f>IF($L1887="","",IF(ISNUMBER(SEARCH("all",$L1887)),640,(ISNUMBER(SEARCH("1",$L1887)))*80+(ISNUMBER(SEARCH("2",$L1887)))*160+(ISNUMBER(SEARCH("3",$L1887)))*40+(ISNUMBER(SEARCH("4",$L1887)))*80+(ISNUMBER(SEARCH("5",$L1887)))*120+(ISNUMBER(SEARCH("6",$L1887)))*80+(ISNUMBER(SEARCH("7",$L1887)))*40+(ISNUMBER(SEARCH("8",$L1887)))*40))</x:f>
        <x:v>0</x:v>
      </x:c>
      <x:c r="P1887" s="654" t="n">
        <x:f>IF($M1887&lt;&gt;"Mineral","",IF(ISNUMBER($N1887),$N1887,IF(OR(ISNUMBER(SEARCH("surface",$J1887)),ISNUMBER(SEARCH("reserv",$J1887)),ISNUMBER(SEARCH("less and except",$J1887))),0,"")))</x:f>
        <x:v>1</x:v>
      </x:c>
      <x:c r="Q1887" s="654" t="n">
        <x:f>IF($P1887="","",-$P1887)</x:f>
        <x:v>-1</x:v>
      </x:c>
      <x:c r="R1887" s="655" t="n">
        <x:f>IF($P1887="","",$O1887*$P1887)</x:f>
        <x:v>0</x:v>
      </x:c>
      <x:c r="S1887" s="552" t="str">
        <x:f>IF($M1887="","",TRIM(IF($M1887="Mineral",IF(ISNUMBER($N1887),"Mineral; basis Conv Amt(dec). ",IF($P1887=0,"Mineral; surface-only/reserved-&gt;0 min. ","Mineral; NO AMOUNT-verify instrument. ")),$M1887&amp;" (non-mineral; excluded from mineral NMA). ")&amp;IF(OR(ISNUMBER(SEARCH("public",$G1887)),ISNUMBER(SEARCH("public",$H1887))),"FLAG: The Public placeholder-verify. ","")&amp;IF(ISNUMBER(SEARCH("all",$L1887)),"All-section coverage. ","")&amp;IF($O1887=0,"Gross acres unresolved. ","")&amp;"Gross=tract-map basis."))</x:f>
        <x:v>Mineral; basis Conv Amt(dec). Gross acres unresolved. Gross=tract-map basis.</x:v>
      </x:c>
      <x:c r="T1887" s="577" t="n"/>
      <x:c r="U1887" s="578" t="n"/>
      <x:c r="V1887" s="565" t="n"/>
      <x:c r="W1887" s="565" t="n"/>
      <x:c r="X1887" s="565" t="n"/>
      <x:c r="Y1887" s="565" t="n"/>
      <x:c r="Z1887" s="565" t="n"/>
    </x:row>
    <x:row r="1888">
      <x:c r="A1888" s="552" t="inlineStr">
        <x:is>
          <x:t xml:space="preserve">2004-000099</x:t>
        </x:is>
      </x:c>
      <x:c r="B1888" s="552" t="n"/>
      <x:c r="C1888" s="552" t="inlineStr">
        <x:is>
          <x:t xml:space="preserve">Final Decree</x:t>
        </x:is>
      </x:c>
      <x:c r="D1888" s="552" t="inlineStr">
        <x:is>
          <x:t xml:space="preserve">1734/14</x:t>
        </x:is>
      </x:c>
      <x:c r="E1888" s="653" t="n">
        <x:v>37990</x:v>
      </x:c>
      <x:c r="F1888" s="653" t="n">
        <x:v>37994</x:v>
      </x:c>
      <x:c r="G1888" s="552" t="inlineStr">
        <x:is>
          <x:t xml:space="preserve">Beckham County Court,
RE: In the Matter of the Estate of Evelyn Louise McLerran, Deceased</x:t>
        </x:is>
      </x:c>
      <x:c r="H1888" s="552" t="inlineStr">
        <x:is>
          <x:t xml:space="preserve">Nana Lou Jones</x:t>
        </x:is>
      </x:c>
      <x:c r="I1888" s="552" t="inlineStr">
        <x:is>
          <x:t xml:space="preserve">E/2 NW/4, N/2 NE/4 SW/4, NE/4 SE/4, SE/4 NE/4 of 31-12N-24W, aol</x:t>
        </x:is>
      </x:c>
      <x:c r="J1888" s="552" t="inlineStr">
        <x:is>
          <x:t xml:space="preserve">ARTI</x:t>
        </x:is>
      </x:c>
      <x:c r="K1888" s="554" t="e">
        <x:f>HYPERLINK("https://okcountyrecords.com/detail/roger+mills/2004-000099","OKCountyRecords: 2004-000099")</x:f>
      </x:c>
      <x:c r="L1888" s="552" t="inlineStr">
        <x:is>
          <x:t xml:space="preserve">1, 3, 4, 7, 8</x:t>
        </x:is>
      </x:c>
      <x:c r="M1888" s="552" t="inlineStr">
        <x:is>
          <x:t xml:space="preserve">Mineral</x:t>
        </x:is>
      </x:c>
      <x:c r="N1888" s="561" t="n">
        <x:v>1</x:v>
      </x:c>
      <x:c r="O1888" s="556" t="n">
        <x:f>IF($L1888="","",IF(ISNUMBER(SEARCH("all",$L1888)),640,(ISNUMBER(SEARCH("1",$L1888)))*80+(ISNUMBER(SEARCH("2",$L1888)))*160+(ISNUMBER(SEARCH("3",$L1888)))*40+(ISNUMBER(SEARCH("4",$L1888)))*80+(ISNUMBER(SEARCH("5",$L1888)))*120+(ISNUMBER(SEARCH("6",$L1888)))*80+(ISNUMBER(SEARCH("7",$L1888)))*40+(ISNUMBER(SEARCH("8",$L1888)))*40))</x:f>
        <x:v>0</x:v>
      </x:c>
      <x:c r="P1888" s="654" t="n">
        <x:f>IF($M1888&lt;&gt;"Mineral","",IF(ISNUMBER($N1888),$N1888,IF(OR(ISNUMBER(SEARCH("surface",$J1888)),ISNUMBER(SEARCH("reserv",$J1888)),ISNUMBER(SEARCH("less and except",$J1888))),0,"")))</x:f>
        <x:v>1</x:v>
      </x:c>
      <x:c r="Q1888" s="654" t="n">
        <x:f>IF($P1888="","",-$P1888)</x:f>
        <x:v>-1</x:v>
      </x:c>
      <x:c r="R1888" s="655" t="n">
        <x:f>IF($P1888="","",$O1888*$P1888)</x:f>
        <x:v>0</x:v>
      </x:c>
      <x:c r="S1888" s="552" t="str">
        <x:f>IF($M1888="","",TRIM(IF($M1888="Mineral",IF(ISNUMBER($N1888),"Mineral; basis Conv Amt(dec). ",IF($P1888=0,"Mineral; surface-only/reserved-&gt;0 min. ","Mineral; NO AMOUNT-verify instrument. ")),$M1888&amp;" (non-mineral; excluded from mineral NMA). ")&amp;IF(OR(ISNUMBER(SEARCH("public",$G1888)),ISNUMBER(SEARCH("public",$H1888))),"FLAG: The Public placeholder-verify. ","")&amp;IF(ISNUMBER(SEARCH("all",$L1888)),"All-section coverage. ","")&amp;IF($O1888=0,"Gross acres unresolved. ","")&amp;"Gross=tract-map basis."))</x:f>
        <x:v>Mineral; basis Conv Amt(dec). Gross acres unresolved. Gross=tract-map basis.</x:v>
      </x:c>
      <x:c r="T1888" s="577" t="n"/>
      <x:c r="U1888" s="578" t="n"/>
      <x:c r="V1888" s="565" t="n"/>
      <x:c r="W1888" s="565" t="n"/>
      <x:c r="X1888" s="565" t="n"/>
      <x:c r="Y1888" s="565" t="n"/>
      <x:c r="Z1888" s="565" t="n"/>
    </x:row>
    <x:row r="1889">
      <x:c r="A1889" s="552" t="inlineStr">
        <x:is>
          <x:t xml:space="preserve">2004-000723</x:t>
        </x:is>
      </x:c>
      <x:c r="B1889" s="552" t="n"/>
      <x:c r="C1889" s="552" t="inlineStr">
        <x:is>
          <x:t xml:space="preserve">Oil and Gas Lease</x:t>
        </x:is>
      </x:c>
      <x:c r="D1889" s="552" t="inlineStr">
        <x:is>
          <x:t xml:space="preserve">1736/594</x:t>
        </x:is>
      </x:c>
      <x:c r="E1889" s="653" t="n">
        <x:v>38000</x:v>
      </x:c>
      <x:c r="F1889" s="653" t="n">
        <x:v>38029</x:v>
      </x:c>
      <x:c r="G1889" s="552" t="inlineStr">
        <x:is>
          <x:t xml:space="preserve">Carrie Leeann Mitchell
1880 Old Salem Road
Watkinsville, GA 30308
</x:t>
        </x:is>
      </x:c>
      <x:c r="H1889" s="552" t="inlineStr">
        <x:is>
          <x:t xml:space="preserve">R. Michael Lortz</x:t>
        </x:is>
      </x:c>
      <x:c r="I1889" s="552" t="inlineStr">
        <x:is>
          <x:t xml:space="preserve">E/2 NW/4, N/2 NE/4, N/2 NE/4 SW/4, Lot 4, S/2 of Lot 3, NE/4 SE/4, S/2 NE/4 SW/4, SE/4 NE/4, SE/4 SW/4 of 31-12N-24W</x:t>
        </x:is>
      </x:c>
      <x:c r="J1889" s="552" t="inlineStr">
        <x:is>
          <x:t xml:space="preserve">375.335 gross acres
3 yrs
3/16ths royalty</x:t>
        </x:is>
      </x:c>
      <x:c r="K1889" s="554" t="e">
        <x:f>HYPERLINK("https://okcountyrecords.com/detail/roger+mills/2004-000723","OKCountyRecords: 2004-000723")</x:f>
      </x:c>
      <x:c r="L1889" s="552" t="inlineStr">
        <x:is>
          <x:t xml:space="preserve">All (1-8)</x:t>
        </x:is>
      </x:c>
      <x:c r="M1889" s="552" t="inlineStr">
        <x:is>
          <x:t xml:space="preserve">Leasehold</x:t>
        </x:is>
      </x:c>
      <x:c r="N1889" s="561" t="n"/>
      <x:c r="O1889" s="556" t="n">
        <x:f>IF($L1889="","",IF(ISNUMBER(SEARCH("all",$L1889)),640,(ISNUMBER(SEARCH("1",$L1889)))*80+(ISNUMBER(SEARCH("2",$L1889)))*160+(ISNUMBER(SEARCH("3",$L1889)))*40+(ISNUMBER(SEARCH("4",$L1889)))*80+(ISNUMBER(SEARCH("5",$L1889)))*120+(ISNUMBER(SEARCH("6",$L1889)))*80+(ISNUMBER(SEARCH("7",$L1889)))*40+(ISNUMBER(SEARCH("8",$L1889)))*40))</x:f>
        <x:v>640</x:v>
      </x:c>
      <x:c r="P1889" s="654" t="str">
        <x:f>IF($M1889&lt;&gt;"Mineral","",IF(ISNUMBER($N1889),$N1889,IF(OR(ISNUMBER(SEARCH("surface",$J1889)),ISNUMBER(SEARCH("reserv",$J1889)),ISNUMBER(SEARCH("less and except",$J1889))),0,"")))</x:f>
      </x:c>
      <x:c r="Q1889" s="654" t="str">
        <x:f>IF($P1889="","",-$P1889)</x:f>
      </x:c>
      <x:c r="R1889" s="655" t="str">
        <x:f>IF($P1889="","",$O1889*$P1889)</x:f>
      </x:c>
      <x:c r="S1889" s="552" t="str">
        <x:f>IF($M1889="","",TRIM(IF($M1889="Mineral",IF(ISNUMBER($N1889),"Mineral; basis Conv Amt(dec). ",IF($P1889=0,"Mineral; surface-only/reserved-&gt;0 min. ","Mineral; NO AMOUNT-verify instrument. ")),$M1889&amp;" (non-mineral; excluded from mineral NMA). ")&amp;IF(OR(ISNUMBER(SEARCH("public",$G1889)),ISNUMBER(SEARCH("public",$H1889))),"FLAG: The Public placeholder-verify. ","")&amp;IF(ISNUMBER(SEARCH("all",$L1889)),"All-section coverage. ","")&amp;IF($O1889=0,"Gross acres unresolved. ","")&amp;"Gross=tract-map basis."))</x:f>
        <x:v>Leasehold (non-mineral; excluded from mineral NMA). All-section coverage. Gross=tract-map basis.</x:v>
      </x:c>
      <x:c r="T1889" s="577" t="n"/>
      <x:c r="U1889" s="578" t="n"/>
      <x:c r="V1889" s="565" t="n"/>
      <x:c r="W1889" s="565" t="n"/>
      <x:c r="X1889" s="565" t="n"/>
      <x:c r="Y1889" s="565" t="n"/>
      <x:c r="Z1889" s="565" t="n"/>
    </x:row>
    <x:row r="1890">
      <x:c r="A1890" s="552" t="inlineStr">
        <x:is>
          <x:t xml:space="preserve">2004-000727</x:t>
        </x:is>
      </x:c>
      <x:c r="B1890" s="552" t="n"/>
      <x:c r="C1890" s="552" t="inlineStr">
        <x:is>
          <x:t xml:space="preserve">Oil and Gas Lease</x:t>
        </x:is>
      </x:c>
      <x:c r="D1890" s="552" t="inlineStr">
        <x:is>
          <x:t xml:space="preserve">1736/602</x:t>
        </x:is>
      </x:c>
      <x:c r="E1890" s="653" t="n">
        <x:v>38000</x:v>
      </x:c>
      <x:c r="F1890" s="653" t="n">
        <x:v>38029</x:v>
      </x:c>
      <x:c r="G1890" s="552" t="inlineStr">
        <x:is>
          <x:t xml:space="preserve">Gena W. Moore aka Gena Williams
3890 Windyke Drive
Memphis, TN 38125
</x:t>
        </x:is>
      </x:c>
      <x:c r="H1890" s="552" t="inlineStr">
        <x:is>
          <x:t xml:space="preserve">R. Michael Lortz</x:t>
        </x:is>
      </x:c>
      <x:c r="I1890" s="552" t="inlineStr">
        <x:is>
          <x:t xml:space="preserve">E/2 NW/4, N/2 NE/4, N/2 NE/4 SW/4, Lot 4, S/2 of Lot 3, NE/4 SE/4, S/2 NE/4 SW/4, SE/4 NE/4, SE/4 SW/4 of 31-12N-24W</x:t>
        </x:is>
      </x:c>
      <x:c r="J1890" s="552" t="inlineStr">
        <x:is>
          <x:t xml:space="preserve">375.335 gross acres
3 yrs
3/16ths royalty</x:t>
        </x:is>
      </x:c>
      <x:c r="K1890" s="554" t="e">
        <x:f>HYPERLINK("https://okcountyrecords.com/detail/roger+mills/2004-000727","OKCountyRecords: 2004-000727")</x:f>
      </x:c>
      <x:c r="L1890" s="552" t="inlineStr">
        <x:is>
          <x:t xml:space="preserve">All (1-8)</x:t>
        </x:is>
      </x:c>
      <x:c r="M1890" s="552" t="inlineStr">
        <x:is>
          <x:t xml:space="preserve">Leasehold</x:t>
        </x:is>
      </x:c>
      <x:c r="N1890" s="561" t="n"/>
      <x:c r="O1890" s="556" t="n">
        <x:f>IF($L1890="","",IF(ISNUMBER(SEARCH("all",$L1890)),640,(ISNUMBER(SEARCH("1",$L1890)))*80+(ISNUMBER(SEARCH("2",$L1890)))*160+(ISNUMBER(SEARCH("3",$L1890)))*40+(ISNUMBER(SEARCH("4",$L1890)))*80+(ISNUMBER(SEARCH("5",$L1890)))*120+(ISNUMBER(SEARCH("6",$L1890)))*80+(ISNUMBER(SEARCH("7",$L1890)))*40+(ISNUMBER(SEARCH("8",$L1890)))*40))</x:f>
        <x:v>640</x:v>
      </x:c>
      <x:c r="P1890" s="654" t="str">
        <x:f>IF($M1890&lt;&gt;"Mineral","",IF(ISNUMBER($N1890),$N1890,IF(OR(ISNUMBER(SEARCH("surface",$J1890)),ISNUMBER(SEARCH("reserv",$J1890)),ISNUMBER(SEARCH("less and except",$J1890))),0,"")))</x:f>
      </x:c>
      <x:c r="Q1890" s="654" t="str">
        <x:f>IF($P1890="","",-$P1890)</x:f>
      </x:c>
      <x:c r="R1890" s="655" t="str">
        <x:f>IF($P1890="","",$O1890*$P1890)</x:f>
      </x:c>
      <x:c r="S1890" s="552" t="str">
        <x:f>IF($M1890="","",TRIM(IF($M1890="Mineral",IF(ISNUMBER($N1890),"Mineral; basis Conv Amt(dec). ",IF($P1890=0,"Mineral; surface-only/reserved-&gt;0 min. ","Mineral; NO AMOUNT-verify instrument. ")),$M1890&amp;" (non-mineral; excluded from mineral NMA). ")&amp;IF(OR(ISNUMBER(SEARCH("public",$G1890)),ISNUMBER(SEARCH("public",$H1890))),"FLAG: The Public placeholder-verify. ","")&amp;IF(ISNUMBER(SEARCH("all",$L1890)),"All-section coverage. ","")&amp;IF($O1890=0,"Gross acres unresolved. ","")&amp;"Gross=tract-map basis."))</x:f>
        <x:v>Leasehold (non-mineral; excluded from mineral NMA). All-section coverage. Gross=tract-map basis.</x:v>
      </x:c>
      <x:c r="T1890" s="577" t="n"/>
      <x:c r="U1890" s="578" t="n"/>
      <x:c r="V1890" s="565" t="n"/>
      <x:c r="W1890" s="565" t="n"/>
      <x:c r="X1890" s="565" t="n"/>
      <x:c r="Y1890" s="565" t="n"/>
      <x:c r="Z1890" s="565" t="n"/>
    </x:row>
    <x:row r="1891">
      <x:c r="A1891" s="552" t="inlineStr">
        <x:is>
          <x:t xml:space="preserve">2004-000722</x:t>
        </x:is>
      </x:c>
      <x:c r="B1891" s="552" t="n">
        <x:v>22</x:v>
      </x:c>
      <x:c r="C1891" s="552" t="inlineStr">
        <x:is>
          <x:t xml:space="preserve">Oil and Gas Lease</x:t>
        </x:is>
      </x:c>
      <x:c r="D1891" s="552" t="inlineStr">
        <x:is>
          <x:t xml:space="preserve">1736/592</x:t>
        </x:is>
      </x:c>
      <x:c r="E1891" s="653" t="n">
        <x:v>38000</x:v>
      </x:c>
      <x:c r="F1891" s="653" t="n">
        <x:v>38029</x:v>
      </x:c>
      <x:c r="G1891" s="552" t="inlineStr">
        <x:is>
          <x:t xml:space="preserve">Nancy Mitchell Williams 
100 West Dogwood
Hobart, OK 73651</x:t>
        </x:is>
      </x:c>
      <x:c r="H1891" s="552" t="inlineStr">
        <x:is>
          <x:t xml:space="preserve">R. Michael Lortz</x:t>
        </x:is>
      </x:c>
      <x:c r="I1891" s="552" t="inlineStr">
        <x:is>
          <x:t xml:space="preserve">E/2 NW/4, N/2 NE/4, N/2 NE/4 SW/4, Lot 4, S/2 of Lot 3, NE/4 SE/4, S/2 NE/4 SW/4, SE/4 NE/4, SE/4 SW/4 of 31-12N-24W</x:t>
        </x:is>
      </x:c>
      <x:c r="J1891" s="552" t="inlineStr">
        <x:is>
          <x:t xml:space="preserve">375.335 gross acres
3 yrs
3/16ths royalty</x:t>
        </x:is>
      </x:c>
      <x:c r="K1891" s="554" t="e">
        <x:f>HYPERLINK("https://okcountyrecords.com/detail/roger+mills/2004-000722","OKCountyRecords: 2004-000722")</x:f>
      </x:c>
      <x:c r="L1891" s="552" t="inlineStr">
        <x:is>
          <x:t xml:space="preserve">All (1-8)</x:t>
        </x:is>
      </x:c>
      <x:c r="M1891" s="552" t="inlineStr">
        <x:is>
          <x:t xml:space="preserve">Leasehold</x:t>
        </x:is>
      </x:c>
      <x:c r="N1891" s="561" t="n"/>
      <x:c r="O1891" s="556" t="n">
        <x:f>IF($L1891="","",IF(ISNUMBER(SEARCH("all",$L1891)),640,(ISNUMBER(SEARCH("1",$L1891)))*80+(ISNUMBER(SEARCH("2",$L1891)))*160+(ISNUMBER(SEARCH("3",$L1891)))*40+(ISNUMBER(SEARCH("4",$L1891)))*80+(ISNUMBER(SEARCH("5",$L1891)))*120+(ISNUMBER(SEARCH("6",$L1891)))*80+(ISNUMBER(SEARCH("7",$L1891)))*40+(ISNUMBER(SEARCH("8",$L1891)))*40))</x:f>
        <x:v>640</x:v>
      </x:c>
      <x:c r="P1891" s="654" t="str">
        <x:f>IF($M1891&lt;&gt;"Mineral","",IF(ISNUMBER($N1891),$N1891,IF(OR(ISNUMBER(SEARCH("surface",$J1891)),ISNUMBER(SEARCH("reserv",$J1891)),ISNUMBER(SEARCH("less and except",$J1891))),0,"")))</x:f>
      </x:c>
      <x:c r="Q1891" s="654" t="str">
        <x:f>IF($P1891="","",-$P1891)</x:f>
      </x:c>
      <x:c r="R1891" s="655" t="str">
        <x:f>IF($P1891="","",$O1891*$P1891)</x:f>
      </x:c>
      <x:c r="S1891" s="552" t="str">
        <x:f>IF($M1891="","",TRIM(IF($M1891="Mineral",IF(ISNUMBER($N1891),"Mineral; basis Conv Amt(dec). ",IF($P1891=0,"Mineral; surface-only/reserved-&gt;0 min. ","Mineral; NO AMOUNT-verify instrument. ")),$M1891&amp;" (non-mineral; excluded from mineral NMA). ")&amp;IF(OR(ISNUMBER(SEARCH("public",$G1891)),ISNUMBER(SEARCH("public",$H1891))),"FLAG: The Public placeholder-verify. ","")&amp;IF(ISNUMBER(SEARCH("all",$L1891)),"All-section coverage. ","")&amp;IF($O1891=0,"Gross acres unresolved. ","")&amp;"Gross=tract-map basis."))</x:f>
        <x:v>Leasehold (non-mineral; excluded from mineral NMA). All-section coverage. Gross=tract-map basis.</x:v>
      </x:c>
      <x:c r="T1891" s="577" t="n"/>
      <x:c r="U1891" s="578" t="n"/>
      <x:c r="V1891" s="565" t="n"/>
      <x:c r="W1891" s="565" t="n"/>
      <x:c r="X1891" s="565" t="n"/>
      <x:c r="Y1891" s="565" t="n"/>
      <x:c r="Z1891" s="565" t="n"/>
    </x:row>
    <x:row r="1892">
      <x:c r="A1892" s="552" t="inlineStr">
        <x:is>
          <x:t xml:space="preserve">2004-000726</x:t>
        </x:is>
      </x:c>
      <x:c r="B1892" s="552" t="n"/>
      <x:c r="C1892" s="552" t="inlineStr">
        <x:is>
          <x:t xml:space="preserve">Oil and Gas Lease</x:t>
        </x:is>
      </x:c>
      <x:c r="D1892" s="552" t="inlineStr">
        <x:is>
          <x:t xml:space="preserve">1736/600</x:t>
        </x:is>
      </x:c>
      <x:c r="E1892" s="653" t="n">
        <x:v>38000</x:v>
      </x:c>
      <x:c r="F1892" s="653" t="n">
        <x:v>38029</x:v>
      </x:c>
      <x:c r="G1892" s="552" t="inlineStr">
        <x:is>
          <x:t xml:space="preserve">Nancy Susan Mitchell
753 Velma 
Memphis, TN 38104
</x:t>
        </x:is>
      </x:c>
      <x:c r="H1892" s="552" t="inlineStr">
        <x:is>
          <x:t xml:space="preserve">R. Michael Lortz</x:t>
        </x:is>
      </x:c>
      <x:c r="I1892" s="552" t="inlineStr">
        <x:is>
          <x:t xml:space="preserve">E/2 NW/4, N/2 NE/4, N/2 NE/4 SW/4, Lot 4, S/2 of Lot 3, NE/4 SE/4, S/2 NE/4 SW/4, SE/4 NE/4, SE/4 SW/4 of 31-12N-24W</x:t>
        </x:is>
      </x:c>
      <x:c r="J1892" s="552" t="inlineStr">
        <x:is>
          <x:t xml:space="preserve">375.335 gross acres
3 yrs
3/16ths royalty</x:t>
        </x:is>
      </x:c>
      <x:c r="K1892" s="554" t="e">
        <x:f>HYPERLINK("https://okcountyrecords.com/detail/roger+mills/2004-000726","OKCountyRecords: 2004-000726")</x:f>
      </x:c>
      <x:c r="L1892" s="552" t="inlineStr">
        <x:is>
          <x:t xml:space="preserve">All (1-8)</x:t>
        </x:is>
      </x:c>
      <x:c r="M1892" s="552" t="inlineStr">
        <x:is>
          <x:t xml:space="preserve">Leasehold</x:t>
        </x:is>
      </x:c>
      <x:c r="N1892" s="561" t="n"/>
      <x:c r="O1892" s="556" t="n">
        <x:f>IF($L1892="","",IF(ISNUMBER(SEARCH("all",$L1892)),640,(ISNUMBER(SEARCH("1",$L1892)))*80+(ISNUMBER(SEARCH("2",$L1892)))*160+(ISNUMBER(SEARCH("3",$L1892)))*40+(ISNUMBER(SEARCH("4",$L1892)))*80+(ISNUMBER(SEARCH("5",$L1892)))*120+(ISNUMBER(SEARCH("6",$L1892)))*80+(ISNUMBER(SEARCH("7",$L1892)))*40+(ISNUMBER(SEARCH("8",$L1892)))*40))</x:f>
        <x:v>640</x:v>
      </x:c>
      <x:c r="P1892" s="654" t="str">
        <x:f>IF($M1892&lt;&gt;"Mineral","",IF(ISNUMBER($N1892),$N1892,IF(OR(ISNUMBER(SEARCH("surface",$J1892)),ISNUMBER(SEARCH("reserv",$J1892)),ISNUMBER(SEARCH("less and except",$J1892))),0,"")))</x:f>
      </x:c>
      <x:c r="Q1892" s="654" t="str">
        <x:f>IF($P1892="","",-$P1892)</x:f>
      </x:c>
      <x:c r="R1892" s="655" t="str">
        <x:f>IF($P1892="","",$O1892*$P1892)</x:f>
      </x:c>
      <x:c r="S1892" s="552" t="str">
        <x:f>IF($M1892="","",TRIM(IF($M1892="Mineral",IF(ISNUMBER($N1892),"Mineral; basis Conv Amt(dec). ",IF($P1892=0,"Mineral; surface-only/reserved-&gt;0 min. ","Mineral; NO AMOUNT-verify instrument. ")),$M1892&amp;" (non-mineral; excluded from mineral NMA). ")&amp;IF(OR(ISNUMBER(SEARCH("public",$G1892)),ISNUMBER(SEARCH("public",$H1892))),"FLAG: The Public placeholder-verify. ","")&amp;IF(ISNUMBER(SEARCH("all",$L1892)),"All-section coverage. ","")&amp;IF($O1892=0,"Gross acres unresolved. ","")&amp;"Gross=tract-map basis."))</x:f>
        <x:v>Leasehold (non-mineral; excluded from mineral NMA). All-section coverage. Gross=tract-map basis.</x:v>
      </x:c>
      <x:c r="T1892" s="577" t="n"/>
      <x:c r="U1892" s="578" t="n"/>
      <x:c r="V1892" s="565" t="n"/>
      <x:c r="W1892" s="565" t="n"/>
      <x:c r="X1892" s="565" t="n"/>
      <x:c r="Y1892" s="565" t="n"/>
      <x:c r="Z1892" s="565" t="n"/>
    </x:row>
    <x:row r="1893">
      <x:c r="A1893" s="552" t="inlineStr">
        <x:is>
          <x:t xml:space="preserve">2004-000724</x:t>
        </x:is>
      </x:c>
      <x:c r="B1893" s="552" t="n"/>
      <x:c r="C1893" s="552" t="inlineStr">
        <x:is>
          <x:t xml:space="preserve">Oil and Gas Lease</x:t>
        </x:is>
      </x:c>
      <x:c r="D1893" s="552" t="inlineStr">
        <x:is>
          <x:t xml:space="preserve">1736/596</x:t>
        </x:is>
      </x:c>
      <x:c r="E1893" s="653" t="n">
        <x:v>38002</x:v>
      </x:c>
      <x:c r="F1893" s="653" t="n">
        <x:v>38029</x:v>
      </x:c>
      <x:c r="G1893" s="552" t="inlineStr">
        <x:is>
          <x:t xml:space="preserve">Carl L. Bain aka Carl Leon Bain
1517 Twichell
Dumas, TX 79029</x:t>
        </x:is>
      </x:c>
      <x:c r="H1893" s="552" t="inlineStr">
        <x:is>
          <x:t xml:space="preserve">R. Michael Lortz</x:t>
        </x:is>
      </x:c>
      <x:c r="I1893" s="552" t="inlineStr">
        <x:is>
          <x:t xml:space="preserve">NW/4 SE/4, S/2 SE/4, SW/4 NE/4 of 31-12N-24W</x:t>
        </x:is>
      </x:c>
      <x:c r="J1893" s="552" t="inlineStr">
        <x:is>
          <x:t xml:space="preserve">160 gross acres
3 yrs
3/16ths royalty</x:t>
        </x:is>
      </x:c>
      <x:c r="K1893" s="554" t="e">
        <x:f>HYPERLINK("https://okcountyrecords.com/detail/roger+mills/2004-000724","OKCountyRecords: 2004-000724")</x:f>
      </x:c>
      <x:c r="L1893" s="552" t="n">
        <x:v>2</x:v>
      </x:c>
      <x:c r="M1893" s="552" t="inlineStr">
        <x:is>
          <x:t xml:space="preserve">Leasehold</x:t>
        </x:is>
      </x:c>
      <x:c r="N1893" s="555" t="n"/>
      <x:c r="O1893" s="556" t="n">
        <x:f>IF($L1893="","",IF(ISNUMBER(SEARCH("all",$L1893)),640,(ISNUMBER(SEARCH("1",$L1893)))*80+(ISNUMBER(SEARCH("2",$L1893)))*160+(ISNUMBER(SEARCH("3",$L1893)))*40+(ISNUMBER(SEARCH("4",$L1893)))*80+(ISNUMBER(SEARCH("5",$L1893)))*120+(ISNUMBER(SEARCH("6",$L1893)))*80+(ISNUMBER(SEARCH("7",$L1893)))*40+(ISNUMBER(SEARCH("8",$L1893)))*40))</x:f>
        <x:v>0</x:v>
      </x:c>
      <x:c r="P1893" s="654" t="str">
        <x:f>IF($M1893&lt;&gt;"Mineral","",IF(ISNUMBER($N1893),$N1893,IF(OR(ISNUMBER(SEARCH("surface",$J1893)),ISNUMBER(SEARCH("reserv",$J1893)),ISNUMBER(SEARCH("less and except",$J1893))),0,"")))</x:f>
      </x:c>
      <x:c r="Q1893" s="654" t="str">
        <x:f>IF($P1893="","",-$P1893)</x:f>
      </x:c>
      <x:c r="R1893" s="655" t="str">
        <x:f>IF($P1893="","",$O1893*$P1893)</x:f>
      </x:c>
      <x:c r="S1893" s="552" t="str">
        <x:f>IF($M1893="","",TRIM(IF($M1893="Mineral",IF(ISNUMBER($N1893),"Mineral; basis Conv Amt(dec). ",IF($P1893=0,"Mineral; surface-only/reserved-&gt;0 min. ","Mineral; NO AMOUNT-verify instrument. ")),$M1893&amp;" (non-mineral; excluded from mineral NMA). ")&amp;IF(OR(ISNUMBER(SEARCH("public",$G1893)),ISNUMBER(SEARCH("public",$H1893))),"FLAG: The Public placeholder-verify. ","")&amp;IF(ISNUMBER(SEARCH("all",$L1893)),"All-section coverage. ","")&amp;IF($O1893=0,"Gross acres unresolved. ","")&amp;"Gross=tract-map basis."))</x:f>
        <x:v>Leasehold (non-mineral; excluded from mineral NMA). Gross acres unresolved. Gross=tract-map basis.</x:v>
      </x:c>
      <x:c r="T1893" s="577" t="n"/>
      <x:c r="U1893" s="578" t="n"/>
      <x:c r="V1893" s="565" t="n"/>
      <x:c r="W1893" s="565" t="n"/>
      <x:c r="X1893" s="565" t="n"/>
      <x:c r="Y1893" s="565" t="n"/>
      <x:c r="Z1893" s="565" t="n"/>
    </x:row>
    <x:row r="1894">
      <x:c r="A1894" s="552" t="inlineStr">
        <x:is>
          <x:t xml:space="preserve">2004-000725</x:t>
        </x:is>
      </x:c>
      <x:c r="B1894" s="552" t="n"/>
      <x:c r="C1894" s="552" t="inlineStr">
        <x:is>
          <x:t xml:space="preserve">Oil and Gas Lease</x:t>
        </x:is>
      </x:c>
      <x:c r="D1894" s="552" t="inlineStr">
        <x:is>
          <x:t xml:space="preserve">1736/598</x:t>
        </x:is>
      </x:c>
      <x:c r="E1894" s="653" t="n">
        <x:v>38002</x:v>
      </x:c>
      <x:c r="F1894" s="653" t="n">
        <x:v>38029</x:v>
      </x:c>
      <x:c r="G1894" s="552" t="inlineStr">
        <x:is>
          <x:t xml:space="preserve">Dow C. Bain and Edris O. Bain, HW
961 Country Road
Idaho Falls, ID 83402</x:t>
        </x:is>
      </x:c>
      <x:c r="H1894" s="552" t="inlineStr">
        <x:is>
          <x:t xml:space="preserve">R. Michael Lortz</x:t>
        </x:is>
      </x:c>
      <x:c r="I1894" s="552" t="inlineStr">
        <x:is>
          <x:t xml:space="preserve">NW/4 SE/4, S/2 SE/4, SW/4 NE/4 of 31-12N-24W</x:t>
        </x:is>
      </x:c>
      <x:c r="J1894" s="552" t="inlineStr">
        <x:is>
          <x:t xml:space="preserve">160 gross acres
3 yrs
3/16ths royalty</x:t>
        </x:is>
      </x:c>
      <x:c r="K1894" s="554" t="e">
        <x:f>HYPERLINK("https://okcountyrecords.com/detail/roger+mills/2004-000725","OKCountyRecords: 2004-000725")</x:f>
      </x:c>
      <x:c r="L1894" s="552" t="n">
        <x:v>2</x:v>
      </x:c>
      <x:c r="M1894" s="552" t="inlineStr">
        <x:is>
          <x:t xml:space="preserve">Leasehold</x:t>
        </x:is>
      </x:c>
      <x:c r="N1894" s="555" t="n"/>
      <x:c r="O1894" s="556" t="n">
        <x:f>IF($L1894="","",IF(ISNUMBER(SEARCH("all",$L1894)),640,(ISNUMBER(SEARCH("1",$L1894)))*80+(ISNUMBER(SEARCH("2",$L1894)))*160+(ISNUMBER(SEARCH("3",$L1894)))*40+(ISNUMBER(SEARCH("4",$L1894)))*80+(ISNUMBER(SEARCH("5",$L1894)))*120+(ISNUMBER(SEARCH("6",$L1894)))*80+(ISNUMBER(SEARCH("7",$L1894)))*40+(ISNUMBER(SEARCH("8",$L1894)))*40))</x:f>
        <x:v>0</x:v>
      </x:c>
      <x:c r="P1894" s="654" t="str">
        <x:f>IF($M1894&lt;&gt;"Mineral","",IF(ISNUMBER($N1894),$N1894,IF(OR(ISNUMBER(SEARCH("surface",$J1894)),ISNUMBER(SEARCH("reserv",$J1894)),ISNUMBER(SEARCH("less and except",$J1894))),0,"")))</x:f>
      </x:c>
      <x:c r="Q1894" s="654" t="str">
        <x:f>IF($P1894="","",-$P1894)</x:f>
      </x:c>
      <x:c r="R1894" s="655" t="str">
        <x:f>IF($P1894="","",$O1894*$P1894)</x:f>
      </x:c>
      <x:c r="S1894" s="552" t="str">
        <x:f>IF($M1894="","",TRIM(IF($M1894="Mineral",IF(ISNUMBER($N1894),"Mineral; basis Conv Amt(dec). ",IF($P1894=0,"Mineral; surface-only/reserved-&gt;0 min. ","Mineral; NO AMOUNT-verify instrument. ")),$M1894&amp;" (non-mineral; excluded from mineral NMA). ")&amp;IF(OR(ISNUMBER(SEARCH("public",$G1894)),ISNUMBER(SEARCH("public",$H1894))),"FLAG: The Public placeholder-verify. ","")&amp;IF(ISNUMBER(SEARCH("all",$L1894)),"All-section coverage. ","")&amp;IF($O1894=0,"Gross acres unresolved. ","")&amp;"Gross=tract-map basis."))</x:f>
        <x:v>Leasehold (non-mineral; excluded from mineral NMA). Gross acres unresolved. Gross=tract-map basis.</x:v>
      </x:c>
      <x:c r="T1894" s="577" t="n"/>
      <x:c r="U1894" s="578" t="n"/>
      <x:c r="V1894" s="565" t="n"/>
      <x:c r="W1894" s="565" t="n"/>
      <x:c r="X1894" s="565" t="n"/>
      <x:c r="Y1894" s="565" t="n"/>
      <x:c r="Z1894" s="565" t="n"/>
    </x:row>
    <x:row r="1895">
      <x:c r="A1895" s="552" t="inlineStr">
        <x:is>
          <x:t xml:space="preserve">2004-000580</x:t>
        </x:is>
      </x:c>
      <x:c r="B1895" s="552" t="n"/>
      <x:c r="C1895" s="552" t="inlineStr">
        <x:is>
          <x:t xml:space="preserve">Oil and Gas Lease</x:t>
        </x:is>
      </x:c>
      <x:c r="D1895" s="552" t="inlineStr">
        <x:is>
          <x:t xml:space="preserve">1736/195</x:t>
        </x:is>
      </x:c>
      <x:c r="E1895" s="653" t="n">
        <x:v>38002</x:v>
      </x:c>
      <x:c r="F1895" s="653" t="n">
        <x:v>38020</x:v>
      </x:c>
      <x:c r="G1895" s="552" t="inlineStr">
        <x:is>
          <x:t xml:space="preserve">Hans W. Jensen
317 Major Way
Sun Prairie, WI 53590</x:t>
        </x:is>
      </x:c>
      <x:c r="H1895" s="552" t="inlineStr">
        <x:is>
          <x:t xml:space="preserve">R. Michael Lortz</x:t>
        </x:is>
      </x:c>
      <x:c r="I1895" s="552" t="inlineStr">
        <x:is>
          <x:t xml:space="preserve">NW/4 SE/4, S/2 SE/4, SW/4 NE/4 of 31-12N-24W</x:t>
        </x:is>
      </x:c>
      <x:c r="J1895" s="552" t="inlineStr">
        <x:is>
          <x:t xml:space="preserve">160 gross acres
3 yrs
3/16ths royalty</x:t>
        </x:is>
      </x:c>
      <x:c r="K1895" s="554" t="e">
        <x:f>HYPERLINK("https://okcountyrecords.com/detail/roger+mills/2004-000580","OKCountyRecords: 2004-000580")</x:f>
      </x:c>
      <x:c r="L1895" s="552" t="n">
        <x:v>2</x:v>
      </x:c>
      <x:c r="M1895" s="552" t="inlineStr">
        <x:is>
          <x:t xml:space="preserve">Leasehold</x:t>
        </x:is>
      </x:c>
      <x:c r="N1895" s="555" t="n"/>
      <x:c r="O1895" s="556" t="n">
        <x:f>IF($L1895="","",IF(ISNUMBER(SEARCH("all",$L1895)),640,(ISNUMBER(SEARCH("1",$L1895)))*80+(ISNUMBER(SEARCH("2",$L1895)))*160+(ISNUMBER(SEARCH("3",$L1895)))*40+(ISNUMBER(SEARCH("4",$L1895)))*80+(ISNUMBER(SEARCH("5",$L1895)))*120+(ISNUMBER(SEARCH("6",$L1895)))*80+(ISNUMBER(SEARCH("7",$L1895)))*40+(ISNUMBER(SEARCH("8",$L1895)))*40))</x:f>
        <x:v>0</x:v>
      </x:c>
      <x:c r="P1895" s="654" t="str">
        <x:f>IF($M1895&lt;&gt;"Mineral","",IF(ISNUMBER($N1895),$N1895,IF(OR(ISNUMBER(SEARCH("surface",$J1895)),ISNUMBER(SEARCH("reserv",$J1895)),ISNUMBER(SEARCH("less and except",$J1895))),0,"")))</x:f>
      </x:c>
      <x:c r="Q1895" s="654" t="str">
        <x:f>IF($P1895="","",-$P1895)</x:f>
      </x:c>
      <x:c r="R1895" s="655" t="str">
        <x:f>IF($P1895="","",$O1895*$P1895)</x:f>
      </x:c>
      <x:c r="S1895" s="552" t="str">
        <x:f>IF($M1895="","",TRIM(IF($M1895="Mineral",IF(ISNUMBER($N1895),"Mineral; basis Conv Amt(dec). ",IF($P1895=0,"Mineral; surface-only/reserved-&gt;0 min. ","Mineral; NO AMOUNT-verify instrument. ")),$M1895&amp;" (non-mineral; excluded from mineral NMA). ")&amp;IF(OR(ISNUMBER(SEARCH("public",$G1895)),ISNUMBER(SEARCH("public",$H1895))),"FLAG: The Public placeholder-verify. ","")&amp;IF(ISNUMBER(SEARCH("all",$L1895)),"All-section coverage. ","")&amp;IF($O1895=0,"Gross acres unresolved. ","")&amp;"Gross=tract-map basis."))</x:f>
        <x:v>Leasehold (non-mineral; excluded from mineral NMA). Gross acres unresolved. Gross=tract-map basis.</x:v>
      </x:c>
      <x:c r="T1895" s="577" t="n"/>
      <x:c r="U1895" s="578" t="n"/>
      <x:c r="V1895" s="565" t="n"/>
      <x:c r="W1895" s="565" t="n"/>
      <x:c r="X1895" s="565" t="n"/>
      <x:c r="Y1895" s="565" t="n"/>
      <x:c r="Z1895" s="565" t="n"/>
    </x:row>
    <x:row r="1896">
      <x:c r="A1896" s="552" t="inlineStr">
        <x:is>
          <x:t xml:space="preserve">2004-000721</x:t>
        </x:is>
      </x:c>
      <x:c r="B1896" s="552" t="n"/>
      <x:c r="C1896" s="552" t="inlineStr">
        <x:is>
          <x:t xml:space="preserve">Oil and Gas Lease</x:t>
        </x:is>
      </x:c>
      <x:c r="D1896" s="552" t="inlineStr">
        <x:is>
          <x:t xml:space="preserve">1736/590</x:t>
        </x:is>
      </x:c>
      <x:c r="E1896" s="653" t="n">
        <x:v>38002</x:v>
      </x:c>
      <x:c r="F1896" s="653" t="n">
        <x:v>38029</x:v>
      </x:c>
      <x:c r="G1896" s="552" t="inlineStr">
        <x:is>
          <x:t xml:space="preserve">Juanita M. Wolff
P. O. Box 182
Sioux City, IA 51102</x:t>
        </x:is>
      </x:c>
      <x:c r="H1896" s="552" t="inlineStr">
        <x:is>
          <x:t xml:space="preserve">R. Michael Lortz</x:t>
        </x:is>
      </x:c>
      <x:c r="I1896" s="552" t="inlineStr">
        <x:is>
          <x:t xml:space="preserve">NW/4 SE/4, S/2 SE/4, SW/4 NE/4 of 31-12N-24W</x:t>
        </x:is>
      </x:c>
      <x:c r="J1896" s="552" t="inlineStr">
        <x:is>
          <x:t xml:space="preserve">160 gross acres
3 yrs
3/16ths royalty</x:t>
        </x:is>
      </x:c>
      <x:c r="K1896" s="554" t="e">
        <x:f>HYPERLINK("https://okcountyrecords.com/detail/roger+mills/2004-000721","OKCountyRecords: 2004-000721")</x:f>
      </x:c>
      <x:c r="L1896" s="552" t="n">
        <x:v>2</x:v>
      </x:c>
      <x:c r="M1896" s="552" t="inlineStr">
        <x:is>
          <x:t xml:space="preserve">Leasehold</x:t>
        </x:is>
      </x:c>
      <x:c r="N1896" s="555" t="n"/>
      <x:c r="O1896" s="556" t="n">
        <x:f>IF($L1896="","",IF(ISNUMBER(SEARCH("all",$L1896)),640,(ISNUMBER(SEARCH("1",$L1896)))*80+(ISNUMBER(SEARCH("2",$L1896)))*160+(ISNUMBER(SEARCH("3",$L1896)))*40+(ISNUMBER(SEARCH("4",$L1896)))*80+(ISNUMBER(SEARCH("5",$L1896)))*120+(ISNUMBER(SEARCH("6",$L1896)))*80+(ISNUMBER(SEARCH("7",$L1896)))*40+(ISNUMBER(SEARCH("8",$L1896)))*40))</x:f>
        <x:v>0</x:v>
      </x:c>
      <x:c r="P1896" s="654" t="str">
        <x:f>IF($M1896&lt;&gt;"Mineral","",IF(ISNUMBER($N1896),$N1896,IF(OR(ISNUMBER(SEARCH("surface",$J1896)),ISNUMBER(SEARCH("reserv",$J1896)),ISNUMBER(SEARCH("less and except",$J1896))),0,"")))</x:f>
      </x:c>
      <x:c r="Q1896" s="654" t="str">
        <x:f>IF($P1896="","",-$P1896)</x:f>
      </x:c>
      <x:c r="R1896" s="655" t="str">
        <x:f>IF($P1896="","",$O1896*$P1896)</x:f>
      </x:c>
      <x:c r="S1896" s="552" t="str">
        <x:f>IF($M1896="","",TRIM(IF($M1896="Mineral",IF(ISNUMBER($N1896),"Mineral; basis Conv Amt(dec). ",IF($P1896=0,"Mineral; surface-only/reserved-&gt;0 min. ","Mineral; NO AMOUNT-verify instrument. ")),$M1896&amp;" (non-mineral; excluded from mineral NMA). ")&amp;IF(OR(ISNUMBER(SEARCH("public",$G1896)),ISNUMBER(SEARCH("public",$H1896))),"FLAG: The Public placeholder-verify. ","")&amp;IF(ISNUMBER(SEARCH("all",$L1896)),"All-section coverage. ","")&amp;IF($O1896=0,"Gross acres unresolved. ","")&amp;"Gross=tract-map basis."))</x:f>
        <x:v>Leasehold (non-mineral; excluded from mineral NMA). Gross acres unresolved. Gross=tract-map basis.</x:v>
      </x:c>
      <x:c r="T1896" s="577" t="n"/>
      <x:c r="U1896" s="578" t="n"/>
      <x:c r="V1896" s="565" t="n"/>
      <x:c r="W1896" s="565" t="n"/>
      <x:c r="X1896" s="565" t="n"/>
      <x:c r="Y1896" s="565" t="n"/>
      <x:c r="Z1896" s="565" t="n"/>
    </x:row>
    <x:row r="1897">
      <x:c r="A1897" s="552" t="inlineStr">
        <x:is>
          <x:t xml:space="preserve">2004-000582</x:t>
        </x:is>
      </x:c>
      <x:c r="B1897" s="552" t="n"/>
      <x:c r="C1897" s="552" t="inlineStr">
        <x:is>
          <x:t xml:space="preserve">Oil and Gas Lease</x:t>
        </x:is>
      </x:c>
      <x:c r="D1897" s="552" t="inlineStr">
        <x:is>
          <x:t xml:space="preserve">1736/199</x:t>
        </x:is>
      </x:c>
      <x:c r="E1897" s="653" t="n">
        <x:v>38002</x:v>
      </x:c>
      <x:c r="F1897" s="653" t="n">
        <x:v>38020</x:v>
      </x:c>
      <x:c r="G1897" s="552" t="inlineStr">
        <x:is>
          <x:t xml:space="preserve">Tim E. Jensen
5673 Doschadis
Waterloo, WI 53594</x:t>
        </x:is>
      </x:c>
      <x:c r="H1897" s="552" t="inlineStr">
        <x:is>
          <x:t xml:space="preserve">R. Michael Lortz</x:t>
        </x:is>
      </x:c>
      <x:c r="I1897" s="552" t="inlineStr">
        <x:is>
          <x:t xml:space="preserve">NW/4 SE/4, S/2 SE/4, SW/4 NE/4 of 31-12N-24W</x:t>
        </x:is>
      </x:c>
      <x:c r="J1897" s="552" t="inlineStr">
        <x:is>
          <x:t xml:space="preserve">160 gross acres
3 yrs
3/16ths royalty</x:t>
        </x:is>
      </x:c>
      <x:c r="K1897" s="554" t="e">
        <x:f>HYPERLINK("https://okcountyrecords.com/detail/roger+mills/2004-000582","OKCountyRecords: 2004-000582")</x:f>
      </x:c>
      <x:c r="L1897" s="552" t="n">
        <x:v>2</x:v>
      </x:c>
      <x:c r="M1897" s="552" t="inlineStr">
        <x:is>
          <x:t xml:space="preserve">Leasehold</x:t>
        </x:is>
      </x:c>
      <x:c r="N1897" s="555" t="n"/>
      <x:c r="O1897" s="556" t="n">
        <x:f>IF($L1897="","",IF(ISNUMBER(SEARCH("all",$L1897)),640,(ISNUMBER(SEARCH("1",$L1897)))*80+(ISNUMBER(SEARCH("2",$L1897)))*160+(ISNUMBER(SEARCH("3",$L1897)))*40+(ISNUMBER(SEARCH("4",$L1897)))*80+(ISNUMBER(SEARCH("5",$L1897)))*120+(ISNUMBER(SEARCH("6",$L1897)))*80+(ISNUMBER(SEARCH("7",$L1897)))*40+(ISNUMBER(SEARCH("8",$L1897)))*40))</x:f>
        <x:v>0</x:v>
      </x:c>
      <x:c r="P1897" s="654" t="str">
        <x:f>IF($M1897&lt;&gt;"Mineral","",IF(ISNUMBER($N1897),$N1897,IF(OR(ISNUMBER(SEARCH("surface",$J1897)),ISNUMBER(SEARCH("reserv",$J1897)),ISNUMBER(SEARCH("less and except",$J1897))),0,"")))</x:f>
      </x:c>
      <x:c r="Q1897" s="654" t="str">
        <x:f>IF($P1897="","",-$P1897)</x:f>
      </x:c>
      <x:c r="R1897" s="655" t="str">
        <x:f>IF($P1897="","",$O1897*$P1897)</x:f>
      </x:c>
      <x:c r="S1897" s="552" t="str">
        <x:f>IF($M1897="","",TRIM(IF($M1897="Mineral",IF(ISNUMBER($N1897),"Mineral; basis Conv Amt(dec). ",IF($P1897=0,"Mineral; surface-only/reserved-&gt;0 min. ","Mineral; NO AMOUNT-verify instrument. ")),$M1897&amp;" (non-mineral; excluded from mineral NMA). ")&amp;IF(OR(ISNUMBER(SEARCH("public",$G1897)),ISNUMBER(SEARCH("public",$H1897))),"FLAG: The Public placeholder-verify. ","")&amp;IF(ISNUMBER(SEARCH("all",$L1897)),"All-section coverage. ","")&amp;IF($O1897=0,"Gross acres unresolved. ","")&amp;"Gross=tract-map basis."))</x:f>
        <x:v>Leasehold (non-mineral; excluded from mineral NMA). Gross acres unresolved. Gross=tract-map basis.</x:v>
      </x:c>
      <x:c r="T1897" s="577" t="n"/>
      <x:c r="U1897" s="578" t="n"/>
      <x:c r="V1897" s="565" t="n"/>
      <x:c r="W1897" s="565" t="n"/>
      <x:c r="X1897" s="565" t="n"/>
      <x:c r="Y1897" s="565" t="n"/>
      <x:c r="Z1897" s="565" t="n"/>
    </x:row>
    <x:row r="1898">
      <x:c r="A1898" s="552" t="inlineStr">
        <x:is>
          <x:t xml:space="preserve">2004-000579</x:t>
        </x:is>
      </x:c>
      <x:c r="B1898" s="552" t="n"/>
      <x:c r="C1898" s="552" t="inlineStr">
        <x:is>
          <x:t xml:space="preserve">Oil and Gas Lease</x:t>
        </x:is>
      </x:c>
      <x:c r="D1898" s="552" t="inlineStr">
        <x:is>
          <x:t xml:space="preserve">1736/193</x:t>
        </x:is>
      </x:c>
      <x:c r="E1898" s="653" t="n">
        <x:v>38002</x:v>
      </x:c>
      <x:c r="F1898" s="653" t="n">
        <x:v>38020</x:v>
      </x:c>
      <x:c r="G1898" s="552" t="inlineStr">
        <x:is>
          <x:t xml:space="preserve">Wilda E. Jensen
317 Major Way
Sun Prairie, WI 53590</x:t>
        </x:is>
      </x:c>
      <x:c r="H1898" s="552" t="inlineStr">
        <x:is>
          <x:t xml:space="preserve">R. Michael Lortz</x:t>
        </x:is>
      </x:c>
      <x:c r="I1898" s="552" t="inlineStr">
        <x:is>
          <x:t xml:space="preserve">NW/4 SE/4, S/2 SE/4, SW/4 NE/4 of 31-12N-24W</x:t>
        </x:is>
      </x:c>
      <x:c r="J1898" s="552" t="inlineStr">
        <x:is>
          <x:t xml:space="preserve">160 gross acres
3 yrs
3/16ths royalty</x:t>
        </x:is>
      </x:c>
      <x:c r="K1898" s="554" t="e">
        <x:f>HYPERLINK("https://okcountyrecords.com/detail/roger+mills/2004-000579","OKCountyRecords: 2004-000579")</x:f>
      </x:c>
      <x:c r="L1898" s="552" t="n">
        <x:v>2</x:v>
      </x:c>
      <x:c r="M1898" s="552" t="inlineStr">
        <x:is>
          <x:t xml:space="preserve">Leasehold</x:t>
        </x:is>
      </x:c>
      <x:c r="N1898" s="555" t="n"/>
      <x:c r="O1898" s="556" t="n">
        <x:f>IF($L1898="","",IF(ISNUMBER(SEARCH("all",$L1898)),640,(ISNUMBER(SEARCH("1",$L1898)))*80+(ISNUMBER(SEARCH("2",$L1898)))*160+(ISNUMBER(SEARCH("3",$L1898)))*40+(ISNUMBER(SEARCH("4",$L1898)))*80+(ISNUMBER(SEARCH("5",$L1898)))*120+(ISNUMBER(SEARCH("6",$L1898)))*80+(ISNUMBER(SEARCH("7",$L1898)))*40+(ISNUMBER(SEARCH("8",$L1898)))*40))</x:f>
        <x:v>0</x:v>
      </x:c>
      <x:c r="P1898" s="654" t="str">
        <x:f>IF($M1898&lt;&gt;"Mineral","",IF(ISNUMBER($N1898),$N1898,IF(OR(ISNUMBER(SEARCH("surface",$J1898)),ISNUMBER(SEARCH("reserv",$J1898)),ISNUMBER(SEARCH("less and except",$J1898))),0,"")))</x:f>
      </x:c>
      <x:c r="Q1898" s="654" t="str">
        <x:f>IF($P1898="","",-$P1898)</x:f>
      </x:c>
      <x:c r="R1898" s="655" t="str">
        <x:f>IF($P1898="","",$O1898*$P1898)</x:f>
      </x:c>
      <x:c r="S1898" s="552" t="str">
        <x:f>IF($M1898="","",TRIM(IF($M1898="Mineral",IF(ISNUMBER($N1898),"Mineral; basis Conv Amt(dec). ",IF($P1898=0,"Mineral; surface-only/reserved-&gt;0 min. ","Mineral; NO AMOUNT-verify instrument. ")),$M1898&amp;" (non-mineral; excluded from mineral NMA). ")&amp;IF(OR(ISNUMBER(SEARCH("public",$G1898)),ISNUMBER(SEARCH("public",$H1898))),"FLAG: The Public placeholder-verify. ","")&amp;IF(ISNUMBER(SEARCH("all",$L1898)),"All-section coverage. ","")&amp;IF($O1898=0,"Gross acres unresolved. ","")&amp;"Gross=tract-map basis."))</x:f>
        <x:v>Leasehold (non-mineral; excluded from mineral NMA). Gross acres unresolved. Gross=tract-map basis.</x:v>
      </x:c>
      <x:c r="T1898" s="577" t="n"/>
      <x:c r="U1898" s="578" t="n"/>
      <x:c r="V1898" s="565" t="n"/>
      <x:c r="W1898" s="565" t="n"/>
      <x:c r="X1898" s="565" t="n"/>
      <x:c r="Y1898" s="565" t="n"/>
      <x:c r="Z1898" s="565" t="n"/>
    </x:row>
    <x:row r="1899">
      <x:c r="A1899" s="552" t="inlineStr">
        <x:is>
          <x:t xml:space="preserve">2006-001223</x:t>
        </x:is>
      </x:c>
      <x:c r="B1899" s="552" t="n"/>
      <x:c r="C1899" s="552" t="inlineStr">
        <x:is>
          <x:t xml:space="preserve">Oil and Gas Lease</x:t>
        </x:is>
      </x:c>
      <x:c r="D1899" s="552" t="inlineStr">
        <x:is>
          <x:t xml:space="preserve">1824/181</x:t>
        </x:is>
      </x:c>
      <x:c r="E1899" s="653" t="n">
        <x:v>38002</x:v>
      </x:c>
      <x:c r="F1899" s="653" t="n">
        <x:v>38762</x:v>
      </x:c>
      <x:c r="G1899" s="552" t="inlineStr">
        <x:is>
          <x:t xml:space="preserve">Wilda E. Jensen
317 Major Way
Sun Prairie, WI 53590</x:t>
        </x:is>
      </x:c>
      <x:c r="H1899" s="552" t="inlineStr">
        <x:is>
          <x:t xml:space="preserve">R. Michael Lortz</x:t>
        </x:is>
      </x:c>
      <x:c r="I1899" s="552" t="inlineStr">
        <x:is>
          <x:t xml:space="preserve">NW/4 SE/4, S/2 SE/4, SW/4 NE/4 of 31-12N-24W</x:t>
        </x:is>
      </x:c>
      <x:c r="J1899" s="552" t="inlineStr">
        <x:is>
          <x:t xml:space="preserve">160 gross acres
3 yrs
3/16ths royalty</x:t>
        </x:is>
      </x:c>
      <x:c r="K1899" s="554" t="e">
        <x:f>HYPERLINK("https://okcountyrecords.com/detail/roger+mills/2006-001223","OKCountyRecords: 2006-001223")</x:f>
      </x:c>
      <x:c r="L1899" s="552" t="n">
        <x:v>2</x:v>
      </x:c>
      <x:c r="M1899" s="552" t="inlineStr">
        <x:is>
          <x:t xml:space="preserve">Leasehold</x:t>
        </x:is>
      </x:c>
      <x:c r="N1899" s="555" t="n"/>
      <x:c r="O1899" s="556" t="n">
        <x:f>IF($L1899="","",IF(ISNUMBER(SEARCH("all",$L1899)),640,(ISNUMBER(SEARCH("1",$L1899)))*80+(ISNUMBER(SEARCH("2",$L1899)))*160+(ISNUMBER(SEARCH("3",$L1899)))*40+(ISNUMBER(SEARCH("4",$L1899)))*80+(ISNUMBER(SEARCH("5",$L1899)))*120+(ISNUMBER(SEARCH("6",$L1899)))*80+(ISNUMBER(SEARCH("7",$L1899)))*40+(ISNUMBER(SEARCH("8",$L1899)))*40))</x:f>
        <x:v>0</x:v>
      </x:c>
      <x:c r="P1899" s="654" t="str">
        <x:f>IF($M1899&lt;&gt;"Mineral","",IF(ISNUMBER($N1899),$N1899,IF(OR(ISNUMBER(SEARCH("surface",$J1899)),ISNUMBER(SEARCH("reserv",$J1899)),ISNUMBER(SEARCH("less and except",$J1899))),0,"")))</x:f>
      </x:c>
      <x:c r="Q1899" s="654" t="str">
        <x:f>IF($P1899="","",-$P1899)</x:f>
      </x:c>
      <x:c r="R1899" s="655" t="str">
        <x:f>IF($P1899="","",$O1899*$P1899)</x:f>
      </x:c>
      <x:c r="S1899" s="552" t="str">
        <x:f>IF($M1899="","",TRIM(IF($M1899="Mineral",IF(ISNUMBER($N1899),"Mineral; basis Conv Amt(dec). ",IF($P1899=0,"Mineral; surface-only/reserved-&gt;0 min. ","Mineral; NO AMOUNT-verify instrument. ")),$M1899&amp;" (non-mineral; excluded from mineral NMA). ")&amp;IF(OR(ISNUMBER(SEARCH("public",$G1899)),ISNUMBER(SEARCH("public",$H1899))),"FLAG: The Public placeholder-verify. ","")&amp;IF(ISNUMBER(SEARCH("all",$L1899)),"All-section coverage. ","")&amp;IF($O1899=0,"Gross acres unresolved. ","")&amp;"Gross=tract-map basis."))</x:f>
        <x:v>Leasehold (non-mineral; excluded from mineral NMA). Gross acres unresolved. Gross=tract-map basis.</x:v>
      </x:c>
      <x:c r="T1899" s="577" t="n"/>
      <x:c r="U1899" s="578" t="n"/>
      <x:c r="V1899" s="565" t="n"/>
      <x:c r="W1899" s="565" t="n"/>
      <x:c r="X1899" s="565" t="n"/>
      <x:c r="Y1899" s="565" t="n"/>
      <x:c r="Z1899" s="565" t="n"/>
    </x:row>
    <x:row r="1900">
      <x:c r="A1900" s="552" t="inlineStr">
        <x:is>
          <x:t xml:space="preserve">2004-000720</x:t>
        </x:is>
      </x:c>
      <x:c r="B1900" s="552" t="n">
        <x:v>23</x:v>
      </x:c>
      <x:c r="C1900" s="552" t="inlineStr">
        <x:is>
          <x:t xml:space="preserve">Oil and Gas Lease</x:t>
        </x:is>
      </x:c>
      <x:c r="D1900" s="552" t="inlineStr">
        <x:is>
          <x:t xml:space="preserve">1736/588</x:t>
        </x:is>
      </x:c>
      <x:c r="E1900" s="653" t="n">
        <x:v>38007</x:v>
      </x:c>
      <x:c r="F1900" s="653" t="n">
        <x:v>38029</x:v>
      </x:c>
      <x:c r="G1900" s="552" t="inlineStr">
        <x:is>
          <x:t xml:space="preserve">Clarence C. Bain, Trustee of the CDB Trust dated January 10, 1994
3236 West Cactus Road
Phoenix, AZ 85029
</x:t>
        </x:is>
      </x:c>
      <x:c r="H1900" s="552" t="inlineStr">
        <x:is>
          <x:t xml:space="preserve">R. Michael Lortz</x:t>
        </x:is>
      </x:c>
      <x:c r="I1900" s="552" t="inlineStr">
        <x:is>
          <x:t xml:space="preserve">NW/4 SE/4, S/2 SE/4, SW/4 NE/4 of 31-12N-24W</x:t>
        </x:is>
      </x:c>
      <x:c r="J1900" s="552" t="inlineStr">
        <x:is>
          <x:t xml:space="preserve">160 gross acres
3 yrs
3/16ths royalty</x:t>
        </x:is>
      </x:c>
      <x:c r="K1900" s="554" t="e">
        <x:f>HYPERLINK("https://okcountyrecords.com/detail/roger+mills/2004-000720","OKCountyRecords: 2004-000720")</x:f>
      </x:c>
      <x:c r="L1900" s="552" t="n">
        <x:v>2</x:v>
      </x:c>
      <x:c r="M1900" s="552" t="inlineStr">
        <x:is>
          <x:t xml:space="preserve">Leasehold</x:t>
        </x:is>
      </x:c>
      <x:c r="N1900" s="555" t="n"/>
      <x:c r="O1900" s="556" t="n">
        <x:f>IF($L1900="","",IF(ISNUMBER(SEARCH("all",$L1900)),640,(ISNUMBER(SEARCH("1",$L1900)))*80+(ISNUMBER(SEARCH("2",$L1900)))*160+(ISNUMBER(SEARCH("3",$L1900)))*40+(ISNUMBER(SEARCH("4",$L1900)))*80+(ISNUMBER(SEARCH("5",$L1900)))*120+(ISNUMBER(SEARCH("6",$L1900)))*80+(ISNUMBER(SEARCH("7",$L1900)))*40+(ISNUMBER(SEARCH("8",$L1900)))*40))</x:f>
        <x:v>0</x:v>
      </x:c>
      <x:c r="P1900" s="654" t="str">
        <x:f>IF($M1900&lt;&gt;"Mineral","",IF(ISNUMBER($N1900),$N1900,IF(OR(ISNUMBER(SEARCH("surface",$J1900)),ISNUMBER(SEARCH("reserv",$J1900)),ISNUMBER(SEARCH("less and except",$J1900))),0,"")))</x:f>
      </x:c>
      <x:c r="Q1900" s="654" t="str">
        <x:f>IF($P1900="","",-$P1900)</x:f>
      </x:c>
      <x:c r="R1900" s="655" t="str">
        <x:f>IF($P1900="","",$O1900*$P1900)</x:f>
      </x:c>
      <x:c r="S1900" s="552" t="str">
        <x:f>IF($M1900="","",TRIM(IF($M1900="Mineral",IF(ISNUMBER($N1900),"Mineral; basis Conv Amt(dec). ",IF($P1900=0,"Mineral; surface-only/reserved-&gt;0 min. ","Mineral; NO AMOUNT-verify instrument. ")),$M1900&amp;" (non-mineral; excluded from mineral NMA). ")&amp;IF(OR(ISNUMBER(SEARCH("public",$G1900)),ISNUMBER(SEARCH("public",$H1900))),"FLAG: The Public placeholder-verify. ","")&amp;IF(ISNUMBER(SEARCH("all",$L1900)),"All-section coverage. ","")&amp;IF($O1900=0,"Gross acres unresolved. ","")&amp;"Gross=tract-map basis."))</x:f>
        <x:v>Leasehold (non-mineral; excluded from mineral NMA). Gross acres unresolved. Gross=tract-map basis.</x:v>
      </x:c>
      <x:c r="T1900" s="577" t="n"/>
      <x:c r="U1900" s="578" t="n"/>
      <x:c r="V1900" s="565" t="n"/>
      <x:c r="W1900" s="565" t="n"/>
      <x:c r="X1900" s="565" t="n"/>
      <x:c r="Y1900" s="565" t="n"/>
      <x:c r="Z1900" s="565" t="n"/>
    </x:row>
    <x:row r="1901">
      <x:c r="A1901" s="552" t="inlineStr">
        <x:is>
          <x:t xml:space="preserve">2004-000690</x:t>
        </x:is>
      </x:c>
      <x:c r="B1901" s="552" t="n"/>
      <x:c r="C1901" s="552" t="inlineStr">
        <x:is>
          <x:t xml:space="preserve">Oil and Gas Lease</x:t>
        </x:is>
      </x:c>
      <x:c r="D1901" s="552" t="inlineStr">
        <x:is>
          <x:t xml:space="preserve">1736/496</x:t>
        </x:is>
      </x:c>
      <x:c r="E1901" s="653" t="n">
        <x:v>38013</x:v>
      </x:c>
      <x:c r="F1901" s="653" t="n">
        <x:v>38027</x:v>
      </x:c>
      <x:c r="G1901" s="552" t="inlineStr">
        <x:is>
          <x:t xml:space="preserve">John W. Bain, Joseph A. Bain and Anna T. Gibson, formerly Williams,
sole and only heirs of Billy W. Bain aka Billy Wayne Bain, deceased
229 North Chemical
Hutchinson, KS 67501
</x:t>
        </x:is>
      </x:c>
      <x:c r="H1901" s="552" t="inlineStr">
        <x:is>
          <x:t xml:space="preserve">R. Michael Lortz</x:t>
        </x:is>
      </x:c>
      <x:c r="I1901" s="552" t="inlineStr">
        <x:is>
          <x:t xml:space="preserve">NW/4 SE/4, S/2 SE/4, SW/4 NE/4 of 31-12N-24W</x:t>
        </x:is>
      </x:c>
      <x:c r="J1901" s="552" t="inlineStr">
        <x:is>
          <x:t xml:space="preserve">160 gross acres
3 yrs
3/16ths royalty</x:t>
        </x:is>
      </x:c>
      <x:c r="K1901" s="554" t="e">
        <x:f>HYPERLINK("https://okcountyrecords.com/detail/roger+mills/2004-000690","OKCountyRecords: 2004-000690")</x:f>
      </x:c>
      <x:c r="L1901" s="552" t="n">
        <x:v>2</x:v>
      </x:c>
      <x:c r="M1901" s="552" t="inlineStr">
        <x:is>
          <x:t xml:space="preserve">Leasehold</x:t>
        </x:is>
      </x:c>
      <x:c r="N1901" s="555" t="n"/>
      <x:c r="O1901" s="556" t="n">
        <x:f>IF($L1901="","",IF(ISNUMBER(SEARCH("all",$L1901)),640,(ISNUMBER(SEARCH("1",$L1901)))*80+(ISNUMBER(SEARCH("2",$L1901)))*160+(ISNUMBER(SEARCH("3",$L1901)))*40+(ISNUMBER(SEARCH("4",$L1901)))*80+(ISNUMBER(SEARCH("5",$L1901)))*120+(ISNUMBER(SEARCH("6",$L1901)))*80+(ISNUMBER(SEARCH("7",$L1901)))*40+(ISNUMBER(SEARCH("8",$L1901)))*40))</x:f>
        <x:v>0</x:v>
      </x:c>
      <x:c r="P1901" s="654" t="str">
        <x:f>IF($M1901&lt;&gt;"Mineral","",IF(ISNUMBER($N1901),$N1901,IF(OR(ISNUMBER(SEARCH("surface",$J1901)),ISNUMBER(SEARCH("reserv",$J1901)),ISNUMBER(SEARCH("less and except",$J1901))),0,"")))</x:f>
      </x:c>
      <x:c r="Q1901" s="654" t="str">
        <x:f>IF($P1901="","",-$P1901)</x:f>
      </x:c>
      <x:c r="R1901" s="655" t="str">
        <x:f>IF($P1901="","",$O1901*$P1901)</x:f>
      </x:c>
      <x:c r="S1901" s="552" t="str">
        <x:f>IF($M1901="","",TRIM(IF($M1901="Mineral",IF(ISNUMBER($N1901),"Mineral; basis Conv Amt(dec). ",IF($P1901=0,"Mineral; surface-only/reserved-&gt;0 min. ","Mineral; NO AMOUNT-verify instrument. ")),$M1901&amp;" (non-mineral; excluded from mineral NMA). ")&amp;IF(OR(ISNUMBER(SEARCH("public",$G1901)),ISNUMBER(SEARCH("public",$H1901))),"FLAG: The Public placeholder-verify. ","")&amp;IF(ISNUMBER(SEARCH("all",$L1901)),"All-section coverage. ","")&amp;IF($O1901=0,"Gross acres unresolved. ","")&amp;"Gross=tract-map basis."))</x:f>
        <x:v>Leasehold (non-mineral; excluded from mineral NMA). Gross acres unresolved. Gross=tract-map basis.</x:v>
      </x:c>
      <x:c r="T1901" s="577" t="n"/>
      <x:c r="U1901" s="578" t="n"/>
      <x:c r="V1901" s="565" t="n"/>
      <x:c r="W1901" s="565" t="n"/>
      <x:c r="X1901" s="565" t="n"/>
      <x:c r="Y1901" s="565" t="n"/>
      <x:c r="Z1901" s="565" t="n"/>
    </x:row>
    <x:row r="1902">
      <x:c r="A1902" s="552" t="inlineStr">
        <x:is>
          <x:t xml:space="preserve">2004-000691</x:t>
        </x:is>
      </x:c>
      <x:c r="B1902" s="552" t="n"/>
      <x:c r="C1902" s="552" t="inlineStr">
        <x:is>
          <x:t xml:space="preserve">Proof of Death</x:t>
        </x:is>
      </x:c>
      <x:c r="D1902" s="552" t="inlineStr">
        <x:is>
          <x:t xml:space="preserve">1736/498</x:t>
        </x:is>
      </x:c>
      <x:c r="E1902" s="653" t="n">
        <x:v>38014</x:v>
      </x:c>
      <x:c r="F1902" s="653" t="n">
        <x:v>38027</x:v>
      </x:c>
      <x:c r="G1902" s="552" t="inlineStr">
        <x:is>
          <x:t xml:space="preserve">John W. Bain</x:t>
        </x:is>
      </x:c>
      <x:c r="H1902" s="552" t="inlineStr">
        <x:is>
          <x:t xml:space="preserve">The Public
RE: Billy Bain aka Billy Wayne Bain, Deceased
Heirs:
John W. Bain,
Joseph A. Bain,
Anna T. Bain now Gibson, formerly Williams</x:t>
        </x:is>
      </x:c>
      <x:c r="I1902" s="552" t="inlineStr">
        <x:is>
          <x:t xml:space="preserve">NW/4 SE/4, S/2 SE/4, SW/4 NE/4 of 31-12N-24W</x:t>
        </x:is>
      </x:c>
      <x:c r="J1902" s="552" t="inlineStr">
        <x:is>
          <x:t xml:space="preserve">ARTI</x:t>
        </x:is>
      </x:c>
      <x:c r="K1902" s="554" t="e">
        <x:f>HYPERLINK("https://okcountyrecords.com/detail/roger+mills/2004-000691","OKCountyRecords: 2004-000691")</x:f>
      </x:c>
      <x:c r="L1902" s="552" t="n">
        <x:v>2</x:v>
      </x:c>
      <x:c r="M1902" s="552" t="inlineStr">
        <x:is>
          <x:t xml:space="preserve">Mineral</x:t>
        </x:is>
      </x:c>
      <x:c r="N1902" s="555" t="n">
        <x:v>1</x:v>
      </x:c>
      <x:c r="O1902" s="556" t="n">
        <x:f>IF($L1902="","",IF(ISNUMBER(SEARCH("all",$L1902)),640,(ISNUMBER(SEARCH("1",$L1902)))*80+(ISNUMBER(SEARCH("2",$L1902)))*160+(ISNUMBER(SEARCH("3",$L1902)))*40+(ISNUMBER(SEARCH("4",$L1902)))*80+(ISNUMBER(SEARCH("5",$L1902)))*120+(ISNUMBER(SEARCH("6",$L1902)))*80+(ISNUMBER(SEARCH("7",$L1902)))*40+(ISNUMBER(SEARCH("8",$L1902)))*40))</x:f>
        <x:v>0</x:v>
      </x:c>
      <x:c r="P1902" s="654" t="n">
        <x:f>IF($M1902&lt;&gt;"Mineral","",IF(ISNUMBER($N1902),$N1902,IF(OR(ISNUMBER(SEARCH("surface",$J1902)),ISNUMBER(SEARCH("reserv",$J1902)),ISNUMBER(SEARCH("less and except",$J1902))),0,"")))</x:f>
        <x:v>1</x:v>
      </x:c>
      <x:c r="Q1902" s="654" t="n">
        <x:f>IF($P1902="","",-$P1902)</x:f>
        <x:v>-1</x:v>
      </x:c>
      <x:c r="R1902" s="655" t="n">
        <x:f>IF($P1902="","",$O1902*$P1902)</x:f>
        <x:v>0</x:v>
      </x:c>
      <x:c r="S1902" s="552" t="str">
        <x:f>IF($M1902="","",TRIM(IF($M1902="Mineral",IF(ISNUMBER($N1902),"Mineral; basis Conv Amt(dec). ",IF($P1902=0,"Mineral; surface-only/reserved-&gt;0 min. ","Mineral; VERIFY — NEED full instrument image for conveyed amount. ")),$M1902&amp;" (non-mineral; excluded from mineral NMA). ")&amp;IF(OR(ISNUMBER(SEARCH("public",$G1902)),ISNUMBER(SEARCH("public",$H1902))),"FLAG: The Public placeholder; VERIFY — NEED source confirmation. ","")&amp;IF(ISNUMBER(SEARCH("all",$L1902)),"All-section coverage. ","")&amp;IF($O1902=0,"Gross acres unresolved. ","")&amp;"Gross=tract-map basis."))</x:f>
        <x:v>Mineral; basis Conv Amt(dec). FLAG: The Public placeholder; VERIFY — NEED source confirmation. Gross acres unresolved. Gross=tract-map basis.</x:v>
      </x:c>
      <x:c r="T1902" s="577" t="inlineStr">
        <x:is>
          <x:t xml:space="preserve">REVIEW</x:t>
        </x:is>
      </x:c>
      <x:c r="U1902" s="578" t="inlineStr">
        <x:is>
          <x:t xml:space="preserve">NEED: confirm conveyed mineral acreage from instrument image — named party present under 'The Public' (affidavit/notice); placeholder identity resolved.</x:t>
        </x:is>
      </x:c>
      <x:c r="V1902" s="565" t="n"/>
      <x:c r="W1902" s="565" t="n"/>
      <x:c r="X1902" s="565" t="n"/>
      <x:c r="Y1902" s="565" t="n"/>
      <x:c r="Z1902" s="565" t="n"/>
    </x:row>
    <x:row r="1903">
      <x:c r="A1903" s="552" t="inlineStr">
        <x:is>
          <x:t xml:space="preserve">2004-000581</x:t>
        </x:is>
      </x:c>
      <x:c r="B1903" s="552" t="n"/>
      <x:c r="C1903" s="552" t="inlineStr">
        <x:is>
          <x:t xml:space="preserve">Oil and Gas Lease</x:t>
        </x:is>
      </x:c>
      <x:c r="D1903" s="552" t="inlineStr">
        <x:is>
          <x:t xml:space="preserve">1736/197</x:t>
        </x:is>
      </x:c>
      <x:c r="E1903" s="653" t="n">
        <x:v>38016</x:v>
      </x:c>
      <x:c r="F1903" s="653" t="n">
        <x:v>38020</x:v>
      </x:c>
      <x:c r="G1903" s="552" t="inlineStr">
        <x:is>
          <x:t xml:space="preserve">A. C. Campbell aka Audy C. Campbell
Rt. 2 Box 153
Sayre, OK 73662
</x:t>
        </x:is>
      </x:c>
      <x:c r="H1903" s="552" t="inlineStr">
        <x:is>
          <x:t xml:space="preserve">R. Michael Lortz</x:t>
        </x:is>
      </x:c>
      <x:c r="I1903" s="552" t="inlineStr">
        <x:is>
          <x:t xml:space="preserve">S/2 NE/4 SW/4, Lot 4, SE/4 SW/4, S/2 of Lot 3 of 31-12N-24W</x:t>
        </x:is>
      </x:c>
      <x:c r="J1903" s="552" t="inlineStr">
        <x:is>
          <x:t xml:space="preserve">115.335 gross acres
3/16ths royalty</x:t>
        </x:is>
      </x:c>
      <x:c r="K1903" s="554" t="e">
        <x:f>HYPERLINK("https://okcountyrecords.com/detail/roger+mills/2004-000581","OKCountyRecords: 2004-000581")</x:f>
      </x:c>
      <x:c r="L1903" s="552" t="inlineStr">
        <x:is>
          <x:t xml:space="preserve">2, 3, 5, 6, 7</x:t>
        </x:is>
      </x:c>
      <x:c r="M1903" s="552" t="inlineStr">
        <x:is>
          <x:t xml:space="preserve">Leasehold</x:t>
        </x:is>
      </x:c>
      <x:c r="N1903" s="555" t="n"/>
      <x:c r="O1903" s="556" t="n">
        <x:f>IF($L1903="","",IF(ISNUMBER(SEARCH("all",$L1903)),640,(ISNUMBER(SEARCH("1",$L1903)))*80+(ISNUMBER(SEARCH("2",$L1903)))*160+(ISNUMBER(SEARCH("3",$L1903)))*40+(ISNUMBER(SEARCH("4",$L1903)))*80+(ISNUMBER(SEARCH("5",$L1903)))*120+(ISNUMBER(SEARCH("6",$L1903)))*80+(ISNUMBER(SEARCH("7",$L1903)))*40+(ISNUMBER(SEARCH("8",$L1903)))*40))</x:f>
        <x:v>0</x:v>
      </x:c>
      <x:c r="P1903" s="654" t="str">
        <x:f>IF($M1903&lt;&gt;"Mineral","",IF(ISNUMBER($N1903),$N1903,IF(OR(ISNUMBER(SEARCH("surface",$J1903)),ISNUMBER(SEARCH("reserv",$J1903)),ISNUMBER(SEARCH("less and except",$J1903))),0,"")))</x:f>
      </x:c>
      <x:c r="Q1903" s="654" t="str">
        <x:f>IF($P1903="","",-$P1903)</x:f>
      </x:c>
      <x:c r="R1903" s="655" t="str">
        <x:f>IF($P1903="","",$O1903*$P1903)</x:f>
      </x:c>
      <x:c r="S1903" s="552" t="str">
        <x:f>IF($M1903="","",TRIM(IF($M1903="Mineral",IF(ISNUMBER($N1903),"Mineral; basis Conv Amt(dec). ",IF($P1903=0,"Mineral; surface-only/reserved-&gt;0 min. ","Mineral; NO AMOUNT-verify instrument. ")),$M1903&amp;" (non-mineral; excluded from mineral NMA). ")&amp;IF(OR(ISNUMBER(SEARCH("public",$G1903)),ISNUMBER(SEARCH("public",$H1903))),"FLAG: The Public placeholder-verify. ","")&amp;IF(ISNUMBER(SEARCH("all",$L1903)),"All-section coverage. ","")&amp;IF($O1903=0,"Gross acres unresolved. ","")&amp;"Gross=tract-map basis."))</x:f>
        <x:v>Leasehold (non-mineral; excluded from mineral NMA). Gross acres unresolved. Gross=tract-map basis.</x:v>
      </x:c>
      <x:c r="T1903" s="577" t="n"/>
      <x:c r="U1903" s="578" t="n"/>
      <x:c r="V1903" s="565" t="n"/>
      <x:c r="W1903" s="565" t="n"/>
      <x:c r="X1903" s="565" t="n"/>
      <x:c r="Y1903" s="565" t="n"/>
      <x:c r="Z1903" s="565" t="n"/>
    </x:row>
    <x:row r="1904">
      <x:c r="A1904" s="552" t="inlineStr">
        <x:is>
          <x:t xml:space="preserve">2004-000685</x:t>
        </x:is>
      </x:c>
      <x:c r="B1904" s="552" t="n"/>
      <x:c r="C1904" s="552" t="inlineStr">
        <x:is>
          <x:t xml:space="preserve">Oil and Gas Lease</x:t>
        </x:is>
      </x:c>
      <x:c r="D1904" s="552" t="inlineStr">
        <x:is>
          <x:t xml:space="preserve">1736/485</x:t>
        </x:is>
      </x:c>
      <x:c r="E1904" s="653" t="n">
        <x:v>38020</x:v>
      </x:c>
      <x:c r="F1904" s="653" t="n">
        <x:v>38027</x:v>
      </x:c>
      <x:c r="G1904" s="552" t="inlineStr">
        <x:is>
          <x:t xml:space="preserve">L. E. Thurman
Rt. 2 Box 34B
Sayre, OK 73662
</x:t>
        </x:is>
      </x:c>
      <x:c r="H1904" s="552" t="inlineStr">
        <x:is>
          <x:t xml:space="preserve">R. Michael Lortz</x:t>
        </x:is>
      </x:c>
      <x:c r="I1904" s="552" t="inlineStr">
        <x:is>
          <x:t xml:space="preserve">E/2 NW/4, N/2 NE/4 SW/4, NE/4 SE/4, SE/4 NE/4 of 31-12N-24W</x:t>
        </x:is>
      </x:c>
      <x:c r="J1904" s="552" t="inlineStr">
        <x:is>
          <x:t xml:space="preserve">180 gross acres
3 yrs
3/16ths royalty</x:t>
        </x:is>
      </x:c>
      <x:c r="K1904" s="554" t="e">
        <x:f>HYPERLINK("https://okcountyrecords.com/detail/roger+mills/2004-000685","OKCountyRecords: 2004-000685")</x:f>
      </x:c>
      <x:c r="L1904" s="552" t="inlineStr">
        <x:is>
          <x:t xml:space="preserve">1, 3, 4, 7, 8</x:t>
        </x:is>
      </x:c>
      <x:c r="M1904" s="552" t="inlineStr">
        <x:is>
          <x:t xml:space="preserve">Leasehold</x:t>
        </x:is>
      </x:c>
      <x:c r="N1904" s="561" t="n"/>
      <x:c r="O1904" s="556" t="n">
        <x:f>IF($L1904="","",IF(ISNUMBER(SEARCH("all",$L1904)),640,(ISNUMBER(SEARCH("1",$L1904)))*80+(ISNUMBER(SEARCH("2",$L1904)))*160+(ISNUMBER(SEARCH("3",$L1904)))*40+(ISNUMBER(SEARCH("4",$L1904)))*80+(ISNUMBER(SEARCH("5",$L1904)))*120+(ISNUMBER(SEARCH("6",$L1904)))*80+(ISNUMBER(SEARCH("7",$L1904)))*40+(ISNUMBER(SEARCH("8",$L1904)))*40))</x:f>
        <x:v>0</x:v>
      </x:c>
      <x:c r="P1904" s="654" t="str">
        <x:f>IF($M1904&lt;&gt;"Mineral","",IF(ISNUMBER($N1904),$N1904,IF(OR(ISNUMBER(SEARCH("surface",$J1904)),ISNUMBER(SEARCH("reserv",$J1904)),ISNUMBER(SEARCH("less and except",$J1904))),0,"")))</x:f>
      </x:c>
      <x:c r="Q1904" s="654" t="str">
        <x:f>IF($P1904="","",-$P1904)</x:f>
      </x:c>
      <x:c r="R1904" s="655" t="str">
        <x:f>IF($P1904="","",$O1904*$P1904)</x:f>
      </x:c>
      <x:c r="S1904" s="552" t="str">
        <x:f>IF($M1904="","",TRIM(IF($M1904="Mineral",IF(ISNUMBER($N1904),"Mineral; basis Conv Amt(dec). ",IF($P1904=0,"Mineral; surface-only/reserved-&gt;0 min. ","Mineral; NO AMOUNT-verify instrument. ")),$M1904&amp;" (non-mineral; excluded from mineral NMA). ")&amp;IF(OR(ISNUMBER(SEARCH("public",$G1904)),ISNUMBER(SEARCH("public",$H1904))),"FLAG: The Public placeholder-verify. ","")&amp;IF(ISNUMBER(SEARCH("all",$L1904)),"All-section coverage. ","")&amp;IF($O1904=0,"Gross acres unresolved. ","")&amp;"Gross=tract-map basis."))</x:f>
        <x:v>Leasehold (non-mineral; excluded from mineral NMA). Gross acres unresolved. Gross=tract-map basis.</x:v>
      </x:c>
      <x:c r="T1904" s="577" t="n"/>
      <x:c r="U1904" s="578" t="n"/>
      <x:c r="V1904" s="565" t="n"/>
      <x:c r="W1904" s="565" t="n"/>
      <x:c r="X1904" s="565" t="n"/>
      <x:c r="Y1904" s="565" t="n"/>
      <x:c r="Z1904" s="565" t="n"/>
    </x:row>
    <x:row r="1905">
      <x:c r="A1905" s="552" t="inlineStr">
        <x:is>
          <x:t xml:space="preserve">2004-001426</x:t>
        </x:is>
      </x:c>
      <x:c r="B1905" s="552" t="n"/>
      <x:c r="C1905" s="552" t="inlineStr">
        <x:is>
          <x:t xml:space="preserve">Assignment</x:t>
        </x:is>
      </x:c>
      <x:c r="D1905" s="552" t="inlineStr">
        <x:is>
          <x:t xml:space="preserve">1740/424</x:t>
        </x:is>
      </x:c>
      <x:c r="E1905" s="653" t="n">
        <x:v>38022</x:v>
      </x:c>
      <x:c r="F1905" s="653" t="n">
        <x:v>38068</x:v>
      </x:c>
      <x:c r="G1905" s="552" t="inlineStr">
        <x:is>
          <x:t xml:space="preserve">R. Michael Lortz
</x:t>
        </x:is>
      </x:c>
      <x:c r="H1905" s="552" t="inlineStr">
        <x:is>
          <x:t xml:space="preserve">Axis Exploration, LLC</x:t>
        </x:is>
      </x:c>
      <x:c r="I1905" s="552" t="inlineStr">
        <x:is>
          <x:t xml:space="preserve">S/2 of Lot 3, NW/4 SE/4, S/2 NE/4 SW/4, S/2 SE/4, SE/4 SW/4 Lot 4, SW/4 NE/4 of 31-12N-24W</x:t>
        </x:is>
      </x:c>
      <x:c r="J1905" s="552" t="inlineStr">
        <x:is>
          <x:t xml:space="preserve">ARTI in OGLs at 1736/193, 1736/195, 1736/197, 1736/199, 1736/496, 1736/588, 1736/590, 1736/602,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reve lease. If the interest herein assigned is less than the full and undivided leasehold estate in and to the lands covered by said leases, then the overriding royalty interest herein reserved shall be reduced proportionately.</x:t>
        </x:is>
      </x:c>
      <x:c r="K1905" s="554" t="e">
        <x:f>HYPERLINK("https://okcountyrecords.com/detail/roger+mills/2004-001426","OKCountyRecords: 2004-001426")</x:f>
      </x:c>
      <x:c r="L1905" s="552" t="inlineStr">
        <x:is>
          <x:t xml:space="preserve">2, 3, 5, 6, 7</x:t>
        </x:is>
      </x:c>
      <x:c r="M1905" s="552" t="inlineStr">
        <x:is>
          <x:t xml:space="preserve">Leasehold</x:t>
        </x:is>
      </x:c>
      <x:c r="N1905" s="555" t="n"/>
      <x:c r="O1905" s="556" t="n">
        <x:f>IF($L1905="","",IF(ISNUMBER(SEARCH("all",$L1905)),640,(ISNUMBER(SEARCH("1",$L1905)))*80+(ISNUMBER(SEARCH("2",$L1905)))*160+(ISNUMBER(SEARCH("3",$L1905)))*40+(ISNUMBER(SEARCH("4",$L1905)))*80+(ISNUMBER(SEARCH("5",$L1905)))*120+(ISNUMBER(SEARCH("6",$L1905)))*80+(ISNUMBER(SEARCH("7",$L1905)))*40+(ISNUMBER(SEARCH("8",$L1905)))*40))</x:f>
        <x:v>0</x:v>
      </x:c>
      <x:c r="P1905" s="654" t="str">
        <x:f>IF($M1905&lt;&gt;"Mineral","",IF(ISNUMBER($N1905),$N1905,IF(OR(ISNUMBER(SEARCH("surface",$J1905)),ISNUMBER(SEARCH("reserv",$J1905)),ISNUMBER(SEARCH("less and except",$J1905))),0,"")))</x:f>
      </x:c>
      <x:c r="Q1905" s="654" t="str">
        <x:f>IF($P1905="","",-$P1905)</x:f>
      </x:c>
      <x:c r="R1905" s="655" t="str">
        <x:f>IF($P1905="","",$O1905*$P1905)</x:f>
      </x:c>
      <x:c r="S1905" s="552" t="str">
        <x:f>IF($M1905="","",TRIM(IF($M1905="Mineral",IF(ISNUMBER($N1905),"Mineral; basis Conv Amt(dec). ",IF($P1905=0,"Mineral; surface-only/reserved-&gt;0 min. ","Mineral; NO AMOUNT-verify instrument. ")),$M1905&amp;" (non-mineral; excluded from mineral NMA). ")&amp;IF(OR(ISNUMBER(SEARCH("public",$G1905)),ISNUMBER(SEARCH("public",$H1905))),"FLAG: The Public placeholder-verify. ","")&amp;IF(ISNUMBER(SEARCH("all",$L1905)),"All-section coverage. ","")&amp;IF($O1905=0,"Gross acres unresolved. ","")&amp;"Gross=tract-map basis."))</x:f>
        <x:v>Leasehold (non-mineral; excluded from mineral NMA). Gross acres unresolved. Gross=tract-map basis.</x:v>
      </x:c>
      <x:c r="T1905" s="577" t="n"/>
      <x:c r="U1905" s="578" t="n"/>
      <x:c r="V1905" s="565" t="n"/>
      <x:c r="W1905" s="565" t="n"/>
      <x:c r="X1905" s="565" t="n"/>
      <x:c r="Y1905" s="565" t="n"/>
      <x:c r="Z1905" s="565" t="n"/>
    </x:row>
    <x:row r="1906">
      <x:c r="A1906" s="552" t="inlineStr">
        <x:is>
          <x:t xml:space="preserve">2004-001053</x:t>
        </x:is>
      </x:c>
      <x:c r="B1906" s="552" t="n">
        <x:v>24</x:v>
      </x:c>
      <x:c r="C1906" s="552" t="inlineStr">
        <x:is>
          <x:t xml:space="preserve">Oil and Gas Lease</x:t>
        </x:is>
      </x:c>
      <x:c r="D1906" s="552" t="inlineStr">
        <x:is>
          <x:t xml:space="preserve">1738/479</x:t>
        </x:is>
      </x:c>
      <x:c r="E1906" s="653" t="n">
        <x:v>38023</x:v>
      </x:c>
      <x:c r="F1906" s="653" t="n">
        <x:v>38049</x:v>
      </x:c>
      <x:c r="G1906" s="552" t="inlineStr">
        <x:is>
          <x:t xml:space="preserve">Lola F. Richards aka Lola Richards
Rt. 2 Box 141
Wanette, OK 74878</x:t>
        </x:is>
      </x:c>
      <x:c r="H1906" s="552" t="inlineStr">
        <x:is>
          <x:t xml:space="preserve">R. Michael Lortz</x:t>
        </x:is>
      </x:c>
      <x:c r="I1906" s="552" t="inlineStr">
        <x:is>
          <x:t xml:space="preserve">NW/4 SE/4, S/2 SE/4, SW/4 NE/4 of 31-12N-24W</x:t>
        </x:is>
      </x:c>
      <x:c r="J1906" s="552" t="inlineStr">
        <x:is>
          <x:t xml:space="preserve">160 gross acres
3 yrs
3/16ths royalty</x:t>
        </x:is>
      </x:c>
      <x:c r="K1906" s="554" t="e">
        <x:f>HYPERLINK("https://okcountyrecords.com/detail/roger+mills/2004-001053","OKCountyRecords: 2004-001053")</x:f>
      </x:c>
      <x:c r="L1906" s="552" t="n">
        <x:v>2</x:v>
      </x:c>
      <x:c r="M1906" s="552" t="inlineStr">
        <x:is>
          <x:t xml:space="preserve">Leasehold</x:t>
        </x:is>
      </x:c>
      <x:c r="N1906" s="555" t="n"/>
      <x:c r="O1906" s="556" t="n">
        <x:f>IF($L1906="","",IF(ISNUMBER(SEARCH("all",$L1906)),640,(ISNUMBER(SEARCH("1",$L1906)))*80+(ISNUMBER(SEARCH("2",$L1906)))*160+(ISNUMBER(SEARCH("3",$L1906)))*40+(ISNUMBER(SEARCH("4",$L1906)))*80+(ISNUMBER(SEARCH("5",$L1906)))*120+(ISNUMBER(SEARCH("6",$L1906)))*80+(ISNUMBER(SEARCH("7",$L1906)))*40+(ISNUMBER(SEARCH("8",$L1906)))*40))</x:f>
        <x:v>0</x:v>
      </x:c>
      <x:c r="P1906" s="654" t="str">
        <x:f>IF($M1906&lt;&gt;"Mineral","",IF(ISNUMBER($N1906),$N1906,IF(OR(ISNUMBER(SEARCH("surface",$J1906)),ISNUMBER(SEARCH("reserv",$J1906)),ISNUMBER(SEARCH("less and except",$J1906))),0,"")))</x:f>
      </x:c>
      <x:c r="Q1906" s="654" t="str">
        <x:f>IF($P1906="","",-$P1906)</x:f>
      </x:c>
      <x:c r="R1906" s="655" t="str">
        <x:f>IF($P1906="","",$O1906*$P1906)</x:f>
      </x:c>
      <x:c r="S1906" s="552" t="str">
        <x:f>IF($M1906="","",TRIM(IF($M1906="Mineral",IF(ISNUMBER($N1906),"Mineral; basis Conv Amt(dec). ",IF($P1906=0,"Mineral; surface-only/reserved-&gt;0 min. ","Mineral; NO AMOUNT-verify instrument. ")),$M1906&amp;" (non-mineral; excluded from mineral NMA). ")&amp;IF(OR(ISNUMBER(SEARCH("public",$G1906)),ISNUMBER(SEARCH("public",$H1906))),"FLAG: The Public placeholder-verify. ","")&amp;IF(ISNUMBER(SEARCH("all",$L1906)),"All-section coverage. ","")&amp;IF($O1906=0,"Gross acres unresolved. ","")&amp;"Gross=tract-map basis."))</x:f>
        <x:v>Leasehold (non-mineral; excluded from mineral NMA). Gross acres unresolved. Gross=tract-map basis.</x:v>
      </x:c>
      <x:c r="T1906" s="577" t="n"/>
      <x:c r="U1906" s="578" t="n"/>
      <x:c r="V1906" s="565" t="n"/>
      <x:c r="W1906" s="565" t="n"/>
      <x:c r="X1906" s="565" t="n"/>
      <x:c r="Y1906" s="565" t="n"/>
      <x:c r="Z1906" s="565" t="n"/>
    </x:row>
    <x:row r="1907">
      <x:c r="A1907" s="552" t="inlineStr">
        <x:is>
          <x:t xml:space="preserve">2004-000679</x:t>
        </x:is>
      </x:c>
      <x:c r="B1907" s="552" t="n">
        <x:v>25</x:v>
      </x:c>
      <x:c r="C1907" s="552" t="inlineStr">
        <x:is>
          <x:t xml:space="preserve">Oil and Gas Lease</x:t>
        </x:is>
      </x:c>
      <x:c r="D1907" s="552" t="inlineStr">
        <x:is>
          <x:t xml:space="preserve">1736/473</x:t>
        </x:is>
      </x:c>
      <x:c r="E1907" s="653" t="n">
        <x:v>38026</x:v>
      </x:c>
      <x:c r="F1907" s="653" t="n">
        <x:v>38027</x:v>
      </x:c>
      <x:c r="G1907" s="552" t="inlineStr">
        <x:is>
          <x:t xml:space="preserve">Charles Allen Atha
Rt. 1 Box 124
Cheyenne, OK 73628
</x:t>
        </x:is>
      </x:c>
      <x:c r="H1907" s="552" t="inlineStr">
        <x:is>
          <x:t xml:space="preserve">R. Michael Lortz</x:t>
        </x:is>
      </x:c>
      <x:c r="I1907" s="552" t="inlineStr">
        <x:is>
          <x:t xml:space="preserve">Lots 1 and 2, N/2 of Lot 3 of 31-12N-24W</x:t>
        </x:is>
      </x:c>
      <x:c r="J1907" s="552" t="inlineStr">
        <x:is>
          <x:t xml:space="preserve">92.135 gross acres
3 yrs
3/16ths royalty</x:t>
        </x:is>
      </x:c>
      <x:c r="K1907" s="554" t="e">
        <x:f>HYPERLINK("https://okcountyrecords.com/detail/roger+mills/2004-000679","OKCountyRecords: 2004-000679")</x:f>
      </x:c>
      <x:c r="L1907" s="552" t="inlineStr">
        <x:is>
          <x:t xml:space="preserve">5, 6</x:t>
        </x:is>
      </x:c>
      <x:c r="M1907" s="552" t="inlineStr">
        <x:is>
          <x:t xml:space="preserve">Leasehold</x:t>
        </x:is>
      </x:c>
      <x:c r="N1907" s="555" t="n"/>
      <x:c r="O1907" s="556" t="n">
        <x:f>IF($L1907="","",IF(ISNUMBER(SEARCH("all",$L1907)),640,(ISNUMBER(SEARCH("1",$L1907)))*80+(ISNUMBER(SEARCH("2",$L1907)))*160+(ISNUMBER(SEARCH("3",$L1907)))*40+(ISNUMBER(SEARCH("4",$L1907)))*80+(ISNUMBER(SEARCH("5",$L1907)))*120+(ISNUMBER(SEARCH("6",$L1907)))*80+(ISNUMBER(SEARCH("7",$L1907)))*40+(ISNUMBER(SEARCH("8",$L1907)))*40))</x:f>
        <x:v>0</x:v>
      </x:c>
      <x:c r="P1907" s="654" t="str">
        <x:f>IF($M1907&lt;&gt;"Mineral","",IF(ISNUMBER($N1907),$N1907,IF(OR(ISNUMBER(SEARCH("surface",$J1907)),ISNUMBER(SEARCH("reserv",$J1907)),ISNUMBER(SEARCH("less and except",$J1907))),0,"")))</x:f>
      </x:c>
      <x:c r="Q1907" s="654" t="str">
        <x:f>IF($P1907="","",-$P1907)</x:f>
      </x:c>
      <x:c r="R1907" s="655" t="str">
        <x:f>IF($P1907="","",$O1907*$P1907)</x:f>
      </x:c>
      <x:c r="S1907" s="552" t="str">
        <x:f>IF($M1907="","",TRIM(IF($M1907="Mineral",IF(ISNUMBER($N1907),"Mineral; basis Conv Amt(dec). ",IF($P1907=0,"Mineral; surface-only/reserved-&gt;0 min. ","Mineral; NO AMOUNT-verify instrument. ")),$M1907&amp;" (non-mineral; excluded from mineral NMA). ")&amp;IF(OR(ISNUMBER(SEARCH("public",$G1907)),ISNUMBER(SEARCH("public",$H1907))),"FLAG: The Public placeholder-verify. ","")&amp;IF(ISNUMBER(SEARCH("all",$L1907)),"All-section coverage. ","")&amp;IF($O1907=0,"Gross acres unresolved. ","")&amp;"Gross=tract-map basis."))</x:f>
        <x:v>Leasehold (non-mineral; excluded from mineral NMA). Gross acres unresolved. Gross=tract-map basis.</x:v>
      </x:c>
      <x:c r="T1907" s="577" t="n"/>
      <x:c r="U1907" s="578" t="n"/>
      <x:c r="V1907" s="565" t="n"/>
      <x:c r="W1907" s="565" t="n"/>
      <x:c r="X1907" s="565" t="n"/>
      <x:c r="Y1907" s="565" t="n"/>
      <x:c r="Z1907" s="565" t="n"/>
    </x:row>
    <x:row r="1908">
      <x:c r="A1908" s="552" t="inlineStr">
        <x:is>
          <x:t xml:space="preserve">2004-002305</x:t>
        </x:is>
      </x:c>
      <x:c r="B1908" s="552" t="n"/>
      <x:c r="C1908" s="552" t="inlineStr">
        <x:is>
          <x:t xml:space="preserve">Assignment</x:t>
        </x:is>
      </x:c>
      <x:c r="D1908" s="552" t="inlineStr">
        <x:is>
          <x:t xml:space="preserve">1745/48</x:t>
        </x:is>
      </x:c>
      <x:c r="E1908" s="653" t="n">
        <x:v>38029</x:v>
      </x:c>
      <x:c r="F1908" s="653" t="n">
        <x:v>38117</x:v>
      </x:c>
      <x:c r="G1908" s="552" t="inlineStr">
        <x:is>
          <x:t xml:space="preserve">R. Michael Lortz</x:t>
        </x:is>
      </x:c>
      <x:c r="H1908" s="552" t="inlineStr">
        <x:is>
          <x:t xml:space="preserve">B&amp;W Exploration, Inc.</x:t>
        </x:is>
      </x:c>
      <x:c r="I1908" s="552" t="inlineStr">
        <x:is>
          <x:t xml:space="preserve">E/2 NW/4, S/2 of Lot 3, Lot 4, N/2 NE/4, N/2 NE/4 SW/4, NE/4 SE/4, S/2 NE/4 SW/4, SE/4 NE/4, SE/4 SW/4 of 31-12N-24W</x:t>
        </x:is>
      </x:c>
      <x:c r="J1908" s="552" t="inlineStr">
        <x:is>
          <x:t xml:space="preserve">ARTI in OGLs at 1736/592, 1736/594, 1736/600, 1736/602,</x:t>
        </x:is>
      </x:c>
      <x:c r="K1908" s="554" t="e">
        <x:f>HYPERLINK("https://okcountyrecords.com/detail/roger+mills/2004-002305","OKCountyRecords: 2004-002305")</x:f>
      </x:c>
      <x:c r="L1908" s="552" t="inlineStr">
        <x:is>
          <x:t xml:space="preserve">1, 2, 3, 4, 5, 7, 8</x:t>
        </x:is>
      </x:c>
      <x:c r="M1908" s="552" t="inlineStr">
        <x:is>
          <x:t xml:space="preserve">Leasehold</x:t>
        </x:is>
      </x:c>
      <x:c r="N1908" s="561" t="n"/>
      <x:c r="O1908" s="556" t="n">
        <x:f>IF($L1908="","",IF(ISNUMBER(SEARCH("all",$L1908)),640,(ISNUMBER(SEARCH("1",$L1908)))*80+(ISNUMBER(SEARCH("2",$L1908)))*160+(ISNUMBER(SEARCH("3",$L1908)))*40+(ISNUMBER(SEARCH("4",$L1908)))*80+(ISNUMBER(SEARCH("5",$L1908)))*120+(ISNUMBER(SEARCH("6",$L1908)))*80+(ISNUMBER(SEARCH("7",$L1908)))*40+(ISNUMBER(SEARCH("8",$L1908)))*40))</x:f>
        <x:v>0</x:v>
      </x:c>
      <x:c r="P1908" s="654" t="str">
        <x:f>IF($M1908&lt;&gt;"Mineral","",IF(ISNUMBER($N1908),$N1908,IF(OR(ISNUMBER(SEARCH("surface",$J1908)),ISNUMBER(SEARCH("reserv",$J1908)),ISNUMBER(SEARCH("less and except",$J1908))),0,"")))</x:f>
      </x:c>
      <x:c r="Q1908" s="654" t="str">
        <x:f>IF($P1908="","",-$P1908)</x:f>
      </x:c>
      <x:c r="R1908" s="655" t="str">
        <x:f>IF($P1908="","",$O1908*$P1908)</x:f>
      </x:c>
      <x:c r="S1908" s="552" t="str">
        <x:f>IF($M1908="","",TRIM(IF($M1908="Mineral",IF(ISNUMBER($N1908),"Mineral; basis Conv Amt(dec). ",IF($P1908=0,"Mineral; surface-only/reserved-&gt;0 min. ","Mineral; NO AMOUNT-verify instrument. ")),$M1908&amp;" (non-mineral; excluded from mineral NMA). ")&amp;IF(OR(ISNUMBER(SEARCH("public",$G1908)),ISNUMBER(SEARCH("public",$H1908))),"FLAG: The Public placeholder-verify. ","")&amp;IF(ISNUMBER(SEARCH("all",$L1908)),"All-section coverage. ","")&amp;IF($O1908=0,"Gross acres unresolved. ","")&amp;"Gross=tract-map basis."))</x:f>
        <x:v>Leasehold (non-mineral; excluded from mineral NMA). Gross acres unresolved. Gross=tract-map basis.</x:v>
      </x:c>
      <x:c r="T1908" s="577" t="n"/>
      <x:c r="U1908" s="578" t="n"/>
      <x:c r="V1908" s="565" t="n"/>
      <x:c r="W1908" s="565" t="n"/>
      <x:c r="X1908" s="565" t="n"/>
      <x:c r="Y1908" s="565" t="n"/>
      <x:c r="Z1908" s="565" t="n"/>
    </x:row>
    <x:row r="1909">
      <x:c r="A1909" s="552" t="inlineStr">
        <x:is>
          <x:t xml:space="preserve">2004-000880</x:t>
        </x:is>
      </x:c>
      <x:c r="B1909" s="552" t="n"/>
      <x:c r="C1909" s="552" t="inlineStr">
        <x:is>
          <x:t xml:space="preserve">Oil and Gas Lease</x:t>
        </x:is>
      </x:c>
      <x:c r="D1909" s="552" t="inlineStr">
        <x:is>
          <x:t xml:space="preserve">1737/580</x:t>
        </x:is>
      </x:c>
      <x:c r="E1909" s="653" t="n">
        <x:v>38032</x:v>
      </x:c>
      <x:c r="F1909" s="653" t="n">
        <x:v>38040</x:v>
      </x:c>
      <x:c r="G1909" s="552" t="inlineStr">
        <x:is>
          <x:t xml:space="preserve">Sandra Lorrain York
PO Box 34
Fort Cobb, OK 73038</x:t>
        </x:is>
      </x:c>
      <x:c r="H1909" s="552" t="inlineStr">
        <x:is>
          <x:t xml:space="preserve">Kodiak Production Company</x:t>
        </x:is>
      </x:c>
      <x:c r="I1909" s="552" t="inlineStr">
        <x:is>
          <x:t xml:space="preserve">Lots 1 and 2, N/2 of Lot 3 of 31-12N-24W</x:t>
        </x:is>
      </x:c>
      <x:c r="J1909" s="552" t="inlineStr">
        <x:is>
          <x:t xml:space="preserve">92.0850 gross acres
3 years
3/16ths royalty</x:t>
        </x:is>
      </x:c>
      <x:c r="K1909" s="554" t="e">
        <x:f>HYPERLINK("https://okcountyrecords.com/detail/roger+mills/2004-000880","OKCountyRecords: 2004-000880")</x:f>
      </x:c>
      <x:c r="L1909" s="552" t="inlineStr">
        <x:is>
          <x:t xml:space="preserve">All (1-8)</x:t>
        </x:is>
      </x:c>
      <x:c r="M1909" s="552" t="inlineStr">
        <x:is>
          <x:t xml:space="preserve">Leasehold</x:t>
        </x:is>
      </x:c>
      <x:c r="N1909" s="555" t="n"/>
      <x:c r="O1909" s="556" t="n">
        <x:f>IF($L1909="","",IF(ISNUMBER(SEARCH("all",$L1909)),640,(ISNUMBER(SEARCH("1",$L1909)))*80+(ISNUMBER(SEARCH("2",$L1909)))*160+(ISNUMBER(SEARCH("3",$L1909)))*40+(ISNUMBER(SEARCH("4",$L1909)))*80+(ISNUMBER(SEARCH("5",$L1909)))*120+(ISNUMBER(SEARCH("6",$L1909)))*80+(ISNUMBER(SEARCH("7",$L1909)))*40+(ISNUMBER(SEARCH("8",$L1909)))*40))</x:f>
        <x:v>640</x:v>
      </x:c>
      <x:c r="P1909" s="654" t="str">
        <x:f>IF($M1909&lt;&gt;"Mineral","",IF(ISNUMBER($N1909),$N1909,IF(OR(ISNUMBER(SEARCH("surface",$J1909)),ISNUMBER(SEARCH("reserv",$J1909)),ISNUMBER(SEARCH("less and except",$J1909))),0,"")))</x:f>
      </x:c>
      <x:c r="Q1909" s="654" t="str">
        <x:f>IF($P1909="","",-$P1909)</x:f>
      </x:c>
      <x:c r="R1909" s="655" t="str">
        <x:f>IF($P1909="","",$O1909*$P1909)</x:f>
      </x:c>
      <x:c r="S1909" s="552" t="str">
        <x:f>IF($M1909="","",TRIM(IF($M1909="Mineral",IF(ISNUMBER($N1909),"Mineral; basis Conv Amt(dec). ",IF($P1909=0,"Mineral; surface-only/reserved-&gt;0 min. ","Mineral; NO AMOUNT-verify instrument. ")),$M1909&amp;" (non-mineral; excluded from mineral NMA). ")&amp;IF(OR(ISNUMBER(SEARCH("public",$G1909)),ISNUMBER(SEARCH("public",$H1909))),"FLAG: The Public placeholder-verify. ","")&amp;IF(ISNUMBER(SEARCH("all",$L1909)),"All-section coverage. ","")&amp;IF($O1909=0,"Gross acres unresolved. ","")&amp;"Gross=tract-map basis."))</x:f>
        <x:v>Leasehold (non-mineral; excluded from mineral NMA). All-section coverage. Gross=tract-map basis.</x:v>
      </x:c>
      <x:c r="T1909" s="577" t="n"/>
      <x:c r="U1909" s="578" t="n"/>
      <x:c r="V1909" s="565" t="n"/>
      <x:c r="W1909" s="565" t="n"/>
      <x:c r="X1909" s="565" t="n"/>
      <x:c r="Y1909" s="565" t="n"/>
      <x:c r="Z1909" s="565" t="n"/>
    </x:row>
    <x:row r="1910">
      <x:c r="A1910" s="552" t="inlineStr">
        <x:is>
          <x:t xml:space="preserve">2004-003392</x:t>
        </x:is>
      </x:c>
      <x:c r="B1910" s="552" t="n"/>
      <x:c r="C1910" s="552" t="inlineStr">
        <x:is>
          <x:t xml:space="preserve">Assignment</x:t>
        </x:is>
      </x:c>
      <x:c r="D1910" s="552" t="inlineStr">
        <x:is>
          <x:t xml:space="preserve">1751/168</x:t>
        </x:is>
      </x:c>
      <x:c r="E1910" s="653" t="n">
        <x:v>38041</x:v>
      </x:c>
      <x:c r="F1910" s="653" t="n">
        <x:v>38168</x:v>
      </x:c>
      <x:c r="G1910" s="552" t="inlineStr">
        <x:is>
          <x:t xml:space="preserve">R. Michael Lortz
</x:t>
        </x:is>
      </x:c>
      <x:c r="H1910" s="552" t="inlineStr">
        <x:is>
          <x:t xml:space="preserve">Yale Oil Association, Inc.</x:t>
        </x:is>
      </x:c>
      <x:c r="I1910" s="552" t="inlineStr">
        <x:is>
          <x:t xml:space="preserve">Lots 1, 2, N/2 of Lot 3 of 31-12N-24W</x:t>
        </x:is>
      </x:c>
      <x:c r="J1910" s="552" t="inlineStr">
        <x:is>
          <x:t xml:space="preserve">ARTI in OGL at 1736/473</x:t>
        </x:is>
      </x:c>
      <x:c r="K1910" s="554" t="e">
        <x:f>HYPERLINK("https://okcountyrecords.com/detail/roger+mills/2004-003392","OKCountyRecords: 2004-003392")</x:f>
      </x:c>
      <x:c r="L1910" s="552" t="inlineStr">
        <x:is>
          <x:t xml:space="preserve">5, 6</x:t>
        </x:is>
      </x:c>
      <x:c r="M1910" s="552" t="inlineStr">
        <x:is>
          <x:t xml:space="preserve">Leasehold</x:t>
        </x:is>
      </x:c>
      <x:c r="N1910" s="555" t="n"/>
      <x:c r="O1910" s="556" t="n">
        <x:f>IF($L1910="","",IF(ISNUMBER(SEARCH("all",$L1910)),640,(ISNUMBER(SEARCH("1",$L1910)))*80+(ISNUMBER(SEARCH("2",$L1910)))*160+(ISNUMBER(SEARCH("3",$L1910)))*40+(ISNUMBER(SEARCH("4",$L1910)))*80+(ISNUMBER(SEARCH("5",$L1910)))*120+(ISNUMBER(SEARCH("6",$L1910)))*80+(ISNUMBER(SEARCH("7",$L1910)))*40+(ISNUMBER(SEARCH("8",$L1910)))*40))</x:f>
        <x:v>0</x:v>
      </x:c>
      <x:c r="P1910" s="654" t="str">
        <x:f>IF($M1910&lt;&gt;"Mineral","",IF(ISNUMBER($N1910),$N1910,IF(OR(ISNUMBER(SEARCH("surface",$J1910)),ISNUMBER(SEARCH("reserv",$J1910)),ISNUMBER(SEARCH("less and except",$J1910))),0,"")))</x:f>
      </x:c>
      <x:c r="Q1910" s="654" t="str">
        <x:f>IF($P1910="","",-$P1910)</x:f>
      </x:c>
      <x:c r="R1910" s="655" t="str">
        <x:f>IF($P1910="","",$O1910*$P1910)</x:f>
      </x:c>
      <x:c r="S1910" s="552" t="str">
        <x:f>IF($M1910="","",TRIM(IF($M1910="Mineral",IF(ISNUMBER($N1910),"Mineral; basis Conv Amt(dec). ",IF($P1910=0,"Mineral; surface-only/reserved-&gt;0 min. ","Mineral; NO AMOUNT-verify instrument. ")),$M1910&amp;" (non-mineral; excluded from mineral NMA). ")&amp;IF(OR(ISNUMBER(SEARCH("public",$G1910)),ISNUMBER(SEARCH("public",$H1910))),"FLAG: The Public placeholder-verify. ","")&amp;IF(ISNUMBER(SEARCH("all",$L1910)),"All-section coverage. ","")&amp;IF($O1910=0,"Gross acres unresolved. ","")&amp;"Gross=tract-map basis."))</x:f>
        <x:v>Leasehold (non-mineral; excluded from mineral NMA). Gross acres unresolved. Gross=tract-map basis.</x:v>
      </x:c>
      <x:c r="T1910" s="577" t="n"/>
      <x:c r="U1910" s="578" t="n"/>
      <x:c r="V1910" s="565" t="n"/>
      <x:c r="W1910" s="565" t="n"/>
      <x:c r="X1910" s="565" t="n"/>
      <x:c r="Y1910" s="565" t="n"/>
      <x:c r="Z1910" s="565" t="n"/>
    </x:row>
    <x:row r="1911">
      <x:c r="A1911" s="552" t="inlineStr">
        <x:is>
          <x:t xml:space="preserve">2004-001493</x:t>
        </x:is>
      </x:c>
      <x:c r="B1911" s="552" t="n"/>
      <x:c r="C1911" s="552" t="inlineStr">
        <x:is>
          <x:t xml:space="preserve">Assignment</x:t>
        </x:is>
      </x:c>
      <x:c r="D1911" s="552" t="inlineStr">
        <x:is>
          <x:t xml:space="preserve">1741/70</x:t>
        </x:is>
      </x:c>
      <x:c r="E1911" s="653" t="n">
        <x:v>38041</x:v>
      </x:c>
      <x:c r="F1911" s="653" t="n">
        <x:v>38071</x:v>
      </x:c>
      <x:c r="G1911" s="552" t="inlineStr">
        <x:is>
          <x:t xml:space="preserve">R. Michael Lortz
</x:t>
        </x:is>
      </x:c>
      <x:c r="H1911" s="552" t="inlineStr">
        <x:is>
          <x:t xml:space="preserve">Cirrus Production Company</x:t>
        </x:is>
      </x:c>
      <x:c r="I1911" s="552" t="inlineStr">
        <x:is>
          <x:t xml:space="preserve">E/2 NW/4, N/2 NE/4 SW/4, NE/4 SE/4, SE/4 NE/4 of 31-12N-24W</x:t>
        </x:is>
      </x:c>
      <x:c r="J1911" s="552" t="inlineStr">
        <x:is>
          <x:t xml:space="preserve">ARTI in OGL at 1736/485
Assignor reserves unto himself, his heirs, successors and assigns an overriding royalty interest equal to the difference between existing lease burdens and twenty-one percent (21.00%) of all oil, gas, casinghead gas, and other hydrocarbons, produced, saved, and sold from the lands covered by said lease, free of all costs to Assignor,
except applicable taxes. It is the intent of Assignor to deliver to Assignee a seventy-nine percent (79.00%) net revenue lease. If the interest herein assigned is less than the full and undivided leasehold estate in and to the lands covered by said lease, then the overriding royalty interest herein reserved shall be reduced proportionately.</x:t>
        </x:is>
      </x:c>
      <x:c r="K1911" s="554" t="e">
        <x:f>HYPERLINK("https://okcountyrecords.com/detail/roger+mills/2004-001493","OKCountyRecords: 2004-001493")</x:f>
      </x:c>
      <x:c r="L1911" s="552" t="inlineStr">
        <x:is>
          <x:t xml:space="preserve">1, 3, 4, 7, 8</x:t>
        </x:is>
      </x:c>
      <x:c r="M1911" s="552" t="inlineStr">
        <x:is>
          <x:t xml:space="preserve">Leasehold</x:t>
        </x:is>
      </x:c>
      <x:c r="N1911" s="561" t="n"/>
      <x:c r="O1911" s="556" t="n">
        <x:f>IF($L1911="","",IF(ISNUMBER(SEARCH("all",$L1911)),640,(ISNUMBER(SEARCH("1",$L1911)))*80+(ISNUMBER(SEARCH("2",$L1911)))*160+(ISNUMBER(SEARCH("3",$L1911)))*40+(ISNUMBER(SEARCH("4",$L1911)))*80+(ISNUMBER(SEARCH("5",$L1911)))*120+(ISNUMBER(SEARCH("6",$L1911)))*80+(ISNUMBER(SEARCH("7",$L1911)))*40+(ISNUMBER(SEARCH("8",$L1911)))*40))</x:f>
        <x:v>0</x:v>
      </x:c>
      <x:c r="P1911" s="654" t="str">
        <x:f>IF($M1911&lt;&gt;"Mineral","",IF(ISNUMBER($N1911),$N1911,IF(OR(ISNUMBER(SEARCH("surface",$J1911)),ISNUMBER(SEARCH("reserv",$J1911)),ISNUMBER(SEARCH("less and except",$J1911))),0,"")))</x:f>
      </x:c>
      <x:c r="Q1911" s="654" t="str">
        <x:f>IF($P1911="","",-$P1911)</x:f>
      </x:c>
      <x:c r="R1911" s="655" t="str">
        <x:f>IF($P1911="","",$O1911*$P1911)</x:f>
      </x:c>
      <x:c r="S1911" s="552" t="str">
        <x:f>IF($M1911="","",TRIM(IF($M1911="Mineral",IF(ISNUMBER($N1911),"Mineral; basis Conv Amt(dec). ",IF($P1911=0,"Mineral; surface-only/reserved-&gt;0 min. ","Mineral; NO AMOUNT-verify instrument. ")),$M1911&amp;" (non-mineral; excluded from mineral NMA). ")&amp;IF(OR(ISNUMBER(SEARCH("public",$G1911)),ISNUMBER(SEARCH("public",$H1911))),"FLAG: The Public placeholder-verify. ","")&amp;IF(ISNUMBER(SEARCH("all",$L1911)),"All-section coverage. ","")&amp;IF($O1911=0,"Gross acres unresolved. ","")&amp;"Gross=tract-map basis."))</x:f>
        <x:v>Leasehold (non-mineral; excluded from mineral NMA). Gross acres unresolved. Gross=tract-map basis.</x:v>
      </x:c>
      <x:c r="T1911" s="577" t="n"/>
      <x:c r="U1911" s="578" t="n"/>
      <x:c r="V1911" s="565" t="n"/>
      <x:c r="W1911" s="565" t="n"/>
      <x:c r="X1911" s="565" t="n"/>
      <x:c r="Y1911" s="565" t="n"/>
      <x:c r="Z1911" s="565" t="n"/>
    </x:row>
    <x:row r="1912">
      <x:c r="A1912" s="552" t="inlineStr">
        <x:is>
          <x:t xml:space="preserve">2004-001735</x:t>
        </x:is>
      </x:c>
      <x:c r="B1912" s="552" t="n"/>
      <x:c r="C1912" s="552" t="inlineStr">
        <x:is>
          <x:t xml:space="preserve">Affidavit of Termination of Join Tenancy</x:t>
        </x:is>
      </x:c>
      <x:c r="D1912" s="552" t="inlineStr">
        <x:is>
          <x:t xml:space="preserve">1742/271</x:t>
        </x:is>
      </x:c>
      <x:c r="E1912" s="653" t="n">
        <x:v>38078</x:v>
      </x:c>
      <x:c r="F1912" s="653" t="n">
        <x:v>38084</x:v>
      </x:c>
      <x:c r="G1912" s="552" t="inlineStr">
        <x:is>
          <x:t xml:space="preserve">Joe H. Britton</x:t>
        </x:is>
      </x:c>
      <x:c r="H1912" s="552" t="inlineStr">
        <x:is>
          <x:t xml:space="preserve">The Public
Re: Anna R. BRITTON, Deceased</x:t>
        </x:is>
      </x:c>
      <x:c r="I1912" s="552" t="inlineStr">
        <x:is>
          <x:t xml:space="preserve">E/2 NW/4, N/2 NE/4 SW/4, NE/4 SE/4, SE/4 NE/4 of 31-12N-24W, aol</x:t>
        </x:is>
      </x:c>
      <x:c r="J1912" s="552" t="inlineStr">
        <x:is>
          <x:t xml:space="preserve">An undivided 2.30769 mineral acres interest, deed was duly recorded on March 30, 1992, in Book 1267 at page 168 of the records of the County Clerk of Roger Mills County, Oklahoma. Anna R. Britton, same person as Anna Leta Britton, herein called "Decedent", died on February 15, 2004</x:t>
        </x:is>
      </x:c>
      <x:c r="K1912" s="554" t="e">
        <x:f>HYPERLINK("https://okcountyrecords.com/detail/roger+mills/2004-001735","OKCountyRecords: 2004-001735")</x:f>
      </x:c>
      <x:c r="L1912" s="552" t="inlineStr">
        <x:is>
          <x:t xml:space="preserve">1, 3, 4, 7, 8</x:t>
        </x:is>
      </x:c>
      <x:c r="M1912" s="552" t="inlineStr">
        <x:is>
          <x:t xml:space="preserve">Mineral</x:t>
        </x:is>
      </x:c>
      <x:c r="N1912" s="561" t="n">
        <x:f>2.30769/280</x:f>
        <x:v>0.00824175</x:v>
      </x:c>
      <x:c r="O1912" s="556" t="n">
        <x:f>IF($L1912="","",IF(ISNUMBER(SEARCH("all",$L1912)),640,(ISNUMBER(SEARCH("1",$L1912)))*80+(ISNUMBER(SEARCH("2",$L1912)))*160+(ISNUMBER(SEARCH("3",$L1912)))*40+(ISNUMBER(SEARCH("4",$L1912)))*80+(ISNUMBER(SEARCH("5",$L1912)))*120+(ISNUMBER(SEARCH("6",$L1912)))*80+(ISNUMBER(SEARCH("7",$L1912)))*40+(ISNUMBER(SEARCH("8",$L1912)))*40))</x:f>
        <x:v>0</x:v>
      </x:c>
      <x:c r="P1912" s="654" t="n">
        <x:f>IF($M1912&lt;&gt;"Mineral","",IF(ISNUMBER($N1912),$N1912,IF(OR(ISNUMBER(SEARCH("surface",$J1912)),ISNUMBER(SEARCH("reserv",$J1912)),ISNUMBER(SEARCH("less and except",$J1912))),0,"")))</x:f>
        <x:v>0.00824175</x:v>
      </x:c>
      <x:c r="Q1912" s="654" t="n">
        <x:f>IF($P1912="","",-$P1912)</x:f>
        <x:v>-0.00824175</x:v>
      </x:c>
      <x:c r="R1912" s="655" t="n">
        <x:f>IF($P1912="","",$O1912*$P1912)</x:f>
        <x:v>0</x:v>
      </x:c>
      <x:c r="S1912" s="552" t="str">
        <x:f>IF($M1912="","",TRIM(IF($M1912="Mineral",IF(ISNUMBER($N1912),"Mineral; basis Conv Amt(dec). ",IF($P1912=0,"Mineral; surface-only/reserved-&gt;0 min. ","Mineral; VERIFY — NEED full instrument image for conveyed amount. ")),$M1912&amp;" (non-mineral; excluded from mineral NMA). ")&amp;IF(OR(ISNUMBER(SEARCH("public",$G1912)),ISNUMBER(SEARCH("public",$H1912))),"FLAG: The Public placeholder; VERIFY — NEED source confirmation. ","")&amp;IF(ISNUMBER(SEARCH("all",$L1912)),"All-section coverage. ","")&amp;IF($O1912=0,"Gross acres unresolved. ","")&amp;"Gross=tract-map basis."))</x:f>
        <x:v>Mineral; basis Conv Amt(dec). FLAG: The Public placeholder; VERIFY — NEED source confirmation. Gross acres unresolved. Gross=tract-map basis.</x:v>
      </x:c>
      <x:c r="T1912" s="578" t="inlineStr">
        <x:is>
          <x:t xml:space="preserve">REVIEW</x:t>
        </x:is>
      </x:c>
      <x:c r="U1912" s="578" t="inlineStr">
        <x:is>
          <x:t xml:space="preserve">NEED: confirm conveyed mineral acreage from instrument image — named party present under 'The Public' (affidavit/notice); placeholder identity resolved.</x:t>
        </x:is>
      </x:c>
      <x:c r="V1912" s="565" t="n"/>
      <x:c r="W1912" s="565" t="n"/>
      <x:c r="X1912" s="565" t="n"/>
      <x:c r="Y1912" s="565" t="n"/>
      <x:c r="Z1912" s="565" t="n"/>
    </x:row>
    <x:row r="1913">
      <x:c r="A1913" s="552" t="inlineStr">
        <x:is>
          <x:t xml:space="preserve">2004-002491</x:t>
        </x:is>
      </x:c>
      <x:c r="B1913" s="552" t="n"/>
      <x:c r="C1913" s="552" t="inlineStr">
        <x:is>
          <x:t xml:space="preserve">Affidavit of Surviving Remainderman</x:t>
        </x:is>
      </x:c>
      <x:c r="D1913" s="552" t="inlineStr">
        <x:is>
          <x:t xml:space="preserve">1746/158</x:t>
        </x:is>
      </x:c>
      <x:c r="E1913" s="653" t="n">
        <x:v>38112</x:v>
      </x:c>
      <x:c r="F1913" s="653" t="n">
        <x:v>38121</x:v>
      </x:c>
      <x:c r="G1913" s="552" t="inlineStr">
        <x:is>
          <x:t xml:space="preserve">Peggy Brawner</x:t>
        </x:is>
      </x:c>
      <x:c r="H1913" s="552" t="inlineStr">
        <x:is>
          <x:t xml:space="preserve">The Public
RE: William Cobal Bain, Jr., deceased</x:t>
        </x:is>
      </x:c>
      <x:c r="I1913" s="552" t="inlineStr">
        <x:is>
          <x:t xml:space="preserve">NW/4 SE/4, S/2 SE/4, SW/4 NE/4 of 31-12N-24W, aol</x:t>
        </x:is>
      </x:c>
      <x:c r="J1913" s="552" t="inlineStr">
        <x:is>
          <x:t xml:space="preserve">Mineral deed was recorded in the records of the County Clerk of Roger Mills County, Oklahoma, in Book 1631, Page 416. There is attached hereto a certified copy of the death certificate of William Cobal Bain, Jr., deceased, issued by the State of Colorado, showing that the deceased life tenant died on the 26th day of October, 2003.</x:t>
        </x:is>
      </x:c>
      <x:c r="K1913" s="554" t="e">
        <x:f>HYPERLINK("https://okcountyrecords.com/detail/roger+mills/2004-002491","OKCountyRecords: 2004-002491")</x:f>
      </x:c>
      <x:c r="L1913" s="552" t="n">
        <x:v>2</x:v>
      </x:c>
      <x:c r="M1913" s="552" t="inlineStr">
        <x:is>
          <x:t xml:space="preserve">Mineral</x:t>
        </x:is>
      </x:c>
      <x:c r="N1913" s="555" t="n">
        <x:v>1</x:v>
      </x:c>
      <x:c r="O1913" s="556" t="n">
        <x:f>IF($L1913="","",IF(ISNUMBER(SEARCH("all",$L1913)),640,(ISNUMBER(SEARCH("1",$L1913)))*80+(ISNUMBER(SEARCH("2",$L1913)))*160+(ISNUMBER(SEARCH("3",$L1913)))*40+(ISNUMBER(SEARCH("4",$L1913)))*80+(ISNUMBER(SEARCH("5",$L1913)))*120+(ISNUMBER(SEARCH("6",$L1913)))*80+(ISNUMBER(SEARCH("7",$L1913)))*40+(ISNUMBER(SEARCH("8",$L1913)))*40))</x:f>
        <x:v>0</x:v>
      </x:c>
      <x:c r="P1913" s="654" t="n">
        <x:f>IF($M1913&lt;&gt;"Mineral","",IF(ISNUMBER($N1913),$N1913,IF(OR(ISNUMBER(SEARCH("surface",$J1913)),ISNUMBER(SEARCH("reserv",$J1913)),ISNUMBER(SEARCH("less and except",$J1913))),0,"")))</x:f>
        <x:v>1</x:v>
      </x:c>
      <x:c r="Q1913" s="654" t="n">
        <x:f>IF($P1913="","",-$P1913)</x:f>
        <x:v>-1</x:v>
      </x:c>
      <x:c r="R1913" s="655" t="n">
        <x:f>IF($P1913="","",$O1913*$P1913)</x:f>
        <x:v>0</x:v>
      </x:c>
      <x:c r="S1913" s="552" t="str">
        <x:f>IF($M1913="","",TRIM(IF($M1913="Mineral",IF(ISNUMBER($N1913),"Mineral; basis Conv Amt(dec). ",IF($P1913=0,"Mineral; surface-only/reserved-&gt;0 min. ","Mineral; VERIFY — NEED full instrument image for conveyed amount. ")),$M1913&amp;" (non-mineral; excluded from mineral NMA). ")&amp;IF(OR(ISNUMBER(SEARCH("public",$G1913)),ISNUMBER(SEARCH("public",$H1913))),"FLAG: The Public placeholder; VERIFY — NEED source confirmation. ","")&amp;IF(ISNUMBER(SEARCH("all",$L1913)),"All-section coverage. ","")&amp;IF($O1913=0,"Gross acres unresolved. ","")&amp;"Gross=tract-map basis."))</x:f>
        <x:v>Mineral; basis Conv Amt(dec). FLAG: The Public placeholder; VERIFY — NEED source confirmation. Gross acres unresolved. Gross=tract-map basis.</x:v>
      </x:c>
      <x:c r="T1913" s="578" t="inlineStr">
        <x:is>
          <x:t xml:space="preserve">REVIEW</x:t>
        </x:is>
      </x:c>
      <x:c r="U1913" s="578" t="inlineStr">
        <x:is>
          <x:t xml:space="preserve">NEED: confirm conveyed mineral acreage from instrument image — named party present under 'The Public' (affidavit/notice); placeholder identity resolved.</x:t>
        </x:is>
      </x:c>
      <x:c r="V1913" s="565" t="n"/>
      <x:c r="W1913" s="565" t="n"/>
      <x:c r="X1913" s="565" t="n"/>
      <x:c r="Y1913" s="565" t="n"/>
      <x:c r="Z1913" s="565" t="n"/>
    </x:row>
    <x:row r="1914">
      <x:c r="A1914" s="552" t="inlineStr">
        <x:is>
          <x:t xml:space="preserve">2004-002933</x:t>
        </x:is>
      </x:c>
      <x:c r="B1914" s="552" t="n"/>
      <x:c r="C1914" s="552" t="inlineStr">
        <x:is>
          <x:t xml:space="preserve">Assignment</x:t>
        </x:is>
      </x:c>
      <x:c r="D1914" s="552" t="inlineStr">
        <x:is>
          <x:t xml:space="preserve">1749/49</x:t>
        </x:is>
      </x:c>
      <x:c r="E1914" s="653" t="n">
        <x:v>38127</x:v>
      </x:c>
      <x:c r="F1914" s="653" t="n">
        <x:v>38145</x:v>
      </x:c>
      <x:c r="G1914" s="552" t="inlineStr">
        <x:is>
          <x:t xml:space="preserve">B. &amp; W. Exploration, Inc.
</x:t>
        </x:is>
      </x:c>
      <x:c r="H1914" s="552" t="inlineStr">
        <x:is>
          <x:t xml:space="preserve">R. Michael Lortz</x:t>
        </x:is>
      </x:c>
      <x:c r="I1914" s="552" t="inlineStr">
        <x:is>
          <x:t xml:space="preserve">N/2 NE/4, E/2 NW/4, E/2 SW/4, N/2 NE/4 SW/4, S/2 Lots 3, Lot 4, NE/4 SE/4, SE/4 NE/4 of 31-12N-24W</x:t>
        </x:is>
      </x:c>
      <x:c r="J1914" s="552" t="inlineStr">
        <x:is>
          <x:t xml:space="preserve">ARTI in OGLs at 1736/592, 1736/594, 1736/600, 1736/602,</x:t>
        </x:is>
      </x:c>
      <x:c r="K1914" s="554" t="e">
        <x:f>HYPERLINK("https://okcountyrecords.com/detail/roger+mills/2004-002933","OKCountyRecords: 2004-002933")</x:f>
      </x:c>
      <x:c r="L1914" s="552" t="inlineStr">
        <x:is>
          <x:t xml:space="preserve">1, 3, 4, 5, 6, 7, 8</x:t>
        </x:is>
      </x:c>
      <x:c r="M1914" s="552" t="inlineStr">
        <x:is>
          <x:t xml:space="preserve">Leasehold</x:t>
        </x:is>
      </x:c>
      <x:c r="N1914" s="561" t="n"/>
      <x:c r="O1914" s="556" t="n">
        <x:f>IF($L1914="","",IF(ISNUMBER(SEARCH("all",$L1914)),640,(ISNUMBER(SEARCH("1",$L1914)))*80+(ISNUMBER(SEARCH("2",$L1914)))*160+(ISNUMBER(SEARCH("3",$L1914)))*40+(ISNUMBER(SEARCH("4",$L1914)))*80+(ISNUMBER(SEARCH("5",$L1914)))*120+(ISNUMBER(SEARCH("6",$L1914)))*80+(ISNUMBER(SEARCH("7",$L1914)))*40+(ISNUMBER(SEARCH("8",$L1914)))*40))</x:f>
        <x:v>0</x:v>
      </x:c>
      <x:c r="P1914" s="654" t="str">
        <x:f>IF($M1914&lt;&gt;"Mineral","",IF(ISNUMBER($N1914),$N1914,IF(OR(ISNUMBER(SEARCH("surface",$J1914)),ISNUMBER(SEARCH("reserv",$J1914)),ISNUMBER(SEARCH("less and except",$J1914))),0,"")))</x:f>
      </x:c>
      <x:c r="Q1914" s="654" t="str">
        <x:f>IF($P1914="","",-$P1914)</x:f>
      </x:c>
      <x:c r="R1914" s="655" t="str">
        <x:f>IF($P1914="","",$O1914*$P1914)</x:f>
      </x:c>
      <x:c r="S1914" s="552" t="str">
        <x:f>IF($M1914="","",TRIM(IF($M1914="Mineral",IF(ISNUMBER($N1914),"Mineral; basis Conv Amt(dec). ",IF($P1914=0,"Mineral; surface-only/reserved-&gt;0 min. ","Mineral; NO AMOUNT-verify instrument. ")),$M1914&amp;" (non-mineral; excluded from mineral NMA). ")&amp;IF(OR(ISNUMBER(SEARCH("public",$G1914)),ISNUMBER(SEARCH("public",$H1914))),"FLAG: The Public placeholder-verify. ","")&amp;IF(ISNUMBER(SEARCH("all",$L1914)),"All-section coverage. ","")&amp;IF($O1914=0,"Gross acres unresolved. ","")&amp;"Gross=tract-map basis."))</x:f>
        <x:v>Leasehold (non-mineral; excluded from mineral NMA). Gross acres unresolved. Gross=tract-map basis.</x:v>
      </x:c>
      <x:c r="T1914" s="577" t="n"/>
      <x:c r="U1914" s="578" t="n"/>
      <x:c r="V1914" s="565" t="n"/>
      <x:c r="W1914" s="565" t="n"/>
      <x:c r="X1914" s="565" t="n"/>
      <x:c r="Y1914" s="565" t="n"/>
      <x:c r="Z1914" s="565" t="n"/>
    </x:row>
    <x:row r="1915">
      <x:c r="A1915" s="552" t="inlineStr">
        <x:is>
          <x:t xml:space="preserve">2004-002934</x:t>
        </x:is>
      </x:c>
      <x:c r="B1915" s="552" t="n"/>
      <x:c r="C1915" s="552" t="inlineStr">
        <x:is>
          <x:t xml:space="preserve">Assignment</x:t>
        </x:is>
      </x:c>
      <x:c r="D1915" s="552" t="inlineStr">
        <x:is>
          <x:t xml:space="preserve">1749/51</x:t>
        </x:is>
      </x:c>
      <x:c r="E1915" s="653" t="n">
        <x:v>38139</x:v>
      </x:c>
      <x:c r="F1915" s="653" t="n">
        <x:v>38145</x:v>
      </x:c>
      <x:c r="G1915" s="552" t="inlineStr">
        <x:is>
          <x:t xml:space="preserve">R. Michael Lortz
</x:t>
        </x:is>
      </x:c>
      <x:c r="H1915" s="552" t="inlineStr">
        <x:is>
          <x:t xml:space="preserve">Newfield Exploration Mid Cont, Inc.</x:t>
        </x:is>
      </x:c>
      <x:c r="I1915" s="552" t="inlineStr">
        <x:is>
          <x:t xml:space="preserve">N/2 NE/4, E/2 NW/4, E/2 SW/4, N/2 NE/4 SW/4, S/2 Lots 3, Lot 4, NE/4 SE/4, SE/4 NE/4 of 31-12N-24W</x:t>
        </x:is>
      </x:c>
      <x:c r="J1915" s="552" t="inlineStr">
        <x:is>
          <x:t xml:space="preserve">ARTI in OGLs at 1736/592, 1736/594, 1736/600, 1736/602,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reve lease. If the interest herein assigned is less than the full and undivided leasehold estate in and to the lands covered by said leases, then the overriding royalty interest herein reserved shall be reduced proportionately.</x:t>
        </x:is>
      </x:c>
      <x:c r="K1915" s="554" t="e">
        <x:f>HYPERLINK("https://okcountyrecords.com/detail/roger+mills/2004-002934","OKCountyRecords: 2004-002934")</x:f>
      </x:c>
      <x:c r="L1915" s="552" t="inlineStr">
        <x:is>
          <x:t xml:space="preserve">1, 3, 4, 5, 6, 7, 8</x:t>
        </x:is>
      </x:c>
      <x:c r="M1915" s="552" t="inlineStr">
        <x:is>
          <x:t xml:space="preserve">Leasehold</x:t>
        </x:is>
      </x:c>
      <x:c r="N1915" s="561" t="n"/>
      <x:c r="O1915" s="556" t="n">
        <x:f>IF($L1915="","",IF(ISNUMBER(SEARCH("all",$L1915)),640,(ISNUMBER(SEARCH("1",$L1915)))*80+(ISNUMBER(SEARCH("2",$L1915)))*160+(ISNUMBER(SEARCH("3",$L1915)))*40+(ISNUMBER(SEARCH("4",$L1915)))*80+(ISNUMBER(SEARCH("5",$L1915)))*120+(ISNUMBER(SEARCH("6",$L1915)))*80+(ISNUMBER(SEARCH("7",$L1915)))*40+(ISNUMBER(SEARCH("8",$L1915)))*40))</x:f>
        <x:v>0</x:v>
      </x:c>
      <x:c r="P1915" s="654" t="str">
        <x:f>IF($M1915&lt;&gt;"Mineral","",IF(ISNUMBER($N1915),$N1915,IF(OR(ISNUMBER(SEARCH("surface",$J1915)),ISNUMBER(SEARCH("reserv",$J1915)),ISNUMBER(SEARCH("less and except",$J1915))),0,"")))</x:f>
      </x:c>
      <x:c r="Q1915" s="654" t="str">
        <x:f>IF($P1915="","",-$P1915)</x:f>
      </x:c>
      <x:c r="R1915" s="655" t="str">
        <x:f>IF($P1915="","",$O1915*$P1915)</x:f>
      </x:c>
      <x:c r="S1915" s="552" t="str">
        <x:f>IF($M1915="","",TRIM(IF($M1915="Mineral",IF(ISNUMBER($N1915),"Mineral; basis Conv Amt(dec). ",IF($P1915=0,"Mineral; surface-only/reserved-&gt;0 min. ","Mineral; NO AMOUNT-verify instrument. ")),$M1915&amp;" (non-mineral; excluded from mineral NMA). ")&amp;IF(OR(ISNUMBER(SEARCH("public",$G1915)),ISNUMBER(SEARCH("public",$H1915))),"FLAG: The Public placeholder-verify. ","")&amp;IF(ISNUMBER(SEARCH("all",$L1915)),"All-section coverage. ","")&amp;IF($O1915=0,"Gross acres unresolved. ","")&amp;"Gross=tract-map basis."))</x:f>
        <x:v>Leasehold (non-mineral; excluded from mineral NMA). Gross acres unresolved. Gross=tract-map basis.</x:v>
      </x:c>
      <x:c r="T1915" s="577" t="n"/>
      <x:c r="U1915" s="578" t="n"/>
      <x:c r="V1915" s="565" t="n"/>
      <x:c r="W1915" s="565" t="n"/>
      <x:c r="X1915" s="565" t="n"/>
      <x:c r="Y1915" s="565" t="n"/>
      <x:c r="Z1915" s="565" t="n"/>
    </x:row>
    <x:row r="1916">
      <x:c r="A1916" s="552" t="inlineStr">
        <x:is>
          <x:t xml:space="preserve">2004-005686</x:t>
        </x:is>
      </x:c>
      <x:c r="B1916" s="552" t="n"/>
      <x:c r="C1916" s="552" t="inlineStr">
        <x:is>
          <x:t xml:space="preserve">Oil and Gas Lease</x:t>
        </x:is>
      </x:c>
      <x:c r="D1916" s="552" t="inlineStr">
        <x:is>
          <x:t xml:space="preserve">1764/122</x:t>
        </x:is>
      </x:c>
      <x:c r="E1916" s="653" t="n">
        <x:v>38251</x:v>
      </x:c>
      <x:c r="F1916" s="653" t="n">
        <x:v>38272</x:v>
      </x:c>
      <x:c r="G1916" s="552" t="inlineStr">
        <x:is>
          <x:t xml:space="preserve">Darrell E. Hamilton
1709 SW High, Apt. #1
Topeka, KS 66604
</x:t>
        </x:is>
      </x:c>
      <x:c r="H1916" s="552" t="inlineStr">
        <x:is>
          <x:t xml:space="preserve">R. Michael Lortz</x:t>
        </x:is>
      </x:c>
      <x:c r="I1916" s="552" t="inlineStr">
        <x:is>
          <x:t xml:space="preserve">NW/4 SE/4, S/2 SE/4, SW/4 NE/4 of 31-12N-24W</x:t>
        </x:is>
      </x:c>
      <x:c r="J1916" s="552" t="inlineStr">
        <x:is>
          <x:t xml:space="preserve">160 gross acres
3 yrs
3/16ths royalty</x:t>
        </x:is>
      </x:c>
      <x:c r="K1916" s="554" t="e">
        <x:f>HYPERLINK("https://okcountyrecords.com/detail/roger+mills/2004-005686","OKCountyRecords: 2004-005686")</x:f>
      </x:c>
      <x:c r="L1916" s="552" t="n">
        <x:v>2</x:v>
      </x:c>
      <x:c r="M1916" s="552" t="inlineStr">
        <x:is>
          <x:t xml:space="preserve">Leasehold</x:t>
        </x:is>
      </x:c>
      <x:c r="N1916" s="555" t="n"/>
      <x:c r="O1916" s="556" t="n">
        <x:f>IF($L1916="","",IF(ISNUMBER(SEARCH("all",$L1916)),640,(ISNUMBER(SEARCH("1",$L1916)))*80+(ISNUMBER(SEARCH("2",$L1916)))*160+(ISNUMBER(SEARCH("3",$L1916)))*40+(ISNUMBER(SEARCH("4",$L1916)))*80+(ISNUMBER(SEARCH("5",$L1916)))*120+(ISNUMBER(SEARCH("6",$L1916)))*80+(ISNUMBER(SEARCH("7",$L1916)))*40+(ISNUMBER(SEARCH("8",$L1916)))*40))</x:f>
        <x:v>0</x:v>
      </x:c>
      <x:c r="P1916" s="654" t="str">
        <x:f>IF($M1916&lt;&gt;"Mineral","",IF(ISNUMBER($N1916),$N1916,IF(OR(ISNUMBER(SEARCH("surface",$J1916)),ISNUMBER(SEARCH("reserv",$J1916)),ISNUMBER(SEARCH("less and except",$J1916))),0,"")))</x:f>
      </x:c>
      <x:c r="Q1916" s="654" t="str">
        <x:f>IF($P1916="","",-$P1916)</x:f>
      </x:c>
      <x:c r="R1916" s="655" t="str">
        <x:f>IF($P1916="","",$O1916*$P1916)</x:f>
      </x:c>
      <x:c r="S1916" s="552" t="str">
        <x:f>IF($M1916="","",TRIM(IF($M1916="Mineral",IF(ISNUMBER($N1916),"Mineral; basis Conv Amt(dec). ",IF($P1916=0,"Mineral; surface-only/reserved-&gt;0 min. ","Mineral; NO AMOUNT-verify instrument. ")),$M1916&amp;" (non-mineral; excluded from mineral NMA). ")&amp;IF(OR(ISNUMBER(SEARCH("public",$G1916)),ISNUMBER(SEARCH("public",$H1916))),"FLAG: The Public placeholder-verify. ","")&amp;IF(ISNUMBER(SEARCH("all",$L1916)),"All-section coverage. ","")&amp;IF($O1916=0,"Gross acres unresolved. ","")&amp;"Gross=tract-map basis."))</x:f>
        <x:v>Leasehold (non-mineral; excluded from mineral NMA). Gross acres unresolved. Gross=tract-map basis.</x:v>
      </x:c>
      <x:c r="T1916" s="577" t="n"/>
      <x:c r="U1916" s="578" t="n"/>
      <x:c r="V1916" s="565" t="n"/>
      <x:c r="W1916" s="565" t="n"/>
      <x:c r="X1916" s="565" t="n"/>
      <x:c r="Y1916" s="565" t="n"/>
      <x:c r="Z1916" s="565" t="n"/>
    </x:row>
    <x:row r="1917">
      <x:c r="A1917" s="552" t="inlineStr">
        <x:is>
          <x:t xml:space="preserve">2004-005687</x:t>
        </x:is>
      </x:c>
      <x:c r="B1917" s="552" t="n"/>
      <x:c r="C1917" s="552" t="inlineStr">
        <x:is>
          <x:t xml:space="preserve">Oil and Gas Lease</x:t>
        </x:is>
      </x:c>
      <x:c r="D1917" s="552" t="inlineStr">
        <x:is>
          <x:t xml:space="preserve">1764/124</x:t>
        </x:is>
      </x:c>
      <x:c r="E1917" s="653" t="n">
        <x:v>38251</x:v>
      </x:c>
      <x:c r="F1917" s="653" t="n">
        <x:v>38272</x:v>
      </x:c>
      <x:c r="G1917" s="552" t="inlineStr">
        <x:is>
          <x:t xml:space="preserve">Deeanne Browning
3510 West 2nd Street
Wichita, KS 67203
</x:t>
        </x:is>
      </x:c>
      <x:c r="H1917" s="552" t="inlineStr">
        <x:is>
          <x:t xml:space="preserve">R. Michael Lortz</x:t>
        </x:is>
      </x:c>
      <x:c r="I1917" s="552" t="inlineStr">
        <x:is>
          <x:t xml:space="preserve">NW/4 SE/4, S/2 SE/4, SW/4 NE/4 of 31-12N-24W</x:t>
        </x:is>
      </x:c>
      <x:c r="J1917" s="552" t="inlineStr">
        <x:is>
          <x:t xml:space="preserve">160 gross acres
3 yrs
3/16ths royalty</x:t>
        </x:is>
      </x:c>
      <x:c r="K1917" s="554" t="e">
        <x:f>HYPERLINK("https://okcountyrecords.com/detail/roger+mills/2004-005687","OKCountyRecords: 2004-005687")</x:f>
      </x:c>
      <x:c r="L1917" s="552" t="n">
        <x:v>2</x:v>
      </x:c>
      <x:c r="M1917" s="552" t="inlineStr">
        <x:is>
          <x:t xml:space="preserve">Leasehold</x:t>
        </x:is>
      </x:c>
      <x:c r="N1917" s="555" t="n"/>
      <x:c r="O1917" s="556" t="n">
        <x:f>IF($L1917="","",IF(ISNUMBER(SEARCH("all",$L1917)),640,(ISNUMBER(SEARCH("1",$L1917)))*80+(ISNUMBER(SEARCH("2",$L1917)))*160+(ISNUMBER(SEARCH("3",$L1917)))*40+(ISNUMBER(SEARCH("4",$L1917)))*80+(ISNUMBER(SEARCH("5",$L1917)))*120+(ISNUMBER(SEARCH("6",$L1917)))*80+(ISNUMBER(SEARCH("7",$L1917)))*40+(ISNUMBER(SEARCH("8",$L1917)))*40))</x:f>
        <x:v>0</x:v>
      </x:c>
      <x:c r="P1917" s="654" t="str">
        <x:f>IF($M1917&lt;&gt;"Mineral","",IF(ISNUMBER($N1917),$N1917,IF(OR(ISNUMBER(SEARCH("surface",$J1917)),ISNUMBER(SEARCH("reserv",$J1917)),ISNUMBER(SEARCH("less and except",$J1917))),0,"")))</x:f>
      </x:c>
      <x:c r="Q1917" s="654" t="str">
        <x:f>IF($P1917="","",-$P1917)</x:f>
      </x:c>
      <x:c r="R1917" s="655" t="str">
        <x:f>IF($P1917="","",$O1917*$P1917)</x:f>
      </x:c>
      <x:c r="S1917" s="552" t="str">
        <x:f>IF($M1917="","",TRIM(IF($M1917="Mineral",IF(ISNUMBER($N1917),"Mineral; basis Conv Amt(dec). ",IF($P1917=0,"Mineral; surface-only/reserved-&gt;0 min. ","Mineral; NO AMOUNT-verify instrument. ")),$M1917&amp;" (non-mineral; excluded from mineral NMA). ")&amp;IF(OR(ISNUMBER(SEARCH("public",$G1917)),ISNUMBER(SEARCH("public",$H1917))),"FLAG: The Public placeholder-verify. ","")&amp;IF(ISNUMBER(SEARCH("all",$L1917)),"All-section coverage. ","")&amp;IF($O1917=0,"Gross acres unresolved. ","")&amp;"Gross=tract-map basis."))</x:f>
        <x:v>Leasehold (non-mineral; excluded from mineral NMA). Gross acres unresolved. Gross=tract-map basis.</x:v>
      </x:c>
      <x:c r="T1917" s="577" t="n"/>
      <x:c r="U1917" s="578" t="n"/>
      <x:c r="V1917" s="565" t="n"/>
      <x:c r="W1917" s="565" t="n"/>
      <x:c r="X1917" s="565" t="n"/>
      <x:c r="Y1917" s="565" t="n"/>
      <x:c r="Z1917" s="565" t="n"/>
    </x:row>
    <x:row r="1918">
      <x:c r="A1918" s="552" t="inlineStr">
        <x:is>
          <x:t xml:space="preserve">2004-005689</x:t>
        </x:is>
      </x:c>
      <x:c r="B1918" s="552" t="n"/>
      <x:c r="C1918" s="552" t="inlineStr">
        <x:is>
          <x:t xml:space="preserve">Oil and Gas Lease</x:t>
        </x:is>
      </x:c>
      <x:c r="D1918" s="552" t="inlineStr">
        <x:is>
          <x:t xml:space="preserve">1764/128</x:t>
        </x:is>
      </x:c>
      <x:c r="E1918" s="653" t="n">
        <x:v>38251</x:v>
      </x:c>
      <x:c r="F1918" s="653" t="n">
        <x:v>38272</x:v>
      </x:c>
      <x:c r="G1918" s="552" t="inlineStr">
        <x:is>
          <x:t xml:space="preserve">Travis L. Smith
P. O. Box 129
Silver City, NM 88061</x:t>
        </x:is>
      </x:c>
      <x:c r="H1918" s="552" t="inlineStr">
        <x:is>
          <x:t xml:space="preserve">R. Michael Lortz</x:t>
        </x:is>
      </x:c>
      <x:c r="I1918" s="552" t="inlineStr">
        <x:is>
          <x:t xml:space="preserve">NW/4 SE/4, S/2 SE/4, SW/4 NE/4 of 31-12N-24W</x:t>
        </x:is>
      </x:c>
      <x:c r="J1918" s="552" t="inlineStr">
        <x:is>
          <x:t xml:space="preserve">160 gross acres
3 yrs
3/16ths royalty</x:t>
        </x:is>
      </x:c>
      <x:c r="K1918" s="554" t="e">
        <x:f>HYPERLINK("https://okcountyrecords.com/detail/roger+mills/2004-005689","OKCountyRecords: 2004-005689")</x:f>
      </x:c>
      <x:c r="L1918" s="552" t="inlineStr">
        <x:is>
          <x:t xml:space="preserve">2, 5</x:t>
        </x:is>
      </x:c>
      <x:c r="M1918" s="552" t="inlineStr">
        <x:is>
          <x:t xml:space="preserve">Leasehold</x:t>
        </x:is>
      </x:c>
      <x:c r="N1918" s="555" t="n"/>
      <x:c r="O1918" s="556" t="n">
        <x:f>IF($L1918="","",IF(ISNUMBER(SEARCH("all",$L1918)),640,(ISNUMBER(SEARCH("1",$L1918)))*80+(ISNUMBER(SEARCH("2",$L1918)))*160+(ISNUMBER(SEARCH("3",$L1918)))*40+(ISNUMBER(SEARCH("4",$L1918)))*80+(ISNUMBER(SEARCH("5",$L1918)))*120+(ISNUMBER(SEARCH("6",$L1918)))*80+(ISNUMBER(SEARCH("7",$L1918)))*40+(ISNUMBER(SEARCH("8",$L1918)))*40))</x:f>
        <x:v>0</x:v>
      </x:c>
      <x:c r="P1918" s="654" t="str">
        <x:f>IF($M1918&lt;&gt;"Mineral","",IF(ISNUMBER($N1918),$N1918,IF(OR(ISNUMBER(SEARCH("surface",$J1918)),ISNUMBER(SEARCH("reserv",$J1918)),ISNUMBER(SEARCH("less and except",$J1918))),0,"")))</x:f>
      </x:c>
      <x:c r="Q1918" s="654" t="str">
        <x:f>IF($P1918="","",-$P1918)</x:f>
      </x:c>
      <x:c r="R1918" s="655" t="str">
        <x:f>IF($P1918="","",$O1918*$P1918)</x:f>
      </x:c>
      <x:c r="S1918" s="552" t="str">
        <x:f>IF($M1918="","",TRIM(IF($M1918="Mineral",IF(ISNUMBER($N1918),"Mineral; basis Conv Amt(dec). ",IF($P1918=0,"Mineral; surface-only/reserved-&gt;0 min. ","Mineral; NO AMOUNT-verify instrument. ")),$M1918&amp;" (non-mineral; excluded from mineral NMA). ")&amp;IF(OR(ISNUMBER(SEARCH("public",$G1918)),ISNUMBER(SEARCH("public",$H1918))),"FLAG: The Public placeholder-verify. ","")&amp;IF(ISNUMBER(SEARCH("all",$L1918)),"All-section coverage. ","")&amp;IF($O1918=0,"Gross acres unresolved. ","")&amp;"Gross=tract-map basis."))</x:f>
        <x:v>Leasehold (non-mineral; excluded from mineral NMA). Gross acres unresolved. Gross=tract-map basis.</x:v>
      </x:c>
      <x:c r="T1918" s="577" t="n"/>
      <x:c r="U1918" s="578" t="n"/>
      <x:c r="V1918" s="565" t="n"/>
      <x:c r="W1918" s="565" t="n"/>
      <x:c r="X1918" s="565" t="n"/>
      <x:c r="Y1918" s="565" t="n"/>
      <x:c r="Z1918" s="565" t="n"/>
    </x:row>
    <x:row r="1919">
      <x:c r="A1919" s="552" t="inlineStr">
        <x:is>
          <x:t xml:space="preserve">2004-005738</x:t>
        </x:is>
      </x:c>
      <x:c r="B1919" s="552" t="n"/>
      <x:c r="C1919" s="552" t="inlineStr">
        <x:is>
          <x:t xml:space="preserve">Mineral Deed</x:t>
        </x:is>
      </x:c>
      <x:c r="D1919" s="552" t="inlineStr">
        <x:is>
          <x:t xml:space="preserve">1764/344</x:t>
        </x:is>
      </x:c>
      <x:c r="E1919" s="653" t="n">
        <x:v>38260</x:v>
      </x:c>
      <x:c r="F1919" s="653" t="n">
        <x:v>38274</x:v>
      </x:c>
      <x:c r="G1919" s="552" t="inlineStr">
        <x:is>
          <x:t xml:space="preserve">Sandra Lorraine York</x:t>
        </x:is>
      </x:c>
      <x:c r="H1919" s="552" t="inlineStr">
        <x:is>
          <x:t xml:space="preserve">Koala Production Company</x:t>
        </x:is>
      </x:c>
      <x:c r="I1919" s="552" t="inlineStr">
        <x:is>
          <x:t xml:space="preserve">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x:t>
        </x:is>
      </x:c>
      <x:c r="J1919" s="552" t="inlineStr">
        <x:is>
          <x:t xml:space="preserve">An undivided 10 acre mineral interest</x:t>
        </x:is>
      </x:c>
      <x:c r="K1919" s="554" t="e">
        <x:f>HYPERLINK("https://okcountyrecords.com/detail/roger+mills/2004-005738","OKCountyRecords: 2004-005738")</x:f>
      </x:c>
      <x:c r="L1919" s="552" t="inlineStr">
        <x:is>
          <x:t xml:space="preserve">4, 5, 6</x:t>
        </x:is>
      </x:c>
      <x:c r="M1919" s="552" t="inlineStr">
        <x:is>
          <x:t xml:space="preserve">Mineral</x:t>
        </x:is>
      </x:c>
      <x:c r="N1919" s="555" t="n">
        <x:f>10/280</x:f>
        <x:v>0.03571428571428571</x:v>
      </x:c>
      <x:c r="O1919" s="556" t="n">
        <x:f>IF($L1919="","",IF(ISNUMBER(SEARCH("all",$L1919)),640,(ISNUMBER(SEARCH("1",$L1919)))*80+(ISNUMBER(SEARCH("2",$L1919)))*160+(ISNUMBER(SEARCH("3",$L1919)))*40+(ISNUMBER(SEARCH("4",$L1919)))*80+(ISNUMBER(SEARCH("5",$L1919)))*120+(ISNUMBER(SEARCH("6",$L1919)))*80+(ISNUMBER(SEARCH("7",$L1919)))*40+(ISNUMBER(SEARCH("8",$L1919)))*40))</x:f>
        <x:v>0</x:v>
      </x:c>
      <x:c r="P1919" s="654" t="n">
        <x:f>IF($M1919&lt;&gt;"Mineral","",IF(ISNUMBER($N1919),$N1919,IF(OR(ISNUMBER(SEARCH("surface",$J1919)),ISNUMBER(SEARCH("reserv",$J1919)),ISNUMBER(SEARCH("less and except",$J1919))),0,"")))</x:f>
        <x:v>0.03571428571428571</x:v>
      </x:c>
      <x:c r="Q1919" s="654" t="n">
        <x:f>IF($P1919="","",-$P1919)</x:f>
        <x:v>-0.03571428571428571</x:v>
      </x:c>
      <x:c r="R1919" s="655" t="n">
        <x:f>IF($P1919="","",$O1919*$P1919)</x:f>
        <x:v>0</x:v>
      </x:c>
      <x:c r="S1919" s="552" t="str">
        <x:f>IF($M1919="","",TRIM(IF($M1919="Mineral",IF(ISNUMBER($N1919),"Mineral; basis Conv Amt(dec). ",IF($P1919=0,"Mineral; surface-only/reserved-&gt;0 min. ","Mineral; VERIFY — NEED full instrument image for conveyed amount. ")),$M1919&amp;" (non-mineral; excluded from mineral NMA). ")&amp;IF(OR(ISNUMBER(SEARCH("public",$G1919)),ISNUMBER(SEARCH("public",$H1919))),"FLAG: The Public placeholder; VERIFY — NEED source confirmation. ","")&amp;IF(ISNUMBER(SEARCH("all",$L1919)),"All-section coverage. ","")&amp;IF($O1919=0,"Gross acres unresolved. ","")&amp;"Gross=tract-map basis."))</x:f>
        <x:v>Mineral; basis Conv Amt(dec). Gross acres unresolved. Gross=tract-map basis.</x:v>
      </x:c>
      <x:c r="T1919" s="577" t="inlineStr">
        <x:is>
          <x:t xml:space="preserve">REVIEW</x:t>
        </x:is>
      </x:c>
      <x:c r="U1919" s="578" t="inlineStr">
        <x:is>
          <x:t xml:space="preserve">NEED: denominator / tract allocation for 10 NMA from instrument image</x:t>
        </x:is>
      </x:c>
      <x:c r="V1919" s="565" t="n"/>
      <x:c r="W1919" s="565" t="n"/>
      <x:c r="X1919" s="565" t="n"/>
      <x:c r="Y1919" s="565" t="n"/>
      <x:c r="Z1919" s="565" t="n"/>
    </x:row>
    <x:row r="1920">
      <x:c r="A1920" s="552" t="inlineStr">
        <x:is>
          <x:t xml:space="preserve">2004-005692</x:t>
        </x:is>
      </x:c>
      <x:c r="B1920" s="552" t="n"/>
      <x:c r="C1920" s="552" t="inlineStr">
        <x:is>
          <x:t xml:space="preserve">Assignment</x:t>
        </x:is>
      </x:c>
      <x:c r="D1920" s="552" t="inlineStr">
        <x:is>
          <x:t xml:space="preserve">1764/133</x:t>
        </x:is>
      </x:c>
      <x:c r="E1920" s="653" t="n">
        <x:v>38266</x:v>
      </x:c>
      <x:c r="F1920" s="653" t="n">
        <x:v>38272</x:v>
      </x:c>
      <x:c r="G1920" s="552" t="inlineStr">
        <x:is>
          <x:t xml:space="preserve">R. Michael Lortz</x:t>
        </x:is>
      </x:c>
      <x:c r="H1920" s="552" t="inlineStr">
        <x:is>
          <x:t xml:space="preserve">Panhandle Royalty Company</x:t>
        </x:is>
      </x:c>
      <x:c r="I1920" s="552" t="inlineStr">
        <x:is>
          <x:t xml:space="preserve">NW/4 SE/4, S/2 SE/4, SW/4 NE/4 of 31-12N-24W</x:t>
        </x:is>
      </x:c>
      <x:c r="J1920" s="552" t="inlineStr">
        <x:is>
          <x:t xml:space="preserve">ARTI in OGLs at 1764/122, 1764/124, 1764/126, 1764/128
Assignor reserves unto himself, his heirs, successors and assigns an overriding royalty interest equal to the difference between existing lease burdens and twenty-one percent (21.00%) of all oil, gas, casinghead gas, and other hydrocarbons, produced, saved, and sold from the lands covered by said lease, free of all costs to Assignor,
except applicable taxes. It is the intent of Assignor to deliver to Assignee a seventy-nine percent (79.00%) net revenue lease. If the interest herein assigned is less than the full and undivided leasehold estate in and to the lands covered by said lease, then the overriding royalty interest herein reserved shall be reduced proportionately.</x:t>
        </x:is>
      </x:c>
      <x:c r="K1920" s="554" t="e">
        <x:f>HYPERLINK("https://okcountyrecords.com/detail/roger+mills/2004-005692","OKCountyRecords: 2004-005692")</x:f>
      </x:c>
      <x:c r="L1920" s="552" t="n">
        <x:v>2</x:v>
      </x:c>
      <x:c r="M1920" s="552" t="inlineStr">
        <x:is>
          <x:t xml:space="preserve">Leasehold</x:t>
        </x:is>
      </x:c>
      <x:c r="N1920" s="555" t="n"/>
      <x:c r="O1920" s="556" t="n">
        <x:f>IF($L1920="","",IF(ISNUMBER(SEARCH("all",$L1920)),640,(ISNUMBER(SEARCH("1",$L1920)))*80+(ISNUMBER(SEARCH("2",$L1920)))*160+(ISNUMBER(SEARCH("3",$L1920)))*40+(ISNUMBER(SEARCH("4",$L1920)))*80+(ISNUMBER(SEARCH("5",$L1920)))*120+(ISNUMBER(SEARCH("6",$L1920)))*80+(ISNUMBER(SEARCH("7",$L1920)))*40+(ISNUMBER(SEARCH("8",$L1920)))*40))</x:f>
        <x:v>0</x:v>
      </x:c>
      <x:c r="P1920" s="654" t="str">
        <x:f>IF($M1920&lt;&gt;"Mineral","",IF(ISNUMBER($N1920),$N1920,IF(OR(ISNUMBER(SEARCH("surface",$J1920)),ISNUMBER(SEARCH("reserv",$J1920)),ISNUMBER(SEARCH("less and except",$J1920))),0,"")))</x:f>
      </x:c>
      <x:c r="Q1920" s="654" t="str">
        <x:f>IF($P1920="","",-$P1920)</x:f>
      </x:c>
      <x:c r="R1920" s="655" t="str">
        <x:f>IF($P1920="","",$O1920*$P1920)</x:f>
      </x:c>
      <x:c r="S1920" s="552" t="str">
        <x:f>IF($M1920="","",TRIM(IF($M1920="Mineral",IF(ISNUMBER($N1920),"Mineral; basis Conv Amt(dec). ",IF($P1920=0,"Mineral; surface-only/reserved-&gt;0 min. ","Mineral; NO AMOUNT-verify instrument. ")),$M1920&amp;" (non-mineral; excluded from mineral NMA). ")&amp;IF(OR(ISNUMBER(SEARCH("public",$G1920)),ISNUMBER(SEARCH("public",$H1920))),"FLAG: The Public placeholder-verify. ","")&amp;IF(ISNUMBER(SEARCH("all",$L1920)),"All-section coverage. ","")&amp;IF($O1920=0,"Gross acres unresolved. ","")&amp;"Gross=tract-map basis."))</x:f>
        <x:v>Leasehold (non-mineral; excluded from mineral NMA). Gross acres unresolved. Gross=tract-map basis.</x:v>
      </x:c>
      <x:c r="T1920" s="577" t="n"/>
      <x:c r="U1920" s="578" t="n"/>
      <x:c r="V1920" s="565" t="n"/>
      <x:c r="W1920" s="565" t="n"/>
      <x:c r="X1920" s="565" t="n"/>
      <x:c r="Y1920" s="565" t="n"/>
      <x:c r="Z1920" s="565" t="n"/>
    </x:row>
    <x:row r="1921">
      <x:c r="A1921" s="552" t="inlineStr">
        <x:is>
          <x:t xml:space="preserve">2004-005739</x:t>
        </x:is>
      </x:c>
      <x:c r="B1921" s="552" t="n"/>
      <x:c r="C1921" s="552" t="inlineStr">
        <x:is>
          <x:t xml:space="preserve">Mineral Deed</x:t>
        </x:is>
      </x:c>
      <x:c r="D1921" s="552" t="inlineStr">
        <x:is>
          <x:t xml:space="preserve">1764/345</x:t>
        </x:is>
      </x:c>
      <x:c r="E1921" s="653" t="n">
        <x:v>38267</x:v>
      </x:c>
      <x:c r="F1921" s="653" t="n">
        <x:v>38274</x:v>
      </x:c>
      <x:c r="G1921" s="552" t="inlineStr">
        <x:is>
          <x:t xml:space="preserve">Sandra Lorraine York</x:t>
        </x:is>
      </x:c>
      <x:c r="H1921" s="552" t="inlineStr">
        <x:is>
          <x:t xml:space="preserve">Koala Production Company</x:t>
        </x:is>
      </x:c>
      <x:c r="I1921" s="552" t="inlineStr">
        <x:is>
          <x:t xml:space="preserve">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x:t>
        </x:is>
      </x:c>
      <x:c r="J1921" s="552" t="inlineStr">
        <x:is>
          <x:t xml:space="preserve">An undivided 5 acre mineral interest</x:t>
        </x:is>
      </x:c>
      <x:c r="K1921" s="554" t="e">
        <x:f>HYPERLINK("https://okcountyrecords.com/detail/roger+mills/2004-005739","OKCountyRecords: 2004-005739")</x:f>
      </x:c>
      <x:c r="L1921" s="552" t="inlineStr">
        <x:is>
          <x:t xml:space="preserve">4, 5, 6</x:t>
        </x:is>
      </x:c>
      <x:c r="M1921" s="552" t="inlineStr">
        <x:is>
          <x:t xml:space="preserve">Mineral</x:t>
        </x:is>
      </x:c>
      <x:c r="N1921" s="555" t="n">
        <x:f>5/280</x:f>
        <x:v>0.017857142857142856</x:v>
      </x:c>
      <x:c r="O1921" s="556" t="n">
        <x:f>IF($L1921="","",IF(ISNUMBER(SEARCH("all",$L1921)),640,(ISNUMBER(SEARCH("1",$L1921)))*80+(ISNUMBER(SEARCH("2",$L1921)))*160+(ISNUMBER(SEARCH("3",$L1921)))*40+(ISNUMBER(SEARCH("4",$L1921)))*80+(ISNUMBER(SEARCH("5",$L1921)))*120+(ISNUMBER(SEARCH("6",$L1921)))*80+(ISNUMBER(SEARCH("7",$L1921)))*40+(ISNUMBER(SEARCH("8",$L1921)))*40))</x:f>
        <x:v>0</x:v>
      </x:c>
      <x:c r="P1921" s="654" t="n">
        <x:f>IF($M1921&lt;&gt;"Mineral","",IF(ISNUMBER($N1921),$N1921,IF(OR(ISNUMBER(SEARCH("surface",$J1921)),ISNUMBER(SEARCH("reserv",$J1921)),ISNUMBER(SEARCH("less and except",$J1921))),0,"")))</x:f>
        <x:v>0.017857142857142856</x:v>
      </x:c>
      <x:c r="Q1921" s="654" t="n">
        <x:f>IF($P1921="","",-$P1921)</x:f>
        <x:v>-0.017857142857142856</x:v>
      </x:c>
      <x:c r="R1921" s="655" t="n">
        <x:f>IF($P1921="","",$O1921*$P1921)</x:f>
        <x:v>0</x:v>
      </x:c>
      <x:c r="S1921" s="552" t="str">
        <x:f>IF($M1921="","",TRIM(IF($M1921="Mineral",IF(ISNUMBER($N1921),"Mineral; basis Conv Amt(dec). ",IF($P1921=0,"Mineral; surface-only/reserved-&gt;0 min. ","Mineral; VERIFY — NEED full instrument image for conveyed amount. ")),$M1921&amp;" (non-mineral; excluded from mineral NMA). ")&amp;IF(OR(ISNUMBER(SEARCH("public",$G1921)),ISNUMBER(SEARCH("public",$H1921))),"FLAG: The Public placeholder; VERIFY — NEED source confirmation. ","")&amp;IF(ISNUMBER(SEARCH("all",$L1921)),"All-section coverage. ","")&amp;IF($O1921=0,"Gross acres unresolved. ","")&amp;"Gross=tract-map basis."))</x:f>
        <x:v>Mineral; basis Conv Amt(dec). Gross acres unresolved. Gross=tract-map basis.</x:v>
      </x:c>
      <x:c r="T1921" s="577" t="inlineStr">
        <x:is>
          <x:t xml:space="preserve">REVIEW</x:t>
        </x:is>
      </x:c>
      <x:c r="U1921" s="578" t="inlineStr">
        <x:is>
          <x:t xml:space="preserve">NEED: denominator / tract allocation for 5 NMA from instrument image</x:t>
        </x:is>
      </x:c>
      <x:c r="V1921" s="565" t="n"/>
      <x:c r="W1921" s="565" t="n"/>
      <x:c r="X1921" s="565" t="n"/>
      <x:c r="Y1921" s="565" t="n"/>
      <x:c r="Z1921" s="565" t="n"/>
    </x:row>
    <x:row r="1922">
      <x:c r="A1922" s="552" t="inlineStr">
        <x:is>
          <x:t xml:space="preserve">2004-005901</x:t>
        </x:is>
      </x:c>
      <x:c r="B1922" s="552" t="n"/>
      <x:c r="C1922" s="552" t="inlineStr">
        <x:is>
          <x:t xml:space="preserve">Mineral Deed</x:t>
        </x:is>
      </x:c>
      <x:c r="D1922" s="552" t="inlineStr">
        <x:is>
          <x:t xml:space="preserve">1765/306</x:t>
        </x:is>
      </x:c>
      <x:c r="E1922" s="653" t="n">
        <x:v>38275</x:v>
      </x:c>
      <x:c r="F1922" s="653" t="n">
        <x:v>38281</x:v>
      </x:c>
      <x:c r="G1922" s="552" t="inlineStr">
        <x:is>
          <x:t xml:space="preserve">Aspen Energy Group, Inc.</x:t>
        </x:is>
      </x:c>
      <x:c r="H1922" s="552" t="inlineStr">
        <x:is>
          <x:t xml:space="preserve">Crusader Energy Corporation</x:t>
        </x:is>
      </x:c>
      <x:c r="I1922" s="552" t="inlineStr">
        <x:is>
          <x:t xml:space="preserve">E/2 NW/4, N/2 NE/4 SW/4, NE/4 SE/4, SE/4 NE/4 of 31-12N-24W, aol</x:t>
        </x:is>
      </x:c>
      <x:c r="J1922" s="552" t="inlineStr">
        <x:is>
          <x:t xml:space="preserve">ARTI</x:t>
        </x:is>
      </x:c>
      <x:c r="K1922" s="554" t="e">
        <x:f>HYPERLINK("https://okcountyrecords.com/detail/roger+mills/2004-005901","OKCountyRecords: 2004-005901")</x:f>
      </x:c>
      <x:c r="L1922" s="552" t="inlineStr">
        <x:is>
          <x:t xml:space="preserve">1, 3, 4, 7, 8</x:t>
        </x:is>
      </x:c>
      <x:c r="M1922" s="552" t="inlineStr">
        <x:is>
          <x:t xml:space="preserve">Mineral</x:t>
        </x:is>
      </x:c>
      <x:c r="N1922" s="561" t="n">
        <x:v>1</x:v>
      </x:c>
      <x:c r="O1922" s="556" t="n">
        <x:f>IF($L1922="","",IF(ISNUMBER(SEARCH("all",$L1922)),640,(ISNUMBER(SEARCH("1",$L1922)))*80+(ISNUMBER(SEARCH("2",$L1922)))*160+(ISNUMBER(SEARCH("3",$L1922)))*40+(ISNUMBER(SEARCH("4",$L1922)))*80+(ISNUMBER(SEARCH("5",$L1922)))*120+(ISNUMBER(SEARCH("6",$L1922)))*80+(ISNUMBER(SEARCH("7",$L1922)))*40+(ISNUMBER(SEARCH("8",$L1922)))*40))</x:f>
        <x:v>0</x:v>
      </x:c>
      <x:c r="P1922" s="654" t="n">
        <x:f>IF($M1922&lt;&gt;"Mineral","",IF(ISNUMBER($N1922),$N1922,IF(OR(ISNUMBER(SEARCH("surface",$J1922)),ISNUMBER(SEARCH("reserv",$J1922)),ISNUMBER(SEARCH("less and except",$J1922))),0,"")))</x:f>
        <x:v>1</x:v>
      </x:c>
      <x:c r="Q1922" s="654" t="n">
        <x:f>IF($P1922="","",-$P1922)</x:f>
        <x:v>-1</x:v>
      </x:c>
      <x:c r="R1922" s="655" t="n">
        <x:f>IF($P1922="","",$O1922*$P1922)</x:f>
        <x:v>0</x:v>
      </x:c>
      <x:c r="S1922" s="552" t="str">
        <x:f>IF($M1922="","",TRIM(IF($M1922="Mineral",IF(ISNUMBER($N1922),"Mineral; basis Conv Amt(dec). ",IF($P1922=0,"Mineral; surface-only/reserved-&gt;0 min. ","Mineral; NO AMOUNT-verify instrument. ")),$M1922&amp;" (non-mineral; excluded from mineral NMA). ")&amp;IF(OR(ISNUMBER(SEARCH("public",$G1922)),ISNUMBER(SEARCH("public",$H1922))),"FLAG: The Public placeholder-verify. ","")&amp;IF(ISNUMBER(SEARCH("all",$L1922)),"All-section coverage. ","")&amp;IF($O1922=0,"Gross acres unresolved. ","")&amp;"Gross=tract-map basis."))</x:f>
        <x:v>Mineral; basis Conv Amt(dec). Gross acres unresolved. Gross=tract-map basis.</x:v>
      </x:c>
      <x:c r="T1922" s="577" t="n"/>
      <x:c r="U1922" s="578" t="n"/>
      <x:c r="V1922" s="565" t="n"/>
      <x:c r="W1922" s="565" t="n"/>
      <x:c r="X1922" s="565" t="n"/>
      <x:c r="Y1922" s="565" t="n"/>
      <x:c r="Z1922" s="565" t="n"/>
    </x:row>
    <x:row r="1923">
      <x:c r="A1923" s="552" t="inlineStr">
        <x:is>
          <x:t xml:space="preserve">2008-006536</x:t>
        </x:is>
      </x:c>
      <x:c r="B1923" s="552" t="n"/>
      <x:c r="C1923" s="552" t="inlineStr">
        <x:is>
          <x:t xml:space="preserve">Mineral Deed</x:t>
        </x:is>
      </x:c>
      <x:c r="D1923" s="552" t="inlineStr">
        <x:is>
          <x:t xml:space="preserve">1937/418</x:t>
        </x:is>
      </x:c>
      <x:c r="E1923" s="653" t="n">
        <x:v>38286</x:v>
      </x:c>
      <x:c r="F1923" s="653" t="n">
        <x:v>39748</x:v>
      </x:c>
      <x:c r="G1923" s="552" t="inlineStr">
        <x:is>
          <x:t xml:space="preserve">Koala Production Company</x:t>
        </x:is>
      </x:c>
      <x:c r="H1923" s="552" t="inlineStr">
        <x:is>
          <x:t xml:space="preserve">Fleshman Agency, Inc.</x:t>
        </x:is>
      </x:c>
      <x:c r="I1923" s="552" t="inlineStr">
        <x:is>
          <x:t xml:space="preserve">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x:t>
        </x:is>
      </x:c>
      <x:c r="J1923" s="552" t="inlineStr">
        <x:is>
          <x:t xml:space="preserve">An undivided 5 acre mineral interest</x:t>
        </x:is>
      </x:c>
      <x:c r="K1923" s="554" t="e">
        <x:f>HYPERLINK("https://okcountyrecords.com/detail/roger+mills/2008-006536","OKCountyRecords: 2008-006536")</x:f>
      </x:c>
      <x:c r="L1923" s="552" t="inlineStr">
        <x:is>
          <x:t xml:space="preserve">4, 5, 6</x:t>
        </x:is>
      </x:c>
      <x:c r="M1923" s="552" t="inlineStr">
        <x:is>
          <x:t xml:space="preserve">Mineral</x:t>
        </x:is>
      </x:c>
      <x:c r="N1923" s="555" t="n">
        <x:f>5/280</x:f>
        <x:v>0.017857142857142856</x:v>
      </x:c>
      <x:c r="O1923" s="556" t="n">
        <x:f>IF($L1923="","",IF(ISNUMBER(SEARCH("all",$L1923)),640,(ISNUMBER(SEARCH("1",$L1923)))*80+(ISNUMBER(SEARCH("2",$L1923)))*160+(ISNUMBER(SEARCH("3",$L1923)))*40+(ISNUMBER(SEARCH("4",$L1923)))*80+(ISNUMBER(SEARCH("5",$L1923)))*120+(ISNUMBER(SEARCH("6",$L1923)))*80+(ISNUMBER(SEARCH("7",$L1923)))*40+(ISNUMBER(SEARCH("8",$L1923)))*40))</x:f>
        <x:v>0</x:v>
      </x:c>
      <x:c r="P1923" s="654" t="n">
        <x:f>IF($M1923&lt;&gt;"Mineral","",IF(ISNUMBER($N1923),$N1923,IF(OR(ISNUMBER(SEARCH("surface",$J1923)),ISNUMBER(SEARCH("reserv",$J1923)),ISNUMBER(SEARCH("less and except",$J1923))),0,"")))</x:f>
        <x:v>0.017857142857142856</x:v>
      </x:c>
      <x:c r="Q1923" s="654" t="n">
        <x:f>IF($P1923="","",-$P1923)</x:f>
        <x:v>-0.017857142857142856</x:v>
      </x:c>
      <x:c r="R1923" s="655" t="n">
        <x:f>IF($P1923="","",$O1923*$P1923)</x:f>
        <x:v>0</x:v>
      </x:c>
      <x:c r="S1923" s="552" t="str">
        <x:f>IF($M1923="","",TRIM(IF($M1923="Mineral",IF(ISNUMBER($N1923),"Mineral; basis Conv Amt(dec). ",IF($P1923=0,"Mineral; surface-only/reserved-&gt;0 min. ","Mineral; VERIFY — NEED full instrument image for conveyed amount. ")),$M1923&amp;" (non-mineral; excluded from mineral NMA). ")&amp;IF(OR(ISNUMBER(SEARCH("public",$G1923)),ISNUMBER(SEARCH("public",$H1923))),"FLAG: The Public placeholder; VERIFY — NEED source confirmation. ","")&amp;IF(ISNUMBER(SEARCH("all",$L1923)),"All-section coverage. ","")&amp;IF($O1923=0,"Gross acres unresolved. ","")&amp;"Gross=tract-map basis."))</x:f>
        <x:v>Mineral; basis Conv Amt(dec). Gross acres unresolved. Gross=tract-map basis.</x:v>
      </x:c>
      <x:c r="T1923" s="577" t="inlineStr">
        <x:is>
          <x:t xml:space="preserve">REVIEW</x:t>
        </x:is>
      </x:c>
      <x:c r="U1923" s="578" t="inlineStr">
        <x:is>
          <x:t xml:space="preserve">NEED: denominator / tract allocation for 5 NMA from instrument image</x:t>
        </x:is>
      </x:c>
      <x:c r="V1923" s="565" t="n"/>
      <x:c r="W1923" s="565" t="n"/>
      <x:c r="X1923" s="565" t="n"/>
      <x:c r="Y1923" s="565" t="n"/>
      <x:c r="Z1923" s="565" t="n"/>
    </x:row>
    <x:row r="1924">
      <x:c r="A1924" s="552" t="inlineStr">
        <x:is>
          <x:t xml:space="preserve">2004-006577</x:t>
        </x:is>
      </x:c>
      <x:c r="B1924" s="552" t="n"/>
      <x:c r="C1924" s="552" t="inlineStr">
        <x:is>
          <x:t xml:space="preserve">Mineral Deed</x:t>
        </x:is>
      </x:c>
      <x:c r="D1924" s="552" t="inlineStr">
        <x:is>
          <x:t xml:space="preserve">1768/339</x:t>
        </x:is>
      </x:c>
      <x:c r="E1924" s="653" t="n">
        <x:v>38292</x:v>
      </x:c>
      <x:c r="F1924" s="653" t="n">
        <x:v>38308</x:v>
      </x:c>
      <x:c r="G1924" s="552" t="inlineStr">
        <x:is>
          <x:t xml:space="preserve">Sandra York, aka Sandra Lorraine York, aka Sandra Lorrain York, Individually and as heir of Virgil Hambrook</x:t>
        </x:is>
      </x:c>
      <x:c r="H1924" s="552" t="inlineStr">
        <x:is>
          <x:t xml:space="preserve">Arrowhead Resources, Inc.</x:t>
        </x:is>
      </x:c>
      <x:c r="I1924" s="552" t="inlineStr">
        <x:is>
          <x:t xml:space="preserve">Lots 1 and 2 also described as the W/2 NW/4 and the N/2 of Lot 3 of 31-12N-24W</x:t>
        </x:is>
      </x:c>
      <x:c r="J1924" s="552" t="inlineStr">
        <x:is>
          <x:t xml:space="preserve">ARTI</x:t>
        </x:is>
      </x:c>
      <x:c r="K1924" s="554" t="e">
        <x:f>HYPERLINK("https://okcountyrecords.com/detail/roger+mills/2004-006577","OKCountyRecords: 2004-006577")</x:f>
      </x:c>
      <x:c r="L1924" s="552" t="inlineStr">
        <x:is>
          <x:t xml:space="preserve">5, 6</x:t>
        </x:is>
      </x:c>
      <x:c r="M1924" s="552" t="inlineStr">
        <x:is>
          <x:t xml:space="preserve">Mineral</x:t>
        </x:is>
      </x:c>
      <x:c r="N1924" s="555" t="n">
        <x:v>1</x:v>
      </x:c>
      <x:c r="O1924" s="556" t="n">
        <x:f>IF($L1924="","",IF(ISNUMBER(SEARCH("all",$L1924)),640,(ISNUMBER(SEARCH("1",$L1924)))*80+(ISNUMBER(SEARCH("2",$L1924)))*160+(ISNUMBER(SEARCH("3",$L1924)))*40+(ISNUMBER(SEARCH("4",$L1924)))*80+(ISNUMBER(SEARCH("5",$L1924)))*120+(ISNUMBER(SEARCH("6",$L1924)))*80+(ISNUMBER(SEARCH("7",$L1924)))*40+(ISNUMBER(SEARCH("8",$L1924)))*40))</x:f>
        <x:v>0</x:v>
      </x:c>
      <x:c r="P1924" s="654" t="n">
        <x:f>IF($M1924&lt;&gt;"Mineral","",IF(ISNUMBER($N1924),$N1924,IF(OR(ISNUMBER(SEARCH("surface",$J1924)),ISNUMBER(SEARCH("reserv",$J1924)),ISNUMBER(SEARCH("less and except",$J1924))),0,"")))</x:f>
        <x:v>1</x:v>
      </x:c>
      <x:c r="Q1924" s="654" t="n">
        <x:f>IF($P1924="","",-$P1924)</x:f>
        <x:v>-1</x:v>
      </x:c>
      <x:c r="R1924" s="655" t="n">
        <x:f>IF($P1924="","",$O1924*$P1924)</x:f>
        <x:v>0</x:v>
      </x:c>
      <x:c r="S1924" s="552" t="str">
        <x:f>IF($M1924="","",TRIM(IF($M1924="Mineral",IF(ISNUMBER($N1924),"Mineral; basis Conv Amt(dec). ",IF($P1924=0,"Mineral; surface-only/reserved-&gt;0 min. ","Mineral; NO AMOUNT-verify instrument. ")),$M1924&amp;" (non-mineral; excluded from mineral NMA). ")&amp;IF(OR(ISNUMBER(SEARCH("public",$G1924)),ISNUMBER(SEARCH("public",$H1924))),"FLAG: The Public placeholder-verify. ","")&amp;IF(ISNUMBER(SEARCH("all",$L1924)),"All-section coverage. ","")&amp;IF($O1924=0,"Gross acres unresolved. ","")&amp;"Gross=tract-map basis."))</x:f>
        <x:v>Mineral; basis Conv Amt(dec). Gross acres unresolved. Gross=tract-map basis.</x:v>
      </x:c>
      <x:c r="T1924" s="577" t="n"/>
      <x:c r="U1924" s="578" t="n"/>
      <x:c r="V1924" s="565" t="n"/>
      <x:c r="W1924" s="565" t="n"/>
      <x:c r="X1924" s="565" t="n"/>
      <x:c r="Y1924" s="565" t="n"/>
      <x:c r="Z1924" s="565" t="n"/>
    </x:row>
    <x:row r="1925">
      <x:c r="A1925" s="552" t="inlineStr">
        <x:is>
          <x:t xml:space="preserve">2005-000347</x:t>
        </x:is>
      </x:c>
      <x:c r="B1925" s="552" t="n"/>
      <x:c r="C1925" s="552" t="inlineStr">
        <x:is>
          <x:t xml:space="preserve">Blanket Deed and Conveyance</x:t>
        </x:is>
      </x:c>
      <x:c r="D1925" s="552" t="inlineStr">
        <x:is>
          <x:t xml:space="preserve">1775/296</x:t>
        </x:is>
      </x:c>
      <x:c r="E1925" s="653" t="n">
        <x:v>38338</x:v>
      </x:c>
      <x:c r="F1925" s="653" t="n">
        <x:v>38376</x:v>
      </x:c>
      <x:c r="G1925" s="552" t="inlineStr">
        <x:is>
          <x:t xml:space="preserve">The Estate of Barbara Fasken, by Robert Dickson and Norbert J. Dickman, Co-Personal Representatives</x:t>
        </x:is>
      </x:c>
      <x:c r="H1925" s="552" t="inlineStr">
        <x:is>
          <x:t xml:space="preserve">Fasken Land and Minerals, Ltd.</x:t>
        </x:is>
      </x:c>
      <x:c r="I1925" s="552" t="inlineStr">
        <x:is>
          <x:t xml:space="preserve">Lot 1, 2, N/2 of 3, NW/4 SE/4, S/2 SE/4, SW/4 NE/4 of 31-12N-24W, aol</x:t>
        </x:is>
      </x:c>
      <x:c r="J1925" s="552" t="inlineStr">
        <x:is>
          <x:t xml:space="preserve">ARTI</x:t>
        </x:is>
      </x:c>
      <x:c r="K1925" s="554" t="e">
        <x:f>HYPERLINK("https://okcountyrecords.com/detail/roger+mills/2005-000347","OKCountyRecords: 2005-000347")</x:f>
      </x:c>
      <x:c r="L1925" s="552" t="inlineStr">
        <x:is>
          <x:t xml:space="preserve">2, 5</x:t>
        </x:is>
      </x:c>
      <x:c r="M1925" s="552" t="inlineStr">
        <x:is>
          <x:t xml:space="preserve">Mineral</x:t>
        </x:is>
      </x:c>
      <x:c r="N1925" s="555" t="n">
        <x:v>1</x:v>
      </x:c>
      <x:c r="O1925" s="556" t="n">
        <x:f>IF($L1925="","",IF(ISNUMBER(SEARCH("all",$L1925)),640,(ISNUMBER(SEARCH("1",$L1925)))*80+(ISNUMBER(SEARCH("2",$L1925)))*160+(ISNUMBER(SEARCH("3",$L1925)))*40+(ISNUMBER(SEARCH("4",$L1925)))*80+(ISNUMBER(SEARCH("5",$L1925)))*120+(ISNUMBER(SEARCH("6",$L1925)))*80+(ISNUMBER(SEARCH("7",$L1925)))*40+(ISNUMBER(SEARCH("8",$L1925)))*40))</x:f>
        <x:v>0</x:v>
      </x:c>
      <x:c r="P1925" s="654" t="n">
        <x:f>IF($M1925&lt;&gt;"Mineral","",IF(ISNUMBER($N1925),$N1925,IF(OR(ISNUMBER(SEARCH("surface",$J1925)),ISNUMBER(SEARCH("reserv",$J1925)),ISNUMBER(SEARCH("less and except",$J1925))),0,"")))</x:f>
        <x:v>1</x:v>
      </x:c>
      <x:c r="Q1925" s="654" t="n">
        <x:f>IF($P1925="","",-$P1925)</x:f>
        <x:v>-1</x:v>
      </x:c>
      <x:c r="R1925" s="655" t="n">
        <x:f>IF($P1925="","",$O1925*$P1925)</x:f>
        <x:v>0</x:v>
      </x:c>
      <x:c r="S1925" s="552" t="str">
        <x:f>IF($M1925="","",TRIM(IF($M1925="Mineral",IF(ISNUMBER($N1925),"Mineral; basis Conv Amt(dec). ",IF($P1925=0,"Mineral; surface-only/reserved-&gt;0 min. ","Mineral; NO AMOUNT-verify instrument. ")),$M1925&amp;" (non-mineral; excluded from mineral NMA). ")&amp;IF(OR(ISNUMBER(SEARCH("public",$G1925)),ISNUMBER(SEARCH("public",$H1925))),"FLAG: The Public placeholder-verify. ","")&amp;IF(ISNUMBER(SEARCH("all",$L1925)),"All-section coverage. ","")&amp;IF($O1925=0,"Gross acres unresolved. ","")&amp;"Gross=tract-map basis."))</x:f>
        <x:v>Mineral; basis Conv Amt(dec). Gross acres unresolved. Gross=tract-map basis.</x:v>
      </x:c>
      <x:c r="T1925" s="578" t="n"/>
      <x:c r="U1925" s="578" t="n"/>
      <x:c r="V1925" s="565" t="n"/>
      <x:c r="W1925" s="565" t="n"/>
      <x:c r="X1925" s="565" t="n"/>
      <x:c r="Y1925" s="565" t="n"/>
      <x:c r="Z1925" s="565" t="n"/>
    </x:row>
    <x:row r="1926">
      <x:c r="A1926" s="552" t="inlineStr">
        <x:is>
          <x:t xml:space="preserve">2005-000158</x:t>
        </x:is>
      </x:c>
      <x:c r="B1926" s="552" t="n"/>
      <x:c r="C1926" s="552" t="inlineStr">
        <x:is>
          <x:t xml:space="preserve">Mineral Deed</x:t>
        </x:is>
      </x:c>
      <x:c r="D1926" s="552" t="inlineStr">
        <x:is>
          <x:t xml:space="preserve">1774/309</x:t>
        </x:is>
      </x:c>
      <x:c r="E1926" s="653" t="n">
        <x:v>38362</x:v>
      </x:c>
      <x:c r="F1926" s="653" t="n">
        <x:v>38365</x:v>
      </x:c>
      <x:c r="G1926" s="552" t="inlineStr">
        <x:is>
          <x:t xml:space="preserve">Minion Investment Co,
Brian L. Rice</x:t>
        </x:is>
      </x:c>
      <x:c r="H1926" s="552" t="inlineStr">
        <x:is>
          <x:t xml:space="preserve">Prism Energy, Inc.</x:t>
        </x:is>
      </x:c>
      <x:c r="I1926" s="552" t="inlineStr">
        <x:is>
          <x:t xml:space="preserve">E/2 NW/4, N/2 NE/4 SW/4, NE/4 SE/4, SE/4 NE/4 of 31-12N-24W, aol</x:t>
        </x:is>
      </x:c>
      <x:c r="J1926" s="552" t="inlineStr">
        <x:is>
          <x:t xml:space="preserve">ARTI (.69 net acre interest in 31-12N-24W)</x:t>
        </x:is>
      </x:c>
      <x:c r="K1926" s="554" t="e">
        <x:f>HYPERLINK("https://okcountyrecords.com/detail/roger+mills/2005-000158","OKCountyRecords: 2005-000158")</x:f>
      </x:c>
      <x:c r="L1926" s="552" t="inlineStr">
        <x:is>
          <x:t xml:space="preserve">1, 3, 4, 7, 8</x:t>
        </x:is>
      </x:c>
      <x:c r="M1926" s="552" t="inlineStr">
        <x:is>
          <x:t xml:space="preserve">Mineral</x:t>
        </x:is>
      </x:c>
      <x:c r="N1926" s="561" t="n">
        <x:v>1</x:v>
      </x:c>
      <x:c r="O1926" s="556" t="n">
        <x:f>IF($L1926="","",IF(ISNUMBER(SEARCH("all",$L1926)),640,(ISNUMBER(SEARCH("1",$L1926)))*80+(ISNUMBER(SEARCH("2",$L1926)))*160+(ISNUMBER(SEARCH("3",$L1926)))*40+(ISNUMBER(SEARCH("4",$L1926)))*80+(ISNUMBER(SEARCH("5",$L1926)))*120+(ISNUMBER(SEARCH("6",$L1926)))*80+(ISNUMBER(SEARCH("7",$L1926)))*40+(ISNUMBER(SEARCH("8",$L1926)))*40))</x:f>
        <x:v>0</x:v>
      </x:c>
      <x:c r="P1926" s="654" t="n">
        <x:f>IF($M1926&lt;&gt;"Mineral","",IF(ISNUMBER($N1926),$N1926,IF(OR(ISNUMBER(SEARCH("surface",$J1926)),ISNUMBER(SEARCH("reserv",$J1926)),ISNUMBER(SEARCH("less and except",$J1926))),0,"")))</x:f>
        <x:v>1</x:v>
      </x:c>
      <x:c r="Q1926" s="654" t="n">
        <x:f>IF($P1926="","",-$P1926)</x:f>
        <x:v>-1</x:v>
      </x:c>
      <x:c r="R1926" s="655" t="n">
        <x:f>IF($P1926="","",$O1926*$P1926)</x:f>
        <x:v>0</x:v>
      </x:c>
      <x:c r="S1926" s="552" t="str">
        <x:f>IF($M1926="","",TRIM(IF($M1926="Mineral",IF(ISNUMBER($N1926),"Mineral; basis Conv Amt(dec). ",IF($P1926=0,"Mineral; surface-only/reserved-&gt;0 min. ","Mineral; NO AMOUNT-verify instrument. ")),$M1926&amp;" (non-mineral; excluded from mineral NMA). ")&amp;IF(OR(ISNUMBER(SEARCH("public",$G1926)),ISNUMBER(SEARCH("public",$H1926))),"FLAG: The Public placeholder-verify. ","")&amp;IF(ISNUMBER(SEARCH("all",$L1926)),"All-section coverage. ","")&amp;IF($O1926=0,"Gross acres unresolved. ","")&amp;"Gross=tract-map basis."))</x:f>
        <x:v>Mineral; basis Conv Amt(dec). Gross acres unresolved. Gross=tract-map basis.</x:v>
      </x:c>
      <x:c r="T1926" s="578" t="n"/>
      <x:c r="U1926" s="578" t="n"/>
      <x:c r="V1926" s="565" t="n"/>
      <x:c r="W1926" s="565" t="n"/>
      <x:c r="X1926" s="565" t="n"/>
      <x:c r="Y1926" s="565" t="n"/>
      <x:c r="Z1926" s="565" t="n"/>
    </x:row>
    <x:row r="1927">
      <x:c r="A1927" s="552" t="inlineStr">
        <x:is>
          <x:t xml:space="preserve">2005-001365</x:t>
        </x:is>
      </x:c>
      <x:c r="B1927" s="552" t="n"/>
      <x:c r="C1927" s="552" t="inlineStr">
        <x:is>
          <x:t xml:space="preserve">Oil and Gas Lease</x:t>
        </x:is>
      </x:c>
      <x:c r="D1927" s="552" t="inlineStr">
        <x:is>
          <x:t xml:space="preserve">1780/409</x:t>
        </x:is>
      </x:c>
      <x:c r="E1927" s="653" t="n">
        <x:v>38407</x:v>
      </x:c>
      <x:c r="F1927" s="653" t="n">
        <x:v>38420</x:v>
      </x:c>
      <x:c r="G1927" s="552" t="inlineStr">
        <x:is>
          <x:t xml:space="preserve">Jesse W. Fuchs, a single person
13053 Maguire Road
Noble, OK 73068
</x:t>
        </x:is>
      </x:c>
      <x:c r="H1927" s="552" t="inlineStr">
        <x:is>
          <x:t xml:space="preserve">N/G Discovery, LLC</x:t>
        </x:is>
      </x:c>
      <x:c r="I1927" s="552" t="inlineStr">
        <x:is>
          <x:t xml:space="preserve">NW/4 SE/4, S/2 SE/4, SW/4 NE/4 of 31-12N-24W</x:t>
        </x:is>
      </x:c>
      <x:c r="J1927" s="552" t="inlineStr">
        <x:is>
          <x:t xml:space="preserve">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x:t>
        </x:is>
      </x:c>
      <x:c r="K1927" s="554" t="e">
        <x:f>HYPERLINK("https://okcountyrecords.com/detail/roger+mills/2005-001365","OKCountyRecords: 2005-001365")</x:f>
      </x:c>
      <x:c r="L1927" s="552" t="n">
        <x:v>2</x:v>
      </x:c>
      <x:c r="M1927" s="552" t="inlineStr">
        <x:is>
          <x:t xml:space="preserve">Leasehold</x:t>
        </x:is>
      </x:c>
      <x:c r="N1927" s="555" t="n"/>
      <x:c r="O1927" s="556" t="n">
        <x:f>IF($L1927="","",IF(ISNUMBER(SEARCH("all",$L1927)),640,(ISNUMBER(SEARCH("1",$L1927)))*80+(ISNUMBER(SEARCH("2",$L1927)))*160+(ISNUMBER(SEARCH("3",$L1927)))*40+(ISNUMBER(SEARCH("4",$L1927)))*80+(ISNUMBER(SEARCH("5",$L1927)))*120+(ISNUMBER(SEARCH("6",$L1927)))*80+(ISNUMBER(SEARCH("7",$L1927)))*40+(ISNUMBER(SEARCH("8",$L1927)))*40))</x:f>
        <x:v>0</x:v>
      </x:c>
      <x:c r="P1927" s="654" t="str">
        <x:f>IF($M1927&lt;&gt;"Mineral","",IF(ISNUMBER($N1927),$N1927,IF(OR(ISNUMBER(SEARCH("surface",$J1927)),ISNUMBER(SEARCH("reserv",$J1927)),ISNUMBER(SEARCH("less and except",$J1927))),0,"")))</x:f>
      </x:c>
      <x:c r="Q1927" s="654" t="str">
        <x:f>IF($P1927="","",-$P1927)</x:f>
      </x:c>
      <x:c r="R1927" s="655" t="str">
        <x:f>IF($P1927="","",$O1927*$P1927)</x:f>
      </x:c>
      <x:c r="S1927" s="552" t="str">
        <x:f>IF($M1927="","",TRIM(IF($M1927="Mineral",IF(ISNUMBER($N1927),"Mineral; basis Conv Amt(dec). ",IF($P1927=0,"Mineral; surface-only/reserved-&gt;0 min. ","Mineral; NO AMOUNT-verify instrument. ")),$M1927&amp;" (non-mineral; excluded from mineral NMA). ")&amp;IF(OR(ISNUMBER(SEARCH("public",$G1927)),ISNUMBER(SEARCH("public",$H1927))),"FLAG: The Public placeholder-verify. ","")&amp;IF(ISNUMBER(SEARCH("all",$L1927)),"All-section coverage. ","")&amp;IF($O1927=0,"Gross acres unresolved. ","")&amp;"Gross=tract-map basis."))</x:f>
        <x:v>Leasehold (non-mineral; excluded from mineral NMA). Gross acres unresolved. Gross=tract-map basis.</x:v>
      </x:c>
      <x:c r="T1927" s="577" t="n"/>
      <x:c r="U1927" s="578" t="n"/>
      <x:c r="V1927" s="565" t="n"/>
      <x:c r="W1927" s="565" t="n"/>
      <x:c r="X1927" s="565" t="n"/>
      <x:c r="Y1927" s="565" t="n"/>
      <x:c r="Z1927" s="565" t="n"/>
    </x:row>
    <x:row r="1928">
      <x:c r="A1928" s="552" t="inlineStr">
        <x:is>
          <x:t xml:space="preserve">2005-001688</x:t>
        </x:is>
      </x:c>
      <x:c r="B1928" s="552" t="n"/>
      <x:c r="C1928" s="552" t="inlineStr">
        <x:is>
          <x:t xml:space="preserve">Oil and Gas Lease</x:t>
        </x:is>
      </x:c>
      <x:c r="D1928" s="552" t="inlineStr">
        <x:is>
          <x:t xml:space="preserve">1782/261</x:t>
        </x:is>
      </x:c>
      <x:c r="E1928" s="653" t="n">
        <x:v>38408</x:v>
      </x:c>
      <x:c r="F1928" s="653" t="n">
        <x:v>38432</x:v>
      </x:c>
      <x:c r="G1928" s="552" t="inlineStr">
        <x:is>
          <x:t xml:space="preserve">Isa May Smith, a married woman dealing in her sole separate property
Route 1, Box 233
Macomb, OK 74852 </x:t>
        </x:is>
      </x:c>
      <x:c r="H1928" s="552" t="inlineStr">
        <x:is>
          <x:t xml:space="preserve">N/G Discovery, LLC</x:t>
        </x:is>
      </x:c>
      <x:c r="I1928" s="552" t="inlineStr">
        <x:is>
          <x:t xml:space="preserve">NW/4 SE/4, S/2 SE/4, SW/4 NE/4 of 31-12N-24W</x:t>
        </x:is>
      </x:c>
      <x:c r="J1928" s="552" t="inlineStr">
        <x:is>
          <x:t xml:space="preserve">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x:t>
        </x:is>
      </x:c>
      <x:c r="K1928" s="554" t="e">
        <x:f>HYPERLINK("https://okcountyrecords.com/detail/roger+mills/2005-001688","OKCountyRecords: 2005-001688")</x:f>
      </x:c>
      <x:c r="L1928" s="552" t="n">
        <x:v>2</x:v>
      </x:c>
      <x:c r="M1928" s="552" t="inlineStr">
        <x:is>
          <x:t xml:space="preserve">Leasehold</x:t>
        </x:is>
      </x:c>
      <x:c r="N1928" s="555" t="n"/>
      <x:c r="O1928" s="556" t="n">
        <x:f>IF($L1928="","",IF(ISNUMBER(SEARCH("all",$L1928)),640,(ISNUMBER(SEARCH("1",$L1928)))*80+(ISNUMBER(SEARCH("2",$L1928)))*160+(ISNUMBER(SEARCH("3",$L1928)))*40+(ISNUMBER(SEARCH("4",$L1928)))*80+(ISNUMBER(SEARCH("5",$L1928)))*120+(ISNUMBER(SEARCH("6",$L1928)))*80+(ISNUMBER(SEARCH("7",$L1928)))*40+(ISNUMBER(SEARCH("8",$L1928)))*40))</x:f>
        <x:v>0</x:v>
      </x:c>
      <x:c r="P1928" s="654" t="str">
        <x:f>IF($M1928&lt;&gt;"Mineral","",IF(ISNUMBER($N1928),$N1928,IF(OR(ISNUMBER(SEARCH("surface",$J1928)),ISNUMBER(SEARCH("reserv",$J1928)),ISNUMBER(SEARCH("less and except",$J1928))),0,"")))</x:f>
      </x:c>
      <x:c r="Q1928" s="654" t="str">
        <x:f>IF($P1928="","",-$P1928)</x:f>
      </x:c>
      <x:c r="R1928" s="655" t="str">
        <x:f>IF($P1928="","",$O1928*$P1928)</x:f>
      </x:c>
      <x:c r="S1928" s="552" t="str">
        <x:f>IF($M1928="","",TRIM(IF($M1928="Mineral",IF(ISNUMBER($N1928),"Mineral; basis Conv Amt(dec). ",IF($P1928=0,"Mineral; surface-only/reserved-&gt;0 min. ","Mineral; NO AMOUNT-verify instrument. ")),$M1928&amp;" (non-mineral; excluded from mineral NMA). ")&amp;IF(OR(ISNUMBER(SEARCH("public",$G1928)),ISNUMBER(SEARCH("public",$H1928))),"FLAG: The Public placeholder-verify. ","")&amp;IF(ISNUMBER(SEARCH("all",$L1928)),"All-section coverage. ","")&amp;IF($O1928=0,"Gross acres unresolved. ","")&amp;"Gross=tract-map basis."))</x:f>
        <x:v>Leasehold (non-mineral; excluded from mineral NMA). Gross acres unresolved. Gross=tract-map basis.</x:v>
      </x:c>
      <x:c r="T1928" s="577" t="n"/>
      <x:c r="U1928" s="578" t="n"/>
      <x:c r="V1928" s="565" t="n"/>
      <x:c r="W1928" s="565" t="n"/>
      <x:c r="X1928" s="565" t="n"/>
      <x:c r="Y1928" s="565" t="n"/>
      <x:c r="Z1928" s="565" t="n"/>
    </x:row>
    <x:row r="1929">
      <x:c r="A1929" s="552" t="inlineStr">
        <x:is>
          <x:t xml:space="preserve">2005-001690</x:t>
        </x:is>
      </x:c>
      <x:c r="B1929" s="552" t="n"/>
      <x:c r="C1929" s="552" t="inlineStr">
        <x:is>
          <x:t xml:space="preserve">Oil and Gas Lease</x:t>
        </x:is>
      </x:c>
      <x:c r="D1929" s="552" t="inlineStr">
        <x:is>
          <x:t xml:space="preserve">1782/267</x:t>
        </x:is>
      </x:c>
      <x:c r="E1929" s="653" t="n">
        <x:v>38412</x:v>
      </x:c>
      <x:c r="F1929" s="653" t="n">
        <x:v>38432</x:v>
      </x:c>
      <x:c r="G1929" s="552" t="inlineStr">
        <x:is>
          <x:t xml:space="preserve">Mark J. Fuchs
2951 Black Locust Court
Norman, OK 73071
</x:t>
        </x:is>
      </x:c>
      <x:c r="H1929" s="552" t="inlineStr">
        <x:is>
          <x:t xml:space="preserve">N/G Discovery, LLC</x:t>
        </x:is>
      </x:c>
      <x:c r="I1929" s="552" t="inlineStr">
        <x:is>
          <x:t xml:space="preserve">NW/4 SE/4, S/2 SE/4, SW/4 NE/4 of 31-12N-24W</x:t>
        </x:is>
      </x:c>
      <x:c r="J1929" s="552" t="inlineStr">
        <x:is>
          <x:t xml:space="preserve">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x:t>
        </x:is>
      </x:c>
      <x:c r="K1929" s="554" t="e">
        <x:f>HYPERLINK("https://okcountyrecords.com/detail/roger+mills/2005-001690","OKCountyRecords: 2005-001690")</x:f>
      </x:c>
      <x:c r="L1929" s="552" t="n">
        <x:v>2</x:v>
      </x:c>
      <x:c r="M1929" s="552" t="inlineStr">
        <x:is>
          <x:t xml:space="preserve">Leasehold</x:t>
        </x:is>
      </x:c>
      <x:c r="N1929" s="555" t="n"/>
      <x:c r="O1929" s="556" t="n">
        <x:f>IF($L1929="","",IF(ISNUMBER(SEARCH("all",$L1929)),640,(ISNUMBER(SEARCH("1",$L1929)))*80+(ISNUMBER(SEARCH("2",$L1929)))*160+(ISNUMBER(SEARCH("3",$L1929)))*40+(ISNUMBER(SEARCH("4",$L1929)))*80+(ISNUMBER(SEARCH("5",$L1929)))*120+(ISNUMBER(SEARCH("6",$L1929)))*80+(ISNUMBER(SEARCH("7",$L1929)))*40+(ISNUMBER(SEARCH("8",$L1929)))*40))</x:f>
        <x:v>0</x:v>
      </x:c>
      <x:c r="P1929" s="654" t="str">
        <x:f>IF($M1929&lt;&gt;"Mineral","",IF(ISNUMBER($N1929),$N1929,IF(OR(ISNUMBER(SEARCH("surface",$J1929)),ISNUMBER(SEARCH("reserv",$J1929)),ISNUMBER(SEARCH("less and except",$J1929))),0,"")))</x:f>
      </x:c>
      <x:c r="Q1929" s="654" t="str">
        <x:f>IF($P1929="","",-$P1929)</x:f>
      </x:c>
      <x:c r="R1929" s="655" t="str">
        <x:f>IF($P1929="","",$O1929*$P1929)</x:f>
      </x:c>
      <x:c r="S1929" s="552" t="str">
        <x:f>IF($M1929="","",TRIM(IF($M1929="Mineral",IF(ISNUMBER($N1929),"Mineral; basis Conv Amt(dec). ",IF($P1929=0,"Mineral; surface-only/reserved-&gt;0 min. ","Mineral; NO AMOUNT-verify instrument. ")),$M1929&amp;" (non-mineral; excluded from mineral NMA). ")&amp;IF(OR(ISNUMBER(SEARCH("public",$G1929)),ISNUMBER(SEARCH("public",$H1929))),"FLAG: The Public placeholder-verify. ","")&amp;IF(ISNUMBER(SEARCH("all",$L1929)),"All-section coverage. ","")&amp;IF($O1929=0,"Gross acres unresolved. ","")&amp;"Gross=tract-map basis."))</x:f>
        <x:v>Leasehold (non-mineral; excluded from mineral NMA). Gross acres unresolved. Gross=tract-map basis.</x:v>
      </x:c>
      <x:c r="T1929" s="577" t="n"/>
      <x:c r="U1929" s="578" t="n"/>
      <x:c r="V1929" s="565" t="n"/>
      <x:c r="W1929" s="565" t="n"/>
      <x:c r="X1929" s="565" t="n"/>
      <x:c r="Y1929" s="565" t="n"/>
      <x:c r="Z1929" s="565" t="n"/>
    </x:row>
    <x:row r="1930">
      <x:c r="A1930" s="552" t="inlineStr">
        <x:is>
          <x:t xml:space="preserve">2005-001515</x:t>
        </x:is>
      </x:c>
      <x:c r="B1930" s="552" t="n"/>
      <x:c r="C1930" s="552" t="inlineStr">
        <x:is>
          <x:t xml:space="preserve">Oil and Gas Lease</x:t>
        </x:is>
      </x:c>
      <x:c r="D1930" s="552" t="inlineStr">
        <x:is>
          <x:t xml:space="preserve">1781/204</x:t>
        </x:is>
      </x:c>
      <x:c r="E1930" s="653" t="n">
        <x:v>38412</x:v>
      </x:c>
      <x:c r="F1930" s="653" t="n">
        <x:v>38426</x:v>
      </x:c>
      <x:c r="G1930" s="552" t="inlineStr">
        <x:is>
          <x:t xml:space="preserve">Raymond M. Fuchs
5502 100th Avenue
Norman, OK 73026
</x:t>
        </x:is>
      </x:c>
      <x:c r="H1930" s="552" t="inlineStr">
        <x:is>
          <x:t xml:space="preserve">N/G Discovery, LLC</x:t>
        </x:is>
      </x:c>
      <x:c r="I1930" s="552" t="inlineStr">
        <x:is>
          <x:t xml:space="preserve">NW/4 SE/4, S/2 SE/4, SW/4 NE/4 of 31-12N-24W</x:t>
        </x:is>
      </x:c>
      <x:c r="J1930" s="552" t="inlineStr">
        <x:is>
          <x:t xml:space="preserve">160 gross acres
2 yrs
3/16ths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x:t>
        </x:is>
      </x:c>
      <x:c r="K1930" s="554" t="e">
        <x:f>HYPERLINK("https://okcountyrecords.com/detail/roger+mills/2005-001515","OKCountyRecords: 2005-001515")</x:f>
      </x:c>
      <x:c r="L1930" s="552" t="n">
        <x:v>2</x:v>
      </x:c>
      <x:c r="M1930" s="552" t="inlineStr">
        <x:is>
          <x:t xml:space="preserve">Leasehold</x:t>
        </x:is>
      </x:c>
      <x:c r="N1930" s="555" t="n"/>
      <x:c r="O1930" s="556" t="n">
        <x:f>IF($L1930="","",IF(ISNUMBER(SEARCH("all",$L1930)),640,(ISNUMBER(SEARCH("1",$L1930)))*80+(ISNUMBER(SEARCH("2",$L1930)))*160+(ISNUMBER(SEARCH("3",$L1930)))*40+(ISNUMBER(SEARCH("4",$L1930)))*80+(ISNUMBER(SEARCH("5",$L1930)))*120+(ISNUMBER(SEARCH("6",$L1930)))*80+(ISNUMBER(SEARCH("7",$L1930)))*40+(ISNUMBER(SEARCH("8",$L1930)))*40))</x:f>
        <x:v>0</x:v>
      </x:c>
      <x:c r="P1930" s="654" t="str">
        <x:f>IF($M1930&lt;&gt;"Mineral","",IF(ISNUMBER($N1930),$N1930,IF(OR(ISNUMBER(SEARCH("surface",$J1930)),ISNUMBER(SEARCH("reserv",$J1930)),ISNUMBER(SEARCH("less and except",$J1930))),0,"")))</x:f>
      </x:c>
      <x:c r="Q1930" s="654" t="str">
        <x:f>IF($P1930="","",-$P1930)</x:f>
      </x:c>
      <x:c r="R1930" s="655" t="str">
        <x:f>IF($P1930="","",$O1930*$P1930)</x:f>
      </x:c>
      <x:c r="S1930" s="552" t="str">
        <x:f>IF($M1930="","",TRIM(IF($M1930="Mineral",IF(ISNUMBER($N1930),"Mineral; basis Conv Amt(dec). ",IF($P1930=0,"Mineral; surface-only/reserved-&gt;0 min. ","Mineral; NO AMOUNT-verify instrument. ")),$M1930&amp;" (non-mineral; excluded from mineral NMA). ")&amp;IF(OR(ISNUMBER(SEARCH("public",$G1930)),ISNUMBER(SEARCH("public",$H1930))),"FLAG: The Public placeholder-verify. ","")&amp;IF(ISNUMBER(SEARCH("all",$L1930)),"All-section coverage. ","")&amp;IF($O1930=0,"Gross acres unresolved. ","")&amp;"Gross=tract-map basis."))</x:f>
        <x:v>Leasehold (non-mineral; excluded from mineral NMA). Gross acres unresolved. Gross=tract-map basis.</x:v>
      </x:c>
      <x:c r="T1930" s="577" t="n"/>
      <x:c r="U1930" s="578" t="n"/>
      <x:c r="V1930" s="565" t="n"/>
      <x:c r="W1930" s="565" t="n"/>
      <x:c r="X1930" s="565" t="n"/>
      <x:c r="Y1930" s="565" t="n"/>
      <x:c r="Z1930" s="565" t="n"/>
    </x:row>
    <x:row r="1931">
      <x:c r="A1931" s="552" t="inlineStr">
        <x:is>
          <x:t xml:space="preserve">2005-002326</x:t>
        </x:is>
      </x:c>
      <x:c r="B1931" s="552" t="n"/>
      <x:c r="C1931" s="552" t="inlineStr">
        <x:is>
          <x:t xml:space="preserve">Oil and Gas Lease</x:t>
        </x:is>
      </x:c>
      <x:c r="D1931" s="552" t="inlineStr">
        <x:is>
          <x:t xml:space="preserve">1785/274</x:t>
        </x:is>
      </x:c>
      <x:c r="E1931" s="653" t="n">
        <x:v>38419</x:v>
      </x:c>
      <x:c r="F1931" s="653" t="n">
        <x:v>38457</x:v>
      </x:c>
      <x:c r="G1931" s="552" t="inlineStr">
        <x:is>
          <x:t xml:space="preserve">Joe Devenas, Jr.
1302 Highland Avenue
Waukegan, IL 60085
</x:t>
        </x:is>
      </x:c>
      <x:c r="H1931" s="552" t="inlineStr">
        <x:is>
          <x:t xml:space="preserve">EOG Resources, Inc.</x:t>
        </x:is>
      </x:c>
      <x:c r="I1931" s="552" t="inlineStr">
        <x:is>
          <x:t xml:space="preserve">SE/4 SW/4 of 31-12N-24W</x:t>
        </x:is>
      </x:c>
      <x:c r="J1931" s="552" t="inlineStr">
        <x:is>
          <x:t xml:space="preserve">40 gross acres
3 yrs
3/16ths royalty</x:t>
        </x:is>
      </x:c>
      <x:c r="K1931" s="554" t="e">
        <x:f>HYPERLINK("https://okcountyrecords.com/detail/roger+mills/2005-002326","OKCountyRecords: 2005-002326")</x:f>
      </x:c>
      <x:c r="L1931" s="552" t="n">
        <x:v>5</x:v>
      </x:c>
      <x:c r="M1931" s="552" t="inlineStr">
        <x:is>
          <x:t xml:space="preserve">Leasehold</x:t>
        </x:is>
      </x:c>
      <x:c r="N1931" s="555" t="n"/>
      <x:c r="O1931" s="556" t="n">
        <x:f>IF($L1931="","",IF(ISNUMBER(SEARCH("all",$L1931)),640,(ISNUMBER(SEARCH("1",$L1931)))*80+(ISNUMBER(SEARCH("2",$L1931)))*160+(ISNUMBER(SEARCH("3",$L1931)))*40+(ISNUMBER(SEARCH("4",$L1931)))*80+(ISNUMBER(SEARCH("5",$L1931)))*120+(ISNUMBER(SEARCH("6",$L1931)))*80+(ISNUMBER(SEARCH("7",$L1931)))*40+(ISNUMBER(SEARCH("8",$L1931)))*40))</x:f>
        <x:v>0</x:v>
      </x:c>
      <x:c r="P1931" s="654" t="str">
        <x:f>IF($M1931&lt;&gt;"Mineral","",IF(ISNUMBER($N1931),$N1931,IF(OR(ISNUMBER(SEARCH("surface",$J1931)),ISNUMBER(SEARCH("reserv",$J1931)),ISNUMBER(SEARCH("less and except",$J1931))),0,"")))</x:f>
      </x:c>
      <x:c r="Q1931" s="654" t="str">
        <x:f>IF($P1931="","",-$P1931)</x:f>
      </x:c>
      <x:c r="R1931" s="655" t="str">
        <x:f>IF($P1931="","",$O1931*$P1931)</x:f>
      </x:c>
      <x:c r="S1931" s="552" t="str">
        <x:f>IF($M1931="","",TRIM(IF($M1931="Mineral",IF(ISNUMBER($N1931),"Mineral; basis Conv Amt(dec). ",IF($P1931=0,"Mineral; surface-only/reserved-&gt;0 min. ","Mineral; NO AMOUNT-verify instrument. ")),$M1931&amp;" (non-mineral; excluded from mineral NMA). ")&amp;IF(OR(ISNUMBER(SEARCH("public",$G1931)),ISNUMBER(SEARCH("public",$H1931))),"FLAG: The Public placeholder-verify. ","")&amp;IF(ISNUMBER(SEARCH("all",$L1931)),"All-section coverage. ","")&amp;IF($O1931=0,"Gross acres unresolved. ","")&amp;"Gross=tract-map basis."))</x:f>
        <x:v>Leasehold (non-mineral; excluded from mineral NMA). Gross acres unresolved. Gross=tract-map basis.</x:v>
      </x:c>
      <x:c r="T1931" s="577" t="n"/>
      <x:c r="U1931" s="578" t="n"/>
      <x:c r="V1931" s="565" t="n"/>
      <x:c r="W1931" s="565" t="n"/>
      <x:c r="X1931" s="565" t="n"/>
      <x:c r="Y1931" s="565" t="n"/>
      <x:c r="Z1931" s="565" t="n"/>
    </x:row>
    <x:row r="1932">
      <x:c r="A1932" s="552" t="inlineStr">
        <x:is>
          <x:t xml:space="preserve">2005-002328</x:t>
        </x:is>
      </x:c>
      <x:c r="B1932" s="552" t="n"/>
      <x:c r="C1932" s="552" t="inlineStr">
        <x:is>
          <x:t xml:space="preserve">Oil and Gas Lease</x:t>
        </x:is>
      </x:c>
      <x:c r="D1932" s="552" t="inlineStr">
        <x:is>
          <x:t xml:space="preserve">1785/278</x:t>
        </x:is>
      </x:c>
      <x:c r="E1932" s="653" t="n">
        <x:v>38419</x:v>
      </x:c>
      <x:c r="F1932" s="653" t="n">
        <x:v>38457</x:v>
      </x:c>
      <x:c r="G1932" s="552" t="inlineStr">
        <x:is>
          <x:t xml:space="preserve">Joseph Devenas, as Trustee of the Joseph Devenas Trust Declaration dated September 7, 1994
1302 Highland Avenue
Waukegan, IL 60085
</x:t>
        </x:is>
      </x:c>
      <x:c r="H1932" s="552" t="inlineStr">
        <x:is>
          <x:t xml:space="preserve">EOG Resources, Inc.</x:t>
        </x:is>
      </x:c>
      <x:c r="I1932" s="552" t="inlineStr">
        <x:is>
          <x:t xml:space="preserve">SE/4 SW/4 of 31-12N-24W</x:t>
        </x:is>
      </x:c>
      <x:c r="J1932" s="552" t="inlineStr">
        <x:is>
          <x:t xml:space="preserve">40 gross acres
3 yrs
3/16ths royalty</x:t>
        </x:is>
      </x:c>
      <x:c r="K1932" s="554" t="e">
        <x:f>HYPERLINK("https://okcountyrecords.com/detail/roger+mills/2005-002328","OKCountyRecords: 2005-002328")</x:f>
      </x:c>
      <x:c r="L1932" s="552" t="n">
        <x:v>5</x:v>
      </x:c>
      <x:c r="M1932" s="552" t="inlineStr">
        <x:is>
          <x:t xml:space="preserve">Leasehold</x:t>
        </x:is>
      </x:c>
      <x:c r="N1932" s="555" t="n"/>
      <x:c r="O1932" s="556" t="n">
        <x:f>IF($L1932="","",IF(ISNUMBER(SEARCH("all",$L1932)),640,(ISNUMBER(SEARCH("1",$L1932)))*80+(ISNUMBER(SEARCH("2",$L1932)))*160+(ISNUMBER(SEARCH("3",$L1932)))*40+(ISNUMBER(SEARCH("4",$L1932)))*80+(ISNUMBER(SEARCH("5",$L1932)))*120+(ISNUMBER(SEARCH("6",$L1932)))*80+(ISNUMBER(SEARCH("7",$L1932)))*40+(ISNUMBER(SEARCH("8",$L1932)))*40))</x:f>
        <x:v>0</x:v>
      </x:c>
      <x:c r="P1932" s="654" t="str">
        <x:f>IF($M1932&lt;&gt;"Mineral","",IF(ISNUMBER($N1932),$N1932,IF(OR(ISNUMBER(SEARCH("surface",$J1932)),ISNUMBER(SEARCH("reserv",$J1932)),ISNUMBER(SEARCH("less and except",$J1932))),0,"")))</x:f>
      </x:c>
      <x:c r="Q1932" s="654" t="str">
        <x:f>IF($P1932="","",-$P1932)</x:f>
      </x:c>
      <x:c r="R1932" s="655" t="str">
        <x:f>IF($P1932="","",$O1932*$P1932)</x:f>
      </x:c>
      <x:c r="S1932" s="552" t="str">
        <x:f>IF($M1932="","",TRIM(IF($M1932="Mineral",IF(ISNUMBER($N1932),"Mineral; basis Conv Amt(dec). ",IF($P1932=0,"Mineral; surface-only/reserved-&gt;0 min. ","Mineral; NO AMOUNT-verify instrument. ")),$M1932&amp;" (non-mineral; excluded from mineral NMA). ")&amp;IF(OR(ISNUMBER(SEARCH("public",$G1932)),ISNUMBER(SEARCH("public",$H1932))),"FLAG: The Public placeholder-verify. ","")&amp;IF(ISNUMBER(SEARCH("all",$L1932)),"All-section coverage. ","")&amp;IF($O1932=0,"Gross acres unresolved. ","")&amp;"Gross=tract-map basis."))</x:f>
        <x:v>Leasehold (non-mineral; excluded from mineral NMA). Gross acres unresolved. Gross=tract-map basis.</x:v>
      </x:c>
      <x:c r="T1932" s="577" t="n"/>
      <x:c r="U1932" s="578" t="n"/>
      <x:c r="V1932" s="565" t="n"/>
      <x:c r="W1932" s="565" t="n"/>
      <x:c r="X1932" s="565" t="n"/>
      <x:c r="Y1932" s="565" t="n"/>
      <x:c r="Z1932" s="565" t="n"/>
    </x:row>
    <x:row r="1933">
      <x:c r="A1933" s="552" t="inlineStr">
        <x:is>
          <x:t xml:space="preserve">2005-002327</x:t>
        </x:is>
      </x:c>
      <x:c r="B1933" s="552" t="n"/>
      <x:c r="C1933" s="552" t="inlineStr">
        <x:is>
          <x:t xml:space="preserve">Oil and Gas Lease</x:t>
        </x:is>
      </x:c>
      <x:c r="D1933" s="552" t="inlineStr">
        <x:is>
          <x:t xml:space="preserve">1785/276</x:t>
        </x:is>
      </x:c>
      <x:c r="E1933" s="653" t="n">
        <x:v>38420</x:v>
      </x:c>
      <x:c r="F1933" s="653" t="n">
        <x:v>38457</x:v>
      </x:c>
      <x:c r="G1933" s="552" t="inlineStr">
        <x:is>
          <x:t xml:space="preserve">Eleanore Wheeler
Route 2, Box 154
Sayre, OK 73662
</x:t>
        </x:is>
      </x:c>
      <x:c r="H1933" s="552" t="inlineStr">
        <x:is>
          <x:t xml:space="preserve">EOG Resources, Inc.</x:t>
        </x:is>
      </x:c>
      <x:c r="I1933" s="552" t="inlineStr">
        <x:is>
          <x:t xml:space="preserve">Lot 4 &amp; S/2 of Lot 3 &amp; S/2 NE/4 SW/4 &amp; SE/4 SW/4, less and except a tract of land described as: Beginning at the SE/corner of the SW/4; then North 946 feet; then West 2547.60 feet: then South 946 feet; then East 2547.60 feet to the point of beginning.of 31-12N-24W</x:t>
        </x:is>
      </x:c>
      <x:c r="J1933" s="552" t="inlineStr">
        <x:is>
          <x:t xml:space="preserve">115.34 gross acres
3/16ths royalty
3 yrs</x:t>
        </x:is>
      </x:c>
      <x:c r="K1933" s="554" t="e">
        <x:f>HYPERLINK("https://okcountyrecords.com/detail/roger+mills/2005-002327","OKCountyRecords: 2005-002327")</x:f>
      </x:c>
      <x:c r="L1933" s="552" t="inlineStr">
        <x:is>
          <x:t xml:space="preserve">2, 3, 5, 6, 7</x:t>
        </x:is>
      </x:c>
      <x:c r="M1933" s="552" t="inlineStr">
        <x:is>
          <x:t xml:space="preserve">Leasehold</x:t>
        </x:is>
      </x:c>
      <x:c r="N1933" s="555" t="n"/>
      <x:c r="O1933" s="556" t="n">
        <x:f>IF($L1933="","",IF(ISNUMBER(SEARCH("all",$L1933)),640,(ISNUMBER(SEARCH("1",$L1933)))*80+(ISNUMBER(SEARCH("2",$L1933)))*160+(ISNUMBER(SEARCH("3",$L1933)))*40+(ISNUMBER(SEARCH("4",$L1933)))*80+(ISNUMBER(SEARCH("5",$L1933)))*120+(ISNUMBER(SEARCH("6",$L1933)))*80+(ISNUMBER(SEARCH("7",$L1933)))*40+(ISNUMBER(SEARCH("8",$L1933)))*40))</x:f>
        <x:v>0</x:v>
      </x:c>
      <x:c r="P1933" s="654" t="str">
        <x:f>IF($M1933&lt;&gt;"Mineral","",IF(ISNUMBER($N1933),$N1933,IF(OR(ISNUMBER(SEARCH("surface",$J1933)),ISNUMBER(SEARCH("reserv",$J1933)),ISNUMBER(SEARCH("less and except",$J1933))),0,"")))</x:f>
      </x:c>
      <x:c r="Q1933" s="654" t="str">
        <x:f>IF($P1933="","",-$P1933)</x:f>
      </x:c>
      <x:c r="R1933" s="655" t="str">
        <x:f>IF($P1933="","",$O1933*$P1933)</x:f>
      </x:c>
      <x:c r="S1933" s="552" t="str">
        <x:f>IF($M1933="","",TRIM(IF($M1933="Mineral",IF(ISNUMBER($N1933),"Mineral; basis Conv Amt(dec). ",IF($P1933=0,"Mineral; surface-only/reserved-&gt;0 min. ","Mineral; NO AMOUNT-verify instrument. ")),$M1933&amp;" (non-mineral; excluded from mineral NMA). ")&amp;IF(OR(ISNUMBER(SEARCH("public",$G1933)),ISNUMBER(SEARCH("public",$H1933))),"FLAG: The Public placeholder-verify. ","")&amp;IF(ISNUMBER(SEARCH("all",$L1933)),"All-section coverage. ","")&amp;IF($O1933=0,"Gross acres unresolved. ","")&amp;"Gross=tract-map basis."))</x:f>
        <x:v>Leasehold (non-mineral; excluded from mineral NMA). Gross acres unresolved. Gross=tract-map basis.</x:v>
      </x:c>
      <x:c r="T1933" s="577" t="n"/>
      <x:c r="U1933" s="578" t="n"/>
      <x:c r="V1933" s="565" t="n"/>
      <x:c r="W1933" s="565" t="n"/>
      <x:c r="X1933" s="565" t="n"/>
      <x:c r="Y1933" s="565" t="n"/>
      <x:c r="Z1933" s="565" t="n"/>
    </x:row>
    <x:row r="1934">
      <x:c r="A1934" s="552" t="inlineStr">
        <x:is>
          <x:t xml:space="preserve">2005-001839</x:t>
        </x:is>
      </x:c>
      <x:c r="B1934" s="552" t="n"/>
      <x:c r="C1934" s="552" t="inlineStr">
        <x:is>
          <x:t xml:space="preserve">Affidavit of Surviving Joint Tenant</x:t>
        </x:is>
      </x:c>
      <x:c r="D1934" s="552" t="inlineStr">
        <x:is>
          <x:t xml:space="preserve">1783/99</x:t>
        </x:is>
      </x:c>
      <x:c r="E1934" s="653" t="n">
        <x:v>38427</x:v>
      </x:c>
      <x:c r="F1934" s="653" t="n">
        <x:v>38440</x:v>
      </x:c>
      <x:c r="G1934" s="552" t="inlineStr">
        <x:is>
          <x:t xml:space="preserve">Clarence Bain</x:t>
        </x:is>
      </x:c>
      <x:c r="H1934" s="552" t="inlineStr">
        <x:is>
          <x:t xml:space="preserve">The Public
RE: Dorothy J. Bain, Deceased
Surviving JT: Clarence Bain</x:t>
        </x:is>
      </x:c>
      <x:c r="I1934" s="552" t="inlineStr">
        <x:is>
          <x:t xml:space="preserve">NW/4 SE/4, SW/4 NE/4 of 31-12N-24W, aol</x:t>
        </x:is>
      </x:c>
      <x:c r="J1934" s="552" t="inlineStr">
        <x:is>
          <x:t xml:space="preserve">ARTI</x:t>
        </x:is>
      </x:c>
      <x:c r="K1934" s="554" t="e">
        <x:f>HYPERLINK("https://okcountyrecords.com/detail/roger+mills/2005-001839","OKCountyRecords: 2005-001839")</x:f>
      </x:c>
      <x:c r="L1934" s="552" t="n">
        <x:v>2</x:v>
      </x:c>
      <x:c r="M1934" s="552" t="inlineStr">
        <x:is>
          <x:t xml:space="preserve">Mineral</x:t>
        </x:is>
      </x:c>
      <x:c r="N1934" s="555" t="n">
        <x:v>1</x:v>
      </x:c>
      <x:c r="O1934" s="556" t="n">
        <x:f>IF($L1934="","",IF(ISNUMBER(SEARCH("all",$L1934)),640,(ISNUMBER(SEARCH("1",$L1934)))*80+(ISNUMBER(SEARCH("2",$L1934)))*160+(ISNUMBER(SEARCH("3",$L1934)))*40+(ISNUMBER(SEARCH("4",$L1934)))*80+(ISNUMBER(SEARCH("5",$L1934)))*120+(ISNUMBER(SEARCH("6",$L1934)))*80+(ISNUMBER(SEARCH("7",$L1934)))*40+(ISNUMBER(SEARCH("8",$L1934)))*40))</x:f>
        <x:v>0</x:v>
      </x:c>
      <x:c r="P1934" s="654" t="n">
        <x:f>IF($M1934&lt;&gt;"Mineral","",IF(ISNUMBER($N1934),$N1934,IF(OR(ISNUMBER(SEARCH("surface",$J1934)),ISNUMBER(SEARCH("reserv",$J1934)),ISNUMBER(SEARCH("less and except",$J1934))),0,"")))</x:f>
        <x:v>1</x:v>
      </x:c>
      <x:c r="Q1934" s="654" t="n">
        <x:f>IF($P1934="","",-$P1934)</x:f>
        <x:v>-1</x:v>
      </x:c>
      <x:c r="R1934" s="655" t="n">
        <x:f>IF($P1934="","",$O1934*$P1934)</x:f>
        <x:v>0</x:v>
      </x:c>
      <x:c r="S1934" s="552" t="str">
        <x:f>IF($M1934="","",TRIM(IF($M1934="Mineral",IF(ISNUMBER($N1934),"Mineral; basis Conv Amt(dec). ",IF($P1934=0,"Mineral; surface-only/reserved-&gt;0 min. ","Mineral; VERIFY — NEED full instrument image for conveyed amount. ")),$M1934&amp;" (non-mineral; excluded from mineral NMA). ")&amp;IF(OR(ISNUMBER(SEARCH("public",$G1934)),ISNUMBER(SEARCH("public",$H1934))),"FLAG: The Public placeholder; VERIFY — NEED source confirmation. ","")&amp;IF(ISNUMBER(SEARCH("all",$L1934)),"All-section coverage. ","")&amp;IF($O1934=0,"Gross acres unresolved. ","")&amp;"Gross=tract-map basis."))</x:f>
        <x:v>Mineral; basis Conv Amt(dec). FLAG: The Public placeholder; VERIFY — NEED source confirmation. Gross acres unresolved. Gross=tract-map basis.</x:v>
      </x:c>
      <x:c r="T1934" s="577" t="inlineStr">
        <x:is>
          <x:t xml:space="preserve">REVIEW</x:t>
        </x:is>
      </x:c>
      <x:c r="U1934" s="578" t="inlineStr">
        <x:is>
          <x:t xml:space="preserve">NEED: confirm conveyed mineral acreage from instrument image — named party present under 'The Public' (affidavit/notice); placeholder identity resolved.</x:t>
        </x:is>
      </x:c>
      <x:c r="V1934" s="565" t="n"/>
      <x:c r="W1934" s="565" t="n"/>
      <x:c r="X1934" s="565" t="n"/>
      <x:c r="Y1934" s="565" t="n"/>
      <x:c r="Z1934" s="565" t="n"/>
    </x:row>
    <x:row r="1935">
      <x:c r="A1935" s="552" t="inlineStr">
        <x:is>
          <x:t xml:space="preserve">2005-002646</x:t>
        </x:is>
      </x:c>
      <x:c r="B1935" s="552" t="n"/>
      <x:c r="C1935" s="552" t="inlineStr">
        <x:is>
          <x:t xml:space="preserve">Oil and Gas Lease</x:t>
        </x:is>
      </x:c>
      <x:c r="D1935" s="552" t="inlineStr">
        <x:is>
          <x:t xml:space="preserve">1787/47</x:t>
        </x:is>
      </x:c>
      <x:c r="E1935" s="653" t="n">
        <x:v>38436</x:v>
      </x:c>
      <x:c r="F1935" s="653" t="n">
        <x:v>38464</x:v>
      </x:c>
      <x:c r="G1935" s="552" t="inlineStr">
        <x:is>
          <x:t xml:space="preserve">Marchelle Sorenson Daigle and Michelle Sorenson Johnson, Trustees ofthe Sorenson Oil and Gas Trust, 13529 Darwin
Lane, Austin, TX 78729
</x:t>
        </x:is>
      </x:c>
      <x:c r="H1935" s="552" t="inlineStr">
        <x:is>
          <x:t xml:space="preserve">N/G Discovery, LLC</x:t>
        </x:is>
      </x:c>
      <x:c r="I1935" s="552" t="inlineStr">
        <x:is>
          <x:t xml:space="preserve">E/2 NW/4, N/2 NE/4 SW/4, NE/4 SE/4, SE/4 NE/4 of 31-12N-24W</x:t>
        </x:is>
      </x:c>
      <x:c r="J1935" s="552" t="inlineStr">
        <x:is>
          <x:t xml:space="preserve">180 gross acres
3 yrs
3/16ths royalty</x:t>
        </x:is>
      </x:c>
      <x:c r="K1935" s="554" t="e">
        <x:f>HYPERLINK("https://okcountyrecords.com/detail/roger+mills/2005-002646","OKCountyRecords: 2005-002646")</x:f>
      </x:c>
      <x:c r="L1935" s="552" t="inlineStr">
        <x:is>
          <x:t xml:space="preserve">1, 3, 4, 7, 8</x:t>
        </x:is>
      </x:c>
      <x:c r="M1935" s="552" t="inlineStr">
        <x:is>
          <x:t xml:space="preserve">Leasehold</x:t>
        </x:is>
      </x:c>
      <x:c r="N1935" s="561" t="n"/>
      <x:c r="O1935" s="556" t="n">
        <x:f>IF($L1935="","",IF(ISNUMBER(SEARCH("all",$L1935)),640,(ISNUMBER(SEARCH("1",$L1935)))*80+(ISNUMBER(SEARCH("2",$L1935)))*160+(ISNUMBER(SEARCH("3",$L1935)))*40+(ISNUMBER(SEARCH("4",$L1935)))*80+(ISNUMBER(SEARCH("5",$L1935)))*120+(ISNUMBER(SEARCH("6",$L1935)))*80+(ISNUMBER(SEARCH("7",$L1935)))*40+(ISNUMBER(SEARCH("8",$L1935)))*40))</x:f>
        <x:v>0</x:v>
      </x:c>
      <x:c r="P1935" s="654" t="str">
        <x:f>IF($M1935&lt;&gt;"Mineral","",IF(ISNUMBER($N1935),$N1935,IF(OR(ISNUMBER(SEARCH("surface",$J1935)),ISNUMBER(SEARCH("reserv",$J1935)),ISNUMBER(SEARCH("less and except",$J1935))),0,"")))</x:f>
      </x:c>
      <x:c r="Q1935" s="654" t="str">
        <x:f>IF($P1935="","",-$P1935)</x:f>
      </x:c>
      <x:c r="R1935" s="655" t="str">
        <x:f>IF($P1935="","",$O1935*$P1935)</x:f>
      </x:c>
      <x:c r="S1935" s="552" t="str">
        <x:f>IF($M1935="","",TRIM(IF($M1935="Mineral",IF(ISNUMBER($N1935),"Mineral; basis Conv Amt(dec). ",IF($P1935=0,"Mineral; surface-only/reserved-&gt;0 min. ","Mineral; NO AMOUNT-verify instrument. ")),$M1935&amp;" (non-mineral; excluded from mineral NMA). ")&amp;IF(OR(ISNUMBER(SEARCH("public",$G1935)),ISNUMBER(SEARCH("public",$H1935))),"FLAG: The Public placeholder-verify. ","")&amp;IF(ISNUMBER(SEARCH("all",$L1935)),"All-section coverage. ","")&amp;IF($O1935=0,"Gross acres unresolved. ","")&amp;"Gross=tract-map basis."))</x:f>
        <x:v>Leasehold (non-mineral; excluded from mineral NMA). Gross acres unresolved. Gross=tract-map basis.</x:v>
      </x:c>
      <x:c r="T1935" s="577" t="n"/>
      <x:c r="U1935" s="578" t="n"/>
      <x:c r="V1935" s="565" t="n"/>
      <x:c r="W1935" s="565" t="n"/>
      <x:c r="X1935" s="565" t="n"/>
      <x:c r="Y1935" s="565" t="n"/>
      <x:c r="Z1935" s="565" t="n"/>
    </x:row>
    <x:row r="1936">
      <x:c r="A1936" s="552" t="inlineStr">
        <x:is>
          <x:t xml:space="preserve">2005-003940</x:t>
        </x:is>
      </x:c>
      <x:c r="B1936" s="552" t="n"/>
      <x:c r="C1936" s="552" t="inlineStr">
        <x:is>
          <x:t xml:space="preserve">Ratification</x:t>
        </x:is>
      </x:c>
      <x:c r="D1936" s="552" t="inlineStr">
        <x:is>
          <x:t xml:space="preserve">1793/502</x:t>
        </x:is>
      </x:c>
      <x:c r="E1936" s="653" t="n">
        <x:v>38441</x:v>
      </x:c>
      <x:c r="F1936" s="653" t="n">
        <x:v>38511</x:v>
      </x:c>
      <x:c r="G1936" s="552" t="inlineStr">
        <x:is>
          <x:t xml:space="preserve">Joe Deveanas
862 West Church Street
Newark, OH 43055
</x:t>
        </x:is>
      </x:c>
      <x:c r="H1936" s="552" t="inlineStr">
        <x:is>
          <x:t xml:space="preserve">EOG Resources, Inc.</x:t>
        </x:is>
      </x:c>
      <x:c r="I1936" s="552" t="inlineStr">
        <x:is>
          <x:t xml:space="preserve">SE/4 SW/4 of 31-12N-24W</x:t>
        </x:is>
      </x:c>
      <x:c r="J1936" s="552" t="inlineStr">
        <x:is>
          <x:t xml:space="preserve">Ratification of Oil and Gas Lease at 1792/517</x:t>
        </x:is>
      </x:c>
      <x:c r="K1936" s="554" t="e">
        <x:f>HYPERLINK("https://okcountyrecords.com/detail/roger+mills/2005-003940","OKCountyRecords: 2005-003940")</x:f>
      </x:c>
      <x:c r="L1936" s="552" t="n">
        <x:v>5</x:v>
      </x:c>
      <x:c r="M1936" s="552" t="inlineStr">
        <x:is>
          <x:t xml:space="preserve">Leasehold</x:t>
        </x:is>
      </x:c>
      <x:c r="N1936" s="555" t="n"/>
      <x:c r="O1936" s="556" t="n">
        <x:f>IF($L1936="","",IF(ISNUMBER(SEARCH("all",$L1936)),640,(ISNUMBER(SEARCH("1",$L1936)))*80+(ISNUMBER(SEARCH("2",$L1936)))*160+(ISNUMBER(SEARCH("3",$L1936)))*40+(ISNUMBER(SEARCH("4",$L1936)))*80+(ISNUMBER(SEARCH("5",$L1936)))*120+(ISNUMBER(SEARCH("6",$L1936)))*80+(ISNUMBER(SEARCH("7",$L1936)))*40+(ISNUMBER(SEARCH("8",$L1936)))*40))</x:f>
        <x:v>0</x:v>
      </x:c>
      <x:c r="P1936" s="654" t="str">
        <x:f>IF($M1936&lt;&gt;"Mineral","",IF(ISNUMBER($N1936),$N1936,IF(OR(ISNUMBER(SEARCH("surface",$J1936)),ISNUMBER(SEARCH("reserv",$J1936)),ISNUMBER(SEARCH("less and except",$J1936))),0,"")))</x:f>
      </x:c>
      <x:c r="Q1936" s="654" t="str">
        <x:f>IF($P1936="","",-$P1936)</x:f>
      </x:c>
      <x:c r="R1936" s="655" t="str">
        <x:f>IF($P1936="","",$O1936*$P1936)</x:f>
      </x:c>
      <x:c r="S1936" s="552" t="str">
        <x:f>IF($M1936="","",TRIM(IF($M1936="Mineral",IF(ISNUMBER($N1936),"Mineral; basis Conv Amt(dec). ",IF($P1936=0,"Mineral; surface-only/reserved-&gt;0 min. ","Mineral; NO AMOUNT-verify instrument. ")),$M1936&amp;" (non-mineral; excluded from mineral NMA). ")&amp;IF(OR(ISNUMBER(SEARCH("public",$G1936)),ISNUMBER(SEARCH("public",$H1936))),"FLAG: The Public placeholder-verify. ","")&amp;IF(ISNUMBER(SEARCH("all",$L1936)),"All-section coverage. ","")&amp;IF($O1936=0,"Gross acres unresolved. ","")&amp;"Gross=tract-map basis."))</x:f>
        <x:v>Leasehold (non-mineral; excluded from mineral NMA). Gross acres unresolved. Gross=tract-map basis.</x:v>
      </x:c>
      <x:c r="T1936" s="577" t="n"/>
      <x:c r="U1936" s="578" t="n"/>
      <x:c r="V1936" s="565" t="n"/>
      <x:c r="W1936" s="565" t="n"/>
      <x:c r="X1936" s="565" t="n"/>
      <x:c r="Y1936" s="565" t="n"/>
      <x:c r="Z1936" s="565" t="n"/>
    </x:row>
    <x:row r="1937">
      <x:c r="A1937" s="552" t="inlineStr">
        <x:is>
          <x:t xml:space="preserve">2005-003756</x:t>
        </x:is>
      </x:c>
      <x:c r="B1937" s="552" t="n">
        <x:v>26</x:v>
      </x:c>
      <x:c r="C1937" s="552" t="inlineStr">
        <x:is>
          <x:t xml:space="preserve">Oil and Gas Lease</x:t>
        </x:is>
      </x:c>
      <x:c r="D1937" s="552" t="inlineStr">
        <x:is>
          <x:t xml:space="preserve">1792/517</x:t>
        </x:is>
      </x:c>
      <x:c r="E1937" s="653" t="n">
        <x:v>38441</x:v>
      </x:c>
      <x:c r="F1937" s="653" t="n">
        <x:v>38504</x:v>
      </x:c>
      <x:c r="G1937" s="552" t="inlineStr">
        <x:is>
          <x:t xml:space="preserve">Martha Ann Devenas a/k/a Ann Devenas
862 West Church Street
Newark, OH 43055
</x:t>
        </x:is>
      </x:c>
      <x:c r="H1937" s="552" t="inlineStr">
        <x:is>
          <x:t xml:space="preserve">EOG Resources, Inc.</x:t>
        </x:is>
      </x:c>
      <x:c r="I1937" s="552" t="inlineStr">
        <x:is>
          <x:t xml:space="preserve">SE/4 SW/4 of 31-12N-24W</x:t>
        </x:is>
      </x:c>
      <x:c r="J1937" s="552" t="inlineStr">
        <x:is>
          <x:t xml:space="preserve">40 gross acres
3 yrs
3/16ths royalty</x:t>
        </x:is>
      </x:c>
      <x:c r="K1937" s="554" t="e">
        <x:f>HYPERLINK("https://okcountyrecords.com/detail/roger+mills/2005-003756","OKCountyRecords: 2005-003756")</x:f>
      </x:c>
      <x:c r="L1937" s="552" t="n">
        <x:v>5</x:v>
      </x:c>
      <x:c r="M1937" s="552" t="inlineStr">
        <x:is>
          <x:t xml:space="preserve">Leasehold</x:t>
        </x:is>
      </x:c>
      <x:c r="N1937" s="555" t="n"/>
      <x:c r="O1937" s="556" t="n">
        <x:f>IF($L1937="","",IF(ISNUMBER(SEARCH("all",$L1937)),640,(ISNUMBER(SEARCH("1",$L1937)))*80+(ISNUMBER(SEARCH("2",$L1937)))*160+(ISNUMBER(SEARCH("3",$L1937)))*40+(ISNUMBER(SEARCH("4",$L1937)))*80+(ISNUMBER(SEARCH("5",$L1937)))*120+(ISNUMBER(SEARCH("6",$L1937)))*80+(ISNUMBER(SEARCH("7",$L1937)))*40+(ISNUMBER(SEARCH("8",$L1937)))*40))</x:f>
        <x:v>0</x:v>
      </x:c>
      <x:c r="P1937" s="654" t="str">
        <x:f>IF($M1937&lt;&gt;"Mineral","",IF(ISNUMBER($N1937),$N1937,IF(OR(ISNUMBER(SEARCH("surface",$J1937)),ISNUMBER(SEARCH("reserv",$J1937)),ISNUMBER(SEARCH("less and except",$J1937))),0,"")))</x:f>
      </x:c>
      <x:c r="Q1937" s="654" t="str">
        <x:f>IF($P1937="","",-$P1937)</x:f>
      </x:c>
      <x:c r="R1937" s="655" t="str">
        <x:f>IF($P1937="","",$O1937*$P1937)</x:f>
      </x:c>
      <x:c r="S1937" s="552" t="str">
        <x:f>IF($M1937="","",TRIM(IF($M1937="Mineral",IF(ISNUMBER($N1937),"Mineral; basis Conv Amt(dec). ",IF($P1937=0,"Mineral; surface-only/reserved-&gt;0 min. ","Mineral; NO AMOUNT-verify instrument. ")),$M1937&amp;" (non-mineral; excluded from mineral NMA). ")&amp;IF(OR(ISNUMBER(SEARCH("public",$G1937)),ISNUMBER(SEARCH("public",$H1937))),"FLAG: The Public placeholder-verify. ","")&amp;IF(ISNUMBER(SEARCH("all",$L1937)),"All-section coverage. ","")&amp;IF($O1937=0,"Gross acres unresolved. ","")&amp;"Gross=tract-map basis."))</x:f>
        <x:v>Leasehold (non-mineral; excluded from mineral NMA). Gross acres unresolved. Gross=tract-map basis.</x:v>
      </x:c>
      <x:c r="T1937" s="577" t="n"/>
      <x:c r="U1937" s="578" t="n"/>
      <x:c r="V1937" s="565" t="n"/>
      <x:c r="W1937" s="565" t="n"/>
      <x:c r="X1937" s="565" t="n"/>
      <x:c r="Y1937" s="565" t="n"/>
      <x:c r="Z1937" s="565" t="n"/>
    </x:row>
    <x:row r="1938">
      <x:c r="A1938" s="552" t="inlineStr">
        <x:is>
          <x:t xml:space="preserve">2005-003939</x:t>
        </x:is>
      </x:c>
      <x:c r="B1938" s="552" t="n"/>
      <x:c r="C1938" s="552" t="inlineStr">
        <x:is>
          <x:t xml:space="preserve">Ratification of Oil and Gas Lease</x:t>
        </x:is>
      </x:c>
      <x:c r="D1938" s="552" t="inlineStr">
        <x:is>
          <x:t xml:space="preserve">1793/501</x:t>
        </x:is>
      </x:c>
      <x:c r="E1938" s="653" t="n">
        <x:v>38441</x:v>
      </x:c>
      <x:c r="F1938" s="653" t="n">
        <x:v>38511</x:v>
      </x:c>
      <x:c r="G1938" s="552" t="inlineStr">
        <x:is>
          <x:t xml:space="preserve">Molly Devenas
862 West Church Street
Newark, OH 43055
</x:t>
        </x:is>
      </x:c>
      <x:c r="H1938" s="552" t="inlineStr">
        <x:is>
          <x:t xml:space="preserve">EOG Resources, Inc.</x:t>
        </x:is>
      </x:c>
      <x:c r="I1938" s="552" t="inlineStr">
        <x:is>
          <x:t xml:space="preserve">SE/4 SW/4 of 31-12N-24W</x:t>
        </x:is>
      </x:c>
      <x:c r="J1938" s="552" t="inlineStr">
        <x:is>
          <x:t xml:space="preserve">Ratification of Oil and Gas Lease at 1792/517</x:t>
        </x:is>
      </x:c>
      <x:c r="K1938" s="554" t="e">
        <x:f>HYPERLINK("https://okcountyrecords.com/detail/roger+mills/2005-003939","OKCountyRecords: 2005-003939")</x:f>
      </x:c>
      <x:c r="L1938" s="552" t="n">
        <x:v>5</x:v>
      </x:c>
      <x:c r="M1938" s="552" t="inlineStr">
        <x:is>
          <x:t xml:space="preserve">Leasehold</x:t>
        </x:is>
      </x:c>
      <x:c r="N1938" s="555" t="n"/>
      <x:c r="O1938" s="556" t="n">
        <x:f>IF($L1938="","",IF(ISNUMBER(SEARCH("all",$L1938)),640,(ISNUMBER(SEARCH("1",$L1938)))*80+(ISNUMBER(SEARCH("2",$L1938)))*160+(ISNUMBER(SEARCH("3",$L1938)))*40+(ISNUMBER(SEARCH("4",$L1938)))*80+(ISNUMBER(SEARCH("5",$L1938)))*120+(ISNUMBER(SEARCH("6",$L1938)))*80+(ISNUMBER(SEARCH("7",$L1938)))*40+(ISNUMBER(SEARCH("8",$L1938)))*40))</x:f>
        <x:v>0</x:v>
      </x:c>
      <x:c r="P1938" s="654" t="str">
        <x:f>IF($M1938&lt;&gt;"Mineral","",IF(ISNUMBER($N1938),$N1938,IF(OR(ISNUMBER(SEARCH("surface",$J1938)),ISNUMBER(SEARCH("reserv",$J1938)),ISNUMBER(SEARCH("less and except",$J1938))),0,"")))</x:f>
      </x:c>
      <x:c r="Q1938" s="654" t="str">
        <x:f>IF($P1938="","",-$P1938)</x:f>
      </x:c>
      <x:c r="R1938" s="655" t="str">
        <x:f>IF($P1938="","",$O1938*$P1938)</x:f>
      </x:c>
      <x:c r="S1938" s="552" t="str">
        <x:f>IF($M1938="","",TRIM(IF($M1938="Mineral",IF(ISNUMBER($N1938),"Mineral; basis Conv Amt(dec). ",IF($P1938=0,"Mineral; surface-only/reserved-&gt;0 min. ","Mineral; NO AMOUNT-verify instrument. ")),$M1938&amp;" (non-mineral; excluded from mineral NMA). ")&amp;IF(OR(ISNUMBER(SEARCH("public",$G1938)),ISNUMBER(SEARCH("public",$H1938))),"FLAG: The Public placeholder-verify. ","")&amp;IF(ISNUMBER(SEARCH("all",$L1938)),"All-section coverage. ","")&amp;IF($O1938=0,"Gross acres unresolved. ","")&amp;"Gross=tract-map basis."))</x:f>
        <x:v>Leasehold (non-mineral; excluded from mineral NMA). Gross acres unresolved. Gross=tract-map basis.</x:v>
      </x:c>
      <x:c r="T1938" s="577" t="n"/>
      <x:c r="U1938" s="578" t="n"/>
      <x:c r="V1938" s="565" t="n"/>
      <x:c r="W1938" s="565" t="n"/>
      <x:c r="X1938" s="565" t="n"/>
      <x:c r="Y1938" s="565" t="n"/>
      <x:c r="Z1938" s="565" t="n"/>
    </x:row>
    <x:row r="1939">
      <x:c r="A1939" s="552" t="inlineStr">
        <x:is>
          <x:t xml:space="preserve">2005-001909</x:t>
        </x:is>
      </x:c>
      <x:c r="B1939" s="552" t="n"/>
      <x:c r="C1939" s="552" t="inlineStr">
        <x:is>
          <x:t xml:space="preserve">Mineral Deed</x:t>
        </x:is>
      </x:c>
      <x:c r="D1939" s="552" t="inlineStr">
        <x:is>
          <x:t xml:space="preserve">1783/306</x:t>
        </x:is>
      </x:c>
      <x:c r="E1939" s="653" t="n">
        <x:v>38446</x:v>
      </x:c>
      <x:c r="F1939" s="653" t="n">
        <x:v>38446</x:v>
      </x:c>
      <x:c r="G1939" s="552" t="inlineStr">
        <x:is>
          <x:t xml:space="preserve">John William Bain</x:t>
        </x:is>
      </x:c>
      <x:c r="H1939" s="552" t="inlineStr">
        <x:is>
          <x:t xml:space="preserve">G. &amp; T. Partnership, C/O Michelle Martin, Manager</x:t>
        </x:is>
      </x:c>
      <x:c r="I1939" s="552" t="inlineStr">
        <x:is>
          <x:t xml:space="preserve">NW/4 SE/4, S/2 SE/4, SW/4 NE/4 of 31-12N-24W, aol</x:t>
        </x:is>
      </x:c>
      <x:c r="J1939" s="552" t="inlineStr">
        <x:is>
          <x:t xml:space="preserve">ARTI
It is the Intent to convey All Grantor's mineral interest he now possesses and may acquire as heir of Billy Wayne Bain, deceased</x:t>
        </x:is>
      </x:c>
      <x:c r="K1939" s="554" t="e">
        <x:f>HYPERLINK("https://okcountyrecords.com/detail/roger+mills/2005-001909","OKCountyRecords: 2005-001909")</x:f>
      </x:c>
      <x:c r="L1939" s="552" t="n">
        <x:v>2</x:v>
      </x:c>
      <x:c r="M1939" s="552" t="inlineStr">
        <x:is>
          <x:t xml:space="preserve">Mineral</x:t>
        </x:is>
      </x:c>
      <x:c r="N1939" s="555" t="n">
        <x:v>1</x:v>
      </x:c>
      <x:c r="O1939" s="556" t="n">
        <x:f>IF($L1939="","",IF(ISNUMBER(SEARCH("all",$L1939)),640,(ISNUMBER(SEARCH("1",$L1939)))*80+(ISNUMBER(SEARCH("2",$L1939)))*160+(ISNUMBER(SEARCH("3",$L1939)))*40+(ISNUMBER(SEARCH("4",$L1939)))*80+(ISNUMBER(SEARCH("5",$L1939)))*120+(ISNUMBER(SEARCH("6",$L1939)))*80+(ISNUMBER(SEARCH("7",$L1939)))*40+(ISNUMBER(SEARCH("8",$L1939)))*40))</x:f>
        <x:v>0</x:v>
      </x:c>
      <x:c r="P1939" s="654" t="n">
        <x:f>IF($M1939&lt;&gt;"Mineral","",IF(ISNUMBER($N1939),$N1939,IF(OR(ISNUMBER(SEARCH("surface",$J1939)),ISNUMBER(SEARCH("reserv",$J1939)),ISNUMBER(SEARCH("less and except",$J1939))),0,"")))</x:f>
        <x:v>1</x:v>
      </x:c>
      <x:c r="Q1939" s="654" t="n">
        <x:f>IF($P1939="","",-$P1939)</x:f>
        <x:v>-1</x:v>
      </x:c>
      <x:c r="R1939" s="655" t="n">
        <x:f>IF($P1939="","",$O1939*$P1939)</x:f>
        <x:v>0</x:v>
      </x:c>
      <x:c r="S1939" s="552" t="str">
        <x:f>IF($M1939="","",TRIM(IF($M1939="Mineral",IF(ISNUMBER($N1939),"Mineral; basis Conv Amt(dec). ",IF($P1939=0,"Mineral; surface-only/reserved-&gt;0 min. ","Mineral; NO AMOUNT-verify instrument. ")),$M1939&amp;" (non-mineral; excluded from mineral NMA). ")&amp;IF(OR(ISNUMBER(SEARCH("public",$G1939)),ISNUMBER(SEARCH("public",$H1939))),"FLAG: The Public placeholder-verify. ","")&amp;IF(ISNUMBER(SEARCH("all",$L1939)),"All-section coverage. ","")&amp;IF($O1939=0,"Gross acres unresolved. ","")&amp;"Gross=tract-map basis."))</x:f>
        <x:v>Mineral; basis Conv Amt(dec). Gross acres unresolved. Gross=tract-map basis.</x:v>
      </x:c>
      <x:c r="T1939" s="577" t="n"/>
      <x:c r="U1939" s="578" t="n"/>
      <x:c r="V1939" s="565" t="n"/>
      <x:c r="W1939" s="565" t="n"/>
      <x:c r="X1939" s="565" t="n"/>
      <x:c r="Y1939" s="565" t="n"/>
      <x:c r="Z1939" s="565" t="n"/>
    </x:row>
    <x:row r="1940">
      <x:c r="A1940" s="552" t="inlineStr">
        <x:is>
          <x:t xml:space="preserve">2005-002552</x:t>
        </x:is>
      </x:c>
      <x:c r="B1940" s="552" t="n"/>
      <x:c r="C1940" s="552" t="inlineStr">
        <x:is>
          <x:t xml:space="preserve">Oil and Gas Lease</x:t>
        </x:is>
      </x:c>
      <x:c r="D1940" s="552" t="inlineStr">
        <x:is>
          <x:t xml:space="preserve">1786/335</x:t>
        </x:is>
      </x:c>
      <x:c r="E1940" s="653" t="n">
        <x:v>38447</x:v>
      </x:c>
      <x:c r="F1940" s="653" t="n">
        <x:v>38462</x:v>
      </x:c>
      <x:c r="G1940" s="552" t="inlineStr">
        <x:is>
          <x:t xml:space="preserve">Roger Klopfenstein and Linda Klopfenstein. HW
508 Willow
Tuttle, OK 73084
</x:t>
        </x:is>
      </x:c>
      <x:c r="H1940" s="552" t="inlineStr">
        <x:is>
          <x:t xml:space="preserve">Chesapeake Exploration Limited Partnership, an Oklahoma limited partnership</x:t>
        </x:is>
      </x:c>
      <x:c r="I1940" s="552" t="inlineStr">
        <x:is>
          <x:t xml:space="preserve">Lot 4 &amp; S/2 of Lot 3 , S/2 NE/4 SW/4, SE/4 SW/4 of 31-12N-24W</x:t>
        </x:is>
      </x:c>
      <x:c r="J1940" s="552" t="inlineStr">
        <x:is>
          <x:t xml:space="preserve">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equivalent of the base of the deepest stratum penetrated by any well or wells drilled on the leased premises covered hereby or on lands with which said leased premises or a portion thereof have been pooled or unitized, provided if the Lessee, its successors or assigns shall be engaged in operations for the drilling, reworking, completing, testing, or deepening of a well or wells or the drilling, reworking, completing,
testing, or deepening of an existing well or wells on the leased premises or on lands with which said leased premises or a portion hereof have been pooled or unitized, and if such operations are prosecuted with due diligence and without unnecessary delay, then this Oil and Gas Lease shall continue in effect as to all strata until such drilling, reworking, completing, testing, or deepening operations have been completed and total depth has been established.</x:t>
        </x:is>
      </x:c>
      <x:c r="K1940" s="554" t="e">
        <x:f>HYPERLINK("https://okcountyrecords.com/detail/roger+mills/2005-002552","OKCountyRecords: 2005-002552")</x:f>
      </x:c>
      <x:c r="L1940" s="552" t="inlineStr">
        <x:is>
          <x:t xml:space="preserve">2, 3, 5, 7</x:t>
        </x:is>
      </x:c>
      <x:c r="M1940" s="552" t="inlineStr">
        <x:is>
          <x:t xml:space="preserve">Leasehold</x:t>
        </x:is>
      </x:c>
      <x:c r="N1940" s="555" t="n"/>
      <x:c r="O1940" s="556" t="n">
        <x:f>IF($L1940="","",IF(ISNUMBER(SEARCH("all",$L1940)),640,(ISNUMBER(SEARCH("1",$L1940)))*80+(ISNUMBER(SEARCH("2",$L1940)))*160+(ISNUMBER(SEARCH("3",$L1940)))*40+(ISNUMBER(SEARCH("4",$L1940)))*80+(ISNUMBER(SEARCH("5",$L1940)))*120+(ISNUMBER(SEARCH("6",$L1940)))*80+(ISNUMBER(SEARCH("7",$L1940)))*40+(ISNUMBER(SEARCH("8",$L1940)))*40))</x:f>
        <x:v>0</x:v>
      </x:c>
      <x:c r="P1940" s="654" t="str">
        <x:f>IF($M1940&lt;&gt;"Mineral","",IF(ISNUMBER($N1940),$N1940,IF(OR(ISNUMBER(SEARCH("surface",$J1940)),ISNUMBER(SEARCH("reserv",$J1940)),ISNUMBER(SEARCH("less and except",$J1940))),0,"")))</x:f>
      </x:c>
      <x:c r="Q1940" s="654" t="str">
        <x:f>IF($P1940="","",-$P1940)</x:f>
      </x:c>
      <x:c r="R1940" s="655" t="str">
        <x:f>IF($P1940="","",$O1940*$P1940)</x:f>
      </x:c>
      <x:c r="S1940" s="552" t="str">
        <x:f>IF($M1940="","",TRIM(IF($M1940="Mineral",IF(ISNUMBER($N1940),"Mineral; basis Conv Amt(dec). ",IF($P1940=0,"Mineral; surface-only/reserved-&gt;0 min. ","Mineral; NO AMOUNT-verify instrument. ")),$M1940&amp;" (non-mineral; excluded from mineral NMA). ")&amp;IF(OR(ISNUMBER(SEARCH("public",$G1940)),ISNUMBER(SEARCH("public",$H1940))),"FLAG: The Public placeholder-verify. ","")&amp;IF(ISNUMBER(SEARCH("all",$L1940)),"All-section coverage. ","")&amp;IF($O1940=0,"Gross acres unresolved. ","")&amp;"Gross=tract-map basis."))</x:f>
        <x:v>Leasehold (non-mineral; excluded from mineral NMA). Gross acres unresolved. Gross=tract-map basis.</x:v>
      </x:c>
      <x:c r="T1940" s="577" t="n"/>
      <x:c r="U1940" s="578" t="n"/>
      <x:c r="V1940" s="565" t="n"/>
      <x:c r="W1940" s="565" t="n"/>
      <x:c r="X1940" s="565" t="n"/>
      <x:c r="Y1940" s="565" t="n"/>
      <x:c r="Z1940" s="565" t="n"/>
    </x:row>
    <x:row r="1941">
      <x:c r="A1941" s="552" t="inlineStr">
        <x:is>
          <x:t xml:space="preserve">2005-002196</x:t>
        </x:is>
      </x:c>
      <x:c r="B1941" s="552" t="n"/>
      <x:c r="C1941" s="552" t="inlineStr">
        <x:is>
          <x:t xml:space="preserve">Decree</x:t>
        </x:is>
      </x:c>
      <x:c r="D1941" s="552" t="inlineStr">
        <x:is>
          <x:t xml:space="preserve">1784/591</x:t>
        </x:is>
      </x:c>
      <x:c r="E1941" s="653" t="n">
        <x:v>38455</x:v>
      </x:c>
      <x:c r="F1941" s="653" t="n">
        <x:v>38455</x:v>
      </x:c>
      <x:c r="G1941" s="552" t="inlineStr">
        <x:is>
          <x:t xml:space="preserve">Roger Mills County Court
RE: In the Matter of the Estate of Virgil Mark Hambrook, Deceased</x:t>
        </x:is>
      </x:c>
      <x:c r="H1941" s="552" t="inlineStr">
        <x:is>
          <x:t xml:space="preserve">Sandra York, a/k/a Sandra Lorraine York, a/k/a Sandra Lorrain
York</x:t>
        </x:is>
      </x:c>
      <x:c r="I1941" s="552" t="inlineStr">
        <x:is>
          <x:t xml:space="preserve">Lots 1, 2, a/d/a W/2 NW/4, N/2 of Lot 3 of 31-12N-24W</x:t>
        </x:is>
      </x:c>
      <x:c r="J1941" s="552" t="inlineStr">
        <x:is>
          <x:t xml:space="preserve">ARTI, 25.1002, NMA
Tract 1: An undivided 16.38915 mineral acres interest, more or less, lying under Lots 1 and 2, a/d/a the W/2 NW/4 of 31-12N-24W
Tract 2: An undivided 8.71105 mineral acres interest, more or less, lying under the North Half of Lot 3 of 31-12N-24W, aol</x:t>
        </x:is>
      </x:c>
      <x:c r="K1941" s="554" t="e">
        <x:f>HYPERLINK("https://okcountyrecords.com/detail/roger+mills/2005-002196","OKCountyRecords: 2005-002196")</x:f>
      </x:c>
      <x:c r="L1941" s="552" t="inlineStr">
        <x:is>
          <x:t xml:space="preserve">5, 6</x:t>
        </x:is>
      </x:c>
      <x:c r="M1941" s="552" t="inlineStr">
        <x:is>
          <x:t xml:space="preserve">Mineral</x:t>
        </x:is>
      </x:c>
      <x:c r="N1941" s="555" t="n">
        <x:v>1</x:v>
      </x:c>
      <x:c r="O1941" s="556" t="n">
        <x:f>IF($L1941="","",IF(ISNUMBER(SEARCH("all",$L1941)),640,(ISNUMBER(SEARCH("1",$L1941)))*80+(ISNUMBER(SEARCH("2",$L1941)))*160+(ISNUMBER(SEARCH("3",$L1941)))*40+(ISNUMBER(SEARCH("4",$L1941)))*80+(ISNUMBER(SEARCH("5",$L1941)))*120+(ISNUMBER(SEARCH("6",$L1941)))*80+(ISNUMBER(SEARCH("7",$L1941)))*40+(ISNUMBER(SEARCH("8",$L1941)))*40))</x:f>
        <x:v>0</x:v>
      </x:c>
      <x:c r="P1941" s="654" t="n">
        <x:f>IF($M1941&lt;&gt;"Mineral","",IF(ISNUMBER($N1941),$N1941,IF(OR(ISNUMBER(SEARCH("surface",$J1941)),ISNUMBER(SEARCH("reserv",$J1941)),ISNUMBER(SEARCH("less and except",$J1941))),0,"")))</x:f>
        <x:v>1</x:v>
      </x:c>
      <x:c r="Q1941" s="654" t="n">
        <x:f>IF($P1941="","",-$P1941)</x:f>
        <x:v>-1</x:v>
      </x:c>
      <x:c r="R1941" s="655" t="n">
        <x:f>IF($P1941="","",$O1941*$P1941)</x:f>
        <x:v>0</x:v>
      </x:c>
      <x:c r="S1941" s="552" t="str">
        <x:f>IF($M1941="","",TRIM(IF($M1941="Mineral",IF(ISNUMBER($N1941),"Mineral; basis Conv Amt(dec). ",IF($P1941=0,"Mineral; surface-only/reserved-&gt;0 min. ","Mineral; NO AMOUNT-verify instrument. ")),$M1941&amp;" (non-mineral; excluded from mineral NMA). ")&amp;IF(OR(ISNUMBER(SEARCH("public",$G1941)),ISNUMBER(SEARCH("public",$H1941))),"FLAG: The Public placeholder-verify. ","")&amp;IF(ISNUMBER(SEARCH("all",$L1941)),"All-section coverage. ","")&amp;IF($O1941=0,"Gross acres unresolved. ","")&amp;"Gross=tract-map basis."))</x:f>
        <x:v>Mineral; basis Conv Amt(dec). Gross acres unresolved. Gross=tract-map basis.</x:v>
      </x:c>
      <x:c r="T1941" s="577" t="n"/>
      <x:c r="U1941" s="578" t="n"/>
      <x:c r="V1941" s="565" t="n"/>
      <x:c r="W1941" s="565" t="n"/>
      <x:c r="X1941" s="565" t="n"/>
      <x:c r="Y1941" s="565" t="n"/>
      <x:c r="Z1941" s="565" t="n"/>
    </x:row>
    <x:row r="1942">
      <x:c r="A1942" s="552" t="inlineStr">
        <x:is>
          <x:t xml:space="preserve">2005-002831</x:t>
        </x:is>
      </x:c>
      <x:c r="B1942" s="552" t="n"/>
      <x:c r="C1942" s="552" t="inlineStr">
        <x:is>
          <x:t xml:space="preserve">Oil and Gas Lease</x:t>
        </x:is>
      </x:c>
      <x:c r="D1942" s="552" t="inlineStr">
        <x:is>
          <x:t xml:space="preserve">1788/24</x:t>
        </x:is>
      </x:c>
      <x:c r="E1942" s="653" t="n">
        <x:v>38457</x:v>
      </x:c>
      <x:c r="F1942" s="653" t="n">
        <x:v>38474</x:v>
      </x:c>
      <x:c r="G1942" s="552" t="inlineStr">
        <x:is>
          <x:t xml:space="preserve">Arrowhead Resources, Inc.</x:t>
        </x:is>
      </x:c>
      <x:c r="H1942" s="552" t="inlineStr">
        <x:is>
          <x:t xml:space="preserve">Arrowhead Explor &amp; Prod Co.</x:t>
        </x:is>
      </x:c>
      <x:c r="I1942" s="552" t="inlineStr">
        <x:is>
          <x:t xml:space="preserve">SE/4 SW/4 of 31-12N-24W</x:t>
        </x:is>
      </x:c>
      <x:c r="J1942" s="552" t="inlineStr">
        <x:is>
          <x:t xml:space="preserve">40 gross acres
5 yrs
3/16ths royalty</x:t>
        </x:is>
      </x:c>
      <x:c r="K1942" s="554" t="e">
        <x:f>HYPERLINK("https://okcountyrecords.com/detail/roger+mills/2005-002831","OKCountyRecords: 2005-002831")</x:f>
      </x:c>
      <x:c r="L1942" s="552" t="n">
        <x:v>5</x:v>
      </x:c>
      <x:c r="M1942" s="552" t="inlineStr">
        <x:is>
          <x:t xml:space="preserve">Leasehold</x:t>
        </x:is>
      </x:c>
      <x:c r="N1942" s="555" t="n"/>
      <x:c r="O1942" s="556" t="n">
        <x:f>IF($L1942="","",IF(ISNUMBER(SEARCH("all",$L1942)),640,(ISNUMBER(SEARCH("1",$L1942)))*80+(ISNUMBER(SEARCH("2",$L1942)))*160+(ISNUMBER(SEARCH("3",$L1942)))*40+(ISNUMBER(SEARCH("4",$L1942)))*80+(ISNUMBER(SEARCH("5",$L1942)))*120+(ISNUMBER(SEARCH("6",$L1942)))*80+(ISNUMBER(SEARCH("7",$L1942)))*40+(ISNUMBER(SEARCH("8",$L1942)))*40))</x:f>
        <x:v>0</x:v>
      </x:c>
      <x:c r="P1942" s="654" t="str">
        <x:f>IF($M1942&lt;&gt;"Mineral","",IF(ISNUMBER($N1942),$N1942,IF(OR(ISNUMBER(SEARCH("surface",$J1942)),ISNUMBER(SEARCH("reserv",$J1942)),ISNUMBER(SEARCH("less and except",$J1942))),0,"")))</x:f>
      </x:c>
      <x:c r="Q1942" s="654" t="str">
        <x:f>IF($P1942="","",-$P1942)</x:f>
      </x:c>
      <x:c r="R1942" s="655" t="str">
        <x:f>IF($P1942="","",$O1942*$P1942)</x:f>
      </x:c>
      <x:c r="S1942" s="552" t="str">
        <x:f>IF($M1942="","",TRIM(IF($M1942="Mineral",IF(ISNUMBER($N1942),"Mineral; basis Conv Amt(dec). ",IF($P1942=0,"Mineral; surface-only/reserved-&gt;0 min. ","Mineral; NO AMOUNT-verify instrument. ")),$M1942&amp;" (non-mineral; excluded from mineral NMA). ")&amp;IF(OR(ISNUMBER(SEARCH("public",$G1942)),ISNUMBER(SEARCH("public",$H1942))),"FLAG: The Public placeholder-verify. ","")&amp;IF(ISNUMBER(SEARCH("all",$L1942)),"All-section coverage. ","")&amp;IF($O1942=0,"Gross acres unresolved. ","")&amp;"Gross=tract-map basis."))</x:f>
        <x:v>Leasehold (non-mineral; excluded from mineral NMA). Gross acres unresolved. Gross=tract-map basis.</x:v>
      </x:c>
      <x:c r="T1942" s="577" t="n"/>
      <x:c r="U1942" s="578" t="n"/>
      <x:c r="V1942" s="565" t="n"/>
      <x:c r="W1942" s="565" t="n"/>
      <x:c r="X1942" s="565" t="n"/>
      <x:c r="Y1942" s="565" t="n"/>
      <x:c r="Z1942" s="565" t="n"/>
    </x:row>
    <x:row r="1943">
      <x:c r="A1943" s="552" t="inlineStr">
        <x:is>
          <x:t xml:space="preserve">2005-004817</x:t>
        </x:is>
      </x:c>
      <x:c r="B1943" s="552" t="n"/>
      <x:c r="C1943" s="552" t="inlineStr">
        <x:is>
          <x:t xml:space="preserve">Oil and Gas Lease</x:t>
        </x:is>
      </x:c>
      <x:c r="D1943" s="552" t="inlineStr">
        <x:is>
          <x:t xml:space="preserve">1798/148</x:t>
        </x:is>
      </x:c>
      <x:c r="E1943" s="653" t="n">
        <x:v>38468</x:v>
      </x:c>
      <x:c r="F1943" s="653" t="n">
        <x:v>38551</x:v>
      </x:c>
      <x:c r="G1943" s="552" t="inlineStr">
        <x:is>
          <x:t xml:space="preserve">Dwight J. Williams
c/o Robert M. Collins. 
100 N. Main #608
Wichita, KS 67202
</x:t>
        </x:is>
      </x:c>
      <x:c r="H1943" s="552" t="inlineStr">
        <x:is>
          <x:t xml:space="preserve">Chesapeake Exploration Limited Partnership, an Oklahoma limited partnership</x:t>
        </x:is>
      </x:c>
      <x:c r="I1943" s="552" t="inlineStr">
        <x:is>
          <x:t xml:space="preserve">NW/4 SE/4, S/2 SE/4, SW/4 NE/4 of 31-12N-24W</x:t>
        </x:is>
      </x:c>
      <x:c r="J1943" s="552" t="inlineStr">
        <x:is>
          <x:t xml:space="preserve">160 gross acres
3 yrs
3/16ths royalty</x:t>
        </x:is>
      </x:c>
      <x:c r="K1943" s="554" t="e">
        <x:f>HYPERLINK("https://okcountyrecords.com/detail/roger+mills/2005-004817","OKCountyRecords: 2005-004817")</x:f>
      </x:c>
      <x:c r="L1943" s="552" t="n">
        <x:v>2</x:v>
      </x:c>
      <x:c r="M1943" s="552" t="inlineStr">
        <x:is>
          <x:t xml:space="preserve">Leasehold</x:t>
        </x:is>
      </x:c>
      <x:c r="N1943" s="555" t="n"/>
      <x:c r="O1943" s="556" t="n">
        <x:f>IF($L1943="","",IF(ISNUMBER(SEARCH("all",$L1943)),640,(ISNUMBER(SEARCH("1",$L1943)))*80+(ISNUMBER(SEARCH("2",$L1943)))*160+(ISNUMBER(SEARCH("3",$L1943)))*40+(ISNUMBER(SEARCH("4",$L1943)))*80+(ISNUMBER(SEARCH("5",$L1943)))*120+(ISNUMBER(SEARCH("6",$L1943)))*80+(ISNUMBER(SEARCH("7",$L1943)))*40+(ISNUMBER(SEARCH("8",$L1943)))*40))</x:f>
        <x:v>0</x:v>
      </x:c>
      <x:c r="P1943" s="654" t="str">
        <x:f>IF($M1943&lt;&gt;"Mineral","",IF(ISNUMBER($N1943),$N1943,IF(OR(ISNUMBER(SEARCH("surface",$J1943)),ISNUMBER(SEARCH("reserv",$J1943)),ISNUMBER(SEARCH("less and except",$J1943))),0,"")))</x:f>
      </x:c>
      <x:c r="Q1943" s="654" t="str">
        <x:f>IF($P1943="","",-$P1943)</x:f>
      </x:c>
      <x:c r="R1943" s="655" t="str">
        <x:f>IF($P1943="","",$O1943*$P1943)</x:f>
      </x:c>
      <x:c r="S1943" s="552" t="str">
        <x:f>IF($M1943="","",TRIM(IF($M1943="Mineral",IF(ISNUMBER($N1943),"Mineral; basis Conv Amt(dec). ",IF($P1943=0,"Mineral; surface-only/reserved-&gt;0 min. ","Mineral; NO AMOUNT-verify instrument. ")),$M1943&amp;" (non-mineral; excluded from mineral NMA). ")&amp;IF(OR(ISNUMBER(SEARCH("public",$G1943)),ISNUMBER(SEARCH("public",$H1943))),"FLAG: The Public placeholder-verify. ","")&amp;IF(ISNUMBER(SEARCH("all",$L1943)),"All-section coverage. ","")&amp;IF($O1943=0,"Gross acres unresolved. ","")&amp;"Gross=tract-map basis."))</x:f>
        <x:v>Leasehold (non-mineral; excluded from mineral NMA). Gross acres unresolved. Gross=tract-map basis.</x:v>
      </x:c>
      <x:c r="T1943" s="577" t="n"/>
      <x:c r="U1943" s="578" t="n"/>
      <x:c r="V1943" s="565" t="n"/>
      <x:c r="W1943" s="565" t="n"/>
      <x:c r="X1943" s="565" t="n"/>
      <x:c r="Y1943" s="565" t="n"/>
      <x:c r="Z1943" s="565" t="n"/>
    </x:row>
    <x:row r="1944">
      <x:c r="A1944" s="552" t="inlineStr">
        <x:is>
          <x:t xml:space="preserve">2005-004863</x:t>
        </x:is>
      </x:c>
      <x:c r="B1944" s="552" t="n"/>
      <x:c r="C1944" s="552" t="inlineStr">
        <x:is>
          <x:t xml:space="preserve">Oil and Gas Lease</x:t>
        </x:is>
      </x:c>
      <x:c r="D1944" s="552" t="inlineStr">
        <x:is>
          <x:t xml:space="preserve">1798/292</x:t>
        </x:is>
      </x:c>
      <x:c r="E1944" s="653" t="n">
        <x:v>38468</x:v>
      </x:c>
      <x:c r="F1944" s="653" t="n">
        <x:v>38552</x:v>
      </x:c>
      <x:c r="G1944" s="552" t="inlineStr">
        <x:is>
          <x:t xml:space="preserve">Jan A. Schroff. Trustee of The Jan A. Schroff Trust under Trust Agreement dated Anril 8. 1998
c/o Robert M. Collins 
100 N. Main #608
Wichita, KS 67202
</x:t>
        </x:is>
      </x:c>
      <x:c r="H1944" s="552" t="inlineStr">
        <x:is>
          <x:t xml:space="preserve">Chesapeake Exploration Limited Partnership, an Oklahoma limited partnership</x:t>
        </x:is>
      </x:c>
      <x:c r="I1944" s="552" t="inlineStr">
        <x:is>
          <x:t xml:space="preserve">NW/4 SE/4, S/2 SE/4, SW/4 NE/4 of 31-12N-24W</x:t>
        </x:is>
      </x:c>
      <x:c r="J1944" s="552" t="inlineStr">
        <x:is>
          <x:t xml:space="preserve">160 gross acres
3 yrs
3/16ths royalty</x:t>
        </x:is>
      </x:c>
      <x:c r="K1944" s="554" t="e">
        <x:f>HYPERLINK("https://okcountyrecords.com/detail/roger+mills/2005-004863","OKCountyRecords: 2005-004863")</x:f>
      </x:c>
      <x:c r="L1944" s="552" t="n">
        <x:v>2</x:v>
      </x:c>
      <x:c r="M1944" s="552" t="inlineStr">
        <x:is>
          <x:t xml:space="preserve">Leasehold</x:t>
        </x:is>
      </x:c>
      <x:c r="N1944" s="555" t="n"/>
      <x:c r="O1944" s="556" t="n">
        <x:f>IF($L1944="","",IF(ISNUMBER(SEARCH("all",$L1944)),640,(ISNUMBER(SEARCH("1",$L1944)))*80+(ISNUMBER(SEARCH("2",$L1944)))*160+(ISNUMBER(SEARCH("3",$L1944)))*40+(ISNUMBER(SEARCH("4",$L1944)))*80+(ISNUMBER(SEARCH("5",$L1944)))*120+(ISNUMBER(SEARCH("6",$L1944)))*80+(ISNUMBER(SEARCH("7",$L1944)))*40+(ISNUMBER(SEARCH("8",$L1944)))*40))</x:f>
        <x:v>0</x:v>
      </x:c>
      <x:c r="P1944" s="654" t="str">
        <x:f>IF($M1944&lt;&gt;"Mineral","",IF(ISNUMBER($N1944),$N1944,IF(OR(ISNUMBER(SEARCH("surface",$J1944)),ISNUMBER(SEARCH("reserv",$J1944)),ISNUMBER(SEARCH("less and except",$J1944))),0,"")))</x:f>
      </x:c>
      <x:c r="Q1944" s="654" t="str">
        <x:f>IF($P1944="","",-$P1944)</x:f>
      </x:c>
      <x:c r="R1944" s="655" t="str">
        <x:f>IF($P1944="","",$O1944*$P1944)</x:f>
      </x:c>
      <x:c r="S1944" s="552" t="str">
        <x:f>IF($M1944="","",TRIM(IF($M1944="Mineral",IF(ISNUMBER($N1944),"Mineral; basis Conv Amt(dec). ",IF($P1944=0,"Mineral; surface-only/reserved-&gt;0 min. ","Mineral; NO AMOUNT-verify instrument. ")),$M1944&amp;" (non-mineral; excluded from mineral NMA). ")&amp;IF(OR(ISNUMBER(SEARCH("public",$G1944)),ISNUMBER(SEARCH("public",$H1944))),"FLAG: The Public placeholder-verify. ","")&amp;IF(ISNUMBER(SEARCH("all",$L1944)),"All-section coverage. ","")&amp;IF($O1944=0,"Gross acres unresolved. ","")&amp;"Gross=tract-map basis."))</x:f>
        <x:v>Leasehold (non-mineral; excluded from mineral NMA). Gross acres unresolved. Gross=tract-map basis.</x:v>
      </x:c>
      <x:c r="T1944" s="577" t="n"/>
      <x:c r="U1944" s="578" t="n"/>
      <x:c r="V1944" s="565" t="n"/>
      <x:c r="W1944" s="565" t="n"/>
      <x:c r="X1944" s="565" t="n"/>
      <x:c r="Y1944" s="565" t="n"/>
      <x:c r="Z1944" s="565" t="n"/>
    </x:row>
    <x:row r="1945">
      <x:c r="A1945" s="552" t="inlineStr">
        <x:is>
          <x:t xml:space="preserve">2005-004816</x:t>
        </x:is>
      </x:c>
      <x:c r="B1945" s="552" t="n">
        <x:v>27</x:v>
      </x:c>
      <x:c r="C1945" s="552" t="inlineStr">
        <x:is>
          <x:t xml:space="preserve">Oil and Gas Lease</x:t>
        </x:is>
      </x:c>
      <x:c r="D1945" s="552" t="inlineStr">
        <x:is>
          <x:t xml:space="preserve">1798/146</x:t>
        </x:is>
      </x:c>
      <x:c r="E1945" s="653" t="n">
        <x:v>38468</x:v>
      </x:c>
      <x:c r="F1945" s="653" t="n">
        <x:v>38551</x:v>
      </x:c>
      <x:c r="G1945" s="552" t="inlineStr">
        <x:is>
          <x:t xml:space="preserve">Rogene E. Williams. Trustee of the Jon T. Williams and Rogene E. Williams Trust dated 4-6-98
c/o Robert M. Collins. 
100 N. Main #608
Wichita, KS 67202
</x:t>
        </x:is>
      </x:c>
      <x:c r="H1945" s="552" t="inlineStr">
        <x:is>
          <x:t xml:space="preserve">Chesapeake Exploration Limited Partnership, an Oklahoma limited partnership</x:t>
        </x:is>
      </x:c>
      <x:c r="I1945" s="552" t="inlineStr">
        <x:is>
          <x:t xml:space="preserve">NW/4 SE/4, S/2 SE/4, SW/4 NE/4 of 31-12N-24W</x:t>
        </x:is>
      </x:c>
      <x:c r="J1945" s="552" t="inlineStr">
        <x:is>
          <x:t xml:space="preserve">160 gross acres
3 yrs
3/16ths royalty</x:t>
        </x:is>
      </x:c>
      <x:c r="K1945" s="554" t="e">
        <x:f>HYPERLINK("https://okcountyrecords.com/detail/roger+mills/2005-004816","OKCountyRecords: 2005-004816")</x:f>
      </x:c>
      <x:c r="L1945" s="552" t="n">
        <x:v>2</x:v>
      </x:c>
      <x:c r="M1945" s="552" t="inlineStr">
        <x:is>
          <x:t xml:space="preserve">Leasehold</x:t>
        </x:is>
      </x:c>
      <x:c r="N1945" s="555" t="n"/>
      <x:c r="O1945" s="556" t="n">
        <x:f>IF($L1945="","",IF(ISNUMBER(SEARCH("all",$L1945)),640,(ISNUMBER(SEARCH("1",$L1945)))*80+(ISNUMBER(SEARCH("2",$L1945)))*160+(ISNUMBER(SEARCH("3",$L1945)))*40+(ISNUMBER(SEARCH("4",$L1945)))*80+(ISNUMBER(SEARCH("5",$L1945)))*120+(ISNUMBER(SEARCH("6",$L1945)))*80+(ISNUMBER(SEARCH("7",$L1945)))*40+(ISNUMBER(SEARCH("8",$L1945)))*40))</x:f>
        <x:v>0</x:v>
      </x:c>
      <x:c r="P1945" s="654" t="str">
        <x:f>IF($M1945&lt;&gt;"Mineral","",IF(ISNUMBER($N1945),$N1945,IF(OR(ISNUMBER(SEARCH("surface",$J1945)),ISNUMBER(SEARCH("reserv",$J1945)),ISNUMBER(SEARCH("less and except",$J1945))),0,"")))</x:f>
      </x:c>
      <x:c r="Q1945" s="654" t="str">
        <x:f>IF($P1945="","",-$P1945)</x:f>
      </x:c>
      <x:c r="R1945" s="655" t="str">
        <x:f>IF($P1945="","",$O1945*$P1945)</x:f>
      </x:c>
      <x:c r="S1945" s="552" t="str">
        <x:f>IF($M1945="","",TRIM(IF($M1945="Mineral",IF(ISNUMBER($N1945),"Mineral; basis Conv Amt(dec). ",IF($P1945=0,"Mineral; surface-only/reserved-&gt;0 min. ","Mineral; NO AMOUNT-verify instrument. ")),$M1945&amp;" (non-mineral; excluded from mineral NMA). ")&amp;IF(OR(ISNUMBER(SEARCH("public",$G1945)),ISNUMBER(SEARCH("public",$H1945))),"FLAG: The Public placeholder-verify. ","")&amp;IF(ISNUMBER(SEARCH("all",$L1945)),"All-section coverage. ","")&amp;IF($O1945=0,"Gross acres unresolved. ","")&amp;"Gross=tract-map basis."))</x:f>
        <x:v>Leasehold (non-mineral; excluded from mineral NMA). Gross acres unresolved. Gross=tract-map basis.</x:v>
      </x:c>
      <x:c r="T1945" s="577" t="n"/>
      <x:c r="U1945" s="578" t="n"/>
      <x:c r="V1945" s="565" t="n"/>
      <x:c r="W1945" s="565" t="n"/>
      <x:c r="X1945" s="565" t="n"/>
      <x:c r="Y1945" s="565" t="n"/>
      <x:c r="Z1945" s="565" t="n"/>
    </x:row>
    <x:row r="1946">
      <x:c r="A1946" s="552" t="inlineStr">
        <x:is>
          <x:t xml:space="preserve">2005-004818</x:t>
        </x:is>
      </x:c>
      <x:c r="B1946" s="552" t="n"/>
      <x:c r="C1946" s="552" t="inlineStr">
        <x:is>
          <x:t xml:space="preserve">Oil and Gas Lease</x:t>
        </x:is>
      </x:c>
      <x:c r="D1946" s="552" t="inlineStr">
        <x:is>
          <x:t xml:space="preserve">1798/150</x:t>
        </x:is>
      </x:c>
      <x:c r="E1946" s="653" t="n">
        <x:v>38468</x:v>
      </x:c>
      <x:c r="F1946" s="653" t="n">
        <x:v>38551</x:v>
      </x:c>
      <x:c r="G1946" s="552" t="inlineStr">
        <x:is>
          <x:t xml:space="preserve">Stephen M. Criser. Trustee of the "Rive Lind McCaul Trust” under Trust Agreement dated 8-11-95 and
Amended 2-17-98. 
c/o Robert M. Collins
100 N. Main #608
Wichita, KS 67202
</x:t>
        </x:is>
      </x:c>
      <x:c r="H1946" s="552" t="inlineStr">
        <x:is>
          <x:t xml:space="preserve">Chesapeake Exploration Limited Partnership, an Oklahoma limited partnership</x:t>
        </x:is>
      </x:c>
      <x:c r="I1946" s="552" t="inlineStr">
        <x:is>
          <x:t xml:space="preserve">NW/4 SE/4, SW/4 NE/4 of 31-12N-24W aol</x:t>
        </x:is>
      </x:c>
      <x:c r="J1946" s="552" t="inlineStr">
        <x:is>
          <x:t xml:space="preserve">160 gross acres
3 yrs
3/16ths royalty</x:t>
        </x:is>
      </x:c>
      <x:c r="K1946" s="554" t="e">
        <x:f>HYPERLINK("https://okcountyrecords.com/detail/roger+mills/2005-004818","OKCountyRecords: 2005-004818")</x:f>
      </x:c>
      <x:c r="L1946" s="552" t="n">
        <x:v>2</x:v>
      </x:c>
      <x:c r="M1946" s="552" t="inlineStr">
        <x:is>
          <x:t xml:space="preserve">Leasehold</x:t>
        </x:is>
      </x:c>
      <x:c r="N1946" s="555" t="n"/>
      <x:c r="O1946" s="556" t="n">
        <x:f>IF($L1946="","",IF(ISNUMBER(SEARCH("all",$L1946)),640,(ISNUMBER(SEARCH("1",$L1946)))*80+(ISNUMBER(SEARCH("2",$L1946)))*160+(ISNUMBER(SEARCH("3",$L1946)))*40+(ISNUMBER(SEARCH("4",$L1946)))*80+(ISNUMBER(SEARCH("5",$L1946)))*120+(ISNUMBER(SEARCH("6",$L1946)))*80+(ISNUMBER(SEARCH("7",$L1946)))*40+(ISNUMBER(SEARCH("8",$L1946)))*40))</x:f>
        <x:v>0</x:v>
      </x:c>
      <x:c r="P1946" s="654" t="str">
        <x:f>IF($M1946&lt;&gt;"Mineral","",IF(ISNUMBER($N1946),$N1946,IF(OR(ISNUMBER(SEARCH("surface",$J1946)),ISNUMBER(SEARCH("reserv",$J1946)),ISNUMBER(SEARCH("less and except",$J1946))),0,"")))</x:f>
      </x:c>
      <x:c r="Q1946" s="654" t="str">
        <x:f>IF($P1946="","",-$P1946)</x:f>
      </x:c>
      <x:c r="R1946" s="655" t="str">
        <x:f>IF($P1946="","",$O1946*$P1946)</x:f>
      </x:c>
      <x:c r="S1946" s="552" t="str">
        <x:f>IF($M1946="","",TRIM(IF($M1946="Mineral",IF(ISNUMBER($N1946),"Mineral; basis Conv Amt(dec). ",IF($P1946=0,"Mineral; surface-only/reserved-&gt;0 min. ","Mineral; NO AMOUNT-verify instrument. ")),$M1946&amp;" (non-mineral; excluded from mineral NMA). ")&amp;IF(OR(ISNUMBER(SEARCH("public",$G1946)),ISNUMBER(SEARCH("public",$H1946))),"FLAG: The Public placeholder-verify. ","")&amp;IF(ISNUMBER(SEARCH("all",$L1946)),"All-section coverage. ","")&amp;IF($O1946=0,"Gross acres unresolved. ","")&amp;"Gross=tract-map basis."))</x:f>
        <x:v>Leasehold (non-mineral; excluded from mineral NMA). Gross acres unresolved. Gross=tract-map basis.</x:v>
      </x:c>
      <x:c r="T1946" s="577" t="n"/>
      <x:c r="U1946" s="578" t="n"/>
      <x:c r="V1946" s="565" t="n"/>
      <x:c r="W1946" s="565" t="n"/>
      <x:c r="X1946" s="565" t="n"/>
      <x:c r="Y1946" s="565" t="n"/>
      <x:c r="Z1946" s="565" t="n"/>
    </x:row>
    <x:row r="1947">
      <x:c r="A1947" s="552" t="inlineStr">
        <x:is>
          <x:t xml:space="preserve">2005-004793</x:t>
        </x:is>
      </x:c>
      <x:c r="B1947" s="552" t="n"/>
      <x:c r="C1947" s="552" t="inlineStr">
        <x:is>
          <x:t xml:space="preserve">Mineral Deed</x:t>
        </x:is>
      </x:c>
      <x:c r="D1947" s="552" t="inlineStr">
        <x:is>
          <x:t xml:space="preserve">1797/463</x:t>
        </x:is>
      </x:c>
      <x:c r="E1947" s="653" t="n">
        <x:v>38473</x:v>
      </x:c>
      <x:c r="F1947" s="653" t="n">
        <x:v>38548</x:v>
      </x:c>
      <x:c r="G1947" s="552" t="inlineStr">
        <x:is>
          <x:t xml:space="preserve">Arrowhead Resources, Inc.</x:t>
        </x:is>
      </x:c>
      <x:c r="H1947" s="552" t="inlineStr">
        <x:is>
          <x:t xml:space="preserve">MAP2004-OK</x:t>
        </x:is>
      </x:c>
      <x:c r="I1947" s="552" t="inlineStr">
        <x:is>
          <x:t xml:space="preserve">Lots 1, 2, a/d/a W/2 NW/4, N/2 of Lot 3 of 31-12N-24W</x:t>
        </x:is>
      </x:c>
      <x:c r="J1947" s="552" t="inlineStr">
        <x:is>
          <x:t xml:space="preserve">A 10.13 net mineral acre interest
It is the intention of the Grantor herein, to convey 10.13 net mineral acres in the above described lands, acquired from Sandra York, aka Sandra Lorraine York, aka Sandra Lorrain York, Individually and as heir of Virgil Hambrook, mineral deed filed in Book 1768, at page 339.</x:t>
        </x:is>
      </x:c>
      <x:c r="K1947" s="554" t="e">
        <x:f>HYPERLINK("https://okcountyrecords.com/detail/roger+mills/2005-004793","OKCountyRecords: 2005-004793")</x:f>
      </x:c>
      <x:c r="L1947" s="552" t="inlineStr">
        <x:is>
          <x:t xml:space="preserve">5, 6</x:t>
        </x:is>
      </x:c>
      <x:c r="M1947" s="552" t="inlineStr">
        <x:is>
          <x:t xml:space="preserve">Mineral</x:t>
        </x:is>
      </x:c>
      <x:c r="N1947" s="555" t="str">
        <x:f>IF(O1947&gt;0,10.13/O1947,"")</x:f>
      </x:c>
      <x:c r="O1947" s="556" t="n">
        <x:f>IF($L1947="","",IF(ISNUMBER(SEARCH("all",$L1947)),640,(ISNUMBER(SEARCH("1",$L1947)))*80+(ISNUMBER(SEARCH("2",$L1947)))*160+(ISNUMBER(SEARCH("3",$L1947)))*40+(ISNUMBER(SEARCH("4",$L1947)))*80+(ISNUMBER(SEARCH("5",$L1947)))*120+(ISNUMBER(SEARCH("6",$L1947)))*80+(ISNUMBER(SEARCH("7",$L1947)))*40+(ISNUMBER(SEARCH("8",$L1947)))*40))</x:f>
        <x:v>0</x:v>
      </x:c>
      <x:c r="P1947" s="654" t="str">
        <x:f>IF($M1947&lt;&gt;"Mineral","",IF(ISNUMBER($N1947),$N1947,IF(OR(ISNUMBER(SEARCH("surface",$J1947)),ISNUMBER(SEARCH("reserv",$J1947)),ISNUMBER(SEARCH("less and except",$J1947))),0,"")))</x:f>
      </x:c>
      <x:c r="Q1947" s="654" t="str">
        <x:f>IF($P1947="","",-$P1947)</x:f>
      </x:c>
      <x:c r="R1947" s="655" t="str">
        <x:f>IF($P1947="","",$O1947*$P1947)</x:f>
      </x:c>
      <x:c r="S1947" s="552" t="str">
        <x:f>IF($M1947="","",TRIM(IF($M1947="Mineral",IF(ISNUMBER($N1947),"Mineral; basis Conv Amt(dec). ",IF($P1947=0,"Mineral; surface-only/reserved-&gt;0 min. ","Mineral; VERIFY — NEED full instrument image for conveyed amount. ")),$M1947&amp;" (non-mineral; excluded from mineral NMA). ")&amp;IF(OR(ISNUMBER(SEARCH("public",$G1947)),ISNUMBER(SEARCH("public",$H1947))),"FLAG: The Public placeholder; VERIFY — NEED source confirmation. ","")&amp;IF(ISNUMBER(SEARCH("all",$L1947)),"All-section coverage. ","")&amp;IF($O1947=0,"Gross acres unresolved. ","")&amp;"Gross=tract-map basis."))</x:f>
        <x:v>Mineral; surface-only/reserved-&gt;0 min. Gross acres unresolved. Gross=tract-map basis.</x:v>
      </x:c>
      <x:c r="T1947" s="578" t="inlineStr">
        <x:is>
          <x:t xml:space="preserve">REVIEW</x:t>
        </x:is>
      </x:c>
      <x:c r="U1947" s="578" t="inlineStr">
        <x:is>
          <x:t xml:space="preserve">Conveys 10.13 NMA per notes; conv. dec = 10.13/gross. Verify denominator/tract from image.</x:t>
        </x:is>
      </x:c>
      <x:c r="V1947" s="565" t="n"/>
      <x:c r="W1947" s="565" t="n"/>
      <x:c r="X1947" s="565" t="n"/>
      <x:c r="Y1947" s="565" t="n"/>
      <x:c r="Z1947" s="565" t="n"/>
    </x:row>
    <x:row r="1948">
      <x:c r="A1948" s="552" t="inlineStr">
        <x:is>
          <x:t xml:space="preserve">2005-005251</x:t>
        </x:is>
      </x:c>
      <x:c r="B1948" s="552" t="n"/>
      <x:c r="C1948" s="552" t="inlineStr">
        <x:is>
          <x:t xml:space="preserve">Mineral Deed</x:t>
        </x:is>
      </x:c>
      <x:c r="D1948" s="552" t="inlineStr">
        <x:is>
          <x:t xml:space="preserve">1800/453</x:t>
        </x:is>
      </x:c>
      <x:c r="E1948" s="653" t="n">
        <x:v>38473</x:v>
      </x:c>
      <x:c r="F1948" s="653" t="n">
        <x:v>38573</x:v>
      </x:c>
      <x:c r="G1948" s="552" t="inlineStr">
        <x:is>
          <x:t xml:space="preserve">Arrowhead Resources, Inc.</x:t>
        </x:is>
      </x:c>
      <x:c r="H1948" s="552" t="inlineStr">
        <x:is>
          <x:t xml:space="preserve">MAP2004-OK</x:t>
        </x:is>
      </x:c>
      <x:c r="I1948" s="552" t="inlineStr">
        <x:is>
          <x:t xml:space="preserve">SE/4 SW/4 of 31-12N-24W</x:t>
        </x:is>
      </x:c>
      <x:c r="J1948" s="552" t="inlineStr">
        <x:is>
          <x:t xml:space="preserve">An undivided 2.5 net mineral acre interest,
It is the intention of the Grantor herein, to convey an undivided 2.5 net mineral acres in the above described lands, acquired from Oleta Florene Flanagan, formerly Stewart, a/k/a Oleta Florene Wylie, mineral deed filed in Book 1688, at page 374.</x:t>
        </x:is>
      </x:c>
      <x:c r="K1948" s="554" t="e">
        <x:f>HYPERLINK("https://okcountyrecords.com/detail/roger+mills/2005-005251","OKCountyRecords: 2005-005251")</x:f>
      </x:c>
      <x:c r="L1948" s="552" t="n">
        <x:v>5</x:v>
      </x:c>
      <x:c r="M1948" s="552" t="inlineStr">
        <x:is>
          <x:t xml:space="preserve">Mineral</x:t>
        </x:is>
      </x:c>
      <x:c r="N1948" s="555" t="n">
        <x:f>2.5/120</x:f>
        <x:v>0.020833333333333332</x:v>
      </x:c>
      <x:c r="O1948" s="556" t="n">
        <x:f>IF($L1948="","",IF(ISNUMBER(SEARCH("all",$L1948)),640,(ISNUMBER(SEARCH("1",$L1948)))*80+(ISNUMBER(SEARCH("2",$L1948)))*160+(ISNUMBER(SEARCH("3",$L1948)))*40+(ISNUMBER(SEARCH("4",$L1948)))*80+(ISNUMBER(SEARCH("5",$L1948)))*120+(ISNUMBER(SEARCH("6",$L1948)))*80+(ISNUMBER(SEARCH("7",$L1948)))*40+(ISNUMBER(SEARCH("8",$L1948)))*40))</x:f>
        <x:v>0</x:v>
      </x:c>
      <x:c r="P1948" s="654" t="n">
        <x:f>IF($M1948&lt;&gt;"Mineral","",IF(ISNUMBER($N1948),$N1948,IF(OR(ISNUMBER(SEARCH("surface",$J1948)),ISNUMBER(SEARCH("reserv",$J1948)),ISNUMBER(SEARCH("less and except",$J1948))),0,"")))</x:f>
        <x:v>0.020833333333333332</x:v>
      </x:c>
      <x:c r="Q1948" s="654" t="n">
        <x:f>IF($P1948="","",-$P1948)</x:f>
        <x:v>-0.020833333333333332</x:v>
      </x:c>
      <x:c r="R1948" s="655" t="n">
        <x:f>IF($P1948="","",$O1948*$P1948)</x:f>
        <x:v>0</x:v>
      </x:c>
      <x:c r="S1948" s="552" t="str">
        <x:f>IF($M1948="","",TRIM(IF($M1948="Mineral",IF(ISNUMBER($N1948),"Mineral; basis Conv Amt(dec). ",IF($P1948=0,"Mineral; surface-only/reserved-&gt;0 min. ","Mineral; VERIFY — NEED full instrument image for conveyed amount. ")),$M1948&amp;" (non-mineral; excluded from mineral NMA). ")&amp;IF(OR(ISNUMBER(SEARCH("public",$G1948)),ISNUMBER(SEARCH("public",$H1948))),"FLAG: The Public placeholder; VERIFY — NEED source confirmation. ","")&amp;IF(ISNUMBER(SEARCH("all",$L1948)),"All-section coverage. ","")&amp;IF($O1948=0,"Gross acres unresolved. ","")&amp;"Gross=tract-map basis."))</x:f>
        <x:v>Mineral; basis Conv Amt(dec). Gross acres unresolved. Gross=tract-map basis.</x:v>
      </x:c>
      <x:c r="T1948" s="578" t="inlineStr">
        <x:is>
          <x:t xml:space="preserve">REVIEW</x:t>
        </x:is>
      </x:c>
      <x:c r="U1948" s="578" t="inlineStr">
        <x:is>
          <x:t xml:space="preserve">Conveys 2.5 NMA per notes; conv. dec = 2.5/gross. Verify denominator/tract from image.</x:t>
        </x:is>
      </x:c>
      <x:c r="V1948" s="565" t="n"/>
      <x:c r="W1948" s="565" t="n"/>
      <x:c r="X1948" s="565" t="n"/>
      <x:c r="Y1948" s="565" t="n"/>
      <x:c r="Z1948" s="565" t="n"/>
    </x:row>
    <x:row r="1949">
      <x:c r="A1949" s="552" t="inlineStr">
        <x:is>
          <x:t xml:space="preserve">2005-003389</x:t>
        </x:is>
      </x:c>
      <x:c r="B1949" s="552" t="n"/>
      <x:c r="C1949" s="552" t="inlineStr">
        <x:is>
          <x:t xml:space="preserve">Mineral Deed</x:t>
        </x:is>
      </x:c>
      <x:c r="D1949" s="552" t="inlineStr">
        <x:is>
          <x:t xml:space="preserve">1790/386</x:t>
        </x:is>
      </x:c>
      <x:c r="E1949" s="653" t="n">
        <x:v>38483</x:v>
      </x:c>
      <x:c r="F1949" s="653" t="n">
        <x:v>38490</x:v>
      </x:c>
      <x:c r="G1949" s="552" t="inlineStr">
        <x:is>
          <x:t xml:space="preserve">Laura Snyder Robertson, formerly Laura L. Snyder</x:t>
        </x:is>
      </x:c>
      <x:c r="H1949" s="552" t="inlineStr">
        <x:is>
          <x:t xml:space="preserve">James M. Robertson and/or Rose E. Robertson</x:t>
        </x:is>
      </x:c>
      <x:c r="I1949" s="552" t="inlineStr">
        <x:is>
          <x:t xml:space="preserve">NW/4 SE/4, S/2 SE/4, SW/4 NE/4 of 31-12N-24W, aol</x:t>
        </x:is>
      </x:c>
      <x:c r="J1949" s="552" t="inlineStr">
        <x:is>
          <x:t xml:space="preserve">2/791.47 acres in 2 sections</x:t>
        </x:is>
      </x:c>
      <x:c r="K1949" s="554" t="e">
        <x:f>HYPERLINK("https://okcountyrecords.com/detail/roger+mills/2005-003389","OKCountyRecords: 2005-003389")</x:f>
      </x:c>
      <x:c r="L1949" s="552" t="n">
        <x:v>2</x:v>
      </x:c>
      <x:c r="M1949" s="552" t="inlineStr">
        <x:is>
          <x:t xml:space="preserve">Mineral</x:t>
        </x:is>
      </x:c>
      <x:c r="N1949" s="555" t="n">
        <x:f>2/791.47</x:f>
        <x:v>0.0025269435354467002</x:v>
      </x:c>
      <x:c r="O1949" s="556" t="n">
        <x:f>IF($L1949="","",IF(ISNUMBER(SEARCH("all",$L1949)),640,(ISNUMBER(SEARCH("1",$L1949)))*80+(ISNUMBER(SEARCH("2",$L1949)))*160+(ISNUMBER(SEARCH("3",$L1949)))*40+(ISNUMBER(SEARCH("4",$L1949)))*80+(ISNUMBER(SEARCH("5",$L1949)))*120+(ISNUMBER(SEARCH("6",$L1949)))*80+(ISNUMBER(SEARCH("7",$L1949)))*40+(ISNUMBER(SEARCH("8",$L1949)))*40))</x:f>
        <x:v>0</x:v>
      </x:c>
      <x:c r="P1949" s="654" t="n">
        <x:f>IF($M1949&lt;&gt;"Mineral","",IF(ISNUMBER($N1949),$N1949,IF(OR(ISNUMBER(SEARCH("surface",$J1949)),ISNUMBER(SEARCH("reserv",$J1949)),ISNUMBER(SEARCH("less and except",$J1949))),0,"")))</x:f>
        <x:v>0.0025269435354467002</x:v>
      </x:c>
      <x:c r="Q1949" s="654" t="n">
        <x:f>IF($P1949="","",-$P1949)</x:f>
        <x:v>-0.0025269435354467002</x:v>
      </x:c>
      <x:c r="R1949" s="655" t="n">
        <x:f>IF($P1949="","",$O1949*$P1949)</x:f>
        <x:v>0</x:v>
      </x:c>
      <x:c r="S1949" s="552" t="str">
        <x:f>IF($M1949="","",TRIM(IF($M1949="Mineral",IF(ISNUMBER($N1949),"Mineral; basis Conv Amt(dec). ",IF($P1949=0,"Mineral; surface-only/reserved-&gt;0 min. ","Mineral; NO AMOUNT-verify instrument. ")),$M1949&amp;" (non-mineral; excluded from mineral NMA). ")&amp;IF(OR(ISNUMBER(SEARCH("public",$G1949)),ISNUMBER(SEARCH("public",$H1949))),"FLAG: The Public placeholder-verify. ","")&amp;IF(ISNUMBER(SEARCH("all",$L1949)),"All-section coverage. ","")&amp;IF($O1949=0,"Gross acres unresolved. ","")&amp;"Gross=tract-map basis."))</x:f>
        <x:v>Mineral; basis Conv Amt(dec). Gross acres unresolved. Gross=tract-map basis.</x:v>
      </x:c>
      <x:c r="T1949" s="577" t="n"/>
      <x:c r="U1949" s="578" t="n"/>
      <x:c r="V1949" s="565" t="n"/>
      <x:c r="W1949" s="565" t="n"/>
      <x:c r="X1949" s="565" t="n"/>
      <x:c r="Y1949" s="565" t="n"/>
      <x:c r="Z1949" s="565" t="n"/>
    </x:row>
    <x:row r="1950">
      <x:c r="A1950" s="552" t="inlineStr">
        <x:is>
          <x:t xml:space="preserve">2005-003691</x:t>
        </x:is>
      </x:c>
      <x:c r="B1950" s="552" t="n"/>
      <x:c r="C1950" s="552" t="inlineStr">
        <x:is>
          <x:t xml:space="preserve">Partial Assignment</x:t>
        </x:is>
      </x:c>
      <x:c r="D1950" s="552" t="inlineStr">
        <x:is>
          <x:t xml:space="preserve">1791/515</x:t>
        </x:is>
      </x:c>
      <x:c r="E1950" s="653" t="n">
        <x:v>38497</x:v>
      </x:c>
      <x:c r="F1950" s="653" t="n">
        <x:v>38499</x:v>
      </x:c>
      <x:c r="G1950" s="552" t="inlineStr">
        <x:is>
          <x:t xml:space="preserve">N/G Discovery, LLC</x:t>
        </x:is>
      </x:c>
      <x:c r="H1950" s="552" t="inlineStr">
        <x:is>
          <x:t xml:space="preserve">Sierra Resources, Inc.</x:t>
        </x:is>
      </x:c>
      <x:c r="I1950" s="552" t="inlineStr">
        <x:is>
          <x:t xml:space="preserve">E/2 NW/4, N/2 NE/4 SW/4, NE/4 SE/4, NW/4 SE/4, S/2 SE/4, SE/4 NE/4, SW/4 NE/4 of 31-12N-24W, aol</x:t>
        </x:is>
      </x:c>
      <x:c r="J1950" s="552" t="inlineStr">
        <x:is>
          <x:t xml:space="preserve">An undivided Forty Percent (40%) interest in and to the oil and gas leases at 1780/409, 1781/204, 1782/261, 1782/267, 1787/47</x:t>
        </x:is>
      </x:c>
      <x:c r="K1950" s="554" t="e">
        <x:f>HYPERLINK("https://okcountyrecords.com/detail/roger+mills/2005-003691","OKCountyRecords: 2005-003691")</x:f>
      </x:c>
      <x:c r="L1950" s="552" t="inlineStr">
        <x:is>
          <x:t xml:space="preserve">1, 2, 3, 4, 7, 8</x:t>
        </x:is>
      </x:c>
      <x:c r="M1950" s="552" t="inlineStr">
        <x:is>
          <x:t xml:space="preserve">Leasehold</x:t>
        </x:is>
      </x:c>
      <x:c r="N1950" s="561" t="n"/>
      <x:c r="O1950" s="556" t="n">
        <x:f>IF($L1950="","",IF(ISNUMBER(SEARCH("all",$L1950)),640,(ISNUMBER(SEARCH("1",$L1950)))*80+(ISNUMBER(SEARCH("2",$L1950)))*160+(ISNUMBER(SEARCH("3",$L1950)))*40+(ISNUMBER(SEARCH("4",$L1950)))*80+(ISNUMBER(SEARCH("5",$L1950)))*120+(ISNUMBER(SEARCH("6",$L1950)))*80+(ISNUMBER(SEARCH("7",$L1950)))*40+(ISNUMBER(SEARCH("8",$L1950)))*40))</x:f>
        <x:v>0</x:v>
      </x:c>
      <x:c r="P1950" s="654" t="str">
        <x:f>IF($M1950&lt;&gt;"Mineral","",IF(ISNUMBER($N1950),$N1950,IF(OR(ISNUMBER(SEARCH("surface",$J1950)),ISNUMBER(SEARCH("reserv",$J1950)),ISNUMBER(SEARCH("less and except",$J1950))),0,"")))</x:f>
      </x:c>
      <x:c r="Q1950" s="654" t="str">
        <x:f>IF($P1950="","",-$P1950)</x:f>
      </x:c>
      <x:c r="R1950" s="655" t="str">
        <x:f>IF($P1950="","",$O1950*$P1950)</x:f>
      </x:c>
      <x:c r="S1950" s="552" t="str">
        <x:f>IF($M1950="","",TRIM(IF($M1950="Mineral",IF(ISNUMBER($N1950),"Mineral; basis Conv Amt(dec). ",IF($P1950=0,"Mineral; surface-only/reserved-&gt;0 min. ","Mineral; NO AMOUNT-verify instrument. ")),$M1950&amp;" (non-mineral; excluded from mineral NMA). ")&amp;IF(OR(ISNUMBER(SEARCH("public",$G1950)),ISNUMBER(SEARCH("public",$H1950))),"FLAG: The Public placeholder-verify. ","")&amp;IF(ISNUMBER(SEARCH("all",$L1950)),"All-section coverage. ","")&amp;IF($O1950=0,"Gross acres unresolved. ","")&amp;"Gross=tract-map basis."))</x:f>
        <x:v>Leasehold (non-mineral; excluded from mineral NMA). Gross acres unresolved. Gross=tract-map basis.</x:v>
      </x:c>
      <x:c r="T1950" s="577" t="n"/>
      <x:c r="U1950" s="578" t="n"/>
      <x:c r="V1950" s="565" t="n"/>
      <x:c r="W1950" s="565" t="n"/>
      <x:c r="X1950" s="565" t="n"/>
      <x:c r="Y1950" s="565" t="n"/>
      <x:c r="Z1950" s="565" t="n"/>
    </x:row>
    <x:row r="1951">
      <x:c r="A1951" s="552" t="inlineStr">
        <x:is>
          <x:t xml:space="preserve">2005-004044</x:t>
        </x:is>
      </x:c>
      <x:c r="B1951" s="552" t="n"/>
      <x:c r="C1951" s="552" t="inlineStr">
        <x:is>
          <x:t xml:space="preserve">Mineral Deed</x:t>
        </x:is>
      </x:c>
      <x:c r="D1951" s="552" t="inlineStr">
        <x:is>
          <x:t xml:space="preserve">1794/173</x:t>
        </x:is>
      </x:c>
      <x:c r="E1951" s="653" t="n">
        <x:v>38516</x:v>
      </x:c>
      <x:c r="F1951" s="653" t="n">
        <x:v>38517</x:v>
      </x:c>
      <x:c r="G1951" s="552" t="inlineStr">
        <x:is>
          <x:t xml:space="preserve">Koala Pordution Company</x:t>
        </x:is>
      </x:c>
      <x:c r="H1951" s="552" t="inlineStr">
        <x:is>
          <x:t xml:space="preserve">Chisholm Royalty Partners</x:t>
        </x:is>
      </x:c>
      <x:c r="I1951" s="552" t="inlineStr">
        <x:is>
          <x:t xml:space="preserve">Lots 1 and Lot 2 and the N/2 of Lot 3 of Section 31, also described as follows: Beginning at the NW Corner of the NW/4 of Section 31, thence East on Section Line 18.20 chains (or 72.8 rods), thence South 50 chains (or 200 rods), thence West 18.20 chains (or 72.8 rods, thence North on Range Line 50 Chains (or 200 rods) to point of beginning of 31-12N-24W, containing 92.085 acres, more or less</x:t>
        </x:is>
      </x:c>
      <x:c r="J1951" s="552" t="inlineStr">
        <x:is>
          <x:t xml:space="preserve">ARTI</x:t>
        </x:is>
      </x:c>
      <x:c r="K1951" s="554" t="e">
        <x:f>HYPERLINK("https://okcountyrecords.com/detail/roger+mills/2005-004044","OKCountyRecords: 2005-004044")</x:f>
      </x:c>
      <x:c r="L1951" s="552" t="inlineStr">
        <x:is>
          <x:t xml:space="preserve">4, 5, 6</x:t>
        </x:is>
      </x:c>
      <x:c r="M1951" s="552" t="inlineStr">
        <x:is>
          <x:t xml:space="preserve">Mineral</x:t>
        </x:is>
      </x:c>
      <x:c r="N1951" s="555" t="n">
        <x:v>1</x:v>
      </x:c>
      <x:c r="O1951" s="556" t="n">
        <x:f>IF($L1951="","",IF(ISNUMBER(SEARCH("all",$L1951)),640,(ISNUMBER(SEARCH("1",$L1951)))*80+(ISNUMBER(SEARCH("2",$L1951)))*160+(ISNUMBER(SEARCH("3",$L1951)))*40+(ISNUMBER(SEARCH("4",$L1951)))*80+(ISNUMBER(SEARCH("5",$L1951)))*120+(ISNUMBER(SEARCH("6",$L1951)))*80+(ISNUMBER(SEARCH("7",$L1951)))*40+(ISNUMBER(SEARCH("8",$L1951)))*40))</x:f>
        <x:v>0</x:v>
      </x:c>
      <x:c r="P1951" s="654" t="n">
        <x:f>IF($M1951&lt;&gt;"Mineral","",IF(ISNUMBER($N1951),$N1951,IF(OR(ISNUMBER(SEARCH("surface",$J1951)),ISNUMBER(SEARCH("reserv",$J1951)),ISNUMBER(SEARCH("less and except",$J1951))),0,"")))</x:f>
        <x:v>1</x:v>
      </x:c>
      <x:c r="Q1951" s="654" t="n">
        <x:f>IF($P1951="","",-$P1951)</x:f>
        <x:v>-1</x:v>
      </x:c>
      <x:c r="R1951" s="655" t="n">
        <x:f>IF($P1951="","",$O1951*$P1951)</x:f>
        <x:v>0</x:v>
      </x:c>
      <x:c r="S1951" s="552" t="str">
        <x:f>IF($M1951="","",TRIM(IF($M1951="Mineral",IF(ISNUMBER($N1951),"Mineral; basis Conv Amt(dec). ",IF($P1951=0,"Mineral; surface-only/reserved-&gt;0 min. ","Mineral; NO AMOUNT-verify instrument. ")),$M1951&amp;" (non-mineral; excluded from mineral NMA). ")&amp;IF(OR(ISNUMBER(SEARCH("public",$G1951)),ISNUMBER(SEARCH("public",$H1951))),"FLAG: The Public placeholder-verify. ","")&amp;IF(ISNUMBER(SEARCH("all",$L1951)),"All-section coverage. ","")&amp;IF($O1951=0,"Gross acres unresolved. ","")&amp;"Gross=tract-map basis."))</x:f>
        <x:v>Mineral; basis Conv Amt(dec). Gross acres unresolved. Gross=tract-map basis.</x:v>
      </x:c>
      <x:c r="T1951" s="577" t="n"/>
      <x:c r="U1951" s="578" t="n"/>
      <x:c r="V1951" s="565" t="n"/>
      <x:c r="W1951" s="565" t="n"/>
      <x:c r="X1951" s="565" t="n"/>
      <x:c r="Y1951" s="565" t="n"/>
      <x:c r="Z1951" s="565" t="n"/>
    </x:row>
    <x:row r="1952">
      <x:c r="A1952" s="552" t="inlineStr">
        <x:is>
          <x:t xml:space="preserve">2005-004940</x:t>
        </x:is>
      </x:c>
      <x:c r="B1952" s="552" t="n"/>
      <x:c r="C1952" s="552" t="inlineStr">
        <x:is>
          <x:t xml:space="preserve">Oil and Gas Lease</x:t>
        </x:is>
      </x:c>
      <x:c r="D1952" s="552" t="inlineStr">
        <x:is>
          <x:t xml:space="preserve">1798/579</x:t>
        </x:is>
      </x:c>
      <x:c r="E1952" s="653" t="n">
        <x:v>38522</x:v>
      </x:c>
      <x:c r="F1952" s="653" t="n">
        <x:v>38554</x:v>
      </x:c>
      <x:c r="G1952" s="552" t="inlineStr">
        <x:is>
          <x:t xml:space="preserve">Charlotte F. Willert
2833 Montana Place
Loveland, CO 80538-3427</x:t>
        </x:is>
      </x:c>
      <x:c r="H1952" s="552" t="inlineStr">
        <x:is>
          <x:t xml:space="preserve">EOG Resources, Inc.</x:t>
        </x:is>
      </x:c>
      <x:c r="I1952" s="552" t="inlineStr">
        <x:is>
          <x:t xml:space="preserve">NW/4 SE/4, S/2 SE/4, SW/4 NE/4 of 31-12N-24W</x:t>
        </x:is>
      </x:c>
      <x:c r="J1952" s="552" t="inlineStr">
        <x:is>
          <x:t xml:space="preserve">160 gross acres
3 yrs
3/16ths royalty
This lease is limited from the surface to the stratigraphic equivalent of 20,000 feet</x:t>
        </x:is>
      </x:c>
      <x:c r="K1952" s="554" t="e">
        <x:f>HYPERLINK("https://okcountyrecords.com/detail/roger+mills/2005-004940","OKCountyRecords: 2005-004940")</x:f>
      </x:c>
      <x:c r="L1952" s="552" t="n">
        <x:v>2</x:v>
      </x:c>
      <x:c r="M1952" s="552" t="inlineStr">
        <x:is>
          <x:t xml:space="preserve">Leasehold</x:t>
        </x:is>
      </x:c>
      <x:c r="N1952" s="555" t="n"/>
      <x:c r="O1952" s="556" t="n">
        <x:f>IF($L1952="","",IF(ISNUMBER(SEARCH("all",$L1952)),640,(ISNUMBER(SEARCH("1",$L1952)))*80+(ISNUMBER(SEARCH("2",$L1952)))*160+(ISNUMBER(SEARCH("3",$L1952)))*40+(ISNUMBER(SEARCH("4",$L1952)))*80+(ISNUMBER(SEARCH("5",$L1952)))*120+(ISNUMBER(SEARCH("6",$L1952)))*80+(ISNUMBER(SEARCH("7",$L1952)))*40+(ISNUMBER(SEARCH("8",$L1952)))*40))</x:f>
        <x:v>0</x:v>
      </x:c>
      <x:c r="P1952" s="654" t="str">
        <x:f>IF($M1952&lt;&gt;"Mineral","",IF(ISNUMBER($N1952),$N1952,IF(OR(ISNUMBER(SEARCH("surface",$J1952)),ISNUMBER(SEARCH("reserv",$J1952)),ISNUMBER(SEARCH("less and except",$J1952))),0,"")))</x:f>
      </x:c>
      <x:c r="Q1952" s="654" t="str">
        <x:f>IF($P1952="","",-$P1952)</x:f>
      </x:c>
      <x:c r="R1952" s="655" t="str">
        <x:f>IF($P1952="","",$O1952*$P1952)</x:f>
      </x:c>
      <x:c r="S1952" s="552" t="str">
        <x:f>IF($M1952="","",TRIM(IF($M1952="Mineral",IF(ISNUMBER($N1952),"Mineral; basis Conv Amt(dec). ",IF($P1952=0,"Mineral; surface-only/reserved-&gt;0 min. ","Mineral; NO AMOUNT-verify instrument. ")),$M1952&amp;" (non-mineral; excluded from mineral NMA). ")&amp;IF(OR(ISNUMBER(SEARCH("public",$G1952)),ISNUMBER(SEARCH("public",$H1952))),"FLAG: The Public placeholder-verify. ","")&amp;IF(ISNUMBER(SEARCH("all",$L1952)),"All-section coverage. ","")&amp;IF($O1952=0,"Gross acres unresolved. ","")&amp;"Gross=tract-map basis."))</x:f>
        <x:v>Leasehold (non-mineral; excluded from mineral NMA). Gross acres unresolved. Gross=tract-map basis.</x:v>
      </x:c>
      <x:c r="T1952" s="577" t="n"/>
      <x:c r="U1952" s="578" t="n"/>
      <x:c r="V1952" s="565" t="n"/>
      <x:c r="W1952" s="565" t="n"/>
      <x:c r="X1952" s="565" t="n"/>
      <x:c r="Y1952" s="565" t="n"/>
      <x:c r="Z1952" s="565" t="n"/>
    </x:row>
    <x:row r="1953">
      <x:c r="A1953" s="552" t="inlineStr">
        <x:is>
          <x:t xml:space="preserve">2005-004939</x:t>
        </x:is>
      </x:c>
      <x:c r="B1953" s="552" t="n"/>
      <x:c r="C1953" s="552" t="inlineStr">
        <x:is>
          <x:t xml:space="preserve">Oil and Gas Lease</x:t>
        </x:is>
      </x:c>
      <x:c r="D1953" s="552" t="inlineStr">
        <x:is>
          <x:t xml:space="preserve">1798/576</x:t>
        </x:is>
      </x:c>
      <x:c r="E1953" s="653" t="n">
        <x:v>38522</x:v>
      </x:c>
      <x:c r="F1953" s="653" t="n">
        <x:v>38554</x:v>
      </x:c>
      <x:c r="G1953" s="552" t="inlineStr">
        <x:is>
          <x:t xml:space="preserve">Donald R. Bain
1905 NW 29th Avenue, #220
Portland, OR 97210-5312
</x:t>
        </x:is>
      </x:c>
      <x:c r="H1953" s="552" t="inlineStr">
        <x:is>
          <x:t xml:space="preserve">EOG Resources, Inc.</x:t>
        </x:is>
      </x:c>
      <x:c r="I1953" s="552" t="inlineStr">
        <x:is>
          <x:t xml:space="preserve">NW/4 SE/4, S/2 SE/4, SW/4 NE/4 of 31-12N-24W</x:t>
        </x:is>
      </x:c>
      <x:c r="J1953" s="552" t="inlineStr">
        <x:is>
          <x:t xml:space="preserve">160 gross acres
3 yrs
3/16ths royalty
This lease is limited from the surface to the stratigraphic equivalent of 20,000 feet</x:t>
        </x:is>
      </x:c>
      <x:c r="K1953" s="554" t="e">
        <x:f>HYPERLINK("https://okcountyrecords.com/detail/roger+mills/2005-004939","OKCountyRecords: 2005-004939")</x:f>
      </x:c>
      <x:c r="L1953" s="552" t="n">
        <x:v>2</x:v>
      </x:c>
      <x:c r="M1953" s="552" t="inlineStr">
        <x:is>
          <x:t xml:space="preserve">Leasehold</x:t>
        </x:is>
      </x:c>
      <x:c r="N1953" s="555" t="n"/>
      <x:c r="O1953" s="556" t="n">
        <x:f>IF($L1953="","",IF(ISNUMBER(SEARCH("all",$L1953)),640,(ISNUMBER(SEARCH("1",$L1953)))*80+(ISNUMBER(SEARCH("2",$L1953)))*160+(ISNUMBER(SEARCH("3",$L1953)))*40+(ISNUMBER(SEARCH("4",$L1953)))*80+(ISNUMBER(SEARCH("5",$L1953)))*120+(ISNUMBER(SEARCH("6",$L1953)))*80+(ISNUMBER(SEARCH("7",$L1953)))*40+(ISNUMBER(SEARCH("8",$L1953)))*40))</x:f>
        <x:v>0</x:v>
      </x:c>
      <x:c r="P1953" s="654" t="str">
        <x:f>IF($M1953&lt;&gt;"Mineral","",IF(ISNUMBER($N1953),$N1953,IF(OR(ISNUMBER(SEARCH("surface",$J1953)),ISNUMBER(SEARCH("reserv",$J1953)),ISNUMBER(SEARCH("less and except",$J1953))),0,"")))</x:f>
      </x:c>
      <x:c r="Q1953" s="654" t="str">
        <x:f>IF($P1953="","",-$P1953)</x:f>
      </x:c>
      <x:c r="R1953" s="655" t="str">
        <x:f>IF($P1953="","",$O1953*$P1953)</x:f>
      </x:c>
      <x:c r="S1953" s="552" t="str">
        <x:f>IF($M1953="","",TRIM(IF($M1953="Mineral",IF(ISNUMBER($N1953),"Mineral; basis Conv Amt(dec). ",IF($P1953=0,"Mineral; surface-only/reserved-&gt;0 min. ","Mineral; NO AMOUNT-verify instrument. ")),$M1953&amp;" (non-mineral; excluded from mineral NMA). ")&amp;IF(OR(ISNUMBER(SEARCH("public",$G1953)),ISNUMBER(SEARCH("public",$H1953))),"FLAG: The Public placeholder-verify. ","")&amp;IF(ISNUMBER(SEARCH("all",$L1953)),"All-section coverage. ","")&amp;IF($O1953=0,"Gross acres unresolved. ","")&amp;"Gross=tract-map basis."))</x:f>
        <x:v>Leasehold (non-mineral; excluded from mineral NMA). Gross acres unresolved. Gross=tract-map basis.</x:v>
      </x:c>
      <x:c r="T1953" s="577" t="n"/>
      <x:c r="U1953" s="578" t="n"/>
      <x:c r="V1953" s="565" t="n"/>
      <x:c r="W1953" s="565" t="n"/>
      <x:c r="X1953" s="565" t="n"/>
      <x:c r="Y1953" s="565" t="n"/>
      <x:c r="Z1953" s="565" t="n"/>
    </x:row>
    <x:row r="1954">
      <x:c r="A1954" s="552" t="inlineStr">
        <x:is>
          <x:t xml:space="preserve">2005-004938</x:t>
        </x:is>
      </x:c>
      <x:c r="B1954" s="552" t="n"/>
      <x:c r="C1954" s="552" t="inlineStr">
        <x:is>
          <x:t xml:space="preserve">Oil and Gas Lease</x:t>
        </x:is>
      </x:c>
      <x:c r="D1954" s="552" t="inlineStr">
        <x:is>
          <x:t xml:space="preserve">1798/573</x:t>
        </x:is>
      </x:c>
      <x:c r="E1954" s="653" t="n">
        <x:v>38522</x:v>
      </x:c>
      <x:c r="F1954" s="653" t="n">
        <x:v>38554</x:v>
      </x:c>
      <x:c r="G1954" s="552" t="inlineStr">
        <x:is>
          <x:t xml:space="preserve">Leona I. De Grande
5254 Alkire Street
Arvada, CO 80002-1714</x:t>
        </x:is>
      </x:c>
      <x:c r="H1954" s="552" t="inlineStr">
        <x:is>
          <x:t xml:space="preserve">EOG Resources, Inc.</x:t>
        </x:is>
      </x:c>
      <x:c r="I1954" s="552" t="inlineStr">
        <x:is>
          <x:t xml:space="preserve">NW/4 SE/4, S/2 SE/4, SW/4 NE/4 of 31-12N-24W</x:t>
        </x:is>
      </x:c>
      <x:c r="J1954" s="552" t="inlineStr">
        <x:is>
          <x:t xml:space="preserve">160 gross acres
3 yrs
3/16ths royalty
This lease is limited from the surface to the stratigraphic equivalent of 20,000 feet</x:t>
        </x:is>
      </x:c>
      <x:c r="K1954" s="554" t="e">
        <x:f>HYPERLINK("https://okcountyrecords.com/detail/roger+mills/2005-004938","OKCountyRecords: 2005-004938")</x:f>
      </x:c>
      <x:c r="L1954" s="552" t="n">
        <x:v>2</x:v>
      </x:c>
      <x:c r="M1954" s="552" t="inlineStr">
        <x:is>
          <x:t xml:space="preserve">Leasehold</x:t>
        </x:is>
      </x:c>
      <x:c r="N1954" s="555" t="n"/>
      <x:c r="O1954" s="556" t="n">
        <x:f>IF($L1954="","",IF(ISNUMBER(SEARCH("all",$L1954)),640,(ISNUMBER(SEARCH("1",$L1954)))*80+(ISNUMBER(SEARCH("2",$L1954)))*160+(ISNUMBER(SEARCH("3",$L1954)))*40+(ISNUMBER(SEARCH("4",$L1954)))*80+(ISNUMBER(SEARCH("5",$L1954)))*120+(ISNUMBER(SEARCH("6",$L1954)))*80+(ISNUMBER(SEARCH("7",$L1954)))*40+(ISNUMBER(SEARCH("8",$L1954)))*40))</x:f>
        <x:v>0</x:v>
      </x:c>
      <x:c r="P1954" s="654" t="str">
        <x:f>IF($M1954&lt;&gt;"Mineral","",IF(ISNUMBER($N1954),$N1954,IF(OR(ISNUMBER(SEARCH("surface",$J1954)),ISNUMBER(SEARCH("reserv",$J1954)),ISNUMBER(SEARCH("less and except",$J1954))),0,"")))</x:f>
      </x:c>
      <x:c r="Q1954" s="654" t="str">
        <x:f>IF($P1954="","",-$P1954)</x:f>
      </x:c>
      <x:c r="R1954" s="655" t="str">
        <x:f>IF($P1954="","",$O1954*$P1954)</x:f>
      </x:c>
      <x:c r="S1954" s="552" t="str">
        <x:f>IF($M1954="","",TRIM(IF($M1954="Mineral",IF(ISNUMBER($N1954),"Mineral; basis Conv Amt(dec). ",IF($P1954=0,"Mineral; surface-only/reserved-&gt;0 min. ","Mineral; NO AMOUNT-verify instrument. ")),$M1954&amp;" (non-mineral; excluded from mineral NMA). ")&amp;IF(OR(ISNUMBER(SEARCH("public",$G1954)),ISNUMBER(SEARCH("public",$H1954))),"FLAG: The Public placeholder-verify. ","")&amp;IF(ISNUMBER(SEARCH("all",$L1954)),"All-section coverage. ","")&amp;IF($O1954=0,"Gross acres unresolved. ","")&amp;"Gross=tract-map basis."))</x:f>
        <x:v>Leasehold (non-mineral; excluded from mineral NMA). Gross acres unresolved. Gross=tract-map basis.</x:v>
      </x:c>
      <x:c r="T1954" s="577" t="n"/>
      <x:c r="U1954" s="578" t="n"/>
      <x:c r="V1954" s="565" t="n"/>
      <x:c r="W1954" s="565" t="n"/>
      <x:c r="X1954" s="565" t="n"/>
      <x:c r="Y1954" s="565" t="n"/>
      <x:c r="Z1954" s="565" t="n"/>
    </x:row>
    <x:row r="1955">
      <x:c r="A1955" s="552" t="inlineStr">
        <x:is>
          <x:t xml:space="preserve">2005-004951</x:t>
        </x:is>
      </x:c>
      <x:c r="B1955" s="552" t="n"/>
      <x:c r="C1955" s="552" t="inlineStr">
        <x:is>
          <x:t xml:space="preserve">Oil and Gas Lease</x:t>
        </x:is>
      </x:c>
      <x:c r="D1955" s="552" t="inlineStr">
        <x:is>
          <x:t xml:space="preserve">1799/30</x:t>
        </x:is>
      </x:c>
      <x:c r="E1955" s="653" t="n">
        <x:v>38522</x:v>
      </x:c>
      <x:c r="F1955" s="653" t="n">
        <x:v>38555</x:v>
      </x:c>
      <x:c r="G1955" s="552" t="inlineStr">
        <x:is>
          <x:t xml:space="preserve">Marilyn L. Broyles
P.O. Box 91
Red Feather Lakes, CO 80545</x:t>
        </x:is>
      </x:c>
      <x:c r="H1955" s="552" t="inlineStr">
        <x:is>
          <x:t xml:space="preserve">EOG Resources, Inc.</x:t>
        </x:is>
      </x:c>
      <x:c r="I1955" s="552" t="inlineStr">
        <x:is>
          <x:t xml:space="preserve">NW/4 SE/4, S/2 SE/4, SW/4 NE/4 of 31-12N-24W</x:t>
        </x:is>
      </x:c>
      <x:c r="J1955" s="552" t="inlineStr">
        <x:is>
          <x:t xml:space="preserve">160 gross acres
3 yrs
3/16ths royalty
This lease is limited from the surface to the stratigraphic equivalent of 20,000 feet</x:t>
        </x:is>
      </x:c>
      <x:c r="K1955" s="554" t="e">
        <x:f>HYPERLINK("https://okcountyrecords.com/detail/roger+mills/2005-004951","OKCountyRecords: 2005-004951")</x:f>
      </x:c>
      <x:c r="L1955" s="552" t="n">
        <x:v>2</x:v>
      </x:c>
      <x:c r="M1955" s="552" t="inlineStr">
        <x:is>
          <x:t xml:space="preserve">Leasehold</x:t>
        </x:is>
      </x:c>
      <x:c r="N1955" s="555" t="n"/>
      <x:c r="O1955" s="556" t="n">
        <x:f>IF($L1955="","",IF(ISNUMBER(SEARCH("all",$L1955)),640,(ISNUMBER(SEARCH("1",$L1955)))*80+(ISNUMBER(SEARCH("2",$L1955)))*160+(ISNUMBER(SEARCH("3",$L1955)))*40+(ISNUMBER(SEARCH("4",$L1955)))*80+(ISNUMBER(SEARCH("5",$L1955)))*120+(ISNUMBER(SEARCH("6",$L1955)))*80+(ISNUMBER(SEARCH("7",$L1955)))*40+(ISNUMBER(SEARCH("8",$L1955)))*40))</x:f>
        <x:v>0</x:v>
      </x:c>
      <x:c r="P1955" s="654" t="str">
        <x:f>IF($M1955&lt;&gt;"Mineral","",IF(ISNUMBER($N1955),$N1955,IF(OR(ISNUMBER(SEARCH("surface",$J1955)),ISNUMBER(SEARCH("reserv",$J1955)),ISNUMBER(SEARCH("less and except",$J1955))),0,"")))</x:f>
      </x:c>
      <x:c r="Q1955" s="654" t="str">
        <x:f>IF($P1955="","",-$P1955)</x:f>
      </x:c>
      <x:c r="R1955" s="655" t="str">
        <x:f>IF($P1955="","",$O1955*$P1955)</x:f>
      </x:c>
      <x:c r="S1955" s="552" t="str">
        <x:f>IF($M1955="","",TRIM(IF($M1955="Mineral",IF(ISNUMBER($N1955),"Mineral; basis Conv Amt(dec). ",IF($P1955=0,"Mineral; surface-only/reserved-&gt;0 min. ","Mineral; NO AMOUNT-verify instrument. ")),$M1955&amp;" (non-mineral; excluded from mineral NMA). ")&amp;IF(OR(ISNUMBER(SEARCH("public",$G1955)),ISNUMBER(SEARCH("public",$H1955))),"FLAG: The Public placeholder-verify. ","")&amp;IF(ISNUMBER(SEARCH("all",$L1955)),"All-section coverage. ","")&amp;IF($O1955=0,"Gross acres unresolved. ","")&amp;"Gross=tract-map basis."))</x:f>
        <x:v>Leasehold (non-mineral; excluded from mineral NMA). Gross acres unresolved. Gross=tract-map basis.</x:v>
      </x:c>
      <x:c r="T1955" s="577" t="n"/>
      <x:c r="U1955" s="578" t="n"/>
      <x:c r="V1955" s="565" t="n"/>
      <x:c r="W1955" s="565" t="n"/>
      <x:c r="X1955" s="565" t="n"/>
      <x:c r="Y1955" s="565" t="n"/>
      <x:c r="Z1955" s="565" t="n"/>
    </x:row>
    <x:row r="1956">
      <x:c r="A1956" s="552" t="inlineStr">
        <x:is>
          <x:t xml:space="preserve">2005-004941</x:t>
        </x:is>
      </x:c>
      <x:c r="B1956" s="552" t="n"/>
      <x:c r="C1956" s="552" t="inlineStr">
        <x:is>
          <x:t xml:space="preserve">Oil and Gas Lease</x:t>
        </x:is>
      </x:c>
      <x:c r="D1956" s="552" t="inlineStr">
        <x:is>
          <x:t xml:space="preserve">1798/582</x:t>
        </x:is>
      </x:c>
      <x:c r="E1956" s="653" t="n">
        <x:v>38522</x:v>
      </x:c>
      <x:c r="F1956" s="653" t="n">
        <x:v>38554</x:v>
      </x:c>
      <x:c r="G1956" s="552" t="inlineStr">
        <x:is>
          <x:t xml:space="preserve">Melvin F. Bain
P.O. Box 1224
Tularosa, NM 88352</x:t>
        </x:is>
      </x:c>
      <x:c r="H1956" s="552" t="inlineStr">
        <x:is>
          <x:t xml:space="preserve">EOG Resources, Inc.</x:t>
        </x:is>
      </x:c>
      <x:c r="I1956" s="552" t="inlineStr">
        <x:is>
          <x:t xml:space="preserve">NW/4 SE/4, S/2 SE/4, SW/4 NE/4 of 31-12N-24W</x:t>
        </x:is>
      </x:c>
      <x:c r="J1956" s="552" t="inlineStr">
        <x:is>
          <x:t xml:space="preserve">160 gross acres
3 yrs
3/16ths royalty
This lease is limited from the surface to the stratigraphic equivalent of 20,000 feet</x:t>
        </x:is>
      </x:c>
      <x:c r="K1956" s="554" t="e">
        <x:f>HYPERLINK("https://okcountyrecords.com/detail/roger+mills/2005-004941","OKCountyRecords: 2005-004941")</x:f>
      </x:c>
      <x:c r="L1956" s="552" t="n">
        <x:v>2</x:v>
      </x:c>
      <x:c r="M1956" s="552" t="inlineStr">
        <x:is>
          <x:t xml:space="preserve">Leasehold</x:t>
        </x:is>
      </x:c>
      <x:c r="N1956" s="555" t="n"/>
      <x:c r="O1956" s="556" t="n">
        <x:f>IF($L1956="","",IF(ISNUMBER(SEARCH("all",$L1956)),640,(ISNUMBER(SEARCH("1",$L1956)))*80+(ISNUMBER(SEARCH("2",$L1956)))*160+(ISNUMBER(SEARCH("3",$L1956)))*40+(ISNUMBER(SEARCH("4",$L1956)))*80+(ISNUMBER(SEARCH("5",$L1956)))*120+(ISNUMBER(SEARCH("6",$L1956)))*80+(ISNUMBER(SEARCH("7",$L1956)))*40+(ISNUMBER(SEARCH("8",$L1956)))*40))</x:f>
        <x:v>0</x:v>
      </x:c>
      <x:c r="P1956" s="654" t="str">
        <x:f>IF($M1956&lt;&gt;"Mineral","",IF(ISNUMBER($N1956),$N1956,IF(OR(ISNUMBER(SEARCH("surface",$J1956)),ISNUMBER(SEARCH("reserv",$J1956)),ISNUMBER(SEARCH("less and except",$J1956))),0,"")))</x:f>
      </x:c>
      <x:c r="Q1956" s="654" t="str">
        <x:f>IF($P1956="","",-$P1956)</x:f>
      </x:c>
      <x:c r="R1956" s="655" t="str">
        <x:f>IF($P1956="","",$O1956*$P1956)</x:f>
      </x:c>
      <x:c r="S1956" s="552" t="str">
        <x:f>IF($M1956="","",TRIM(IF($M1956="Mineral",IF(ISNUMBER($N1956),"Mineral; basis Conv Amt(dec). ",IF($P1956=0,"Mineral; surface-only/reserved-&gt;0 min. ","Mineral; NO AMOUNT-verify instrument. ")),$M1956&amp;" (non-mineral; excluded from mineral NMA). ")&amp;IF(OR(ISNUMBER(SEARCH("public",$G1956)),ISNUMBER(SEARCH("public",$H1956))),"FLAG: The Public placeholder-verify. ","")&amp;IF(ISNUMBER(SEARCH("all",$L1956)),"All-section coverage. ","")&amp;IF($O1956=0,"Gross acres unresolved. ","")&amp;"Gross=tract-map basis."))</x:f>
        <x:v>Leasehold (non-mineral; excluded from mineral NMA). Gross acres unresolved. Gross=tract-map basis.</x:v>
      </x:c>
      <x:c r="T1956" s="577" t="n"/>
      <x:c r="U1956" s="578" t="n"/>
      <x:c r="V1956" s="565" t="n"/>
      <x:c r="W1956" s="565" t="n"/>
      <x:c r="X1956" s="565" t="n"/>
      <x:c r="Y1956" s="565" t="n"/>
      <x:c r="Z1956" s="565" t="n"/>
    </x:row>
    <x:row r="1957">
      <x:c r="A1957" s="552" t="inlineStr">
        <x:is>
          <x:t xml:space="preserve">2005-004681</x:t>
        </x:is>
      </x:c>
      <x:c r="B1957" s="552" t="n">
        <x:v>28</x:v>
      </x:c>
      <x:c r="C1957" s="552" t="inlineStr">
        <x:is>
          <x:t xml:space="preserve">Oil and Gas Lease</x:t>
        </x:is>
      </x:c>
      <x:c r="D1957" s="552" t="inlineStr">
        <x:is>
          <x:t xml:space="preserve">1797/167</x:t>
        </x:is>
      </x:c>
      <x:c r="E1957" s="653" t="n">
        <x:v>38522</x:v>
      </x:c>
      <x:c r="F1957" s="653" t="n">
        <x:v>38541</x:v>
      </x:c>
      <x:c r="G1957" s="552" t="inlineStr">
        <x:is>
          <x:t xml:space="preserve">Peggy J. Brawner
309 N. Point Road
Toronto, KS 66777-3358
</x:t>
        </x:is>
      </x:c>
      <x:c r="H1957" s="552" t="inlineStr">
        <x:is>
          <x:t xml:space="preserve">EOG Resources, Inc.</x:t>
        </x:is>
      </x:c>
      <x:c r="I1957" s="552" t="inlineStr">
        <x:is>
          <x:t xml:space="preserve">NW/4 SE/4, S/2 SE/4, SW/4 NE/4 of 31-12N-24W</x:t>
        </x:is>
      </x:c>
      <x:c r="J1957" s="552" t="inlineStr">
        <x:is>
          <x:t xml:space="preserve">160 gross acres
2 yrs
3/16ths royalty
This lease is limited from the surface to the stratigraphic equivalent of 20,000 feet.</x:t>
        </x:is>
      </x:c>
      <x:c r="K1957" s="554" t="e">
        <x:f>HYPERLINK("https://okcountyrecords.com/detail/roger+mills/2005-004681","OKCountyRecords: 2005-004681")</x:f>
      </x:c>
      <x:c r="L1957" s="552" t="n">
        <x:v>2</x:v>
      </x:c>
      <x:c r="M1957" s="552" t="inlineStr">
        <x:is>
          <x:t xml:space="preserve">Leasehold</x:t>
        </x:is>
      </x:c>
      <x:c r="N1957" s="555" t="n"/>
      <x:c r="O1957" s="556" t="n">
        <x:f>IF($L1957="","",IF(ISNUMBER(SEARCH("all",$L1957)),640,(ISNUMBER(SEARCH("1",$L1957)))*80+(ISNUMBER(SEARCH("2",$L1957)))*160+(ISNUMBER(SEARCH("3",$L1957)))*40+(ISNUMBER(SEARCH("4",$L1957)))*80+(ISNUMBER(SEARCH("5",$L1957)))*120+(ISNUMBER(SEARCH("6",$L1957)))*80+(ISNUMBER(SEARCH("7",$L1957)))*40+(ISNUMBER(SEARCH("8",$L1957)))*40))</x:f>
        <x:v>0</x:v>
      </x:c>
      <x:c r="P1957" s="654" t="str">
        <x:f>IF($M1957&lt;&gt;"Mineral","",IF(ISNUMBER($N1957),$N1957,IF(OR(ISNUMBER(SEARCH("surface",$J1957)),ISNUMBER(SEARCH("reserv",$J1957)),ISNUMBER(SEARCH("less and except",$J1957))),0,"")))</x:f>
      </x:c>
      <x:c r="Q1957" s="654" t="str">
        <x:f>IF($P1957="","",-$P1957)</x:f>
      </x:c>
      <x:c r="R1957" s="655" t="str">
        <x:f>IF($P1957="","",$O1957*$P1957)</x:f>
      </x:c>
      <x:c r="S1957" s="552" t="str">
        <x:f>IF($M1957="","",TRIM(IF($M1957="Mineral",IF(ISNUMBER($N1957),"Mineral; basis Conv Amt(dec). ",IF($P1957=0,"Mineral; surface-only/reserved-&gt;0 min. ","Mineral; NO AMOUNT-verify instrument. ")),$M1957&amp;" (non-mineral; excluded from mineral NMA). ")&amp;IF(OR(ISNUMBER(SEARCH("public",$G1957)),ISNUMBER(SEARCH("public",$H1957))),"FLAG: The Public placeholder-verify. ","")&amp;IF(ISNUMBER(SEARCH("all",$L1957)),"All-section coverage. ","")&amp;IF($O1957=0,"Gross acres unresolved. ","")&amp;"Gross=tract-map basis."))</x:f>
        <x:v>Leasehold (non-mineral; excluded from mineral NMA). Gross acres unresolved. Gross=tract-map basis.</x:v>
      </x:c>
      <x:c r="T1957" s="577" t="n"/>
      <x:c r="U1957" s="578" t="n"/>
      <x:c r="V1957" s="565" t="n"/>
      <x:c r="W1957" s="565" t="n"/>
      <x:c r="X1957" s="565" t="n"/>
      <x:c r="Y1957" s="565" t="n"/>
      <x:c r="Z1957" s="565" t="n"/>
    </x:row>
    <x:row r="1958">
      <x:c r="A1958" s="552" t="inlineStr">
        <x:is>
          <x:t xml:space="preserve">2005-005406</x:t>
        </x:is>
      </x:c>
      <x:c r="B1958" s="552" t="n"/>
      <x:c r="C1958" s="552" t="inlineStr">
        <x:is>
          <x:t xml:space="preserve">Partial Assignment</x:t>
        </x:is>
      </x:c>
      <x:c r="D1958" s="552" t="inlineStr">
        <x:is>
          <x:t xml:space="preserve">1802/107</x:t>
        </x:is>
      </x:c>
      <x:c r="E1958" s="653" t="n">
        <x:v>38523</x:v>
      </x:c>
      <x:c r="F1958" s="653" t="n">
        <x:v>38579</x:v>
      </x:c>
      <x:c r="G1958" s="552" t="inlineStr">
        <x:is>
          <x:t xml:space="preserve">N/G Discovery, LLC</x:t>
        </x:is>
      </x:c>
      <x:c r="H1958" s="552" t="inlineStr">
        <x:is>
          <x:t xml:space="preserve">Norwich Petroleum Corporation</x:t>
        </x:is>
      </x:c>
      <x:c r="I1958" s="552" t="inlineStr">
        <x:is>
          <x:t xml:space="preserve">E/2 NW/4, N/2 NE/4 SW/4, NE/4 SE/4, NW/4 SE/4, S/2 SE/4, SE/4 NE/4, SW/4 NE/4 of 31-12N-24W, aol</x:t>
        </x:is>
      </x:c>
      <x:c r="J1958" s="552" t="inlineStr">
        <x:is>
          <x:t xml:space="preserve">an undivided Twenty Percent (20%) interest in and to the oil and gas leases at 1787/47, 1782/261, 1782/267 1781/204, 1780/409</x:t>
        </x:is>
      </x:c>
      <x:c r="K1958" s="554" t="e">
        <x:f>HYPERLINK("https://okcountyrecords.com/detail/roger+mills/2005-005406","OKCountyRecords: 2005-005406")</x:f>
      </x:c>
      <x:c r="L1958" s="552" t="inlineStr">
        <x:is>
          <x:t xml:space="preserve">1, 2, 3, 4, 7, 8</x:t>
        </x:is>
      </x:c>
      <x:c r="M1958" s="552" t="inlineStr">
        <x:is>
          <x:t xml:space="preserve">Leasehold</x:t>
        </x:is>
      </x:c>
      <x:c r="N1958" s="561" t="n"/>
      <x:c r="O1958" s="556" t="n">
        <x:f>IF($L1958="","",IF(ISNUMBER(SEARCH("all",$L1958)),640,(ISNUMBER(SEARCH("1",$L1958)))*80+(ISNUMBER(SEARCH("2",$L1958)))*160+(ISNUMBER(SEARCH("3",$L1958)))*40+(ISNUMBER(SEARCH("4",$L1958)))*80+(ISNUMBER(SEARCH("5",$L1958)))*120+(ISNUMBER(SEARCH("6",$L1958)))*80+(ISNUMBER(SEARCH("7",$L1958)))*40+(ISNUMBER(SEARCH("8",$L1958)))*40))</x:f>
        <x:v>0</x:v>
      </x:c>
      <x:c r="P1958" s="654" t="str">
        <x:f>IF($M1958&lt;&gt;"Mineral","",IF(ISNUMBER($N1958),$N1958,IF(OR(ISNUMBER(SEARCH("surface",$J1958)),ISNUMBER(SEARCH("reserv",$J1958)),ISNUMBER(SEARCH("less and except",$J1958))),0,"")))</x:f>
      </x:c>
      <x:c r="Q1958" s="654" t="str">
        <x:f>IF($P1958="","",-$P1958)</x:f>
      </x:c>
      <x:c r="R1958" s="655" t="str">
        <x:f>IF($P1958="","",$O1958*$P1958)</x:f>
      </x:c>
      <x:c r="S1958" s="552" t="str">
        <x:f>IF($M1958="","",TRIM(IF($M1958="Mineral",IF(ISNUMBER($N1958),"Mineral; basis Conv Amt(dec). ",IF($P1958=0,"Mineral; surface-only/reserved-&gt;0 min. ","Mineral; NO AMOUNT-verify instrument. ")),$M1958&amp;" (non-mineral; excluded from mineral NMA). ")&amp;IF(OR(ISNUMBER(SEARCH("public",$G1958)),ISNUMBER(SEARCH("public",$H1958))),"FLAG: The Public placeholder-verify. ","")&amp;IF(ISNUMBER(SEARCH("all",$L1958)),"All-section coverage. ","")&amp;IF($O1958=0,"Gross acres unresolved. ","")&amp;"Gross=tract-map basis."))</x:f>
        <x:v>Leasehold (non-mineral; excluded from mineral NMA). Gross acres unresolved. Gross=tract-map basis.</x:v>
      </x:c>
      <x:c r="T1958" s="577" t="n"/>
      <x:c r="U1958" s="578" t="n"/>
      <x:c r="V1958" s="565" t="n"/>
      <x:c r="W1958" s="565" t="n"/>
      <x:c r="X1958" s="565" t="n"/>
      <x:c r="Y1958" s="565" t="n"/>
      <x:c r="Z1958" s="565" t="n"/>
    </x:row>
    <x:row r="1959">
      <x:c r="A1959" s="552" t="inlineStr">
        <x:is>
          <x:t xml:space="preserve">2005-007540</x:t>
        </x:is>
      </x:c>
      <x:c r="B1959" s="552" t="n"/>
      <x:c r="C1959" s="552" t="inlineStr">
        <x:is>
          <x:t xml:space="preserve">Mineral Deed</x:t>
        </x:is>
      </x:c>
      <x:c r="D1959" s="552" t="inlineStr">
        <x:is>
          <x:t xml:space="preserve">1812/120</x:t>
        </x:is>
      </x:c>
      <x:c r="E1959" s="653" t="n">
        <x:v>38608</x:v>
      </x:c>
      <x:c r="F1959" s="653" t="n">
        <x:v>38658</x:v>
      </x:c>
      <x:c r="G1959" s="552" t="inlineStr">
        <x:is>
          <x:t xml:space="preserve">Melvin F. Bain</x:t>
        </x:is>
      </x:c>
      <x:c r="H1959" s="552" t="inlineStr">
        <x:is>
          <x:t xml:space="preserve">Omega Royalty Co, LLC</x:t>
        </x:is>
      </x:c>
      <x:c r="I1959" s="552" t="inlineStr">
        <x:is>
          <x:t xml:space="preserve">NW/4 SE/4, S/2 SE/4, SW/4 NE/4 of 31-12N-24W, aol</x:t>
        </x:is>
      </x:c>
      <x:c r="J1959" s="552" t="inlineStr">
        <x:is>
          <x:t xml:space="preserve">ARTI</x:t>
        </x:is>
      </x:c>
      <x:c r="K1959" s="554" t="e">
        <x:f>HYPERLINK("https://okcountyrecords.com/detail/roger+mills/2005-007540","OKCountyRecords: 2005-007540")</x:f>
      </x:c>
      <x:c r="L1959" s="552" t="n">
        <x:v>2</x:v>
      </x:c>
      <x:c r="M1959" s="552" t="inlineStr">
        <x:is>
          <x:t xml:space="preserve">Mineral</x:t>
        </x:is>
      </x:c>
      <x:c r="N1959" s="555" t="n">
        <x:v>1</x:v>
      </x:c>
      <x:c r="O1959" s="556" t="n">
        <x:f>IF($L1959="","",IF(ISNUMBER(SEARCH("all",$L1959)),640,(ISNUMBER(SEARCH("1",$L1959)))*80+(ISNUMBER(SEARCH("2",$L1959)))*160+(ISNUMBER(SEARCH("3",$L1959)))*40+(ISNUMBER(SEARCH("4",$L1959)))*80+(ISNUMBER(SEARCH("5",$L1959)))*120+(ISNUMBER(SEARCH("6",$L1959)))*80+(ISNUMBER(SEARCH("7",$L1959)))*40+(ISNUMBER(SEARCH("8",$L1959)))*40))</x:f>
        <x:v>0</x:v>
      </x:c>
      <x:c r="P1959" s="654" t="n">
        <x:f>IF($M1959&lt;&gt;"Mineral","",IF(ISNUMBER($N1959),$N1959,IF(OR(ISNUMBER(SEARCH("surface",$J1959)),ISNUMBER(SEARCH("reserv",$J1959)),ISNUMBER(SEARCH("less and except",$J1959))),0,"")))</x:f>
        <x:v>1</x:v>
      </x:c>
      <x:c r="Q1959" s="654" t="n">
        <x:f>IF($P1959="","",-$P1959)</x:f>
        <x:v>-1</x:v>
      </x:c>
      <x:c r="R1959" s="655" t="n">
        <x:f>IF($P1959="","",$O1959*$P1959)</x:f>
        <x:v>0</x:v>
      </x:c>
      <x:c r="S1959" s="552" t="str">
        <x:f>IF($M1959="","",TRIM(IF($M1959="Mineral",IF(ISNUMBER($N1959),"Mineral; basis Conv Amt(dec). ",IF($P1959=0,"Mineral; surface-only/reserved-&gt;0 min. ","Mineral; NO AMOUNT-verify instrument. ")),$M1959&amp;" (non-mineral; excluded from mineral NMA). ")&amp;IF(OR(ISNUMBER(SEARCH("public",$G1959)),ISNUMBER(SEARCH("public",$H1959))),"FLAG: The Public placeholder-verify. ","")&amp;IF(ISNUMBER(SEARCH("all",$L1959)),"All-section coverage. ","")&amp;IF($O1959=0,"Gross acres unresolved. ","")&amp;"Gross=tract-map basis."))</x:f>
        <x:v>Mineral; basis Conv Amt(dec). Gross acres unresolved. Gross=tract-map basis.</x:v>
      </x:c>
      <x:c r="T1959" s="577" t="n"/>
      <x:c r="U1959" s="578" t="n"/>
      <x:c r="V1959" s="565" t="n"/>
      <x:c r="W1959" s="565" t="n"/>
      <x:c r="X1959" s="565" t="n"/>
      <x:c r="Y1959" s="565" t="n"/>
      <x:c r="Z1959" s="565" t="n"/>
    </x:row>
    <x:row r="1960">
      <x:c r="A1960" s="552" t="inlineStr">
        <x:is>
          <x:t xml:space="preserve">2005-008722</x:t>
        </x:is>
      </x:c>
      <x:c r="B1960" s="552" t="n"/>
      <x:c r="C1960" s="552" t="inlineStr">
        <x:is>
          <x:t xml:space="preserve">Oil and Gas Lease</x:t>
        </x:is>
      </x:c>
      <x:c r="D1960" s="552" t="inlineStr">
        <x:is>
          <x:t xml:space="preserve">1817/388</x:t>
        </x:is>
      </x:c>
      <x:c r="E1960" s="653" t="n">
        <x:v>38621</x:v>
      </x:c>
      <x:c r="F1960" s="653" t="n">
        <x:v>38709</x:v>
      </x:c>
      <x:c r="G1960" s="552" t="inlineStr">
        <x:is>
          <x:t xml:space="preserve">James E. Menehan
1755 16th Street
Monroe, WI 53566 
</x:t>
        </x:is>
      </x:c>
      <x:c r="H1960" s="552" t="inlineStr">
        <x:is>
          <x:t xml:space="preserve">Todco Properties, Inc.
2401 Tee Circle. Suite 205
Norman. OK. 73069</x:t>
        </x:is>
      </x:c>
      <x:c r="I1960" s="552" t="inlineStr">
        <x:is>
          <x:t xml:space="preserve">NW/4 SE/4, S/2 SE/4, SW/4 NE/4 of 31-12N-24W</x:t>
        </x:is>
      </x:c>
      <x:c r="J1960" s="552" t="inlineStr">
        <x:is>
          <x:t xml:space="preserve">160 gross acres
3 yrs
3/16ths royalty</x:t>
        </x:is>
      </x:c>
      <x:c r="K1960" s="554" t="e">
        <x:f>HYPERLINK("https://okcountyrecords.com/detail/roger+mills/2005-008722","OKCountyRecords: 2005-008722")</x:f>
      </x:c>
      <x:c r="L1960" s="552" t="n">
        <x:v>2</x:v>
      </x:c>
      <x:c r="M1960" s="552" t="inlineStr">
        <x:is>
          <x:t xml:space="preserve">Leasehold</x:t>
        </x:is>
      </x:c>
      <x:c r="N1960" s="555" t="n"/>
      <x:c r="O1960" s="556" t="n">
        <x:f>IF($L1960="","",IF(ISNUMBER(SEARCH("all",$L1960)),640,(ISNUMBER(SEARCH("1",$L1960)))*80+(ISNUMBER(SEARCH("2",$L1960)))*160+(ISNUMBER(SEARCH("3",$L1960)))*40+(ISNUMBER(SEARCH("4",$L1960)))*80+(ISNUMBER(SEARCH("5",$L1960)))*120+(ISNUMBER(SEARCH("6",$L1960)))*80+(ISNUMBER(SEARCH("7",$L1960)))*40+(ISNUMBER(SEARCH("8",$L1960)))*40))</x:f>
        <x:v>0</x:v>
      </x:c>
      <x:c r="P1960" s="654" t="str">
        <x:f>IF($M1960&lt;&gt;"Mineral","",IF(ISNUMBER($N1960),$N1960,IF(OR(ISNUMBER(SEARCH("surface",$J1960)),ISNUMBER(SEARCH("reserv",$J1960)),ISNUMBER(SEARCH("less and except",$J1960))),0,"")))</x:f>
      </x:c>
      <x:c r="Q1960" s="654" t="str">
        <x:f>IF($P1960="","",-$P1960)</x:f>
      </x:c>
      <x:c r="R1960" s="655" t="str">
        <x:f>IF($P1960="","",$O1960*$P1960)</x:f>
      </x:c>
      <x:c r="S1960" s="552" t="str">
        <x:f>IF($M1960="","",TRIM(IF($M1960="Mineral",IF(ISNUMBER($N1960),"Mineral; basis Conv Amt(dec). ",IF($P1960=0,"Mineral; surface-only/reserved-&gt;0 min. ","Mineral; NO AMOUNT-verify instrument. ")),$M1960&amp;" (non-mineral; excluded from mineral NMA). ")&amp;IF(OR(ISNUMBER(SEARCH("public",$G1960)),ISNUMBER(SEARCH("public",$H1960))),"FLAG: The Public placeholder-verify. ","")&amp;IF(ISNUMBER(SEARCH("all",$L1960)),"All-section coverage. ","")&amp;IF($O1960=0,"Gross acres unresolved. ","")&amp;"Gross=tract-map basis."))</x:f>
        <x:v>Leasehold (non-mineral; excluded from mineral NMA). Gross acres unresolved. Gross=tract-map basis.</x:v>
      </x:c>
      <x:c r="T1960" s="577" t="n"/>
      <x:c r="U1960" s="578" t="n"/>
      <x:c r="V1960" s="565" t="n"/>
      <x:c r="W1960" s="565" t="n"/>
      <x:c r="X1960" s="565" t="n"/>
      <x:c r="Y1960" s="565" t="n"/>
      <x:c r="Z1960" s="565" t="n"/>
    </x:row>
    <x:row r="1961">
      <x:c r="A1961" s="552" t="inlineStr">
        <x:is>
          <x:t xml:space="preserve">2005-008721</x:t>
        </x:is>
      </x:c>
      <x:c r="B1961" s="552" t="n">
        <x:v>29</x:v>
      </x:c>
      <x:c r="C1961" s="552" t="inlineStr">
        <x:is>
          <x:t xml:space="preserve">Oil and Gas Lease</x:t>
        </x:is>
      </x:c>
      <x:c r="D1961" s="552" t="inlineStr">
        <x:is>
          <x:t xml:space="preserve">1817/386</x:t>
        </x:is>
      </x:c>
      <x:c r="E1961" s="653" t="n">
        <x:v>38621</x:v>
      </x:c>
      <x:c r="F1961" s="653" t="n">
        <x:v>38709</x:v>
      </x:c>
      <x:c r="G1961" s="552" t="inlineStr">
        <x:is>
          <x:t xml:space="preserve">Joe H Britton, aka, Joe Britton 
200 Grissom
Elk City, OK 73644</x:t>
        </x:is>
      </x:c>
      <x:c r="H1961" s="552" t="inlineStr">
        <x:is>
          <x:t xml:space="preserve">Todco Properties, Inc.
2401 Tee Circle. Suite 205
Norman. OK. 73069
</x:t>
        </x:is>
      </x:c>
      <x:c r="I1961" s="552" t="inlineStr">
        <x:is>
          <x:t xml:space="preserve">E/2 NW/4, N/2 NE/4 SW/4, NE/4 SE/4, SE/4 NE/4 of 31-12N-24W</x:t>
        </x:is>
      </x:c>
      <x:c r="J1961" s="552" t="inlineStr">
        <x:is>
          <x:t xml:space="preserve">180 gross acres
3 yrs
3/16ths royalty</x:t>
        </x:is>
      </x:c>
      <x:c r="K1961" s="554" t="e">
        <x:f>HYPERLINK("https://okcountyrecords.com/detail/roger+mills/2005-008721","OKCountyRecords: 2005-008721")</x:f>
      </x:c>
      <x:c r="L1961" s="552" t="inlineStr">
        <x:is>
          <x:t xml:space="preserve">1, 3, 4, 7, 8</x:t>
        </x:is>
      </x:c>
      <x:c r="M1961" s="552" t="inlineStr">
        <x:is>
          <x:t xml:space="preserve">Leasehold</x:t>
        </x:is>
      </x:c>
      <x:c r="N1961" s="561" t="n"/>
      <x:c r="O1961" s="556" t="n">
        <x:f>IF($L1961="","",IF(ISNUMBER(SEARCH("all",$L1961)),640,(ISNUMBER(SEARCH("1",$L1961)))*80+(ISNUMBER(SEARCH("2",$L1961)))*160+(ISNUMBER(SEARCH("3",$L1961)))*40+(ISNUMBER(SEARCH("4",$L1961)))*80+(ISNUMBER(SEARCH("5",$L1961)))*120+(ISNUMBER(SEARCH("6",$L1961)))*80+(ISNUMBER(SEARCH("7",$L1961)))*40+(ISNUMBER(SEARCH("8",$L1961)))*40))</x:f>
        <x:v>0</x:v>
      </x:c>
      <x:c r="P1961" s="654" t="str">
        <x:f>IF($M1961&lt;&gt;"Mineral","",IF(ISNUMBER($N1961),$N1961,IF(OR(ISNUMBER(SEARCH("surface",$J1961)),ISNUMBER(SEARCH("reserv",$J1961)),ISNUMBER(SEARCH("less and except",$J1961))),0,"")))</x:f>
      </x:c>
      <x:c r="Q1961" s="654" t="str">
        <x:f>IF($P1961="","",-$P1961)</x:f>
      </x:c>
      <x:c r="R1961" s="655" t="str">
        <x:f>IF($P1961="","",$O1961*$P1961)</x:f>
      </x:c>
      <x:c r="S1961" s="552" t="str">
        <x:f>IF($M1961="","",TRIM(IF($M1961="Mineral",IF(ISNUMBER($N1961),"Mineral; basis Conv Amt(dec). ",IF($P1961=0,"Mineral; surface-only/reserved-&gt;0 min. ","Mineral; NO AMOUNT-verify instrument. ")),$M1961&amp;" (non-mineral; excluded from mineral NMA). ")&amp;IF(OR(ISNUMBER(SEARCH("public",$G1961)),ISNUMBER(SEARCH("public",$H1961))),"FLAG: The Public placeholder-verify. ","")&amp;IF(ISNUMBER(SEARCH("all",$L1961)),"All-section coverage. ","")&amp;IF($O1961=0,"Gross acres unresolved. ","")&amp;"Gross=tract-map basis."))</x:f>
        <x:v>Leasehold (non-mineral; excluded from mineral NMA). Gross acres unresolved. Gross=tract-map basis.</x:v>
      </x:c>
      <x:c r="T1961" s="577" t="n"/>
      <x:c r="U1961" s="578" t="n"/>
      <x:c r="V1961" s="565" t="n"/>
      <x:c r="W1961" s="565" t="n"/>
      <x:c r="X1961" s="565" t="n"/>
      <x:c r="Y1961" s="565" t="n"/>
      <x:c r="Z1961" s="565" t="n"/>
    </x:row>
    <x:row r="1962">
      <x:c r="A1962" s="552" t="inlineStr">
        <x:is>
          <x:t xml:space="preserve">2005-007117</x:t>
        </x:is>
      </x:c>
      <x:c r="B1962" s="552" t="n"/>
      <x:c r="C1962" s="552" t="inlineStr">
        <x:is>
          <x:t xml:space="preserve">Mineral Deed</x:t>
        </x:is>
      </x:c>
      <x:c r="D1962" s="552" t="inlineStr">
        <x:is>
          <x:t xml:space="preserve">1810/16</x:t>
        </x:is>
      </x:c>
      <x:c r="E1962" s="653" t="n">
        <x:v>38624</x:v>
      </x:c>
      <x:c r="F1962" s="653" t="n">
        <x:v>38642</x:v>
      </x:c>
      <x:c r="G1962" s="552" t="inlineStr">
        <x:is>
          <x:t xml:space="preserve">Charlotte F. Willert</x:t>
        </x:is>
      </x:c>
      <x:c r="H1962" s="552" t="inlineStr">
        <x:is>
          <x:t xml:space="preserve">Mare Oil Company</x:t>
        </x:is>
      </x:c>
      <x:c r="I1962" s="552" t="inlineStr">
        <x:is>
          <x:t xml:space="preserve">NW/4 SE/4, S/2 SE/4, SW/4 NE/4 of 31-12N-24W</x:t>
        </x:is>
      </x:c>
      <x:c r="J1962" s="552" t="inlineStr">
        <x:is>
          <x:t xml:space="preserve">An undivided 1.54420 net acre interest</x:t>
        </x:is>
      </x:c>
      <x:c r="K1962" s="554" t="e">
        <x:f>HYPERLINK("https://okcountyrecords.com/detail/roger+mills/2005-007117","OKCountyRecords: 2005-007117")</x:f>
      </x:c>
      <x:c r="L1962" s="552" t="n">
        <x:v>2</x:v>
      </x:c>
      <x:c r="M1962" s="552" t="inlineStr">
        <x:is>
          <x:t xml:space="preserve">Mineral</x:t>
        </x:is>
      </x:c>
      <x:c r="N1962" s="555" t="n">
        <x:f>1.5442/160</x:f>
        <x:v>0.00965125</x:v>
      </x:c>
      <x:c r="O1962" s="556" t="n">
        <x:f>IF($L1962="","",IF(ISNUMBER(SEARCH("all",$L1962)),640,(ISNUMBER(SEARCH("1",$L1962)))*80+(ISNUMBER(SEARCH("2",$L1962)))*160+(ISNUMBER(SEARCH("3",$L1962)))*40+(ISNUMBER(SEARCH("4",$L1962)))*80+(ISNUMBER(SEARCH("5",$L1962)))*120+(ISNUMBER(SEARCH("6",$L1962)))*80+(ISNUMBER(SEARCH("7",$L1962)))*40+(ISNUMBER(SEARCH("8",$L1962)))*40))</x:f>
        <x:v>0</x:v>
      </x:c>
      <x:c r="P1962" s="654" t="n">
        <x:f>IF($M1962&lt;&gt;"Mineral","",IF(ISNUMBER($N1962),$N1962,IF(OR(ISNUMBER(SEARCH("surface",$J1962)),ISNUMBER(SEARCH("reserv",$J1962)),ISNUMBER(SEARCH("less and except",$J1962))),0,"")))</x:f>
        <x:v>0.00965125</x:v>
      </x:c>
      <x:c r="Q1962" s="654" t="n">
        <x:f>IF($P1962="","",-$P1962)</x:f>
        <x:v>-0.00965125</x:v>
      </x:c>
      <x:c r="R1962" s="655" t="n">
        <x:f>IF($P1962="","",$O1962*$P1962)</x:f>
        <x:v>0</x:v>
      </x:c>
      <x:c r="S1962" s="552" t="str">
        <x:f>IF($M1962="","",TRIM(IF($M1962="Mineral",IF(ISNUMBER($N1962),"Mineral; basis Conv Amt(dec). ",IF($P1962=0,"Mineral; surface-only/reserved-&gt;0 min. ","Mineral; VERIFY — NEED full instrument image for conveyed amount. ")),$M1962&amp;" (non-mineral; excluded from mineral NMA). ")&amp;IF(OR(ISNUMBER(SEARCH("public",$G1962)),ISNUMBER(SEARCH("public",$H1962))),"FLAG: The Public placeholder; VERIFY — NEED source confirmation. ","")&amp;IF(ISNUMBER(SEARCH("all",$L1962)),"All-section coverage. ","")&amp;IF($O1962=0,"Gross acres unresolved. ","")&amp;"Gross=tract-map basis."))</x:f>
        <x:v>Mineral; basis Conv Amt(dec). Gross acres unresolved. Gross=tract-map basis.</x:v>
      </x:c>
      <x:c r="T1962" s="577" t="inlineStr">
        <x:is>
          <x:t xml:space="preserve">REVIEW</x:t>
        </x:is>
      </x:c>
      <x:c r="U1962" s="578" t="inlineStr">
        <x:is>
          <x:t xml:space="preserve">NEED: denominator / tract allocation for 1.54420 NMA from instrument image</x:t>
        </x:is>
      </x:c>
      <x:c r="V1962" s="565" t="n"/>
      <x:c r="W1962" s="565" t="n"/>
      <x:c r="X1962" s="565" t="n"/>
      <x:c r="Y1962" s="565" t="n"/>
      <x:c r="Z1962" s="565" t="n"/>
    </x:row>
    <x:row r="1963">
      <x:c r="A1963" s="552" t="inlineStr">
        <x:is>
          <x:t xml:space="preserve">2005-007116</x:t>
        </x:is>
      </x:c>
      <x:c r="B1963" s="552" t="n"/>
      <x:c r="C1963" s="552" t="inlineStr">
        <x:is>
          <x:t xml:space="preserve">Mineral Deed</x:t>
        </x:is>
      </x:c>
      <x:c r="D1963" s="552" t="inlineStr">
        <x:is>
          <x:t xml:space="preserve">1810/15</x:t>
        </x:is>
      </x:c>
      <x:c r="E1963" s="653" t="n">
        <x:v>38625</x:v>
      </x:c>
      <x:c r="F1963" s="653" t="n">
        <x:v>38642</x:v>
      </x:c>
      <x:c r="G1963" s="552" t="inlineStr">
        <x:is>
          <x:t xml:space="preserve">Peggy J. Brawner</x:t>
        </x:is>
      </x:c>
      <x:c r="H1963" s="552" t="inlineStr">
        <x:is>
          <x:t xml:space="preserve">Mare Oil Company</x:t>
        </x:is>
      </x:c>
      <x:c r="I1963" s="552" t="inlineStr">
        <x:is>
          <x:t xml:space="preserve">NW/4 SE/4, S/2 SE/4, SW/4 NE/4 of 31-12N-24W</x:t>
        </x:is>
      </x:c>
      <x:c r="J1963" s="552" t="inlineStr">
        <x:is>
          <x:t xml:space="preserve">An undivided 1.54420 net acre interest</x:t>
        </x:is>
      </x:c>
      <x:c r="K1963" s="554" t="e">
        <x:f>HYPERLINK("https://okcountyrecords.com/detail/roger+mills/2005-007116","OKCountyRecords: 2005-007116")</x:f>
      </x:c>
      <x:c r="L1963" s="552" t="n">
        <x:v>2</x:v>
      </x:c>
      <x:c r="M1963" s="552" t="inlineStr">
        <x:is>
          <x:t xml:space="preserve">Mineral</x:t>
        </x:is>
      </x:c>
      <x:c r="N1963" s="555" t="n">
        <x:f>1.5442/160</x:f>
        <x:v>0.00965125</x:v>
      </x:c>
      <x:c r="O1963" s="556" t="n">
        <x:f>IF($L1963="","",IF(ISNUMBER(SEARCH("all",$L1963)),640,(ISNUMBER(SEARCH("1",$L1963)))*80+(ISNUMBER(SEARCH("2",$L1963)))*160+(ISNUMBER(SEARCH("3",$L1963)))*40+(ISNUMBER(SEARCH("4",$L1963)))*80+(ISNUMBER(SEARCH("5",$L1963)))*120+(ISNUMBER(SEARCH("6",$L1963)))*80+(ISNUMBER(SEARCH("7",$L1963)))*40+(ISNUMBER(SEARCH("8",$L1963)))*40))</x:f>
        <x:v>0</x:v>
      </x:c>
      <x:c r="P1963" s="654" t="n">
        <x:f>IF($M1963&lt;&gt;"Mineral","",IF(ISNUMBER($N1963),$N1963,IF(OR(ISNUMBER(SEARCH("surface",$J1963)),ISNUMBER(SEARCH("reserv",$J1963)),ISNUMBER(SEARCH("less and except",$J1963))),0,"")))</x:f>
        <x:v>0.00965125</x:v>
      </x:c>
      <x:c r="Q1963" s="654" t="n">
        <x:f>IF($P1963="","",-$P1963)</x:f>
        <x:v>-0.00965125</x:v>
      </x:c>
      <x:c r="R1963" s="655" t="n">
        <x:f>IF($P1963="","",$O1963*$P1963)</x:f>
        <x:v>0</x:v>
      </x:c>
      <x:c r="S1963" s="552" t="str">
        <x:f>IF($M1963="","",TRIM(IF($M1963="Mineral",IF(ISNUMBER($N1963),"Mineral; basis Conv Amt(dec). ",IF($P1963=0,"Mineral; surface-only/reserved-&gt;0 min. ","Mineral; VERIFY — NEED full instrument image for conveyed amount. ")),$M1963&amp;" (non-mineral; excluded from mineral NMA). ")&amp;IF(OR(ISNUMBER(SEARCH("public",$G1963)),ISNUMBER(SEARCH("public",$H1963))),"FLAG: The Public placeholder; VERIFY — NEED source confirmation. ","")&amp;IF(ISNUMBER(SEARCH("all",$L1963)),"All-section coverage. ","")&amp;IF($O1963=0,"Gross acres unresolved. ","")&amp;"Gross=tract-map basis."))</x:f>
        <x:v>Mineral; basis Conv Amt(dec). Gross acres unresolved. Gross=tract-map basis.</x:v>
      </x:c>
      <x:c r="T1963" s="577" t="inlineStr">
        <x:is>
          <x:t xml:space="preserve">REVIEW</x:t>
        </x:is>
      </x:c>
      <x:c r="U1963" s="578" t="inlineStr">
        <x:is>
          <x:t xml:space="preserve">NEED: denominator / tract allocation for 1.54420 NMA from instrument image</x:t>
        </x:is>
      </x:c>
      <x:c r="V1963" s="565" t="n"/>
      <x:c r="W1963" s="565" t="n"/>
      <x:c r="X1963" s="565" t="n"/>
      <x:c r="Y1963" s="565" t="n"/>
      <x:c r="Z1963" s="565" t="n"/>
    </x:row>
    <x:row r="1964">
      <x:c r="A1964" s="552" t="inlineStr">
        <x:is>
          <x:t xml:space="preserve">2005-007119</x:t>
        </x:is>
      </x:c>
      <x:c r="B1964" s="552" t="n"/>
      <x:c r="C1964" s="552" t="inlineStr">
        <x:is>
          <x:t xml:space="preserve">Mineral Deed</x:t>
        </x:is>
      </x:c>
      <x:c r="D1964" s="552" t="inlineStr">
        <x:is>
          <x:t xml:space="preserve">1810/18</x:t>
        </x:is>
      </x:c>
      <x:c r="E1964" s="653" t="n">
        <x:v>38626</x:v>
      </x:c>
      <x:c r="F1964" s="653" t="n">
        <x:v>38642</x:v>
      </x:c>
      <x:c r="G1964" s="552" t="inlineStr">
        <x:is>
          <x:t xml:space="preserve">Leona I. DeGrande</x:t>
        </x:is>
      </x:c>
      <x:c r="H1964" s="552" t="inlineStr">
        <x:is>
          <x:t xml:space="preserve">Mare Oil Company</x:t>
        </x:is>
      </x:c>
      <x:c r="I1964" s="552" t="inlineStr">
        <x:is>
          <x:t xml:space="preserve">NW/4 SE/4, S/2 SE/4, SW/4 NE/4 of 31-12N-24W</x:t>
        </x:is>
      </x:c>
      <x:c r="J1964" s="552" t="inlineStr">
        <x:is>
          <x:t xml:space="preserve">An undivided 1.54420 net acre interest</x:t>
        </x:is>
      </x:c>
      <x:c r="K1964" s="554" t="e">
        <x:f>HYPERLINK("https://okcountyrecords.com/detail/roger+mills/2005-007119","OKCountyRecords: 2005-007119")</x:f>
      </x:c>
      <x:c r="L1964" s="552" t="n">
        <x:v>2</x:v>
      </x:c>
      <x:c r="M1964" s="552" t="inlineStr">
        <x:is>
          <x:t xml:space="preserve">Mineral</x:t>
        </x:is>
      </x:c>
      <x:c r="N1964" s="555" t="n">
        <x:f>1.5442/160</x:f>
        <x:v>0.00965125</x:v>
      </x:c>
      <x:c r="O1964" s="556" t="n">
        <x:f>IF($L1964="","",IF(ISNUMBER(SEARCH("all",$L1964)),640,(ISNUMBER(SEARCH("1",$L1964)))*80+(ISNUMBER(SEARCH("2",$L1964)))*160+(ISNUMBER(SEARCH("3",$L1964)))*40+(ISNUMBER(SEARCH("4",$L1964)))*80+(ISNUMBER(SEARCH("5",$L1964)))*120+(ISNUMBER(SEARCH("6",$L1964)))*80+(ISNUMBER(SEARCH("7",$L1964)))*40+(ISNUMBER(SEARCH("8",$L1964)))*40))</x:f>
        <x:v>0</x:v>
      </x:c>
      <x:c r="P1964" s="654" t="n">
        <x:f>IF($M1964&lt;&gt;"Mineral","",IF(ISNUMBER($N1964),$N1964,IF(OR(ISNUMBER(SEARCH("surface",$J1964)),ISNUMBER(SEARCH("reserv",$J1964)),ISNUMBER(SEARCH("less and except",$J1964))),0,"")))</x:f>
        <x:v>0.00965125</x:v>
      </x:c>
      <x:c r="Q1964" s="654" t="n">
        <x:f>IF($P1964="","",-$P1964)</x:f>
        <x:v>-0.00965125</x:v>
      </x:c>
      <x:c r="R1964" s="655" t="n">
        <x:f>IF($P1964="","",$O1964*$P1964)</x:f>
        <x:v>0</x:v>
      </x:c>
      <x:c r="S1964" s="552" t="str">
        <x:f>IF($M1964="","",TRIM(IF($M1964="Mineral",IF(ISNUMBER($N1964),"Mineral; basis Conv Amt(dec). ",IF($P1964=0,"Mineral; surface-only/reserved-&gt;0 min. ","Mineral; VERIFY — NEED full instrument image for conveyed amount. ")),$M1964&amp;" (non-mineral; excluded from mineral NMA). ")&amp;IF(OR(ISNUMBER(SEARCH("public",$G1964)),ISNUMBER(SEARCH("public",$H1964))),"FLAG: The Public placeholder; VERIFY — NEED source confirmation. ","")&amp;IF(ISNUMBER(SEARCH("all",$L1964)),"All-section coverage. ","")&amp;IF($O1964=0,"Gross acres unresolved. ","")&amp;"Gross=tract-map basis."))</x:f>
        <x:v>Mineral; basis Conv Amt(dec). Gross acres unresolved. Gross=tract-map basis.</x:v>
      </x:c>
      <x:c r="T1964" s="577" t="inlineStr">
        <x:is>
          <x:t xml:space="preserve">REVIEW</x:t>
        </x:is>
      </x:c>
      <x:c r="U1964" s="578" t="inlineStr">
        <x:is>
          <x:t xml:space="preserve">NEED: denominator / tract allocation for 1.54420 NMA from instrument image</x:t>
        </x:is>
      </x:c>
      <x:c r="V1964" s="565" t="n"/>
      <x:c r="W1964" s="565" t="n"/>
      <x:c r="X1964" s="565" t="n"/>
      <x:c r="Y1964" s="565" t="n"/>
      <x:c r="Z1964" s="565" t="n"/>
    </x:row>
    <x:row r="1965">
      <x:c r="A1965" s="552" t="inlineStr">
        <x:is>
          <x:t xml:space="preserve">2005-007120</x:t>
        </x:is>
      </x:c>
      <x:c r="B1965" s="552" t="n"/>
      <x:c r="C1965" s="552" t="inlineStr">
        <x:is>
          <x:t xml:space="preserve">Mineral Deed</x:t>
        </x:is>
      </x:c>
      <x:c r="D1965" s="552" t="inlineStr">
        <x:is>
          <x:t xml:space="preserve">1810/19</x:t>
        </x:is>
      </x:c>
      <x:c r="E1965" s="653" t="n">
        <x:v>38626</x:v>
      </x:c>
      <x:c r="F1965" s="653" t="n">
        <x:v>38642</x:v>
      </x:c>
      <x:c r="G1965" s="552" t="inlineStr">
        <x:is>
          <x:t xml:space="preserve">Leona I. DeGrande</x:t>
        </x:is>
      </x:c>
      <x:c r="H1965" s="552" t="inlineStr">
        <x:is>
          <x:t xml:space="preserve">Mare Oil Company</x:t>
        </x:is>
      </x:c>
      <x:c r="I1965" s="552" t="inlineStr">
        <x:is>
          <x:t xml:space="preserve">NW/4 SE/4, S/2 SE/4, SW/4 NE/4 of 31-12N-24W</x:t>
        </x:is>
      </x:c>
      <x:c r="J1965" s="552" t="inlineStr">
        <x:is>
          <x:t xml:space="preserve">An undivided 1.54420 net acre interest</x:t>
        </x:is>
      </x:c>
      <x:c r="K1965" s="554" t="e">
        <x:f>HYPERLINK("https://okcountyrecords.com/detail/roger+mills/2005-007120","OKCountyRecords: 2005-007120")</x:f>
      </x:c>
      <x:c r="L1965" s="552" t="n">
        <x:v>2</x:v>
      </x:c>
      <x:c r="M1965" s="552" t="inlineStr">
        <x:is>
          <x:t xml:space="preserve">Mineral</x:t>
        </x:is>
      </x:c>
      <x:c r="N1965" s="555" t="n">
        <x:f>1.5442/160</x:f>
        <x:v>0.00965125</x:v>
      </x:c>
      <x:c r="O1965" s="556" t="n">
        <x:f>IF($L1965="","",IF(ISNUMBER(SEARCH("all",$L1965)),640,(ISNUMBER(SEARCH("1",$L1965)))*80+(ISNUMBER(SEARCH("2",$L1965)))*160+(ISNUMBER(SEARCH("3",$L1965)))*40+(ISNUMBER(SEARCH("4",$L1965)))*80+(ISNUMBER(SEARCH("5",$L1965)))*120+(ISNUMBER(SEARCH("6",$L1965)))*80+(ISNUMBER(SEARCH("7",$L1965)))*40+(ISNUMBER(SEARCH("8",$L1965)))*40))</x:f>
        <x:v>0</x:v>
      </x:c>
      <x:c r="P1965" s="654" t="n">
        <x:f>IF($M1965&lt;&gt;"Mineral","",IF(ISNUMBER($N1965),$N1965,IF(OR(ISNUMBER(SEARCH("surface",$J1965)),ISNUMBER(SEARCH("reserv",$J1965)),ISNUMBER(SEARCH("less and except",$J1965))),0,"")))</x:f>
        <x:v>0.00965125</x:v>
      </x:c>
      <x:c r="Q1965" s="654" t="n">
        <x:f>IF($P1965="","",-$P1965)</x:f>
        <x:v>-0.00965125</x:v>
      </x:c>
      <x:c r="R1965" s="655" t="n">
        <x:f>IF($P1965="","",$O1965*$P1965)</x:f>
        <x:v>0</x:v>
      </x:c>
      <x:c r="S1965" s="552" t="str">
        <x:f>IF($M1965="","",TRIM(IF($M1965="Mineral",IF(ISNUMBER($N1965),"Mineral; basis Conv Amt(dec). ",IF($P1965=0,"Mineral; surface-only/reserved-&gt;0 min. ","Mineral; VERIFY — NEED full instrument image for conveyed amount. ")),$M1965&amp;" (non-mineral; excluded from mineral NMA). ")&amp;IF(OR(ISNUMBER(SEARCH("public",$G1965)),ISNUMBER(SEARCH("public",$H1965))),"FLAG: The Public placeholder; VERIFY — NEED source confirmation. ","")&amp;IF(ISNUMBER(SEARCH("all",$L1965)),"All-section coverage. ","")&amp;IF($O1965=0,"Gross acres unresolved. ","")&amp;"Gross=tract-map basis."))</x:f>
        <x:v>Mineral; basis Conv Amt(dec). Gross acres unresolved. Gross=tract-map basis.</x:v>
      </x:c>
      <x:c r="T1965" s="577" t="inlineStr">
        <x:is>
          <x:t xml:space="preserve">REVIEW</x:t>
        </x:is>
      </x:c>
      <x:c r="U1965" s="578" t="inlineStr">
        <x:is>
          <x:t xml:space="preserve">NEED: denominator / tract allocation for 1.54420 NMA from instrument image</x:t>
        </x:is>
      </x:c>
      <x:c r="V1965" s="565" t="n"/>
      <x:c r="W1965" s="565" t="n"/>
      <x:c r="X1965" s="565" t="n"/>
      <x:c r="Y1965" s="565" t="n"/>
      <x:c r="Z1965" s="565" t="n"/>
    </x:row>
    <x:row r="1966">
      <x:c r="A1966" s="552" t="inlineStr">
        <x:is>
          <x:t xml:space="preserve">2005-006992</x:t>
        </x:is>
      </x:c>
      <x:c r="B1966" s="552" t="n"/>
      <x:c r="C1966" s="552" t="inlineStr">
        <x:is>
          <x:t xml:space="preserve">Assignment OF MINERAL INTERESTS</x:t>
        </x:is>
      </x:c>
      <x:c r="D1966" s="552" t="inlineStr">
        <x:is>
          <x:t xml:space="preserve">1809/264</x:t>
        </x:is>
      </x:c>
      <x:c r="E1966" s="653" t="n">
        <x:v>38629</x:v>
      </x:c>
      <x:c r="F1966" s="653" t="n">
        <x:v>38632</x:v>
      </x:c>
      <x:c r="G1966" s="552" t="inlineStr">
        <x:is>
          <x:t xml:space="preserve">The Estate of Dorothy G. Hamilton
Harold D. Hamilton Rogers,
and Heather H. Tedford, Co-executors
</x:t>
        </x:is>
      </x:c>
      <x:c r="H1966" s="552" t="inlineStr">
        <x:is>
          <x:t xml:space="preserve">Heather Hamilton Tedford
900 8th Street, Suite 710
Wichita Falls, TX 76301</x:t>
        </x:is>
      </x:c>
      <x:c r="I1966" s="552" t="inlineStr">
        <x:is>
          <x:t xml:space="preserve">E/2 NW/4, N/2 NE/4 SW/4, NE/4 SE/4, SE/4 NE/4 of 31-12N-24W, aol</x:t>
        </x:is>
      </x:c>
      <x:c r="J1966" s="552" t="inlineStr">
        <x:is>
          <x:t xml:space="preserve">It is the intention of Assignor to convey, and Assignor does hereby convey, all of Assignor's interest, whether described above or not, in the oil, gas and minerals (held in any form, whether as minerals, royalty, overriding royalties, working interest or some other interest in leasehold estate), owned by Assignor in Roger Mills County, Okiahoma.</x:t>
        </x:is>
      </x:c>
      <x:c r="K1966" s="554" t="e">
        <x:f>HYPERLINK("https://okcountyrecords.com/detail/roger+mills/2005-006992","OKCountyRecords: 2005-006992")</x:f>
      </x:c>
      <x:c r="L1966" s="552" t="inlineStr">
        <x:is>
          <x:t xml:space="preserve">1, 3, 4, 7, 8</x:t>
        </x:is>
      </x:c>
      <x:c r="M1966" s="552" t="inlineStr">
        <x:is>
          <x:t xml:space="preserve">Leasehold</x:t>
        </x:is>
      </x:c>
      <x:c r="N1966" s="561" t="n"/>
      <x:c r="O1966" s="556" t="n">
        <x:f>IF($L1966="","",IF(ISNUMBER(SEARCH("all",$L1966)),640,(ISNUMBER(SEARCH("1",$L1966)))*80+(ISNUMBER(SEARCH("2",$L1966)))*160+(ISNUMBER(SEARCH("3",$L1966)))*40+(ISNUMBER(SEARCH("4",$L1966)))*80+(ISNUMBER(SEARCH("5",$L1966)))*120+(ISNUMBER(SEARCH("6",$L1966)))*80+(ISNUMBER(SEARCH("7",$L1966)))*40+(ISNUMBER(SEARCH("8",$L1966)))*40))</x:f>
        <x:v>0</x:v>
      </x:c>
      <x:c r="P1966" s="654" t="str">
        <x:f>IF($M1966&lt;&gt;"Mineral","",IF(ISNUMBER($N1966),$N1966,IF(OR(ISNUMBER(SEARCH("surface",$J1966)),ISNUMBER(SEARCH("reserv",$J1966)),ISNUMBER(SEARCH("less and except",$J1966))),0,"")))</x:f>
      </x:c>
      <x:c r="Q1966" s="654" t="str">
        <x:f>IF($P1966="","",-$P1966)</x:f>
      </x:c>
      <x:c r="R1966" s="655" t="str">
        <x:f>IF($P1966="","",$O1966*$P1966)</x:f>
      </x:c>
      <x:c r="S1966" s="552" t="str">
        <x:f>IF($M1966="","",TRIM(IF($M1966="Mineral",IF(ISNUMBER($N1966),"Mineral; basis Conv Amt(dec). ",IF($P1966=0,"Mineral; surface-only/reserved-&gt;0 min. ","Mineral; NO AMOUNT-verify instrument. ")),$M1966&amp;" (non-mineral; excluded from mineral NMA). ")&amp;IF(OR(ISNUMBER(SEARCH("public",$G1966)),ISNUMBER(SEARCH("public",$H1966))),"FLAG: The Public placeholder-verify. ","")&amp;IF(ISNUMBER(SEARCH("all",$L1966)),"All-section coverage. ","")&amp;IF($O1966=0,"Gross acres unresolved. ","")&amp;"Gross=tract-map basis."))</x:f>
        <x:v>Leasehold (non-mineral; excluded from mineral NMA). Gross acres unresolved. Gross=tract-map basis.</x:v>
      </x:c>
      <x:c r="T1966" s="577" t="n"/>
      <x:c r="U1966" s="578" t="n"/>
      <x:c r="V1966" s="565" t="n"/>
      <x:c r="W1966" s="565" t="n"/>
      <x:c r="X1966" s="565" t="n"/>
      <x:c r="Y1966" s="565" t="n"/>
      <x:c r="Z1966" s="565" t="n"/>
    </x:row>
    <x:row r="1967">
      <x:c r="A1967" s="552" t="inlineStr">
        <x:is>
          <x:t xml:space="preserve">2005-007202</x:t>
        </x:is>
      </x:c>
      <x:c r="B1967" s="552" t="n"/>
      <x:c r="C1967" s="552" t="inlineStr">
        <x:is>
          <x:t xml:space="preserve">Oil and Gas Lease</x:t>
        </x:is>
      </x:c>
      <x:c r="D1967" s="552" t="inlineStr">
        <x:is>
          <x:t xml:space="preserve">1810/310</x:t>
        </x:is>
      </x:c>
      <x:c r="E1967" s="653" t="n">
        <x:v>38632</x:v>
      </x:c>
      <x:c r="F1967" s="653" t="n">
        <x:v>38644</x:v>
      </x:c>
      <x:c r="G1967" s="552" t="inlineStr">
        <x:is>
          <x:t xml:space="preserve">Peggy J. Hayhurst, Trustee of the Peggy J. Hayhurst Revocable Trust dated 11-9-93
P.O. Box 828
Elk City, OK 73648
</x:t>
        </x:is>
      </x:c>
      <x:c r="H1967" s="552" t="inlineStr">
        <x:is>
          <x:t xml:space="preserve">Fleshman Agency, Inc.
P.O. Box 2197
Elk City, OK 73648</x:t>
        </x:is>
      </x:c>
      <x:c r="I1967" s="552" t="inlineStr">
        <x:is>
          <x:t xml:space="preserve">E/2 NW/4, N/2 NE/4 SW/4, NE/4 SE/4, SE/4 NE/4 of 31-12N-24W</x:t>
        </x:is>
      </x:c>
      <x:c r="J1967" s="552" t="inlineStr">
        <x:is>
          <x:t xml:space="preserve">180 gross acres
3 yrs
1/4th royalty
Depth clause: All depths 100 feet below the stratigraphic equivalent of the total depth drilled in any well during the primary term of this lease shall be released at the expiration of the primary term herein. With respect to any drilling or reworking operations in process at the end of the primary term, Lessee reserves the right to diligently complete such operations and release all depths 100 below the stratigraphic equivalent of the deepest depth drilled, only at such time as said drilling or reworking operations are completed.</x:t>
        </x:is>
      </x:c>
      <x:c r="K1967" s="554" t="e">
        <x:f>HYPERLINK("https://okcountyrecords.com/detail/roger+mills/2005-007202","OKCountyRecords: 2005-007202")</x:f>
      </x:c>
      <x:c r="L1967" s="552" t="inlineStr">
        <x:is>
          <x:t xml:space="preserve">1, 3, 4, 7, 8</x:t>
        </x:is>
      </x:c>
      <x:c r="M1967" s="552" t="inlineStr">
        <x:is>
          <x:t xml:space="preserve">Leasehold</x:t>
        </x:is>
      </x:c>
      <x:c r="N1967" s="561" t="n"/>
      <x:c r="O1967" s="556" t="n">
        <x:f>IF($L1967="","",IF(ISNUMBER(SEARCH("all",$L1967)),640,(ISNUMBER(SEARCH("1",$L1967)))*80+(ISNUMBER(SEARCH("2",$L1967)))*160+(ISNUMBER(SEARCH("3",$L1967)))*40+(ISNUMBER(SEARCH("4",$L1967)))*80+(ISNUMBER(SEARCH("5",$L1967)))*120+(ISNUMBER(SEARCH("6",$L1967)))*80+(ISNUMBER(SEARCH("7",$L1967)))*40+(ISNUMBER(SEARCH("8",$L1967)))*40))</x:f>
        <x:v>0</x:v>
      </x:c>
      <x:c r="P1967" s="654" t="str">
        <x:f>IF($M1967&lt;&gt;"Mineral","",IF(ISNUMBER($N1967),$N1967,IF(OR(ISNUMBER(SEARCH("surface",$J1967)),ISNUMBER(SEARCH("reserv",$J1967)),ISNUMBER(SEARCH("less and except",$J1967))),0,"")))</x:f>
      </x:c>
      <x:c r="Q1967" s="654" t="str">
        <x:f>IF($P1967="","",-$P1967)</x:f>
      </x:c>
      <x:c r="R1967" s="655" t="str">
        <x:f>IF($P1967="","",$O1967*$P1967)</x:f>
      </x:c>
      <x:c r="S1967" s="552" t="str">
        <x:f>IF($M1967="","",TRIM(IF($M1967="Mineral",IF(ISNUMBER($N1967),"Mineral; basis Conv Amt(dec). ",IF($P1967=0,"Mineral; surface-only/reserved-&gt;0 min. ","Mineral; NO AMOUNT-verify instrument. ")),$M1967&amp;" (non-mineral; excluded from mineral NMA). ")&amp;IF(OR(ISNUMBER(SEARCH("public",$G1967)),ISNUMBER(SEARCH("public",$H1967))),"FLAG: The Public placeholder-verify. ","")&amp;IF(ISNUMBER(SEARCH("all",$L1967)),"All-section coverage. ","")&amp;IF($O1967=0,"Gross acres unresolved. ","")&amp;"Gross=tract-map basis."))</x:f>
        <x:v>Leasehold (non-mineral; excluded from mineral NMA). Gross acres unresolved. Gross=tract-map basis.</x:v>
      </x:c>
      <x:c r="T1967" s="577" t="n"/>
      <x:c r="U1967" s="578" t="n"/>
      <x:c r="V1967" s="565" t="n"/>
      <x:c r="W1967" s="565" t="n"/>
      <x:c r="X1967" s="565" t="n"/>
      <x:c r="Y1967" s="565" t="n"/>
      <x:c r="Z1967" s="565" t="n"/>
    </x:row>
    <x:row r="1968">
      <x:c r="A1968" s="552" t="inlineStr">
        <x:is>
          <x:t xml:space="preserve">2005-008517</x:t>
        </x:is>
      </x:c>
      <x:c r="B1968" s="552" t="n">
        <x:v>31</x:v>
      </x:c>
      <x:c r="C1968" s="552" t="inlineStr">
        <x:is>
          <x:t xml:space="preserve">Oil and Gas Lease</x:t>
        </x:is>
      </x:c>
      <x:c r="D1968" s="552" t="inlineStr">
        <x:is>
          <x:t xml:space="preserve">1816/358</x:t>
        </x:is>
      </x:c>
      <x:c r="E1968" s="653" t="n">
        <x:v>38636</x:v>
      </x:c>
      <x:c r="F1968" s="653" t="n">
        <x:v>38701</x:v>
      </x:c>
      <x:c r="G1968" s="552" t="inlineStr">
        <x:is>
          <x:t xml:space="preserve">Eddie Tom Lakey
1501 Electra
Sayre, OK 73662</x:t>
        </x:is>
      </x:c>
      <x:c r="H1968" s="552" t="inlineStr">
        <x:is>
          <x:t xml:space="preserve">Jess Harris, III, Inc.
Oklahoma City, OK 73112</x:t>
        </x:is>
      </x:c>
      <x:c r="I1968" s="552" t="inlineStr">
        <x:is>
          <x:t xml:space="preserve">The North Forty (40) acres in a tract of land described as W. 18.20 chains (72-8/10 rods) of Lots 1 and 2 a/d/a W. 18.20 chains (or 72-8/10 rods) of W/2 NW/4 of 31-12N-24W</x:t>
        </x:is>
      </x:c>
      <x:c r="J1968" s="552" t="inlineStr">
        <x:is>
          <x:t xml:space="preserve">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ofthe primary term of this lease, this clause shall become effective upon conclusion of such operations.</x:t>
        </x:is>
      </x:c>
      <x:c r="K1968" s="554" t="e">
        <x:f>HYPERLINK("https://okcountyrecords.com/detail/roger+mills/2005-008517","OKCountyRecords: 2005-008517")</x:f>
      </x:c>
      <x:c r="L1968" s="552" t="inlineStr">
        <x:is>
          <x:t xml:space="preserve">All (1-8)</x:t>
        </x:is>
      </x:c>
      <x:c r="M1968" s="552" t="inlineStr">
        <x:is>
          <x:t xml:space="preserve">Leasehold</x:t>
        </x:is>
      </x:c>
      <x:c r="N1968" s="555" t="n"/>
      <x:c r="O1968" s="556" t="n">
        <x:f>IF($L1968="","",IF(ISNUMBER(SEARCH("all",$L1968)),640,(ISNUMBER(SEARCH("1",$L1968)))*80+(ISNUMBER(SEARCH("2",$L1968)))*160+(ISNUMBER(SEARCH("3",$L1968)))*40+(ISNUMBER(SEARCH("4",$L1968)))*80+(ISNUMBER(SEARCH("5",$L1968)))*120+(ISNUMBER(SEARCH("6",$L1968)))*80+(ISNUMBER(SEARCH("7",$L1968)))*40+(ISNUMBER(SEARCH("8",$L1968)))*40))</x:f>
        <x:v>640</x:v>
      </x:c>
      <x:c r="P1968" s="654" t="str">
        <x:f>IF($M1968&lt;&gt;"Mineral","",IF(ISNUMBER($N1968),$N1968,IF(OR(ISNUMBER(SEARCH("surface",$J1968)),ISNUMBER(SEARCH("reserv",$J1968)),ISNUMBER(SEARCH("less and except",$J1968))),0,"")))</x:f>
      </x:c>
      <x:c r="Q1968" s="654" t="str">
        <x:f>IF($P1968="","",-$P1968)</x:f>
      </x:c>
      <x:c r="R1968" s="655" t="str">
        <x:f>IF($P1968="","",$O1968*$P1968)</x:f>
      </x:c>
      <x:c r="S1968" s="552" t="str">
        <x:f>IF($M1968="","",TRIM(IF($M1968="Mineral",IF(ISNUMBER($N1968),"Mineral; basis Conv Amt(dec). ",IF($P1968=0,"Mineral; surface-only/reserved-&gt;0 min. ","Mineral; NO AMOUNT-verify instrument. ")),$M1968&amp;" (non-mineral; excluded from mineral NMA). ")&amp;IF(OR(ISNUMBER(SEARCH("public",$G1968)),ISNUMBER(SEARCH("public",$H1968))),"FLAG: The Public placeholder-verify. ","")&amp;IF(ISNUMBER(SEARCH("all",$L1968)),"All-section coverage. ","")&amp;IF($O1968=0,"Gross acres unresolved. ","")&amp;"Gross=tract-map basis."))</x:f>
        <x:v>Leasehold (non-mineral; excluded from mineral NMA). All-section coverage. Gross=tract-map basis.</x:v>
      </x:c>
      <x:c r="T1968" s="577" t="n"/>
      <x:c r="U1968" s="578" t="n"/>
      <x:c r="V1968" s="565" t="n"/>
      <x:c r="W1968" s="565" t="n"/>
      <x:c r="X1968" s="565" t="n"/>
      <x:c r="Y1968" s="565" t="n"/>
      <x:c r="Z1968" s="565" t="n"/>
    </x:row>
    <x:row r="1969">
      <x:c r="A1969" s="552" t="inlineStr">
        <x:is>
          <x:t xml:space="preserve">2005-008515</x:t>
        </x:is>
      </x:c>
      <x:c r="B1969" s="552" t="n">
        <x:v>30</x:v>
      </x:c>
      <x:c r="C1969" s="552" t="inlineStr">
        <x:is>
          <x:t xml:space="preserve">Oil and Gas Lease</x:t>
        </x:is>
      </x:c>
      <x:c r="D1969" s="552" t="inlineStr">
        <x:is>
          <x:t xml:space="preserve">1816/352</x:t>
        </x:is>
      </x:c>
      <x:c r="E1969" s="653" t="n">
        <x:v>38636</x:v>
      </x:c>
      <x:c r="F1969" s="653" t="n">
        <x:v>38701</x:v>
      </x:c>
      <x:c r="G1969" s="552" t="inlineStr">
        <x:is>
          <x:t xml:space="preserve">Shawn S. Walters
Rt. 1, Box 1660
Canute, OK 73626
</x:t>
        </x:is>
      </x:c>
      <x:c r="H1969" s="552" t="inlineStr">
        <x:is>
          <x:t xml:space="preserve">Jess Harris, III, Inc.
Oklahoma City, OK 73112</x:t>
        </x:is>
      </x:c>
      <x:c r="I1969" s="552" t="inlineStr">
        <x:is>
          <x:t xml:space="preserve">SE/4 SW/4 of 31-12N-24W</x:t>
        </x:is>
      </x:c>
      <x:c r="J1969" s="552" t="inlineStr">
        <x:is>
          <x:t xml:space="preserve">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 the primary torm-of this lease, this clause shall become effective upon conclusion of such operations.</x:t>
        </x:is>
      </x:c>
      <x:c r="K1969" s="554" t="e">
        <x:f>HYPERLINK("https://okcountyrecords.com/detail/roger+mills/2005-008515","OKCountyRecords: 2005-008515")</x:f>
      </x:c>
      <x:c r="L1969" s="552" t="n">
        <x:v>5</x:v>
      </x:c>
      <x:c r="M1969" s="552" t="inlineStr">
        <x:is>
          <x:t xml:space="preserve">Leasehold</x:t>
        </x:is>
      </x:c>
      <x:c r="N1969" s="555" t="n"/>
      <x:c r="O1969" s="556" t="n">
        <x:f>IF($L1969="","",IF(ISNUMBER(SEARCH("all",$L1969)),640,(ISNUMBER(SEARCH("1",$L1969)))*80+(ISNUMBER(SEARCH("2",$L1969)))*160+(ISNUMBER(SEARCH("3",$L1969)))*40+(ISNUMBER(SEARCH("4",$L1969)))*80+(ISNUMBER(SEARCH("5",$L1969)))*120+(ISNUMBER(SEARCH("6",$L1969)))*80+(ISNUMBER(SEARCH("7",$L1969)))*40+(ISNUMBER(SEARCH("8",$L1969)))*40))</x:f>
        <x:v>0</x:v>
      </x:c>
      <x:c r="P1969" s="654" t="str">
        <x:f>IF($M1969&lt;&gt;"Mineral","",IF(ISNUMBER($N1969),$N1969,IF(OR(ISNUMBER(SEARCH("surface",$J1969)),ISNUMBER(SEARCH("reserv",$J1969)),ISNUMBER(SEARCH("less and except",$J1969))),0,"")))</x:f>
      </x:c>
      <x:c r="Q1969" s="654" t="str">
        <x:f>IF($P1969="","",-$P1969)</x:f>
      </x:c>
      <x:c r="R1969" s="655" t="str">
        <x:f>IF($P1969="","",$O1969*$P1969)</x:f>
      </x:c>
      <x:c r="S1969" s="552" t="str">
        <x:f>IF($M1969="","",TRIM(IF($M1969="Mineral",IF(ISNUMBER($N1969),"Mineral; basis Conv Amt(dec). ",IF($P1969=0,"Mineral; surface-only/reserved-&gt;0 min. ","Mineral; NO AMOUNT-verify instrument. ")),$M1969&amp;" (non-mineral; excluded from mineral NMA). ")&amp;IF(OR(ISNUMBER(SEARCH("public",$G1969)),ISNUMBER(SEARCH("public",$H1969))),"FLAG: The Public placeholder-verify. ","")&amp;IF(ISNUMBER(SEARCH("all",$L1969)),"All-section coverage. ","")&amp;IF($O1969=0,"Gross acres unresolved. ","")&amp;"Gross=tract-map basis."))</x:f>
        <x:v>Leasehold (non-mineral; excluded from mineral NMA). Gross acres unresolved. Gross=tract-map basis.</x:v>
      </x:c>
      <x:c r="T1969" s="577" t="n"/>
      <x:c r="U1969" s="578" t="n"/>
      <x:c r="V1969" s="565" t="n"/>
      <x:c r="W1969" s="565" t="n"/>
      <x:c r="X1969" s="565" t="n"/>
      <x:c r="Y1969" s="565" t="n"/>
      <x:c r="Z1969" s="565" t="n"/>
    </x:row>
    <x:row r="1970">
      <x:c r="A1970" s="552" t="inlineStr">
        <x:is>
          <x:t xml:space="preserve">2005-008528</x:t>
        </x:is>
      </x:c>
      <x:c r="B1970" s="552" t="n">
        <x:v>32</x:v>
      </x:c>
      <x:c r="C1970" s="552" t="inlineStr">
        <x:is>
          <x:t xml:space="preserve">Oil and Gas Lease</x:t>
        </x:is>
      </x:c>
      <x:c r="D1970" s="552" t="inlineStr">
        <x:is>
          <x:t xml:space="preserve">1816/386</x:t>
        </x:is>
      </x:c>
      <x:c r="E1970" s="653" t="n">
        <x:v>38637</x:v>
      </x:c>
      <x:c r="F1970" s="653" t="n">
        <x:v>38701</x:v>
      </x:c>
      <x:c r="G1970" s="552" t="inlineStr">
        <x:is>
          <x:t xml:space="preserve">Myron Slobin a/k/a Myron V. Slobin
2216 Jennings
Street, Sioux City, IA 51104</x:t>
        </x:is>
      </x:c>
      <x:c r="H1970" s="552" t="inlineStr">
        <x:is>
          <x:t xml:space="preserve">Jess Harris, III, Inc.
Oklahoma City, OK 73112</x:t>
        </x:is>
      </x:c>
      <x:c r="I1970" s="552" t="inlineStr">
        <x:is>
          <x:t xml:space="preserve">All of 31-12N-24W</x:t>
        </x:is>
      </x:c>
      <x:c r="J1970" s="552" t="inlineStr">
        <x:is>
          <x:t xml:space="preserve">160 gross acres
3 yrs
3/16ths royalty</x:t>
        </x:is>
      </x:c>
      <x:c r="K1970" s="554" t="e">
        <x:f>HYPERLINK("https://okcountyrecords.com/detail/roger+mills/2005-008528","OKCountyRecords: 2005-008528")</x:f>
      </x:c>
      <x:c r="L1970" s="552" t="inlineStr">
        <x:is>
          <x:t xml:space="preserve">All (1-8)</x:t>
        </x:is>
      </x:c>
      <x:c r="M1970" s="552" t="inlineStr">
        <x:is>
          <x:t xml:space="preserve">Leasehold</x:t>
        </x:is>
      </x:c>
      <x:c r="N1970" s="555" t="n"/>
      <x:c r="O1970" s="556" t="n">
        <x:f>IF($L1970="","",IF(ISNUMBER(SEARCH("all",$L1970)),640,(ISNUMBER(SEARCH("1",$L1970)))*80+(ISNUMBER(SEARCH("2",$L1970)))*160+(ISNUMBER(SEARCH("3",$L1970)))*40+(ISNUMBER(SEARCH("4",$L1970)))*80+(ISNUMBER(SEARCH("5",$L1970)))*120+(ISNUMBER(SEARCH("6",$L1970)))*80+(ISNUMBER(SEARCH("7",$L1970)))*40+(ISNUMBER(SEARCH("8",$L1970)))*40))</x:f>
        <x:v>640</x:v>
      </x:c>
      <x:c r="P1970" s="654" t="str">
        <x:f>IF($M1970&lt;&gt;"Mineral","",IF(ISNUMBER($N1970),$N1970,IF(OR(ISNUMBER(SEARCH("surface",$J1970)),ISNUMBER(SEARCH("reserv",$J1970)),ISNUMBER(SEARCH("less and except",$J1970))),0,"")))</x:f>
      </x:c>
      <x:c r="Q1970" s="654" t="str">
        <x:f>IF($P1970="","",-$P1970)</x:f>
      </x:c>
      <x:c r="R1970" s="655" t="str">
        <x:f>IF($P1970="","",$O1970*$P1970)</x:f>
      </x:c>
      <x:c r="S1970" s="552" t="str">
        <x:f>IF($M1970="","",TRIM(IF($M1970="Mineral",IF(ISNUMBER($N1970),"Mineral; basis Conv Amt(dec). ",IF($P1970=0,"Mineral; surface-only/reserved-&gt;0 min. ","Mineral; NO AMOUNT-verify instrument. ")),$M1970&amp;" (non-mineral; excluded from mineral NMA). ")&amp;IF(OR(ISNUMBER(SEARCH("public",$G1970)),ISNUMBER(SEARCH("public",$H1970))),"FLAG: The Public placeholder-verify. ","")&amp;IF(ISNUMBER(SEARCH("all",$L1970)),"All-section coverage. ","")&amp;IF($O1970=0,"Gross acres unresolved. ","")&amp;"Gross=tract-map basis."))</x:f>
        <x:v>Leasehold (non-mineral; excluded from mineral NMA). All-section coverage. Gross=tract-map basis.</x:v>
      </x:c>
      <x:c r="T1970" s="577" t="n"/>
      <x:c r="U1970" s="578" t="n"/>
      <x:c r="V1970" s="565" t="n"/>
      <x:c r="W1970" s="565" t="n"/>
      <x:c r="X1970" s="565" t="n"/>
      <x:c r="Y1970" s="565" t="n"/>
      <x:c r="Z1970" s="565" t="n"/>
    </x:row>
    <x:row r="1971">
      <x:c r="A1971" s="552" t="inlineStr">
        <x:is>
          <x:t xml:space="preserve">2005-007551</x:t>
        </x:is>
      </x:c>
      <x:c r="B1971" s="552" t="n"/>
      <x:c r="C1971" s="552" t="inlineStr">
        <x:is>
          <x:t xml:space="preserve">Mineral Deed</x:t>
        </x:is>
      </x:c>
      <x:c r="D1971" s="552" t="inlineStr">
        <x:is>
          <x:t xml:space="preserve">1812/138</x:t>
        </x:is>
      </x:c>
      <x:c r="E1971" s="653" t="n">
        <x:v>38650</x:v>
      </x:c>
      <x:c r="F1971" s="653" t="n">
        <x:v>38658</x:v>
      </x:c>
      <x:c r="G1971" s="552" t="inlineStr">
        <x:is>
          <x:t xml:space="preserve">Tripco, Inc.</x:t>
        </x:is>
      </x:c>
      <x:c r="H1971" s="552" t="inlineStr">
        <x:is>
          <x:t xml:space="preserve">Prism Energy, Inc.</x:t>
        </x:is>
      </x:c>
      <x:c r="I1971" s="552" t="inlineStr">
        <x:is>
          <x:t xml:space="preserve">E/2 NW/4, N/2 NE/4 SW/4, NE/4 SE/4, SE/4 NE/4 of 31-12N-24W, aol</x:t>
        </x:is>
      </x:c>
      <x:c r="J1971" s="552" t="inlineStr">
        <x:is>
          <x:t xml:space="preserve">ARTI</x:t>
        </x:is>
      </x:c>
      <x:c r="K1971" s="554" t="e">
        <x:f>HYPERLINK("https://okcountyrecords.com/detail/roger+mills/2005-007551","OKCountyRecords: 2005-007551")</x:f>
      </x:c>
      <x:c r="L1971" s="552" t="inlineStr">
        <x:is>
          <x:t xml:space="preserve">1, 3, 4, 7, 8</x:t>
        </x:is>
      </x:c>
      <x:c r="M1971" s="552" t="inlineStr">
        <x:is>
          <x:t xml:space="preserve">Mineral</x:t>
        </x:is>
      </x:c>
      <x:c r="N1971" s="561" t="n">
        <x:v>1</x:v>
      </x:c>
      <x:c r="O1971" s="556" t="n">
        <x:f>IF($L1971="","",IF(ISNUMBER(SEARCH("all",$L1971)),640,(ISNUMBER(SEARCH("1",$L1971)))*80+(ISNUMBER(SEARCH("2",$L1971)))*160+(ISNUMBER(SEARCH("3",$L1971)))*40+(ISNUMBER(SEARCH("4",$L1971)))*80+(ISNUMBER(SEARCH("5",$L1971)))*120+(ISNUMBER(SEARCH("6",$L1971)))*80+(ISNUMBER(SEARCH("7",$L1971)))*40+(ISNUMBER(SEARCH("8",$L1971)))*40))</x:f>
        <x:v>0</x:v>
      </x:c>
      <x:c r="P1971" s="654" t="n">
        <x:f>IF($M1971&lt;&gt;"Mineral","",IF(ISNUMBER($N1971),$N1971,IF(OR(ISNUMBER(SEARCH("surface",$J1971)),ISNUMBER(SEARCH("reserv",$J1971)),ISNUMBER(SEARCH("less and except",$J1971))),0,"")))</x:f>
        <x:v>1</x:v>
      </x:c>
      <x:c r="Q1971" s="654" t="n">
        <x:f>IF($P1971="","",-$P1971)</x:f>
        <x:v>-1</x:v>
      </x:c>
      <x:c r="R1971" s="655" t="n">
        <x:f>IF($P1971="","",$O1971*$P1971)</x:f>
        <x:v>0</x:v>
      </x:c>
      <x:c r="S1971" s="552" t="str">
        <x:f>IF($M1971="","",TRIM(IF($M1971="Mineral",IF(ISNUMBER($N1971),"Mineral; basis Conv Amt(dec). ",IF($P1971=0,"Mineral; surface-only/reserved-&gt;0 min. ","Mineral; NO AMOUNT-verify instrument. ")),$M1971&amp;" (non-mineral; excluded from mineral NMA). ")&amp;IF(OR(ISNUMBER(SEARCH("public",$G1971)),ISNUMBER(SEARCH("public",$H1971))),"FLAG: The Public placeholder-verify. ","")&amp;IF(ISNUMBER(SEARCH("all",$L1971)),"All-section coverage. ","")&amp;IF($O1971=0,"Gross acres unresolved. ","")&amp;"Gross=tract-map basis."))</x:f>
        <x:v>Mineral; basis Conv Amt(dec). Gross acres unresolved. Gross=tract-map basis.</x:v>
      </x:c>
      <x:c r="T1971" s="577" t="n"/>
      <x:c r="U1971" s="578" t="n"/>
      <x:c r="V1971" s="565" t="n"/>
      <x:c r="W1971" s="565" t="n"/>
      <x:c r="X1971" s="565" t="n"/>
      <x:c r="Y1971" s="565" t="n"/>
      <x:c r="Z1971" s="565" t="n"/>
    </x:row>
    <x:row r="1972">
      <x:c r="A1972" s="552" t="inlineStr">
        <x:is>
          <x:t xml:space="preserve">2006-000767</x:t>
        </x:is>
      </x:c>
      <x:c r="B1972" s="552" t="n"/>
      <x:c r="C1972" s="552" t="inlineStr">
        <x:is>
          <x:t xml:space="preserve">Assignment of Oil and Gas Lease</x:t>
        </x:is>
      </x:c>
      <x:c r="D1972" s="552" t="inlineStr">
        <x:is>
          <x:t xml:space="preserve">1822/18</x:t>
        </x:is>
      </x:c>
      <x:c r="E1972" s="653" t="n">
        <x:v>38651</x:v>
      </x:c>
      <x:c r="F1972" s="653" t="n">
        <x:v>38749</x:v>
      </x:c>
      <x:c r="G1972" s="552" t="inlineStr">
        <x:is>
          <x:t xml:space="preserve">Jess Harris, III, Inc.
Oklahoma City, OK 73112</x:t>
        </x:is>
      </x:c>
      <x:c r="H1972" s="552" t="inlineStr">
        <x:is>
          <x:t xml:space="preserve">Newfield Exploration Mid-Continent, Inc.
110 West 7th, Ste. 1300
Tulsa, OK 74119
</x:t>
        </x:is>
      </x:c>
      <x:c r="I1972" s="552" t="inlineStr">
        <x:is>
          <x:t xml:space="preserve">N 40 acres in a tract of land desc as W 18.20 chains
(72-8/10 rods) of Lots 1, 2 a/d/a W 18.20 chains (or
72-8/10 rods) of W/2 NW/4 of 31-12N-24W</x:t>
        </x:is>
      </x:c>
      <x:c r="J1972" s="552" t="inlineStr">
        <x:is>
          <x:t xml:space="preserve">Assigns all right, title and interest in and to the Oil and Gas Lease recorded at 1816/358</x:t>
        </x:is>
      </x:c>
      <x:c r="K1972" s="554" t="e">
        <x:f>HYPERLINK("https://okcountyrecords.com/detail/roger+mills/2006-000767","OKCountyRecords: 2006-000767")</x:f>
      </x:c>
      <x:c r="L1972" s="552" t="n">
        <x:v>5</x:v>
      </x:c>
      <x:c r="M1972" s="552" t="inlineStr">
        <x:is>
          <x:t xml:space="preserve">Leasehold</x:t>
        </x:is>
      </x:c>
      <x:c r="N1972" s="555" t="n"/>
      <x:c r="O1972" s="556" t="n">
        <x:f>IF($L1972="","",IF(ISNUMBER(SEARCH("all",$L1972)),640,(ISNUMBER(SEARCH("1",$L1972)))*80+(ISNUMBER(SEARCH("2",$L1972)))*160+(ISNUMBER(SEARCH("3",$L1972)))*40+(ISNUMBER(SEARCH("4",$L1972)))*80+(ISNUMBER(SEARCH("5",$L1972)))*120+(ISNUMBER(SEARCH("6",$L1972)))*80+(ISNUMBER(SEARCH("7",$L1972)))*40+(ISNUMBER(SEARCH("8",$L1972)))*40))</x:f>
        <x:v>0</x:v>
      </x:c>
      <x:c r="P1972" s="654" t="str">
        <x:f>IF($M1972&lt;&gt;"Mineral","",IF(ISNUMBER($N1972),$N1972,IF(OR(ISNUMBER(SEARCH("surface",$J1972)),ISNUMBER(SEARCH("reserv",$J1972)),ISNUMBER(SEARCH("less and except",$J1972))),0,"")))</x:f>
      </x:c>
      <x:c r="Q1972" s="654" t="str">
        <x:f>IF($P1972="","",-$P1972)</x:f>
      </x:c>
      <x:c r="R1972" s="655" t="str">
        <x:f>IF($P1972="","",$O1972*$P1972)</x:f>
      </x:c>
      <x:c r="S1972" s="552" t="str">
        <x:f>IF($M1972="","",TRIM(IF($M1972="Mineral",IF(ISNUMBER($N1972),"Mineral; basis Conv Amt(dec). ",IF($P1972=0,"Mineral; surface-only/reserved-&gt;0 min. ","Mineral; NO AMOUNT-verify instrument. ")),$M1972&amp;" (non-mineral; excluded from mineral NMA). ")&amp;IF(OR(ISNUMBER(SEARCH("public",$G1972)),ISNUMBER(SEARCH("public",$H1972))),"FLAG: The Public placeholder-verify. ","")&amp;IF(ISNUMBER(SEARCH("all",$L1972)),"All-section coverage. ","")&amp;IF($O1972=0,"Gross acres unresolved. ","")&amp;"Gross=tract-map basis."))</x:f>
        <x:v>Leasehold (non-mineral; excluded from mineral NMA). Gross acres unresolved. Gross=tract-map basis.</x:v>
      </x:c>
      <x:c r="T1972" s="577" t="n"/>
      <x:c r="U1972" s="578" t="n"/>
      <x:c r="V1972" s="565" t="n"/>
      <x:c r="W1972" s="565" t="n"/>
      <x:c r="X1972" s="565" t="n"/>
      <x:c r="Y1972" s="565" t="n"/>
      <x:c r="Z1972" s="565" t="n"/>
    </x:row>
    <x:row r="1973">
      <x:c r="A1973" s="552" t="inlineStr">
        <x:is>
          <x:t xml:space="preserve">2005-008530</x:t>
        </x:is>
      </x:c>
      <x:c r="B1973" s="552" t="n"/>
      <x:c r="C1973" s="552" t="inlineStr">
        <x:is>
          <x:t xml:space="preserve">Oil and Gas Lease</x:t>
        </x:is>
      </x:c>
      <x:c r="D1973" s="552" t="inlineStr">
        <x:is>
          <x:t xml:space="preserve">1816/389</x:t>
        </x:is>
      </x:c>
      <x:c r="E1973" s="653" t="n">
        <x:v>38653</x:v>
      </x:c>
      <x:c r="F1973" s="653" t="n">
        <x:v>38701</x:v>
      </x:c>
      <x:c r="G1973" s="552" t="inlineStr">
        <x:is>
          <x:t xml:space="preserve">Gregory J. Wiinneke
14215 Cougar Creek
San Antonio,, TX 78230
</x:t>
        </x:is>
      </x:c>
      <x:c r="H1973" s="552" t="inlineStr">
        <x:is>
          <x:t xml:space="preserve">Jess Harris, III, Inc.
Oklahoma City, OK 73112</x:t>
        </x:is>
      </x:c>
      <x:c r="I1973" s="552" t="inlineStr">
        <x:is>
          <x:t xml:space="preserve">SE/4 SE/4, SW/4 NE/4, W/2 SE/4 of 31-12N-24W</x:t>
        </x:is>
      </x:c>
      <x:c r="J1973" s="552" t="inlineStr">
        <x:is>
          <x:t xml:space="preserve">160 gross acres
3 yrs
3/16ths royalty</x:t>
        </x:is>
      </x:c>
      <x:c r="K1973" s="554" t="e">
        <x:f>HYPERLINK("https://okcountyrecords.com/detail/roger+mills/2005-008530","OKCountyRecords: 2005-008530")</x:f>
      </x:c>
      <x:c r="L1973" s="552" t="n">
        <x:v>2</x:v>
      </x:c>
      <x:c r="M1973" s="552" t="inlineStr">
        <x:is>
          <x:t xml:space="preserve">Leasehold</x:t>
        </x:is>
      </x:c>
      <x:c r="N1973" s="555" t="n"/>
      <x:c r="O1973" s="556" t="n">
        <x:f>IF($L1973="","",IF(ISNUMBER(SEARCH("all",$L1973)),640,(ISNUMBER(SEARCH("1",$L1973)))*80+(ISNUMBER(SEARCH("2",$L1973)))*160+(ISNUMBER(SEARCH("3",$L1973)))*40+(ISNUMBER(SEARCH("4",$L1973)))*80+(ISNUMBER(SEARCH("5",$L1973)))*120+(ISNUMBER(SEARCH("6",$L1973)))*80+(ISNUMBER(SEARCH("7",$L1973)))*40+(ISNUMBER(SEARCH("8",$L1973)))*40))</x:f>
        <x:v>0</x:v>
      </x:c>
      <x:c r="P1973" s="654" t="str">
        <x:f>IF($M1973&lt;&gt;"Mineral","",IF(ISNUMBER($N1973),$N1973,IF(OR(ISNUMBER(SEARCH("surface",$J1973)),ISNUMBER(SEARCH("reserv",$J1973)),ISNUMBER(SEARCH("less and except",$J1973))),0,"")))</x:f>
      </x:c>
      <x:c r="Q1973" s="654" t="str">
        <x:f>IF($P1973="","",-$P1973)</x:f>
      </x:c>
      <x:c r="R1973" s="655" t="str">
        <x:f>IF($P1973="","",$O1973*$P1973)</x:f>
      </x:c>
      <x:c r="S1973" s="552" t="str">
        <x:f>IF($M1973="","",TRIM(IF($M1973="Mineral",IF(ISNUMBER($N1973),"Mineral; basis Conv Amt(dec). ",IF($P1973=0,"Mineral; surface-only/reserved-&gt;0 min. ","Mineral; NO AMOUNT-verify instrument. ")),$M1973&amp;" (non-mineral; excluded from mineral NMA). ")&amp;IF(OR(ISNUMBER(SEARCH("public",$G1973)),ISNUMBER(SEARCH("public",$H1973))),"FLAG: The Public placeholder-verify. ","")&amp;IF(ISNUMBER(SEARCH("all",$L1973)),"All-section coverage. ","")&amp;IF($O1973=0,"Gross acres unresolved. ","")&amp;"Gross=tract-map basis."))</x:f>
        <x:v>Leasehold (non-mineral; excluded from mineral NMA). Gross acres unresolved. Gross=tract-map basis.</x:v>
      </x:c>
      <x:c r="T1973" s="577" t="n"/>
      <x:c r="U1973" s="578" t="n"/>
      <x:c r="V1973" s="565" t="n"/>
      <x:c r="W1973" s="565" t="n"/>
      <x:c r="X1973" s="565" t="n"/>
      <x:c r="Y1973" s="565" t="n"/>
      <x:c r="Z1973" s="565" t="n"/>
    </x:row>
    <x:row r="1974">
      <x:c r="A1974" s="552" t="inlineStr">
        <x:is>
          <x:t xml:space="preserve">2005-007541</x:t>
        </x:is>
      </x:c>
      <x:c r="B1974" s="552" t="n"/>
      <x:c r="C1974" s="552" t="inlineStr">
        <x:is>
          <x:t xml:space="preserve">Mineral Deed</x:t>
        </x:is>
      </x:c>
      <x:c r="D1974" s="552" t="inlineStr">
        <x:is>
          <x:t xml:space="preserve">1812/121</x:t>
        </x:is>
      </x:c>
      <x:c r="E1974" s="653" t="n">
        <x:v>38655</x:v>
      </x:c>
      <x:c r="F1974" s="653" t="n">
        <x:v>38658</x:v>
      </x:c>
      <x:c r="G1974" s="552" t="inlineStr">
        <x:is>
          <x:t xml:space="preserve">Omega Royalty Co, LLC</x:t>
        </x:is>
      </x:c>
      <x:c r="H1974" s="552" t="inlineStr">
        <x:is>
          <x:t xml:space="preserve">Geotech Production, Inc.,
Jack B. Searle,
Tamara D. Searle</x:t>
        </x:is>
      </x:c>
      <x:c r="I1974" s="552" t="inlineStr">
        <x:is>
          <x:t xml:space="preserve">NW/4 SE/4, S/2 SE/4, SW/4 NE/4 of 31-12N-24W, aol</x:t>
        </x:is>
      </x:c>
      <x:c r="J1974" s="552" t="inlineStr">
        <x:is>
          <x:t xml:space="preserve">An undivided 13.62593725/791.47 net acre interest in and to all of the oil, gas and other minerals in 2 sections</x:t>
        </x:is>
      </x:c>
      <x:c r="K1974" s="554" t="e">
        <x:f>HYPERLINK("https://okcountyrecords.com/detail/roger+mills/2005-007541","OKCountyRecords: 2005-007541")</x:f>
      </x:c>
      <x:c r="L1974" s="552" t="n">
        <x:v>2</x:v>
      </x:c>
      <x:c r="M1974" s="552" t="inlineStr">
        <x:is>
          <x:t xml:space="preserve">Mineral</x:t>
        </x:is>
      </x:c>
      <x:c r="N1974" s="555" t="n">
        <x:f>13.62593725/791.47</x:f>
        <x:v>0.017215987024144945</x:v>
      </x:c>
      <x:c r="O1974" s="556" t="n">
        <x:f>IF($L1974="","",IF(ISNUMBER(SEARCH("all",$L1974)),640,(ISNUMBER(SEARCH("1",$L1974)))*80+(ISNUMBER(SEARCH("2",$L1974)))*160+(ISNUMBER(SEARCH("3",$L1974)))*40+(ISNUMBER(SEARCH("4",$L1974)))*80+(ISNUMBER(SEARCH("5",$L1974)))*120+(ISNUMBER(SEARCH("6",$L1974)))*80+(ISNUMBER(SEARCH("7",$L1974)))*40+(ISNUMBER(SEARCH("8",$L1974)))*40))</x:f>
        <x:v>0</x:v>
      </x:c>
      <x:c r="P1974" s="654" t="n">
        <x:f>IF($M1974&lt;&gt;"Mineral","",IF(ISNUMBER($N1974),$N1974,IF(OR(ISNUMBER(SEARCH("surface",$J1974)),ISNUMBER(SEARCH("reserv",$J1974)),ISNUMBER(SEARCH("less and except",$J1974))),0,"")))</x:f>
        <x:v>0.017215987024144945</x:v>
      </x:c>
      <x:c r="Q1974" s="654" t="n">
        <x:f>IF($P1974="","",-$P1974)</x:f>
        <x:v>-0.017215987024144945</x:v>
      </x:c>
      <x:c r="R1974" s="655" t="n">
        <x:f>IF($P1974="","",$O1974*$P1974)</x:f>
        <x:v>0</x:v>
      </x:c>
      <x:c r="S1974" s="552" t="str">
        <x:f>IF($M1974="","",TRIM(IF($M1974="Mineral",IF(ISNUMBER($N1974),"Mineral; basis Conv Amt(dec). ",IF($P1974=0,"Mineral; surface-only/reserved-&gt;0 min. ","Mineral; NO AMOUNT-verify instrument. ")),$M1974&amp;" (non-mineral; excluded from mineral NMA). ")&amp;IF(OR(ISNUMBER(SEARCH("public",$G1974)),ISNUMBER(SEARCH("public",$H1974))),"FLAG: The Public placeholder-verify. ","")&amp;IF(ISNUMBER(SEARCH("all",$L1974)),"All-section coverage. ","")&amp;IF($O1974=0,"Gross acres unresolved. ","")&amp;"Gross=tract-map basis."))</x:f>
        <x:v>Mineral; basis Conv Amt(dec). Gross acres unresolved. Gross=tract-map basis.</x:v>
      </x:c>
      <x:c r="T1974" s="577" t="n"/>
      <x:c r="U1974" s="578" t="n"/>
      <x:c r="V1974" s="565" t="n"/>
      <x:c r="W1974" s="565" t="n"/>
      <x:c r="X1974" s="565" t="n"/>
      <x:c r="Y1974" s="565" t="n"/>
      <x:c r="Z1974" s="565" t="n"/>
    </x:row>
    <x:row r="1975">
      <x:c r="A1975" s="552" t="inlineStr">
        <x:is>
          <x:t xml:space="preserve">2005-008247</x:t>
        </x:is>
      </x:c>
      <x:c r="B1975" s="552" t="n"/>
      <x:c r="C1975" s="552" t="inlineStr">
        <x:is>
          <x:t xml:space="preserve">Assignment, CONVEYANCE, BILL OF SALE AND MINERAL DEED</x:t>
        </x:is>
      </x:c>
      <x:c r="D1975" s="552" t="inlineStr">
        <x:is>
          <x:t xml:space="preserve">1815/247</x:t>
        </x:is>
      </x:c>
      <x:c r="E1975" s="653" t="n">
        <x:v>38657</x:v>
      </x:c>
      <x:c r="F1975" s="653" t="n">
        <x:v>38692</x:v>
      </x:c>
      <x:c r="G1975" s="552" t="inlineStr">
        <x:is>
          <x:t xml:space="preserve">Bruce H. C. Hill and Ellen S. Hill, HW</x:t>
        </x:is>
      </x:c>
      <x:c r="H1975" s="552" t="inlineStr">
        <x:is>
          <x:t xml:space="preserve">Fredericksburg Royalty, Ltd.</x:t>
        </x:is>
      </x:c>
      <x:c r="I1975" s="552" t="inlineStr">
        <x:is>
          <x:t xml:space="preserve">E/2 NW/4, N/2 NE/4 SW/4, NE/4 SE/4, SE/4 NE/4 of 31-12N-24W, aol</x:t>
        </x:is>
      </x:c>
      <x:c r="J1975" s="552" t="inlineStr">
        <x:is>
          <x:t xml:space="preserve">ARTI</x:t>
        </x:is>
      </x:c>
      <x:c r="K1975" s="554" t="e">
        <x:f>HYPERLINK("https://okcountyrecords.com/detail/roger+mills/2005-008247","OKCountyRecords: 2005-008247")</x:f>
      </x:c>
      <x:c r="L1975" s="552" t="inlineStr">
        <x:is>
          <x:t xml:space="preserve">1, 3, 4, 7, 8</x:t>
        </x:is>
      </x:c>
      <x:c r="M1975" s="552" t="inlineStr">
        <x:is>
          <x:t xml:space="preserve">Leasehold</x:t>
        </x:is>
      </x:c>
      <x:c r="N1975" s="561" t="n"/>
      <x:c r="O1975" s="556" t="n">
        <x:f>IF($L1975="","",IF(ISNUMBER(SEARCH("all",$L1975)),640,(ISNUMBER(SEARCH("1",$L1975)))*80+(ISNUMBER(SEARCH("2",$L1975)))*160+(ISNUMBER(SEARCH("3",$L1975)))*40+(ISNUMBER(SEARCH("4",$L1975)))*80+(ISNUMBER(SEARCH("5",$L1975)))*120+(ISNUMBER(SEARCH("6",$L1975)))*80+(ISNUMBER(SEARCH("7",$L1975)))*40+(ISNUMBER(SEARCH("8",$L1975)))*40))</x:f>
        <x:v>0</x:v>
      </x:c>
      <x:c r="P1975" s="654" t="str">
        <x:f>IF($M1975&lt;&gt;"Mineral","",IF(ISNUMBER($N1975),$N1975,IF(OR(ISNUMBER(SEARCH("surface",$J1975)),ISNUMBER(SEARCH("reserv",$J1975)),ISNUMBER(SEARCH("less and except",$J1975))),0,"")))</x:f>
      </x:c>
      <x:c r="Q1975" s="654" t="str">
        <x:f>IF($P1975="","",-$P1975)</x:f>
      </x:c>
      <x:c r="R1975" s="655" t="str">
        <x:f>IF($P1975="","",$O1975*$P1975)</x:f>
      </x:c>
      <x:c r="S1975" s="552" t="str">
        <x:f>IF($M1975="","",TRIM(IF($M1975="Mineral",IF(ISNUMBER($N1975),"Mineral; basis Conv Amt(dec). ",IF($P1975=0,"Mineral; surface-only/reserved-&gt;0 min. ","Mineral; NO AMOUNT-verify instrument. ")),$M1975&amp;" (non-mineral; excluded from mineral NMA). ")&amp;IF(OR(ISNUMBER(SEARCH("public",$G1975)),ISNUMBER(SEARCH("public",$H1975))),"FLAG: The Public placeholder-verify. ","")&amp;IF(ISNUMBER(SEARCH("all",$L1975)),"All-section coverage. ","")&amp;IF($O1975=0,"Gross acres unresolved. ","")&amp;"Gross=tract-map basis."))</x:f>
        <x:v>Leasehold (non-mineral; excluded from mineral NMA). Gross acres unresolved. Gross=tract-map basis.</x:v>
      </x:c>
      <x:c r="T1975" s="577" t="n"/>
      <x:c r="U1975" s="578" t="n"/>
      <x:c r="V1975" s="565" t="n"/>
      <x:c r="W1975" s="565" t="n"/>
      <x:c r="X1975" s="565" t="n"/>
      <x:c r="Y1975" s="565" t="n"/>
      <x:c r="Z1975" s="565" t="n"/>
    </x:row>
    <x:row r="1976">
      <x:c r="A1976" s="552" t="inlineStr">
        <x:is>
          <x:t xml:space="preserve">2005-008523</x:t>
        </x:is>
      </x:c>
      <x:c r="B1976" s="552" t="n"/>
      <x:c r="C1976" s="552" t="inlineStr">
        <x:is>
          <x:t xml:space="preserve">Oil and Gas Lease</x:t>
        </x:is>
      </x:c>
      <x:c r="D1976" s="552" t="inlineStr">
        <x:is>
          <x:t xml:space="preserve">1816/376</x:t>
        </x:is>
      </x:c>
      <x:c r="E1976" s="653" t="n">
        <x:v>38657</x:v>
      </x:c>
      <x:c r="F1976" s="653" t="n">
        <x:v>38701</x:v>
      </x:c>
      <x:c r="G1976" s="552" t="inlineStr">
        <x:is>
          <x:t xml:space="preserve">Paul R. Deutsch &amp; Deborah A. Deutsch
3406 NW 59th Terrace
Kansas City, MO 64151
</x:t>
        </x:is>
      </x:c>
      <x:c r="H1976" s="552" t="inlineStr">
        <x:is>
          <x:t xml:space="preserve">Jess Harris, III, Inc.
Oklahoma City, OK 73112</x:t>
        </x:is>
      </x:c>
      <x:c r="I1976" s="552" t="inlineStr">
        <x:is>
          <x:t xml:space="preserve">SE/4 SE/4, SW/4 NE/4, W/2 SE/4 of 31-12N-24W</x:t>
        </x:is>
      </x:c>
      <x:c r="J1976" s="552" t="inlineStr">
        <x:is>
          <x:t xml:space="preserve">160 gross acres
3 yrs
1/4th royalty</x:t>
        </x:is>
      </x:c>
      <x:c r="K1976" s="554" t="e">
        <x:f>HYPERLINK("https://okcountyrecords.com/detail/roger+mills/2005-008523","OKCountyRecords: 2005-008523")</x:f>
      </x:c>
      <x:c r="L1976" s="552" t="n">
        <x:v>2</x:v>
      </x:c>
      <x:c r="M1976" s="552" t="inlineStr">
        <x:is>
          <x:t xml:space="preserve">Leasehold</x:t>
        </x:is>
      </x:c>
      <x:c r="N1976" s="555" t="n"/>
      <x:c r="O1976" s="556" t="n">
        <x:f>IF($L1976="","",IF(ISNUMBER(SEARCH("all",$L1976)),640,(ISNUMBER(SEARCH("1",$L1976)))*80+(ISNUMBER(SEARCH("2",$L1976)))*160+(ISNUMBER(SEARCH("3",$L1976)))*40+(ISNUMBER(SEARCH("4",$L1976)))*80+(ISNUMBER(SEARCH("5",$L1976)))*120+(ISNUMBER(SEARCH("6",$L1976)))*80+(ISNUMBER(SEARCH("7",$L1976)))*40+(ISNUMBER(SEARCH("8",$L1976)))*40))</x:f>
        <x:v>0</x:v>
      </x:c>
      <x:c r="P1976" s="654" t="str">
        <x:f>IF($M1976&lt;&gt;"Mineral","",IF(ISNUMBER($N1976),$N1976,IF(OR(ISNUMBER(SEARCH("surface",$J1976)),ISNUMBER(SEARCH("reserv",$J1976)),ISNUMBER(SEARCH("less and except",$J1976))),0,"")))</x:f>
      </x:c>
      <x:c r="Q1976" s="654" t="str">
        <x:f>IF($P1976="","",-$P1976)</x:f>
      </x:c>
      <x:c r="R1976" s="655" t="str">
        <x:f>IF($P1976="","",$O1976*$P1976)</x:f>
      </x:c>
      <x:c r="S1976" s="552" t="str">
        <x:f>IF($M1976="","",TRIM(IF($M1976="Mineral",IF(ISNUMBER($N1976),"Mineral; basis Conv Amt(dec). ",IF($P1976=0,"Mineral; surface-only/reserved-&gt;0 min. ","Mineral; NO AMOUNT-verify instrument. ")),$M1976&amp;" (non-mineral; excluded from mineral NMA). ")&amp;IF(OR(ISNUMBER(SEARCH("public",$G1976)),ISNUMBER(SEARCH("public",$H1976))),"FLAG: The Public placeholder-verify. ","")&amp;IF(ISNUMBER(SEARCH("all",$L1976)),"All-section coverage. ","")&amp;IF($O1976=0,"Gross acres unresolved. ","")&amp;"Gross=tract-map basis."))</x:f>
        <x:v>Leasehold (non-mineral; excluded from mineral NMA). Gross acres unresolved. Gross=tract-map basis.</x:v>
      </x:c>
      <x:c r="T1976" s="577" t="n"/>
      <x:c r="U1976" s="578" t="n"/>
      <x:c r="V1976" s="565" t="n"/>
      <x:c r="W1976" s="565" t="n"/>
      <x:c r="X1976" s="565" t="n"/>
      <x:c r="Y1976" s="565" t="n"/>
      <x:c r="Z1976" s="565" t="n"/>
    </x:row>
    <x:row r="1977">
      <x:c r="A1977" s="552" t="inlineStr">
        <x:is>
          <x:t xml:space="preserve">2006-000936</x:t>
        </x:is>
      </x:c>
      <x:c r="B1977" s="552" t="n">
        <x:v>33</x:v>
      </x:c>
      <x:c r="C1977" s="552" t="inlineStr">
        <x:is>
          <x:t xml:space="preserve">Oil and Gas Lease</x:t>
        </x:is>
      </x:c>
      <x:c r="D1977" s="552" t="inlineStr">
        <x:is>
          <x:t xml:space="preserve">1822/572</x:t>
        </x:is>
      </x:c>
      <x:c r="E1977" s="653" t="n">
        <x:v>38658</x:v>
      </x:c>
      <x:c r="F1977" s="653" t="n">
        <x:v>38754</x:v>
      </x:c>
      <x:c r="G1977" s="552" t="inlineStr">
        <x:is>
          <x:t xml:space="preserve">David S. Silverberg
26 W. 45th
Sioux City, IA 51101</x:t>
        </x:is>
      </x:c>
      <x:c r="H1977" s="552" t="inlineStr">
        <x:is>
          <x:t xml:space="preserve">Jess Harris, III, Inc.
Oklahoma City, OK 73112</x:t>
        </x:is>
      </x:c>
      <x:c r="I1977" s="552" t="inlineStr">
        <x:is>
          <x:t xml:space="preserve">SW/4 NE/4, W/2 SE/4, SE/4 SE/4, ada S/2 SE/4, NW/4 SE/4, SW/4 NE/4 of 31-12N-24W</x:t>
        </x:is>
      </x:c>
      <x:c r="J1977" s="552" t="inlineStr">
        <x:is>
          <x:t xml:space="preserve">160 gross acres
3 yrs
3/16ths royalty</x:t>
        </x:is>
      </x:c>
      <x:c r="K1977" s="554" t="e">
        <x:f>HYPERLINK("https://okcountyrecords.com/detail/roger+mills/2006-000936","OKCountyRecords: 2006-000936")</x:f>
      </x:c>
      <x:c r="L1977" s="552" t="n">
        <x:v>2</x:v>
      </x:c>
      <x:c r="M1977" s="552" t="inlineStr">
        <x:is>
          <x:t xml:space="preserve">Leasehold</x:t>
        </x:is>
      </x:c>
      <x:c r="N1977" s="555" t="n"/>
      <x:c r="O1977" s="556" t="n">
        <x:f>IF($L1977="","",IF(ISNUMBER(SEARCH("all",$L1977)),640,(ISNUMBER(SEARCH("1",$L1977)))*80+(ISNUMBER(SEARCH("2",$L1977)))*160+(ISNUMBER(SEARCH("3",$L1977)))*40+(ISNUMBER(SEARCH("4",$L1977)))*80+(ISNUMBER(SEARCH("5",$L1977)))*120+(ISNUMBER(SEARCH("6",$L1977)))*80+(ISNUMBER(SEARCH("7",$L1977)))*40+(ISNUMBER(SEARCH("8",$L1977)))*40))</x:f>
        <x:v>0</x:v>
      </x:c>
      <x:c r="P1977" s="654" t="str">
        <x:f>IF($M1977&lt;&gt;"Mineral","",IF(ISNUMBER($N1977),$N1977,IF(OR(ISNUMBER(SEARCH("surface",$J1977)),ISNUMBER(SEARCH("reserv",$J1977)),ISNUMBER(SEARCH("less and except",$J1977))),0,"")))</x:f>
      </x:c>
      <x:c r="Q1977" s="654" t="str">
        <x:f>IF($P1977="","",-$P1977)</x:f>
      </x:c>
      <x:c r="R1977" s="655" t="str">
        <x:f>IF($P1977="","",$O1977*$P1977)</x:f>
      </x:c>
      <x:c r="S1977" s="552" t="str">
        <x:f>IF($M1977="","",TRIM(IF($M1977="Mineral",IF(ISNUMBER($N1977),"Mineral; basis Conv Amt(dec). ",IF($P1977=0,"Mineral; surface-only/reserved-&gt;0 min. ","Mineral; NO AMOUNT-verify instrument. ")),$M1977&amp;" (non-mineral; excluded from mineral NMA). ")&amp;IF(OR(ISNUMBER(SEARCH("public",$G1977)),ISNUMBER(SEARCH("public",$H1977))),"FLAG: The Public placeholder-verify. ","")&amp;IF(ISNUMBER(SEARCH("all",$L1977)),"All-section coverage. ","")&amp;IF($O1977=0,"Gross acres unresolved. ","")&amp;"Gross=tract-map basis."))</x:f>
        <x:v>Leasehold (non-mineral; excluded from mineral NMA). Gross acres unresolved. Gross=tract-map basis.</x:v>
      </x:c>
      <x:c r="T1977" s="577" t="n"/>
      <x:c r="U1977" s="578" t="n"/>
      <x:c r="V1977" s="565" t="n"/>
      <x:c r="W1977" s="565" t="n"/>
      <x:c r="X1977" s="565" t="n"/>
      <x:c r="Y1977" s="565" t="n"/>
      <x:c r="Z1977" s="565" t="n"/>
    </x:row>
    <x:row r="1978">
      <x:c r="A1978" s="552" t="inlineStr">
        <x:is>
          <x:t xml:space="preserve">2006-000939</x:t>
        </x:is>
      </x:c>
      <x:c r="B1978" s="552" t="n"/>
      <x:c r="C1978" s="552" t="inlineStr">
        <x:is>
          <x:t xml:space="preserve">Oil and Gas Lease</x:t>
        </x:is>
      </x:c>
      <x:c r="D1978" s="552" t="inlineStr">
        <x:is>
          <x:t xml:space="preserve">1822/578</x:t>
        </x:is>
      </x:c>
      <x:c r="E1978" s="653" t="n">
        <x:v>38658</x:v>
      </x:c>
      <x:c r="F1978" s="653" t="n">
        <x:v>38754</x:v>
      </x:c>
      <x:c r="G1978" s="552" t="inlineStr">
        <x:is>
          <x:t xml:space="preserve">Lyle T. Ibeling
740 Herron Court
Waterloo, WI 53594</x:t>
        </x:is>
      </x:c>
      <x:c r="H1978" s="552" t="inlineStr">
        <x:is>
          <x:t xml:space="preserve">Jess Harris, III, Inc.
Oklahoma City, OK 73112</x:t>
        </x:is>
      </x:c>
      <x:c r="I1978" s="552" t="inlineStr">
        <x:is>
          <x:t xml:space="preserve">SW/4 NE/4, W/2 SE/4, SE/4 SE/4, ada S/2 SE/4, NW/4 SE/4, SW/4 NE/4 of 31-12N-24W</x:t>
        </x:is>
      </x:c>
      <x:c r="J1978" s="552" t="inlineStr">
        <x:is>
          <x:t xml:space="preserve">160 gross acres
3 yrs
3/16ths royalty</x:t>
        </x:is>
      </x:c>
      <x:c r="K1978" s="554" t="e">
        <x:f>HYPERLINK("https://okcountyrecords.com/detail/roger+mills/2006-000939","OKCountyRecords: 2006-000939")</x:f>
      </x:c>
      <x:c r="L1978" s="552" t="n">
        <x:v>2</x:v>
      </x:c>
      <x:c r="M1978" s="552" t="inlineStr">
        <x:is>
          <x:t xml:space="preserve">Leasehold</x:t>
        </x:is>
      </x:c>
      <x:c r="N1978" s="555" t="n"/>
      <x:c r="O1978" s="556" t="n">
        <x:f>IF($L1978="","",IF(ISNUMBER(SEARCH("all",$L1978)),640,(ISNUMBER(SEARCH("1",$L1978)))*80+(ISNUMBER(SEARCH("2",$L1978)))*160+(ISNUMBER(SEARCH("3",$L1978)))*40+(ISNUMBER(SEARCH("4",$L1978)))*80+(ISNUMBER(SEARCH("5",$L1978)))*120+(ISNUMBER(SEARCH("6",$L1978)))*80+(ISNUMBER(SEARCH("7",$L1978)))*40+(ISNUMBER(SEARCH("8",$L1978)))*40))</x:f>
        <x:v>0</x:v>
      </x:c>
      <x:c r="P1978" s="654" t="str">
        <x:f>IF($M1978&lt;&gt;"Mineral","",IF(ISNUMBER($N1978),$N1978,IF(OR(ISNUMBER(SEARCH("surface",$J1978)),ISNUMBER(SEARCH("reserv",$J1978)),ISNUMBER(SEARCH("less and except",$J1978))),0,"")))</x:f>
      </x:c>
      <x:c r="Q1978" s="654" t="str">
        <x:f>IF($P1978="","",-$P1978)</x:f>
      </x:c>
      <x:c r="R1978" s="655" t="str">
        <x:f>IF($P1978="","",$O1978*$P1978)</x:f>
      </x:c>
      <x:c r="S1978" s="552" t="str">
        <x:f>IF($M1978="","",TRIM(IF($M1978="Mineral",IF(ISNUMBER($N1978),"Mineral; basis Conv Amt(dec). ",IF($P1978=0,"Mineral; surface-only/reserved-&gt;0 min. ","Mineral; NO AMOUNT-verify instrument. ")),$M1978&amp;" (non-mineral; excluded from mineral NMA). ")&amp;IF(OR(ISNUMBER(SEARCH("public",$G1978)),ISNUMBER(SEARCH("public",$H1978))),"FLAG: The Public placeholder-verify. ","")&amp;IF(ISNUMBER(SEARCH("all",$L1978)),"All-section coverage. ","")&amp;IF($O1978=0,"Gross acres unresolved. ","")&amp;"Gross=tract-map basis."))</x:f>
        <x:v>Leasehold (non-mineral; excluded from mineral NMA). Gross acres unresolved. Gross=tract-map basis.</x:v>
      </x:c>
      <x:c r="T1978" s="577" t="n"/>
      <x:c r="U1978" s="578" t="n"/>
      <x:c r="V1978" s="565" t="n"/>
      <x:c r="W1978" s="565" t="n"/>
      <x:c r="X1978" s="565" t="n"/>
      <x:c r="Y1978" s="565" t="n"/>
      <x:c r="Z1978" s="565" t="n"/>
    </x:row>
    <x:row r="1979">
      <x:c r="A1979" s="552" t="inlineStr">
        <x:is>
          <x:t xml:space="preserve">2006-000937</x:t>
        </x:is>
      </x:c>
      <x:c r="B1979" s="552" t="n"/>
      <x:c r="C1979" s="552" t="inlineStr">
        <x:is>
          <x:t xml:space="preserve">Oil and Gas Lease</x:t>
        </x:is>
      </x:c>
      <x:c r="D1979" s="552" t="inlineStr">
        <x:is>
          <x:t xml:space="preserve">1822/574</x:t>
        </x:is>
      </x:c>
      <x:c r="E1979" s="653" t="n">
        <x:v>38658</x:v>
      </x:c>
      <x:c r="F1979" s="653" t="n">
        <x:v>38754</x:v>
      </x:c>
      <x:c r="G1979" s="552" t="inlineStr">
        <x:is>
          <x:t xml:space="preserve">Mary Ellen Sitzmann aka Mary Ellen Silverberg
26 W. 45th
Sioux City, IA 51101
</x:t>
        </x:is>
      </x:c>
      <x:c r="H1979" s="552" t="inlineStr">
        <x:is>
          <x:t xml:space="preserve">Jess Harris, III, Inc.
Oklahoma City, OK 73112</x:t>
        </x:is>
      </x:c>
      <x:c r="I1979" s="552" t="inlineStr">
        <x:is>
          <x:t xml:space="preserve">SW/4 NE/4, W/2 SE/4, SE/4 SE/4, ada S/2 SE/4, NW/4 SE/4, SW/4 NE/4 of 31-12N-24W</x:t>
        </x:is>
      </x:c>
      <x:c r="J1979" s="552" t="inlineStr">
        <x:is>
          <x:t xml:space="preserve">160 gross acres
3 yrs
3/16ths royalty</x:t>
        </x:is>
      </x:c>
      <x:c r="K1979" s="554" t="e">
        <x:f>HYPERLINK("https://okcountyrecords.com/detail/roger+mills/2006-000937","OKCountyRecords: 2006-000937")</x:f>
      </x:c>
      <x:c r="L1979" s="552" t="n">
        <x:v>2</x:v>
      </x:c>
      <x:c r="M1979" s="552" t="inlineStr">
        <x:is>
          <x:t xml:space="preserve">Leasehold</x:t>
        </x:is>
      </x:c>
      <x:c r="N1979" s="555" t="n"/>
      <x:c r="O1979" s="556" t="n">
        <x:f>IF($L1979="","",IF(ISNUMBER(SEARCH("all",$L1979)),640,(ISNUMBER(SEARCH("1",$L1979)))*80+(ISNUMBER(SEARCH("2",$L1979)))*160+(ISNUMBER(SEARCH("3",$L1979)))*40+(ISNUMBER(SEARCH("4",$L1979)))*80+(ISNUMBER(SEARCH("5",$L1979)))*120+(ISNUMBER(SEARCH("6",$L1979)))*80+(ISNUMBER(SEARCH("7",$L1979)))*40+(ISNUMBER(SEARCH("8",$L1979)))*40))</x:f>
        <x:v>0</x:v>
      </x:c>
      <x:c r="P1979" s="654" t="str">
        <x:f>IF($M1979&lt;&gt;"Mineral","",IF(ISNUMBER($N1979),$N1979,IF(OR(ISNUMBER(SEARCH("surface",$J1979)),ISNUMBER(SEARCH("reserv",$J1979)),ISNUMBER(SEARCH("less and except",$J1979))),0,"")))</x:f>
      </x:c>
      <x:c r="Q1979" s="654" t="str">
        <x:f>IF($P1979="","",-$P1979)</x:f>
      </x:c>
      <x:c r="R1979" s="655" t="str">
        <x:f>IF($P1979="","",$O1979*$P1979)</x:f>
      </x:c>
      <x:c r="S1979" s="552" t="str">
        <x:f>IF($M1979="","",TRIM(IF($M1979="Mineral",IF(ISNUMBER($N1979),"Mineral; basis Conv Amt(dec). ",IF($P1979=0,"Mineral; surface-only/reserved-&gt;0 min. ","Mineral; NO AMOUNT-verify instrument. ")),$M1979&amp;" (non-mineral; excluded from mineral NMA). ")&amp;IF(OR(ISNUMBER(SEARCH("public",$G1979)),ISNUMBER(SEARCH("public",$H1979))),"FLAG: The Public placeholder-verify. ","")&amp;IF(ISNUMBER(SEARCH("all",$L1979)),"All-section coverage. ","")&amp;IF($O1979=0,"Gross acres unresolved. ","")&amp;"Gross=tract-map basis."))</x:f>
        <x:v>Leasehold (non-mineral; excluded from mineral NMA). Gross acres unresolved. Gross=tract-map basis.</x:v>
      </x:c>
      <x:c r="T1979" s="577" t="n"/>
      <x:c r="U1979" s="578" t="n"/>
      <x:c r="V1979" s="565" t="n"/>
      <x:c r="W1979" s="565" t="n"/>
      <x:c r="X1979" s="565" t="n"/>
      <x:c r="Y1979" s="565" t="n"/>
      <x:c r="Z1979" s="565" t="n"/>
    </x:row>
    <x:row r="1980">
      <x:c r="A1980" s="552" t="inlineStr">
        <x:is>
          <x:t xml:space="preserve">2006-000776</x:t>
        </x:is>
      </x:c>
      <x:c r="B1980" s="552" t="n"/>
      <x:c r="C1980" s="552" t="inlineStr">
        <x:is>
          <x:t xml:space="preserve">Assignment</x:t>
        </x:is>
      </x:c>
      <x:c r="D1980" s="552" t="inlineStr">
        <x:is>
          <x:t xml:space="preserve">1822/27</x:t>
        </x:is>
      </x:c>
      <x:c r="E1980" s="653" t="n">
        <x:v>38666</x:v>
      </x:c>
      <x:c r="F1980" s="653" t="n">
        <x:v>38749</x:v>
      </x:c>
      <x:c r="G1980" s="552" t="inlineStr">
        <x:is>
          <x:t xml:space="preserve">Jess Harris, III, Inc.
Oklahoma City, OK 73112</x:t>
        </x:is>
      </x:c>
      <x:c r="H1980" s="552" t="inlineStr">
        <x:is>
          <x:t xml:space="preserve">Newfield Exploration Mid-Continent, Inc.
110 West 7th, Ste. 1300
Tulsa, OK 74119
</x:t>
        </x:is>
      </x:c>
      <x:c r="I1980" s="552" t="inlineStr">
        <x:is>
          <x:t xml:space="preserve">SW/4 NE/4, W/2 SE/4, SE/4 SE/4 ada S/2 SE/4, NW/4 SE/4, SW/4 NE/4 of 31-12N-24W</x:t>
        </x:is>
      </x:c>
      <x:c r="J1980" s="552" t="inlineStr">
        <x:is>
          <x:t xml:space="preserve">Assigns all right, title and interest in and to the Oil and Gas Lease recorded at 1816/386</x:t>
        </x:is>
      </x:c>
      <x:c r="K1980" s="554" t="e">
        <x:f>HYPERLINK("https://okcountyrecords.com/detail/roger+mills/2006-000776","OKCountyRecords: 2006-000776")</x:f>
      </x:c>
      <x:c r="L1980" s="552" t="n">
        <x:v>2</x:v>
      </x:c>
      <x:c r="M1980" s="552" t="inlineStr">
        <x:is>
          <x:t xml:space="preserve">Leasehold</x:t>
        </x:is>
      </x:c>
      <x:c r="N1980" s="555" t="n"/>
      <x:c r="O1980" s="556" t="n">
        <x:f>IF($L1980="","",IF(ISNUMBER(SEARCH("all",$L1980)),640,(ISNUMBER(SEARCH("1",$L1980)))*80+(ISNUMBER(SEARCH("2",$L1980)))*160+(ISNUMBER(SEARCH("3",$L1980)))*40+(ISNUMBER(SEARCH("4",$L1980)))*80+(ISNUMBER(SEARCH("5",$L1980)))*120+(ISNUMBER(SEARCH("6",$L1980)))*80+(ISNUMBER(SEARCH("7",$L1980)))*40+(ISNUMBER(SEARCH("8",$L1980)))*40))</x:f>
        <x:v>0</x:v>
      </x:c>
      <x:c r="P1980" s="654" t="str">
        <x:f>IF($M1980&lt;&gt;"Mineral","",IF(ISNUMBER($N1980),$N1980,IF(OR(ISNUMBER(SEARCH("surface",$J1980)),ISNUMBER(SEARCH("reserv",$J1980)),ISNUMBER(SEARCH("less and except",$J1980))),0,"")))</x:f>
      </x:c>
      <x:c r="Q1980" s="654" t="str">
        <x:f>IF($P1980="","",-$P1980)</x:f>
      </x:c>
      <x:c r="R1980" s="655" t="str">
        <x:f>IF($P1980="","",$O1980*$P1980)</x:f>
      </x:c>
      <x:c r="S1980" s="552" t="str">
        <x:f>IF($M1980="","",TRIM(IF($M1980="Mineral",IF(ISNUMBER($N1980),"Mineral; basis Conv Amt(dec). ",IF($P1980=0,"Mineral; surface-only/reserved-&gt;0 min. ","Mineral; NO AMOUNT-verify instrument. ")),$M1980&amp;" (non-mineral; excluded from mineral NMA). ")&amp;IF(OR(ISNUMBER(SEARCH("public",$G1980)),ISNUMBER(SEARCH("public",$H1980))),"FLAG: The Public placeholder-verify. ","")&amp;IF(ISNUMBER(SEARCH("all",$L1980)),"All-section coverage. ","")&amp;IF($O1980=0,"Gross acres unresolved. ","")&amp;"Gross=tract-map basis."))</x:f>
        <x:v>Leasehold (non-mineral; excluded from mineral NMA). Gross acres unresolved. Gross=tract-map basis.</x:v>
      </x:c>
      <x:c r="T1980" s="577" t="n"/>
      <x:c r="U1980" s="578" t="n"/>
      <x:c r="V1980" s="565" t="n"/>
      <x:c r="W1980" s="565" t="n"/>
      <x:c r="X1980" s="565" t="n"/>
      <x:c r="Y1980" s="565" t="n"/>
      <x:c r="Z1980" s="565" t="n"/>
    </x:row>
    <x:row r="1981">
      <x:c r="A1981" s="552" t="inlineStr">
        <x:is>
          <x:t xml:space="preserve">2006-000778</x:t>
        </x:is>
      </x:c>
      <x:c r="B1981" s="552" t="n"/>
      <x:c r="C1981" s="552" t="inlineStr">
        <x:is>
          <x:t xml:space="preserve">Assignment</x:t>
        </x:is>
      </x:c>
      <x:c r="D1981" s="552" t="inlineStr">
        <x:is>
          <x:t xml:space="preserve">1822/29</x:t>
        </x:is>
      </x:c>
      <x:c r="E1981" s="653" t="n">
        <x:v>38666</x:v>
      </x:c>
      <x:c r="F1981" s="653" t="n">
        <x:v>38749</x:v>
      </x:c>
      <x:c r="G1981" s="552" t="inlineStr">
        <x:is>
          <x:t xml:space="preserve">Jess Harris, III, Inc.
Oklahoma City, OK 73112</x:t>
        </x:is>
      </x:c>
      <x:c r="H1981" s="552" t="inlineStr">
        <x:is>
          <x:t xml:space="preserve">Newfield Exploration Mid-Continent, Inc.
110 West 7th, Ste. 1300
Tulsa, OK 74119
</x:t>
        </x:is>
      </x:c>
      <x:c r="I1981" s="552" t="inlineStr">
        <x:is>
          <x:t xml:space="preserve">SW/4 NE/4, W/2 SE/4, SE/4 SE/4 ada S/2 SE/4, NW/4 SE/4, SW/4 NE/4 of 31-12N-24W</x:t>
        </x:is>
      </x:c>
      <x:c r="J1981" s="552" t="inlineStr">
        <x:is>
          <x:t xml:space="preserve">Assigns all right, title and interest in and to the Oil and Gas Lease recorded at 1816/389</x:t>
        </x:is>
      </x:c>
      <x:c r="K1981" s="554" t="e">
        <x:f>HYPERLINK("https://okcountyrecords.com/detail/roger+mills/2006-000778","OKCountyRecords: 2006-000778")</x:f>
      </x:c>
      <x:c r="L1981" s="552" t="n">
        <x:v>2</x:v>
      </x:c>
      <x:c r="M1981" s="552" t="inlineStr">
        <x:is>
          <x:t xml:space="preserve">Leasehold</x:t>
        </x:is>
      </x:c>
      <x:c r="N1981" s="555" t="n"/>
      <x:c r="O1981" s="556" t="n">
        <x:f>IF($L1981="","",IF(ISNUMBER(SEARCH("all",$L1981)),640,(ISNUMBER(SEARCH("1",$L1981)))*80+(ISNUMBER(SEARCH("2",$L1981)))*160+(ISNUMBER(SEARCH("3",$L1981)))*40+(ISNUMBER(SEARCH("4",$L1981)))*80+(ISNUMBER(SEARCH("5",$L1981)))*120+(ISNUMBER(SEARCH("6",$L1981)))*80+(ISNUMBER(SEARCH("7",$L1981)))*40+(ISNUMBER(SEARCH("8",$L1981)))*40))</x:f>
        <x:v>0</x:v>
      </x:c>
      <x:c r="P1981" s="654" t="str">
        <x:f>IF($M1981&lt;&gt;"Mineral","",IF(ISNUMBER($N1981),$N1981,IF(OR(ISNUMBER(SEARCH("surface",$J1981)),ISNUMBER(SEARCH("reserv",$J1981)),ISNUMBER(SEARCH("less and except",$J1981))),0,"")))</x:f>
      </x:c>
      <x:c r="Q1981" s="654" t="str">
        <x:f>IF($P1981="","",-$P1981)</x:f>
      </x:c>
      <x:c r="R1981" s="655" t="str">
        <x:f>IF($P1981="","",$O1981*$P1981)</x:f>
      </x:c>
      <x:c r="S1981" s="552" t="str">
        <x:f>IF($M1981="","",TRIM(IF($M1981="Mineral",IF(ISNUMBER($N1981),"Mineral; basis Conv Amt(dec). ",IF($P1981=0,"Mineral; surface-only/reserved-&gt;0 min. ","Mineral; NO AMOUNT-verify instrument. ")),$M1981&amp;" (non-mineral; excluded from mineral NMA). ")&amp;IF(OR(ISNUMBER(SEARCH("public",$G1981)),ISNUMBER(SEARCH("public",$H1981))),"FLAG: The Public placeholder-verify. ","")&amp;IF(ISNUMBER(SEARCH("all",$L1981)),"All-section coverage. ","")&amp;IF($O1981=0,"Gross acres unresolved. ","")&amp;"Gross=tract-map basis."))</x:f>
        <x:v>Leasehold (non-mineral; excluded from mineral NMA). Gross acres unresolved. Gross=tract-map basis.</x:v>
      </x:c>
      <x:c r="T1981" s="577" t="n"/>
      <x:c r="U1981" s="578" t="n"/>
      <x:c r="V1981" s="565" t="n"/>
      <x:c r="W1981" s="565" t="n"/>
      <x:c r="X1981" s="565" t="n"/>
      <x:c r="Y1981" s="565" t="n"/>
      <x:c r="Z1981" s="565" t="n"/>
    </x:row>
    <x:row r="1982">
      <x:c r="A1982" s="552" t="inlineStr">
        <x:is>
          <x:t xml:space="preserve">2005-008522</x:t>
        </x:is>
      </x:c>
      <x:c r="B1982" s="552" t="n">
        <x:v>34</x:v>
      </x:c>
      <x:c r="C1982" s="552" t="inlineStr">
        <x:is>
          <x:t xml:space="preserve">Oil and Gas Lease</x:t>
        </x:is>
      </x:c>
      <x:c r="D1982" s="552" t="inlineStr">
        <x:is>
          <x:t xml:space="preserve">1816/374</x:t>
        </x:is>
      </x:c>
      <x:c r="E1982" s="653" t="n">
        <x:v>38670</x:v>
      </x:c>
      <x:c r="F1982" s="653" t="n">
        <x:v>38701</x:v>
      </x:c>
      <x:c r="G1982" s="552" t="inlineStr">
        <x:is>
          <x:t xml:space="preserve">Margaret Kirk 
1105 West Avenue C
Elk City, OK 73648
</x:t>
        </x:is>
      </x:c>
      <x:c r="H1982" s="552" t="inlineStr">
        <x:is>
          <x:t xml:space="preserve">Jess Harris, III, Inc.
Oklahoma City, OK 73112</x:t>
        </x:is>
      </x:c>
      <x:c r="I1982" s="552" t="inlineStr">
        <x:is>
          <x:t xml:space="preserve">Lot 4, S/2 N/2 SW/4 ada S/2 of Lot 3, S/2 NE/4 SW/4, SE/4 SW/4 of 31-12N-24W</x:t>
        </x:is>
      </x:c>
      <x:c r="J1982" s="552" t="inlineStr">
        <x:is>
          <x:t xml:space="preserve">115.3350 gross acres
3 yrs
3/16ths royalty</x:t>
        </x:is>
      </x:c>
      <x:c r="K1982" s="554" t="e">
        <x:f>HYPERLINK("https://okcountyrecords.com/detail/roger+mills/2005-008522","OKCountyRecords: 2005-008522")</x:f>
      </x:c>
      <x:c r="L1982" s="552" t="inlineStr">
        <x:is>
          <x:t xml:space="preserve">5, 6, 7</x:t>
        </x:is>
      </x:c>
      <x:c r="M1982" s="552" t="inlineStr">
        <x:is>
          <x:t xml:space="preserve">Leasehold</x:t>
        </x:is>
      </x:c>
      <x:c r="N1982" s="555" t="n"/>
      <x:c r="O1982" s="556" t="n">
        <x:f>IF($L1982="","",IF(ISNUMBER(SEARCH("all",$L1982)),640,(ISNUMBER(SEARCH("1",$L1982)))*80+(ISNUMBER(SEARCH("2",$L1982)))*160+(ISNUMBER(SEARCH("3",$L1982)))*40+(ISNUMBER(SEARCH("4",$L1982)))*80+(ISNUMBER(SEARCH("5",$L1982)))*120+(ISNUMBER(SEARCH("6",$L1982)))*80+(ISNUMBER(SEARCH("7",$L1982)))*40+(ISNUMBER(SEARCH("8",$L1982)))*40))</x:f>
        <x:v>0</x:v>
      </x:c>
      <x:c r="P1982" s="654" t="str">
        <x:f>IF($M1982&lt;&gt;"Mineral","",IF(ISNUMBER($N1982),$N1982,IF(OR(ISNUMBER(SEARCH("surface",$J1982)),ISNUMBER(SEARCH("reserv",$J1982)),ISNUMBER(SEARCH("less and except",$J1982))),0,"")))</x:f>
      </x:c>
      <x:c r="Q1982" s="654" t="str">
        <x:f>IF($P1982="","",-$P1982)</x:f>
      </x:c>
      <x:c r="R1982" s="655" t="str">
        <x:f>IF($P1982="","",$O1982*$P1982)</x:f>
      </x:c>
      <x:c r="S1982" s="552" t="str">
        <x:f>IF($M1982="","",TRIM(IF($M1982="Mineral",IF(ISNUMBER($N1982),"Mineral; basis Conv Amt(dec). ",IF($P1982=0,"Mineral; surface-only/reserved-&gt;0 min. ","Mineral; NO AMOUNT-verify instrument. ")),$M1982&amp;" (non-mineral; excluded from mineral NMA). ")&amp;IF(OR(ISNUMBER(SEARCH("public",$G1982)),ISNUMBER(SEARCH("public",$H1982))),"FLAG: The Public placeholder-verify. ","")&amp;IF(ISNUMBER(SEARCH("all",$L1982)),"All-section coverage. ","")&amp;IF($O1982=0,"Gross acres unresolved. ","")&amp;"Gross=tract-map basis."))</x:f>
        <x:v>Leasehold (non-mineral; excluded from mineral NMA). Gross acres unresolved. Gross=tract-map basis.</x:v>
      </x:c>
      <x:c r="T1982" s="577" t="n"/>
      <x:c r="U1982" s="578" t="n"/>
      <x:c r="V1982" s="565" t="n"/>
      <x:c r="W1982" s="565" t="n"/>
      <x:c r="X1982" s="565" t="n"/>
      <x:c r="Y1982" s="565" t="n"/>
      <x:c r="Z1982" s="565" t="n"/>
    </x:row>
    <x:row r="1983">
      <x:c r="A1983" s="552" t="inlineStr">
        <x:is>
          <x:t xml:space="preserve">2006-000766</x:t>
        </x:is>
      </x:c>
      <x:c r="B1983" s="552" t="n"/>
      <x:c r="C1983" s="552" t="inlineStr">
        <x:is>
          <x:t xml:space="preserve">Assignment of Oil and Gas Lease</x:t>
        </x:is>
      </x:c>
      <x:c r="D1983" s="552" t="inlineStr">
        <x:is>
          <x:t xml:space="preserve">1822/17</x:t>
        </x:is>
      </x:c>
      <x:c r="E1983" s="653" t="n">
        <x:v>38677</x:v>
      </x:c>
      <x:c r="F1983" s="653" t="n">
        <x:v>38749</x:v>
      </x:c>
      <x:c r="G1983" s="552" t="inlineStr">
        <x:is>
          <x:t xml:space="preserve">Jess Harris, III, Inc.
Oklahoma City, OK 73112</x:t>
        </x:is>
      </x:c>
      <x:c r="H1983" s="552" t="inlineStr">
        <x:is>
          <x:t xml:space="preserve">Newfield Exploration Mid-Continent, Inc.
110 West 7th, Ste. 1300
Tulsa, OK 74119
</x:t>
        </x:is>
      </x:c>
      <x:c r="I1983" s="552" t="inlineStr">
        <x:is>
          <x:t xml:space="preserve">SE/4 SW/4 of 31-12N-24W</x:t>
        </x:is>
      </x:c>
      <x:c r="J1983" s="552" t="inlineStr">
        <x:is>
          <x:t xml:space="preserve">Assigns all right, title and interest in and to the Oil and Gas Lease recorded at 1816/352</x:t>
        </x:is>
      </x:c>
      <x:c r="K1983" s="554" t="e">
        <x:f>HYPERLINK("https://okcountyrecords.com/detail/roger+mills/2006-000766","OKCountyRecords: 2006-000766")</x:f>
      </x:c>
      <x:c r="L1983" s="552" t="n">
        <x:v>5</x:v>
      </x:c>
      <x:c r="M1983" s="552" t="inlineStr">
        <x:is>
          <x:t xml:space="preserve">Leasehold</x:t>
        </x:is>
      </x:c>
      <x:c r="N1983" s="555" t="n"/>
      <x:c r="O1983" s="556" t="n">
        <x:f>IF($L1983="","",IF(ISNUMBER(SEARCH("all",$L1983)),640,(ISNUMBER(SEARCH("1",$L1983)))*80+(ISNUMBER(SEARCH("2",$L1983)))*160+(ISNUMBER(SEARCH("3",$L1983)))*40+(ISNUMBER(SEARCH("4",$L1983)))*80+(ISNUMBER(SEARCH("5",$L1983)))*120+(ISNUMBER(SEARCH("6",$L1983)))*80+(ISNUMBER(SEARCH("7",$L1983)))*40+(ISNUMBER(SEARCH("8",$L1983)))*40))</x:f>
        <x:v>0</x:v>
      </x:c>
      <x:c r="P1983" s="654" t="str">
        <x:f>IF($M1983&lt;&gt;"Mineral","",IF(ISNUMBER($N1983),$N1983,IF(OR(ISNUMBER(SEARCH("surface",$J1983)),ISNUMBER(SEARCH("reserv",$J1983)),ISNUMBER(SEARCH("less and except",$J1983))),0,"")))</x:f>
      </x:c>
      <x:c r="Q1983" s="654" t="str">
        <x:f>IF($P1983="","",-$P1983)</x:f>
      </x:c>
      <x:c r="R1983" s="655" t="str">
        <x:f>IF($P1983="","",$O1983*$P1983)</x:f>
      </x:c>
      <x:c r="S1983" s="552" t="str">
        <x:f>IF($M1983="","",TRIM(IF($M1983="Mineral",IF(ISNUMBER($N1983),"Mineral; basis Conv Amt(dec). ",IF($P1983=0,"Mineral; surface-only/reserved-&gt;0 min. ","Mineral; NO AMOUNT-verify instrument. ")),$M1983&amp;" (non-mineral; excluded from mineral NMA). ")&amp;IF(OR(ISNUMBER(SEARCH("public",$G1983)),ISNUMBER(SEARCH("public",$H1983))),"FLAG: The Public placeholder-verify. ","")&amp;IF(ISNUMBER(SEARCH("all",$L1983)),"All-section coverage. ","")&amp;IF($O1983=0,"Gross acres unresolved. ","")&amp;"Gross=tract-map basis."))</x:f>
        <x:v>Leasehold (non-mineral; excluded from mineral NMA). Gross acres unresolved. Gross=tract-map basis.</x:v>
      </x:c>
      <x:c r="T1983" s="577" t="n"/>
      <x:c r="U1983" s="578" t="n"/>
      <x:c r="V1983" s="565" t="n"/>
      <x:c r="W1983" s="565" t="n"/>
      <x:c r="X1983" s="565" t="n"/>
      <x:c r="Y1983" s="565" t="n"/>
      <x:c r="Z1983" s="565" t="n"/>
    </x:row>
    <x:row r="1984">
      <x:c r="A1984" s="552" t="inlineStr">
        <x:is>
          <x:t xml:space="preserve">2006-000938</x:t>
        </x:is>
      </x:c>
      <x:c r="B1984" s="552" t="n"/>
      <x:c r="C1984" s="552" t="inlineStr">
        <x:is>
          <x:t xml:space="preserve">Oil and Gas Lease</x:t>
        </x:is>
      </x:c>
      <x:c r="D1984" s="552" t="inlineStr">
        <x:is>
          <x:t xml:space="preserve">1822/576</x:t>
        </x:is>
      </x:c>
      <x:c r="E1984" s="653" t="n">
        <x:v>38678</x:v>
      </x:c>
      <x:c r="F1984" s="653" t="n">
        <x:v>38754</x:v>
      </x:c>
      <x:c r="G1984" s="552" t="inlineStr">
        <x:is>
          <x:t xml:space="preserve">Charles D. Ray
P.O. Box 51608
Midland, TX 79710
</x:t>
        </x:is>
      </x:c>
      <x:c r="H1984" s="552" t="inlineStr">
        <x:is>
          <x:t xml:space="preserve">Jess Harris, III, Inc.
Oklahoma City, OK 73112</x:t>
        </x:is>
      </x:c>
      <x:c r="I1984" s="552" t="inlineStr">
        <x:is>
          <x:t xml:space="preserve">E/2 NW/4 of 31-12N-24W</x:t>
        </x:is>
      </x:c>
      <x:c r="J1984" s="552" t="inlineStr">
        <x:is>
          <x:t xml:space="preserve">80 gross acres
3 yrs
1/4th royalty</x:t>
        </x:is>
      </x:c>
      <x:c r="K1984" s="554" t="e">
        <x:f>HYPERLINK("https://okcountyrecords.com/detail/roger+mills/2006-000938","OKCountyRecords: 2006-000938")</x:f>
      </x:c>
      <x:c r="L1984" s="552" t="n">
        <x:v>4</x:v>
      </x:c>
      <x:c r="M1984" s="552" t="inlineStr">
        <x:is>
          <x:t xml:space="preserve">Leasehold</x:t>
        </x:is>
      </x:c>
      <x:c r="N1984" s="555" t="n"/>
      <x:c r="O1984" s="556" t="n">
        <x:f>IF($L1984="","",IF(ISNUMBER(SEARCH("all",$L1984)),640,(ISNUMBER(SEARCH("1",$L1984)))*80+(ISNUMBER(SEARCH("2",$L1984)))*160+(ISNUMBER(SEARCH("3",$L1984)))*40+(ISNUMBER(SEARCH("4",$L1984)))*80+(ISNUMBER(SEARCH("5",$L1984)))*120+(ISNUMBER(SEARCH("6",$L1984)))*80+(ISNUMBER(SEARCH("7",$L1984)))*40+(ISNUMBER(SEARCH("8",$L1984)))*40))</x:f>
        <x:v>0</x:v>
      </x:c>
      <x:c r="P1984" s="654" t="str">
        <x:f>IF($M1984&lt;&gt;"Mineral","",IF(ISNUMBER($N1984),$N1984,IF(OR(ISNUMBER(SEARCH("surface",$J1984)),ISNUMBER(SEARCH("reserv",$J1984)),ISNUMBER(SEARCH("less and except",$J1984))),0,"")))</x:f>
      </x:c>
      <x:c r="Q1984" s="654" t="str">
        <x:f>IF($P1984="","",-$P1984)</x:f>
      </x:c>
      <x:c r="R1984" s="655" t="str">
        <x:f>IF($P1984="","",$O1984*$P1984)</x:f>
      </x:c>
      <x:c r="S1984" s="552" t="str">
        <x:f>IF($M1984="","",TRIM(IF($M1984="Mineral",IF(ISNUMBER($N1984),"Mineral; basis Conv Amt(dec). ",IF($P1984=0,"Mineral; surface-only/reserved-&gt;0 min. ","Mineral; NO AMOUNT-verify instrument. ")),$M1984&amp;" (non-mineral; excluded from mineral NMA). ")&amp;IF(OR(ISNUMBER(SEARCH("public",$G1984)),ISNUMBER(SEARCH("public",$H1984))),"FLAG: The Public placeholder-verify. ","")&amp;IF(ISNUMBER(SEARCH("all",$L1984)),"All-section coverage. ","")&amp;IF($O1984=0,"Gross acres unresolved. ","")&amp;"Gross=tract-map basis."))</x:f>
        <x:v>Leasehold (non-mineral; excluded from mineral NMA). Gross acres unresolved. Gross=tract-map basis.</x:v>
      </x:c>
      <x:c r="T1984" s="577" t="n"/>
      <x:c r="U1984" s="578" t="n"/>
      <x:c r="V1984" s="565" t="n"/>
      <x:c r="W1984" s="565" t="n"/>
      <x:c r="X1984" s="565" t="n"/>
      <x:c r="Y1984" s="565" t="n"/>
      <x:c r="Z1984" s="565" t="n"/>
    </x:row>
    <x:row r="1985">
      <x:c r="A1985" s="552" t="inlineStr">
        <x:is>
          <x:t xml:space="preserve">2006-000770</x:t>
        </x:is>
      </x:c>
      <x:c r="B1985" s="552" t="n"/>
      <x:c r="C1985" s="552" t="inlineStr">
        <x:is>
          <x:t xml:space="preserve">Assignment</x:t>
        </x:is>
      </x:c>
      <x:c r="D1985" s="552" t="inlineStr">
        <x:is>
          <x:t xml:space="preserve">1822/21</x:t>
        </x:is>
      </x:c>
      <x:c r="E1985" s="653" t="n">
        <x:v>38686</x:v>
      </x:c>
      <x:c r="F1985" s="653" t="n">
        <x:v>38749</x:v>
      </x:c>
      <x:c r="G1985" s="552" t="inlineStr">
        <x:is>
          <x:t xml:space="preserve">Jess Harris, III, Inc.
Oklahoma City, OK 73112</x:t>
        </x:is>
      </x:c>
      <x:c r="H1985" s="552" t="inlineStr">
        <x:is>
          <x:t xml:space="preserve">Newfield Exploration Mid-Continent, Inc.
110 West 7th, Ste. 1300
Tulsa, OK 74119
</x:t>
        </x:is>
      </x:c>
      <x:c r="I1985" s="552" t="inlineStr">
        <x:is>
          <x:t xml:space="preserve">Lot 4, S/2 N/2 SW/4 ada S/2 of Lot 3, S/2 NE/4 SW/4, SE/4 SW/4 of 31-12N-24W</x:t>
        </x:is>
      </x:c>
      <x:c r="J1985" s="552" t="inlineStr">
        <x:is>
          <x:t xml:space="preserve">Assigns all right, title and interest in and to the Oil and Gas Lease recorded at 1816/374</x:t>
        </x:is>
      </x:c>
      <x:c r="K1985" s="554" t="e">
        <x:f>HYPERLINK("https://okcountyrecords.com/detail/roger+mills/2006-000770","OKCountyRecords: 2006-000770")</x:f>
      </x:c>
      <x:c r="L1985" s="552" t="inlineStr">
        <x:is>
          <x:t xml:space="preserve">2, 3, 5, 6, 7</x:t>
        </x:is>
      </x:c>
      <x:c r="M1985" s="552" t="inlineStr">
        <x:is>
          <x:t xml:space="preserve">Leasehold</x:t>
        </x:is>
      </x:c>
      <x:c r="N1985" s="555" t="n"/>
      <x:c r="O1985" s="556" t="n">
        <x:f>IF($L1985="","",IF(ISNUMBER(SEARCH("all",$L1985)),640,(ISNUMBER(SEARCH("1",$L1985)))*80+(ISNUMBER(SEARCH("2",$L1985)))*160+(ISNUMBER(SEARCH("3",$L1985)))*40+(ISNUMBER(SEARCH("4",$L1985)))*80+(ISNUMBER(SEARCH("5",$L1985)))*120+(ISNUMBER(SEARCH("6",$L1985)))*80+(ISNUMBER(SEARCH("7",$L1985)))*40+(ISNUMBER(SEARCH("8",$L1985)))*40))</x:f>
        <x:v>0</x:v>
      </x:c>
      <x:c r="P1985" s="654" t="str">
        <x:f>IF($M1985&lt;&gt;"Mineral","",IF(ISNUMBER($N1985),$N1985,IF(OR(ISNUMBER(SEARCH("surface",$J1985)),ISNUMBER(SEARCH("reserv",$J1985)),ISNUMBER(SEARCH("less and except",$J1985))),0,"")))</x:f>
      </x:c>
      <x:c r="Q1985" s="654" t="str">
        <x:f>IF($P1985="","",-$P1985)</x:f>
      </x:c>
      <x:c r="R1985" s="655" t="str">
        <x:f>IF($P1985="","",$O1985*$P1985)</x:f>
      </x:c>
      <x:c r="S1985" s="552" t="str">
        <x:f>IF($M1985="","",TRIM(IF($M1985="Mineral",IF(ISNUMBER($N1985),"Mineral; basis Conv Amt(dec). ",IF($P1985=0,"Mineral; surface-only/reserved-&gt;0 min. ","Mineral; NO AMOUNT-verify instrument. ")),$M1985&amp;" (non-mineral; excluded from mineral NMA). ")&amp;IF(OR(ISNUMBER(SEARCH("public",$G1985)),ISNUMBER(SEARCH("public",$H1985))),"FLAG: The Public placeholder-verify. ","")&amp;IF(ISNUMBER(SEARCH("all",$L1985)),"All-section coverage. ","")&amp;IF($O1985=0,"Gross acres unresolved. ","")&amp;"Gross=tract-map basis."))</x:f>
        <x:v>Leasehold (non-mineral; excluded from mineral NMA). Gross acres unresolved. Gross=tract-map basis.</x:v>
      </x:c>
      <x:c r="T1985" s="577" t="n"/>
      <x:c r="U1985" s="578" t="n"/>
      <x:c r="V1985" s="565" t="n"/>
      <x:c r="W1985" s="565" t="n"/>
      <x:c r="X1985" s="565" t="n"/>
      <x:c r="Y1985" s="565" t="n"/>
      <x:c r="Z1985" s="565" t="n"/>
    </x:row>
    <x:row r="1986">
      <x:c r="A1986" s="552" t="inlineStr">
        <x:is>
          <x:t xml:space="preserve">2006-002436</x:t>
        </x:is>
      </x:c>
      <x:c r="B1986" s="552" t="n"/>
      <x:c r="C1986" s="552" t="inlineStr">
        <x:is>
          <x:t xml:space="preserve">Assignment of Oil and Gas Lease</x:t>
        </x:is>
      </x:c>
      <x:c r="D1986" s="552" t="inlineStr">
        <x:is>
          <x:t xml:space="preserve">1830/516</x:t>
        </x:is>
      </x:c>
      <x:c r="E1986" s="653" t="n">
        <x:v>38687</x:v>
      </x:c>
      <x:c r="F1986" s="653" t="n">
        <x:v>38806</x:v>
      </x:c>
      <x:c r="G1986" s="552" t="inlineStr">
        <x:is>
          <x:t xml:space="preserve">Jess Harris, III, Inc.
Oklahoma City, OK 73112</x:t>
        </x:is>
      </x:c>
      <x:c r="H1986" s="552" t="inlineStr">
        <x:is>
          <x:t xml:space="preserve">Newfield Exploration Mid-Continent, Inc.
110 West 7th, Ste. 1300
Tulsa, OK 74119
</x:t>
        </x:is>
      </x:c>
      <x:c r="I1986" s="552" t="inlineStr">
        <x:is>
          <x:t xml:space="preserve">SW/4 NE/4, W/2 SE/4, SE/4 SE/4, ada S/2 SE/4, NW/4 SE/4, SW/4 NE/4 of 31-12N-24W</x:t>
        </x:is>
      </x:c>
      <x:c r="J1986" s="552" t="inlineStr">
        <x:is>
          <x:t xml:space="preserve">Assigns all right, title and interest in and to the Oil and Gas Lease recorded at 1822/572</x:t>
        </x:is>
      </x:c>
      <x:c r="K1986" s="554" t="e">
        <x:f>HYPERLINK("https://okcountyrecords.com/detail/roger+mills/2006-002436","OKCountyRecords: 2006-002436")</x:f>
      </x:c>
      <x:c r="L1986" s="552" t="n">
        <x:v>2</x:v>
      </x:c>
      <x:c r="M1986" s="552" t="inlineStr">
        <x:is>
          <x:t xml:space="preserve">Leasehold</x:t>
        </x:is>
      </x:c>
      <x:c r="N1986" s="555" t="n"/>
      <x:c r="O1986" s="556" t="n">
        <x:f>IF($L1986="","",IF(ISNUMBER(SEARCH("all",$L1986)),640,(ISNUMBER(SEARCH("1",$L1986)))*80+(ISNUMBER(SEARCH("2",$L1986)))*160+(ISNUMBER(SEARCH("3",$L1986)))*40+(ISNUMBER(SEARCH("4",$L1986)))*80+(ISNUMBER(SEARCH("5",$L1986)))*120+(ISNUMBER(SEARCH("6",$L1986)))*80+(ISNUMBER(SEARCH("7",$L1986)))*40+(ISNUMBER(SEARCH("8",$L1986)))*40))</x:f>
        <x:v>0</x:v>
      </x:c>
      <x:c r="P1986" s="654" t="str">
        <x:f>IF($M1986&lt;&gt;"Mineral","",IF(ISNUMBER($N1986),$N1986,IF(OR(ISNUMBER(SEARCH("surface",$J1986)),ISNUMBER(SEARCH("reserv",$J1986)),ISNUMBER(SEARCH("less and except",$J1986))),0,"")))</x:f>
      </x:c>
      <x:c r="Q1986" s="654" t="str">
        <x:f>IF($P1986="","",-$P1986)</x:f>
      </x:c>
      <x:c r="R1986" s="655" t="str">
        <x:f>IF($P1986="","",$O1986*$P1986)</x:f>
      </x:c>
      <x:c r="S1986" s="552" t="str">
        <x:f>IF($M1986="","",TRIM(IF($M1986="Mineral",IF(ISNUMBER($N1986),"Mineral; basis Conv Amt(dec). ",IF($P1986=0,"Mineral; surface-only/reserved-&gt;0 min. ","Mineral; NO AMOUNT-verify instrument. ")),$M1986&amp;" (non-mineral; excluded from mineral NMA). ")&amp;IF(OR(ISNUMBER(SEARCH("public",$G1986)),ISNUMBER(SEARCH("public",$H1986))),"FLAG: The Public placeholder-verify. ","")&amp;IF(ISNUMBER(SEARCH("all",$L1986)),"All-section coverage. ","")&amp;IF($O1986=0,"Gross acres unresolved. ","")&amp;"Gross=tract-map basis."))</x:f>
        <x:v>Leasehold (non-mineral; excluded from mineral NMA). Gross acres unresolved. Gross=tract-map basis.</x:v>
      </x:c>
      <x:c r="T1986" s="577" t="n"/>
      <x:c r="U1986" s="578" t="n"/>
      <x:c r="V1986" s="565" t="n"/>
      <x:c r="W1986" s="565" t="n"/>
      <x:c r="X1986" s="565" t="n"/>
      <x:c r="Y1986" s="565" t="n"/>
      <x:c r="Z1986" s="565" t="n"/>
    </x:row>
    <x:row r="1987">
      <x:c r="A1987" s="552" t="inlineStr">
        <x:is>
          <x:t xml:space="preserve">2006-002437</x:t>
        </x:is>
      </x:c>
      <x:c r="B1987" s="552" t="n"/>
      <x:c r="C1987" s="552" t="inlineStr">
        <x:is>
          <x:t xml:space="preserve">Assignment of Oil and Gas Lease</x:t>
        </x:is>
      </x:c>
      <x:c r="D1987" s="552" t="inlineStr">
        <x:is>
          <x:t xml:space="preserve">1830/517</x:t>
        </x:is>
      </x:c>
      <x:c r="E1987" s="653" t="n">
        <x:v>38687</x:v>
      </x:c>
      <x:c r="F1987" s="653" t="n">
        <x:v>38806</x:v>
      </x:c>
      <x:c r="G1987" s="552" t="inlineStr">
        <x:is>
          <x:t xml:space="preserve">Jess Harris, III, Inc.
Oklahoma City, OK 73112</x:t>
        </x:is>
      </x:c>
      <x:c r="H1987" s="552" t="inlineStr">
        <x:is>
          <x:t xml:space="preserve">Newfield Exploration Mid-Continent, Inc.
110 West 7th, Ste. 1300
Tulsa, OK 74119
</x:t>
        </x:is>
      </x:c>
      <x:c r="I1987" s="552" t="inlineStr">
        <x:is>
          <x:t xml:space="preserve">SW/4 NE/4, W/2 SE/4, SE/4 SE/4, ada S/2 SE/4, NW/4 SE/4, SW/4 NE/4 of 31-12N-24W</x:t>
        </x:is>
      </x:c>
      <x:c r="J1987" s="552" t="inlineStr">
        <x:is>
          <x:t xml:space="preserve">Assigns all right, title and interest in and to the Oil and Gas Lease recorded at 1822/574</x:t>
        </x:is>
      </x:c>
      <x:c r="K1987" s="554" t="e">
        <x:f>HYPERLINK("https://okcountyrecords.com/detail/roger+mills/2006-002437","OKCountyRecords: 2006-002437")</x:f>
      </x:c>
      <x:c r="L1987" s="552" t="n">
        <x:v>2</x:v>
      </x:c>
      <x:c r="M1987" s="552" t="inlineStr">
        <x:is>
          <x:t xml:space="preserve">Leasehold</x:t>
        </x:is>
      </x:c>
      <x:c r="N1987" s="555" t="n"/>
      <x:c r="O1987" s="556" t="n">
        <x:f>IF($L1987="","",IF(ISNUMBER(SEARCH("all",$L1987)),640,(ISNUMBER(SEARCH("1",$L1987)))*80+(ISNUMBER(SEARCH("2",$L1987)))*160+(ISNUMBER(SEARCH("3",$L1987)))*40+(ISNUMBER(SEARCH("4",$L1987)))*80+(ISNUMBER(SEARCH("5",$L1987)))*120+(ISNUMBER(SEARCH("6",$L1987)))*80+(ISNUMBER(SEARCH("7",$L1987)))*40+(ISNUMBER(SEARCH("8",$L1987)))*40))</x:f>
        <x:v>0</x:v>
      </x:c>
      <x:c r="P1987" s="654" t="str">
        <x:f>IF($M1987&lt;&gt;"Mineral","",IF(ISNUMBER($N1987),$N1987,IF(OR(ISNUMBER(SEARCH("surface",$J1987)),ISNUMBER(SEARCH("reserv",$J1987)),ISNUMBER(SEARCH("less and except",$J1987))),0,"")))</x:f>
      </x:c>
      <x:c r="Q1987" s="654" t="str">
        <x:f>IF($P1987="","",-$P1987)</x:f>
      </x:c>
      <x:c r="R1987" s="655" t="str">
        <x:f>IF($P1987="","",$O1987*$P1987)</x:f>
      </x:c>
      <x:c r="S1987" s="552" t="str">
        <x:f>IF($M1987="","",TRIM(IF($M1987="Mineral",IF(ISNUMBER($N1987),"Mineral; basis Conv Amt(dec). ",IF($P1987=0,"Mineral; surface-only/reserved-&gt;0 min. ","Mineral; NO AMOUNT-verify instrument. ")),$M1987&amp;" (non-mineral; excluded from mineral NMA). ")&amp;IF(OR(ISNUMBER(SEARCH("public",$G1987)),ISNUMBER(SEARCH("public",$H1987))),"FLAG: The Public placeholder-verify. ","")&amp;IF(ISNUMBER(SEARCH("all",$L1987)),"All-section coverage. ","")&amp;IF($O1987=0,"Gross acres unresolved. ","")&amp;"Gross=tract-map basis."))</x:f>
        <x:v>Leasehold (non-mineral; excluded from mineral NMA). Gross acres unresolved. Gross=tract-map basis.</x:v>
      </x:c>
      <x:c r="T1987" s="577" t="n"/>
      <x:c r="U1987" s="578" t="n"/>
      <x:c r="V1987" s="565" t="n"/>
      <x:c r="W1987" s="565" t="n"/>
      <x:c r="X1987" s="565" t="n"/>
      <x:c r="Y1987" s="565" t="n"/>
      <x:c r="Z1987" s="565" t="n"/>
    </x:row>
    <x:row r="1988">
      <x:c r="A1988" s="552" t="inlineStr">
        <x:is>
          <x:t xml:space="preserve">2006-002508</x:t>
        </x:is>
      </x:c>
      <x:c r="B1988" s="552" t="n"/>
      <x:c r="C1988" s="552" t="inlineStr">
        <x:is>
          <x:t xml:space="preserve">Agreement</x:t>
        </x:is>
      </x:c>
      <x:c r="D1988" s="552" t="inlineStr">
        <x:is>
          <x:t xml:space="preserve">1831/55</x:t>
        </x:is>
      </x:c>
      <x:c r="E1988" s="653" t="n">
        <x:v>38691</x:v>
      </x:c>
      <x:c r="F1988" s="653" t="n">
        <x:v>38807</x:v>
      </x:c>
      <x:c r="G1988" s="552" t="inlineStr">
        <x:is>
          <x:t xml:space="preserve">Charles D. Ray</x:t>
        </x:is>
      </x:c>
      <x:c r="H1988" s="552" t="inlineStr">
        <x:is>
          <x:t xml:space="preserve">Jess Harris, III, Inc.</x:t>
        </x:is>
      </x:c>
      <x:c r="I1988" s="552" t="inlineStr">
        <x:is>
          <x:t xml:space="preserve">All of 31-12N-24W</x:t>
        </x:is>
      </x:c>
      <x:c r="J1988" s="552" t="inlineStr">
        <x:is>
          <x:t xml:space="preserve">Fractional Interest 3475/5741969</x:t>
        </x:is>
      </x:c>
      <x:c r="K1988" s="554" t="e">
        <x:f>HYPERLINK("https://okcountyrecords.com/detail/roger+mills/2006-002508","OKCountyRecords: 2006-002508")</x:f>
      </x:c>
      <x:c r="L1988" s="552" t="inlineStr">
        <x:is>
          <x:t xml:space="preserve">All (1-8)</x:t>
        </x:is>
      </x:c>
      <x:c r="M1988" s="552" t="inlineStr">
        <x:is>
          <x:t xml:space="preserve">Other</x:t>
        </x:is>
      </x:c>
      <x:c r="N1988" s="555" t="n"/>
      <x:c r="O1988" s="556" t="n">
        <x:f>IF($L1988="","",IF(ISNUMBER(SEARCH("all",$L1988)),640,(ISNUMBER(SEARCH("1",$L1988)))*80+(ISNUMBER(SEARCH("2",$L1988)))*160+(ISNUMBER(SEARCH("3",$L1988)))*40+(ISNUMBER(SEARCH("4",$L1988)))*80+(ISNUMBER(SEARCH("5",$L1988)))*120+(ISNUMBER(SEARCH("6",$L1988)))*80+(ISNUMBER(SEARCH("7",$L1988)))*40+(ISNUMBER(SEARCH("8",$L1988)))*40))</x:f>
        <x:v>640</x:v>
      </x:c>
      <x:c r="P1988" s="654" t="str">
        <x:f>IF($M1988&lt;&gt;"Mineral","",IF(ISNUMBER($N1988),$N1988,IF(OR(ISNUMBER(SEARCH("surface",$J1988)),ISNUMBER(SEARCH("reserv",$J1988)),ISNUMBER(SEARCH("less and except",$J1988))),0,"")))</x:f>
      </x:c>
      <x:c r="Q1988" s="654" t="str">
        <x:f>IF($P1988="","",-$P1988)</x:f>
      </x:c>
      <x:c r="R1988" s="655" t="str">
        <x:f>IF($P1988="","",$O1988*$P1988)</x:f>
      </x:c>
      <x:c r="S1988" s="552" t="str">
        <x:f>IF($M1988="","",TRIM(IF($M1988="Mineral",IF(ISNUMBER($N1988),"Mineral; basis Conv Amt(dec). ",IF($P1988=0,"Mineral; surface-only/reserved-&gt;0 min. ","Mineral; NO AMOUNT-verify instrument. ")),$M1988&amp;" (non-mineral; excluded from mineral NMA). ")&amp;IF(OR(ISNUMBER(SEARCH("public",$G1988)),ISNUMBER(SEARCH("public",$H1988))),"FLAG: The Public placeholder-verify. ","")&amp;IF(ISNUMBER(SEARCH("all",$L1988)),"All-section coverage. ","")&amp;IF($O1988=0,"Gross acres unresolved. ","")&amp;"Gross=tract-map basis."))</x:f>
        <x:v>Other (non-mineral; excluded from mineral NMA). All-section coverage. Gross=tract-map basis.</x:v>
      </x:c>
      <x:c r="T1988" s="577" t="n"/>
      <x:c r="U1988" s="578" t="n"/>
      <x:c r="V1988" s="565" t="n"/>
      <x:c r="W1988" s="565" t="n"/>
      <x:c r="X1988" s="565" t="n"/>
      <x:c r="Y1988" s="565" t="n"/>
      <x:c r="Z1988" s="565" t="n"/>
    </x:row>
    <x:row r="1989">
      <x:c r="A1989" s="552" t="inlineStr">
        <x:is>
          <x:t xml:space="preserve">2006-000931</x:t>
        </x:is>
      </x:c>
      <x:c r="B1989" s="552" t="n">
        <x:v>35</x:v>
      </x:c>
      <x:c r="C1989" s="552" t="inlineStr">
        <x:is>
          <x:t xml:space="preserve">Oil and Gas Lease</x:t>
        </x:is>
      </x:c>
      <x:c r="D1989" s="552" t="inlineStr">
        <x:is>
          <x:t xml:space="preserve">1822/562</x:t>
        </x:is>
      </x:c>
      <x:c r="E1989" s="653" t="n">
        <x:v>38693</x:v>
      </x:c>
      <x:c r="F1989" s="653" t="n">
        <x:v>38754</x:v>
      </x:c>
      <x:c r="G1989" s="552" t="inlineStr">
        <x:is>
          <x:t xml:space="preserve">Clyde A. Pine
4567 Globe Willow
El Paso, TX 79922</x:t>
        </x:is>
      </x:c>
      <x:c r="H1989" s="552" t="inlineStr">
        <x:is>
          <x:t xml:space="preserve">Jess Harris, III, Inc.
Oklahoma City, OK 73112</x:t>
        </x:is>
      </x:c>
      <x:c r="I1989" s="552" t="inlineStr">
        <x:is>
          <x:t xml:space="preserve">E/2 NW/4 of 31-12N-24W</x:t>
        </x:is>
      </x:c>
      <x:c r="J1989" s="552" t="inlineStr">
        <x:is>
          <x:t xml:space="preserve">80 gross acres
3 yrs
1/4th royalty</x:t>
        </x:is>
      </x:c>
      <x:c r="K1989" s="554" t="e">
        <x:f>HYPERLINK("https://okcountyrecords.com/detail/roger+mills/2006-000931","OKCountyRecords: 2006-000931")</x:f>
      </x:c>
      <x:c r="L1989" s="552" t="n">
        <x:v>4</x:v>
      </x:c>
      <x:c r="M1989" s="552" t="inlineStr">
        <x:is>
          <x:t xml:space="preserve">Leasehold</x:t>
        </x:is>
      </x:c>
      <x:c r="N1989" s="555" t="n"/>
      <x:c r="O1989" s="556" t="n">
        <x:f>IF($L1989="","",IF(ISNUMBER(SEARCH("all",$L1989)),640,(ISNUMBER(SEARCH("1",$L1989)))*80+(ISNUMBER(SEARCH("2",$L1989)))*160+(ISNUMBER(SEARCH("3",$L1989)))*40+(ISNUMBER(SEARCH("4",$L1989)))*80+(ISNUMBER(SEARCH("5",$L1989)))*120+(ISNUMBER(SEARCH("6",$L1989)))*80+(ISNUMBER(SEARCH("7",$L1989)))*40+(ISNUMBER(SEARCH("8",$L1989)))*40))</x:f>
        <x:v>0</x:v>
      </x:c>
      <x:c r="P1989" s="654" t="str">
        <x:f>IF($M1989&lt;&gt;"Mineral","",IF(ISNUMBER($N1989),$N1989,IF(OR(ISNUMBER(SEARCH("surface",$J1989)),ISNUMBER(SEARCH("reserv",$J1989)),ISNUMBER(SEARCH("less and except",$J1989))),0,"")))</x:f>
      </x:c>
      <x:c r="Q1989" s="654" t="str">
        <x:f>IF($P1989="","",-$P1989)</x:f>
      </x:c>
      <x:c r="R1989" s="655" t="str">
        <x:f>IF($P1989="","",$O1989*$P1989)</x:f>
      </x:c>
      <x:c r="S1989" s="552" t="str">
        <x:f>IF($M1989="","",TRIM(IF($M1989="Mineral",IF(ISNUMBER($N1989),"Mineral; basis Conv Amt(dec). ",IF($P1989=0,"Mineral; surface-only/reserved-&gt;0 min. ","Mineral; NO AMOUNT-verify instrument. ")),$M1989&amp;" (non-mineral; excluded from mineral NMA). ")&amp;IF(OR(ISNUMBER(SEARCH("public",$G1989)),ISNUMBER(SEARCH("public",$H1989))),"FLAG: The Public placeholder-verify. ","")&amp;IF(ISNUMBER(SEARCH("all",$L1989)),"All-section coverage. ","")&amp;IF($O1989=0,"Gross acres unresolved. ","")&amp;"Gross=tract-map basis."))</x:f>
        <x:v>Leasehold (non-mineral; excluded from mineral NMA). Gross acres unresolved. Gross=tract-map basis.</x:v>
      </x:c>
      <x:c r="T1989" s="577" t="n"/>
      <x:c r="U1989" s="578" t="n"/>
      <x:c r="V1989" s="565" t="n"/>
      <x:c r="W1989" s="565" t="n"/>
      <x:c r="X1989" s="565" t="n"/>
      <x:c r="Y1989" s="565" t="n"/>
      <x:c r="Z1989" s="565" t="n"/>
    </x:row>
    <x:row r="1990">
      <x:c r="A1990" s="552" t="inlineStr">
        <x:is>
          <x:t xml:space="preserve">2006-000153</x:t>
        </x:is>
      </x:c>
      <x:c r="B1990" s="552" t="n"/>
      <x:c r="C1990" s="552" t="inlineStr">
        <x:is>
          <x:t xml:space="preserve">Disclaimer and Quit Clam of Interest</x:t>
        </x:is>
      </x:c>
      <x:c r="D1990" s="552" t="inlineStr">
        <x:is>
          <x:t xml:space="preserve">1819/156</x:t>
        </x:is>
      </x:c>
      <x:c r="E1990" s="653" t="n">
        <x:v>38694</x:v>
      </x:c>
      <x:c r="F1990" s="653" t="n">
        <x:v>38727</x:v>
      </x:c>
      <x:c r="G1990" s="552" t="inlineStr">
        <x:is>
          <x:t xml:space="preserve">Eddie Tom Lakey</x:t>
        </x:is>
      </x:c>
      <x:c r="H1990" s="552" t="inlineStr">
        <x:is>
          <x:t xml:space="preserve">The Public</x:t>
        </x:is>
      </x:c>
      <x:c r="I1990" s="552" t="inlineStr">
        <x:is>
          <x:t xml:space="preserve">The South 32.80 acres in a tract of land described as West 18.20 Chains (72 8/10 Rods) of Lots 1 and 2 also described as the West 18.20 Chains (or 72 8/10 Rods) of the W/2 NW/4, containing 32.8 acres, more or less, of 31-12N-24W</x:t>
        </x:is>
      </x:c>
      <x:c r="J1990" s="552" t="inlineStr">
        <x:is>
          <x:t xml:space="preserve">Disclaiming Party signs this Disclaimer as evidence that he makes no claim to any of the mineral interests in all or any part of the Lands.</x:t>
        </x:is>
      </x:c>
      <x:c r="K1990" s="554" t="e">
        <x:f>HYPERLINK("https://okcountyrecords.com/detail/roger+mills/2006-000153","OKCountyRecords: 2006-000153")</x:f>
      </x:c>
      <x:c r="L1990" s="552" t="n">
        <x:v>5</x:v>
      </x:c>
      <x:c r="M1990" s="552" t="inlineStr">
        <x:is>
          <x:t xml:space="preserve">Mineral</x:t>
        </x:is>
      </x:c>
      <x:c r="N1990" s="555" t="n"/>
      <x:c r="O1990" s="556" t="n">
        <x:f>IF($L1990="","",IF(ISNUMBER(SEARCH("all",$L1990)),640,(ISNUMBER(SEARCH("1",$L1990)))*80+(ISNUMBER(SEARCH("2",$L1990)))*160+(ISNUMBER(SEARCH("3",$L1990)))*40+(ISNUMBER(SEARCH("4",$L1990)))*80+(ISNUMBER(SEARCH("5",$L1990)))*120+(ISNUMBER(SEARCH("6",$L1990)))*80+(ISNUMBER(SEARCH("7",$L1990)))*40+(ISNUMBER(SEARCH("8",$L1990)))*40))</x:f>
        <x:v>0</x:v>
      </x:c>
      <x:c r="P1990" s="654" t="str">
        <x:f>IF($M1990&lt;&gt;"Mineral","",IF(ISNUMBER($N1990),$N1990,IF(OR(ISNUMBER(SEARCH("surface",$J1990)),ISNUMBER(SEARCH("reserv",$J1990)),ISNUMBER(SEARCH("less and except",$J1990))),0,"")))</x:f>
      </x:c>
      <x:c r="Q1990" s="654" t="str">
        <x:f>IF($P1990="","",-$P1990)</x:f>
      </x:c>
      <x:c r="R1990" s="655" t="str">
        <x:f>IF($P1990="","",$O1990*$P1990)</x:f>
      </x:c>
      <x:c r="S1990" s="552" t="inlineStr">
        <x:is>
          <x:t xml:space="preserve">Mineral — disclaimer; no interest conveyed. Gross=tract-map basis.</x:t>
        </x:is>
      </x:c>
      <x:c r="T1990" s="577" t="inlineStr">
        <x:is>
          <x:t xml:space="preserve">OK</x:t>
        </x:is>
      </x:c>
      <x:c r="U1990" s="578" t="inlineStr">
        <x:is>
          <x:t xml:space="preserve">Disclaimer — grantor makes no claim to minerals; no interest conveyed (The Public notice).</x:t>
        </x:is>
      </x:c>
      <x:c r="V1990" s="565" t="n"/>
      <x:c r="W1990" s="565" t="n"/>
      <x:c r="X1990" s="565" t="n"/>
      <x:c r="Y1990" s="565" t="n"/>
      <x:c r="Z1990" s="565" t="n"/>
    </x:row>
    <x:row r="1991">
      <x:c r="A1991" s="552" t="inlineStr">
        <x:is>
          <x:t xml:space="preserve">2006-000151</x:t>
        </x:is>
      </x:c>
      <x:c r="B1991" s="552" t="n"/>
      <x:c r="C1991" s="552" t="inlineStr">
        <x:is>
          <x:t xml:space="preserve">Disclaimer</x:t>
        </x:is>
      </x:c>
      <x:c r="D1991" s="552" t="inlineStr">
        <x:is>
          <x:t xml:space="preserve">1819/154</x:t>
        </x:is>
      </x:c>
      <x:c r="E1991" s="653" t="n">
        <x:v>38698</x:v>
      </x:c>
      <x:c r="F1991" s="653" t="n">
        <x:v>38727</x:v>
      </x:c>
      <x:c r="G1991" s="552" t="inlineStr">
        <x:is>
          <x:t xml:space="preserve">O.K. Oil Venture, c/o Greg Winneke,</x:t>
        </x:is>
      </x:c>
      <x:c r="H1991" s="552" t="inlineStr">
        <x:is>
          <x:t xml:space="preserve">Publc</x:t>
        </x:is>
      </x:c>
      <x:c r="I1991" s="552" t="inlineStr">
        <x:is>
          <x:t xml:space="preserve">NW/4 SE/4, S/2 SE/4, SW/4 NE/4 of 31-12N-24W, aol</x:t>
        </x:is>
      </x:c>
      <x:c r="J1991" s="552" t="inlineStr">
        <x:is>
          <x:t xml:space="preserve">This 1/32 non-participating royalty interest was reserved by Disclaiming Party in 5 separate Mineral Deeds, all dated March 10, 1983, and recorded in Book 517 at Pages 134 through 138, of the Deed Records of the county and state named above. Disclaiming party, also reserved the right to select, on behalf of the grantees, their successors, personal representațives, heirs and assigns, the Lessor for any new lease for the interest conveyed in the 5 Mineral Deeds referenced above. Disclaiming Party, named above, signs this Disclaimer as evidence that it makes no claim to any executive or other rights in the 5 separate Mineral Deeds, except for the 1/32 non-participating royalty interest, in all or any part of the Lands.</x:t>
        </x:is>
      </x:c>
      <x:c r="K1991" s="554" t="e">
        <x:f>HYPERLINK("https://okcountyrecords.com/detail/roger+mills/2006-000151","OKCountyRecords: 2006-000151")</x:f>
      </x:c>
      <x:c r="L1991" s="552" t="n">
        <x:v>2</x:v>
      </x:c>
      <x:c r="M1991" s="552" t="inlineStr">
        <x:is>
          <x:t xml:space="preserve">Other</x:t>
        </x:is>
      </x:c>
      <x:c r="N1991" s="555" t="n"/>
      <x:c r="O1991" s="556" t="n">
        <x:f>IF($L1991="","",IF(ISNUMBER(SEARCH("all",$L1991)),640,(ISNUMBER(SEARCH("1",$L1991)))*80+(ISNUMBER(SEARCH("2",$L1991)))*160+(ISNUMBER(SEARCH("3",$L1991)))*40+(ISNUMBER(SEARCH("4",$L1991)))*80+(ISNUMBER(SEARCH("5",$L1991)))*120+(ISNUMBER(SEARCH("6",$L1991)))*80+(ISNUMBER(SEARCH("7",$L1991)))*40+(ISNUMBER(SEARCH("8",$L1991)))*40))</x:f>
        <x:v>0</x:v>
      </x:c>
      <x:c r="P1991" s="654" t="str">
        <x:f>IF($M1991&lt;&gt;"Mineral","",IF(ISNUMBER($N1991),$N1991,IF(OR(ISNUMBER(SEARCH("surface",$J1991)),ISNUMBER(SEARCH("reserv",$J1991)),ISNUMBER(SEARCH("less and except",$J1991))),0,"")))</x:f>
      </x:c>
      <x:c r="Q1991" s="654" t="str">
        <x:f>IF($P1991="","",-$P1991)</x:f>
      </x:c>
      <x:c r="R1991" s="655" t="str">
        <x:f>IF($P1991="","",$O1991*$P1991)</x:f>
      </x:c>
      <x:c r="S1991" s="552" t="str">
        <x:f>IF($M1991="","",TRIM(IF($M1991="Mineral",IF(ISNUMBER($N1991),"Mineral; basis Conv Amt(dec). ",IF($P1991=0,"Mineral; surface-only/reserved-&gt;0 min. ","Mineral; NO AMOUNT-verify instrument. ")),$M1991&amp;" (non-mineral; excluded from mineral NMA). ")&amp;IF(OR(ISNUMBER(SEARCH("public",$G1991)),ISNUMBER(SEARCH("public",$H1991))),"FLAG: The Public placeholder-verify. ","")&amp;IF(ISNUMBER(SEARCH("all",$L1991)),"All-section coverage. ","")&amp;IF($O1991=0,"Gross acres unresolved. ","")&amp;"Gross=tract-map basis."))</x:f>
        <x:v>Other (non-mineral; excluded from mineral NMA). Gross acres unresolved. Gross=tract-map basis.</x:v>
      </x:c>
      <x:c r="T1991" s="577" t="n"/>
      <x:c r="U1991" s="578" t="n"/>
      <x:c r="V1991" s="565" t="n"/>
      <x:c r="W1991" s="565" t="n"/>
      <x:c r="X1991" s="565" t="n"/>
      <x:c r="Y1991" s="565" t="n"/>
      <x:c r="Z1991" s="565" t="n"/>
    </x:row>
    <x:row r="1992">
      <x:c r="A1992" s="552" t="inlineStr">
        <x:is>
          <x:t xml:space="preserve">2006-000154</x:t>
        </x:is>
      </x:c>
      <x:c r="B1992" s="552" t="n"/>
      <x:c r="C1992" s="552" t="inlineStr">
        <x:is>
          <x:t xml:space="preserve">Disclaimer and Quit Clam of Interest</x:t>
        </x:is>
      </x:c>
      <x:c r="D1992" s="552" t="inlineStr">
        <x:is>
          <x:t xml:space="preserve">1819/157</x:t>
        </x:is>
      </x:c>
      <x:c r="E1992" s="653" t="n">
        <x:v>38699</x:v>
      </x:c>
      <x:c r="F1992" s="653" t="n">
        <x:v>38727</x:v>
      </x:c>
      <x:c r="G1992" s="552" t="inlineStr">
        <x:is>
          <x:t xml:space="preserve">Glenda A. Palmer, Trustee of the Glenn Douglas Mitchel and Hazel
Pearl Mitchel Trust</x:t>
        </x:is>
      </x:c>
      <x:c r="H1992" s="552" t="inlineStr">
        <x:is>
          <x:t xml:space="preserve">The Public</x:t>
        </x:is>
      </x:c>
      <x:c r="I1992" s="552" t="inlineStr">
        <x:is>
          <x:t xml:space="preserve">E/2 NW/4, N/2 NE/4 SW/4, NE/4 SE/4, SE/4 NE/4 of 31-12N-24W</x:t>
        </x:is>
      </x:c>
      <x:c r="J1992" s="552" t="inlineStr">
        <x:is>
          <x:t xml:space="preserve">Disclaiming Party, signs this Disclaimer as evidence that she makes no claim to any of the mineral interests in all or any part of the Lands by and through the Final Decree entered in the Matter of the Estate of Glenn Douglass Mitchel, Deceased, Beckham County Probate Case No. PB-2003-37, recorded 11/12/03 in Book 1728 at Page 457 ofthe Roger Mills County Records.</x:t>
        </x:is>
      </x:c>
      <x:c r="K1992" s="554" t="e">
        <x:f>HYPERLINK("https://okcountyrecords.com/detail/roger+mills/2006-000154","OKCountyRecords: 2006-000154")</x:f>
      </x:c>
      <x:c r="L1992" s="552" t="inlineStr">
        <x:is>
          <x:t xml:space="preserve">1, 3, 4, 7, 8</x:t>
        </x:is>
      </x:c>
      <x:c r="M1992" s="552" t="inlineStr">
        <x:is>
          <x:t xml:space="preserve">Mineral</x:t>
        </x:is>
      </x:c>
      <x:c r="N1992" s="561" t="n"/>
      <x:c r="O1992" s="556" t="n">
        <x:f>IF($L1992="","",IF(ISNUMBER(SEARCH("all",$L1992)),640,(ISNUMBER(SEARCH("1",$L1992)))*80+(ISNUMBER(SEARCH("2",$L1992)))*160+(ISNUMBER(SEARCH("3",$L1992)))*40+(ISNUMBER(SEARCH("4",$L1992)))*80+(ISNUMBER(SEARCH("5",$L1992)))*120+(ISNUMBER(SEARCH("6",$L1992)))*80+(ISNUMBER(SEARCH("7",$L1992)))*40+(ISNUMBER(SEARCH("8",$L1992)))*40))</x:f>
        <x:v>0</x:v>
      </x:c>
      <x:c r="P1992" s="654" t="str">
        <x:f>IF($M1992&lt;&gt;"Mineral","",IF(ISNUMBER($N1992),$N1992,IF(OR(ISNUMBER(SEARCH("surface",$J1992)),ISNUMBER(SEARCH("reserv",$J1992)),ISNUMBER(SEARCH("less and except",$J1992))),0,"")))</x:f>
      </x:c>
      <x:c r="Q1992" s="654" t="str">
        <x:f>IF($P1992="","",-$P1992)</x:f>
      </x:c>
      <x:c r="R1992" s="655" t="str">
        <x:f>IF($P1992="","",$O1992*$P1992)</x:f>
      </x:c>
      <x:c r="S1992" s="552" t="inlineStr">
        <x:is>
          <x:t xml:space="preserve">Mineral — disclaimer; no interest conveyed. Gross=tract-map basis.</x:t>
        </x:is>
      </x:c>
      <x:c r="T1992" s="577" t="inlineStr">
        <x:is>
          <x:t xml:space="preserve">OK</x:t>
        </x:is>
      </x:c>
      <x:c r="U1992" s="578" t="inlineStr">
        <x:is>
          <x:t xml:space="preserve">Disclaimer — grantor makes no claim to minerals; no interest conveyed (The Public notice).</x:t>
        </x:is>
      </x:c>
      <x:c r="V1992" s="565" t="n"/>
      <x:c r="W1992" s="565" t="n"/>
      <x:c r="X1992" s="565" t="n"/>
      <x:c r="Y1992" s="565" t="n"/>
      <x:c r="Z1992" s="565" t="n"/>
    </x:row>
    <x:row r="1993">
      <x:c r="A1993" s="552" t="inlineStr">
        <x:is>
          <x:t xml:space="preserve">2009-000272</x:t>
        </x:is>
      </x:c>
      <x:c r="B1993" s="552" t="n"/>
      <x:c r="C1993" s="552" t="inlineStr">
        <x:is>
          <x:t xml:space="preserve">Assignment</x:t>
        </x:is>
      </x:c>
      <x:c r="D1993" s="552" t="inlineStr">
        <x:is>
          <x:t xml:space="preserve">1945/594</x:t>
        </x:is>
      </x:c>
      <x:c r="E1993" s="653" t="n">
        <x:v>38701</x:v>
      </x:c>
      <x:c r="F1993" s="653" t="n">
        <x:v>39833</x:v>
      </x:c>
      <x:c r="G1993" s="552" t="inlineStr">
        <x:is>
          <x:t xml:space="preserve">Jess Harris, III, Inc.
Oklahoma City, OK 73112</x:t>
        </x:is>
      </x:c>
      <x:c r="H1993" s="552" t="inlineStr">
        <x:is>
          <x:t xml:space="preserve">Newfield Exploration Mid-Continent, Inc.
110 West 7th, Ste. 1300
Tulsa, OK 74119
</x:t>
        </x:is>
      </x:c>
      <x:c r="I1993" s="552" t="inlineStr">
        <x:is>
          <x:t xml:space="preserve">SE/4 SE/4, SW/4 NE/4, W/2 SE/4 of 31-12N-24W</x:t>
        </x:is>
      </x:c>
      <x:c r="J1993" s="552" t="inlineStr">
        <x:is>
          <x:t xml:space="preserve">ARTI in OGL at 1822/578</x:t>
        </x:is>
      </x:c>
      <x:c r="K1993" s="554" t="e">
        <x:f>HYPERLINK("https://okcountyrecords.com/detail/roger+mills/2009-000272","OKCountyRecords: 2009-000272")</x:f>
      </x:c>
      <x:c r="L1993" s="552" t="n">
        <x:v>2</x:v>
      </x:c>
      <x:c r="M1993" s="552" t="inlineStr">
        <x:is>
          <x:t xml:space="preserve">Leasehold</x:t>
        </x:is>
      </x:c>
      <x:c r="N1993" s="555" t="n"/>
      <x:c r="O1993" s="556" t="n">
        <x:f>IF($L1993="","",IF(ISNUMBER(SEARCH("all",$L1993)),640,(ISNUMBER(SEARCH("1",$L1993)))*80+(ISNUMBER(SEARCH("2",$L1993)))*160+(ISNUMBER(SEARCH("3",$L1993)))*40+(ISNUMBER(SEARCH("4",$L1993)))*80+(ISNUMBER(SEARCH("5",$L1993)))*120+(ISNUMBER(SEARCH("6",$L1993)))*80+(ISNUMBER(SEARCH("7",$L1993)))*40+(ISNUMBER(SEARCH("8",$L1993)))*40))</x:f>
        <x:v>0</x:v>
      </x:c>
      <x:c r="P1993" s="654" t="str">
        <x:f>IF($M1993&lt;&gt;"Mineral","",IF(ISNUMBER($N1993),$N1993,IF(OR(ISNUMBER(SEARCH("surface",$J1993)),ISNUMBER(SEARCH("reserv",$J1993)),ISNUMBER(SEARCH("less and except",$J1993))),0,"")))</x:f>
      </x:c>
      <x:c r="Q1993" s="654" t="str">
        <x:f>IF($P1993="","",-$P1993)</x:f>
      </x:c>
      <x:c r="R1993" s="655" t="str">
        <x:f>IF($P1993="","",$O1993*$P1993)</x:f>
      </x:c>
      <x:c r="S1993" s="552" t="str">
        <x:f>IF($M1993="","",TRIM(IF($M1993="Mineral",IF(ISNUMBER($N1993),"Mineral; basis Conv Amt(dec). ",IF($P1993=0,"Mineral; surface-only/reserved-&gt;0 min. ","Mineral; NO AMOUNT-verify instrument. ")),$M1993&amp;" (non-mineral; excluded from mineral NMA). ")&amp;IF(OR(ISNUMBER(SEARCH("public",$G1993)),ISNUMBER(SEARCH("public",$H1993))),"FLAG: The Public placeholder-verify. ","")&amp;IF(ISNUMBER(SEARCH("all",$L1993)),"All-section coverage. ","")&amp;IF($O1993=0,"Gross acres unresolved. ","")&amp;"Gross=tract-map basis."))</x:f>
        <x:v>Leasehold (non-mineral; excluded from mineral NMA). Gross acres unresolved. Gross=tract-map basis.</x:v>
      </x:c>
      <x:c r="T1993" s="577" t="n"/>
      <x:c r="U1993" s="578" t="n"/>
      <x:c r="V1993" s="565" t="n"/>
      <x:c r="W1993" s="565" t="n"/>
      <x:c r="X1993" s="565" t="n"/>
      <x:c r="Y1993" s="565" t="n"/>
      <x:c r="Z1993" s="565" t="n"/>
    </x:row>
    <x:row r="1994">
      <x:c r="A1994" s="552" t="inlineStr">
        <x:is>
          <x:t xml:space="preserve">2006-002438</x:t>
        </x:is>
      </x:c>
      <x:c r="B1994" s="552" t="n"/>
      <x:c r="C1994" s="552" t="inlineStr">
        <x:is>
          <x:t xml:space="preserve">Assignment of Oil and Gas Lease</x:t>
        </x:is>
      </x:c>
      <x:c r="D1994" s="552" t="inlineStr">
        <x:is>
          <x:t xml:space="preserve">1830/518</x:t>
        </x:is>
      </x:c>
      <x:c r="E1994" s="653" t="n">
        <x:v>38702</x:v>
      </x:c>
      <x:c r="F1994" s="653" t="n">
        <x:v>38806</x:v>
      </x:c>
      <x:c r="G1994" s="552" t="inlineStr">
        <x:is>
          <x:t xml:space="preserve">Jess Harris, III, Inc.
Oklahoma City, OK 73112</x:t>
        </x:is>
      </x:c>
      <x:c r="H1994" s="552" t="inlineStr">
        <x:is>
          <x:t xml:space="preserve">Newfield Exploration Mid-Continent, Inc.
110 West 7th, Ste. 1300
Tulsa, OK 74119
</x:t>
        </x:is>
      </x:c>
      <x:c r="I1994" s="552" t="inlineStr">
        <x:is>
          <x:t xml:space="preserve">E/2 NW/4 of 31-12N-24W</x:t>
        </x:is>
      </x:c>
      <x:c r="J1994" s="552" t="inlineStr">
        <x:is>
          <x:t xml:space="preserve">Assigns all right, title and interest in and to the Oil and Gas Lease recorded at 1822/576</x:t>
        </x:is>
      </x:c>
      <x:c r="K1994" s="554" t="e">
        <x:f>HYPERLINK("https://okcountyrecords.com/detail/roger+mills/2006-002438","OKCountyRecords: 2006-002438")</x:f>
      </x:c>
      <x:c r="L1994" s="552" t="n">
        <x:v>4</x:v>
      </x:c>
      <x:c r="M1994" s="552" t="inlineStr">
        <x:is>
          <x:t xml:space="preserve">Leasehold</x:t>
        </x:is>
      </x:c>
      <x:c r="N1994" s="555" t="n"/>
      <x:c r="O1994" s="556" t="n">
        <x:f>IF($L1994="","",IF(ISNUMBER(SEARCH("all",$L1994)),640,(ISNUMBER(SEARCH("1",$L1994)))*80+(ISNUMBER(SEARCH("2",$L1994)))*160+(ISNUMBER(SEARCH("3",$L1994)))*40+(ISNUMBER(SEARCH("4",$L1994)))*80+(ISNUMBER(SEARCH("5",$L1994)))*120+(ISNUMBER(SEARCH("6",$L1994)))*80+(ISNUMBER(SEARCH("7",$L1994)))*40+(ISNUMBER(SEARCH("8",$L1994)))*40))</x:f>
        <x:v>0</x:v>
      </x:c>
      <x:c r="P1994" s="654" t="str">
        <x:f>IF($M1994&lt;&gt;"Mineral","",IF(ISNUMBER($N1994),$N1994,IF(OR(ISNUMBER(SEARCH("surface",$J1994)),ISNUMBER(SEARCH("reserv",$J1994)),ISNUMBER(SEARCH("less and except",$J1994))),0,"")))</x:f>
      </x:c>
      <x:c r="Q1994" s="654" t="str">
        <x:f>IF($P1994="","",-$P1994)</x:f>
      </x:c>
      <x:c r="R1994" s="655" t="str">
        <x:f>IF($P1994="","",$O1994*$P1994)</x:f>
      </x:c>
      <x:c r="S1994" s="552" t="str">
        <x:f>IF($M1994="","",TRIM(IF($M1994="Mineral",IF(ISNUMBER($N1994),"Mineral; basis Conv Amt(dec). ",IF($P1994=0,"Mineral; surface-only/reserved-&gt;0 min. ","Mineral; NO AMOUNT-verify instrument. ")),$M1994&amp;" (non-mineral; excluded from mineral NMA). ")&amp;IF(OR(ISNUMBER(SEARCH("public",$G1994)),ISNUMBER(SEARCH("public",$H1994))),"FLAG: The Public placeholder-verify. ","")&amp;IF(ISNUMBER(SEARCH("all",$L1994)),"All-section coverage. ","")&amp;IF($O1994=0,"Gross acres unresolved. ","")&amp;"Gross=tract-map basis."))</x:f>
        <x:v>Leasehold (non-mineral; excluded from mineral NMA). Gross acres unresolved. Gross=tract-map basis.</x:v>
      </x:c>
      <x:c r="T1994" s="577" t="n"/>
      <x:c r="U1994" s="578" t="n"/>
      <x:c r="V1994" s="565" t="n"/>
      <x:c r="W1994" s="565" t="n"/>
      <x:c r="X1994" s="565" t="n"/>
      <x:c r="Y1994" s="565" t="n"/>
      <x:c r="Z1994" s="565" t="n"/>
    </x:row>
    <x:row r="1995">
      <x:c r="A1995" s="552" t="inlineStr">
        <x:is>
          <x:t xml:space="preserve">2006-000321</x:t>
        </x:is>
      </x:c>
      <x:c r="B1995" s="552" t="n">
        <x:v>36</x:v>
      </x:c>
      <x:c r="C1995" s="552" t="inlineStr">
        <x:is>
          <x:t xml:space="preserve">Oil and Gas Lease</x:t>
        </x:is>
      </x:c>
      <x:c r="D1995" s="552" t="inlineStr">
        <x:is>
          <x:t xml:space="preserve">1820/15</x:t>
        </x:is>
      </x:c>
      <x:c r="E1995" s="653" t="n">
        <x:v>38709</x:v>
      </x:c>
      <x:c r="F1995" s="653" t="n">
        <x:v>38733</x:v>
      </x:c>
      <x:c r="G1995" s="552" t="inlineStr">
        <x:is>
          <x:t xml:space="preserve">Myron V. Slobin
2216 Jennings Street
Sioux City, IA 51104</x:t>
        </x:is>
      </x:c>
      <x:c r="H1995" s="552" t="inlineStr">
        <x:is>
          <x:t xml:space="preserve">Devon Energy Production Company, LP
20 N. Broadway, Suite 1500,
Oklahoma City, OK 73102
</x:t>
        </x:is>
      </x:c>
      <x:c r="I1995" s="552" t="inlineStr">
        <x:is>
          <x:t xml:space="preserve">NW/4 SE/4, S/2 SE/4, SW/4 NE/4 of 31-12N-24W</x:t>
        </x:is>
      </x:c>
      <x:c r="J1995" s="552" t="inlineStr">
        <x:is>
          <x:t xml:space="preserve">160 gross acres
3 yrs
3/16ths royalty</x:t>
        </x:is>
      </x:c>
      <x:c r="K1995" s="554" t="e">
        <x:f>HYPERLINK("https://okcountyrecords.com/detail/roger+mills/2006-000321","OKCountyRecords: 2006-000321")</x:f>
      </x:c>
      <x:c r="L1995" s="552" t="n">
        <x:v>2</x:v>
      </x:c>
      <x:c r="M1995" s="552" t="inlineStr">
        <x:is>
          <x:t xml:space="preserve">Leasehold</x:t>
        </x:is>
      </x:c>
      <x:c r="N1995" s="555" t="n"/>
      <x:c r="O1995" s="556" t="n">
        <x:f>IF($L1995="","",IF(ISNUMBER(SEARCH("all",$L1995)),640,(ISNUMBER(SEARCH("1",$L1995)))*80+(ISNUMBER(SEARCH("2",$L1995)))*160+(ISNUMBER(SEARCH("3",$L1995)))*40+(ISNUMBER(SEARCH("4",$L1995)))*80+(ISNUMBER(SEARCH("5",$L1995)))*120+(ISNUMBER(SEARCH("6",$L1995)))*80+(ISNUMBER(SEARCH("7",$L1995)))*40+(ISNUMBER(SEARCH("8",$L1995)))*40))</x:f>
        <x:v>0</x:v>
      </x:c>
      <x:c r="P1995" s="654" t="str">
        <x:f>IF($M1995&lt;&gt;"Mineral","",IF(ISNUMBER($N1995),$N1995,IF(OR(ISNUMBER(SEARCH("surface",$J1995)),ISNUMBER(SEARCH("reserv",$J1995)),ISNUMBER(SEARCH("less and except",$J1995))),0,"")))</x:f>
      </x:c>
      <x:c r="Q1995" s="654" t="str">
        <x:f>IF($P1995="","",-$P1995)</x:f>
      </x:c>
      <x:c r="R1995" s="655" t="str">
        <x:f>IF($P1995="","",$O1995*$P1995)</x:f>
      </x:c>
      <x:c r="S1995" s="552" t="str">
        <x:f>IF($M1995="","",TRIM(IF($M1995="Mineral",IF(ISNUMBER($N1995),"Mineral; basis Conv Amt(dec). ",IF($P1995=0,"Mineral; surface-only/reserved-&gt;0 min. ","Mineral; NO AMOUNT-verify instrument. ")),$M1995&amp;" (non-mineral; excluded from mineral NMA). ")&amp;IF(OR(ISNUMBER(SEARCH("public",$G1995)),ISNUMBER(SEARCH("public",$H1995))),"FLAG: The Public placeholder-verify. ","")&amp;IF(ISNUMBER(SEARCH("all",$L1995)),"All-section coverage. ","")&amp;IF($O1995=0,"Gross acres unresolved. ","")&amp;"Gross=tract-map basis."))</x:f>
        <x:v>Leasehold (non-mineral; excluded from mineral NMA). Gross acres unresolved. Gross=tract-map basis.</x:v>
      </x:c>
      <x:c r="T1995" s="577" t="n"/>
      <x:c r="U1995" s="578" t="n"/>
      <x:c r="V1995" s="565" t="n"/>
      <x:c r="W1995" s="565" t="n"/>
      <x:c r="X1995" s="565" t="n"/>
      <x:c r="Y1995" s="565" t="n"/>
      <x:c r="Z1995" s="565" t="n"/>
    </x:row>
    <x:row r="1996">
      <x:c r="A1996" s="552" t="inlineStr">
        <x:is>
          <x:t xml:space="preserve">2006-006475</x:t>
        </x:is>
      </x:c>
      <x:c r="B1996" s="552" t="n"/>
      <x:c r="C1996" s="552" t="inlineStr">
        <x:is>
          <x:t xml:space="preserve">Stipulation of Mineral Ownership, Conveyance of Mineral Interests and Mineral Deed</x:t>
        </x:is>
      </x:c>
      <x:c r="D1996" s="552" t="inlineStr">
        <x:is>
          <x:t xml:space="preserve">1853/546</x:t>
        </x:is>
      </x:c>
      <x:c r="E1996" s="653" t="n">
        <x:v>38717</x:v>
      </x:c>
      <x:c r="F1996" s="653" t="n">
        <x:v>38982</x:v>
      </x:c>
      <x:c r="G1996" s="552" t="inlineStr">
        <x:is>
          <x:t xml:space="preserve">Leede Exploration, a Texas general partnership, 
Asarco Oil &amp; Gas Company, Inc.,
COLT Development, L.L.C., 
Roca Development, L.L.C., 
Clyde A. Pine, 
Charles D. Ray,
Robert H. Frazier, 
Jerry L. Hudgeons,
Thomas A. Morgan</x:t>
        </x:is>
      </x:c>
      <x:c r="H1996" s="552" t="inlineStr">
        <x:is>
          <x:t xml:space="preserve">O.I.L. Energy, Inc. (its successors or assigns), 2.435263 NMA, 
Asarco Oil &amp; Gas Company, Inc., 5.479341 NMA, 
Charles D. Ray, 0.063364 NMA, 
Robert H. Frazier, 0.063364 NMA, 
Clyde A. Pine, 0.063364 NMA, 
Jerry L. Hudgeons, 0.063364 NMA, 
Thomas A. Morgan, 0.063364 NMA, 
COLT Development, L.L.C.
(successor-in-interest to Consolidation of Leede Trusts), 1.851302 NMA, 
Roca Development, L.L.C., 0.862274 NMA, 
(successor-in-interest to Edward H. Leede)
Leede Exploration, 0.00 NMA</x:t>
        </x:is>
      </x:c>
      <x:c r="I1996" s="552" t="inlineStr">
        <x:is>
          <x:t xml:space="preserve">E/2 NW/4 of 31-12N-24W</x:t>
        </x:is>
      </x:c>
      <x:c r="J1996" s="552" t="inlineStr">
        <x:is>
          <x:t xml:space="preserve">10.945 NMA</x:t>
        </x:is>
      </x:c>
      <x:c r="K1996" s="554" t="e">
        <x:f>HYPERLINK("https://okcountyrecords.com/detail/roger+mills/2006-006475","OKCountyRecords: 2006-006475")</x:f>
      </x:c>
      <x:c r="L1996" s="552" t="n">
        <x:v>4</x:v>
      </x:c>
      <x:c r="M1996" s="552" t="inlineStr">
        <x:is>
          <x:t xml:space="preserve">Leasehold</x:t>
        </x:is>
      </x:c>
      <x:c r="N1996" s="555" t="n"/>
      <x:c r="O1996" s="556" t="n">
        <x:f>IF($L1996="","",IF(ISNUMBER(SEARCH("all",$L1996)),640,(ISNUMBER(SEARCH("1",$L1996)))*80+(ISNUMBER(SEARCH("2",$L1996)))*160+(ISNUMBER(SEARCH("3",$L1996)))*40+(ISNUMBER(SEARCH("4",$L1996)))*80+(ISNUMBER(SEARCH("5",$L1996)))*120+(ISNUMBER(SEARCH("6",$L1996)))*80+(ISNUMBER(SEARCH("7",$L1996)))*40+(ISNUMBER(SEARCH("8",$L1996)))*40))</x:f>
        <x:v>0</x:v>
      </x:c>
      <x:c r="P1996" s="654" t="str">
        <x:f>IF($M1996&lt;&gt;"Mineral","",IF(ISNUMBER($N1996),$N1996,IF(OR(ISNUMBER(SEARCH("surface",$J1996)),ISNUMBER(SEARCH("reserv",$J1996)),ISNUMBER(SEARCH("less and except",$J1996))),0,"")))</x:f>
      </x:c>
      <x:c r="Q1996" s="654" t="str">
        <x:f>IF($P1996="","",-$P1996)</x:f>
      </x:c>
      <x:c r="R1996" s="655" t="str">
        <x:f>IF($P1996="","",$O1996*$P1996)</x:f>
      </x:c>
      <x:c r="S1996" s="552" t="str">
        <x:f>IF($M1996="","",TRIM(IF($M1996="Mineral",IF(ISNUMBER($N1996),"Mineral; basis Conv Amt(dec). ",IF($P1996=0,"Mineral; surface-only/reserved-&gt;0 min. ","Mineral; NO AMOUNT-verify instrument. ")),$M1996&amp;" (non-mineral; excluded from mineral NMA). ")&amp;IF(OR(ISNUMBER(SEARCH("public",$G1996)),ISNUMBER(SEARCH("public",$H1996))),"FLAG: The Public placeholder-verify. ","")&amp;IF(ISNUMBER(SEARCH("all",$L1996)),"All-section coverage. ","")&amp;IF($O1996=0,"Gross acres unresolved. ","")&amp;"Gross=tract-map basis."))</x:f>
        <x:v>Leasehold (non-mineral; excluded from mineral NMA). Gross acres unresolved. Gross=tract-map basis.</x:v>
      </x:c>
      <x:c r="T1996" s="577" t="n"/>
      <x:c r="U1996" s="578" t="n"/>
      <x:c r="V1996" s="565" t="n"/>
      <x:c r="W1996" s="565" t="n"/>
      <x:c r="X1996" s="565" t="n"/>
      <x:c r="Y1996" s="565" t="n"/>
      <x:c r="Z1996" s="565" t="n"/>
    </x:row>
    <x:row r="1997">
      <x:c r="A1997" s="552" t="inlineStr">
        <x:is>
          <x:t xml:space="preserve">2006-001886</x:t>
        </x:is>
      </x:c>
      <x:c r="B1997" s="552" t="n"/>
      <x:c r="C1997" s="552" t="inlineStr">
        <x:is>
          <x:t xml:space="preserve">Memorandum of Oil and Gas Lease</x:t>
        </x:is>
      </x:c>
      <x:c r="D1997" s="552" t="inlineStr">
        <x:is>
          <x:t xml:space="preserve">1827/548</x:t>
        </x:is>
      </x:c>
      <x:c r="E1997" s="653" t="n">
        <x:v>38720</x:v>
      </x:c>
      <x:c r="F1997" s="653" t="n">
        <x:v>38785</x:v>
      </x:c>
      <x:c r="G1997" s="552" t="inlineStr">
        <x:is>
          <x:t xml:space="preserve">B. H. C. H. Mineral, Ltd.,
B. H. C. H. Properties, Ltd.
By: Bruce HC. Hill, Presidentof B.H.C.H Properties, Ltd..General Partner of B.H.C.H. Mineral, Ltd.
2601 NW Expressway, Suite 200E
Oklahoma City, OK 73112
</x:t>
        </x:is>
      </x:c>
      <x:c r="H1997" s="552" t="inlineStr">
        <x:is>
          <x:t xml:space="preserve">Jess Harris, III, Inc.
Oklahoma City, OK 73112</x:t>
        </x:is>
      </x:c>
      <x:c r="I1997" s="552" t="inlineStr">
        <x:is>
          <x:t xml:space="preserve">E/2 NW/4, N/2 NE/4 SW/4, NE/4 SE/4, SE/4 NE/4 of 31-12N-24W</x:t>
        </x:is>
      </x:c>
      <x:c r="J1997" s="552" t="inlineStr">
        <x:is>
          <x:t xml:space="preserve">3 yrs</x:t>
        </x:is>
      </x:c>
      <x:c r="K1997" s="554" t="e">
        <x:f>HYPERLINK("https://okcountyrecords.com/detail/roger+mills/2006-001886","OKCountyRecords: 2006-001886")</x:f>
      </x:c>
      <x:c r="L1997" s="552" t="inlineStr">
        <x:is>
          <x:t xml:space="preserve">1, 3, 4, 7, 8</x:t>
        </x:is>
      </x:c>
      <x:c r="M1997" s="552" t="inlineStr">
        <x:is>
          <x:t xml:space="preserve">Leasehold</x:t>
        </x:is>
      </x:c>
      <x:c r="N1997" s="561" t="n"/>
      <x:c r="O1997" s="556" t="n">
        <x:f>IF($L1997="","",IF(ISNUMBER(SEARCH("all",$L1997)),640,(ISNUMBER(SEARCH("1",$L1997)))*80+(ISNUMBER(SEARCH("2",$L1997)))*160+(ISNUMBER(SEARCH("3",$L1997)))*40+(ISNUMBER(SEARCH("4",$L1997)))*80+(ISNUMBER(SEARCH("5",$L1997)))*120+(ISNUMBER(SEARCH("6",$L1997)))*80+(ISNUMBER(SEARCH("7",$L1997)))*40+(ISNUMBER(SEARCH("8",$L1997)))*40))</x:f>
        <x:v>0</x:v>
      </x:c>
      <x:c r="P1997" s="654" t="str">
        <x:f>IF($M1997&lt;&gt;"Mineral","",IF(ISNUMBER($N1997),$N1997,IF(OR(ISNUMBER(SEARCH("surface",$J1997)),ISNUMBER(SEARCH("reserv",$J1997)),ISNUMBER(SEARCH("less and except",$J1997))),0,"")))</x:f>
      </x:c>
      <x:c r="Q1997" s="654" t="str">
        <x:f>IF($P1997="","",-$P1997)</x:f>
      </x:c>
      <x:c r="R1997" s="655" t="str">
        <x:f>IF($P1997="","",$O1997*$P1997)</x:f>
      </x:c>
      <x:c r="S1997" s="552" t="str">
        <x:f>IF($M1997="","",TRIM(IF($M1997="Mineral",IF(ISNUMBER($N1997),"Mineral; basis Conv Amt(dec). ",IF($P1997=0,"Mineral; surface-only/reserved-&gt;0 min. ","Mineral; NO AMOUNT-verify instrument. ")),$M1997&amp;" (non-mineral; excluded from mineral NMA). ")&amp;IF(OR(ISNUMBER(SEARCH("public",$G1997)),ISNUMBER(SEARCH("public",$H1997))),"FLAG: The Public placeholder-verify. ","")&amp;IF(ISNUMBER(SEARCH("all",$L1997)),"All-section coverage. ","")&amp;IF($O1997=0,"Gross acres unresolved. ","")&amp;"Gross=tract-map basis."))</x:f>
        <x:v>Leasehold (non-mineral; excluded from mineral NMA). Gross acres unresolved. Gross=tract-map basis.</x:v>
      </x:c>
      <x:c r="T1997" s="577" t="n"/>
      <x:c r="U1997" s="578" t="n"/>
      <x:c r="V1997" s="565" t="n"/>
      <x:c r="W1997" s="565" t="n"/>
      <x:c r="X1997" s="565" t="n"/>
      <x:c r="Y1997" s="565" t="n"/>
      <x:c r="Z1997" s="565" t="n"/>
    </x:row>
    <x:row r="1998">
      <x:c r="A1998" s="552" t="inlineStr">
        <x:is>
          <x:t xml:space="preserve">2006-000762</x:t>
        </x:is>
      </x:c>
      <x:c r="B1998" s="552" t="n"/>
      <x:c r="C1998" s="552" t="inlineStr">
        <x:is>
          <x:t xml:space="preserve">Assignment</x:t>
        </x:is>
      </x:c>
      <x:c r="D1998" s="552" t="inlineStr">
        <x:is>
          <x:t xml:space="preserve">1822/13</x:t>
        </x:is>
      </x:c>
      <x:c r="E1998" s="653" t="n">
        <x:v>38723</x:v>
      </x:c>
      <x:c r="F1998" s="653" t="n">
        <x:v>38749</x:v>
      </x:c>
      <x:c r="G1998" s="552" t="inlineStr">
        <x:is>
          <x:t xml:space="preserve">Kodiak Production Company</x:t>
        </x:is>
      </x:c>
      <x:c r="H1998" s="552" t="inlineStr">
        <x:is>
          <x:t xml:space="preserve">Newfield Exploration Mid-Continent, Inc.
110 West 7th, Ste. 1300
Tulsa, OK 74119
</x:t>
        </x:is>
      </x:c>
      <x:c r="I1998" s="552" t="inlineStr">
        <x:is>
          <x:t xml:space="preserve">Lots 1, 2, N/2 of Lot 3 of 31-12N-24W</x:t>
        </x:is>
      </x:c>
      <x:c r="J1998" s="552" t="inlineStr">
        <x:is>
          <x:t xml:space="preserve">Assigns all right, title and interest in and to the Oil and Gas Lease recorded 1737/581</x:t>
        </x:is>
      </x:c>
      <x:c r="K1998" s="554" t="e">
        <x:f>HYPERLINK("https://okcountyrecords.com/detail/roger+mills/2006-000762","OKCountyRecords: 2006-000762")</x:f>
      </x:c>
      <x:c r="L1998" s="552" t="n">
        <x:v>5</x:v>
      </x:c>
      <x:c r="M1998" s="552" t="inlineStr">
        <x:is>
          <x:t xml:space="preserve">Leasehold</x:t>
        </x:is>
      </x:c>
      <x:c r="N1998" s="555" t="n"/>
      <x:c r="O1998" s="556" t="n">
        <x:f>IF($L1998="","",IF(ISNUMBER(SEARCH("all",$L1998)),640,(ISNUMBER(SEARCH("1",$L1998)))*80+(ISNUMBER(SEARCH("2",$L1998)))*160+(ISNUMBER(SEARCH("3",$L1998)))*40+(ISNUMBER(SEARCH("4",$L1998)))*80+(ISNUMBER(SEARCH("5",$L1998)))*120+(ISNUMBER(SEARCH("6",$L1998)))*80+(ISNUMBER(SEARCH("7",$L1998)))*40+(ISNUMBER(SEARCH("8",$L1998)))*40))</x:f>
        <x:v>0</x:v>
      </x:c>
      <x:c r="P1998" s="654" t="str">
        <x:f>IF($M1998&lt;&gt;"Mineral","",IF(ISNUMBER($N1998),$N1998,IF(OR(ISNUMBER(SEARCH("surface",$J1998)),ISNUMBER(SEARCH("reserv",$J1998)),ISNUMBER(SEARCH("less and except",$J1998))),0,"")))</x:f>
      </x:c>
      <x:c r="Q1998" s="654" t="str">
        <x:f>IF($P1998="","",-$P1998)</x:f>
      </x:c>
      <x:c r="R1998" s="655" t="str">
        <x:f>IF($P1998="","",$O1998*$P1998)</x:f>
      </x:c>
      <x:c r="S1998" s="552" t="str">
        <x:f>IF($M1998="","",TRIM(IF($M1998="Mineral",IF(ISNUMBER($N1998),"Mineral; basis Conv Amt(dec). ",IF($P1998=0,"Mineral; surface-only/reserved-&gt;0 min. ","Mineral; NO AMOUNT-verify instrument. ")),$M1998&amp;" (non-mineral; excluded from mineral NMA). ")&amp;IF(OR(ISNUMBER(SEARCH("public",$G1998)),ISNUMBER(SEARCH("public",$H1998))),"FLAG: The Public placeholder-verify. ","")&amp;IF(ISNUMBER(SEARCH("all",$L1998)),"All-section coverage. ","")&amp;IF($O1998=0,"Gross acres unresolved. ","")&amp;"Gross=tract-map basis."))</x:f>
        <x:v>Leasehold (non-mineral; excluded from mineral NMA). Gross acres unresolved. Gross=tract-map basis.</x:v>
      </x:c>
      <x:c r="T1998" s="577" t="n"/>
      <x:c r="U1998" s="578" t="n"/>
      <x:c r="V1998" s="565" t="n"/>
      <x:c r="W1998" s="565" t="n"/>
      <x:c r="X1998" s="565" t="n"/>
      <x:c r="Y1998" s="565" t="n"/>
      <x:c r="Z1998" s="565" t="n"/>
    </x:row>
    <x:row r="1999">
      <x:c r="A1999" s="552" t="inlineStr">
        <x:is>
          <x:t xml:space="preserve">2006-000583</x:t>
        </x:is>
      </x:c>
      <x:c r="B1999" s="552" t="n">
        <x:v>37</x:v>
      </x:c>
      <x:c r="C1999" s="552" t="inlineStr">
        <x:is>
          <x:t xml:space="preserve">Oil and Gas Lease</x:t>
        </x:is>
      </x:c>
      <x:c r="D1999" s="552" t="inlineStr">
        <x:is>
          <x:t xml:space="preserve">1821/92</x:t>
        </x:is>
      </x:c>
      <x:c r="E1999" s="653" t="n">
        <x:v>38726</x:v>
      </x:c>
      <x:c r="F1999" s="653" t="n">
        <x:v>38742</x:v>
      </x:c>
      <x:c r="G1999" s="552" t="inlineStr">
        <x:is>
          <x:t xml:space="preserve">Anna Tamise Gibson
P.O. Box 16913
Wichita, KS 67216
</x:t>
        </x:is>
      </x:c>
      <x:c r="H1999" s="552" t="inlineStr">
        <x:is>
          <x:t xml:space="preserve">Devon Energy Production Company, LP
20 N. Broadway, Suite 1500,
Oklahoma City, OK 73102
</x:t>
        </x:is>
      </x:c>
      <x:c r="I1999" s="552" t="inlineStr">
        <x:is>
          <x:t xml:space="preserve">NW/4 SE/4, S/2 SE/4, SW/4 NE/4 of 31-12N-24W</x:t>
        </x:is>
      </x:c>
      <x:c r="J1999" s="552" t="inlineStr">
        <x:is>
          <x:t xml:space="preserve">160 gross acres
3 yrs
3/16ths royalty</x:t>
        </x:is>
      </x:c>
      <x:c r="K1999" s="554" t="e">
        <x:f>HYPERLINK("https://okcountyrecords.com/detail/roger+mills/2006-000583","OKCountyRecords: 2006-000583")</x:f>
      </x:c>
      <x:c r="L1999" s="552" t="n">
        <x:v>2</x:v>
      </x:c>
      <x:c r="M1999" s="552" t="inlineStr">
        <x:is>
          <x:t xml:space="preserve">Leasehold</x:t>
        </x:is>
      </x:c>
      <x:c r="N1999" s="555" t="n"/>
      <x:c r="O1999" s="556" t="n">
        <x:f>IF($L1999="","",IF(ISNUMBER(SEARCH("all",$L1999)),640,(ISNUMBER(SEARCH("1",$L1999)))*80+(ISNUMBER(SEARCH("2",$L1999)))*160+(ISNUMBER(SEARCH("3",$L1999)))*40+(ISNUMBER(SEARCH("4",$L1999)))*80+(ISNUMBER(SEARCH("5",$L1999)))*120+(ISNUMBER(SEARCH("6",$L1999)))*80+(ISNUMBER(SEARCH("7",$L1999)))*40+(ISNUMBER(SEARCH("8",$L1999)))*40))</x:f>
        <x:v>0</x:v>
      </x:c>
      <x:c r="P1999" s="654" t="str">
        <x:f>IF($M1999&lt;&gt;"Mineral","",IF(ISNUMBER($N1999),$N1999,IF(OR(ISNUMBER(SEARCH("surface",$J1999)),ISNUMBER(SEARCH("reserv",$J1999)),ISNUMBER(SEARCH("less and except",$J1999))),0,"")))</x:f>
      </x:c>
      <x:c r="Q1999" s="654" t="str">
        <x:f>IF($P1999="","",-$P1999)</x:f>
      </x:c>
      <x:c r="R1999" s="655" t="str">
        <x:f>IF($P1999="","",$O1999*$P1999)</x:f>
      </x:c>
      <x:c r="S1999" s="552" t="str">
        <x:f>IF($M1999="","",TRIM(IF($M1999="Mineral",IF(ISNUMBER($N1999),"Mineral; basis Conv Amt(dec). ",IF($P1999=0,"Mineral; surface-only/reserved-&gt;0 min. ","Mineral; NO AMOUNT-verify instrument. ")),$M1999&amp;" (non-mineral; excluded from mineral NMA). ")&amp;IF(OR(ISNUMBER(SEARCH("public",$G1999)),ISNUMBER(SEARCH("public",$H1999))),"FLAG: The Public placeholder-verify. ","")&amp;IF(ISNUMBER(SEARCH("all",$L1999)),"All-section coverage. ","")&amp;IF($O1999=0,"Gross acres unresolved. ","")&amp;"Gross=tract-map basis."))</x:f>
        <x:v>Leasehold (non-mineral; excluded from mineral NMA). Gross acres unresolved. Gross=tract-map basis.</x:v>
      </x:c>
      <x:c r="T1999" s="577" t="n"/>
      <x:c r="U1999" s="578" t="n"/>
      <x:c r="V1999" s="565" t="n"/>
      <x:c r="W1999" s="565" t="n"/>
      <x:c r="X1999" s="565" t="n"/>
      <x:c r="Y1999" s="565" t="n"/>
      <x:c r="Z1999" s="565" t="n"/>
    </x:row>
    <x:row r="2000">
      <x:c r="A2000" s="552" t="inlineStr">
        <x:is>
          <x:t xml:space="preserve">2006-000870</x:t>
        </x:is>
      </x:c>
      <x:c r="B2000" s="552" t="n"/>
      <x:c r="C2000" s="552" t="inlineStr">
        <x:is>
          <x:t xml:space="preserve">Correction Mineral Deed</x:t>
        </x:is>
      </x:c>
      <x:c r="D2000" s="552" t="inlineStr">
        <x:is>
          <x:t xml:space="preserve">1822/291</x:t>
        </x:is>
      </x:c>
      <x:c r="E2000" s="653" t="n">
        <x:v>38733</x:v>
      </x:c>
      <x:c r="F2000" s="653" t="n">
        <x:v>38751</x:v>
      </x:c>
      <x:c r="G2000" s="552" t="inlineStr">
        <x:is>
          <x:t xml:space="preserve">Arrowhead Resources, Inc.</x:t>
        </x:is>
      </x:c>
      <x:c r="H2000" s="552" t="inlineStr">
        <x:is>
          <x:t xml:space="preserve">MAP2004-OK</x:t>
        </x:is>
      </x:c>
      <x:c r="I2000" s="552" t="inlineStr">
        <x:is>
          <x:t xml:space="preserve">SE/4 SW/4 of 31-12N-24W</x:t>
        </x:is>
      </x:c>
      <x:c r="J2000" s="552" t="inlineStr">
        <x:is>
          <x:t xml:space="preserve">An undivided 2.5 net mineral acre interest,
This deeds corrects that certain Mineral Deed filed in Book 1800 at page 453. It is the intention of the Grantor herein, to convey an undivided 2.5 net mineral acres in the above described lands, acquired from Oleta Florene Flanagan, formerly Stewart, a/k/a Oleta Florene Wylie, mineral deed filed in Book 1688, at page 374.</x:t>
        </x:is>
      </x:c>
      <x:c r="K2000" s="554" t="e">
        <x:f>HYPERLINK("https://okcountyrecords.com/detail/roger+mills/2006-000870","OKCountyRecords: 2006-000870")</x:f>
      </x:c>
      <x:c r="L2000" s="552" t="n">
        <x:v>5</x:v>
      </x:c>
      <x:c r="M2000" s="552" t="inlineStr">
        <x:is>
          <x:t xml:space="preserve">Mineral</x:t>
        </x:is>
      </x:c>
      <x:c r="N2000" s="555" t="str">
        <x:f>IF(O2000&gt;0,2.5/O2000,"")</x:f>
      </x:c>
      <x:c r="O2000" s="556" t="n">
        <x:f>IF($L2000="","",IF(ISNUMBER(SEARCH("all",$L2000)),640,(ISNUMBER(SEARCH("1",$L2000)))*80+(ISNUMBER(SEARCH("2",$L2000)))*160+(ISNUMBER(SEARCH("3",$L2000)))*40+(ISNUMBER(SEARCH("4",$L2000)))*80+(ISNUMBER(SEARCH("5",$L2000)))*120+(ISNUMBER(SEARCH("6",$L2000)))*80+(ISNUMBER(SEARCH("7",$L2000)))*40+(ISNUMBER(SEARCH("8",$L2000)))*40))</x:f>
        <x:v>0</x:v>
      </x:c>
      <x:c r="P2000" s="654" t="str">
        <x:f>IF($M2000&lt;&gt;"Mineral","",IF(ISNUMBER($N2000),$N2000,IF(OR(ISNUMBER(SEARCH("surface",$J2000)),ISNUMBER(SEARCH("reserv",$J2000)),ISNUMBER(SEARCH("less and except",$J2000))),0,"")))</x:f>
      </x:c>
      <x:c r="Q2000" s="654" t="str">
        <x:f>IF($P2000="","",-$P2000)</x:f>
      </x:c>
      <x:c r="R2000" s="655" t="str">
        <x:f>IF($P2000="","",$O2000*$P2000)</x:f>
      </x:c>
      <x:c r="S2000" s="552" t="str">
        <x:f>IF($M2000="","",TRIM(IF($M2000="Mineral",IF(ISNUMBER($N2000),"Mineral; basis Conv Amt(dec). ",IF($P2000=0,"Mineral; surface-only/reserved-&gt;0 min. ","Mineral; VERIFY — NEED full instrument image for conveyed amount. ")),$M2000&amp;" (non-mineral; excluded from mineral NMA). ")&amp;IF(OR(ISNUMBER(SEARCH("public",$G2000)),ISNUMBER(SEARCH("public",$H2000))),"FLAG: The Public placeholder; VERIFY — NEED source confirmation. ","")&amp;IF(ISNUMBER(SEARCH("all",$L2000)),"All-section coverage. ","")&amp;IF($O2000=0,"Gross acres unresolved. ","")&amp;"Gross=tract-map basis."))</x:f>
        <x:v>Mineral; surface-only/reserved-&gt;0 min. Gross acres unresolved. Gross=tract-map basis.</x:v>
      </x:c>
      <x:c r="T2000" s="577" t="inlineStr">
        <x:is>
          <x:t xml:space="preserve">REVIEW</x:t>
        </x:is>
      </x:c>
      <x:c r="U2000" s="578" t="inlineStr">
        <x:is>
          <x:t xml:space="preserve">Conveys 2.5 NMA per notes; conv. dec = 2.5/gross. Verify denominator/tract from image.</x:t>
        </x:is>
      </x:c>
      <x:c r="V2000" s="565" t="n"/>
      <x:c r="W2000" s="565" t="n"/>
      <x:c r="X2000" s="565" t="n"/>
      <x:c r="Y2000" s="565" t="n"/>
      <x:c r="Z2000" s="565" t="n"/>
    </x:row>
    <x:row r="2001">
      <x:c r="A2001" s="552" t="inlineStr">
        <x:is>
          <x:t xml:space="preserve">2006-000702</x:t>
        </x:is>
      </x:c>
      <x:c r="B2001" s="552" t="n">
        <x:v>38</x:v>
      </x:c>
      <x:c r="C2001" s="552" t="inlineStr">
        <x:is>
          <x:t xml:space="preserve">Oil and Gas Lease</x:t>
        </x:is>
      </x:c>
      <x:c r="D2001" s="552" t="inlineStr">
        <x:is>
          <x:t xml:space="preserve">1821/465</x:t>
        </x:is>
      </x:c>
      <x:c r="E2001" s="653" t="n">
        <x:v>38733</x:v>
      </x:c>
      <x:c r="F2001" s="653" t="n">
        <x:v>38747</x:v>
      </x:c>
      <x:c r="G2001" s="552" t="inlineStr">
        <x:is>
          <x:t xml:space="preserve">James M. Robertson and Rose Elaine Robertson
18402 310th Street
Norman, OK 73072
</x:t>
        </x:is>
      </x:c>
      <x:c r="H2001" s="552" t="inlineStr">
        <x:is>
          <x:t xml:space="preserve">Devon Energy Production Company, LP
20 N. Broadway, Suite 1500,
Oklahoma City, OK 73102
</x:t>
        </x:is>
      </x:c>
      <x:c r="I2001" s="552" t="inlineStr">
        <x:is>
          <x:t xml:space="preserve">NW/4 SE/4, S/2 SE/4, SW/4 NE/4 of 31-12N-24W</x:t>
        </x:is>
      </x:c>
      <x:c r="J2001" s="552" t="inlineStr">
        <x:is>
          <x:t xml:space="preserve">160 gross acres
18 months
1/4th royalty</x:t>
        </x:is>
      </x:c>
      <x:c r="K2001" s="554" t="e">
        <x:f>HYPERLINK("https://okcountyrecords.com/detail/roger+mills/2006-000702","OKCountyRecords: 2006-000702")</x:f>
      </x:c>
      <x:c r="L2001" s="552" t="n">
        <x:v>2</x:v>
      </x:c>
      <x:c r="M2001" s="552" t="inlineStr">
        <x:is>
          <x:t xml:space="preserve">Leasehold</x:t>
        </x:is>
      </x:c>
      <x:c r="N2001" s="555" t="n"/>
      <x:c r="O2001" s="556" t="n">
        <x:f>IF($L2001="","",IF(ISNUMBER(SEARCH("all",$L2001)),640,(ISNUMBER(SEARCH("1",$L2001)))*80+(ISNUMBER(SEARCH("2",$L2001)))*160+(ISNUMBER(SEARCH("3",$L2001)))*40+(ISNUMBER(SEARCH("4",$L2001)))*80+(ISNUMBER(SEARCH("5",$L2001)))*120+(ISNUMBER(SEARCH("6",$L2001)))*80+(ISNUMBER(SEARCH("7",$L2001)))*40+(ISNUMBER(SEARCH("8",$L2001)))*40))</x:f>
        <x:v>0</x:v>
      </x:c>
      <x:c r="P2001" s="654" t="str">
        <x:f>IF($M2001&lt;&gt;"Mineral","",IF(ISNUMBER($N2001),$N2001,IF(OR(ISNUMBER(SEARCH("surface",$J2001)),ISNUMBER(SEARCH("reserv",$J2001)),ISNUMBER(SEARCH("less and except",$J2001))),0,"")))</x:f>
      </x:c>
      <x:c r="Q2001" s="654" t="str">
        <x:f>IF($P2001="","",-$P2001)</x:f>
      </x:c>
      <x:c r="R2001" s="655" t="str">
        <x:f>IF($P2001="","",$O2001*$P2001)</x:f>
      </x:c>
      <x:c r="S2001" s="552" t="str">
        <x:f>IF($M2001="","",TRIM(IF($M2001="Mineral",IF(ISNUMBER($N2001),"Mineral; basis Conv Amt(dec). ",IF($P2001=0,"Mineral; surface-only/reserved-&gt;0 min. ","Mineral; NO AMOUNT-verify instrument. ")),$M2001&amp;" (non-mineral; excluded from mineral NMA). ")&amp;IF(OR(ISNUMBER(SEARCH("public",$G2001)),ISNUMBER(SEARCH("public",$H2001))),"FLAG: The Public placeholder-verify. ","")&amp;IF(ISNUMBER(SEARCH("all",$L2001)),"All-section coverage. ","")&amp;IF($O2001=0,"Gross acres unresolved. ","")&amp;"Gross=tract-map basis."))</x:f>
        <x:v>Leasehold (non-mineral; excluded from mineral NMA). Gross acres unresolved. Gross=tract-map basis.</x:v>
      </x:c>
      <x:c r="T2001" s="577" t="n"/>
      <x:c r="U2001" s="578" t="n"/>
      <x:c r="V2001" s="565" t="n"/>
      <x:c r="W2001" s="565" t="n"/>
      <x:c r="X2001" s="565" t="n"/>
      <x:c r="Y2001" s="565" t="n"/>
      <x:c r="Z2001" s="565" t="n"/>
    </x:row>
    <x:row r="2002">
      <x:c r="A2002" s="552" t="inlineStr">
        <x:is>
          <x:t xml:space="preserve">2006-002915</x:t>
        </x:is>
      </x:c>
      <x:c r="B2002" s="552" t="n"/>
      <x:c r="C2002" s="552" t="inlineStr">
        <x:is>
          <x:t xml:space="preserve">Oil and Gas Lease</x:t>
        </x:is>
      </x:c>
      <x:c r="D2002" s="552" t="inlineStr">
        <x:is>
          <x:t xml:space="preserve">1833/218</x:t>
        </x:is>
      </x:c>
      <x:c r="E2002" s="653" t="n">
        <x:v>38734</x:v>
      </x:c>
      <x:c r="F2002" s="653" t="n">
        <x:v>38824</x:v>
      </x:c>
      <x:c r="G2002" s="552" t="inlineStr">
        <x:is>
          <x:t xml:space="preserve">Ella Pearl Kirk
Box 512
Cheyenne, OK 73628</x:t>
        </x:is>
      </x:c>
      <x:c r="H2002" s="552" t="inlineStr">
        <x:is>
          <x:t xml:space="preserve">Jess Harris, III, Inc.
2601 NW Expressway, Suite 200E
Oklahoma City, OK 73112
</x:t>
        </x:is>
      </x:c>
      <x:c r="I2002" s="552" t="inlineStr">
        <x:is>
          <x:t xml:space="preserve">The South 32.80 acres in a tract of land described as W. 18.20 chains (72 8/10 Rods) of Lots 1 &amp; 2 ADA W 18.20 chains (or 72 8/10 Rods) of W/2 NW/4 &amp; W 18.20 chains (or 72 8/10 Rods) of N/2 of Lot 3 ADA W 18.20 chains (or 72 8/10 Rods) of N/2 NW/4 SW/4 of 31-12N-24W</x:t>
        </x:is>
      </x:c>
      <x:c r="J2002" s="552" t="inlineStr">
        <x:is>
          <x:t xml:space="preserve">32.80 gross acres
Three (3) Years</x:t>
        </x:is>
      </x:c>
      <x:c r="K2002" s="554" t="e">
        <x:f>HYPERLINK("https://okcountyrecords.com/detail/roger+mills/2006-002915","OKCountyRecords: 2006-002915")</x:f>
      </x:c>
      <x:c r="L2002" s="552" t="n">
        <x:v>5</x:v>
      </x:c>
      <x:c r="M2002" s="552" t="inlineStr">
        <x:is>
          <x:t xml:space="preserve">Leasehold</x:t>
        </x:is>
      </x:c>
      <x:c r="N2002" s="555" t="n"/>
      <x:c r="O2002" s="556" t="n">
        <x:f>IF($L2002="","",IF(ISNUMBER(SEARCH("all",$L2002)),640,(ISNUMBER(SEARCH("1",$L2002)))*80+(ISNUMBER(SEARCH("2",$L2002)))*160+(ISNUMBER(SEARCH("3",$L2002)))*40+(ISNUMBER(SEARCH("4",$L2002)))*80+(ISNUMBER(SEARCH("5",$L2002)))*120+(ISNUMBER(SEARCH("6",$L2002)))*80+(ISNUMBER(SEARCH("7",$L2002)))*40+(ISNUMBER(SEARCH("8",$L2002)))*40))</x:f>
        <x:v>0</x:v>
      </x:c>
      <x:c r="P2002" s="654" t="str">
        <x:f>IF($M2002&lt;&gt;"Mineral","",IF(ISNUMBER($N2002),$N2002,IF(OR(ISNUMBER(SEARCH("surface",$J2002)),ISNUMBER(SEARCH("reserv",$J2002)),ISNUMBER(SEARCH("less and except",$J2002))),0,"")))</x:f>
      </x:c>
      <x:c r="Q2002" s="654" t="str">
        <x:f>IF($P2002="","",-$P2002)</x:f>
      </x:c>
      <x:c r="R2002" s="655" t="str">
        <x:f>IF($P2002="","",$O2002*$P2002)</x:f>
      </x:c>
      <x:c r="S2002" s="552" t="str">
        <x:f>IF($M2002="","",TRIM(IF($M2002="Mineral",IF(ISNUMBER($N2002),"Mineral; basis Conv Amt(dec). ",IF($P2002=0,"Mineral; surface-only/reserved-&gt;0 min. ","Mineral; NO AMOUNT-verify instrument. ")),$M2002&amp;" (non-mineral; excluded from mineral NMA). ")&amp;IF(OR(ISNUMBER(SEARCH("public",$G2002)),ISNUMBER(SEARCH("public",$H2002))),"FLAG: The Public placeholder-verify. ","")&amp;IF(ISNUMBER(SEARCH("all",$L2002)),"All-section coverage. ","")&amp;IF($O2002=0,"Gross acres unresolved. ","")&amp;"Gross=tract-map basis."))</x:f>
        <x:v>Leasehold (non-mineral; excluded from mineral NMA). Gross acres unresolved. Gross=tract-map basis.</x:v>
      </x:c>
      <x:c r="T2002" s="577" t="n"/>
      <x:c r="U2002" s="578" t="n"/>
      <x:c r="V2002" s="565" t="n"/>
      <x:c r="W2002" s="565" t="n"/>
      <x:c r="X2002" s="565" t="n"/>
      <x:c r="Y2002" s="565" t="n"/>
      <x:c r="Z2002" s="565" t="n"/>
    </x:row>
    <x:row r="2003">
      <x:c r="A2003" s="552" t="inlineStr">
        <x:is>
          <x:t xml:space="preserve">2006-001930</x:t>
        </x:is>
      </x:c>
      <x:c r="B2003" s="552" t="n"/>
      <x:c r="C2003" s="552" t="inlineStr">
        <x:is>
          <x:t xml:space="preserve">Assignment of Oil and Gas Lease</x:t>
        </x:is>
      </x:c>
      <x:c r="D2003" s="552" t="inlineStr">
        <x:is>
          <x:t xml:space="preserve">1828/302</x:t>
        </x:is>
      </x:c>
      <x:c r="E2003" s="653" t="n">
        <x:v>38737</x:v>
      </x:c>
      <x:c r="F2003" s="653" t="n">
        <x:v>38789</x:v>
      </x:c>
      <x:c r="G2003" s="552" t="inlineStr">
        <x:is>
          <x:t xml:space="preserve">Jess Harris, III, Inc.
Oklahoma City, OK 73112</x:t>
        </x:is>
      </x:c>
      <x:c r="H2003" s="552" t="inlineStr">
        <x:is>
          <x:t xml:space="preserve">Newfield Exploration Mid-Continent, Inc.
110 West 7th, Ste. 1300
Tulsa, OK 74119
</x:t>
        </x:is>
      </x:c>
      <x:c r="I2003" s="552" t="inlineStr">
        <x:is>
          <x:t xml:space="preserve">E/2 NW/4 of 31-12N-24W</x:t>
        </x:is>
      </x:c>
      <x:c r="J2003" s="552" t="inlineStr">
        <x:is>
          <x:t xml:space="preserve">Assigns all right, title and interest in and to the Oil and Gas Lease recorded at 1822/562</x:t>
        </x:is>
      </x:c>
      <x:c r="K2003" s="554" t="e">
        <x:f>HYPERLINK("https://okcountyrecords.com/detail/roger+mills/2006-001930","OKCountyRecords: 2006-001930")</x:f>
      </x:c>
      <x:c r="L2003" s="552" t="n">
        <x:v>4</x:v>
      </x:c>
      <x:c r="M2003" s="552" t="inlineStr">
        <x:is>
          <x:t xml:space="preserve">Leasehold</x:t>
        </x:is>
      </x:c>
      <x:c r="N2003" s="555" t="n"/>
      <x:c r="O2003" s="556" t="n">
        <x:f>IF($L2003="","",IF(ISNUMBER(SEARCH("all",$L2003)),640,(ISNUMBER(SEARCH("1",$L2003)))*80+(ISNUMBER(SEARCH("2",$L2003)))*160+(ISNUMBER(SEARCH("3",$L2003)))*40+(ISNUMBER(SEARCH("4",$L2003)))*80+(ISNUMBER(SEARCH("5",$L2003)))*120+(ISNUMBER(SEARCH("6",$L2003)))*80+(ISNUMBER(SEARCH("7",$L2003)))*40+(ISNUMBER(SEARCH("8",$L2003)))*40))</x:f>
        <x:v>0</x:v>
      </x:c>
      <x:c r="P2003" s="654" t="str">
        <x:f>IF($M2003&lt;&gt;"Mineral","",IF(ISNUMBER($N2003),$N2003,IF(OR(ISNUMBER(SEARCH("surface",$J2003)),ISNUMBER(SEARCH("reserv",$J2003)),ISNUMBER(SEARCH("less and except",$J2003))),0,"")))</x:f>
      </x:c>
      <x:c r="Q2003" s="654" t="str">
        <x:f>IF($P2003="","",-$P2003)</x:f>
      </x:c>
      <x:c r="R2003" s="655" t="str">
        <x:f>IF($P2003="","",$O2003*$P2003)</x:f>
      </x:c>
      <x:c r="S2003" s="552" t="str">
        <x:f>IF($M2003="","",TRIM(IF($M2003="Mineral",IF(ISNUMBER($N2003),"Mineral; basis Conv Amt(dec). ",IF($P2003=0,"Mineral; surface-only/reserved-&gt;0 min. ","Mineral; NO AMOUNT-verify instrument. ")),$M2003&amp;" (non-mineral; excluded from mineral NMA). ")&amp;IF(OR(ISNUMBER(SEARCH("public",$G2003)),ISNUMBER(SEARCH("public",$H2003))),"FLAG: The Public placeholder-verify. ","")&amp;IF(ISNUMBER(SEARCH("all",$L2003)),"All-section coverage. ","")&amp;IF($O2003=0,"Gross acres unresolved. ","")&amp;"Gross=tract-map basis."))</x:f>
        <x:v>Leasehold (non-mineral; excluded from mineral NMA). Gross acres unresolved. Gross=tract-map basis.</x:v>
      </x:c>
      <x:c r="T2003" s="577" t="n"/>
      <x:c r="U2003" s="578" t="n"/>
      <x:c r="V2003" s="565" t="n"/>
      <x:c r="W2003" s="565" t="n"/>
      <x:c r="X2003" s="565" t="n"/>
      <x:c r="Y2003" s="565" t="n"/>
      <x:c r="Z2003" s="565" t="n"/>
    </x:row>
    <x:row r="2004">
      <x:c r="A2004" s="552" t="inlineStr">
        <x:is>
          <x:t xml:space="preserve">2006-002590</x:t>
        </x:is>
      </x:c>
      <x:c r="B2004" s="552" t="n"/>
      <x:c r="C2004" s="552" t="inlineStr">
        <x:is>
          <x:t xml:space="preserve">Assignment of Oil and Gas Lease</x:t>
        </x:is>
      </x:c>
      <x:c r="D2004" s="552" t="inlineStr">
        <x:is>
          <x:t xml:space="preserve">1831/229</x:t>
        </x:is>
      </x:c>
      <x:c r="E2004" s="653" t="n">
        <x:v>38748</x:v>
      </x:c>
      <x:c r="F2004" s="653" t="n">
        <x:v>38810</x:v>
      </x:c>
      <x:c r="G2004" s="552" t="inlineStr">
        <x:is>
          <x:t xml:space="preserve">Fleshman Agency, Inc.</x:t>
        </x:is>
      </x:c>
      <x:c r="H2004" s="552" t="inlineStr">
        <x:is>
          <x:t xml:space="preserve">Newfield Exploration Mid-Continent, Inc.
110 West 7th, Ste. 1300
Tulsa, OK 74119
</x:t>
        </x:is>
      </x:c>
      <x:c r="I2004" s="552" t="inlineStr">
        <x:is>
          <x:t xml:space="preserve">E/2 NW/4, N/2 NE/4 SW/4, NE/4 SE/4, SE/4 NE/4 of 31-12N-24W</x:t>
        </x:is>
      </x:c>
      <x:c r="J2004" s="552" t="inlineStr">
        <x:is>
          <x:t xml:space="preserve">Assigns all right, title and interest in and to the Oil and Gas Lease recorded at 1810/310</x:t>
        </x:is>
      </x:c>
      <x:c r="K2004" s="554" t="e">
        <x:f>HYPERLINK("https://okcountyrecords.com/detail/roger+mills/2006-002590","OKCountyRecords: 2006-002590")</x:f>
      </x:c>
      <x:c r="L2004" s="552" t="inlineStr">
        <x:is>
          <x:t xml:space="preserve">1, 3, 4, 7, 8</x:t>
        </x:is>
      </x:c>
      <x:c r="M2004" s="552" t="inlineStr">
        <x:is>
          <x:t xml:space="preserve">Leasehold</x:t>
        </x:is>
      </x:c>
      <x:c r="N2004" s="561" t="n"/>
      <x:c r="O2004" s="556" t="n">
        <x:f>IF($L2004="","",IF(ISNUMBER(SEARCH("all",$L2004)),640,(ISNUMBER(SEARCH("1",$L2004)))*80+(ISNUMBER(SEARCH("2",$L2004)))*160+(ISNUMBER(SEARCH("3",$L2004)))*40+(ISNUMBER(SEARCH("4",$L2004)))*80+(ISNUMBER(SEARCH("5",$L2004)))*120+(ISNUMBER(SEARCH("6",$L2004)))*80+(ISNUMBER(SEARCH("7",$L2004)))*40+(ISNUMBER(SEARCH("8",$L2004)))*40))</x:f>
        <x:v>0</x:v>
      </x:c>
      <x:c r="P2004" s="654" t="str">
        <x:f>IF($M2004&lt;&gt;"Mineral","",IF(ISNUMBER($N2004),$N2004,IF(OR(ISNUMBER(SEARCH("surface",$J2004)),ISNUMBER(SEARCH("reserv",$J2004)),ISNUMBER(SEARCH("less and except",$J2004))),0,"")))</x:f>
      </x:c>
      <x:c r="Q2004" s="654" t="str">
        <x:f>IF($P2004="","",-$P2004)</x:f>
      </x:c>
      <x:c r="R2004" s="655" t="str">
        <x:f>IF($P2004="","",$O2004*$P2004)</x:f>
      </x:c>
      <x:c r="S2004" s="552" t="str">
        <x:f>IF($M2004="","",TRIM(IF($M2004="Mineral",IF(ISNUMBER($N2004),"Mineral; basis Conv Amt(dec). ",IF($P2004=0,"Mineral; surface-only/reserved-&gt;0 min. ","Mineral; NO AMOUNT-verify instrument. ")),$M2004&amp;" (non-mineral; excluded from mineral NMA). ")&amp;IF(OR(ISNUMBER(SEARCH("public",$G2004)),ISNUMBER(SEARCH("public",$H2004))),"FLAG: The Public placeholder-verify. ","")&amp;IF(ISNUMBER(SEARCH("all",$L2004)),"All-section coverage. ","")&amp;IF($O2004=0,"Gross acres unresolved. ","")&amp;"Gross=tract-map basis."))</x:f>
        <x:v>Leasehold (non-mineral; excluded from mineral NMA). Gross acres unresolved. Gross=tract-map basis.</x:v>
      </x:c>
      <x:c r="T2004" s="577" t="n"/>
      <x:c r="U2004" s="578" t="n"/>
      <x:c r="V2004" s="565" t="n"/>
      <x:c r="W2004" s="565" t="n"/>
      <x:c r="X2004" s="565" t="n"/>
      <x:c r="Y2004" s="565" t="n"/>
      <x:c r="Z2004" s="565" t="n"/>
    </x:row>
    <x:row r="2005">
      <x:c r="A2005" s="552" t="inlineStr">
        <x:is>
          <x:t xml:space="preserve">2006-001349</x:t>
        </x:is>
      </x:c>
      <x:c r="B2005" s="552" t="n"/>
      <x:c r="C2005" s="552" t="inlineStr">
        <x:is>
          <x:t xml:space="preserve">Assignment of Oil and Gas Lease</x:t>
        </x:is>
      </x:c>
      <x:c r="D2005" s="552" t="inlineStr">
        <x:is>
          <x:t xml:space="preserve">1825/37</x:t>
        </x:is>
      </x:c>
      <x:c r="E2005" s="653" t="n">
        <x:v>38748</x:v>
      </x:c>
      <x:c r="F2005" s="653" t="n">
        <x:v>38765</x:v>
      </x:c>
      <x:c r="G2005" s="552" t="inlineStr">
        <x:is>
          <x:t xml:space="preserve">Todco Properties, Inc.</x:t>
        </x:is>
      </x:c>
      <x:c r="H2005" s="552" t="inlineStr">
        <x:is>
          <x:t xml:space="preserve">Samson Resources Company
Samson Plaza, Two West Second Street
Tulsa, OK 74103-3103
</x:t>
        </x:is>
      </x:c>
      <x:c r="I2005" s="552" t="inlineStr">
        <x:is>
          <x:t xml:space="preserve">E/2 NW/4, N/2 NE/4, NE/4 SE/4, NW/4 SE/4, S/2 NE/4, SE/4 NE/4, SW/4 NE/4 of 31-12N-24W</x:t>
        </x:is>
      </x:c>
      <x:c r="J2005" s="552" t="inlineStr">
        <x:is>
          <x:t xml:space="preserve">ARTI in OGLs at 1817/386, 1817/388</x:t>
        </x:is>
      </x:c>
      <x:c r="K2005" s="554" t="e">
        <x:f>HYPERLINK("https://okcountyrecords.com/detail/roger+mills/2006-001349","OKCountyRecords: 2006-001349")</x:f>
      </x:c>
      <x:c r="L2005" s="552" t="inlineStr">
        <x:is>
          <x:t xml:space="preserve">1, 2, 3, 4, 8</x:t>
        </x:is>
      </x:c>
      <x:c r="M2005" s="552" t="inlineStr">
        <x:is>
          <x:t xml:space="preserve">Leasehold</x:t>
        </x:is>
      </x:c>
      <x:c r="N2005" s="561" t="n"/>
      <x:c r="O2005" s="556" t="n">
        <x:f>IF($L2005="","",IF(ISNUMBER(SEARCH("all",$L2005)),640,(ISNUMBER(SEARCH("1",$L2005)))*80+(ISNUMBER(SEARCH("2",$L2005)))*160+(ISNUMBER(SEARCH("3",$L2005)))*40+(ISNUMBER(SEARCH("4",$L2005)))*80+(ISNUMBER(SEARCH("5",$L2005)))*120+(ISNUMBER(SEARCH("6",$L2005)))*80+(ISNUMBER(SEARCH("7",$L2005)))*40+(ISNUMBER(SEARCH("8",$L2005)))*40))</x:f>
        <x:v>0</x:v>
      </x:c>
      <x:c r="P2005" s="654" t="str">
        <x:f>IF($M2005&lt;&gt;"Mineral","",IF(ISNUMBER($N2005),$N2005,IF(OR(ISNUMBER(SEARCH("surface",$J2005)),ISNUMBER(SEARCH("reserv",$J2005)),ISNUMBER(SEARCH("less and except",$J2005))),0,"")))</x:f>
      </x:c>
      <x:c r="Q2005" s="654" t="str">
        <x:f>IF($P2005="","",-$P2005)</x:f>
      </x:c>
      <x:c r="R2005" s="655" t="str">
        <x:f>IF($P2005="","",$O2005*$P2005)</x:f>
      </x:c>
      <x:c r="S2005" s="552" t="str">
        <x:f>IF($M2005="","",TRIM(IF($M2005="Mineral",IF(ISNUMBER($N2005),"Mineral; basis Conv Amt(dec). ",IF($P2005=0,"Mineral; surface-only/reserved-&gt;0 min. ","Mineral; NO AMOUNT-verify instrument. ")),$M2005&amp;" (non-mineral; excluded from mineral NMA). ")&amp;IF(OR(ISNUMBER(SEARCH("public",$G2005)),ISNUMBER(SEARCH("public",$H2005))),"FLAG: The Public placeholder-verify. ","")&amp;IF(ISNUMBER(SEARCH("all",$L2005)),"All-section coverage. ","")&amp;IF($O2005=0,"Gross acres unresolved. ","")&amp;"Gross=tract-map basis."))</x:f>
        <x:v>Leasehold (non-mineral; excluded from mineral NMA). Gross acres unresolved. Gross=tract-map basis.</x:v>
      </x:c>
      <x:c r="T2005" s="577" t="n"/>
      <x:c r="U2005" s="578" t="n"/>
      <x:c r="V2005" s="565" t="n"/>
      <x:c r="W2005" s="565" t="n"/>
      <x:c r="X2005" s="565" t="n"/>
      <x:c r="Y2005" s="565" t="n"/>
      <x:c r="Z2005" s="565" t="n"/>
    </x:row>
    <x:row r="2006">
      <x:c r="A2006" s="552" t="inlineStr">
        <x:is>
          <x:t xml:space="preserve">2006-002339</x:t>
        </x:is>
      </x:c>
      <x:c r="B2006" s="552" t="n"/>
      <x:c r="C2006" s="552" t="inlineStr">
        <x:is>
          <x:t xml:space="preserve">Assignment of Oil and Gas Leases</x:t>
        </x:is>
      </x:c>
      <x:c r="D2006" s="552" t="inlineStr">
        <x:is>
          <x:t xml:space="preserve">1830/242</x:t>
        </x:is>
      </x:c>
      <x:c r="E2006" s="653" t="n">
        <x:v>38757</x:v>
      </x:c>
      <x:c r="F2006" s="653" t="n">
        <x:v>38804</x:v>
      </x:c>
      <x:c r="G2006" s="552" t="inlineStr">
        <x:is>
          <x:t xml:space="preserve">Axis Exploration, LLC</x:t>
        </x:is>
      </x:c>
      <x:c r="H2006" s="552" t="inlineStr">
        <x:is>
          <x:t xml:space="preserve">EOG Resources, Inc.
3817 N.W. Expressway, Suite 500
Oklahoma City, OK 73112</x:t>
        </x:is>
      </x:c>
      <x:c r="I2006" s="552" t="inlineStr">
        <x:is>
          <x:t xml:space="preserve">NW/4 SE/4, S/2 SE/4, SW/4 NE/4 of 31-12N-24W</x:t>
        </x:is>
      </x:c>
      <x:c r="J2006" s="552" t="inlineStr">
        <x:is>
          <x:t xml:space="preserve">Assigns all right, title and interest in and to the Oil and Gas Lease recorded at 1736/193, 1736/195, 1736/197, 1736/199, 1736/496, 1736/588, 1736/590, 1736/596, 1736/598</x:t>
        </x:is>
      </x:c>
      <x:c r="K2006" s="554" t="e">
        <x:f>HYPERLINK("https://okcountyrecords.com/detail/roger+mills/2006-002339","OKCountyRecords: 2006-002339")</x:f>
      </x:c>
      <x:c r="L2006" s="552" t="n">
        <x:v>2</x:v>
      </x:c>
      <x:c r="M2006" s="552" t="inlineStr">
        <x:is>
          <x:t xml:space="preserve">Leasehold</x:t>
        </x:is>
      </x:c>
      <x:c r="N2006" s="555" t="n"/>
      <x:c r="O2006" s="556" t="n">
        <x:f>IF($L2006="","",IF(ISNUMBER(SEARCH("all",$L2006)),640,(ISNUMBER(SEARCH("1",$L2006)))*80+(ISNUMBER(SEARCH("2",$L2006)))*160+(ISNUMBER(SEARCH("3",$L2006)))*40+(ISNUMBER(SEARCH("4",$L2006)))*80+(ISNUMBER(SEARCH("5",$L2006)))*120+(ISNUMBER(SEARCH("6",$L2006)))*80+(ISNUMBER(SEARCH("7",$L2006)))*40+(ISNUMBER(SEARCH("8",$L2006)))*40))</x:f>
        <x:v>0</x:v>
      </x:c>
      <x:c r="P2006" s="654" t="str">
        <x:f>IF($M2006&lt;&gt;"Mineral","",IF(ISNUMBER($N2006),$N2006,IF(OR(ISNUMBER(SEARCH("surface",$J2006)),ISNUMBER(SEARCH("reserv",$J2006)),ISNUMBER(SEARCH("less and except",$J2006))),0,"")))</x:f>
      </x:c>
      <x:c r="Q2006" s="654" t="str">
        <x:f>IF($P2006="","",-$P2006)</x:f>
      </x:c>
      <x:c r="R2006" s="655" t="str">
        <x:f>IF($P2006="","",$O2006*$P2006)</x:f>
      </x:c>
      <x:c r="S2006" s="552" t="str">
        <x:f>IF($M2006="","",TRIM(IF($M2006="Mineral",IF(ISNUMBER($N2006),"Mineral; basis Conv Amt(dec). ",IF($P2006=0,"Mineral; surface-only/reserved-&gt;0 min. ","Mineral; NO AMOUNT-verify instrument. ")),$M2006&amp;" (non-mineral; excluded from mineral NMA). ")&amp;IF(OR(ISNUMBER(SEARCH("public",$G2006)),ISNUMBER(SEARCH("public",$H2006))),"FLAG: The Public placeholder-verify. ","")&amp;IF(ISNUMBER(SEARCH("all",$L2006)),"All-section coverage. ","")&amp;IF($O2006=0,"Gross acres unresolved. ","")&amp;"Gross=tract-map basis."))</x:f>
        <x:v>Leasehold (non-mineral; excluded from mineral NMA). Gross acres unresolved. Gross=tract-map basis.</x:v>
      </x:c>
      <x:c r="T2006" s="577" t="n"/>
      <x:c r="U2006" s="578" t="n"/>
      <x:c r="V2006" s="565" t="n"/>
      <x:c r="W2006" s="565" t="n"/>
      <x:c r="X2006" s="565" t="n"/>
      <x:c r="Y2006" s="565" t="n"/>
      <x:c r="Z2006" s="565" t="n"/>
    </x:row>
    <x:row r="2007">
      <x:c r="A2007" s="552" t="inlineStr">
        <x:is>
          <x:t xml:space="preserve">2009-000273</x:t>
        </x:is>
      </x:c>
      <x:c r="B2007" s="552" t="n"/>
      <x:c r="C2007" s="552" t="inlineStr">
        <x:is>
          <x:t xml:space="preserve">Assignment</x:t>
        </x:is>
      </x:c>
      <x:c r="D2007" s="552" t="inlineStr">
        <x:is>
          <x:t xml:space="preserve">1945/595</x:t>
        </x:is>
      </x:c>
      <x:c r="E2007" s="653" t="n">
        <x:v>38760</x:v>
      </x:c>
      <x:c r="F2007" s="653" t="n">
        <x:v>39833</x:v>
      </x:c>
      <x:c r="G2007" s="552" t="inlineStr">
        <x:is>
          <x:t xml:space="preserve">Jess Harris, III, Inc.
Oklahoma City, OK 73112</x:t>
        </x:is>
      </x:c>
      <x:c r="H2007" s="552" t="inlineStr">
        <x:is>
          <x:t xml:space="preserve">Newfield Exploration Mid-Continent, Inc.
110 West 7th, Ste. 1300
Tulsa, OK 74119
</x:t>
        </x:is>
      </x:c>
      <x:c r="I2007" s="552" t="inlineStr">
        <x:is>
          <x:t xml:space="preserve">Lots 1-3 Partial of 31-12N-24W</x:t>
        </x:is>
      </x:c>
      <x:c r="J2007" s="552" t="inlineStr">
        <x:is>
          <x:t xml:space="preserve">ARTI in OGL at 1833/218</x:t>
        </x:is>
      </x:c>
      <x:c r="K2007" s="554" t="e">
        <x:f>HYPERLINK("https://okcountyrecords.com/detail/roger+mills/2009-000273","OKCountyRecords: 2009-000273")</x:f>
      </x:c>
      <x:c r="L2007" s="552" t="n">
        <x:v>5</x:v>
      </x:c>
      <x:c r="M2007" s="552" t="inlineStr">
        <x:is>
          <x:t xml:space="preserve">Leasehold</x:t>
        </x:is>
      </x:c>
      <x:c r="N2007" s="555" t="n"/>
      <x:c r="O2007" s="556" t="n">
        <x:f>IF($L2007="","",IF(ISNUMBER(SEARCH("all",$L2007)),640,(ISNUMBER(SEARCH("1",$L2007)))*80+(ISNUMBER(SEARCH("2",$L2007)))*160+(ISNUMBER(SEARCH("3",$L2007)))*40+(ISNUMBER(SEARCH("4",$L2007)))*80+(ISNUMBER(SEARCH("5",$L2007)))*120+(ISNUMBER(SEARCH("6",$L2007)))*80+(ISNUMBER(SEARCH("7",$L2007)))*40+(ISNUMBER(SEARCH("8",$L2007)))*40))</x:f>
        <x:v>0</x:v>
      </x:c>
      <x:c r="P2007" s="654" t="str">
        <x:f>IF($M2007&lt;&gt;"Mineral","",IF(ISNUMBER($N2007),$N2007,IF(OR(ISNUMBER(SEARCH("surface",$J2007)),ISNUMBER(SEARCH("reserv",$J2007)),ISNUMBER(SEARCH("less and except",$J2007))),0,"")))</x:f>
      </x:c>
      <x:c r="Q2007" s="654" t="str">
        <x:f>IF($P2007="","",-$P2007)</x:f>
      </x:c>
      <x:c r="R2007" s="655" t="str">
        <x:f>IF($P2007="","",$O2007*$P2007)</x:f>
      </x:c>
      <x:c r="S2007" s="552" t="str">
        <x:f>IF($M2007="","",TRIM(IF($M2007="Mineral",IF(ISNUMBER($N2007),"Mineral; basis Conv Amt(dec). ",IF($P2007=0,"Mineral; surface-only/reserved-&gt;0 min. ","Mineral; NO AMOUNT-verify instrument. ")),$M2007&amp;" (non-mineral; excluded from mineral NMA). ")&amp;IF(OR(ISNUMBER(SEARCH("public",$G2007)),ISNUMBER(SEARCH("public",$H2007))),"FLAG: The Public placeholder-verify. ","")&amp;IF(ISNUMBER(SEARCH("all",$L2007)),"All-section coverage. ","")&amp;IF($O2007=0,"Gross acres unresolved. ","")&amp;"Gross=tract-map basis."))</x:f>
        <x:v>Leasehold (non-mineral; excluded from mineral NMA). Gross acres unresolved. Gross=tract-map basis.</x:v>
      </x:c>
      <x:c r="T2007" s="577" t="n"/>
      <x:c r="U2007" s="578" t="n"/>
      <x:c r="V2007" s="565" t="n"/>
      <x:c r="W2007" s="565" t="n"/>
      <x:c r="X2007" s="565" t="n"/>
      <x:c r="Y2007" s="565" t="n"/>
      <x:c r="Z2007" s="565" t="n"/>
    </x:row>
    <x:row r="2008">
      <x:c r="A2008" s="552" t="inlineStr">
        <x:is>
          <x:t xml:space="preserve">2006-002044</x:t>
        </x:is>
      </x:c>
      <x:c r="B2008" s="552" t="n">
        <x:v>39</x:v>
      </x:c>
      <x:c r="C2008" s="552" t="inlineStr">
        <x:is>
          <x:t xml:space="preserve">Oil and Gas Lease</x:t>
        </x:is>
      </x:c>
      <x:c r="D2008" s="552" t="inlineStr">
        <x:is>
          <x:t xml:space="preserve">1829/26</x:t>
        </x:is>
      </x:c>
      <x:c r="E2008" s="653" t="n">
        <x:v>38760</x:v>
      </x:c>
      <x:c r="F2008" s="653" t="n">
        <x:v>38792</x:v>
      </x:c>
      <x:c r="G2008" s="552" t="inlineStr">
        <x:is>
          <x:t xml:space="preserve">The Termo Company
P.O. Box 2767
Long Beach, CA 90801
</x:t>
        </x:is>
      </x:c>
      <x:c r="H2008" s="552" t="inlineStr">
        <x:is>
          <x:t xml:space="preserve">Devon Energy Production Company, LP
20 N. Broadway, Suite 1500,
Oklahoma City, OK 73102
</x:t>
        </x:is>
      </x:c>
      <x:c r="I2008" s="552" t="inlineStr">
        <x:is>
          <x:t xml:space="preserve">E/2 NW/4, N/2 NE/4 SW/4, NE/4 SE/4, SE/4 NE/4 of 31-12N-24W</x:t>
        </x:is>
      </x:c>
      <x:c r="J2008" s="552" t="inlineStr">
        <x:is>
          <x:t xml:space="preserve">180 gross acres
3 yrs
1/4th royalty</x:t>
        </x:is>
      </x:c>
      <x:c r="K2008" s="554" t="e">
        <x:f>HYPERLINK("https://okcountyrecords.com/detail/roger+mills/2006-002044","OKCountyRecords: 2006-002044")</x:f>
      </x:c>
      <x:c r="L2008" s="552" t="inlineStr">
        <x:is>
          <x:t xml:space="preserve">1, 3, 4, 7, 8</x:t>
        </x:is>
      </x:c>
      <x:c r="M2008" s="552" t="inlineStr">
        <x:is>
          <x:t xml:space="preserve">Leasehold</x:t>
        </x:is>
      </x:c>
      <x:c r="N2008" s="561" t="n"/>
      <x:c r="O2008" s="556" t="n">
        <x:f>IF($L2008="","",IF(ISNUMBER(SEARCH("all",$L2008)),640,(ISNUMBER(SEARCH("1",$L2008)))*80+(ISNUMBER(SEARCH("2",$L2008)))*160+(ISNUMBER(SEARCH("3",$L2008)))*40+(ISNUMBER(SEARCH("4",$L2008)))*80+(ISNUMBER(SEARCH("5",$L2008)))*120+(ISNUMBER(SEARCH("6",$L2008)))*80+(ISNUMBER(SEARCH("7",$L2008)))*40+(ISNUMBER(SEARCH("8",$L2008)))*40))</x:f>
        <x:v>0</x:v>
      </x:c>
      <x:c r="P2008" s="654" t="str">
        <x:f>IF($M2008&lt;&gt;"Mineral","",IF(ISNUMBER($N2008),$N2008,IF(OR(ISNUMBER(SEARCH("surface",$J2008)),ISNUMBER(SEARCH("reserv",$J2008)),ISNUMBER(SEARCH("less and except",$J2008))),0,"")))</x:f>
      </x:c>
      <x:c r="Q2008" s="654" t="str">
        <x:f>IF($P2008="","",-$P2008)</x:f>
      </x:c>
      <x:c r="R2008" s="655" t="str">
        <x:f>IF($P2008="","",$O2008*$P2008)</x:f>
      </x:c>
      <x:c r="S2008" s="552" t="str">
        <x:f>IF($M2008="","",TRIM(IF($M2008="Mineral",IF(ISNUMBER($N2008),"Mineral; basis Conv Amt(dec). ",IF($P2008=0,"Mineral; surface-only/reserved-&gt;0 min. ","Mineral; NO AMOUNT-verify instrument. ")),$M2008&amp;" (non-mineral; excluded from mineral NMA). ")&amp;IF(OR(ISNUMBER(SEARCH("public",$G2008)),ISNUMBER(SEARCH("public",$H2008))),"FLAG: The Public placeholder-verify. ","")&amp;IF(ISNUMBER(SEARCH("all",$L2008)),"All-section coverage. ","")&amp;IF($O2008=0,"Gross acres unresolved. ","")&amp;"Gross=tract-map basis."))</x:f>
        <x:v>Leasehold (non-mineral; excluded from mineral NMA). Gross acres unresolved. Gross=tract-map basis.</x:v>
      </x:c>
      <x:c r="T2008" s="577" t="n"/>
      <x:c r="U2008" s="578" t="n"/>
      <x:c r="V2008" s="565" t="n"/>
      <x:c r="W2008" s="565" t="n"/>
      <x:c r="X2008" s="565" t="n"/>
      <x:c r="Y2008" s="565" t="n"/>
      <x:c r="Z2008" s="565" t="n"/>
    </x:row>
    <x:row r="2009">
      <x:c r="A2009" s="552" t="inlineStr">
        <x:is>
          <x:t xml:space="preserve">2006-003963</x:t>
        </x:is>
      </x:c>
      <x:c r="B2009" s="552" t="n"/>
      <x:c r="C2009" s="552" t="inlineStr">
        <x:is>
          <x:t xml:space="preserve">Assignment of Oil and Gas Lease</x:t>
        </x:is>
      </x:c>
      <x:c r="D2009" s="552" t="inlineStr">
        <x:is>
          <x:t xml:space="preserve">1839/9</x:t>
        </x:is>
      </x:c>
      <x:c r="E2009" s="653" t="n">
        <x:v>38769</x:v>
      </x:c>
      <x:c r="F2009" s="653" t="n">
        <x:v>38863</x:v>
      </x:c>
      <x:c r="G2009" s="552" t="inlineStr">
        <x:is>
          <x:t xml:space="preserve">Jess Harris, III, Inc.
Oklahoma City, OK 73112</x:t>
        </x:is>
      </x:c>
      <x:c r="H2009" s="552" t="inlineStr">
        <x:is>
          <x:t xml:space="preserve">Newfield Exploration Mid-Continent, Inc.
110 West 7th, Ste. 1300
Tulsa, OK 74119
</x:t>
        </x:is>
      </x:c>
      <x:c r="I2009" s="552" t="inlineStr">
        <x:is>
          <x:t xml:space="preserve">E/2 NW/4, N/2 NE/4 SW/4, NE/4 SE/4, SE/4 NE/4 of 31-12N-24W</x:t>
        </x:is>
      </x:c>
      <x:c r="J2009" s="552" t="inlineStr">
        <x:is>
          <x:t xml:space="preserve">Assigns all right, title and interest in and to the Oil and Gas Lease recorded at 1827/548</x:t>
        </x:is>
      </x:c>
      <x:c r="K2009" s="554" t="e">
        <x:f>HYPERLINK("https://okcountyrecords.com/detail/roger+mills/2006-003963","OKCountyRecords: 2006-003963")</x:f>
      </x:c>
      <x:c r="L2009" s="552" t="inlineStr">
        <x:is>
          <x:t xml:space="preserve">1, 3, 4, 7, 8</x:t>
        </x:is>
      </x:c>
      <x:c r="M2009" s="552" t="inlineStr">
        <x:is>
          <x:t xml:space="preserve">Leasehold</x:t>
        </x:is>
      </x:c>
      <x:c r="N2009" s="561" t="n"/>
      <x:c r="O2009" s="556" t="n">
        <x:f>IF($L2009="","",IF(ISNUMBER(SEARCH("all",$L2009)),640,(ISNUMBER(SEARCH("1",$L2009)))*80+(ISNUMBER(SEARCH("2",$L2009)))*160+(ISNUMBER(SEARCH("3",$L2009)))*40+(ISNUMBER(SEARCH("4",$L2009)))*80+(ISNUMBER(SEARCH("5",$L2009)))*120+(ISNUMBER(SEARCH("6",$L2009)))*80+(ISNUMBER(SEARCH("7",$L2009)))*40+(ISNUMBER(SEARCH("8",$L2009)))*40))</x:f>
        <x:v>0</x:v>
      </x:c>
      <x:c r="P2009" s="654" t="str">
        <x:f>IF($M2009&lt;&gt;"Mineral","",IF(ISNUMBER($N2009),$N2009,IF(OR(ISNUMBER(SEARCH("surface",$J2009)),ISNUMBER(SEARCH("reserv",$J2009)),ISNUMBER(SEARCH("less and except",$J2009))),0,"")))</x:f>
      </x:c>
      <x:c r="Q2009" s="654" t="str">
        <x:f>IF($P2009="","",-$P2009)</x:f>
      </x:c>
      <x:c r="R2009" s="655" t="str">
        <x:f>IF($P2009="","",$O2009*$P2009)</x:f>
      </x:c>
      <x:c r="S2009" s="552" t="str">
        <x:f>IF($M2009="","",TRIM(IF($M2009="Mineral",IF(ISNUMBER($N2009),"Mineral; basis Conv Amt(dec). ",IF($P2009=0,"Mineral; surface-only/reserved-&gt;0 min. ","Mineral; NO AMOUNT-verify instrument. ")),$M2009&amp;" (non-mineral; excluded from mineral NMA). ")&amp;IF(OR(ISNUMBER(SEARCH("public",$G2009)),ISNUMBER(SEARCH("public",$H2009))),"FLAG: The Public placeholder-verify. ","")&amp;IF(ISNUMBER(SEARCH("all",$L2009)),"All-section coverage. ","")&amp;IF($O2009=0,"Gross acres unresolved. ","")&amp;"Gross=tract-map basis."))</x:f>
        <x:v>Leasehold (non-mineral; excluded from mineral NMA). Gross acres unresolved. Gross=tract-map basis.</x:v>
      </x:c>
      <x:c r="T2009" s="577" t="n"/>
      <x:c r="U2009" s="578" t="n"/>
      <x:c r="V2009" s="565" t="n"/>
      <x:c r="W2009" s="565" t="n"/>
      <x:c r="X2009" s="565" t="n"/>
      <x:c r="Y2009" s="565" t="n"/>
      <x:c r="Z2009" s="565" t="n"/>
    </x:row>
    <x:row r="2010">
      <x:c r="A2010" s="552" t="inlineStr">
        <x:is>
          <x:t xml:space="preserve">2007-002804</x:t>
        </x:is>
      </x:c>
      <x:c r="B2010" s="552" t="n"/>
      <x:c r="C2010" s="552" t="inlineStr">
        <x:is>
          <x:t xml:space="preserve">Correction Assignment of Oil and Gas Leases</x:t>
        </x:is>
      </x:c>
      <x:c r="D2010" s="552" t="inlineStr">
        <x:is>
          <x:t xml:space="preserve">1878/109</x:t>
        </x:is>
      </x:c>
      <x:c r="E2010" s="653" t="n">
        <x:v>38798</x:v>
      </x:c>
      <x:c r="F2010" s="653" t="n">
        <x:v>39262</x:v>
      </x:c>
      <x:c r="G2010" s="552" t="inlineStr">
        <x:is>
          <x:t xml:space="preserve">EOG Resources, Inc.</x:t>
        </x:is>
      </x:c>
      <x:c r="H2010" s="552" t="inlineStr">
        <x:is>
          <x:t xml:space="preserve">Trilogy Oil and Gas, LLC</x:t>
        </x:is>
      </x:c>
      <x:c r="I2010" s="552" t="inlineStr">
        <x:is>
          <x:t xml:space="preserve">NW/4 SE/4, S/2 SE/4, SW/4 NE/4 of 31-12N-24W</x:t>
        </x:is>
      </x:c>
      <x:c r="J2010" s="552" t="inlineStr">
        <x:is>
          <x:t xml:space="preserve">ARTI
Assignment of Oil and Gas Leases dated the 22nd day of March, 2006, but effective as of the 20th day of March, 2006, recorded at Book 1831, Pages 481-483, incorrectly states the description of the A. C. Campbell aka Audy C. Campbell Oil and Gas Lease dated January 22, 2004, recorded in Book 1736, Pages 197-198. Assignor and Assignee desire to amend and correct the description of the A. C. Campbell aka Audy C. Campbell Oil and Gas Lease dated January 22, 2004, recorded in Book 1736, Pages 197-198. This is to amend and correct the description of the A. C. Campbell aka Audy C. Campbell Oil and Gas Lease dated January 22, 2004, recorded in Book 1736, Pages 197-198 by deleting the description "The SW/4 NE/4 and the NW/4 SE/4 and the S/2 SE/4 of Section 31-12N-24W, Roger Mills County", and substituting in lieu thereof the description "Lot 4 and the S/2 of Lot 3 and the S/2 NE/4 SW/4 and the SE/4 SW/4 of Section 31-12N-24W, Roger Mills County, Oklahoma".</x:t>
        </x:is>
      </x:c>
      <x:c r="K2010" s="554" t="e">
        <x:f>HYPERLINK("https://okcountyrecords.com/detail/roger+mills/2007-002804","OKCountyRecords: 2007-002804")</x:f>
      </x:c>
      <x:c r="L2010" s="552" t="n">
        <x:v>2</x:v>
      </x:c>
      <x:c r="M2010" s="552" t="inlineStr">
        <x:is>
          <x:t xml:space="preserve">Leasehold</x:t>
        </x:is>
      </x:c>
      <x:c r="N2010" s="555" t="n"/>
      <x:c r="O2010" s="556" t="n">
        <x:f>IF($L2010="","",IF(ISNUMBER(SEARCH("all",$L2010)),640,(ISNUMBER(SEARCH("1",$L2010)))*80+(ISNUMBER(SEARCH("2",$L2010)))*160+(ISNUMBER(SEARCH("3",$L2010)))*40+(ISNUMBER(SEARCH("4",$L2010)))*80+(ISNUMBER(SEARCH("5",$L2010)))*120+(ISNUMBER(SEARCH("6",$L2010)))*80+(ISNUMBER(SEARCH("7",$L2010)))*40+(ISNUMBER(SEARCH("8",$L2010)))*40))</x:f>
        <x:v>0</x:v>
      </x:c>
      <x:c r="P2010" s="654" t="str">
        <x:f>IF($M2010&lt;&gt;"Mineral","",IF(ISNUMBER($N2010),$N2010,IF(OR(ISNUMBER(SEARCH("surface",$J2010)),ISNUMBER(SEARCH("reserv",$J2010)),ISNUMBER(SEARCH("less and except",$J2010))),0,"")))</x:f>
      </x:c>
      <x:c r="Q2010" s="654" t="str">
        <x:f>IF($P2010="","",-$P2010)</x:f>
      </x:c>
      <x:c r="R2010" s="655" t="str">
        <x:f>IF($P2010="","",$O2010*$P2010)</x:f>
      </x:c>
      <x:c r="S2010" s="552" t="str">
        <x:f>IF($M2010="","",TRIM(IF($M2010="Mineral",IF(ISNUMBER($N2010),"Mineral; basis Conv Amt(dec). ",IF($P2010=0,"Mineral; surface-only/reserved-&gt;0 min. ","Mineral; NO AMOUNT-verify instrument. ")),$M2010&amp;" (non-mineral; excluded from mineral NMA). ")&amp;IF(OR(ISNUMBER(SEARCH("public",$G2010)),ISNUMBER(SEARCH("public",$H2010))),"FLAG: The Public placeholder-verify. ","")&amp;IF(ISNUMBER(SEARCH("all",$L2010)),"All-section coverage. ","")&amp;IF($O2010=0,"Gross acres unresolved. ","")&amp;"Gross=tract-map basis."))</x:f>
        <x:v>Leasehold (non-mineral; excluded from mineral NMA). Gross acres unresolved. Gross=tract-map basis.</x:v>
      </x:c>
      <x:c r="T2010" s="577" t="n"/>
      <x:c r="U2010" s="578" t="n"/>
      <x:c r="V2010" s="565" t="n"/>
      <x:c r="W2010" s="565" t="n"/>
      <x:c r="X2010" s="565" t="n"/>
      <x:c r="Y2010" s="565" t="n"/>
      <x:c r="Z2010" s="565" t="n"/>
    </x:row>
    <x:row r="2011">
      <x:c r="A2011" s="552" t="inlineStr">
        <x:is>
          <x:t xml:space="preserve">2006-002685</x:t>
        </x:is>
      </x:c>
      <x:c r="B2011" s="552" t="n"/>
      <x:c r="C2011" s="552" t="inlineStr">
        <x:is>
          <x:t xml:space="preserve">Partial Assignment of Oil and Gas Leases</x:t>
        </x:is>
      </x:c>
      <x:c r="D2011" s="552" t="inlineStr">
        <x:is>
          <x:t xml:space="preserve">1831/481</x:t>
        </x:is>
      </x:c>
      <x:c r="E2011" s="653" t="n">
        <x:v>38798</x:v>
      </x:c>
      <x:c r="F2011" s="653" t="n">
        <x:v>38813</x:v>
      </x:c>
      <x:c r="G2011" s="552" t="inlineStr">
        <x:is>
          <x:t xml:space="preserve">EOG Resources, Inc.</x:t>
        </x:is>
      </x:c>
      <x:c r="H2011" s="552" t="inlineStr">
        <x:is>
          <x:t xml:space="preserve">Trilogy Oil &amp; Gas, LLC
P.O. Box 280235
Lakewood, CO 80228
</x:t>
        </x:is>
      </x:c>
      <x:c r="I2011" s="552" t="inlineStr">
        <x:is>
          <x:t xml:space="preserve">NW/4 SE/4, S/2 SE/4, SW/4 NE/4 of 31-12N-24W</x:t>
        </x:is>
      </x:c>
      <x:c r="J2011" s="552" t="inlineStr">
        <x:is>
          <x:t xml:space="preserve">an undivided 40 net
acres in OGLs at 1736/596-597, 1736/598-599, 1736/193-194, 1824/181-182, 1736/195-196, 1736/199-200, 1736/496-497, 1736/588-589, 1736/590-591, 1736/197-198</x:t>
        </x:is>
      </x:c>
      <x:c r="K2011" s="554" t="e">
        <x:f>HYPERLINK("https://okcountyrecords.com/detail/roger+mills/2006-002685","OKCountyRecords: 2006-002685")</x:f>
      </x:c>
      <x:c r="L2011" s="552" t="n">
        <x:v>2</x:v>
      </x:c>
      <x:c r="M2011" s="552" t="inlineStr">
        <x:is>
          <x:t xml:space="preserve">Leasehold</x:t>
        </x:is>
      </x:c>
      <x:c r="N2011" s="555" t="n"/>
      <x:c r="O2011" s="556" t="n">
        <x:f>IF($L2011="","",IF(ISNUMBER(SEARCH("all",$L2011)),640,(ISNUMBER(SEARCH("1",$L2011)))*80+(ISNUMBER(SEARCH("2",$L2011)))*160+(ISNUMBER(SEARCH("3",$L2011)))*40+(ISNUMBER(SEARCH("4",$L2011)))*80+(ISNUMBER(SEARCH("5",$L2011)))*120+(ISNUMBER(SEARCH("6",$L2011)))*80+(ISNUMBER(SEARCH("7",$L2011)))*40+(ISNUMBER(SEARCH("8",$L2011)))*40))</x:f>
        <x:v>0</x:v>
      </x:c>
      <x:c r="P2011" s="654" t="str">
        <x:f>IF($M2011&lt;&gt;"Mineral","",IF(ISNUMBER($N2011),$N2011,IF(OR(ISNUMBER(SEARCH("surface",$J2011)),ISNUMBER(SEARCH("reserv",$J2011)),ISNUMBER(SEARCH("less and except",$J2011))),0,"")))</x:f>
      </x:c>
      <x:c r="Q2011" s="654" t="str">
        <x:f>IF($P2011="","",-$P2011)</x:f>
      </x:c>
      <x:c r="R2011" s="655" t="str">
        <x:f>IF($P2011="","",$O2011*$P2011)</x:f>
      </x:c>
      <x:c r="S2011" s="552" t="str">
        <x:f>IF($M2011="","",TRIM(IF($M2011="Mineral",IF(ISNUMBER($N2011),"Mineral; basis Conv Amt(dec). ",IF($P2011=0,"Mineral; surface-only/reserved-&gt;0 min. ","Mineral; NO AMOUNT-verify instrument. ")),$M2011&amp;" (non-mineral; excluded from mineral NMA). ")&amp;IF(OR(ISNUMBER(SEARCH("public",$G2011)),ISNUMBER(SEARCH("public",$H2011))),"FLAG: The Public placeholder-verify. ","")&amp;IF(ISNUMBER(SEARCH("all",$L2011)),"All-section coverage. ","")&amp;IF($O2011=0,"Gross acres unresolved. ","")&amp;"Gross=tract-map basis."))</x:f>
        <x:v>Leasehold (non-mineral; excluded from mineral NMA). Gross acres unresolved. Gross=tract-map basis.</x:v>
      </x:c>
      <x:c r="T2011" s="577" t="n"/>
      <x:c r="U2011" s="578" t="n"/>
      <x:c r="V2011" s="565" t="n"/>
      <x:c r="W2011" s="565" t="n"/>
      <x:c r="X2011" s="565" t="n"/>
      <x:c r="Y2011" s="565" t="n"/>
      <x:c r="Z2011" s="565" t="n"/>
    </x:row>
    <x:row r="2012">
      <x:c r="A2012" s="552" t="inlineStr">
        <x:is>
          <x:t xml:space="preserve">2006-003765</x:t>
        </x:is>
      </x:c>
      <x:c r="B2012" s="552" t="n"/>
      <x:c r="C2012" s="552" t="inlineStr">
        <x:is>
          <x:t xml:space="preserve">Mineral Deed</x:t>
        </x:is>
      </x:c>
      <x:c r="D2012" s="552" t="inlineStr">
        <x:is>
          <x:t xml:space="preserve">1838/136</x:t>
        </x:is>
      </x:c>
      <x:c r="E2012" s="653" t="n">
        <x:v>38855</x:v>
      </x:c>
      <x:c r="F2012" s="653" t="n">
        <x:v>38856</x:v>
      </x:c>
      <x:c r="G2012" s="552" t="inlineStr">
        <x:is>
          <x:t xml:space="preserve">G. &amp; T. Partnership</x:t>
        </x:is>
      </x:c>
      <x:c r="H2012" s="552" t="inlineStr">
        <x:is>
          <x:t xml:space="preserve">Datt Investment Company,
Four A. Investments</x:t>
        </x:is>
      </x:c>
      <x:c r="I2012" s="552" t="inlineStr">
        <x:is>
          <x:t xml:space="preserve">NW/4 SE/4, S/2 SE/4, SW/4 NE/4 of 31-12N-24W, aol</x:t>
        </x:is>
      </x:c>
      <x:c r="J2012" s="552" t="inlineStr">
        <x:is>
          <x:t xml:space="preserve">ARTI, It is the Intent to convey equally All Grantor's mineral interest acquired in Mineral Deed 1783/306, recorded in Roger Mills County, Oklahoma.</x:t>
        </x:is>
      </x:c>
      <x:c r="K2012" s="554" t="e">
        <x:f>HYPERLINK("https://okcountyrecords.com/detail/roger+mills/2006-003765","OKCountyRecords: 2006-003765")</x:f>
      </x:c>
      <x:c r="L2012" s="552" t="n">
        <x:v>2</x:v>
      </x:c>
      <x:c r="M2012" s="552" t="inlineStr">
        <x:is>
          <x:t xml:space="preserve">Mineral</x:t>
        </x:is>
      </x:c>
      <x:c r="N2012" s="555" t="n">
        <x:v>1</x:v>
      </x:c>
      <x:c r="O2012" s="556" t="n">
        <x:f>IF($L2012="","",IF(ISNUMBER(SEARCH("all",$L2012)),640,(ISNUMBER(SEARCH("1",$L2012)))*80+(ISNUMBER(SEARCH("2",$L2012)))*160+(ISNUMBER(SEARCH("3",$L2012)))*40+(ISNUMBER(SEARCH("4",$L2012)))*80+(ISNUMBER(SEARCH("5",$L2012)))*120+(ISNUMBER(SEARCH("6",$L2012)))*80+(ISNUMBER(SEARCH("7",$L2012)))*40+(ISNUMBER(SEARCH("8",$L2012)))*40))</x:f>
        <x:v>0</x:v>
      </x:c>
      <x:c r="P2012" s="654" t="n">
        <x:f>IF($M2012&lt;&gt;"Mineral","",IF(ISNUMBER($N2012),$N2012,IF(OR(ISNUMBER(SEARCH("surface",$J2012)),ISNUMBER(SEARCH("reserv",$J2012)),ISNUMBER(SEARCH("less and except",$J2012))),0,"")))</x:f>
        <x:v>1</x:v>
      </x:c>
      <x:c r="Q2012" s="654" t="n">
        <x:f>IF($P2012="","",-$P2012)</x:f>
        <x:v>-1</x:v>
      </x:c>
      <x:c r="R2012" s="655" t="n">
        <x:f>IF($P2012="","",$O2012*$P2012)</x:f>
        <x:v>0</x:v>
      </x:c>
      <x:c r="S2012" s="552" t="str">
        <x:f>IF($M2012="","",TRIM(IF($M2012="Mineral",IF(ISNUMBER($N2012),"Mineral; basis Conv Amt(dec). ",IF($P2012=0,"Mineral; surface-only/reserved-&gt;0 min. ","Mineral; NO AMOUNT-verify instrument. ")),$M2012&amp;" (non-mineral; excluded from mineral NMA). ")&amp;IF(OR(ISNUMBER(SEARCH("public",$G2012)),ISNUMBER(SEARCH("public",$H2012))),"FLAG: The Public placeholder-verify. ","")&amp;IF(ISNUMBER(SEARCH("all",$L2012)),"All-section coverage. ","")&amp;IF($O2012=0,"Gross acres unresolved. ","")&amp;"Gross=tract-map basis."))</x:f>
        <x:v>Mineral; basis Conv Amt(dec). Gross acres unresolved. Gross=tract-map basis.</x:v>
      </x:c>
      <x:c r="T2012" s="577" t="n"/>
      <x:c r="U2012" s="578" t="n"/>
      <x:c r="V2012" s="565" t="n"/>
      <x:c r="W2012" s="565" t="n"/>
      <x:c r="X2012" s="565" t="n"/>
      <x:c r="Y2012" s="565" t="n"/>
      <x:c r="Z2012" s="565" t="n"/>
    </x:row>
    <x:row r="2013">
      <x:c r="A2013" s="552" t="inlineStr">
        <x:is>
          <x:t xml:space="preserve">2006-006122</x:t>
        </x:is>
      </x:c>
      <x:c r="B2013" s="552" t="n"/>
      <x:c r="C2013" s="552" t="inlineStr">
        <x:is>
          <x:t xml:space="preserve">Correction</x:t>
        </x:is>
      </x:c>
      <x:c r="D2013" s="552" t="inlineStr">
        <x:is>
          <x:t xml:space="preserve">1852/8</x:t>
        </x:is>
      </x:c>
      <x:c r="E2013" s="653" t="n">
        <x:v>38861</x:v>
      </x:c>
      <x:c r="F2013" s="653" t="n">
        <x:v>38961</x:v>
      </x:c>
      <x:c r="G2013" s="552" t="inlineStr">
        <x:is>
          <x:t xml:space="preserve">Rogene E. Williams</x:t>
        </x:is>
      </x:c>
      <x:c r="H2013" s="552" t="inlineStr">
        <x:is>
          <x:t xml:space="preserve">Rogene E. Williams, Trustee of The Jon T. and Rogene E. Williams Trust under Trust Agreement dated April 6, 1998, c/o Robert M. Collins</x:t>
        </x:is>
      </x:c>
      <x:c r="I2013" s="552" t="inlineStr">
        <x:is>
          <x:t xml:space="preserve">NW/4 SE/4, S/2 SE/4, SW/4 NE/4 of 31-12N-24W, aol</x:t>
        </x:is>
      </x:c>
      <x:c r="J2013" s="552" t="inlineStr">
        <x:is>
          <x:t xml:space="preserve">ARTI</x:t>
        </x:is>
      </x:c>
      <x:c r="K2013" s="554" t="e">
        <x:f>HYPERLINK("https://okcountyrecords.com/detail/roger+mills/2006-006122","OKCountyRecords: 2006-006122")</x:f>
      </x:c>
      <x:c r="L2013" s="552" t="n">
        <x:v>2</x:v>
      </x:c>
      <x:c r="M2013" s="552" t="inlineStr">
        <x:is>
          <x:t xml:space="preserve">Mineral</x:t>
        </x:is>
      </x:c>
      <x:c r="N2013" s="555" t="n"/>
      <x:c r="O2013" s="556" t="n">
        <x:f>IF($L2013="","",IF(ISNUMBER(SEARCH("all",$L2013)),640,(ISNUMBER(SEARCH("1",$L2013)))*80+(ISNUMBER(SEARCH("2",$L2013)))*160+(ISNUMBER(SEARCH("3",$L2013)))*40+(ISNUMBER(SEARCH("4",$L2013)))*80+(ISNUMBER(SEARCH("5",$L2013)))*120+(ISNUMBER(SEARCH("6",$L2013)))*80+(ISNUMBER(SEARCH("7",$L2013)))*40+(ISNUMBER(SEARCH("8",$L2013)))*40))</x:f>
        <x:v>0</x:v>
      </x:c>
      <x:c r="P2013" s="654" t="str">
        <x:f>IF($M2013&lt;&gt;"Mineral","",IF(ISNUMBER($N2013),$N2013,IF(OR(ISNUMBER(SEARCH("surface",$J2013)),ISNUMBER(SEARCH("reserv",$J2013)),ISNUMBER(SEARCH("less and except",$J2013))),0,"")))</x:f>
      </x:c>
      <x:c r="Q2013" s="654" t="str">
        <x:f>IF($P2013="","",-$P2013)</x:f>
      </x:c>
      <x:c r="R2013" s="655" t="str">
        <x:f>IF($P2013="","",$O2013*$P2013)</x:f>
      </x:c>
      <x:c r="S2013" s="552" t="str">
        <x:f>IF($M2013="","",TRIM(IF($M2013="Mineral",IF(ISNUMBER($N2013),"Mineral; basis Conv Amt(dec). ",IF($P2013=0,"Mineral; surface-only/reserved-&gt;0 min. ","Mineral; NO AMOUNT-verify instrument. ")),$M2013&amp;" (non-mineral; excluded from mineral NMA). ")&amp;IF(OR(ISNUMBER(SEARCH("public",$G2013)),ISNUMBER(SEARCH("public",$H2013))),"FLAG: The Public placeholder-verify. ","")&amp;IF(ISNUMBER(SEARCH("all",$L2013)),"All-section coverage. ","")&amp;IF($O2013=0,"Gross acres unresolved. ","")&amp;"Gross=tract-map basis."))</x:f>
        <x:v>Mineral; surface-only/reserved-&gt;0 min. Gross acres unresolved. Gross=tract-map basis.</x:v>
      </x:c>
      <x:c r="T2013" s="577" t="n"/>
      <x:c r="U2013" s="578" t="n"/>
      <x:c r="V2013" s="565" t="n"/>
      <x:c r="W2013" s="565" t="n"/>
      <x:c r="X2013" s="565" t="n"/>
      <x:c r="Y2013" s="565" t="n"/>
      <x:c r="Z2013" s="565" t="n"/>
    </x:row>
    <x:row r="2014">
      <x:c r="A2014" s="552" t="inlineStr">
        <x:is>
          <x:t xml:space="preserve">2007-001310</x:t>
        </x:is>
      </x:c>
      <x:c r="B2014" s="552" t="n"/>
      <x:c r="C2014" s="552" t="inlineStr">
        <x:is>
          <x:t xml:space="preserve">Assignment of ORRI</x:t>
        </x:is>
      </x:c>
      <x:c r="D2014" s="552" t="inlineStr">
        <x:is>
          <x:t xml:space="preserve">1869/164</x:t>
        </x:is>
      </x:c>
      <x:c r="E2014" s="653" t="n">
        <x:v>38861</x:v>
      </x:c>
      <x:c r="F2014" s="653" t="n">
        <x:v>39162</x:v>
      </x:c>
      <x:c r="G2014" s="552" t="inlineStr">
        <x:is>
          <x:t xml:space="preserve">Samson Resources Co.</x:t>
        </x:is>
      </x:c>
      <x:c r="H2014" s="552" t="inlineStr">
        <x:is>
          <x:t xml:space="preserve">Gary Reid</x:t>
        </x:is>
      </x:c>
      <x:c r="I2014" s="552" t="inlineStr">
        <x:is>
          <x:t xml:space="preserve">E/2 NW/4, N/2 NE/4 SW/4, NE/4 SE/4, NW/4 SE/4, S/2 SE/4, SE/4 NE/4, SW/4 NE/4 of 31-12N-24W</x:t>
        </x:is>
      </x:c>
      <x:c r="J2014" s="552" t="inlineStr">
        <x:is>
          <x:t xml:space="preserve">ORRI</x:t>
        </x:is>
      </x:c>
      <x:c r="K2014" s="554" t="e">
        <x:f>HYPERLINK("https://okcountyrecords.com/detail/roger+mills/2007-001310","OKCountyRecords: 2007-001310")</x:f>
      </x:c>
      <x:c r="L2014" s="552" t="inlineStr">
        <x:is>
          <x:t xml:space="preserve">1, 2, 3, 4, 7, 8</x:t>
        </x:is>
      </x:c>
      <x:c r="M2014" s="552" t="inlineStr">
        <x:is>
          <x:t xml:space="preserve">ORRI</x:t>
        </x:is>
      </x:c>
      <x:c r="N2014" s="561" t="n"/>
      <x:c r="O2014" s="556" t="n">
        <x:f>IF($L2014="","",IF(ISNUMBER(SEARCH("all",$L2014)),640,(ISNUMBER(SEARCH("1",$L2014)))*80+(ISNUMBER(SEARCH("2",$L2014)))*160+(ISNUMBER(SEARCH("3",$L2014)))*40+(ISNUMBER(SEARCH("4",$L2014)))*80+(ISNUMBER(SEARCH("5",$L2014)))*120+(ISNUMBER(SEARCH("6",$L2014)))*80+(ISNUMBER(SEARCH("7",$L2014)))*40+(ISNUMBER(SEARCH("8",$L2014)))*40))</x:f>
        <x:v>0</x:v>
      </x:c>
      <x:c r="P2014" s="654" t="str">
        <x:f>IF($M2014&lt;&gt;"Mineral","",IF(ISNUMBER($N2014),$N2014,IF(OR(ISNUMBER(SEARCH("surface",$J2014)),ISNUMBER(SEARCH("reserv",$J2014)),ISNUMBER(SEARCH("less and except",$J2014))),0,"")))</x:f>
      </x:c>
      <x:c r="Q2014" s="654" t="str">
        <x:f>IF($P2014="","",-$P2014)</x:f>
      </x:c>
      <x:c r="R2014" s="655" t="str">
        <x:f>IF($P2014="","",$O2014*$P2014)</x:f>
      </x:c>
      <x:c r="S2014" s="552" t="str">
        <x:f>IF($M2014="","",TRIM(IF($M2014="Mineral",IF(ISNUMBER($N2014),"Mineral; basis Conv Amt(dec). ",IF($P2014=0,"Mineral; surface-only/reserved-&gt;0 min. ","Mineral; NO AMOUNT-verify instrument. ")),$M2014&amp;" (non-mineral; excluded from mineral NMA). ")&amp;IF(OR(ISNUMBER(SEARCH("public",$G2014)),ISNUMBER(SEARCH("public",$H2014))),"FLAG: The Public placeholder-verify. ","")&amp;IF(ISNUMBER(SEARCH("all",$L2014)),"All-section coverage. ","")&amp;IF($O2014=0,"Gross acres unresolved. ","")&amp;"Gross=tract-map basis."))</x:f>
        <x:v>ORRI (non-mineral; excluded from mineral NMA). Gross acres unresolved. Gross=tract-map basis.</x:v>
      </x:c>
      <x:c r="T2014" s="577" t="n"/>
      <x:c r="U2014" s="578" t="n"/>
      <x:c r="V2014" s="565" t="n"/>
      <x:c r="W2014" s="565" t="n"/>
      <x:c r="X2014" s="565" t="n"/>
      <x:c r="Y2014" s="565" t="n"/>
      <x:c r="Z2014" s="565" t="n"/>
    </x:row>
    <x:row r="2015">
      <x:c r="A2015" s="552" t="inlineStr">
        <x:is>
          <x:t xml:space="preserve">2006-003993</x:t>
        </x:is>
      </x:c>
      <x:c r="B2015" s="552" t="n"/>
      <x:c r="C2015" s="552" t="inlineStr">
        <x:is>
          <x:t xml:space="preserve">Partial Assignment of Oil and Gas Leases</x:t>
        </x:is>
      </x:c>
      <x:c r="D2015" s="552" t="inlineStr">
        <x:is>
          <x:t xml:space="preserve">1839/66</x:t>
        </x:is>
      </x:c>
      <x:c r="E2015" s="653" t="n">
        <x:v>38862</x:v>
      </x:c>
      <x:c r="F2015" s="653" t="n">
        <x:v>38867</x:v>
      </x:c>
      <x:c r="G2015" s="552" t="inlineStr">
        <x:is>
          <x:t xml:space="preserve">Trilogy Oil &amp; Gas, LLC</x:t>
        </x:is>
      </x:c>
      <x:c r="H2015" s="552" t="inlineStr">
        <x:is>
          <x:t xml:space="preserve">ST. GEORGE COAL CO., 5 NMA, 
c/o Pony Duke
P.O. Box 610
Absarokee, Montana 59001,
STEWART GEOLOGICAL INC., 5 NMA, 
710 Grand Avenue, Suite 7
Billings, Montana 59101,
JOHN BUTERA, 2 NMA, 
8770 Allison Drive, Unit F
Arvada, Colorado 80005,
R. P. DYKES 1 NMA, 
P.O. Box 280235
Lakewood, Coloraod 80228
EVEREN NATURAL RESOURCES, LLC, 1 NMA, 
790 Old Stone Road
Highlands Ranch, Colorado 80126,
EMMYJAKE, LLC, 1 NMA, 
9322 Notts Court
Lone Tree, Colorado 80124,
ALAN WYNEGARDEN, TRUSTEE OF
WYNEGARDEN LIVING TRUST
DATED JULY 31, 2003, 1 NMA, 
3773 Cherry Creek North Drive 
East Tower - Suite 875
Denver. Colorado 80209,
HUNTINGTON EXPLORATION, LLC, 1 NMA, 
5639 Inwood Drive
Houston, Texas 77056,
MARTY LOVINGS, 1 NMA, 
635 Ramsdale Drive
Roswell, Georgia 30075,
HAT CREEK OIL AND GAS, INC., 1 NMA, 
P.O. Box 2512
Lyons, Colorado 80540
ZEPHYR BAY SPORTS PARTNERS, LLC, 1 NMA, 
9544 South Chesapeake Street
Highland Ranch, Colorado 80126
HANI TABALLY, 1 NMA, 
9302 South 83rd Court
Hickory Hills, Illinois 60457
B. KOLE KILLION
2322 Monoco Parkway
Denver, Colorado 80207
1.00 Net Acre
KATZ &amp; JAMMERS, LLC
P.O. Box 4289
Durango, Colorado 81302
MARK ROBERT JAFFE, 1 NMA, 
13330 Noel Road, #1425
Dallas, Texas 75240
KING EXPLORATION, LLC, 1 NMA, 
15875 South County Road 2054
Altus, Oklahoma 73521
GEORGE JOURDAN, 1 NMA, 
P.O. Box 3503
Lafayette, Louisiana 70502
STEELE CREEK INVESTMENTS, LLC, 0.5 NMA,
2552 Braun Court
Golden, Colorado 80401-2132
SILVERTREE OIL AND GAS, INC, 0.5 NMA,
P.O. Box 260498
Lakewood, Colorado 80226-0498
48/MMCF/D, LLC,, 0.5 NMA,
5850 Canoga Avenue, Suite 200
Woodland Hills, California 91367
IDLEWILD RESOURCES, INC., 0.5 NMA,
P.O. Box 260498
Lakewood, Colorado 80226-0498
CRAIG L. EMMANUEL, 0.5 NMA,
P.O. Box 86
Laramie, Wyoming 82073-0086
NEW COURSE AVIATION COMPANY, 0.25 NMA, 
183 Columbine Road
Golden, Colorado 80401</x:t>
        </x:is>
      </x:c>
      <x:c r="I2015" s="552" t="inlineStr">
        <x:is>
          <x:t xml:space="preserve">NW/4 SE/4, S/2 SE/4, SW/4 NE/4 of 31-12N-24W</x:t>
        </x:is>
      </x:c>
      <x:c r="J2015" s="552" t="inlineStr">
        <x:is>
          <x:t xml:space="preserve">Assignees reflected in the amount set opposite their names, in OGLs at 1736/596, 1736/598, 1736/193, 1824/181, 1736/195, 1736/199, 1736/496, 1736/588, 1736/590, 1736/197</x:t>
        </x:is>
      </x:c>
      <x:c r="K2015" s="554" t="e">
        <x:f>HYPERLINK("https://okcountyrecords.com/detail/roger+mills/2006-003993","OKCountyRecords: 2006-003993")</x:f>
      </x:c>
      <x:c r="L2015" s="552" t="n">
        <x:v>2</x:v>
      </x:c>
      <x:c r="M2015" s="552" t="inlineStr">
        <x:is>
          <x:t xml:space="preserve">Leasehold</x:t>
        </x:is>
      </x:c>
      <x:c r="N2015" s="555" t="n"/>
      <x:c r="O2015" s="556" t="n">
        <x:f>IF($L2015="","",IF(ISNUMBER(SEARCH("all",$L2015)),640,(ISNUMBER(SEARCH("1",$L2015)))*80+(ISNUMBER(SEARCH("2",$L2015)))*160+(ISNUMBER(SEARCH("3",$L2015)))*40+(ISNUMBER(SEARCH("4",$L2015)))*80+(ISNUMBER(SEARCH("5",$L2015)))*120+(ISNUMBER(SEARCH("6",$L2015)))*80+(ISNUMBER(SEARCH("7",$L2015)))*40+(ISNUMBER(SEARCH("8",$L2015)))*40))</x:f>
        <x:v>0</x:v>
      </x:c>
      <x:c r="P2015" s="654" t="str">
        <x:f>IF($M2015&lt;&gt;"Mineral","",IF(ISNUMBER($N2015),$N2015,IF(OR(ISNUMBER(SEARCH("surface",$J2015)),ISNUMBER(SEARCH("reserv",$J2015)),ISNUMBER(SEARCH("less and except",$J2015))),0,"")))</x:f>
      </x:c>
      <x:c r="Q2015" s="654" t="str">
        <x:f>IF($P2015="","",-$P2015)</x:f>
      </x:c>
      <x:c r="R2015" s="655" t="str">
        <x:f>IF($P2015="","",$O2015*$P2015)</x:f>
      </x:c>
      <x:c r="S2015" s="552" t="str">
        <x:f>IF($M2015="","",TRIM(IF($M2015="Mineral",IF(ISNUMBER($N2015),"Mineral; basis Conv Amt(dec). ",IF($P2015=0,"Mineral; surface-only/reserved-&gt;0 min. ","Mineral; NO AMOUNT-verify instrument. ")),$M2015&amp;" (non-mineral; excluded from mineral NMA). ")&amp;IF(OR(ISNUMBER(SEARCH("public",$G2015)),ISNUMBER(SEARCH("public",$H2015))),"FLAG: The Public placeholder-verify. ","")&amp;IF(ISNUMBER(SEARCH("all",$L2015)),"All-section coverage. ","")&amp;IF($O2015=0,"Gross acres unresolved. ","")&amp;"Gross=tract-map basis."))</x:f>
        <x:v>Leasehold (non-mineral; excluded from mineral NMA). Gross acres unresolved. Gross=tract-map basis.</x:v>
      </x:c>
      <x:c r="T2015" s="577" t="n"/>
      <x:c r="U2015" s="578" t="n"/>
      <x:c r="V2015" s="565" t="n"/>
      <x:c r="W2015" s="565" t="n"/>
      <x:c r="X2015" s="565" t="n"/>
      <x:c r="Y2015" s="565" t="n"/>
      <x:c r="Z2015" s="565" t="n"/>
    </x:row>
    <x:row r="2016">
      <x:c r="A2016" s="552" t="inlineStr">
        <x:is>
          <x:t xml:space="preserve">2006-005146</x:t>
        </x:is>
      </x:c>
      <x:c r="B2016" s="552" t="n"/>
      <x:c r="C2016" s="552" t="inlineStr">
        <x:is>
          <x:t xml:space="preserve">Memorandum of Trust</x:t>
        </x:is>
      </x:c>
      <x:c r="D2016" s="552" t="inlineStr">
        <x:is>
          <x:t xml:space="preserve">1845/333</x:t>
        </x:is>
      </x:c>
      <x:c r="E2016" s="653" t="n">
        <x:v>38869</x:v>
      </x:c>
      <x:c r="F2016" s="653" t="n">
        <x:v>38915</x:v>
      </x:c>
      <x:c r="G2016" s="552" t="inlineStr">
        <x:is>
          <x:t xml:space="preserve">Ruth Olson</x:t>
        </x:is>
      </x:c>
      <x:c r="H2016" s="552" t="inlineStr">
        <x:is>
          <x:t xml:space="preserve">The Public</x:t>
        </x:is>
      </x:c>
      <x:c r="I2016" s="552" t="inlineStr">
        <x:is>
          <x:t xml:space="preserve">E/2 NW/4 of 31-12N-24W, aol</x:t>
        </x:is>
      </x:c>
      <x:c r="J2016" s="552" t="inlineStr">
        <x:is>
          <x:t xml:space="preserve">Memorandum of Ruth Olson Living Trust dated 2/28/1991.</x:t>
        </x:is>
      </x:c>
      <x:c r="K2016" s="554" t="e">
        <x:f>HYPERLINK("https://okcountyrecords.com/detail/roger+mills/2006-005146","OKCountyRecords: 2006-005146")</x:f>
      </x:c>
      <x:c r="L2016" s="552" t="n">
        <x:v>4</x:v>
      </x:c>
      <x:c r="M2016" s="552" t="inlineStr">
        <x:is>
          <x:t xml:space="preserve">Leasehold</x:t>
        </x:is>
      </x:c>
      <x:c r="N2016" s="555" t="n"/>
      <x:c r="O2016" s="556" t="n">
        <x:f>IF($L2016="","",IF(ISNUMBER(SEARCH("all",$L2016)),640,(ISNUMBER(SEARCH("1",$L2016)))*80+(ISNUMBER(SEARCH("2",$L2016)))*160+(ISNUMBER(SEARCH("3",$L2016)))*40+(ISNUMBER(SEARCH("4",$L2016)))*80+(ISNUMBER(SEARCH("5",$L2016)))*120+(ISNUMBER(SEARCH("6",$L2016)))*80+(ISNUMBER(SEARCH("7",$L2016)))*40+(ISNUMBER(SEARCH("8",$L2016)))*40))</x:f>
        <x:v>0</x:v>
      </x:c>
      <x:c r="P2016" s="654" t="str">
        <x:f>IF($M2016&lt;&gt;"Mineral","",IF(ISNUMBER($N2016),$N2016,IF(OR(ISNUMBER(SEARCH("surface",$J2016)),ISNUMBER(SEARCH("reserv",$J2016)),ISNUMBER(SEARCH("less and except",$J2016))),0,"")))</x:f>
      </x:c>
      <x:c r="Q2016" s="654" t="str">
        <x:f>IF($P2016="","",-$P2016)</x:f>
      </x:c>
      <x:c r="R2016" s="655" t="str">
        <x:f>IF($P2016="","",$O2016*$P2016)</x:f>
      </x:c>
      <x:c r="S2016" s="552" t="inlineStr">
        <x:is>
          <x:t xml:space="preserve">Leasehold (non-mineral; excluded from mineral NMA). Gross=tract-map basis.</x:t>
        </x:is>
      </x:c>
      <x:c r="T2016" s="577" t="inlineStr">
        <x:is>
          <x:t xml:space="preserve">OK</x:t>
        </x:is>
      </x:c>
      <x:c r="U2016" s="578" t="inlineStr">
        <x:is>
          <x:t xml:space="preserve">Non-conveying — notice/affidavit/address change (The Public).</x:t>
        </x:is>
      </x:c>
      <x:c r="V2016" s="565" t="n"/>
      <x:c r="W2016" s="565" t="n"/>
      <x:c r="X2016" s="565" t="n"/>
      <x:c r="Y2016" s="565" t="n"/>
      <x:c r="Z2016" s="565" t="n"/>
    </x:row>
    <x:row r="2017">
      <x:c r="A2017" s="552" t="inlineStr">
        <x:is>
          <x:t xml:space="preserve">2006-004747</x:t>
        </x:is>
      </x:c>
      <x:c r="B2017" s="552" t="n"/>
      <x:c r="C2017" s="552" t="inlineStr">
        <x:is>
          <x:t xml:space="preserve">Partial Assignment of Oil and Gas Lease</x:t>
        </x:is>
      </x:c>
      <x:c r="D2017" s="552" t="inlineStr">
        <x:is>
          <x:t xml:space="preserve">1842/453</x:t>
        </x:is>
      </x:c>
      <x:c r="E2017" s="653" t="n">
        <x:v>38890</x:v>
      </x:c>
      <x:c r="F2017" s="653" t="n">
        <x:v>38897</x:v>
      </x:c>
      <x:c r="G2017" s="552" t="inlineStr">
        <x:is>
          <x:t xml:space="preserve">John Butera</x:t>
        </x:is>
      </x:c>
      <x:c r="H2017" s="552" t="inlineStr">
        <x:is>
          <x:t xml:space="preserve">Double L, LLC, 0.66 NMA,
5970 W. Sumac Ave.
Denver, CO 80202,
Wolf Point Exploration, LLC, 0.66 NMA,
315 W. Oak St., Suite 704
Ft. Collins, CO 80521,
John Butera, 0.66 NMA,
8770 Allison Drive, Unit F
Arvada, CO 80005</x:t>
        </x:is>
      </x:c>
      <x:c r="I2017" s="552" t="inlineStr">
        <x:is>
          <x:t xml:space="preserve">NW/4 SE/4, S/2 SE/4, SW/4 NE/4 of 31-12N-24W</x:t>
        </x:is>
      </x:c>
      <x:c r="J2017" s="552" t="inlineStr">
        <x:is>
          <x:t xml:space="preserve">Assignees reflected in the amount set opposite their names, in OGLs at 1736/496, 1736/596, 1736/598, 1736/193, 1736/195, 1736/199, 1736/496, 1736/588</x:t>
        </x:is>
      </x:c>
      <x:c r="K2017" s="554" t="e">
        <x:f>HYPERLINK("https://okcountyrecords.com/detail/roger+mills/2006-004747","OKCountyRecords: 2006-004747")</x:f>
      </x:c>
      <x:c r="L2017" s="552" t="n">
        <x:v>2</x:v>
      </x:c>
      <x:c r="M2017" s="552" t="inlineStr">
        <x:is>
          <x:t xml:space="preserve">Leasehold</x:t>
        </x:is>
      </x:c>
      <x:c r="N2017" s="555" t="n"/>
      <x:c r="O2017" s="556" t="n">
        <x:f>IF($L2017="","",IF(ISNUMBER(SEARCH("all",$L2017)),640,(ISNUMBER(SEARCH("1",$L2017)))*80+(ISNUMBER(SEARCH("2",$L2017)))*160+(ISNUMBER(SEARCH("3",$L2017)))*40+(ISNUMBER(SEARCH("4",$L2017)))*80+(ISNUMBER(SEARCH("5",$L2017)))*120+(ISNUMBER(SEARCH("6",$L2017)))*80+(ISNUMBER(SEARCH("7",$L2017)))*40+(ISNUMBER(SEARCH("8",$L2017)))*40))</x:f>
        <x:v>0</x:v>
      </x:c>
      <x:c r="P2017" s="654" t="str">
        <x:f>IF($M2017&lt;&gt;"Mineral","",IF(ISNUMBER($N2017),$N2017,IF(OR(ISNUMBER(SEARCH("surface",$J2017)),ISNUMBER(SEARCH("reserv",$J2017)),ISNUMBER(SEARCH("less and except",$J2017))),0,"")))</x:f>
      </x:c>
      <x:c r="Q2017" s="654" t="str">
        <x:f>IF($P2017="","",-$P2017)</x:f>
      </x:c>
      <x:c r="R2017" s="655" t="str">
        <x:f>IF($P2017="","",$O2017*$P2017)</x:f>
      </x:c>
      <x:c r="S2017" s="552" t="str">
        <x:f>IF($M2017="","",TRIM(IF($M2017="Mineral",IF(ISNUMBER($N2017),"Mineral; basis Conv Amt(dec). ",IF($P2017=0,"Mineral; surface-only/reserved-&gt;0 min. ","Mineral; NO AMOUNT-verify instrument. ")),$M2017&amp;" (non-mineral; excluded from mineral NMA). ")&amp;IF(OR(ISNUMBER(SEARCH("public",$G2017)),ISNUMBER(SEARCH("public",$H2017))),"FLAG: The Public placeholder-verify. ","")&amp;IF(ISNUMBER(SEARCH("all",$L2017)),"All-section coverage. ","")&amp;IF($O2017=0,"Gross acres unresolved. ","")&amp;"Gross=tract-map basis."))</x:f>
        <x:v>Leasehold (non-mineral; excluded from mineral NMA). Gross acres unresolved. Gross=tract-map basis.</x:v>
      </x:c>
      <x:c r="T2017" s="577" t="n"/>
      <x:c r="U2017" s="578" t="n"/>
      <x:c r="V2017" s="565" t="n"/>
      <x:c r="W2017" s="565" t="n"/>
      <x:c r="X2017" s="565" t="n"/>
      <x:c r="Y2017" s="565" t="n"/>
      <x:c r="Z2017" s="565" t="n"/>
    </x:row>
    <x:row r="2018">
      <x:c r="A2018" s="552" t="inlineStr">
        <x:is>
          <x:t xml:space="preserve">2006-005043</x:t>
        </x:is>
      </x:c>
      <x:c r="B2018" s="552" t="n"/>
      <x:c r="C2018" s="552" t="inlineStr">
        <x:is>
          <x:t xml:space="preserve">Assignment of Oil and Gas Leases</x:t>
        </x:is>
      </x:c>
      <x:c r="D2018" s="552" t="inlineStr">
        <x:is>
          <x:t xml:space="preserve">1844/584</x:t>
        </x:is>
      </x:c>
      <x:c r="E2018" s="653" t="n">
        <x:v>38905</x:v>
      </x:c>
      <x:c r="F2018" s="653" t="n">
        <x:v>38911</x:v>
      </x:c>
      <x:c r="G2018" s="552" t="inlineStr">
        <x:is>
          <x:t xml:space="preserve">St George Coal Co.</x:t>
        </x:is>
      </x:c>
      <x:c r="H2018" s="552" t="inlineStr">
        <x:is>
          <x:t xml:space="preserve">George B. Duke 
P.O. Box 21
Edgar, MT 59026
</x:t>
        </x:is>
      </x:c>
      <x:c r="I2018" s="552" t="inlineStr">
        <x:is>
          <x:t xml:space="preserve">NW/4 SE/4, S/2 SE/4, SW/4 NE/4 of 31-12N-24W</x:t>
        </x:is>
      </x:c>
      <x:c r="J2018" s="552" t="inlineStr">
        <x:is>
          <x:t xml:space="preserve">Assigns all right, title and interest in and to the Oil and Gas Leases recorded at 1736/596, 1736/598, 1736/193, 1824/181, 1736/195, 1736/199, 1736/496, 1736/588, 1736/590, 1736/197</x:t>
        </x:is>
      </x:c>
      <x:c r="K2018" s="554" t="e">
        <x:f>HYPERLINK("https://okcountyrecords.com/detail/roger+mills/2006-005043","OKCountyRecords: 2006-005043")</x:f>
      </x:c>
      <x:c r="L2018" s="552" t="n">
        <x:v>2</x:v>
      </x:c>
      <x:c r="M2018" s="552" t="inlineStr">
        <x:is>
          <x:t xml:space="preserve">Leasehold</x:t>
        </x:is>
      </x:c>
      <x:c r="N2018" s="555" t="n"/>
      <x:c r="O2018" s="556" t="n">
        <x:f>IF($L2018="","",IF(ISNUMBER(SEARCH("all",$L2018)),640,(ISNUMBER(SEARCH("1",$L2018)))*80+(ISNUMBER(SEARCH("2",$L2018)))*160+(ISNUMBER(SEARCH("3",$L2018)))*40+(ISNUMBER(SEARCH("4",$L2018)))*80+(ISNUMBER(SEARCH("5",$L2018)))*120+(ISNUMBER(SEARCH("6",$L2018)))*80+(ISNUMBER(SEARCH("7",$L2018)))*40+(ISNUMBER(SEARCH("8",$L2018)))*40))</x:f>
        <x:v>0</x:v>
      </x:c>
      <x:c r="P2018" s="654" t="str">
        <x:f>IF($M2018&lt;&gt;"Mineral","",IF(ISNUMBER($N2018),$N2018,IF(OR(ISNUMBER(SEARCH("surface",$J2018)),ISNUMBER(SEARCH("reserv",$J2018)),ISNUMBER(SEARCH("less and except",$J2018))),0,"")))</x:f>
      </x:c>
      <x:c r="Q2018" s="654" t="str">
        <x:f>IF($P2018="","",-$P2018)</x:f>
      </x:c>
      <x:c r="R2018" s="655" t="str">
        <x:f>IF($P2018="","",$O2018*$P2018)</x:f>
      </x:c>
      <x:c r="S2018" s="552" t="str">
        <x:f>IF($M2018="","",TRIM(IF($M2018="Mineral",IF(ISNUMBER($N2018),"Mineral; basis Conv Amt(dec). ",IF($P2018=0,"Mineral; surface-only/reserved-&gt;0 min. ","Mineral; NO AMOUNT-verify instrument. ")),$M2018&amp;" (non-mineral; excluded from mineral NMA). ")&amp;IF(OR(ISNUMBER(SEARCH("public",$G2018)),ISNUMBER(SEARCH("public",$H2018))),"FLAG: The Public placeholder-verify. ","")&amp;IF(ISNUMBER(SEARCH("all",$L2018)),"All-section coverage. ","")&amp;IF($O2018=0,"Gross acres unresolved. ","")&amp;"Gross=tract-map basis."))</x:f>
        <x:v>Leasehold (non-mineral; excluded from mineral NMA). Gross acres unresolved. Gross=tract-map basis.</x:v>
      </x:c>
      <x:c r="T2018" s="577" t="n"/>
      <x:c r="U2018" s="578" t="n"/>
      <x:c r="V2018" s="565" t="n"/>
      <x:c r="W2018" s="565" t="n"/>
      <x:c r="X2018" s="565" t="n"/>
      <x:c r="Y2018" s="565" t="n"/>
      <x:c r="Z2018" s="565" t="n"/>
    </x:row>
    <x:row r="2019">
      <x:c r="A2019" s="552" t="inlineStr">
        <x:is>
          <x:t xml:space="preserve">2007-008043</x:t>
        </x:is>
      </x:c>
      <x:c r="B2019" s="552" t="n"/>
      <x:c r="C2019" s="552" t="inlineStr">
        <x:is>
          <x:t xml:space="preserve">Assignment of Oil and Gas Leases</x:t>
        </x:is>
      </x:c>
      <x:c r="D2019" s="552" t="inlineStr">
        <x:is>
          <x:t xml:space="preserve">1567/6</x:t>
        </x:is>
      </x:c>
      <x:c r="E2019" s="653" t="n">
        <x:v>38909</x:v>
      </x:c>
      <x:c r="F2019" s="653" t="n"/>
      <x:c r="G2019" s="552" t="inlineStr">
        <x:is>
          <x:t xml:space="preserve">George Jourdan</x:t>
        </x:is>
      </x:c>
      <x:c r="H2019" s="552" t="inlineStr">
        <x:is>
          <x:t xml:space="preserve">JH Famiy, LLC
P.O. Box 3503
Lafayette, LA 70502
</x:t>
        </x:is>
      </x:c>
      <x:c r="I2019" s="552" t="inlineStr">
        <x:is>
          <x:t xml:space="preserve">NW/4 SE/4, S/2 SE/4, SW/4 NE/4 of 31-12N-24W</x:t>
        </x:is>
      </x:c>
      <x:c r="J2019" s="552" t="inlineStr">
        <x:is>
          <x:t xml:space="preserve">ARTI in ALL LANDS SITUATED IN ROGER MILLS COUNTY, OKLAHOMA INSOFAR
AND ONLY INSOFAR AS DESCRIBED HEREIN
DATE:
LESSOR:
LESSEE:
RECORDED:
LANDS:
DATE:
LESSOR:
LESSEE:
RECORDED:
LANDS:
DATE:
LESSOR:
LESSEE:
RECORDED:
RE-RECORDED:
LANDS:
DATE:
LESSOR:
LESSEE:
RECORDED:
LANDS:
DATE:
LESSOR:
LESSEE:
RECORDED:
LANDS:
DATE:
LESSOR:
January 16, 2004
Carl L. Bain, a/k/a Carl Leon Bain
R. Michael Lortz
February 12, 2004; Book 1736, Pages 596-597
Township 12 North, Range 24 West, I.M.
Section 31: SW4NE4, NW4SE14, S2SE4
January 16, 2004
Dow C. Bain and Edris O. Bain, husband and wife
R. Michael Lortz
February 12, 2004; Book 1736, Pages 598-599
Township 12 North, Range 24 West, I.M.
Section 31: SW4NE4, NW14SE4, S2SE4
January 16, 2004
Wilda E. Jensen
R. Michael Lortz
February 3, 2004; Book 1736, Pages 193-194
February 14, 2006; Book 1824, Pages 181-182
Township 12 North, Range 24 West, I.M.
Section 31: SWANE4, NW4SE4, S½SE4
January 16, 2004
Hans W. Jensen
R. Michael Lortz
February 3, 2004; Book 1736, Pages 195-196
Township 12 North, Range 24 West, I.M.
Section 31: SW4NE4, NWASE14, SY2SE4
January 16, 2004
Tim E. Jensen
R. Michael Lortz
February 3, 2004; Book 1736, Pages 199-200
Township 12 North, Range 24 West, I.M.
Section 31: SW4NE14, NW14SE14, S2SE4
January 27, 2004
John W. Bain, Joseph A. Bain and Anna T. Gibson,
Formerly Williams, sole and only heirs of Billy W.
Bain, a/k/a Billy Wayne Bain, deceased
LESSEE: R. Michael Lortz
RECORDED:
LANDS:
February 10, 2004; Book 1736, Pages 496-497
Township 12 North, Range 24 West, I.M.
Section 31: SW4NE14, NW14SE14, S2SE14
DATE: January 21, 2004
LESSOR:
LESSEE:
RECORDED:
LANDS:
Clarence C. Bain, Trustee of the CDB
Trust dated January 10, 1994
R. Michael Lortz
February 12, 2004; Book 1736, Pages 588-589
Township 12 North, Range 24 West, I.M.
Section 31: SWANE14, NW4SE4, SSE
DATE: January 16, 2004
LESSOR: Juanita M. Wolff
LESSEE: R. Michael Lortz
RECORDED:
LANDS:
DATE:
LESSOR:
LESSEE:
RECORDED:
LANDS:
February 12, 2004; Book 1736, Pages 590-591
Township 12 North, Range 24 West, I.M.
Section 31: SW14NE14, NW14SE14, S2SE14
January 22, 2004
A. C. Campbell, a/k/a Audy C. Campbell
R. Michael Lortz
February 3, 2004; Book 1736, Pages 197-198
Township 12 North, Range 24 West, I.M.
Section 31: SW4NE14, NW4SE4, S2SE4
</x:t>
        </x:is>
      </x:c>
      <x:c r="K2019" s="562" t="inlineStr">
        <x:is>
          <x:t xml:space="preserve">OKCountyRecords: 2007-008043</x:t>
        </x:is>
      </x:c>
      <x:c r="L2019" s="552" t="n">
        <x:v>2</x:v>
      </x:c>
      <x:c r="M2019" s="552" t="inlineStr">
        <x:is>
          <x:t xml:space="preserve">Leasehold</x:t>
        </x:is>
      </x:c>
      <x:c r="N2019" s="555" t="n">
        <x:v>1</x:v>
      </x:c>
      <x:c r="O2019" s="552" t="n">
        <x:f>IF($L2019="","",IF(ISNUMBER(SEARCH("all",$L2019)),640,(ISNUMBER(SEARCH("1",$L2019)))*80+(ISNUMBER(SEARCH("2",$L2019)))*160+(ISNUMBER(SEARCH("3",$L2019)))*40+(ISNUMBER(SEARCH("4",$L2019)))*80+(ISNUMBER(SEARCH("5",$L2019)))*120+(ISNUMBER(SEARCH("6",$L2019)))*80+(ISNUMBER(SEARCH("7",$L2019)))*40+(ISNUMBER(SEARCH("8",$L2019)))*40))</x:f>
        <x:v>0</x:v>
      </x:c>
      <x:c r="P2019" s="654" t="str">
        <x:f>IF($M2019&lt;&gt;"Mineral","",IF(ISNUMBER($N2019),$N2019,IF(OR(ISNUMBER(SEARCH("surface",$J2019)),ISNUMBER(SEARCH("reserv",$J2019)),ISNUMBER(SEARCH("less and except",$J2019))),0,"")))</x:f>
      </x:c>
      <x:c r="Q2019" s="654" t="str">
        <x:f>IF($P2019="","",-$P2019)</x:f>
      </x:c>
      <x:c r="R2019" s="655" t="str">
        <x:f>IF($P2019="","",$O2019*$P2019)</x:f>
      </x:c>
      <x:c r="S2019" s="552" t="str">
        <x:f>IF($M2019="","",TRIM(IF($M2019="Mineral",IF(ISNUMBER($N2019),"Mineral; basis Conv Amt(dec). ",IF($P2019=0,"Mineral; surface-only/reserved-&gt;0 min. ","Mineral; NO AMOUNT-verify instrument. ")),$M2019&amp;" (non-mineral; excluded from mineral NMA). ")&amp;IF(OR(ISNUMBER(SEARCH("public",$G2019)),ISNUMBER(SEARCH("public",$H2019))),"FLAG: The Public placeholder-verify. ","")&amp;IF(ISNUMBER(SEARCH("all",$L2019)),"All-section coverage. ","")&amp;IF($O2019=0,"Gross acres unresolved. ","")&amp;"Gross=tract-map basis."))</x:f>
        <x:v>Leasehold (non-mineral; excluded from mineral NMA). Gross acres unresolved. Gross=tract-map basis.</x:v>
      </x:c>
      <x:c r="T2019" s="577" t="inlineStr">
        <x:is>
          <x:t xml:space="preserve">VERIFY</x:t>
        </x:is>
      </x:c>
      <x:c r="U2019" s="578" t="inlineStr">
        <x:is>
          <x:t xml:space="preserve">Pull recorded image (Bk/Pg 1567/0006); confirm assignor, assignee, lease(s) assigned, legal, and dates.</x:t>
        </x:is>
      </x:c>
      <x:c r="V2019" s="565" t="n"/>
      <x:c r="W2019" s="565" t="n"/>
      <x:c r="X2019" s="565" t="n"/>
      <x:c r="Y2019" s="565" t="n"/>
      <x:c r="Z2019" s="565" t="n"/>
    </x:row>
    <x:row r="2020">
      <x:c r="A2020" s="552" t="inlineStr">
        <x:is>
          <x:t xml:space="preserve">2006-005081</x:t>
        </x:is>
      </x:c>
      <x:c r="B2020" s="552" t="n"/>
      <x:c r="C2020" s="552" t="inlineStr">
        <x:is>
          <x:t xml:space="preserve">Assignment of Oil and Gas Leases</x:t>
        </x:is>
      </x:c>
      <x:c r="D2020" s="552" t="inlineStr">
        <x:is>
          <x:t xml:space="preserve">1845/128</x:t>
        </x:is>
      </x:c>
      <x:c r="E2020" s="653" t="n">
        <x:v>38909</x:v>
      </x:c>
      <x:c r="F2020" s="653" t="n">
        <x:v>38912</x:v>
      </x:c>
      <x:c r="G2020" s="552" t="inlineStr">
        <x:is>
          <x:t xml:space="preserve">George Jourdan</x:t>
        </x:is>
      </x:c>
      <x:c r="H2020" s="552" t="inlineStr">
        <x:is>
          <x:t xml:space="preserve">JH Famiy, LLC
P.O. Box 3503
Lafayette, LA 70502
</x:t>
        </x:is>
      </x:c>
      <x:c r="I2020" s="552" t="inlineStr">
        <x:is>
          <x:t xml:space="preserve">NW/4 SE/4, S/2 SE/4, SW/4 NE/4 of 31-12N-24W</x:t>
        </x:is>
      </x:c>
      <x:c r="J2020" s="552" t="inlineStr">
        <x:is>
          <x:t xml:space="preserve">Assigns all right, title and interest in and to the Oil and Gas Leases recorded at 1736/596, 1736/598, 1736/193, 1824/181, 1736/195, 1736/199, 1736/496, 1736/588, 1736/590, 1736/197</x:t>
        </x:is>
      </x:c>
      <x:c r="K2020" s="554" t="e">
        <x:f>HYPERLINK("https://okcountyrecords.com/detail/roger+mills/2006-005081","OKCountyRecords: 2006-005081")</x:f>
      </x:c>
      <x:c r="L2020" s="552" t="n">
        <x:v>2</x:v>
      </x:c>
      <x:c r="M2020" s="552" t="inlineStr">
        <x:is>
          <x:t xml:space="preserve">Leasehold</x:t>
        </x:is>
      </x:c>
      <x:c r="N2020" s="555" t="n">
        <x:v>1</x:v>
      </x:c>
      <x:c r="O2020" s="556" t="n">
        <x:f>IF($L2020="","",IF(ISNUMBER(SEARCH("all",$L2020)),640,(ISNUMBER(SEARCH("1",$L2020)))*80+(ISNUMBER(SEARCH("2",$L2020)))*160+(ISNUMBER(SEARCH("3",$L2020)))*40+(ISNUMBER(SEARCH("4",$L2020)))*80+(ISNUMBER(SEARCH("5",$L2020)))*120+(ISNUMBER(SEARCH("6",$L2020)))*80+(ISNUMBER(SEARCH("7",$L2020)))*40+(ISNUMBER(SEARCH("8",$L2020)))*40))</x:f>
        <x:v>0</x:v>
      </x:c>
      <x:c r="P2020" s="654" t="str">
        <x:f>IF($M2020&lt;&gt;"Mineral","",IF(ISNUMBER($N2020),$N2020,IF(OR(ISNUMBER(SEARCH("surface",$J2020)),ISNUMBER(SEARCH("reserv",$J2020)),ISNUMBER(SEARCH("less and except",$J2020))),0,"")))</x:f>
      </x:c>
      <x:c r="Q2020" s="654" t="str">
        <x:f>IF($P2020="","",-$P2020)</x:f>
      </x:c>
      <x:c r="R2020" s="655" t="str">
        <x:f>IF($P2020="","",$O2020*$P2020)</x:f>
      </x:c>
      <x:c r="S2020" s="552" t="str">
        <x:f>IF($M2020="","",TRIM(IF($M2020="Mineral",IF(ISNUMBER($N2020),"Mineral; basis Conv Amt(dec). ",IF($P2020=0,"Mineral; surface-only/reserved-&gt;0 min. ","Mineral; NO AMOUNT-verify instrument. ")),$M2020&amp;" (non-mineral; excluded from mineral NMA). ")&amp;IF(OR(ISNUMBER(SEARCH("public",$G2020)),ISNUMBER(SEARCH("public",$H2020))),"FLAG: The Public placeholder-verify. ","")&amp;IF(ISNUMBER(SEARCH("all",$L2020)),"All-section coverage. ","")&amp;IF($O2020=0,"Gross acres unresolved. ","")&amp;"Gross=tract-map basis."))</x:f>
        <x:v>Leasehold (non-mineral; excluded from mineral NMA). Gross acres unresolved. Gross=tract-map basis.</x:v>
      </x:c>
      <x:c r="T2020" s="580" t="inlineStr">
        <x:is>
          <x:t xml:space="preserve">REVIEW</x:t>
        </x:is>
      </x:c>
      <x:c r="U2020" s="580" t="inlineStr">
        <x:is>
          <x:t xml:space="preserve">NEED: verify grantee name — "JH Famiy, LLC" appears to be a typo for "JH Family, LLC"; confirm against instrument image</x:t>
        </x:is>
      </x:c>
      <x:c r="V2020" s="565" t="n"/>
      <x:c r="W2020" s="565" t="n"/>
      <x:c r="X2020" s="565" t="n"/>
      <x:c r="Y2020" s="565" t="n"/>
      <x:c r="Z2020" s="565" t="n"/>
    </x:row>
    <x:row r="2021">
      <x:c r="A2021" s="552" t="inlineStr">
        <x:is>
          <x:t xml:space="preserve">2006-007198</x:t>
        </x:is>
      </x:c>
      <x:c r="B2021" s="552" t="n"/>
      <x:c r="C2021" s="552" t="inlineStr">
        <x:is>
          <x:t xml:space="preserve">Partial Assignment of Oil and Gas Lease Correction</x:t>
        </x:is>
      </x:c>
      <x:c r="D2021" s="552" t="inlineStr">
        <x:is>
          <x:t xml:space="preserve">1858/52</x:t>
        </x:is>
      </x:c>
      <x:c r="E2021" s="653" t="n">
        <x:v>39009</x:v>
      </x:c>
      <x:c r="F2021" s="653" t="n">
        <x:v>39029</x:v>
      </x:c>
      <x:c r="G2021" s="552" t="inlineStr">
        <x:is>
          <x:t xml:space="preserve">John Butera</x:t>
        </x:is>
      </x:c>
      <x:c r="H2021" s="552" t="inlineStr">
        <x:is>
          <x:t xml:space="preserve">Double L, LLC, 0.5 NMA,
5970 W. Sumac Ave.
Denver, CO 80202,
Wolf Point Exploration, LLC, 0.25 NMA,
315 W. Oak St., Suite 704
Ft. Collins, CO 80521,
</x:t>
        </x:is>
      </x:c>
      <x:c r="I2021" s="552" t="inlineStr">
        <x:is>
          <x:t xml:space="preserve">NW/4 SE/4, S/2 SE/4, SW/4 NE/4 of 31-12N-24W</x:t>
        </x:is>
      </x:c>
      <x:c r="J2021" s="552" t="inlineStr">
        <x:is>
          <x:t xml:space="preserve">Assignees reflected in the amount set opposite their names, in OGLs at 1736/496, 1736/596, 1736/598, 1736/193, 1736/195, 1736/199, 1736/496, 1736/588</x:t>
        </x:is>
      </x:c>
      <x:c r="K2021" s="554" t="e">
        <x:f>HYPERLINK("https://okcountyrecords.com/detail/roger+mills/2006-007198","OKCountyRecords: 2006-007198")</x:f>
      </x:c>
      <x:c r="L2021" s="552" t="n">
        <x:v>2</x:v>
      </x:c>
      <x:c r="M2021" s="552" t="inlineStr">
        <x:is>
          <x:t xml:space="preserve">Leasehold</x:t>
        </x:is>
      </x:c>
      <x:c r="N2021" s="555" t="n"/>
      <x:c r="O2021" s="556" t="n">
        <x:f>IF($L2021="","",IF(ISNUMBER(SEARCH("all",$L2021)),640,(ISNUMBER(SEARCH("1",$L2021)))*80+(ISNUMBER(SEARCH("2",$L2021)))*160+(ISNUMBER(SEARCH("3",$L2021)))*40+(ISNUMBER(SEARCH("4",$L2021)))*80+(ISNUMBER(SEARCH("5",$L2021)))*120+(ISNUMBER(SEARCH("6",$L2021)))*80+(ISNUMBER(SEARCH("7",$L2021)))*40+(ISNUMBER(SEARCH("8",$L2021)))*40))</x:f>
        <x:v>0</x:v>
      </x:c>
      <x:c r="P2021" s="654" t="str">
        <x:f>IF($M2021&lt;&gt;"Mineral","",IF(ISNUMBER($N2021),$N2021,IF(OR(ISNUMBER(SEARCH("surface",$J2021)),ISNUMBER(SEARCH("reserv",$J2021)),ISNUMBER(SEARCH("less and except",$J2021))),0,"")))</x:f>
      </x:c>
      <x:c r="Q2021" s="654" t="str">
        <x:f>IF($P2021="","",-$P2021)</x:f>
      </x:c>
      <x:c r="R2021" s="655" t="str">
        <x:f>IF($P2021="","",$O2021*$P2021)</x:f>
      </x:c>
      <x:c r="S2021" s="552" t="str">
        <x:f>IF($M2021="","",TRIM(IF($M2021="Mineral",IF(ISNUMBER($N2021),"Mineral; basis Conv Amt(dec). ",IF($P2021=0,"Mineral; surface-only/reserved-&gt;0 min. ","Mineral; NO AMOUNT-verify instrument. ")),$M2021&amp;" (non-mineral; excluded from mineral NMA). ")&amp;IF(OR(ISNUMBER(SEARCH("public",$G2021)),ISNUMBER(SEARCH("public",$H2021))),"FLAG: The Public placeholder-verify. ","")&amp;IF(ISNUMBER(SEARCH("all",$L2021)),"All-section coverage. ","")&amp;IF($O2021=0,"Gross acres unresolved. ","")&amp;"Gross=tract-map basis."))</x:f>
        <x:v>Leasehold (non-mineral; excluded from mineral NMA). Gross acres unresolved. Gross=tract-map basis.</x:v>
      </x:c>
      <x:c r="T2021" s="577" t="n"/>
      <x:c r="U2021" s="578" t="n"/>
      <x:c r="V2021" s="565" t="n"/>
      <x:c r="W2021" s="565" t="n"/>
      <x:c r="X2021" s="565" t="n"/>
      <x:c r="Y2021" s="565" t="n"/>
      <x:c r="Z2021" s="565" t="n"/>
    </x:row>
    <x:row r="2022">
      <x:c r="A2022" s="552" t="inlineStr">
        <x:is>
          <x:t xml:space="preserve">2007-000328</x:t>
        </x:is>
      </x:c>
      <x:c r="B2022" s="552" t="n"/>
      <x:c r="C2022" s="552" t="inlineStr">
        <x:is>
          <x:t xml:space="preserve">Assignment</x:t>
        </x:is>
      </x:c>
      <x:c r="D2022" s="552" t="inlineStr">
        <x:is>
          <x:t xml:space="preserve">1864/96</x:t>
        </x:is>
      </x:c>
      <x:c r="E2022" s="653" t="n">
        <x:v>39052</x:v>
      </x:c>
      <x:c r="F2022" s="653" t="n">
        <x:v>39104</x:v>
      </x:c>
      <x:c r="G2022" s="552" t="inlineStr">
        <x:is>
          <x:t xml:space="preserve">B. Kole Killion</x:t>
        </x:is>
      </x:c>
      <x:c r="H2022" s="552" t="inlineStr">
        <x:is>
          <x:t xml:space="preserve">Rhett L. Frazier
7731 Romaine St #3
West Hollywood, CA 90046
</x:t>
        </x:is>
      </x:c>
      <x:c r="I2022" s="552" t="inlineStr">
        <x:is>
          <x:t xml:space="preserve">NW/4 SE/4, S/2 SE/4, SW/4 NE/4 of 31-12N-24W</x:t>
        </x:is>
      </x:c>
      <x:c r="J2022" s="552" t="inlineStr">
        <x:is>
          <x:t xml:space="preserve">One-half (1/2) of Assignor's right, title and interest in and to the oil and gas leases recorded at 1736/596, 1736/598, 1736/193, 1824/181, 1736/195, 1736/199, 1736/496, 1736/588, 1736/590, 1736/197</x:t>
        </x:is>
      </x:c>
      <x:c r="K2022" s="554" t="e">
        <x:f>HYPERLINK("https://okcountyrecords.com/detail/roger+mills/2007-000328","OKCountyRecords: 2007-000328")</x:f>
      </x:c>
      <x:c r="L2022" s="552" t="n">
        <x:v>2</x:v>
      </x:c>
      <x:c r="M2022" s="552" t="inlineStr">
        <x:is>
          <x:t xml:space="preserve">Leasehold</x:t>
        </x:is>
      </x:c>
      <x:c r="N2022" s="555" t="n"/>
      <x:c r="O2022" s="556" t="n">
        <x:f>IF($L2022="","",IF(ISNUMBER(SEARCH("all",$L2022)),640,(ISNUMBER(SEARCH("1",$L2022)))*80+(ISNUMBER(SEARCH("2",$L2022)))*160+(ISNUMBER(SEARCH("3",$L2022)))*40+(ISNUMBER(SEARCH("4",$L2022)))*80+(ISNUMBER(SEARCH("5",$L2022)))*120+(ISNUMBER(SEARCH("6",$L2022)))*80+(ISNUMBER(SEARCH("7",$L2022)))*40+(ISNUMBER(SEARCH("8",$L2022)))*40))</x:f>
        <x:v>0</x:v>
      </x:c>
      <x:c r="P2022" s="654" t="str">
        <x:f>IF($M2022&lt;&gt;"Mineral","",IF(ISNUMBER($N2022),$N2022,IF(OR(ISNUMBER(SEARCH("surface",$J2022)),ISNUMBER(SEARCH("reserv",$J2022)),ISNUMBER(SEARCH("less and except",$J2022))),0,"")))</x:f>
      </x:c>
      <x:c r="Q2022" s="654" t="str">
        <x:f>IF($P2022="","",-$P2022)</x:f>
      </x:c>
      <x:c r="R2022" s="655" t="str">
        <x:f>IF($P2022="","",$O2022*$P2022)</x:f>
      </x:c>
      <x:c r="S2022" s="552" t="str">
        <x:f>IF($M2022="","",TRIM(IF($M2022="Mineral",IF(ISNUMBER($N2022),"Mineral; basis Conv Amt(dec). ",IF($P2022=0,"Mineral; surface-only/reserved-&gt;0 min. ","Mineral; NO AMOUNT-verify instrument. ")),$M2022&amp;" (non-mineral; excluded from mineral NMA). ")&amp;IF(OR(ISNUMBER(SEARCH("public",$G2022)),ISNUMBER(SEARCH("public",$H2022))),"FLAG: The Public placeholder-verify. ","")&amp;IF(ISNUMBER(SEARCH("all",$L2022)),"All-section coverage. ","")&amp;IF($O2022=0,"Gross acres unresolved. ","")&amp;"Gross=tract-map basis."))</x:f>
        <x:v>Leasehold (non-mineral; excluded from mineral NMA). Gross acres unresolved. Gross=tract-map basis.</x:v>
      </x:c>
      <x:c r="T2022" s="577" t="n"/>
      <x:c r="U2022" s="578" t="n"/>
      <x:c r="V2022" s="565" t="n"/>
      <x:c r="W2022" s="565" t="n"/>
      <x:c r="X2022" s="565" t="n"/>
      <x:c r="Y2022" s="565" t="n"/>
      <x:c r="Z2022" s="565" t="n"/>
    </x:row>
    <x:row r="2023">
      <x:c r="A2023" s="552" t="inlineStr">
        <x:is>
          <x:t xml:space="preserve">2007-003914</x:t>
        </x:is>
      </x:c>
      <x:c r="B2023" s="552" t="n"/>
      <x:c r="C2023" s="552" t="inlineStr">
        <x:is>
          <x:t xml:space="preserve">Memorandum of Option for Easement Agreement</x:t>
        </x:is>
      </x:c>
      <x:c r="D2023" s="552" t="inlineStr">
        <x:is>
          <x:t xml:space="preserve">1883/582</x:t>
        </x:is>
      </x:c>
      <x:c r="E2023" s="653" t="n">
        <x:v>39145</x:v>
      </x:c>
      <x:c r="F2023" s="653" t="n">
        <x:v>39325</x:v>
      </x:c>
      <x:c r="G2023" s="552" t="inlineStr">
        <x:is>
          <x:t xml:space="preserve">Floyd W. Atha,
Nancy D. Atha</x:t>
        </x:is>
      </x:c>
      <x:c r="H2023" s="552" t="inlineStr">
        <x:is>
          <x:t xml:space="preserve">Boulevard Associates, LLC</x:t>
        </x:is>
      </x:c>
      <x:c r="I2023" s="552" t="inlineStr">
        <x:is>
          <x:t xml:space="preserve">N/2 NE/4, NE/4 SE/4, SE/4 NE/4 of 31-12N-24W, aol</x:t>
        </x:is>
      </x:c>
      <x:c r="J2023" s="552" t="inlineStr">
        <x:is>
          <x:t xml:space="preserve">Memorandum of option for easement agreement. See instrument.</x:t>
        </x:is>
      </x:c>
      <x:c r="K2023" s="554" t="e">
        <x:f>HYPERLINK("https://okcountyrecords.com/detail/roger+mills/2007-003914","OKCountyRecords: 2007-003914")</x:f>
      </x:c>
      <x:c r="L2023" s="552" t="inlineStr">
        <x:is>
          <x:t xml:space="preserve">1, 3, 8</x:t>
        </x:is>
      </x:c>
      <x:c r="M2023" s="552" t="inlineStr">
        <x:is>
          <x:t xml:space="preserve">Leasehold</x:t>
        </x:is>
      </x:c>
      <x:c r="N2023" s="561" t="n"/>
      <x:c r="O2023" s="556" t="n">
        <x:f>IF($L2023="","",IF(ISNUMBER(SEARCH("all",$L2023)),640,(ISNUMBER(SEARCH("1",$L2023)))*80+(ISNUMBER(SEARCH("2",$L2023)))*160+(ISNUMBER(SEARCH("3",$L2023)))*40+(ISNUMBER(SEARCH("4",$L2023)))*80+(ISNUMBER(SEARCH("5",$L2023)))*120+(ISNUMBER(SEARCH("6",$L2023)))*80+(ISNUMBER(SEARCH("7",$L2023)))*40+(ISNUMBER(SEARCH("8",$L2023)))*40))</x:f>
        <x:v>0</x:v>
      </x:c>
      <x:c r="P2023" s="654" t="str">
        <x:f>IF($M2023&lt;&gt;"Mineral","",IF(ISNUMBER($N2023),$N2023,IF(OR(ISNUMBER(SEARCH("surface",$J2023)),ISNUMBER(SEARCH("reserv",$J2023)),ISNUMBER(SEARCH("less and except",$J2023))),0,"")))</x:f>
      </x:c>
      <x:c r="Q2023" s="654" t="str">
        <x:f>IF($P2023="","",-$P2023)</x:f>
      </x:c>
      <x:c r="R2023" s="655" t="str">
        <x:f>IF($P2023="","",$O2023*$P2023)</x:f>
      </x:c>
      <x:c r="S2023" s="552" t="str">
        <x:f>IF($M2023="","",TRIM(IF($M2023="Mineral",IF(ISNUMBER($N2023),"Mineral; basis Conv Amt(dec). ",IF($P2023=0,"Mineral; surface-only/reserved-&gt;0 min. ","Mineral; NO AMOUNT-verify instrument. ")),$M2023&amp;" (non-mineral; excluded from mineral NMA). ")&amp;IF(OR(ISNUMBER(SEARCH("public",$G2023)),ISNUMBER(SEARCH("public",$H2023))),"FLAG: The Public placeholder-verify. ","")&amp;IF(ISNUMBER(SEARCH("all",$L2023)),"All-section coverage. ","")&amp;IF($O2023=0,"Gross acres unresolved. ","")&amp;"Gross=tract-map basis."))</x:f>
        <x:v>Leasehold (non-mineral; excluded from mineral NMA). Gross acres unresolved. Gross=tract-map basis.</x:v>
      </x:c>
      <x:c r="T2023" s="577" t="n"/>
      <x:c r="U2023" s="578" t="n"/>
      <x:c r="V2023" s="565" t="n"/>
      <x:c r="W2023" s="565" t="n"/>
      <x:c r="X2023" s="565" t="n"/>
      <x:c r="Y2023" s="565" t="n"/>
      <x:c r="Z2023" s="565" t="n"/>
    </x:row>
    <x:row r="2024">
      <x:c r="A2024" s="552" t="inlineStr">
        <x:is>
          <x:t xml:space="preserve">2007-001374</x:t>
        </x:is>
      </x:c>
      <x:c r="B2024" s="552" t="n"/>
      <x:c r="C2024" s="552" t="inlineStr">
        <x:is>
          <x:t xml:space="preserve">Mineral Deed</x:t>
        </x:is>
      </x:c>
      <x:c r="D2024" s="552" t="inlineStr">
        <x:is>
          <x:t xml:space="preserve">1869/351</x:t>
        </x:is>
      </x:c>
      <x:c r="E2024" s="653" t="n">
        <x:v>39160</x:v>
      </x:c>
      <x:c r="F2024" s="653" t="n">
        <x:v>39167</x:v>
      </x:c>
      <x:c r="G2024" s="552" t="inlineStr">
        <x:is>
          <x:t xml:space="preserve">Lola F. Ricards</x:t>
        </x:is>
      </x:c>
      <x:c r="H2024" s="552" t="inlineStr">
        <x:is>
          <x:t xml:space="preserve">Arrowhead Resources, Inc.</x:t>
        </x:is>
      </x:c>
      <x:c r="I2024" s="552" t="inlineStr">
        <x:is>
          <x:t xml:space="preserve">NW/4 SE/4, S/2 SE/4, SW/4 NE/4 of 31-12N-24W, aol</x:t>
        </x:is>
      </x:c>
      <x:c r="J2024" s="552" t="inlineStr">
        <x:is>
          <x:t xml:space="preserve">ARTI</x:t>
        </x:is>
      </x:c>
      <x:c r="K2024" s="554" t="e">
        <x:f>HYPERLINK("https://okcountyrecords.com/detail/roger+mills/2007-001374","OKCountyRecords: 2007-001374")</x:f>
      </x:c>
      <x:c r="L2024" s="552" t="n">
        <x:v>2</x:v>
      </x:c>
      <x:c r="M2024" s="552" t="inlineStr">
        <x:is>
          <x:t xml:space="preserve">Mineral</x:t>
        </x:is>
      </x:c>
      <x:c r="N2024" s="555" t="n">
        <x:v>1</x:v>
      </x:c>
      <x:c r="O2024" s="556" t="n">
        <x:f>IF($L2024="","",IF(ISNUMBER(SEARCH("all",$L2024)),640,(ISNUMBER(SEARCH("1",$L2024)))*80+(ISNUMBER(SEARCH("2",$L2024)))*160+(ISNUMBER(SEARCH("3",$L2024)))*40+(ISNUMBER(SEARCH("4",$L2024)))*80+(ISNUMBER(SEARCH("5",$L2024)))*120+(ISNUMBER(SEARCH("6",$L2024)))*80+(ISNUMBER(SEARCH("7",$L2024)))*40+(ISNUMBER(SEARCH("8",$L2024)))*40))</x:f>
        <x:v>0</x:v>
      </x:c>
      <x:c r="P2024" s="654" t="n">
        <x:f>IF($M2024&lt;&gt;"Mineral","",IF(ISNUMBER($N2024),$N2024,IF(OR(ISNUMBER(SEARCH("surface",$J2024)),ISNUMBER(SEARCH("reserv",$J2024)),ISNUMBER(SEARCH("less and except",$J2024))),0,"")))</x:f>
        <x:v>1</x:v>
      </x:c>
      <x:c r="Q2024" s="654" t="n">
        <x:f>IF($P2024="","",-$P2024)</x:f>
        <x:v>-1</x:v>
      </x:c>
      <x:c r="R2024" s="655" t="n">
        <x:f>IF($P2024="","",$O2024*$P2024)</x:f>
        <x:v>0</x:v>
      </x:c>
      <x:c r="S2024" s="552" t="str">
        <x:f>IF($M2024="","",TRIM(IF($M2024="Mineral",IF(ISNUMBER($N2024),"Mineral; basis Conv Amt(dec). ",IF($P2024=0,"Mineral; surface-only/reserved-&gt;0 min. ","Mineral; NO AMOUNT-verify instrument. ")),$M2024&amp;" (non-mineral; excluded from mineral NMA). ")&amp;IF(OR(ISNUMBER(SEARCH("public",$G2024)),ISNUMBER(SEARCH("public",$H2024))),"FLAG: The Public placeholder-verify. ","")&amp;IF(ISNUMBER(SEARCH("all",$L2024)),"All-section coverage. ","")&amp;IF($O2024=0,"Gross acres unresolved. ","")&amp;"Gross=tract-map basis."))</x:f>
        <x:v>Mineral; basis Conv Amt(dec). Gross acres unresolved. Gross=tract-map basis.</x:v>
      </x:c>
      <x:c r="T2024" s="577" t="n"/>
      <x:c r="U2024" s="578" t="n"/>
      <x:c r="V2024" s="565" t="n"/>
      <x:c r="W2024" s="565" t="n"/>
      <x:c r="X2024" s="565" t="n"/>
      <x:c r="Y2024" s="565" t="n"/>
      <x:c r="Z2024" s="565" t="n"/>
    </x:row>
    <x:row r="2025">
      <x:c r="A2025" s="552" t="inlineStr">
        <x:is>
          <x:t xml:space="preserve">2007-001848</x:t>
        </x:is>
      </x:c>
      <x:c r="B2025" s="552" t="n"/>
      <x:c r="C2025" s="552" t="inlineStr">
        <x:is>
          <x:t xml:space="preserve">Quit Claim Deed</x:t>
        </x:is>
      </x:c>
      <x:c r="D2025" s="552" t="inlineStr">
        <x:is>
          <x:t xml:space="preserve">1872/277</x:t>
        </x:is>
      </x:c>
      <x:c r="E2025" s="653" t="n">
        <x:v>39162</x:v>
      </x:c>
      <x:c r="F2025" s="653" t="n">
        <x:v>39197</x:v>
      </x:c>
      <x:c r="G2025" s="552" t="inlineStr">
        <x:is>
          <x:t xml:space="preserve">Floyd W. Atha and Nancy D. Atha, HW</x:t>
        </x:is>
      </x:c>
      <x:c r="H2025" s="552" t="inlineStr">
        <x:is>
          <x:t xml:space="preserve">Floyd Atha and Nancy Atha, Co-Trustees of the Floyd Atha and Nancy Atha Revocable Trust dated March 21st, 2007</x:t>
        </x:is>
      </x:c>
      <x:c r="I2025" s="552" t="inlineStr">
        <x:is>
          <x:t xml:space="preserve">E/2 W/2 E/2 Lots 1-4, N/2 NE/4, NE/4 SE/4, SE/4 NE/4 of 31-12N-24W</x:t>
        </x:is>
      </x:c>
      <x:c r="J2025" s="552" t="inlineStr">
        <x:is>
          <x:t xml:space="preserve">ARTI</x:t>
        </x:is>
      </x:c>
      <x:c r="K2025" s="554" t="e">
        <x:f>HYPERLINK("https://okcountyrecords.com/detail/roger+mills/2007-001848","OKCountyRecords: 2007-001848")</x:f>
      </x:c>
      <x:c r="L2025" s="552" t="inlineStr">
        <x:is>
          <x:t xml:space="preserve">1, 3, 5, 8</x:t>
        </x:is>
      </x:c>
      <x:c r="M2025" s="552" t="inlineStr">
        <x:is>
          <x:t xml:space="preserve">Mineral</x:t>
        </x:is>
      </x:c>
      <x:c r="N2025" s="561" t="n">
        <x:v>1</x:v>
      </x:c>
      <x:c r="O2025" s="556" t="n">
        <x:f>IF($L2025="","",IF(ISNUMBER(SEARCH("all",$L2025)),640,(ISNUMBER(SEARCH("1",$L2025)))*80+(ISNUMBER(SEARCH("2",$L2025)))*160+(ISNUMBER(SEARCH("3",$L2025)))*40+(ISNUMBER(SEARCH("4",$L2025)))*80+(ISNUMBER(SEARCH("5",$L2025)))*120+(ISNUMBER(SEARCH("6",$L2025)))*80+(ISNUMBER(SEARCH("7",$L2025)))*40+(ISNUMBER(SEARCH("8",$L2025)))*40))</x:f>
        <x:v>0</x:v>
      </x:c>
      <x:c r="P2025" s="654" t="n">
        <x:f>IF($M2025&lt;&gt;"Mineral","",IF(ISNUMBER($N2025),$N2025,IF(OR(ISNUMBER(SEARCH("surface",$J2025)),ISNUMBER(SEARCH("reserv",$J2025)),ISNUMBER(SEARCH("less and except",$J2025))),0,"")))</x:f>
        <x:v>1</x:v>
      </x:c>
      <x:c r="Q2025" s="654" t="n">
        <x:f>IF($P2025="","",-$P2025)</x:f>
        <x:v>-1</x:v>
      </x:c>
      <x:c r="R2025" s="655" t="n">
        <x:f>IF($P2025="","",$O2025*$P2025)</x:f>
        <x:v>0</x:v>
      </x:c>
      <x:c r="S2025" s="552" t="str">
        <x:f>IF($M2025="","",TRIM(IF($M2025="Mineral",IF(ISNUMBER($N2025),"Mineral; basis Conv Amt(dec). ",IF($P2025=0,"Mineral; surface-only/reserved-&gt;0 min. ","Mineral; NO AMOUNT-verify instrument. ")),$M2025&amp;" (non-mineral; excluded from mineral NMA). ")&amp;IF(OR(ISNUMBER(SEARCH("public",$G2025)),ISNUMBER(SEARCH("public",$H2025))),"FLAG: The Public placeholder-verify. ","")&amp;IF(ISNUMBER(SEARCH("all",$L2025)),"All-section coverage. ","")&amp;IF($O2025=0,"Gross acres unresolved. ","")&amp;"Gross=tract-map basis."))</x:f>
        <x:v>Mineral; basis Conv Amt(dec). Gross acres unresolved. Gross=tract-map basis.</x:v>
      </x:c>
      <x:c r="T2025" s="577" t="n"/>
      <x:c r="U2025" s="578" t="n"/>
      <x:c r="V2025" s="565" t="n"/>
      <x:c r="W2025" s="565" t="n"/>
      <x:c r="X2025" s="565" t="n"/>
      <x:c r="Y2025" s="565" t="n"/>
      <x:c r="Z2025" s="565" t="n"/>
    </x:row>
    <x:row r="2026">
      <x:c r="A2026" s="552" t="inlineStr">
        <x:is>
          <x:t xml:space="preserve">2007-002874</x:t>
        </x:is>
      </x:c>
      <x:c r="B2026" s="552" t="n"/>
      <x:c r="C2026" s="552" t="inlineStr">
        <x:is>
          <x:t xml:space="preserve">Correction Assignment of Oil and Gas Leases</x:t>
        </x:is>
      </x:c>
      <x:c r="D2026" s="552" t="inlineStr">
        <x:is>
          <x:t xml:space="preserve">1878/327</x:t>
        </x:is>
      </x:c>
      <x:c r="E2026" s="653" t="n">
        <x:v>39268</x:v>
      </x:c>
      <x:c r="F2026" s="653" t="n">
        <x:v>39269</x:v>
      </x:c>
      <x:c r="G2026" s="552" t="inlineStr">
        <x:is>
          <x:t xml:space="preserve">Axis Exploration, LLC</x:t>
        </x:is>
      </x:c>
      <x:c r="H2026" s="552" t="inlineStr">
        <x:is>
          <x:t xml:space="preserve">EOG Resources, Inc.</x:t>
        </x:is>
      </x:c>
      <x:c r="I2026" s="552" t="inlineStr">
        <x:is>
          <x:t xml:space="preserve">S/2 NE/4 SW/4 Lots 3-4, SE/4 SW/4 of 31-12N-24W</x:t>
        </x:is>
      </x:c>
      <x:c r="J2026" s="552" t="inlineStr">
        <x:is>
          <x:t xml:space="preserve">ARTI
AXIS Exploration, L.L.C. and EOG Resources, Inc. do hereby amend and correct the description of the A. C.
Campbell aka Audy C. Campbell Oil and Gas Lease dated January 22, 2004, recorded in Book 1736,
Pages 197-198 by deleting the description "The Southwest Quarter of the Northeast Quarter and the
Northwest Quarter of the Southeast Quarter and the South Half of the Southeast Quarter of Section 31-
12N-24W, Roger Mills County", and substituting in lieu thereof the description "Lot 4 and the South Half of Lot 3 and the South Half of the Northeast Quarter of the Southwest Quarter and the Southeast Quarter of
the Southwest Quarter of Section 31-12N-24W, Roger Mills County, Oklahoma"</x:t>
        </x:is>
      </x:c>
      <x:c r="K2026" s="554" t="e">
        <x:f>HYPERLINK("https://okcountyrecords.com/detail/roger+mills/2007-002874","OKCountyRecords: 2007-002874")</x:f>
      </x:c>
      <x:c r="L2026" s="552" t="inlineStr">
        <x:is>
          <x:t xml:space="preserve">2, 3, 5, 6, 7</x:t>
        </x:is>
      </x:c>
      <x:c r="M2026" s="552" t="inlineStr">
        <x:is>
          <x:t xml:space="preserve">Leasehold</x:t>
        </x:is>
      </x:c>
      <x:c r="N2026" s="555" t="n"/>
      <x:c r="O2026" s="556" t="n">
        <x:f>IF($L2026="","",IF(ISNUMBER(SEARCH("all",$L2026)),640,(ISNUMBER(SEARCH("1",$L2026)))*80+(ISNUMBER(SEARCH("2",$L2026)))*160+(ISNUMBER(SEARCH("3",$L2026)))*40+(ISNUMBER(SEARCH("4",$L2026)))*80+(ISNUMBER(SEARCH("5",$L2026)))*120+(ISNUMBER(SEARCH("6",$L2026)))*80+(ISNUMBER(SEARCH("7",$L2026)))*40+(ISNUMBER(SEARCH("8",$L2026)))*40))</x:f>
        <x:v>0</x:v>
      </x:c>
      <x:c r="P2026" s="654" t="str">
        <x:f>IF($M2026&lt;&gt;"Mineral","",IF(ISNUMBER($N2026),$N2026,IF(OR(ISNUMBER(SEARCH("surface",$J2026)),ISNUMBER(SEARCH("reserv",$J2026)),ISNUMBER(SEARCH("less and except",$J2026))),0,"")))</x:f>
      </x:c>
      <x:c r="Q2026" s="654" t="str">
        <x:f>IF($P2026="","",-$P2026)</x:f>
      </x:c>
      <x:c r="R2026" s="655" t="str">
        <x:f>IF($P2026="","",$O2026*$P2026)</x:f>
      </x:c>
      <x:c r="S2026" s="552" t="str">
        <x:f>IF($M2026="","",TRIM(IF($M2026="Mineral",IF(ISNUMBER($N2026),"Mineral; basis Conv Amt(dec). ",IF($P2026=0,"Mineral; surface-only/reserved-&gt;0 min. ","Mineral; NO AMOUNT-verify instrument. ")),$M2026&amp;" (non-mineral; excluded from mineral NMA). ")&amp;IF(OR(ISNUMBER(SEARCH("public",$G2026)),ISNUMBER(SEARCH("public",$H2026))),"FLAG: The Public placeholder-verify. ","")&amp;IF(ISNUMBER(SEARCH("all",$L2026)),"All-section coverage. ","")&amp;IF($O2026=0,"Gross acres unresolved. ","")&amp;"Gross=tract-map basis."))</x:f>
        <x:v>Leasehold (non-mineral; excluded from mineral NMA). Gross acres unresolved. Gross=tract-map basis.</x:v>
      </x:c>
      <x:c r="T2026" s="577" t="n"/>
      <x:c r="U2026" s="578" t="n"/>
      <x:c r="V2026" s="565" t="n"/>
      <x:c r="W2026" s="565" t="n"/>
      <x:c r="X2026" s="565" t="n"/>
      <x:c r="Y2026" s="565" t="n"/>
      <x:c r="Z2026" s="565" t="n"/>
    </x:row>
    <x:row r="2027">
      <x:c r="A2027" s="552" t="inlineStr">
        <x:is>
          <x:t xml:space="preserve">2007-004018</x:t>
        </x:is>
      </x:c>
      <x:c r="B2027" s="552" t="n"/>
      <x:c r="C2027" s="552" t="inlineStr">
        <x:is>
          <x:t xml:space="preserve">Power of Attorney</x:t>
        </x:is>
      </x:c>
      <x:c r="D2027" s="552" t="inlineStr">
        <x:is>
          <x:t xml:space="preserve">1884/508</x:t>
        </x:is>
      </x:c>
      <x:c r="E2027" s="653" t="n">
        <x:v>39315</x:v>
      </x:c>
      <x:c r="F2027" s="653" t="n">
        <x:v>39329</x:v>
      </x:c>
      <x:c r="G2027" s="552" t="inlineStr">
        <x:is>
          <x:t xml:space="preserve">Kaiser Francis Oil Company</x:t>
        </x:is>
      </x:c>
      <x:c r="H2027" s="552" t="inlineStr">
        <x:is>
          <x:t xml:space="preserve">The Public</x:t>
        </x:is>
      </x:c>
      <x:c r="I2027" s="552" t="inlineStr">
        <x:is>
          <x:t xml:space="preserve">All of 31-12N-24W, aol</x:t>
        </x:is>
      </x:c>
      <x:c r="J2027" s="552" t="inlineStr">
        <x:is>
          <x:t xml:space="preserve">See instrument</x:t>
        </x:is>
      </x:c>
      <x:c r="K2027" s="554" t="e">
        <x:f>HYPERLINK("https://okcountyrecords.com/detail/roger+mills/2007-004018","OKCountyRecords: 2007-004018")</x:f>
      </x:c>
      <x:c r="L2027" s="552" t="inlineStr">
        <x:is>
          <x:t xml:space="preserve">All (1-8)</x:t>
        </x:is>
      </x:c>
      <x:c r="M2027" s="552" t="inlineStr">
        <x:is>
          <x:t xml:space="preserve">Other</x:t>
        </x:is>
      </x:c>
      <x:c r="N2027" s="555" t="n"/>
      <x:c r="O2027" s="556" t="n">
        <x:f>IF($L2027="","",IF(ISNUMBER(SEARCH("all",$L2027)),640,(ISNUMBER(SEARCH("1",$L2027)))*80+(ISNUMBER(SEARCH("2",$L2027)))*160+(ISNUMBER(SEARCH("3",$L2027)))*40+(ISNUMBER(SEARCH("4",$L2027)))*80+(ISNUMBER(SEARCH("5",$L2027)))*120+(ISNUMBER(SEARCH("6",$L2027)))*80+(ISNUMBER(SEARCH("7",$L2027)))*40+(ISNUMBER(SEARCH("8",$L2027)))*40))</x:f>
        <x:v>640</x:v>
      </x:c>
      <x:c r="P2027" s="654" t="str">
        <x:f>IF($M2027&lt;&gt;"Mineral","",IF(ISNUMBER($N2027),$N2027,IF(OR(ISNUMBER(SEARCH("surface",$J2027)),ISNUMBER(SEARCH("reserv",$J2027)),ISNUMBER(SEARCH("less and except",$J2027))),0,"")))</x:f>
      </x:c>
      <x:c r="Q2027" s="654" t="str">
        <x:f>IF($P2027="","",-$P2027)</x:f>
      </x:c>
      <x:c r="R2027" s="655" t="str">
        <x:f>IF($P2027="","",$O2027*$P2027)</x:f>
      </x:c>
      <x:c r="S2027" s="552" t="inlineStr">
        <x:is>
          <x:t xml:space="preserve">Other (non-mineral; excluded from mineral NMA). All-section coverage. Gross=tract-map basis.</x:t>
        </x:is>
      </x:c>
      <x:c r="T2027" s="577" t="inlineStr">
        <x:is>
          <x:t xml:space="preserve">OK</x:t>
        </x:is>
      </x:c>
      <x:c r="U2027" s="578" t="inlineStr">
        <x:is>
          <x:t xml:space="preserve">Non-conveying — notice/affidavit/address change (The Public).</x:t>
        </x:is>
      </x:c>
      <x:c r="V2027" s="565" t="n"/>
      <x:c r="W2027" s="565" t="n"/>
      <x:c r="X2027" s="565" t="n"/>
      <x:c r="Y2027" s="565" t="n"/>
      <x:c r="Z2027" s="565" t="n"/>
    </x:row>
    <x:row r="2028">
      <x:c r="A2028" s="552" t="inlineStr">
        <x:is>
          <x:t xml:space="preserve">1998-000843</x:t>
        </x:is>
      </x:c>
      <x:c r="B2028" s="552" t="n">
        <x:v>40</x:v>
      </x:c>
      <x:c r="C2028" s="552" t="inlineStr">
        <x:is>
          <x:t xml:space="preserve">Assignment, Bill of Sale and Conveyance</x:t>
        </x:is>
      </x:c>
      <x:c r="D2028" s="552" t="inlineStr">
        <x:is>
          <x:t xml:space="preserve">1567/6</x:t>
        </x:is>
      </x:c>
      <x:c r="E2028" s="653" t="n">
        <x:v>39336</x:v>
      </x:c>
      <x:c r="F2028" s="653" t="n">
        <x:v>39336</x:v>
      </x:c>
      <x:c r="G2028" s="552" t="inlineStr">
        <x:is>
          <x:t xml:space="preserve">Ocean Energy, Inc.</x:t>
        </x:is>
      </x:c>
      <x:c r="H2028" s="552" t="inlineStr">
        <x:is>
          <x:t xml:space="preserve">Ocean Energy Resources, Inc., a Delaware corporation
410 Seventeenth Street, Suite 1400
Denver, Colorado 80202</x:t>
        </x:is>
      </x:c>
      <x:c r="I2028" s="552" t="inlineStr">
        <x:is>
          <x:t xml:space="preserve">E/2 NW/4, NE/4 SE/4, SE/4 NE/4, W/2 NE/4 of 31-12N-24W, aol</x:t>
        </x:is>
      </x:c>
      <x:c r="J2028" s="552" t="inlineStr">
        <x:is>
          <x:t xml:space="preserve">ARTI</x:t>
        </x:is>
      </x:c>
      <x:c r="K2028" s="554" t="e">
        <x:f>HYPERLINK("https://okcountyrecords.com/detail/roger+mills/1998-000843","OKCountyRecords: 1998-000843")</x:f>
      </x:c>
      <x:c r="L2028" s="552" t="inlineStr">
        <x:is>
          <x:t xml:space="preserve">1, 2, 3, 4, 8</x:t>
        </x:is>
      </x:c>
      <x:c r="M2028" s="552" t="inlineStr">
        <x:is>
          <x:t xml:space="preserve">Leasehold</x:t>
        </x:is>
      </x:c>
      <x:c r="N2028" s="561" t="n"/>
      <x:c r="O2028" s="556" t="n">
        <x:f>IF($L2028="","",IF(ISNUMBER(SEARCH("all",$L2028)),640,(ISNUMBER(SEARCH("1",$L2028)))*80+(ISNUMBER(SEARCH("2",$L2028)))*160+(ISNUMBER(SEARCH("3",$L2028)))*40+(ISNUMBER(SEARCH("4",$L2028)))*80+(ISNUMBER(SEARCH("5",$L2028)))*120+(ISNUMBER(SEARCH("6",$L2028)))*80+(ISNUMBER(SEARCH("7",$L2028)))*40+(ISNUMBER(SEARCH("8",$L2028)))*40))</x:f>
        <x:v>0</x:v>
      </x:c>
      <x:c r="P2028" s="654" t="str">
        <x:f>IF($M2028&lt;&gt;"Mineral","",IF(ISNUMBER($N2028),$N2028,IF(OR(ISNUMBER(SEARCH("surface",$J2028)),ISNUMBER(SEARCH("reserv",$J2028)),ISNUMBER(SEARCH("less and except",$J2028))),0,"")))</x:f>
      </x:c>
      <x:c r="Q2028" s="654" t="str">
        <x:f>IF($P2028="","",-$P2028)</x:f>
      </x:c>
      <x:c r="R2028" s="655" t="str">
        <x:f>IF($P2028="","",$O2028*$P2028)</x:f>
      </x:c>
      <x:c r="S2028" s="552" t="str">
        <x:f>IF($M2028="","",TRIM(IF($M2028="Mineral",IF(ISNUMBER($N2028),"Mineral; basis Conv Amt(dec). ",IF($P2028=0,"Mineral; surface-only/reserved-&gt;0 min. ","Mineral; NO AMOUNT-verify instrument. ")),$M2028&amp;" (non-mineral; excluded from mineral NMA). ")&amp;IF(OR(ISNUMBER(SEARCH("public",$G2028)),ISNUMBER(SEARCH("public",$H2028))),"FLAG: The Public placeholder-verify. ","")&amp;IF(ISNUMBER(SEARCH("all",$L2028)),"All-section coverage. ","")&amp;IF($O2028=0,"Gross acres unresolved. ","")&amp;"Gross=tract-map basis."))</x:f>
        <x:v>Leasehold (non-mineral; excluded from mineral NMA). Gross acres unresolved. Gross=tract-map basis.</x:v>
      </x:c>
      <x:c r="T2028" s="580" t="inlineStr">
        <x:is>
          <x:t xml:space="preserve">REVIEW</x:t>
        </x:is>
      </x:c>
      <x:c r="U2028" s="580" t="inlineStr">
        <x:is>
          <x:t xml:space="preserve">NEED: confirm recording date — Instr# 1998-000843 and Bk 1567/6 indicate a 1998 instrument, but Effective/Recorded dates are entered as 09/2007. CONFLICT — verify against source image.</x:t>
        </x:is>
      </x:c>
      <x:c r="V2028" s="565" t="n"/>
      <x:c r="W2028" s="565" t="n"/>
      <x:c r="X2028" s="565" t="n"/>
      <x:c r="Y2028" s="565" t="n"/>
      <x:c r="Z2028" s="565" t="n"/>
    </x:row>
    <x:row r="2029">
      <x:c r="A2029" s="552" t="inlineStr">
        <x:is>
          <x:t xml:space="preserve">2007-005167</x:t>
        </x:is>
      </x:c>
      <x:c r="B2029" s="552" t="n"/>
      <x:c r="C2029" s="552" t="inlineStr">
        <x:is>
          <x:t xml:space="preserve">Final Decree</x:t>
        </x:is>
      </x:c>
      <x:c r="D2029" s="552" t="inlineStr">
        <x:is>
          <x:t xml:space="preserve">1892/567</x:t>
        </x:is>
      </x:c>
      <x:c r="E2029" s="653" t="n">
        <x:v>39400</x:v>
      </x:c>
      <x:c r="F2029" s="653" t="n">
        <x:v>39400</x:v>
      </x:c>
      <x:c r="G2029" s="552" t="inlineStr">
        <x:is>
          <x:t xml:space="preserve">Roger Mills County Court
RE: In the Matter of the Estate of Billy Wayne Bain, same person as
Billy W. BAIN, Deceased</x:t>
        </x:is>
      </x:c>
      <x:c r="H2029" s="552" t="inlineStr">
        <x:is>
          <x:t xml:space="preserve">Joseph A. Bain 1/3;
John W. Bain 1/3;
Anna T. Gibson 1/3;</x:t>
        </x:is>
      </x:c>
      <x:c r="I2029" s="552" t="inlineStr">
        <x:is>
          <x:t xml:space="preserve">NW/4 SE/4, S/2 SE/4, SW/4 NE/4 of 31-12N-24W, aol</x:t>
        </x:is>
      </x:c>
      <x:c r="J2029" s="552" t="inlineStr">
        <x:is>
          <x:t xml:space="preserve">ARTI An undivided 15.985121 acre interest, more or less, in the OIL, GAS and OTHER MINERALS</x:t>
        </x:is>
      </x:c>
      <x:c r="K2029" s="554" t="e">
        <x:f>HYPERLINK("https://okcountyrecords.com/detail/roger+mills/2007-005167","OKCountyRecords: 2007-005167")</x:f>
      </x:c>
      <x:c r="L2029" s="552" t="n">
        <x:v>2</x:v>
      </x:c>
      <x:c r="M2029" s="552" t="inlineStr">
        <x:is>
          <x:t xml:space="preserve">Mineral</x:t>
        </x:is>
      </x:c>
      <x:c r="N2029" s="555" t="n">
        <x:v>1</x:v>
      </x:c>
      <x:c r="O2029" s="556" t="n">
        <x:f>IF($L2029="","",IF(ISNUMBER(SEARCH("all",$L2029)),640,(ISNUMBER(SEARCH("1",$L2029)))*80+(ISNUMBER(SEARCH("2",$L2029)))*160+(ISNUMBER(SEARCH("3",$L2029)))*40+(ISNUMBER(SEARCH("4",$L2029)))*80+(ISNUMBER(SEARCH("5",$L2029)))*120+(ISNUMBER(SEARCH("6",$L2029)))*80+(ISNUMBER(SEARCH("7",$L2029)))*40+(ISNUMBER(SEARCH("8",$L2029)))*40))</x:f>
        <x:v>0</x:v>
      </x:c>
      <x:c r="P2029" s="654" t="n">
        <x:f>IF($M2029&lt;&gt;"Mineral","",IF(ISNUMBER($N2029),$N2029,IF(OR(ISNUMBER(SEARCH("surface",$J2029)),ISNUMBER(SEARCH("reserv",$J2029)),ISNUMBER(SEARCH("less and except",$J2029))),0,"")))</x:f>
        <x:v>1</x:v>
      </x:c>
      <x:c r="Q2029" s="654" t="n">
        <x:f>IF($P2029="","",-$P2029)</x:f>
        <x:v>-1</x:v>
      </x:c>
      <x:c r="R2029" s="655" t="n">
        <x:f>IF($P2029="","",$O2029*$P2029)</x:f>
        <x:v>0</x:v>
      </x:c>
      <x:c r="S2029" s="552" t="str">
        <x:f>IF($M2029="","",TRIM(IF($M2029="Mineral",IF(ISNUMBER($N2029),"Mineral; basis Conv Amt(dec). ",IF($P2029=0,"Mineral; surface-only/reserved-&gt;0 min. ","Mineral; NO AMOUNT-verify instrument. ")),$M2029&amp;" (non-mineral; excluded from mineral NMA). ")&amp;IF(OR(ISNUMBER(SEARCH("public",$G2029)),ISNUMBER(SEARCH("public",$H2029))),"FLAG: The Public placeholder-verify. ","")&amp;IF(ISNUMBER(SEARCH("all",$L2029)),"All-section coverage. ","")&amp;IF($O2029=0,"Gross acres unresolved. ","")&amp;"Gross=tract-map basis."))</x:f>
        <x:v>Mineral; basis Conv Amt(dec). Gross acres unresolved. Gross=tract-map basis.</x:v>
      </x:c>
      <x:c r="T2029" s="578" t="n"/>
      <x:c r="U2029" s="578" t="n"/>
      <x:c r="V2029" s="565" t="n"/>
      <x:c r="W2029" s="565" t="n"/>
      <x:c r="X2029" s="565" t="n"/>
      <x:c r="Y2029" s="565" t="n"/>
      <x:c r="Z2029" s="565" t="n"/>
    </x:row>
    <x:row r="2030">
      <x:c r="A2030" s="552" t="inlineStr">
        <x:is>
          <x:t xml:space="preserve">2008-004060</x:t>
        </x:is>
      </x:c>
      <x:c r="B2030" s="552" t="n"/>
      <x:c r="C2030" s="552" t="inlineStr">
        <x:is>
          <x:t xml:space="preserve">Quit Claim Mineral Deed</x:t>
        </x:is>
      </x:c>
      <x:c r="D2030" s="552" t="inlineStr">
        <x:is>
          <x:t xml:space="preserve">1919/359</x:t>
        </x:is>
      </x:c>
      <x:c r="E2030" s="653" t="n">
        <x:v>39645</x:v>
      </x:c>
      <x:c r="F2030" s="653" t="n">
        <x:v>39652</x:v>
      </x:c>
      <x:c r="G2030" s="552" t="inlineStr">
        <x:is>
          <x:t xml:space="preserve">Wayne A. Walters and Shawn S. Walters, HW</x:t>
        </x:is>
      </x:c>
      <x:c r="H2030" s="552" t="inlineStr">
        <x:is>
          <x:t xml:space="preserve">Wayne A. Walters and Shawn S. Walters, Co-Trustees of the Wayne A. Walters and Shawn S. Walters 2008 Oil and Gas Revocable Living Trust, dated the 16th day of July, 2008</x:t>
        </x:is>
      </x:c>
      <x:c r="I2030" s="552" t="inlineStr">
        <x:is>
          <x:t xml:space="preserve">SE/4 SW/4 of 31-12N-24W, aol</x:t>
        </x:is>
      </x:c>
      <x:c r="J2030" s="552" t="inlineStr">
        <x:is>
          <x:t xml:space="preserve">ARTI</x:t>
        </x:is>
      </x:c>
      <x:c r="K2030" s="554" t="e">
        <x:f>HYPERLINK("https://okcountyrecords.com/detail/roger+mills/2008-004060","OKCountyRecords: 2008-004060")</x:f>
      </x:c>
      <x:c r="L2030" s="552" t="n">
        <x:v>5</x:v>
      </x:c>
      <x:c r="M2030" s="552" t="inlineStr">
        <x:is>
          <x:t xml:space="preserve">Mineral</x:t>
        </x:is>
      </x:c>
      <x:c r="N2030" s="555" t="n">
        <x:v>1</x:v>
      </x:c>
      <x:c r="O2030" s="556" t="n">
        <x:f>IF($L2030="","",IF(ISNUMBER(SEARCH("all",$L2030)),640,(ISNUMBER(SEARCH("1",$L2030)))*80+(ISNUMBER(SEARCH("2",$L2030)))*160+(ISNUMBER(SEARCH("3",$L2030)))*40+(ISNUMBER(SEARCH("4",$L2030)))*80+(ISNUMBER(SEARCH("5",$L2030)))*120+(ISNUMBER(SEARCH("6",$L2030)))*80+(ISNUMBER(SEARCH("7",$L2030)))*40+(ISNUMBER(SEARCH("8",$L2030)))*40))</x:f>
        <x:v>0</x:v>
      </x:c>
      <x:c r="P2030" s="654" t="n">
        <x:f>IF($M2030&lt;&gt;"Mineral","",IF(ISNUMBER($N2030),$N2030,IF(OR(ISNUMBER(SEARCH("surface",$J2030)),ISNUMBER(SEARCH("reserv",$J2030)),ISNUMBER(SEARCH("less and except",$J2030))),0,"")))</x:f>
        <x:v>1</x:v>
      </x:c>
      <x:c r="Q2030" s="654" t="n">
        <x:f>IF($P2030="","",-$P2030)</x:f>
        <x:v>-1</x:v>
      </x:c>
      <x:c r="R2030" s="655" t="n">
        <x:f>IF($P2030="","",$O2030*$P2030)</x:f>
        <x:v>0</x:v>
      </x:c>
      <x:c r="S2030" s="552" t="str">
        <x:f>IF($M2030="","",TRIM(IF($M2030="Mineral",IF(ISNUMBER($N2030),"Mineral; basis Conv Amt(dec). ",IF($P2030=0,"Mineral; surface-only/reserved-&gt;0 min. ","Mineral; NO AMOUNT-verify instrument. ")),$M2030&amp;" (non-mineral; excluded from mineral NMA). ")&amp;IF(OR(ISNUMBER(SEARCH("public",$G2030)),ISNUMBER(SEARCH("public",$H2030))),"FLAG: The Public placeholder-verify. ","")&amp;IF(ISNUMBER(SEARCH("all",$L2030)),"All-section coverage. ","")&amp;IF($O2030=0,"Gross acres unresolved. ","")&amp;"Gross=tract-map basis."))</x:f>
        <x:v>Mineral; basis Conv Amt(dec). Gross acres unresolved. Gross=tract-map basis.</x:v>
      </x:c>
      <x:c r="T2030" s="578" t="n"/>
      <x:c r="U2030" s="578" t="n"/>
      <x:c r="V2030" s="565" t="n"/>
      <x:c r="W2030" s="565" t="n"/>
      <x:c r="X2030" s="565" t="n"/>
      <x:c r="Y2030" s="565" t="n"/>
      <x:c r="Z2030" s="565" t="n"/>
    </x:row>
    <x:row r="2031">
      <x:c r="A2031" s="552" t="inlineStr">
        <x:is>
          <x:t xml:space="preserve">2008-007325</x:t>
        </x:is>
      </x:c>
      <x:c r="B2031" s="552" t="n"/>
      <x:c r="C2031" s="552" t="inlineStr">
        <x:is>
          <x:t xml:space="preserve">Mineral Deed</x:t>
        </x:is>
      </x:c>
      <x:c r="D2031" s="552" t="inlineStr">
        <x:is>
          <x:t xml:space="preserve">1941/550</x:t>
        </x:is>
      </x:c>
      <x:c r="E2031" s="653" t="n">
        <x:v>39751</x:v>
      </x:c>
      <x:c r="F2031" s="653" t="n">
        <x:v>39783</x:v>
      </x:c>
      <x:c r="G2031" s="552" t="inlineStr">
        <x:is>
          <x:t xml:space="preserve">Jan A. Schroff, Independent Executor of the Estate of Rogene E. Williams, from The Jon T. and Rogene E. Williams Trust</x:t>
        </x:is>
      </x:c>
      <x:c r="H2031" s="552" t="inlineStr">
        <x:is>
          <x:t xml:space="preserve">Rogene E. Williams Revocable Living Trust</x:t>
        </x:is>
      </x:c>
      <x:c r="I2031" s="552" t="inlineStr">
        <x:is>
          <x:t xml:space="preserve">NW/4 SE/4, S/2 SE/4, SW/4 NE/4 of 31-12N-24W, aol</x:t>
        </x:is>
      </x:c>
      <x:c r="J2031" s="552" t="inlineStr">
        <x:is>
          <x:t xml:space="preserve">ARTI</x:t>
        </x:is>
      </x:c>
      <x:c r="K2031" s="554" t="e">
        <x:f>HYPERLINK("https://okcountyrecords.com/detail/roger+mills/2008-007325","OKCountyRecords: 2008-007325")</x:f>
      </x:c>
      <x:c r="L2031" s="552" t="n">
        <x:v>2</x:v>
      </x:c>
      <x:c r="M2031" s="552" t="inlineStr">
        <x:is>
          <x:t xml:space="preserve">Mineral</x:t>
        </x:is>
      </x:c>
      <x:c r="N2031" s="555" t="n">
        <x:v>1</x:v>
      </x:c>
      <x:c r="O2031" s="556" t="n">
        <x:f>IF($L2031="","",IF(ISNUMBER(SEARCH("all",$L2031)),640,(ISNUMBER(SEARCH("1",$L2031)))*80+(ISNUMBER(SEARCH("2",$L2031)))*160+(ISNUMBER(SEARCH("3",$L2031)))*40+(ISNUMBER(SEARCH("4",$L2031)))*80+(ISNUMBER(SEARCH("5",$L2031)))*120+(ISNUMBER(SEARCH("6",$L2031)))*80+(ISNUMBER(SEARCH("7",$L2031)))*40+(ISNUMBER(SEARCH("8",$L2031)))*40))</x:f>
        <x:v>0</x:v>
      </x:c>
      <x:c r="P2031" s="654" t="n">
        <x:f>IF($M2031&lt;&gt;"Mineral","",IF(ISNUMBER($N2031),$N2031,IF(OR(ISNUMBER(SEARCH("surface",$J2031)),ISNUMBER(SEARCH("reserv",$J2031)),ISNUMBER(SEARCH("less and except",$J2031))),0,"")))</x:f>
        <x:v>1</x:v>
      </x:c>
      <x:c r="Q2031" s="654" t="n">
        <x:f>IF($P2031="","",-$P2031)</x:f>
        <x:v>-1</x:v>
      </x:c>
      <x:c r="R2031" s="655" t="n">
        <x:f>IF($P2031="","",$O2031*$P2031)</x:f>
        <x:v>0</x:v>
      </x:c>
      <x:c r="S2031" s="552" t="str">
        <x:f>IF($M2031="","",TRIM(IF($M2031="Mineral",IF(ISNUMBER($N2031),"Mineral; basis Conv Amt(dec). ",IF($P2031=0,"Mineral; surface-only/reserved-&gt;0 min. ","Mineral; NO AMOUNT-verify instrument. ")),$M2031&amp;" (non-mineral; excluded from mineral NMA). ")&amp;IF(OR(ISNUMBER(SEARCH("public",$G2031)),ISNUMBER(SEARCH("public",$H2031))),"FLAG: The Public placeholder-verify. ","")&amp;IF(ISNUMBER(SEARCH("all",$L2031)),"All-section coverage. ","")&amp;IF($O2031=0,"Gross acres unresolved. ","")&amp;"Gross=tract-map basis."))</x:f>
        <x:v>Mineral; basis Conv Amt(dec). Gross acres unresolved. Gross=tract-map basis.</x:v>
      </x:c>
      <x:c r="T2031" s="578" t="n"/>
      <x:c r="U2031" s="578" t="n"/>
      <x:c r="V2031" s="565" t="n"/>
      <x:c r="W2031" s="565" t="n"/>
      <x:c r="X2031" s="565" t="n"/>
      <x:c r="Y2031" s="565" t="n"/>
      <x:c r="Z2031" s="565" t="n"/>
    </x:row>
    <x:row r="2032">
      <x:c r="A2032" s="552" t="inlineStr">
        <x:is>
          <x:t xml:space="preserve">2008-007080</x:t>
        </x:is>
      </x:c>
      <x:c r="B2032" s="552" t="n"/>
      <x:c r="C2032" s="552" t="inlineStr">
        <x:is>
          <x:t xml:space="preserve">Memorandum of Trust</x:t>
        </x:is>
      </x:c>
      <x:c r="D2032" s="552" t="inlineStr">
        <x:is>
          <x:t xml:space="preserve">1940/420</x:t>
        </x:is>
      </x:c>
      <x:c r="E2032" s="653" t="n">
        <x:v>39756</x:v>
      </x:c>
      <x:c r="F2032" s="653" t="n">
        <x:v>39770</x:v>
      </x:c>
      <x:c r="G2032" s="552" t="inlineStr">
        <x:is>
          <x:t xml:space="preserve">Wayne A. Walters and Shawn S. Walters, the duly appointed
Co-Trustees</x:t>
        </x:is>
      </x:c>
      <x:c r="H2032" s="552" t="inlineStr">
        <x:is>
          <x:t xml:space="preserve">The Public</x:t>
        </x:is>
      </x:c>
      <x:c r="I2032" s="552" t="inlineStr">
        <x:is>
          <x:t xml:space="preserve">SE/4 SW/4 of 31-12N-24W, aol</x:t>
        </x:is>
      </x:c>
      <x:c r="J2032" s="552" t="inlineStr">
        <x:is>
          <x:t xml:space="preserve">ARTI to Trust</x:t>
        </x:is>
      </x:c>
      <x:c r="K2032" s="554" t="e">
        <x:f>HYPERLINK("https://okcountyrecords.com/detail/roger+mills/2008-007080","OKCountyRecords: 2008-007080")</x:f>
      </x:c>
      <x:c r="L2032" s="552" t="n">
        <x:v>5</x:v>
      </x:c>
      <x:c r="M2032" s="552" t="inlineStr">
        <x:is>
          <x:t xml:space="preserve">Leasehold</x:t>
        </x:is>
      </x:c>
      <x:c r="N2032" s="555" t="n"/>
      <x:c r="O2032" s="556" t="n">
        <x:f>IF($L2032="","",IF(ISNUMBER(SEARCH("all",$L2032)),640,(ISNUMBER(SEARCH("1",$L2032)))*80+(ISNUMBER(SEARCH("2",$L2032)))*160+(ISNUMBER(SEARCH("3",$L2032)))*40+(ISNUMBER(SEARCH("4",$L2032)))*80+(ISNUMBER(SEARCH("5",$L2032)))*120+(ISNUMBER(SEARCH("6",$L2032)))*80+(ISNUMBER(SEARCH("7",$L2032)))*40+(ISNUMBER(SEARCH("8",$L2032)))*40))</x:f>
        <x:v>0</x:v>
      </x:c>
      <x:c r="P2032" s="654" t="str">
        <x:f>IF($M2032&lt;&gt;"Mineral","",IF(ISNUMBER($N2032),$N2032,IF(OR(ISNUMBER(SEARCH("surface",$J2032)),ISNUMBER(SEARCH("reserv",$J2032)),ISNUMBER(SEARCH("less and except",$J2032))),0,"")))</x:f>
      </x:c>
      <x:c r="Q2032" s="654" t="str">
        <x:f>IF($P2032="","",-$P2032)</x:f>
      </x:c>
      <x:c r="R2032" s="655" t="str">
        <x:f>IF($P2032="","",$O2032*$P2032)</x:f>
      </x:c>
      <x:c r="S2032" s="552" t="str">
        <x:f>IF($M2032="","",TRIM(IF($M2032="Mineral",IF(ISNUMBER($N2032),"Mineral; basis Conv Amt(dec). ",IF($P2032=0,"Mineral; surface-only/reserved-&gt;0 min. ","Mineral; NO AMOUNT-verify instrument. ")),$M2032&amp;" (non-mineral; excluded from mineral NMA). ")&amp;IF(OR(ISNUMBER(SEARCH("public",$G2032)),ISNUMBER(SEARCH("public",$H2032))),"FLAG: The Public placeholder-verify. ","")&amp;IF(ISNUMBER(SEARCH("all",$L2032)),"All-section coverage. ","")&amp;IF($O2032=0,"Gross acres unresolved. ","")&amp;"Gross=tract-map basis."))</x:f>
        <x:v>Leasehold (non-mineral; excluded from mineral NMA). FLAG: The Public placeholder-verify. Gross acres unresolved. Gross=tract-map basis.</x:v>
      </x:c>
      <x:c r="T2032" s="577" t="n"/>
      <x:c r="U2032" s="578" t="n"/>
      <x:c r="V2032" s="565" t="n"/>
      <x:c r="W2032" s="565" t="n"/>
      <x:c r="X2032" s="565" t="n"/>
      <x:c r="Y2032" s="565" t="n"/>
      <x:c r="Z2032" s="565" t="n"/>
    </x:row>
    <x:row r="2033">
      <x:c r="A2033" s="552" t="inlineStr">
        <x:is>
          <x:t xml:space="preserve">2009-000222</x:t>
        </x:is>
      </x:c>
      <x:c r="B2033" s="552" t="n"/>
      <x:c r="C2033" s="552" t="inlineStr">
        <x:is>
          <x:t xml:space="preserve">Assignment</x:t>
        </x:is>
      </x:c>
      <x:c r="D2033" s="552" t="inlineStr">
        <x:is>
          <x:t xml:space="preserve">1945/410</x:t>
        </x:is>
      </x:c>
      <x:c r="E2033" s="653" t="n">
        <x:v>39815</x:v>
      </x:c>
      <x:c r="F2033" s="653" t="n">
        <x:v>39828</x:v>
      </x:c>
      <x:c r="G2033" s="552" t="inlineStr">
        <x:is>
          <x:t xml:space="preserve">Encore Operating, L.P.</x:t>
        </x:is>
      </x:c>
      <x:c r="H2033" s="552" t="inlineStr">
        <x:is>
          <x:t xml:space="preserve">Encore Energy Partners Operating, LLC</x:t>
        </x:is>
      </x:c>
      <x:c r="I2033" s="552" t="inlineStr">
        <x:is>
          <x:t xml:space="preserve">E/2 NW/4, N/2 NE/4 SW/4, NE/4 SE/4, SE/4 NE/4 of 31-12N-24W, aol</x:t>
        </x:is>
      </x:c>
      <x:c r="J2033" s="552" t="inlineStr">
        <x:is>
          <x:t xml:space="preserve">ARTI</x:t>
        </x:is>
      </x:c>
      <x:c r="K2033" s="554" t="e">
        <x:f>HYPERLINK("https://okcountyrecords.com/detail/roger+mills/2009-000222","OKCountyRecords: 2009-000222")</x:f>
      </x:c>
      <x:c r="L2033" s="552" t="inlineStr">
        <x:is>
          <x:t xml:space="preserve">1, 3, 4, 7, 8</x:t>
        </x:is>
      </x:c>
      <x:c r="M2033" s="552" t="inlineStr">
        <x:is>
          <x:t xml:space="preserve">Leasehold</x:t>
        </x:is>
      </x:c>
      <x:c r="N2033" s="561" t="n"/>
      <x:c r="O2033" s="556" t="n">
        <x:f>IF($L2033="","",IF(ISNUMBER(SEARCH("all",$L2033)),640,(ISNUMBER(SEARCH("1",$L2033)))*80+(ISNUMBER(SEARCH("2",$L2033)))*160+(ISNUMBER(SEARCH("3",$L2033)))*40+(ISNUMBER(SEARCH("4",$L2033)))*80+(ISNUMBER(SEARCH("5",$L2033)))*120+(ISNUMBER(SEARCH("6",$L2033)))*80+(ISNUMBER(SEARCH("7",$L2033)))*40+(ISNUMBER(SEARCH("8",$L2033)))*40))</x:f>
        <x:v>0</x:v>
      </x:c>
      <x:c r="P2033" s="654" t="str">
        <x:f>IF($M2033&lt;&gt;"Mineral","",IF(ISNUMBER($N2033),$N2033,IF(OR(ISNUMBER(SEARCH("surface",$J2033)),ISNUMBER(SEARCH("reserv",$J2033)),ISNUMBER(SEARCH("less and except",$J2033))),0,"")))</x:f>
      </x:c>
      <x:c r="Q2033" s="654" t="str">
        <x:f>IF($P2033="","",-$P2033)</x:f>
      </x:c>
      <x:c r="R2033" s="655" t="str">
        <x:f>IF($P2033="","",$O2033*$P2033)</x:f>
      </x:c>
      <x:c r="S2033" s="552" t="str">
        <x:f>IF($M2033="","",TRIM(IF($M2033="Mineral",IF(ISNUMBER($N2033),"Mineral; basis Conv Amt(dec). ",IF($P2033=0,"Mineral; surface-only/reserved-&gt;0 min. ","Mineral; NO AMOUNT-verify instrument. ")),$M2033&amp;" (non-mineral; excluded from mineral NMA). ")&amp;IF(OR(ISNUMBER(SEARCH("public",$G2033)),ISNUMBER(SEARCH("public",$H2033))),"FLAG: The Public placeholder-verify. ","")&amp;IF(ISNUMBER(SEARCH("all",$L2033)),"All-section coverage. ","")&amp;IF($O2033=0,"Gross acres unresolved. ","")&amp;"Gross=tract-map basis."))</x:f>
        <x:v>Leasehold (non-mineral; excluded from mineral NMA). Gross acres unresolved. Gross=tract-map basis.</x:v>
      </x:c>
      <x:c r="T2033" s="577" t="n"/>
      <x:c r="U2033" s="578" t="n"/>
      <x:c r="V2033" s="565" t="n"/>
      <x:c r="W2033" s="565" t="n"/>
      <x:c r="X2033" s="565" t="n"/>
      <x:c r="Y2033" s="565" t="n"/>
      <x:c r="Z2033" s="565" t="n"/>
    </x:row>
    <x:row r="2034">
      <x:c r="A2034" s="552" t="inlineStr">
        <x:is>
          <x:t xml:space="preserve">2009-000702</x:t>
        </x:is>
      </x:c>
      <x:c r="B2034" s="552" t="n"/>
      <x:c r="C2034" s="552" t="inlineStr">
        <x:is>
          <x:t xml:space="preserve">Affidavit of Heirship</x:t>
        </x:is>
      </x:c>
      <x:c r="D2034" s="552" t="inlineStr">
        <x:is>
          <x:t xml:space="preserve">1948/262</x:t>
        </x:is>
      </x:c>
      <x:c r="E2034" s="653" t="n">
        <x:v>39854</x:v>
      </x:c>
      <x:c r="F2034" s="653" t="n">
        <x:v>39861</x:v>
      </x:c>
      <x:c r="G2034" s="552" t="inlineStr">
        <x:is>
          <x:t xml:space="preserve">Willa Hambrook</x:t>
        </x:is>
      </x:c>
      <x:c r="H2034" s="552" t="inlineStr">
        <x:is>
          <x:t xml:space="preserve">The Public
RE: Thomas O HAMBROOK, deceased
Heirs:
Ray HAMBROOK,
Vada Loretth Hubbard</x:t>
        </x:is>
      </x:c>
      <x:c r="I2034" s="552" t="inlineStr">
        <x:is>
          <x:t xml:space="preserve">All of 31-12N-24W</x:t>
        </x:is>
      </x:c>
      <x:c r="J2034" s="552" t="inlineStr">
        <x:is>
          <x:t xml:space="preserve">ARTI</x:t>
        </x:is>
      </x:c>
      <x:c r="K2034" s="554" t="e">
        <x:f>HYPERLINK("https://okcountyrecords.com/detail/roger+mills/2009-000702","OKCountyRecords: 2009-000702")</x:f>
      </x:c>
      <x:c r="L2034" s="552" t="inlineStr">
        <x:is>
          <x:t xml:space="preserve">All (1-8)</x:t>
        </x:is>
      </x:c>
      <x:c r="M2034" s="552" t="inlineStr">
        <x:is>
          <x:t xml:space="preserve">Mineral</x:t>
        </x:is>
      </x:c>
      <x:c r="N2034" s="555" t="n">
        <x:v>1</x:v>
      </x:c>
      <x:c r="O2034" s="556" t="n">
        <x:f>IF($L2034="","",IF(ISNUMBER(SEARCH("all",$L2034)),640,(ISNUMBER(SEARCH("1",$L2034)))*80+(ISNUMBER(SEARCH("2",$L2034)))*160+(ISNUMBER(SEARCH("3",$L2034)))*40+(ISNUMBER(SEARCH("4",$L2034)))*80+(ISNUMBER(SEARCH("5",$L2034)))*120+(ISNUMBER(SEARCH("6",$L2034)))*80+(ISNUMBER(SEARCH("7",$L2034)))*40+(ISNUMBER(SEARCH("8",$L2034)))*40))</x:f>
        <x:v>640</x:v>
      </x:c>
      <x:c r="P2034" s="654" t="n">
        <x:f>IF($M2034&lt;&gt;"Mineral","",IF(ISNUMBER($N2034),$N2034,IF(OR(ISNUMBER(SEARCH("surface",$J2034)),ISNUMBER(SEARCH("reserv",$J2034)),ISNUMBER(SEARCH("less and except",$J2034))),0,"")))</x:f>
        <x:v>1</x:v>
      </x:c>
      <x:c r="Q2034" s="654" t="n">
        <x:f>IF($P2034="","",-$P2034)</x:f>
        <x:v>-1</x:v>
      </x:c>
      <x:c r="R2034" s="655" t="n">
        <x:f>IF($P2034="","",$O2034*$P2034)</x:f>
        <x:v>640</x:v>
      </x:c>
      <x:c r="S2034" s="552" t="str">
        <x:f>IF($M2034="","",TRIM(IF($M2034="Mineral",IF(ISNUMBER($N2034),"Mineral; basis Conv Amt(dec). ",IF($P2034=0,"Mineral; surface-only/reserved-&gt;0 min. ","Mineral; VERIFY — NEED full instrument image for conveyed amount. ")),$M2034&amp;" (non-mineral; excluded from mineral NMA). ")&amp;IF(OR(ISNUMBER(SEARCH("public",$G2034)),ISNUMBER(SEARCH("public",$H2034))),"FLAG: The Public placeholder; VERIFY — NEED source confirmation. ","")&amp;IF(ISNUMBER(SEARCH("all",$L2034)),"All-section coverage. ","")&amp;IF($O2034=0,"Gross acres unresolved. ","")&amp;"Gross=tract-map basis."))</x:f>
        <x:v>Mineral; basis Conv Amt(dec). FLAG: The Public placeholder; VERIFY — NEED source confirmation. All-section coverage. Gross=tract-map basis.</x:v>
      </x:c>
      <x:c r="T2034" s="578" t="inlineStr">
        <x:is>
          <x:t xml:space="preserve">REVIEW</x:t>
        </x:is>
      </x:c>
      <x:c r="U2034" s="578" t="inlineStr">
        <x:is>
          <x:t xml:space="preserve">NEED: confirm conveyed mineral acreage from instrument image — named party present under 'The Public' (affidavit/notice); placeholder identity resolved.</x:t>
        </x:is>
      </x:c>
      <x:c r="V2034" s="565" t="n"/>
      <x:c r="W2034" s="565" t="n"/>
      <x:c r="X2034" s="565" t="n"/>
      <x:c r="Y2034" s="565" t="n"/>
      <x:c r="Z2034" s="565" t="n"/>
    </x:row>
    <x:row r="2035">
      <x:c r="A2035" s="552" t="inlineStr">
        <x:is>
          <x:t xml:space="preserve">2009-000895</x:t>
        </x:is>
      </x:c>
      <x:c r="B2035" s="552" t="n"/>
      <x:c r="C2035" s="552" t="inlineStr">
        <x:is>
          <x:t xml:space="preserve">Mineral Deed</x:t>
        </x:is>
      </x:c>
      <x:c r="D2035" s="552" t="inlineStr">
        <x:is>
          <x:t xml:space="preserve">1949/217</x:t>
        </x:is>
      </x:c>
      <x:c r="E2035" s="653" t="n">
        <x:v>39871</x:v>
      </x:c>
      <x:c r="F2035" s="653" t="n">
        <x:v>39874</x:v>
      </x:c>
      <x:c r="G2035" s="552" t="inlineStr">
        <x:is>
          <x:t xml:space="preserve">Jesse W. Fuchs and Jinkee Acuero Fuchs, HW</x:t>
        </x:is>
      </x:c>
      <x:c r="H2035" s="552" t="inlineStr">
        <x:is>
          <x:t xml:space="preserve">Jessica Corry Fuchs</x:t>
        </x:is>
      </x:c>
      <x:c r="I2035" s="552" t="inlineStr">
        <x:is>
          <x:t xml:space="preserve">NW/4 SE/4, S/2 SE/4, SW/4 NE/4 of 31-12N-24W, aol</x:t>
        </x:is>
      </x:c>
      <x:c r="J2035" s="552" t="inlineStr">
        <x:is>
          <x:t xml:space="preserve">An undivided 22.915741/791.47 interest in 2 sections</x:t>
        </x:is>
      </x:c>
      <x:c r="K2035" s="554" t="e">
        <x:f>HYPERLINK("https://okcountyrecords.com/detail/roger+mills/2009-000895","OKCountyRecords: 2009-000895")</x:f>
      </x:c>
      <x:c r="L2035" s="552" t="n">
        <x:v>2</x:v>
      </x:c>
      <x:c r="M2035" s="552" t="inlineStr">
        <x:is>
          <x:t xml:space="preserve">Mineral</x:t>
        </x:is>
      </x:c>
      <x:c r="N2035" s="555" t="n">
        <x:f>22.915741/791.47</x:f>
        <x:v>0.028953391789960453</x:v>
      </x:c>
      <x:c r="O2035" s="556" t="n">
        <x:f>IF($L2035="","",IF(ISNUMBER(SEARCH("all",$L2035)),640,(ISNUMBER(SEARCH("1",$L2035)))*80+(ISNUMBER(SEARCH("2",$L2035)))*160+(ISNUMBER(SEARCH("3",$L2035)))*40+(ISNUMBER(SEARCH("4",$L2035)))*80+(ISNUMBER(SEARCH("5",$L2035)))*120+(ISNUMBER(SEARCH("6",$L2035)))*80+(ISNUMBER(SEARCH("7",$L2035)))*40+(ISNUMBER(SEARCH("8",$L2035)))*40))</x:f>
        <x:v>0</x:v>
      </x:c>
      <x:c r="P2035" s="654" t="n">
        <x:f>IF($M2035&lt;&gt;"Mineral","",IF(ISNUMBER($N2035),$N2035,IF(OR(ISNUMBER(SEARCH("surface",$J2035)),ISNUMBER(SEARCH("reserv",$J2035)),ISNUMBER(SEARCH("less and except",$J2035))),0,"")))</x:f>
        <x:v>0.028953391789960453</x:v>
      </x:c>
      <x:c r="Q2035" s="654" t="n">
        <x:f>IF($P2035="","",-$P2035)</x:f>
        <x:v>-0.028953391789960453</x:v>
      </x:c>
      <x:c r="R2035" s="655" t="n">
        <x:f>IF($P2035="","",$O2035*$P2035)</x:f>
        <x:v>0</x:v>
      </x:c>
      <x:c r="S2035" s="552" t="str">
        <x:f>IF($M2035="","",TRIM(IF($M2035="Mineral",IF(ISNUMBER($N2035),"Mineral; basis Conv Amt(dec). ",IF($P2035=0,"Mineral; surface-only/reserved-&gt;0 min. ","Mineral; NO AMOUNT-verify instrument. ")),$M2035&amp;" (non-mineral; excluded from mineral NMA). ")&amp;IF(OR(ISNUMBER(SEARCH("public",$G2035)),ISNUMBER(SEARCH("public",$H2035))),"FLAG: The Public placeholder-verify. ","")&amp;IF(ISNUMBER(SEARCH("all",$L2035)),"All-section coverage. ","")&amp;IF($O2035=0,"Gross acres unresolved. ","")&amp;"Gross=tract-map basis."))</x:f>
        <x:v>Mineral; basis Conv Amt(dec). Gross acres unresolved. Gross=tract-map basis.</x:v>
      </x:c>
      <x:c r="T2035" s="578" t="n"/>
      <x:c r="U2035" s="578" t="n"/>
      <x:c r="V2035" s="565" t="n"/>
      <x:c r="W2035" s="565" t="n"/>
      <x:c r="X2035" s="565" t="n"/>
      <x:c r="Y2035" s="565" t="n"/>
      <x:c r="Z2035" s="565" t="n"/>
    </x:row>
    <x:row r="2036">
      <x:c r="A2036" s="552" t="inlineStr">
        <x:is>
          <x:t xml:space="preserve">2009-004292</x:t>
        </x:is>
      </x:c>
      <x:c r="B2036" s="552" t="n"/>
      <x:c r="C2036" s="552" t="inlineStr">
        <x:is>
          <x:t xml:space="preserve">Power of Attorney</x:t>
        </x:is>
      </x:c>
      <x:c r="D2036" s="552" t="inlineStr">
        <x:is>
          <x:t xml:space="preserve">1972/574</x:t>
        </x:is>
      </x:c>
      <x:c r="E2036" s="653" t="n">
        <x:v>40059</x:v>
      </x:c>
      <x:c r="F2036" s="653" t="n">
        <x:v>40094</x:v>
      </x:c>
      <x:c r="G2036" s="552" t="inlineStr">
        <x:is>
          <x:t xml:space="preserve">Kaiser-francis Oil Company</x:t>
        </x:is>
      </x:c>
      <x:c r="H2036" s="552" t="inlineStr">
        <x:is>
          <x:t xml:space="preserve">Craig Dolinsky</x:t>
        </x:is>
      </x:c>
      <x:c r="I2036" s="552" t="inlineStr">
        <x:is>
          <x:t xml:space="preserve">LALEXANDER 1-31 of 31-12N-24W, aol</x:t>
        </x:is>
      </x:c>
      <x:c r="J2036" s="552" t="inlineStr">
        <x:is>
          <x:t xml:space="preserve">See instrument</x:t>
        </x:is>
      </x:c>
      <x:c r="K2036" s="554" t="e">
        <x:f>HYPERLINK("https://okcountyrecords.com/detail/roger+mills/2009-004292","OKCountyRecords: 2009-004292")</x:f>
      </x:c>
      <x:c r="L2036" s="552" t="inlineStr">
        <x:is>
          <x:t xml:space="preserve">All (1-8)</x:t>
        </x:is>
      </x:c>
      <x:c r="M2036" s="552" t="inlineStr">
        <x:is>
          <x:t xml:space="preserve">Other</x:t>
        </x:is>
      </x:c>
      <x:c r="N2036" s="555" t="n"/>
      <x:c r="O2036" s="556" t="n">
        <x:f>IF($L2036="","",IF(ISNUMBER(SEARCH("all",$L2036)),640,(ISNUMBER(SEARCH("1",$L2036)))*80+(ISNUMBER(SEARCH("2",$L2036)))*160+(ISNUMBER(SEARCH("3",$L2036)))*40+(ISNUMBER(SEARCH("4",$L2036)))*80+(ISNUMBER(SEARCH("5",$L2036)))*120+(ISNUMBER(SEARCH("6",$L2036)))*80+(ISNUMBER(SEARCH("7",$L2036)))*40+(ISNUMBER(SEARCH("8",$L2036)))*40))</x:f>
        <x:v>640</x:v>
      </x:c>
      <x:c r="P2036" s="654" t="str">
        <x:f>IF($M2036&lt;&gt;"Mineral","",IF(ISNUMBER($N2036),$N2036,IF(OR(ISNUMBER(SEARCH("surface",$J2036)),ISNUMBER(SEARCH("reserv",$J2036)),ISNUMBER(SEARCH("less and except",$J2036))),0,"")))</x:f>
      </x:c>
      <x:c r="Q2036" s="654" t="str">
        <x:f>IF($P2036="","",-$P2036)</x:f>
      </x:c>
      <x:c r="R2036" s="655" t="str">
        <x:f>IF($P2036="","",$O2036*$P2036)</x:f>
      </x:c>
      <x:c r="S2036" s="552" t="str">
        <x:f>IF($M2036="","",TRIM(IF($M2036="Mineral",IF(ISNUMBER($N2036),"Mineral; basis Conv Amt(dec). ",IF($P2036=0,"Mineral; surface-only/reserved-&gt;0 min. ","Mineral; NO AMOUNT-verify instrument. ")),$M2036&amp;" (non-mineral; excluded from mineral NMA). ")&amp;IF(OR(ISNUMBER(SEARCH("public",$G2036)),ISNUMBER(SEARCH("public",$H2036))),"FLAG: The Public placeholder-verify. ","")&amp;IF(ISNUMBER(SEARCH("all",$L2036)),"All-section coverage. ","")&amp;IF($O2036=0,"Gross acres unresolved. ","")&amp;"Gross=tract-map basis."))</x:f>
        <x:v>Other (non-mineral; excluded from mineral NMA). All-section coverage. Gross=tract-map basis.</x:v>
      </x:c>
      <x:c r="T2036" s="577" t="n"/>
      <x:c r="U2036" s="578" t="n"/>
      <x:c r="V2036" s="565" t="n"/>
      <x:c r="W2036" s="565" t="n"/>
      <x:c r="X2036" s="565" t="n"/>
      <x:c r="Y2036" s="565" t="n"/>
      <x:c r="Z2036" s="565" t="n"/>
    </x:row>
    <x:row r="2037">
      <x:c r="A2037" s="552" t="inlineStr">
        <x:is>
          <x:t xml:space="preserve">2010-002337</x:t>
        </x:is>
      </x:c>
      <x:c r="B2037" s="552" t="n"/>
      <x:c r="C2037" s="552" t="inlineStr">
        <x:is>
          <x:t xml:space="preserve">Quit Claim Mineral Deed</x:t>
        </x:is>
      </x:c>
      <x:c r="D2037" s="552" t="inlineStr">
        <x:is>
          <x:t xml:space="preserve">2002/576</x:t>
        </x:is>
      </x:c>
      <x:c r="E2037" s="653" t="n">
        <x:v>40067</x:v>
      </x:c>
      <x:c r="F2037" s="653" t="n">
        <x:v>40238</x:v>
      </x:c>
      <x:c r="G2037" s="552" t="inlineStr">
        <x:is>
          <x:t xml:space="preserve">Dwight J. Williams and Elizabeth M. Williams, HW</x:t>
        </x:is>
      </x:c>
      <x:c r="H2037" s="552" t="inlineStr">
        <x:is>
          <x:t xml:space="preserve">Dwight J. Williams Revocable Trust U/A Dated May 28, 2009, Dwight J. Williams Trustee</x:t>
        </x:is>
      </x:c>
      <x:c r="I2037" s="552" t="inlineStr">
        <x:is>
          <x:t xml:space="preserve">NW/4 SE/4, S/2 SE/4, SW/4 NE/4 of 31-12N-24W, aol</x:t>
        </x:is>
      </x:c>
      <x:c r="J2037" s="552" t="inlineStr">
        <x:is>
          <x:t xml:space="preserve">ARTI</x:t>
        </x:is>
      </x:c>
      <x:c r="K2037" s="554" t="e">
        <x:f>HYPERLINK("https://okcountyrecords.com/detail/roger+mills/2010-002337","OKCountyRecords: 2010-002337")</x:f>
      </x:c>
      <x:c r="L2037" s="552" t="n">
        <x:v>2</x:v>
      </x:c>
      <x:c r="M2037" s="552" t="inlineStr">
        <x:is>
          <x:t xml:space="preserve">Mineral</x:t>
        </x:is>
      </x:c>
      <x:c r="N2037" s="555" t="n">
        <x:v>1</x:v>
      </x:c>
      <x:c r="O2037" s="556" t="n">
        <x:f>IF($L2037="","",IF(ISNUMBER(SEARCH("all",$L2037)),640,(ISNUMBER(SEARCH("1",$L2037)))*80+(ISNUMBER(SEARCH("2",$L2037)))*160+(ISNUMBER(SEARCH("3",$L2037)))*40+(ISNUMBER(SEARCH("4",$L2037)))*80+(ISNUMBER(SEARCH("5",$L2037)))*120+(ISNUMBER(SEARCH("6",$L2037)))*80+(ISNUMBER(SEARCH("7",$L2037)))*40+(ISNUMBER(SEARCH("8",$L2037)))*40))</x:f>
        <x:v>0</x:v>
      </x:c>
      <x:c r="P2037" s="654" t="n">
        <x:f>IF($M2037&lt;&gt;"Mineral","",IF(ISNUMBER($N2037),$N2037,IF(OR(ISNUMBER(SEARCH("surface",$J2037)),ISNUMBER(SEARCH("reserv",$J2037)),ISNUMBER(SEARCH("less and except",$J2037))),0,"")))</x:f>
        <x:v>1</x:v>
      </x:c>
      <x:c r="Q2037" s="654" t="n">
        <x:f>IF($P2037="","",-$P2037)</x:f>
        <x:v>-1</x:v>
      </x:c>
      <x:c r="R2037" s="655" t="n">
        <x:f>IF($P2037="","",$O2037*$P2037)</x:f>
        <x:v>0</x:v>
      </x:c>
      <x:c r="S2037" s="552" t="str">
        <x:f>IF($M2037="","",TRIM(IF($M2037="Mineral",IF(ISNUMBER($N2037),"Mineral; basis Conv Amt(dec). ",IF($P2037=0,"Mineral; surface-only/reserved-&gt;0 min. ","Mineral; NO AMOUNT-verify instrument. ")),$M2037&amp;" (non-mineral; excluded from mineral NMA). ")&amp;IF(OR(ISNUMBER(SEARCH("public",$G2037)),ISNUMBER(SEARCH("public",$H2037))),"FLAG: The Public placeholder-verify. ","")&amp;IF(ISNUMBER(SEARCH("all",$L2037)),"All-section coverage. ","")&amp;IF($O2037=0,"Gross acres unresolved. ","")&amp;"Gross=tract-map basis."))</x:f>
        <x:v>Mineral; basis Conv Amt(dec). Gross acres unresolved. Gross=tract-map basis.</x:v>
      </x:c>
      <x:c r="T2037" s="577" t="n"/>
      <x:c r="U2037" s="578" t="n"/>
      <x:c r="V2037" s="565" t="n"/>
      <x:c r="W2037" s="565" t="n"/>
      <x:c r="X2037" s="565" t="n"/>
      <x:c r="Y2037" s="565" t="n"/>
      <x:c r="Z2037" s="565" t="n"/>
    </x:row>
    <x:row r="2038">
      <x:c r="A2038" s="552" t="inlineStr">
        <x:is>
          <x:t xml:space="preserve">2009-006282</x:t>
        </x:is>
      </x:c>
      <x:c r="B2038" s="552" t="n"/>
      <x:c r="C2038" s="552" t="inlineStr">
        <x:is>
          <x:t xml:space="preserve">Stipulation</x:t>
        </x:is>
      </x:c>
      <x:c r="D2038" s="552" t="inlineStr">
        <x:is>
          <x:t xml:space="preserve">1984/236</x:t>
        </x:is>
      </x:c>
      <x:c r="E2038" s="653" t="n">
        <x:v>40133</x:v>
      </x:c>
      <x:c r="F2038" s="653" t="n">
        <x:v>40158</x:v>
      </x:c>
      <x:c r="G2038" s="552" t="inlineStr">
        <x:is>
          <x:t xml:space="preserve">Arrowhead Resources, Inc.</x:t>
        </x:is>
      </x:c>
      <x:c r="H2038" s="552" t="inlineStr">
        <x:is>
          <x:t xml:space="preserve">Bhch Mineral, Ltd.,
Bhch Properties, Ltd.,
Garg Oil</x:t>
        </x:is>
      </x:c>
      <x:c r="I2038" s="552" t="inlineStr">
        <x:is>
          <x:t xml:space="preserve">All of 31-12N-24W, aol</x:t>
        </x:is>
      </x:c>
      <x:c r="J2038" s="552" t="inlineStr">
        <x:is>
          <x:t xml:space="preserve">11.5385 NMA
From 1637/26, 1639/206, 1639/426</x:t>
        </x:is>
      </x:c>
      <x:c r="K2038" s="554" t="e">
        <x:f>HYPERLINK("https://okcountyrecords.com/detail/roger+mills/2009-006282","OKCountyRecords: 2009-006282")</x:f>
      </x:c>
      <x:c r="L2038" s="552" t="inlineStr">
        <x:is>
          <x:t xml:space="preserve">All (1-8)</x:t>
        </x:is>
      </x:c>
      <x:c r="M2038" s="552" t="inlineStr">
        <x:is>
          <x:t xml:space="preserve">Leasehold</x:t>
        </x:is>
      </x:c>
      <x:c r="N2038" s="555" t="n"/>
      <x:c r="O2038" s="556" t="n">
        <x:f>IF($L2038="","",IF(ISNUMBER(SEARCH("all",$L2038)),640,(ISNUMBER(SEARCH("1",$L2038)))*80+(ISNUMBER(SEARCH("2",$L2038)))*160+(ISNUMBER(SEARCH("3",$L2038)))*40+(ISNUMBER(SEARCH("4",$L2038)))*80+(ISNUMBER(SEARCH("5",$L2038)))*120+(ISNUMBER(SEARCH("6",$L2038)))*80+(ISNUMBER(SEARCH("7",$L2038)))*40+(ISNUMBER(SEARCH("8",$L2038)))*40))</x:f>
        <x:v>640</x:v>
      </x:c>
      <x:c r="P2038" s="654" t="str">
        <x:f>IF($M2038&lt;&gt;"Mineral","",IF(ISNUMBER($N2038),$N2038,IF(OR(ISNUMBER(SEARCH("surface",$J2038)),ISNUMBER(SEARCH("reserv",$J2038)),ISNUMBER(SEARCH("less and except",$J2038))),0,"")))</x:f>
      </x:c>
      <x:c r="Q2038" s="654" t="str">
        <x:f>IF($P2038="","",-$P2038)</x:f>
      </x:c>
      <x:c r="R2038" s="655" t="str">
        <x:f>IF($P2038="","",$O2038*$P2038)</x:f>
      </x:c>
      <x:c r="S2038" s="552" t="str">
        <x:f>IF($M2038="","",TRIM(IF($M2038="Mineral",IF(ISNUMBER($N2038),"Mineral; basis Conv Amt(dec). ",IF($P2038=0,"Mineral; surface-only/reserved-&gt;0 min. ","Mineral; NO AMOUNT-verify instrument. ")),$M2038&amp;" (non-mineral; excluded from mineral NMA). ")&amp;IF(OR(ISNUMBER(SEARCH("public",$G2038)),ISNUMBER(SEARCH("public",$H2038))),"FLAG: The Public placeholder-verify. ","")&amp;IF(ISNUMBER(SEARCH("all",$L2038)),"All-section coverage. ","")&amp;IF($O2038=0,"Gross acres unresolved. ","")&amp;"Gross=tract-map basis."))</x:f>
        <x:v>Leasehold (non-mineral; excluded from mineral NMA). All-section coverage. Gross=tract-map basis.</x:v>
      </x:c>
      <x:c r="T2038" s="577" t="n"/>
      <x:c r="U2038" s="578" t="n"/>
      <x:c r="V2038" s="565" t="n"/>
      <x:c r="W2038" s="565" t="n"/>
      <x:c r="X2038" s="565" t="n"/>
      <x:c r="Y2038" s="565" t="n"/>
      <x:c r="Z2038" s="565" t="n"/>
    </x:row>
    <x:row r="2039">
      <x:c r="A2039" s="552" t="inlineStr">
        <x:is>
          <x:t xml:space="preserve">2010-005367</x:t>
        </x:is>
      </x:c>
      <x:c r="B2039" s="552" t="n"/>
      <x:c r="C2039" s="552" t="inlineStr">
        <x:is>
          <x:t xml:space="preserve">Letter</x:t>
        </x:is>
      </x:c>
      <x:c r="D2039" s="552" t="inlineStr">
        <x:is>
          <x:t xml:space="preserve">2019/500</x:t>
        </x:is>
      </x:c>
      <x:c r="E2039" s="653" t="n">
        <x:v>40298</x:v>
      </x:c>
      <x:c r="F2039" s="653" t="n">
        <x:v>40315</x:v>
      </x:c>
      <x:c r="G2039" s="552" t="inlineStr">
        <x:is>
          <x:t xml:space="preserve">Clarence C. Dcd Bain,
Clarence Clifton Dcd Bain,
Clarence C. Bain, Trustee,
Michael L. Bain,
Michael L. Co- Bain, Trustee,
William C. Co- Bain, Trustee,
Cdb Trust</x:t>
        </x:is>
      </x:c>
      <x:c r="H2039" s="552" t="inlineStr">
        <x:is>
          <x:t xml:space="preserve">The Public</x:t>
        </x:is>
      </x:c>
      <x:c r="I2039" s="552" t="inlineStr">
        <x:is>
          <x:t xml:space="preserve">31-12N-24W, aol</x:t>
        </x:is>
      </x:c>
      <x:c r="J2039" s="552" t="inlineStr">
        <x:is>
          <x:t xml:space="preserve">See instrument</x:t>
        </x:is>
      </x:c>
      <x:c r="K2039" s="554" t="e">
        <x:f>HYPERLINK("https://okcountyrecords.com/detail/roger+mills/2010-005367","OKCountyRecords: 2010-005367")</x:f>
      </x:c>
      <x:c r="L2039" s="552" t="inlineStr">
        <x:is>
          <x:t xml:space="preserve">All (1-8)</x:t>
        </x:is>
      </x:c>
      <x:c r="M2039" s="552" t="inlineStr">
        <x:is>
          <x:t xml:space="preserve">Other</x:t>
        </x:is>
      </x:c>
      <x:c r="N2039" s="555" t="n"/>
      <x:c r="O2039" s="556" t="n">
        <x:f>IF($L2039="","",IF(ISNUMBER(SEARCH("all",$L2039)),640,(ISNUMBER(SEARCH("1",$L2039)))*80+(ISNUMBER(SEARCH("2",$L2039)))*160+(ISNUMBER(SEARCH("3",$L2039)))*40+(ISNUMBER(SEARCH("4",$L2039)))*80+(ISNUMBER(SEARCH("5",$L2039)))*120+(ISNUMBER(SEARCH("6",$L2039)))*80+(ISNUMBER(SEARCH("7",$L2039)))*40+(ISNUMBER(SEARCH("8",$L2039)))*40))</x:f>
        <x:v>640</x:v>
      </x:c>
      <x:c r="P2039" s="654" t="str">
        <x:f>IF($M2039&lt;&gt;"Mineral","",IF(ISNUMBER($N2039),$N2039,IF(OR(ISNUMBER(SEARCH("surface",$J2039)),ISNUMBER(SEARCH("reserv",$J2039)),ISNUMBER(SEARCH("less and except",$J2039))),0,"")))</x:f>
      </x:c>
      <x:c r="Q2039" s="654" t="str">
        <x:f>IF($P2039="","",-$P2039)</x:f>
      </x:c>
      <x:c r="R2039" s="655" t="str">
        <x:f>IF($P2039="","",$O2039*$P2039)</x:f>
      </x:c>
      <x:c r="S2039" s="552" t="inlineStr">
        <x:is>
          <x:t xml:space="preserve">Other (non-mineral; excluded from mineral NMA). All-section coverage. Gross=tract-map basis.</x:t>
        </x:is>
      </x:c>
      <x:c r="T2039" s="577" t="inlineStr">
        <x:is>
          <x:t xml:space="preserve">OK</x:t>
        </x:is>
      </x:c>
      <x:c r="U2039" s="578" t="inlineStr">
        <x:is>
          <x:t xml:space="preserve">Non-conveying — notice/affidavit/address change (The Public).</x:t>
        </x:is>
      </x:c>
      <x:c r="V2039" s="565" t="n"/>
      <x:c r="W2039" s="565" t="n"/>
      <x:c r="X2039" s="565" t="n"/>
      <x:c r="Y2039" s="565" t="n"/>
      <x:c r="Z2039" s="565" t="n"/>
    </x:row>
    <x:row r="2040">
      <x:c r="A2040" s="552" t="inlineStr">
        <x:is>
          <x:t xml:space="preserve">2010-006561</x:t>
        </x:is>
      </x:c>
      <x:c r="B2040" s="552" t="n"/>
      <x:c r="C2040" s="552" t="inlineStr">
        <x:is>
          <x:t xml:space="preserve">Correction Quit Claim Mineral Deed</x:t>
        </x:is>
      </x:c>
      <x:c r="D2040" s="552" t="inlineStr">
        <x:is>
          <x:t xml:space="preserve">2027/85</x:t>
        </x:is>
      </x:c>
      <x:c r="E2040" s="653" t="n">
        <x:v>40318</x:v>
      </x:c>
      <x:c r="F2040" s="653" t="n">
        <x:v>40357</x:v>
      </x:c>
      <x:c r="G2040" s="552" t="inlineStr">
        <x:is>
          <x:t xml:space="preserve">Dwight James Williams, as Successor Trustee of the Jon T. and Rogene E. Williams Trust</x:t>
        </x:is>
      </x:c>
      <x:c r="H2040" s="552" t="inlineStr">
        <x:is>
          <x:t xml:space="preserve">Rogene E. Williams Revocable Living Trust</x:t>
        </x:is>
      </x:c>
      <x:c r="I2040" s="552" t="inlineStr">
        <x:is>
          <x:t xml:space="preserve">NW/4 SE/4, S/2 SE/4, SW/4 NE/4 of 31-12N-24W, aol</x:t>
        </x:is>
      </x:c>
      <x:c r="J2040" s="552" t="inlineStr">
        <x:is>
          <x:t xml:space="preserve">ARTI, Corrects Quit Claim Mineral Deed dated October 30, 2008, duly recorded in Book 1941, Page 550</x:t>
        </x:is>
      </x:c>
      <x:c r="K2040" s="554" t="e">
        <x:f>HYPERLINK("https://okcountyrecords.com/detail/roger+mills/2010-006561","OKCountyRecords: 2010-006561")</x:f>
      </x:c>
      <x:c r="L2040" s="552" t="n">
        <x:v>2</x:v>
      </x:c>
      <x:c r="M2040" s="552" t="inlineStr">
        <x:is>
          <x:t xml:space="preserve">Mineral</x:t>
        </x:is>
      </x:c>
      <x:c r="N2040" s="555" t="n">
        <x:v>1</x:v>
      </x:c>
      <x:c r="O2040" s="556" t="n">
        <x:f>IF($L2040="","",IF(ISNUMBER(SEARCH("all",$L2040)),640,(ISNUMBER(SEARCH("1",$L2040)))*80+(ISNUMBER(SEARCH("2",$L2040)))*160+(ISNUMBER(SEARCH("3",$L2040)))*40+(ISNUMBER(SEARCH("4",$L2040)))*80+(ISNUMBER(SEARCH("5",$L2040)))*120+(ISNUMBER(SEARCH("6",$L2040)))*80+(ISNUMBER(SEARCH("7",$L2040)))*40+(ISNUMBER(SEARCH("8",$L2040)))*40))</x:f>
        <x:v>0</x:v>
      </x:c>
      <x:c r="P2040" s="654" t="n">
        <x:f>IF($M2040&lt;&gt;"Mineral","",IF(ISNUMBER($N2040),$N2040,IF(OR(ISNUMBER(SEARCH("surface",$J2040)),ISNUMBER(SEARCH("reserv",$J2040)),ISNUMBER(SEARCH("less and except",$J2040))),0,"")))</x:f>
        <x:v>1</x:v>
      </x:c>
      <x:c r="Q2040" s="654" t="n">
        <x:f>IF($P2040="","",-$P2040)</x:f>
        <x:v>-1</x:v>
      </x:c>
      <x:c r="R2040" s="655" t="n">
        <x:f>IF($P2040="","",$O2040*$P2040)</x:f>
        <x:v>0</x:v>
      </x:c>
      <x:c r="S2040" s="552" t="str">
        <x:f>IF($M2040="","",TRIM(IF($M2040="Mineral",IF(ISNUMBER($N2040),"Mineral; basis Conv Amt(dec). ",IF($P2040=0,"Mineral; surface-only/reserved-&gt;0 min. ","Mineral; NO AMOUNT-verify instrument. ")),$M2040&amp;" (non-mineral; excluded from mineral NMA). ")&amp;IF(OR(ISNUMBER(SEARCH("public",$G2040)),ISNUMBER(SEARCH("public",$H2040))),"FLAG: The Public placeholder-verify. ","")&amp;IF(ISNUMBER(SEARCH("all",$L2040)),"All-section coverage. ","")&amp;IF($O2040=0,"Gross acres unresolved. ","")&amp;"Gross=tract-map basis."))</x:f>
        <x:v>Mineral; basis Conv Amt(dec). Gross acres unresolved. Gross=tract-map basis.</x:v>
      </x:c>
      <x:c r="T2040" s="577" t="n"/>
      <x:c r="U2040" s="578" t="n"/>
      <x:c r="V2040" s="565" t="n"/>
      <x:c r="W2040" s="565" t="n"/>
      <x:c r="X2040" s="565" t="n"/>
      <x:c r="Y2040" s="565" t="n"/>
      <x:c r="Z2040" s="565" t="n"/>
    </x:row>
    <x:row r="2041">
      <x:c r="A2041" s="552" t="inlineStr">
        <x:is>
          <x:t xml:space="preserve">2010-005993</x:t>
        </x:is>
      </x:c>
      <x:c r="B2041" s="552" t="n"/>
      <x:c r="C2041" s="552" t="inlineStr">
        <x:is>
          <x:t xml:space="preserve">Mineral Deed</x:t>
        </x:is>
      </x:c>
      <x:c r="D2041" s="552" t="inlineStr">
        <x:is>
          <x:t xml:space="preserve">2022/493</x:t>
        </x:is>
      </x:c>
      <x:c r="E2041" s="653" t="n">
        <x:v>40333</x:v>
      </x:c>
      <x:c r="F2041" s="653" t="n">
        <x:v>40336</x:v>
      </x:c>
      <x:c r="G2041" s="552" t="inlineStr">
        <x:is>
          <x:t xml:space="preserve">Wilda Jensen, a/k/a Wilda E. Jensen, (Widow of Ernest Jensen)</x:t>
        </x:is>
      </x:c>
      <x:c r="H2041" s="552" t="inlineStr">
        <x:is>
          <x:t xml:space="preserve">Hans W. Jensen, 50%
Tim E. Jensen, 50%</x:t>
        </x:is>
      </x:c>
      <x:c r="I2041" s="552" t="inlineStr">
        <x:is>
          <x:t xml:space="preserve">NW/4 SE/4, S/2 SE/4, SW/4 NE/4 of 31-12N-24W, aol</x:t>
        </x:is>
      </x:c>
      <x:c r="J2041" s="552" t="inlineStr">
        <x:is>
          <x:t xml:space="preserve">ARTI</x:t>
        </x:is>
      </x:c>
      <x:c r="K2041" s="554" t="e">
        <x:f>HYPERLINK("https://okcountyrecords.com/detail/roger+mills/2010-005993","OKCountyRecords: 2010-005993")</x:f>
      </x:c>
      <x:c r="L2041" s="552" t="n">
        <x:v>2</x:v>
      </x:c>
      <x:c r="M2041" s="552" t="inlineStr">
        <x:is>
          <x:t xml:space="preserve">Mineral</x:t>
        </x:is>
      </x:c>
      <x:c r="N2041" s="555" t="n">
        <x:v>1</x:v>
      </x:c>
      <x:c r="O2041" s="556" t="n">
        <x:f>IF($L2041="","",IF(ISNUMBER(SEARCH("all",$L2041)),640,(ISNUMBER(SEARCH("1",$L2041)))*80+(ISNUMBER(SEARCH("2",$L2041)))*160+(ISNUMBER(SEARCH("3",$L2041)))*40+(ISNUMBER(SEARCH("4",$L2041)))*80+(ISNUMBER(SEARCH("5",$L2041)))*120+(ISNUMBER(SEARCH("6",$L2041)))*80+(ISNUMBER(SEARCH("7",$L2041)))*40+(ISNUMBER(SEARCH("8",$L2041)))*40))</x:f>
        <x:v>0</x:v>
      </x:c>
      <x:c r="P2041" s="654" t="n">
        <x:f>IF($M2041&lt;&gt;"Mineral","",IF(ISNUMBER($N2041),$N2041,IF(OR(ISNUMBER(SEARCH("surface",$J2041)),ISNUMBER(SEARCH("reserv",$J2041)),ISNUMBER(SEARCH("less and except",$J2041))),0,"")))</x:f>
        <x:v>1</x:v>
      </x:c>
      <x:c r="Q2041" s="654" t="n">
        <x:f>IF($P2041="","",-$P2041)</x:f>
        <x:v>-1</x:v>
      </x:c>
      <x:c r="R2041" s="655" t="n">
        <x:f>IF($P2041="","",$O2041*$P2041)</x:f>
        <x:v>0</x:v>
      </x:c>
      <x:c r="S2041" s="552" t="str">
        <x:f>IF($M2041="","",TRIM(IF($M2041="Mineral",IF(ISNUMBER($N2041),"Mineral; basis Conv Amt(dec). ",IF($P2041=0,"Mineral; surface-only/reserved-&gt;0 min. ","Mineral; NO AMOUNT-verify instrument. ")),$M2041&amp;" (non-mineral; excluded from mineral NMA). ")&amp;IF(OR(ISNUMBER(SEARCH("public",$G2041)),ISNUMBER(SEARCH("public",$H2041))),"FLAG: The Public placeholder-verify. ","")&amp;IF(ISNUMBER(SEARCH("all",$L2041)),"All-section coverage. ","")&amp;IF($O2041=0,"Gross acres unresolved. ","")&amp;"Gross=tract-map basis."))</x:f>
        <x:v>Mineral; basis Conv Amt(dec). Gross acres unresolved. Gross=tract-map basis.</x:v>
      </x:c>
      <x:c r="T2041" s="577" t="n"/>
      <x:c r="U2041" s="578" t="n"/>
      <x:c r="V2041" s="565" t="n"/>
      <x:c r="W2041" s="565" t="n"/>
      <x:c r="X2041" s="565" t="n"/>
      <x:c r="Y2041" s="565" t="n"/>
      <x:c r="Z2041" s="565" t="n"/>
    </x:row>
    <x:row r="2042">
      <x:c r="A2042" s="552" t="inlineStr">
        <x:is>
          <x:t xml:space="preserve">2010-006266</x:t>
        </x:is>
      </x:c>
      <x:c r="B2042" s="552" t="n"/>
      <x:c r="C2042" s="552" t="inlineStr">
        <x:is>
          <x:t xml:space="preserve">Assignment</x:t>
        </x:is>
      </x:c>
      <x:c r="D2042" s="552" t="inlineStr">
        <x:is>
          <x:t xml:space="preserve">2024/85</x:t>
        </x:is>
      </x:c>
      <x:c r="E2042" s="653" t="n">
        <x:v>40338</x:v>
      </x:c>
      <x:c r="F2042" s="653" t="n">
        <x:v>40345</x:v>
      </x:c>
      <x:c r="G2042" s="552" t="inlineStr">
        <x:is>
          <x:t xml:space="preserve">Rialto Oil &amp; Gas Corporation</x:t>
        </x:is>
      </x:c>
      <x:c r="H2042" s="552" t="inlineStr">
        <x:is>
          <x:t xml:space="preserve">Sydtran, LP</x:t>
        </x:is>
      </x:c>
      <x:c r="I2042" s="552" t="inlineStr">
        <x:is>
          <x:t xml:space="preserve">E/2 NW/4 of 31-12N-24W, aol</x:t>
        </x:is>
      </x:c>
      <x:c r="J2042" s="552" t="inlineStr">
        <x:is>
          <x:t xml:space="preserve">fifty percent (50%) of all the
interest of the Assignor in and to the Oil &amp; Gas Properties, Wells, Substances, Equipment and
Contracts</x:t>
        </x:is>
      </x:c>
      <x:c r="K2042" s="554" t="e">
        <x:f>HYPERLINK("https://okcountyrecords.com/detail/roger+mills/2010-006266","OKCountyRecords: 2010-006266")</x:f>
      </x:c>
      <x:c r="L2042" s="552" t="n">
        <x:v>4</x:v>
      </x:c>
      <x:c r="M2042" s="552" t="inlineStr">
        <x:is>
          <x:t xml:space="preserve">Leasehold</x:t>
        </x:is>
      </x:c>
      <x:c r="N2042" s="555" t="n"/>
      <x:c r="O2042" s="556" t="n">
        <x:f>IF($L2042="","",IF(ISNUMBER(SEARCH("all",$L2042)),640,(ISNUMBER(SEARCH("1",$L2042)))*80+(ISNUMBER(SEARCH("2",$L2042)))*160+(ISNUMBER(SEARCH("3",$L2042)))*40+(ISNUMBER(SEARCH("4",$L2042)))*80+(ISNUMBER(SEARCH("5",$L2042)))*120+(ISNUMBER(SEARCH("6",$L2042)))*80+(ISNUMBER(SEARCH("7",$L2042)))*40+(ISNUMBER(SEARCH("8",$L2042)))*40))</x:f>
        <x:v>0</x:v>
      </x:c>
      <x:c r="P2042" s="654" t="str">
        <x:f>IF($M2042&lt;&gt;"Mineral","",IF(ISNUMBER($N2042),$N2042,IF(OR(ISNUMBER(SEARCH("surface",$J2042)),ISNUMBER(SEARCH("reserv",$J2042)),ISNUMBER(SEARCH("less and except",$J2042))),0,"")))</x:f>
      </x:c>
      <x:c r="Q2042" s="654" t="str">
        <x:f>IF($P2042="","",-$P2042)</x:f>
      </x:c>
      <x:c r="R2042" s="655" t="str">
        <x:f>IF($P2042="","",$O2042*$P2042)</x:f>
      </x:c>
      <x:c r="S2042" s="552" t="str">
        <x:f>IF($M2042="","",TRIM(IF($M2042="Mineral",IF(ISNUMBER($N2042),"Mineral; basis Conv Amt(dec). ",IF($P2042=0,"Mineral; surface-only/reserved-&gt;0 min. ","Mineral; NO AMOUNT-verify instrument. ")),$M2042&amp;" (non-mineral; excluded from mineral NMA). ")&amp;IF(OR(ISNUMBER(SEARCH("public",$G2042)),ISNUMBER(SEARCH("public",$H2042))),"FLAG: The Public placeholder-verify. ","")&amp;IF(ISNUMBER(SEARCH("all",$L2042)),"All-section coverage. ","")&amp;IF($O2042=0,"Gross acres unresolved. ","")&amp;"Gross=tract-map basis."))</x:f>
        <x:v>Leasehold (non-mineral; excluded from mineral NMA). Gross acres unresolved. Gross=tract-map basis.</x:v>
      </x:c>
      <x:c r="T2042" s="577" t="n"/>
      <x:c r="U2042" s="578" t="n"/>
      <x:c r="V2042" s="565" t="n"/>
      <x:c r="W2042" s="565" t="n"/>
      <x:c r="X2042" s="565" t="n"/>
      <x:c r="Y2042" s="565" t="n"/>
      <x:c r="Z2042" s="565" t="n"/>
    </x:row>
    <x:row r="2043">
      <x:c r="A2043" s="552" t="inlineStr">
        <x:is>
          <x:t xml:space="preserve">2010-006265</x:t>
        </x:is>
      </x:c>
      <x:c r="B2043" s="552" t="n"/>
      <x:c r="C2043" s="552" t="inlineStr">
        <x:is>
          <x:t xml:space="preserve">Assignment</x:t>
        </x:is>
      </x:c>
      <x:c r="D2043" s="552" t="inlineStr">
        <x:is>
          <x:t xml:space="preserve">2024/74</x:t>
        </x:is>
      </x:c>
      <x:c r="E2043" s="653" t="n">
        <x:v>40338</x:v>
      </x:c>
      <x:c r="F2043" s="653" t="n">
        <x:v>40345</x:v>
      </x:c>
      <x:c r="G2043" s="552" t="inlineStr">
        <x:is>
          <x:t xml:space="preserve">Rialto Production Company</x:t>
        </x:is>
      </x:c>
      <x:c r="H2043" s="552" t="inlineStr">
        <x:is>
          <x:t xml:space="preserve">Sydtran Management, LLC</x:t>
        </x:is>
      </x:c>
      <x:c r="I2043" s="552" t="inlineStr">
        <x:is>
          <x:t xml:space="preserve">E/2 NW/4 of 31-12N-24W, aol</x:t>
        </x:is>
      </x:c>
      <x:c r="J2043" s="552" t="inlineStr">
        <x:is>
          <x:t xml:space="preserve">fifty percent (50%) of all the
interest of the Assignor in and to the Oil &amp; Gas Properties, Wells, Substances, Equipment and
Contracts</x:t>
        </x:is>
      </x:c>
      <x:c r="K2043" s="554" t="e">
        <x:f>HYPERLINK("https://okcountyrecords.com/detail/roger+mills/2010-006265","OKCountyRecords: 2010-006265")</x:f>
      </x:c>
      <x:c r="L2043" s="552" t="n">
        <x:v>4</x:v>
      </x:c>
      <x:c r="M2043" s="552" t="inlineStr">
        <x:is>
          <x:t xml:space="preserve">Leasehold</x:t>
        </x:is>
      </x:c>
      <x:c r="N2043" s="555" t="n"/>
      <x:c r="O2043" s="556" t="n">
        <x:f>IF($L2043="","",IF(ISNUMBER(SEARCH("all",$L2043)),640,(ISNUMBER(SEARCH("1",$L2043)))*80+(ISNUMBER(SEARCH("2",$L2043)))*160+(ISNUMBER(SEARCH("3",$L2043)))*40+(ISNUMBER(SEARCH("4",$L2043)))*80+(ISNUMBER(SEARCH("5",$L2043)))*120+(ISNUMBER(SEARCH("6",$L2043)))*80+(ISNUMBER(SEARCH("7",$L2043)))*40+(ISNUMBER(SEARCH("8",$L2043)))*40))</x:f>
        <x:v>0</x:v>
      </x:c>
      <x:c r="P2043" s="654" t="str">
        <x:f>IF($M2043&lt;&gt;"Mineral","",IF(ISNUMBER($N2043),$N2043,IF(OR(ISNUMBER(SEARCH("surface",$J2043)),ISNUMBER(SEARCH("reserv",$J2043)),ISNUMBER(SEARCH("less and except",$J2043))),0,"")))</x:f>
      </x:c>
      <x:c r="Q2043" s="654" t="str">
        <x:f>IF($P2043="","",-$P2043)</x:f>
      </x:c>
      <x:c r="R2043" s="655" t="str">
        <x:f>IF($P2043="","",$O2043*$P2043)</x:f>
      </x:c>
      <x:c r="S2043" s="552" t="str">
        <x:f>IF($M2043="","",TRIM(IF($M2043="Mineral",IF(ISNUMBER($N2043),"Mineral; basis Conv Amt(dec). ",IF($P2043=0,"Mineral; surface-only/reserved-&gt;0 min. ","Mineral; NO AMOUNT-verify instrument. ")),$M2043&amp;" (non-mineral; excluded from mineral NMA). ")&amp;IF(OR(ISNUMBER(SEARCH("public",$G2043)),ISNUMBER(SEARCH("public",$H2043))),"FLAG: The Public placeholder-verify. ","")&amp;IF(ISNUMBER(SEARCH("all",$L2043)),"All-section coverage. ","")&amp;IF($O2043=0,"Gross acres unresolved. ","")&amp;"Gross=tract-map basis."))</x:f>
        <x:v>Leasehold (non-mineral; excluded from mineral NMA). Gross acres unresolved. Gross=tract-map basis.</x:v>
      </x:c>
      <x:c r="T2043" s="577" t="n"/>
      <x:c r="U2043" s="578" t="n"/>
      <x:c r="V2043" s="565" t="n"/>
      <x:c r="W2043" s="565" t="n"/>
      <x:c r="X2043" s="565" t="n"/>
      <x:c r="Y2043" s="565" t="n"/>
      <x:c r="Z2043" s="565" t="n"/>
    </x:row>
    <x:row r="2044">
      <x:c r="A2044" s="552" t="inlineStr">
        <x:is>
          <x:t xml:space="preserve">2010-007125</x:t>
        </x:is>
      </x:c>
      <x:c r="B2044" s="552" t="n"/>
      <x:c r="C2044" s="552" t="inlineStr">
        <x:is>
          <x:t xml:space="preserve">Mineral Deed</x:t>
        </x:is>
      </x:c>
      <x:c r="D2044" s="552" t="inlineStr">
        <x:is>
          <x:t xml:space="preserve">2031/5</x:t>
        </x:is>
      </x:c>
      <x:c r="E2044" s="653" t="n">
        <x:v>40357</x:v>
      </x:c>
      <x:c r="F2044" s="653" t="n">
        <x:v>40374</x:v>
      </x:c>
      <x:c r="G2044" s="552" t="inlineStr">
        <x:is>
          <x:t xml:space="preserve">Leona I. Degrande</x:t>
        </x:is>
      </x:c>
      <x:c r="H2044" s="552" t="inlineStr">
        <x:is>
          <x:t xml:space="preserve">Mare Oil Company</x:t>
        </x:is>
      </x:c>
      <x:c r="I2044" s="552" t="inlineStr">
        <x:is>
          <x:t xml:space="preserve">NW/4 SE/4, S/2 SE/4, SW/4 NE/4 of 31-12N-24W</x:t>
        </x:is>
      </x:c>
      <x:c r="J2044" s="552" t="inlineStr">
        <x:is>
          <x:t xml:space="preserve">ARTI</x:t>
        </x:is>
      </x:c>
      <x:c r="K2044" s="554" t="e">
        <x:f>HYPERLINK("https://okcountyrecords.com/detail/roger+mills/2010-007125","OKCountyRecords: 2010-007125")</x:f>
      </x:c>
      <x:c r="L2044" s="552" t="n">
        <x:v>2</x:v>
      </x:c>
      <x:c r="M2044" s="552" t="inlineStr">
        <x:is>
          <x:t xml:space="preserve">Mineral</x:t>
        </x:is>
      </x:c>
      <x:c r="N2044" s="555" t="n">
        <x:v>1</x:v>
      </x:c>
      <x:c r="O2044" s="556" t="n">
        <x:f>IF($L2044="","",IF(ISNUMBER(SEARCH("all",$L2044)),640,(ISNUMBER(SEARCH("1",$L2044)))*80+(ISNUMBER(SEARCH("2",$L2044)))*160+(ISNUMBER(SEARCH("3",$L2044)))*40+(ISNUMBER(SEARCH("4",$L2044)))*80+(ISNUMBER(SEARCH("5",$L2044)))*120+(ISNUMBER(SEARCH("6",$L2044)))*80+(ISNUMBER(SEARCH("7",$L2044)))*40+(ISNUMBER(SEARCH("8",$L2044)))*40))</x:f>
        <x:v>0</x:v>
      </x:c>
      <x:c r="P2044" s="654" t="n">
        <x:f>IF($M2044&lt;&gt;"Mineral","",IF(ISNUMBER($N2044),$N2044,IF(OR(ISNUMBER(SEARCH("surface",$J2044)),ISNUMBER(SEARCH("reserv",$J2044)),ISNUMBER(SEARCH("less and except",$J2044))),0,"")))</x:f>
        <x:v>1</x:v>
      </x:c>
      <x:c r="Q2044" s="654" t="n">
        <x:f>IF($P2044="","",-$P2044)</x:f>
        <x:v>-1</x:v>
      </x:c>
      <x:c r="R2044" s="655" t="n">
        <x:f>IF($P2044="","",$O2044*$P2044)</x:f>
        <x:v>0</x:v>
      </x:c>
      <x:c r="S2044" s="552" t="str">
        <x:f>IF($M2044="","",TRIM(IF($M2044="Mineral",IF(ISNUMBER($N2044),"Mineral; basis Conv Amt(dec). ",IF($P2044=0,"Mineral; surface-only/reserved-&gt;0 min. ","Mineral; NO AMOUNT-verify instrument. ")),$M2044&amp;" (non-mineral; excluded from mineral NMA). ")&amp;IF(OR(ISNUMBER(SEARCH("public",$G2044)),ISNUMBER(SEARCH("public",$H2044))),"FLAG: The Public placeholder-verify. ","")&amp;IF(ISNUMBER(SEARCH("all",$L2044)),"All-section coverage. ","")&amp;IF($O2044=0,"Gross acres unresolved. ","")&amp;"Gross=tract-map basis."))</x:f>
        <x:v>Mineral; basis Conv Amt(dec). Gross acres unresolved. Gross=tract-map basis.</x:v>
      </x:c>
      <x:c r="T2044" s="577" t="n"/>
      <x:c r="U2044" s="578" t="n"/>
      <x:c r="V2044" s="565" t="n"/>
      <x:c r="W2044" s="565" t="n"/>
      <x:c r="X2044" s="565" t="n"/>
      <x:c r="Y2044" s="565" t="n"/>
      <x:c r="Z2044" s="565" t="n"/>
    </x:row>
    <x:row r="2045">
      <x:c r="A2045" s="552" t="inlineStr">
        <x:is>
          <x:t xml:space="preserve">2010-010052</x:t>
        </x:is>
      </x:c>
      <x:c r="B2045" s="552" t="n"/>
      <x:c r="C2045" s="552" t="inlineStr">
        <x:is>
          <x:t xml:space="preserve">Notice</x:t>
        </x:is>
      </x:c>
      <x:c r="D2045" s="552" t="inlineStr">
        <x:is>
          <x:t xml:space="preserve">2048/268</x:t>
        </x:is>
      </x:c>
      <x:c r="E2045" s="653" t="n">
        <x:v>40360</x:v>
      </x:c>
      <x:c r="F2045" s="653" t="n">
        <x:v>40483</x:v>
      </x:c>
      <x:c r="G2045" s="552" t="inlineStr">
        <x:is>
          <x:t xml:space="preserve">Boulevard Associates, LLC</x:t>
        </x:is>
      </x:c>
      <x:c r="H2045" s="552" t="inlineStr">
        <x:is>
          <x:t xml:space="preserve">Danielle Delane Tucker,
Monte Earl Tucker</x:t>
        </x:is>
      </x:c>
      <x:c r="I2045" s="552" t="inlineStr">
        <x:is>
          <x:t xml:space="preserve">N/2 NE/4, NE/4 SE/4, SE/4 NE/4 of 31-12N-24W</x:t>
        </x:is>
      </x:c>
      <x:c r="J2045" s="552" t="inlineStr">
        <x:is>
          <x:t xml:space="preserve">See instrument</x:t>
        </x:is>
      </x:c>
      <x:c r="K2045" s="554" t="e">
        <x:f>HYPERLINK("https://okcountyrecords.com/detail/roger+mills/2010-010052","OKCountyRecords: 2010-010052")</x:f>
      </x:c>
      <x:c r="L2045" s="552" t="inlineStr">
        <x:is>
          <x:t xml:space="preserve">1, 3, 8</x:t>
        </x:is>
      </x:c>
      <x:c r="M2045" s="552" t="inlineStr">
        <x:is>
          <x:t xml:space="preserve">Other</x:t>
        </x:is>
      </x:c>
      <x:c r="N2045" s="561" t="n"/>
      <x:c r="O2045" s="556" t="n">
        <x:f>IF($L2045="","",IF(ISNUMBER(SEARCH("all",$L2045)),640,(ISNUMBER(SEARCH("1",$L2045)))*80+(ISNUMBER(SEARCH("2",$L2045)))*160+(ISNUMBER(SEARCH("3",$L2045)))*40+(ISNUMBER(SEARCH("4",$L2045)))*80+(ISNUMBER(SEARCH("5",$L2045)))*120+(ISNUMBER(SEARCH("6",$L2045)))*80+(ISNUMBER(SEARCH("7",$L2045)))*40+(ISNUMBER(SEARCH("8",$L2045)))*40))</x:f>
        <x:v>0</x:v>
      </x:c>
      <x:c r="P2045" s="654" t="str">
        <x:f>IF($M2045&lt;&gt;"Mineral","",IF(ISNUMBER($N2045),$N2045,IF(OR(ISNUMBER(SEARCH("surface",$J2045)),ISNUMBER(SEARCH("reserv",$J2045)),ISNUMBER(SEARCH("less and except",$J2045))),0,"")))</x:f>
      </x:c>
      <x:c r="Q2045" s="654" t="str">
        <x:f>IF($P2045="","",-$P2045)</x:f>
      </x:c>
      <x:c r="R2045" s="655" t="str">
        <x:f>IF($P2045="","",$O2045*$P2045)</x:f>
      </x:c>
      <x:c r="S2045" s="552" t="str">
        <x:f>IF($M2045="","",TRIM(IF($M2045="Mineral",IF(ISNUMBER($N2045),"Mineral; basis Conv Amt(dec). ",IF($P2045=0,"Mineral; surface-only/reserved-&gt;0 min. ","Mineral; NO AMOUNT-verify instrument. ")),$M2045&amp;" (non-mineral; excluded from mineral NMA). ")&amp;IF(OR(ISNUMBER(SEARCH("public",$G2045)),ISNUMBER(SEARCH("public",$H2045))),"FLAG: The Public placeholder-verify. ","")&amp;IF(ISNUMBER(SEARCH("all",$L2045)),"All-section coverage. ","")&amp;IF($O2045=0,"Gross acres unresolved. ","")&amp;"Gross=tract-map basis."))</x:f>
        <x:v>Other (non-mineral; excluded from mineral NMA). Gross acres unresolved. Gross=tract-map basis.</x:v>
      </x:c>
      <x:c r="T2045" s="577" t="n"/>
      <x:c r="U2045" s="578" t="n"/>
      <x:c r="V2045" s="565" t="n"/>
      <x:c r="W2045" s="565" t="n"/>
      <x:c r="X2045" s="565" t="n"/>
      <x:c r="Y2045" s="565" t="n"/>
      <x:c r="Z2045" s="565" t="n"/>
    </x:row>
    <x:row r="2046">
      <x:c r="A2046" s="552" t="inlineStr">
        <x:is>
          <x:t xml:space="preserve">2010-008922</x:t>
        </x:is>
      </x:c>
      <x:c r="B2046" s="552" t="n"/>
      <x:c r="C2046" s="552" t="inlineStr">
        <x:is>
          <x:t xml:space="preserve">Mineral Deed</x:t>
        </x:is>
      </x:c>
      <x:c r="D2046" s="552" t="inlineStr">
        <x:is>
          <x:t xml:space="preserve">2041/379</x:t>
        </x:is>
      </x:c>
      <x:c r="E2046" s="653" t="n">
        <x:v>40416</x:v>
      </x:c>
      <x:c r="F2046" s="653" t="n">
        <x:v>40438</x:v>
      </x:c>
      <x:c r="G2046" s="552" t="inlineStr">
        <x:is>
          <x:t xml:space="preserve">Terry Bish and Fausta J. Bish aka Tina Bish, his wife, dba Datt Investment Company</x:t>
        </x:is>
      </x:c>
      <x:c r="H2046" s="552" t="inlineStr">
        <x:is>
          <x:t xml:space="preserve">Terry V. Bish and Fausta J. Bish as Trustees of The Bish Family Trust, an express trust, and their successors in Trust</x:t>
        </x:is>
      </x:c>
      <x:c r="I2046" s="552" t="inlineStr">
        <x:is>
          <x:t xml:space="preserve">NW/4 SE/4, S/2 SE/4, SW/4 NE/4 of 31-12N-24W, aol</x:t>
        </x:is>
      </x:c>
      <x:c r="J2046" s="552" t="inlineStr">
        <x:is>
          <x:t xml:space="preserve">ARTI</x:t>
        </x:is>
      </x:c>
      <x:c r="K2046" s="554" t="e">
        <x:f>HYPERLINK("https://okcountyrecords.com/detail/roger+mills/2010-008922","OKCountyRecords: 2010-008922")</x:f>
      </x:c>
      <x:c r="L2046" s="552" t="n">
        <x:v>2</x:v>
      </x:c>
      <x:c r="M2046" s="552" t="inlineStr">
        <x:is>
          <x:t xml:space="preserve">Mineral</x:t>
        </x:is>
      </x:c>
      <x:c r="N2046" s="555" t="n">
        <x:v>1</x:v>
      </x:c>
      <x:c r="O2046" s="556" t="n">
        <x:f>IF($L2046="","",IF(ISNUMBER(SEARCH("all",$L2046)),640,(ISNUMBER(SEARCH("1",$L2046)))*80+(ISNUMBER(SEARCH("2",$L2046)))*160+(ISNUMBER(SEARCH("3",$L2046)))*40+(ISNUMBER(SEARCH("4",$L2046)))*80+(ISNUMBER(SEARCH("5",$L2046)))*120+(ISNUMBER(SEARCH("6",$L2046)))*80+(ISNUMBER(SEARCH("7",$L2046)))*40+(ISNUMBER(SEARCH("8",$L2046)))*40))</x:f>
        <x:v>0</x:v>
      </x:c>
      <x:c r="P2046" s="654" t="n">
        <x:f>IF($M2046&lt;&gt;"Mineral","",IF(ISNUMBER($N2046),$N2046,IF(OR(ISNUMBER(SEARCH("surface",$J2046)),ISNUMBER(SEARCH("reserv",$J2046)),ISNUMBER(SEARCH("less and except",$J2046))),0,"")))</x:f>
        <x:v>1</x:v>
      </x:c>
      <x:c r="Q2046" s="654" t="n">
        <x:f>IF($P2046="","",-$P2046)</x:f>
        <x:v>-1</x:v>
      </x:c>
      <x:c r="R2046" s="655" t="n">
        <x:f>IF($P2046="","",$O2046*$P2046)</x:f>
        <x:v>0</x:v>
      </x:c>
      <x:c r="S2046" s="552" t="str">
        <x:f>IF($M2046="","",TRIM(IF($M2046="Mineral",IF(ISNUMBER($N2046),"Mineral; basis Conv Amt(dec). ",IF($P2046=0,"Mineral; surface-only/reserved-&gt;0 min. ","Mineral; NO AMOUNT-verify instrument. ")),$M2046&amp;" (non-mineral; excluded from mineral NMA). ")&amp;IF(OR(ISNUMBER(SEARCH("public",$G2046)),ISNUMBER(SEARCH("public",$H2046))),"FLAG: The Public placeholder-verify. ","")&amp;IF(ISNUMBER(SEARCH("all",$L2046)),"All-section coverage. ","")&amp;IF($O2046=0,"Gross acres unresolved. ","")&amp;"Gross=tract-map basis."))</x:f>
        <x:v>Mineral; basis Conv Amt(dec). Gross acres unresolved. Gross=tract-map basis.</x:v>
      </x:c>
      <x:c r="T2046" s="578" t="n"/>
      <x:c r="U2046" s="578" t="n"/>
      <x:c r="V2046" s="565" t="n"/>
      <x:c r="W2046" s="565" t="n"/>
      <x:c r="X2046" s="565" t="n"/>
      <x:c r="Y2046" s="565" t="n"/>
      <x:c r="Z2046" s="565" t="n"/>
    </x:row>
    <x:row r="2047">
      <x:c r="A2047" s="552" t="inlineStr">
        <x:is>
          <x:t xml:space="preserve">2010-008934</x:t>
        </x:is>
      </x:c>
      <x:c r="B2047" s="552" t="n"/>
      <x:c r="C2047" s="552" t="inlineStr">
        <x:is>
          <x:t xml:space="preserve">Mineral Deed</x:t>
        </x:is>
      </x:c>
      <x:c r="D2047" s="552" t="inlineStr">
        <x:is>
          <x:t xml:space="preserve">2041/406</x:t>
        </x:is>
      </x:c>
      <x:c r="E2047" s="653" t="n">
        <x:v>40437</x:v>
      </x:c>
      <x:c r="F2047" s="653" t="n">
        <x:v>40441</x:v>
      </x:c>
      <x:c r="G2047" s="552" t="inlineStr">
        <x:is>
          <x:t xml:space="preserve">Petrohawk Energy Corporation</x:t>
        </x:is>
      </x:c>
      <x:c r="H2047" s="552" t="inlineStr">
        <x:is>
          <x:t xml:space="preserve">Petrohawk Properties, L.P.</x:t>
        </x:is>
      </x:c>
      <x:c r="I2047" s="552" t="inlineStr">
        <x:is>
          <x:t xml:space="preserve">E/2 NW/4 of 31-12N-24W, aol</x:t>
        </x:is>
      </x:c>
      <x:c r="J2047" s="552" t="inlineStr">
        <x:is>
          <x:t xml:space="preserve">ARTI</x:t>
        </x:is>
      </x:c>
      <x:c r="K2047" s="554" t="e">
        <x:f>HYPERLINK("https://okcountyrecords.com/detail/roger+mills/2010-008934","OKCountyRecords: 2010-008934")</x:f>
      </x:c>
      <x:c r="L2047" s="552" t="n">
        <x:v>4</x:v>
      </x:c>
      <x:c r="M2047" s="552" t="inlineStr">
        <x:is>
          <x:t xml:space="preserve">Mineral</x:t>
        </x:is>
      </x:c>
      <x:c r="N2047" s="555" t="n">
        <x:v>1</x:v>
      </x:c>
      <x:c r="O2047" s="556" t="n">
        <x:f>IF($L2047="","",IF(ISNUMBER(SEARCH("all",$L2047)),640,(ISNUMBER(SEARCH("1",$L2047)))*80+(ISNUMBER(SEARCH("2",$L2047)))*160+(ISNUMBER(SEARCH("3",$L2047)))*40+(ISNUMBER(SEARCH("4",$L2047)))*80+(ISNUMBER(SEARCH("5",$L2047)))*120+(ISNUMBER(SEARCH("6",$L2047)))*80+(ISNUMBER(SEARCH("7",$L2047)))*40+(ISNUMBER(SEARCH("8",$L2047)))*40))</x:f>
        <x:v>0</x:v>
      </x:c>
      <x:c r="P2047" s="654" t="n">
        <x:f>IF($M2047&lt;&gt;"Mineral","",IF(ISNUMBER($N2047),$N2047,IF(OR(ISNUMBER(SEARCH("surface",$J2047)),ISNUMBER(SEARCH("reserv",$J2047)),ISNUMBER(SEARCH("less and except",$J2047))),0,"")))</x:f>
        <x:v>1</x:v>
      </x:c>
      <x:c r="Q2047" s="654" t="n">
        <x:f>IF($P2047="","",-$P2047)</x:f>
        <x:v>-1</x:v>
      </x:c>
      <x:c r="R2047" s="655" t="n">
        <x:f>IF($P2047="","",$O2047*$P2047)</x:f>
        <x:v>0</x:v>
      </x:c>
      <x:c r="S2047" s="552" t="str">
        <x:f>IF($M2047="","",TRIM(IF($M2047="Mineral",IF(ISNUMBER($N2047),"Mineral; basis Conv Amt(dec). ",IF($P2047=0,"Mineral; surface-only/reserved-&gt;0 min. ","Mineral; NO AMOUNT-verify instrument. ")),$M2047&amp;" (non-mineral; excluded from mineral NMA). ")&amp;IF(OR(ISNUMBER(SEARCH("public",$G2047)),ISNUMBER(SEARCH("public",$H2047))),"FLAG: The Public placeholder-verify. ","")&amp;IF(ISNUMBER(SEARCH("all",$L2047)),"All-section coverage. ","")&amp;IF($O2047=0,"Gross acres unresolved. ","")&amp;"Gross=tract-map basis."))</x:f>
        <x:v>Mineral; basis Conv Amt(dec). Gross acres unresolved. Gross=tract-map basis.</x:v>
      </x:c>
      <x:c r="T2047" s="578" t="n"/>
      <x:c r="U2047" s="578" t="n"/>
      <x:c r="V2047" s="565" t="n"/>
      <x:c r="W2047" s="565" t="n"/>
      <x:c r="X2047" s="565" t="n"/>
      <x:c r="Y2047" s="565" t="n"/>
      <x:c r="Z2047" s="565" t="n"/>
    </x:row>
    <x:row r="2048">
      <x:c r="A2048" s="552" t="inlineStr">
        <x:is>
          <x:t xml:space="preserve">2011-000110</x:t>
        </x:is>
      </x:c>
      <x:c r="B2048" s="552" t="n"/>
      <x:c r="C2048" s="552" t="inlineStr">
        <x:is>
          <x:t xml:space="preserve">Quitclaim Deed, Assignment, Transfer and Conveyance of Oil and Gas Interests</x:t>
        </x:is>
      </x:c>
      <x:c r="D2048" s="552" t="inlineStr">
        <x:is>
          <x:t xml:space="preserve">2057/347</x:t>
        </x:is>
      </x:c>
      <x:c r="E2048" s="653" t="n">
        <x:v>40513</x:v>
      </x:c>
      <x:c r="F2048" s="653" t="n">
        <x:v>40549</x:v>
      </x:c>
      <x:c r="G2048" s="552" t="inlineStr">
        <x:is>
          <x:t xml:space="preserve">Hefner Company, Inc.</x:t>
        </x:is>
      </x:c>
      <x:c r="H2048" s="552" t="inlineStr">
        <x:is>
          <x:t xml:space="preserve">Cheyenne Resources, LLC</x:t>
        </x:is>
      </x:c>
      <x:c r="I2048" s="552" t="inlineStr">
        <x:is>
          <x:t xml:space="preserve">All of 31-12N-24W, aol</x:t>
        </x:is>
      </x:c>
      <x:c r="J2048" s="552" t="inlineStr">
        <x:is>
          <x:t xml:space="preserve">ARTI</x:t>
        </x:is>
      </x:c>
      <x:c r="K2048" s="554" t="e">
        <x:f>HYPERLINK("https://okcountyrecords.com/detail/roger+mills/2011-000110","OKCountyRecords: 2011-000110")</x:f>
      </x:c>
      <x:c r="L2048" s="552" t="inlineStr">
        <x:is>
          <x:t xml:space="preserve">All (1-8)</x:t>
        </x:is>
      </x:c>
      <x:c r="M2048" s="552" t="inlineStr">
        <x:is>
          <x:t xml:space="preserve">Mineral</x:t>
        </x:is>
      </x:c>
      <x:c r="N2048" s="555" t="n">
        <x:v>1</x:v>
      </x:c>
      <x:c r="O2048" s="556" t="n">
        <x:f>IF($L2048="","",IF(ISNUMBER(SEARCH("all",$L2048)),640,(ISNUMBER(SEARCH("1",$L2048)))*80+(ISNUMBER(SEARCH("2",$L2048)))*160+(ISNUMBER(SEARCH("3",$L2048)))*40+(ISNUMBER(SEARCH("4",$L2048)))*80+(ISNUMBER(SEARCH("5",$L2048)))*120+(ISNUMBER(SEARCH("6",$L2048)))*80+(ISNUMBER(SEARCH("7",$L2048)))*40+(ISNUMBER(SEARCH("8",$L2048)))*40))</x:f>
        <x:v>640</x:v>
      </x:c>
      <x:c r="P2048" s="654" t="n">
        <x:f>IF($M2048&lt;&gt;"Mineral","",IF(ISNUMBER($N2048),$N2048,IF(OR(ISNUMBER(SEARCH("surface",$J2048)),ISNUMBER(SEARCH("reserv",$J2048)),ISNUMBER(SEARCH("less and except",$J2048))),0,"")))</x:f>
        <x:v>1</x:v>
      </x:c>
      <x:c r="Q2048" s="654" t="n">
        <x:f>IF($P2048="","",-$P2048)</x:f>
        <x:v>-1</x:v>
      </x:c>
      <x:c r="R2048" s="655" t="n">
        <x:f>IF($P2048="","",$O2048*$P2048)</x:f>
        <x:v>640</x:v>
      </x:c>
      <x:c r="S2048" s="552" t="str">
        <x:f>IF($M2048="","",TRIM(IF($M2048="Mineral",IF(ISNUMBER($N2048),"Mineral; basis Conv Amt(dec). ",IF($P2048=0,"Mineral; surface-only/reserved-&gt;0 min. ","Mineral; NO AMOUNT-verify instrument. ")),$M2048&amp;" (non-mineral; excluded from mineral NMA). ")&amp;IF(OR(ISNUMBER(SEARCH("public",$G2048)),ISNUMBER(SEARCH("public",$H2048))),"FLAG: The Public placeholder-verify. ","")&amp;IF(ISNUMBER(SEARCH("all",$L2048)),"All-section coverage. ","")&amp;IF($O2048=0,"Gross acres unresolved. ","")&amp;"Gross=tract-map basis."))</x:f>
        <x:v>Mineral; basis Conv Amt(dec). All-section coverage. Gross=tract-map basis.</x:v>
      </x:c>
      <x:c r="T2048" s="578" t="n"/>
      <x:c r="U2048" s="578" t="n"/>
      <x:c r="V2048" s="565" t="n"/>
      <x:c r="W2048" s="565" t="n"/>
      <x:c r="X2048" s="565" t="n"/>
      <x:c r="Y2048" s="565" t="n"/>
      <x:c r="Z2048" s="565" t="n"/>
    </x:row>
    <x:row r="2049">
      <x:c r="A2049" s="552" t="inlineStr">
        <x:is>
          <x:t xml:space="preserve">2011-001008</x:t>
        </x:is>
      </x:c>
      <x:c r="B2049" s="552" t="n"/>
      <x:c r="C2049" s="552" t="inlineStr">
        <x:is>
          <x:t xml:space="preserve">MINERAL DEED OF TRUSTEE [Deed of Distribution]</x:t>
        </x:is>
      </x:c>
      <x:c r="D2049" s="552" t="inlineStr">
        <x:is>
          <x:t xml:space="preserve">2063/494</x:t>
        </x:is>
      </x:c>
      <x:c r="E2049" s="653" t="n">
        <x:v>40577</x:v>
      </x:c>
      <x:c r="F2049" s="653" t="n">
        <x:v>40592</x:v>
      </x:c>
      <x:c r="G2049" s="552" t="inlineStr">
        <x:is>
          <x:t xml:space="preserve">Glenda Ann Palmer, as Trustee of the Glenn Douglas Mitchel and Hazel Pearl Mitchel Trust</x:t>
        </x:is>
      </x:c>
      <x:c r="H2049" s="552" t="inlineStr">
        <x:is>
          <x:t xml:space="preserve">Glenda Ann Palmer and Richard Royce Palmer, as Trustees of The Palmer Family Trust, u/t/a dated November 19, 2010, 1/3,
Shonna Arlene Mitchel, as Trustee of the Jack D. Mitchel and Shonna A. Mitchel Family Trust, u/t/a dated September 13, 1990, 1/3,
Shanti Jonathan Mitchel, 1/3</x:t>
        </x:is>
      </x:c>
      <x:c r="I2049" s="552" t="inlineStr">
        <x:is>
          <x:t xml:space="preserve">E/2 NW/4, N/2 NE/4 SE/4, NE/4 SE/4, SE/4 NE/4 of 31-12N-24W, aol</x:t>
        </x:is>
      </x:c>
      <x:c r="J2049" s="552" t="inlineStr">
        <x:is>
          <x:t xml:space="preserve">ARTI</x:t>
        </x:is>
      </x:c>
      <x:c r="K2049" s="554" t="e">
        <x:f>HYPERLINK("https://okcountyrecords.com/detail/roger+mills/2011-001008","OKCountyRecords: 2011-001008")</x:f>
      </x:c>
      <x:c r="L2049" s="552" t="inlineStr">
        <x:is>
          <x:t xml:space="preserve">1, 3, 4, 8</x:t>
        </x:is>
      </x:c>
      <x:c r="M2049" s="552" t="inlineStr">
        <x:is>
          <x:t xml:space="preserve">Mineral</x:t>
        </x:is>
      </x:c>
      <x:c r="N2049" s="561" t="n">
        <x:v>1</x:v>
      </x:c>
      <x:c r="O2049" s="556" t="n">
        <x:f>IF($L2049="","",IF(ISNUMBER(SEARCH("all",$L2049)),640,(ISNUMBER(SEARCH("1",$L2049)))*80+(ISNUMBER(SEARCH("2",$L2049)))*160+(ISNUMBER(SEARCH("3",$L2049)))*40+(ISNUMBER(SEARCH("4",$L2049)))*80+(ISNUMBER(SEARCH("5",$L2049)))*120+(ISNUMBER(SEARCH("6",$L2049)))*80+(ISNUMBER(SEARCH("7",$L2049)))*40+(ISNUMBER(SEARCH("8",$L2049)))*40))</x:f>
        <x:v>0</x:v>
      </x:c>
      <x:c r="P2049" s="654" t="n">
        <x:f>IF($M2049&lt;&gt;"Mineral","",IF(ISNUMBER($N2049),$N2049,IF(OR(ISNUMBER(SEARCH("surface",$J2049)),ISNUMBER(SEARCH("reserv",$J2049)),ISNUMBER(SEARCH("less and except",$J2049))),0,"")))</x:f>
        <x:v>1</x:v>
      </x:c>
      <x:c r="Q2049" s="654" t="n">
        <x:f>IF($P2049="","",-$P2049)</x:f>
        <x:v>-1</x:v>
      </x:c>
      <x:c r="R2049" s="655" t="n">
        <x:f>IF($P2049="","",$O2049*$P2049)</x:f>
        <x:v>0</x:v>
      </x:c>
      <x:c r="S2049" s="552" t="str">
        <x:f>IF($M2049="","",TRIM(IF($M2049="Mineral",IF(ISNUMBER($N2049),"Mineral; basis Conv Amt(dec). ",IF($P2049=0,"Mineral; surface-only/reserved-&gt;0 min. ","Mineral; NO AMOUNT-verify instrument. ")),$M2049&amp;" (non-mineral; excluded from mineral NMA). ")&amp;IF(OR(ISNUMBER(SEARCH("public",$G2049)),ISNUMBER(SEARCH("public",$H2049))),"FLAG: The Public placeholder-verify. ","")&amp;IF(ISNUMBER(SEARCH("all",$L2049)),"All-section coverage. ","")&amp;IF($O2049=0,"Gross acres unresolved. ","")&amp;"Gross=tract-map basis."))</x:f>
        <x:v>Mineral; basis Conv Amt(dec). Gross acres unresolved. Gross=tract-map basis.</x:v>
      </x:c>
      <x:c r="T2049" s="578" t="n"/>
      <x:c r="U2049" s="578" t="n"/>
      <x:c r="V2049" s="565" t="n"/>
      <x:c r="W2049" s="565" t="n"/>
      <x:c r="X2049" s="565" t="n"/>
      <x:c r="Y2049" s="565" t="n"/>
      <x:c r="Z2049" s="565" t="n"/>
    </x:row>
    <x:row r="2050">
      <x:c r="A2050" s="552" t="inlineStr">
        <x:is>
          <x:t xml:space="preserve">2011-001007</x:t>
        </x:is>
      </x:c>
      <x:c r="B2050" s="552" t="n"/>
      <x:c r="C2050" s="552" t="inlineStr">
        <x:is>
          <x:t xml:space="preserve">MINERAL DEED OF TRUSTEE [Deed of Distribution]</x:t>
        </x:is>
      </x:c>
      <x:c r="D2050" s="552" t="inlineStr">
        <x:is>
          <x:t xml:space="preserve">2063/491</x:t>
        </x:is>
      </x:c>
      <x:c r="E2050" s="653" t="n">
        <x:v>40577</x:v>
      </x:c>
      <x:c r="F2050" s="653" t="n">
        <x:v>40592</x:v>
      </x:c>
      <x:c r="G2050" s="552" t="inlineStr">
        <x:is>
          <x:t xml:space="preserve">Richard Palmer and Glenda Palmer, HW</x:t>
        </x:is>
      </x:c>
      <x:c r="H2050" s="552" t="inlineStr">
        <x:is>
          <x:t xml:space="preserve">Glenda Ann Palmer and Richard Royce Palmer, as Trustees of The Palmer Family Trust, u/t/a dated November 19, 2010, 1/3,
Shonna Arlene Mitchel, as Trustee of the Jack D. Mitchel and Shonna A. Mitchel Family Trust, u/t/a dated September 13, 1990, 1/3,
Shanti Jonathan Mitchel, 1/3</x:t>
        </x:is>
      </x:c>
      <x:c r="I2050" s="552" t="inlineStr">
        <x:is>
          <x:t xml:space="preserve">E/2 NW/4, N/2 NE/4 SE/4, NE/4 SE/4, SE/4 NE/4 of 31-12N-24W, aol</x:t>
        </x:is>
      </x:c>
      <x:c r="J2050" s="552" t="inlineStr">
        <x:is>
          <x:t xml:space="preserve">ARTI</x:t>
        </x:is>
      </x:c>
      <x:c r="K2050" s="554" t="e">
        <x:f>HYPERLINK("https://okcountyrecords.com/detail/roger+mills/2011-001007","OKCountyRecords: 2011-001007")</x:f>
      </x:c>
      <x:c r="L2050" s="552" t="inlineStr">
        <x:is>
          <x:t xml:space="preserve">1, 3, 4, 8</x:t>
        </x:is>
      </x:c>
      <x:c r="M2050" s="552" t="inlineStr">
        <x:is>
          <x:t xml:space="preserve">Mineral</x:t>
        </x:is>
      </x:c>
      <x:c r="N2050" s="561" t="n">
        <x:v>1</x:v>
      </x:c>
      <x:c r="O2050" s="556" t="n">
        <x:f>IF($L2050="","",IF(ISNUMBER(SEARCH("all",$L2050)),640,(ISNUMBER(SEARCH("1",$L2050)))*80+(ISNUMBER(SEARCH("2",$L2050)))*160+(ISNUMBER(SEARCH("3",$L2050)))*40+(ISNUMBER(SEARCH("4",$L2050)))*80+(ISNUMBER(SEARCH("5",$L2050)))*120+(ISNUMBER(SEARCH("6",$L2050)))*80+(ISNUMBER(SEARCH("7",$L2050)))*40+(ISNUMBER(SEARCH("8",$L2050)))*40))</x:f>
        <x:v>0</x:v>
      </x:c>
      <x:c r="P2050" s="654" t="n">
        <x:f>IF($M2050&lt;&gt;"Mineral","",IF(ISNUMBER($N2050),$N2050,IF(OR(ISNUMBER(SEARCH("surface",$J2050)),ISNUMBER(SEARCH("reserv",$J2050)),ISNUMBER(SEARCH("less and except",$J2050))),0,"")))</x:f>
        <x:v>1</x:v>
      </x:c>
      <x:c r="Q2050" s="654" t="n">
        <x:f>IF($P2050="","",-$P2050)</x:f>
        <x:v>-1</x:v>
      </x:c>
      <x:c r="R2050" s="655" t="n">
        <x:f>IF($P2050="","",$O2050*$P2050)</x:f>
        <x:v>0</x:v>
      </x:c>
      <x:c r="S2050" s="552" t="str">
        <x:f>IF($M2050="","",TRIM(IF($M2050="Mineral",IF(ISNUMBER($N2050),"Mineral; basis Conv Amt(dec). ",IF($P2050=0,"Mineral; surface-only/reserved-&gt;0 min. ","Mineral; NO AMOUNT-verify instrument. ")),$M2050&amp;" (non-mineral; excluded from mineral NMA). ")&amp;IF(OR(ISNUMBER(SEARCH("public",$G2050)),ISNUMBER(SEARCH("public",$H2050))),"FLAG: The Public placeholder-verify. ","")&amp;IF(ISNUMBER(SEARCH("all",$L2050)),"All-section coverage. ","")&amp;IF($O2050=0,"Gross acres unresolved. ","")&amp;"Gross=tract-map basis."))</x:f>
        <x:v>Mineral; basis Conv Amt(dec). Gross acres unresolved. Gross=tract-map basis.</x:v>
      </x:c>
      <x:c r="T2050" s="578" t="n"/>
      <x:c r="U2050" s="578" t="n"/>
      <x:c r="V2050" s="565" t="n"/>
      <x:c r="W2050" s="565" t="n"/>
      <x:c r="X2050" s="565" t="n"/>
      <x:c r="Y2050" s="565" t="n"/>
      <x:c r="Z2050" s="565" t="n"/>
    </x:row>
    <x:row r="2051">
      <x:c r="A2051" s="552" t="inlineStr">
        <x:is>
          <x:t xml:space="preserve">2011-001009</x:t>
        </x:is>
      </x:c>
      <x:c r="B2051" s="552" t="n"/>
      <x:c r="C2051" s="552" t="inlineStr">
        <x:is>
          <x:t xml:space="preserve">MINERAL DEED OF TRUSTEE [Deed of Distribution]</x:t>
        </x:is>
      </x:c>
      <x:c r="D2051" s="552" t="inlineStr">
        <x:is>
          <x:t xml:space="preserve">2063/497</x:t>
        </x:is>
      </x:c>
      <x:c r="E2051" s="653" t="n">
        <x:v>40583</x:v>
      </x:c>
      <x:c r="F2051" s="653" t="n">
        <x:v>40592</x:v>
      </x:c>
      <x:c r="G2051" s="552" t="inlineStr">
        <x:is>
          <x:t xml:space="preserve">Shonna Mitchel, same person as Shonna A. Mitchel and as Shonna Arlene Mitchel, single person</x:t>
        </x:is>
      </x:c>
      <x:c r="H2051" s="552" t="inlineStr">
        <x:is>
          <x:t xml:space="preserve">Shonna Arlene Mitchel, same person as Shonna A. Mitchel, as Trustee of The Jack D. Mitchel and Shonna A. Mitchel Family Trust, u/t/a dated September 13, 1990</x:t>
        </x:is>
      </x:c>
      <x:c r="I2051" s="552" t="inlineStr">
        <x:is>
          <x:t xml:space="preserve">E/2 NW/4, N/2 NE/4 SE/4, NE/4 SE/4, SE/4 NE/4 of 31-12N-24W, aol</x:t>
        </x:is>
      </x:c>
      <x:c r="J2051" s="552" t="inlineStr">
        <x:is>
          <x:t xml:space="preserve">ARTI</x:t>
        </x:is>
      </x:c>
      <x:c r="K2051" s="554" t="e">
        <x:f>HYPERLINK("https://okcountyrecords.com/detail/roger+mills/2011-001009","OKCountyRecords: 2011-001009")</x:f>
      </x:c>
      <x:c r="L2051" s="552" t="inlineStr">
        <x:is>
          <x:t xml:space="preserve">1, 3, 4, 8</x:t>
        </x:is>
      </x:c>
      <x:c r="M2051" s="552" t="inlineStr">
        <x:is>
          <x:t xml:space="preserve">Mineral</x:t>
        </x:is>
      </x:c>
      <x:c r="N2051" s="561" t="n">
        <x:v>1</x:v>
      </x:c>
      <x:c r="O2051" s="556" t="n">
        <x:f>IF($L2051="","",IF(ISNUMBER(SEARCH("all",$L2051)),640,(ISNUMBER(SEARCH("1",$L2051)))*80+(ISNUMBER(SEARCH("2",$L2051)))*160+(ISNUMBER(SEARCH("3",$L2051)))*40+(ISNUMBER(SEARCH("4",$L2051)))*80+(ISNUMBER(SEARCH("5",$L2051)))*120+(ISNUMBER(SEARCH("6",$L2051)))*80+(ISNUMBER(SEARCH("7",$L2051)))*40+(ISNUMBER(SEARCH("8",$L2051)))*40))</x:f>
        <x:v>0</x:v>
      </x:c>
      <x:c r="P2051" s="654" t="n">
        <x:f>IF($M2051&lt;&gt;"Mineral","",IF(ISNUMBER($N2051),$N2051,IF(OR(ISNUMBER(SEARCH("surface",$J2051)),ISNUMBER(SEARCH("reserv",$J2051)),ISNUMBER(SEARCH("less and except",$J2051))),0,"")))</x:f>
        <x:v>1</x:v>
      </x:c>
      <x:c r="Q2051" s="654" t="n">
        <x:f>IF($P2051="","",-$P2051)</x:f>
        <x:v>-1</x:v>
      </x:c>
      <x:c r="R2051" s="655" t="n">
        <x:f>IF($P2051="","",$O2051*$P2051)</x:f>
        <x:v>0</x:v>
      </x:c>
      <x:c r="S2051" s="552" t="str">
        <x:f>IF($M2051="","",TRIM(IF($M2051="Mineral",IF(ISNUMBER($N2051),"Mineral; basis Conv Amt(dec). ",IF($P2051=0,"Mineral; surface-only/reserved-&gt;0 min. ","Mineral; NO AMOUNT-verify instrument. ")),$M2051&amp;" (non-mineral; excluded from mineral NMA). ")&amp;IF(OR(ISNUMBER(SEARCH("public",$G2051)),ISNUMBER(SEARCH("public",$H2051))),"FLAG: The Public placeholder-verify. ","")&amp;IF(ISNUMBER(SEARCH("all",$L2051)),"All-section coverage. ","")&amp;IF($O2051=0,"Gross acres unresolved. ","")&amp;"Gross=tract-map basis."))</x:f>
        <x:v>Mineral; basis Conv Amt(dec). Gross acres unresolved. Gross=tract-map basis.</x:v>
      </x:c>
      <x:c r="T2051" s="578" t="n"/>
      <x:c r="U2051" s="578" t="n"/>
      <x:c r="V2051" s="565" t="n"/>
      <x:c r="W2051" s="565" t="n"/>
      <x:c r="X2051" s="565" t="n"/>
      <x:c r="Y2051" s="565" t="n"/>
      <x:c r="Z2051" s="565" t="n"/>
    </x:row>
    <x:row r="2052">
      <x:c r="A2052" s="552" t="inlineStr">
        <x:is>
          <x:t xml:space="preserve">2011-003023</x:t>
        </x:is>
      </x:c>
      <x:c r="B2052" s="552" t="n"/>
      <x:c r="C2052" s="552" t="inlineStr">
        <x:is>
          <x:t xml:space="preserve">Mineral Deed</x:t>
        </x:is>
      </x:c>
      <x:c r="D2052" s="552" t="inlineStr">
        <x:is>
          <x:t xml:space="preserve">2074/536</x:t>
        </x:is>
      </x:c>
      <x:c r="E2052" s="653" t="n">
        <x:v>40661</x:v>
      </x:c>
      <x:c r="F2052" s="653" t="n">
        <x:v>40665</x:v>
      </x:c>
      <x:c r="G2052" s="552" t="inlineStr">
        <x:is>
          <x:t xml:space="preserve">Byron A. Hetherington, d/b/a 4-A Investments</x:t>
        </x:is>
      </x:c>
      <x:c r="H2052" s="552" t="inlineStr">
        <x:is>
          <x:t xml:space="preserve">Byron A. Hetherington, Trustee of the Byron A. Hetherington Trust, 1/2,
Gloria A. Hetherington, Trustee of the Gloria A. Hetherington Trust, 1/2</x:t>
        </x:is>
      </x:c>
      <x:c r="I2052" s="552" t="inlineStr">
        <x:is>
          <x:t xml:space="preserve">NW/4 SE/4, S/2 SE/4, SW/4 NE/4 of 31-12N-24W, aol</x:t>
        </x:is>
      </x:c>
      <x:c r="J2052" s="552" t="inlineStr">
        <x:is>
          <x:t xml:space="preserve">ARTI</x:t>
        </x:is>
      </x:c>
      <x:c r="K2052" s="554" t="e">
        <x:f>HYPERLINK("https://okcountyrecords.com/detail/roger+mills/2011-003023","OKCountyRecords: 2011-003023")</x:f>
      </x:c>
      <x:c r="L2052" s="552" t="n">
        <x:v>2</x:v>
      </x:c>
      <x:c r="M2052" s="552" t="inlineStr">
        <x:is>
          <x:t xml:space="preserve">Mineral</x:t>
        </x:is>
      </x:c>
      <x:c r="N2052" s="555" t="n">
        <x:v>1</x:v>
      </x:c>
      <x:c r="O2052" s="556" t="n">
        <x:f>IF($L2052="","",IF(ISNUMBER(SEARCH("all",$L2052)),640,(ISNUMBER(SEARCH("1",$L2052)))*80+(ISNUMBER(SEARCH("2",$L2052)))*160+(ISNUMBER(SEARCH("3",$L2052)))*40+(ISNUMBER(SEARCH("4",$L2052)))*80+(ISNUMBER(SEARCH("5",$L2052)))*120+(ISNUMBER(SEARCH("6",$L2052)))*80+(ISNUMBER(SEARCH("7",$L2052)))*40+(ISNUMBER(SEARCH("8",$L2052)))*40))</x:f>
        <x:v>0</x:v>
      </x:c>
      <x:c r="P2052" s="654" t="n">
        <x:f>IF($M2052&lt;&gt;"Mineral","",IF(ISNUMBER($N2052),$N2052,IF(OR(ISNUMBER(SEARCH("surface",$J2052)),ISNUMBER(SEARCH("reserv",$J2052)),ISNUMBER(SEARCH("less and except",$J2052))),0,"")))</x:f>
        <x:v>1</x:v>
      </x:c>
      <x:c r="Q2052" s="654" t="n">
        <x:f>IF($P2052="","",-$P2052)</x:f>
        <x:v>-1</x:v>
      </x:c>
      <x:c r="R2052" s="655" t="n">
        <x:f>IF($P2052="","",$O2052*$P2052)</x:f>
        <x:v>0</x:v>
      </x:c>
      <x:c r="S2052" s="552" t="str">
        <x:f>IF($M2052="","",TRIM(IF($M2052="Mineral",IF(ISNUMBER($N2052),"Mineral; basis Conv Amt(dec). ",IF($P2052=0,"Mineral; surface-only/reserved-&gt;0 min. ","Mineral; NO AMOUNT-verify instrument. ")),$M2052&amp;" (non-mineral; excluded from mineral NMA). ")&amp;IF(OR(ISNUMBER(SEARCH("public",$G2052)),ISNUMBER(SEARCH("public",$H2052))),"FLAG: The Public placeholder-verify. ","")&amp;IF(ISNUMBER(SEARCH("all",$L2052)),"All-section coverage. ","")&amp;IF($O2052=0,"Gross acres unresolved. ","")&amp;"Gross=tract-map basis."))</x:f>
        <x:v>Mineral; basis Conv Amt(dec). Gross acres unresolved. Gross=tract-map basis.</x:v>
      </x:c>
      <x:c r="T2052" s="578" t="n"/>
      <x:c r="U2052" s="578" t="n"/>
      <x:c r="V2052" s="565" t="n"/>
      <x:c r="W2052" s="565" t="n"/>
      <x:c r="X2052" s="565" t="n"/>
      <x:c r="Y2052" s="565" t="n"/>
      <x:c r="Z2052" s="565" t="n"/>
    </x:row>
    <x:row r="2053">
      <x:c r="A2053" s="552" t="inlineStr">
        <x:is>
          <x:t xml:space="preserve">2011-005695</x:t>
        </x:is>
      </x:c>
      <x:c r="B2053" s="552" t="n"/>
      <x:c r="C2053" s="552" t="inlineStr">
        <x:is>
          <x:t xml:space="preserve">Mineral Deed</x:t>
        </x:is>
      </x:c>
      <x:c r="D2053" s="552" t="inlineStr">
        <x:is>
          <x:t xml:space="preserve">2092/134</x:t>
        </x:is>
      </x:c>
      <x:c r="E2053" s="653" t="n">
        <x:v>40778</x:v>
      </x:c>
      <x:c r="F2053" s="653" t="n">
        <x:v>40781</x:v>
      </x:c>
      <x:c r="G2053" s="552" t="inlineStr">
        <x:is>
          <x:t xml:space="preserve">Michelle Sorenson Johnson, Sole Trustee of the Sorenson Oil and Gas Trust</x:t>
        </x:is>
      </x:c>
      <x:c r="H2053" s="552" t="inlineStr">
        <x:is>
          <x:t xml:space="preserve">Mark Ashley Daigle Trust, 33.3%,
Keri Lee Daigle Trust, 33.3%,
Kevin Warner Johnson Trust, 33.4%</x:t>
        </x:is>
      </x:c>
      <x:c r="I2053" s="552" t="inlineStr">
        <x:is>
          <x:t xml:space="preserve">LALEXANDER 1-31 of 31-12N-24W</x:t>
        </x:is>
      </x:c>
      <x:c r="J2053" s="552" t="inlineStr">
        <x:is>
          <x:t xml:space="preserve">all the grantor's rights, title and interest, suspense held funds in the oil, gas and minerals (40/260 int)</x:t>
        </x:is>
      </x:c>
      <x:c r="K2053" s="554" t="e">
        <x:f>HYPERLINK("https://okcountyrecords.com/detail/roger+mills/2011-005695","OKCountyRecords: 2011-005695")</x:f>
      </x:c>
      <x:c r="L2053" s="552" t="inlineStr">
        <x:is>
          <x:t xml:space="preserve">All (1-8)</x:t>
        </x:is>
      </x:c>
      <x:c r="M2053" s="552" t="inlineStr">
        <x:is>
          <x:t xml:space="preserve">Mineral</x:t>
        </x:is>
      </x:c>
      <x:c r="N2053" s="555" t="n">
        <x:f>1</x:f>
        <x:v>1</x:v>
      </x:c>
      <x:c r="O2053" s="556" t="n">
        <x:f>IF($L2053="","",IF(ISNUMBER(SEARCH("all",$L2053)),640,(ISNUMBER(SEARCH("1",$L2053)))*80+(ISNUMBER(SEARCH("2",$L2053)))*160+(ISNUMBER(SEARCH("3",$L2053)))*40+(ISNUMBER(SEARCH("4",$L2053)))*80+(ISNUMBER(SEARCH("5",$L2053)))*120+(ISNUMBER(SEARCH("6",$L2053)))*80+(ISNUMBER(SEARCH("7",$L2053)))*40+(ISNUMBER(SEARCH("8",$L2053)))*40))</x:f>
        <x:v>640</x:v>
      </x:c>
      <x:c r="P2053" s="654" t="n">
        <x:f>IF($M2053&lt;&gt;"Mineral","",IF(ISNUMBER($N2053),$N2053,IF(OR(ISNUMBER(SEARCH("surface",$J2053)),ISNUMBER(SEARCH("reserv",$J2053)),ISNUMBER(SEARCH("less and except",$J2053))),0,"")))</x:f>
        <x:v>1</x:v>
      </x:c>
      <x:c r="Q2053" s="654" t="n">
        <x:f>IF($P2053="","",-$P2053)</x:f>
        <x:v>-1</x:v>
      </x:c>
      <x:c r="R2053" s="655" t="n">
        <x:f>IF($P2053="","",$O2053*$P2053)</x:f>
        <x:v>640</x:v>
      </x:c>
      <x:c r="S2053" s="552" t="str">
        <x:f>IF($M2053="","",TRIM(IF($M2053="Mineral",IF(ISNUMBER($N2053),"Mineral; basis Conv Amt(dec). ",IF($P2053=0,"Mineral; surface-only/reserved-&gt;0 min. ","Mineral; VERIFY — NEED full instrument image for conveyed amount. ")),$M2053&amp;" (non-mineral; excluded from mineral NMA). ")&amp;IF(OR(ISNUMBER(SEARCH("public",$G2053)),ISNUMBER(SEARCH("public",$H2053))),"FLAG: The Public placeholder; VERIFY — NEED source confirmation. ","")&amp;IF(ISNUMBER(SEARCH("all",$L2053)),"All-section coverage. ","")&amp;IF($O2053=0,"Gross acres unresolved. ","")&amp;"Gross=tract-map basis."))</x:f>
        <x:v>Mineral; basis Conv Amt(dec). All-section coverage. Gross=tract-map basis.</x:v>
      </x:c>
      <x:c r="T2053" s="578" t="inlineStr">
        <x:is>
          <x:t xml:space="preserve">REVIEW</x:t>
        </x:is>
      </x:c>
      <x:c r="U2053" s="578" t="inlineStr">
        <x:is>
          <x:t xml:space="preserve">NEED: conveyed interest / decimal from instrument image</x:t>
        </x:is>
      </x:c>
      <x:c r="V2053" s="565" t="n"/>
      <x:c r="W2053" s="565" t="n"/>
      <x:c r="X2053" s="565" t="n"/>
      <x:c r="Y2053" s="565" t="n"/>
      <x:c r="Z2053" s="565" t="n"/>
    </x:row>
    <x:row r="2054">
      <x:c r="A2054" s="552" t="inlineStr">
        <x:is>
          <x:t xml:space="preserve">2011-005926</x:t>
        </x:is>
      </x:c>
      <x:c r="B2054" s="552" t="n"/>
      <x:c r="C2054" s="552" t="inlineStr">
        <x:is>
          <x:t xml:space="preserve">Quitclaim Deed, Assignment, Transfer and Conveyance of Oil and Gas Interests</x:t>
        </x:is>
      </x:c>
      <x:c r="D2054" s="552" t="inlineStr">
        <x:is>
          <x:t xml:space="preserve">2093/461</x:t>
        </x:is>
      </x:c>
      <x:c r="E2054" s="653" t="n">
        <x:v>40788</x:v>
      </x:c>
      <x:c r="F2054" s="653" t="n">
        <x:v>40793</x:v>
      </x:c>
      <x:c r="G2054" s="552" t="inlineStr">
        <x:is>
          <x:t xml:space="preserve">Cheyenne Resources, LLC</x:t>
        </x:is>
      </x:c>
      <x:c r="H2054" s="552" t="inlineStr">
        <x:is>
          <x:t xml:space="preserve">Hefner Company, Inc.</x:t>
        </x:is>
      </x:c>
      <x:c r="I2054" s="552" t="inlineStr">
        <x:is>
          <x:t xml:space="preserve">All of 31-12N-24W, aol</x:t>
        </x:is>
      </x:c>
      <x:c r="J2054" s="552" t="inlineStr">
        <x:is>
          <x:t xml:space="preserve">assigns forever, all of Transferor's right, title, interest and estate, both at law and in equity, in and to all oil and gas interests</x:t>
        </x:is>
      </x:c>
      <x:c r="K2054" s="554" t="e">
        <x:f>HYPERLINK("https://okcountyrecords.com/detail/roger+mills/2011-005926","OKCountyRecords: 2011-005926")</x:f>
      </x:c>
      <x:c r="L2054" s="552" t="inlineStr">
        <x:is>
          <x:t xml:space="preserve">All (1-8)</x:t>
        </x:is>
      </x:c>
      <x:c r="M2054" s="552" t="inlineStr">
        <x:is>
          <x:t xml:space="preserve">Mineral</x:t>
        </x:is>
      </x:c>
      <x:c r="N2054" s="555" t="n">
        <x:v>1</x:v>
      </x:c>
      <x:c r="O2054" s="556" t="n">
        <x:f>IF($L2054="","",IF(ISNUMBER(SEARCH("all",$L2054)),640,(ISNUMBER(SEARCH("1",$L2054)))*80+(ISNUMBER(SEARCH("2",$L2054)))*160+(ISNUMBER(SEARCH("3",$L2054)))*40+(ISNUMBER(SEARCH("4",$L2054)))*80+(ISNUMBER(SEARCH("5",$L2054)))*120+(ISNUMBER(SEARCH("6",$L2054)))*80+(ISNUMBER(SEARCH("7",$L2054)))*40+(ISNUMBER(SEARCH("8",$L2054)))*40))</x:f>
        <x:v>640</x:v>
      </x:c>
      <x:c r="P2054" s="654" t="n">
        <x:f>IF($M2054&lt;&gt;"Mineral","",IF(ISNUMBER($N2054),$N2054,IF(OR(ISNUMBER(SEARCH("surface",$J2054)),ISNUMBER(SEARCH("reserv",$J2054)),ISNUMBER(SEARCH("less and except",$J2054))),0,"")))</x:f>
        <x:v>1</x:v>
      </x:c>
      <x:c r="Q2054" s="654" t="n">
        <x:f>IF($P2054="","",-$P2054)</x:f>
        <x:v>-1</x:v>
      </x:c>
      <x:c r="R2054" s="655" t="n">
        <x:f>IF($P2054="","",$O2054*$P2054)</x:f>
        <x:v>640</x:v>
      </x:c>
      <x:c r="S2054" s="552" t="str">
        <x:f>IF($M2054="","",TRIM(IF($M2054="Mineral",IF(ISNUMBER($N2054),"Mineral; basis Conv Amt(dec). ",IF($P2054=0,"Mineral; surface-only/reserved-&gt;0 min. ","Mineral; VERIFY — NEED full instrument image for conveyed amount. ")),$M2054&amp;" (non-mineral; excluded from mineral NMA). ")&amp;IF(OR(ISNUMBER(SEARCH("public",$G2054)),ISNUMBER(SEARCH("public",$H2054))),"FLAG: The Public placeholder; VERIFY — NEED source confirmation. ","")&amp;IF(ISNUMBER(SEARCH("all",$L2054)),"All-section coverage. ","")&amp;IF($O2054=0,"Gross acres unresolved. ","")&amp;"Gross=tract-map basis."))</x:f>
        <x:v>Mineral; basis Conv Amt(dec). All-section coverage. Gross=tract-map basis.</x:v>
      </x:c>
      <x:c r="T2054" s="578" t="inlineStr">
        <x:is>
          <x:t xml:space="preserve">REVIEW</x:t>
        </x:is>
      </x:c>
      <x:c r="U2054" s="578" t="inlineStr">
        <x:is>
          <x:t xml:space="preserve">NEED: conveyed interest / decimal from instrument image</x:t>
        </x:is>
      </x:c>
      <x:c r="V2054" s="565" t="n"/>
      <x:c r="W2054" s="565" t="n"/>
      <x:c r="X2054" s="565" t="n"/>
      <x:c r="Y2054" s="565" t="n"/>
      <x:c r="Z2054" s="565" t="n"/>
    </x:row>
    <x:row r="2055">
      <x:c r="A2055" s="552" t="inlineStr">
        <x:is>
          <x:t xml:space="preserve">2011-007727</x:t>
        </x:is>
      </x:c>
      <x:c r="B2055" s="552" t="n"/>
      <x:c r="C2055" s="552" t="inlineStr">
        <x:is>
          <x:t xml:space="preserve">Affidavit by Successor Co-Trustees</x:t>
        </x:is>
      </x:c>
      <x:c r="D2055" s="552" t="inlineStr">
        <x:is>
          <x:t xml:space="preserve">2104/234</x:t>
        </x:is>
      </x:c>
      <x:c r="E2055" s="653" t="n">
        <x:v>40839</x:v>
      </x:c>
      <x:c r="F2055" s="653" t="n">
        <x:v>40869</x:v>
      </x:c>
      <x:c r="G2055" s="552" t="inlineStr">
        <x:is>
          <x:t xml:space="preserve">Michael Bain,
William C. Bain</x:t>
        </x:is>
      </x:c>
      <x:c r="H2055" s="552" t="inlineStr">
        <x:is>
          <x:t xml:space="preserve">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x:t>
        </x:is>
      </x:c>
      <x:c r="I2055" s="552" t="inlineStr">
        <x:is>
          <x:t xml:space="preserve">NW/4 SE/4, S/2 SE/4, SW/4 NE/4 of 31-12N-24W, aol</x:t>
        </x:is>
      </x:c>
      <x:c r="J2055" s="552" t="inlineStr">
        <x:is>
          <x:t xml:space="preserve">ARTI</x:t>
        </x:is>
      </x:c>
      <x:c r="K2055" s="554" t="e">
        <x:f>HYPERLINK("https://okcountyrecords.com/detail/roger+mills/2011-007727","OKCountyRecords: 2011-007727")</x:f>
      </x:c>
      <x:c r="L2055" s="552" t="n">
        <x:v>2</x:v>
      </x:c>
      <x:c r="M2055" s="552" t="inlineStr">
        <x:is>
          <x:t xml:space="preserve">Mineral</x:t>
        </x:is>
      </x:c>
      <x:c r="N2055" s="555" t="n"/>
      <x:c r="O2055" s="556" t="n">
        <x:f>IF($L2055="","",IF(ISNUMBER(SEARCH("all",$L2055)),640,(ISNUMBER(SEARCH("1",$L2055)))*80+(ISNUMBER(SEARCH("2",$L2055)))*160+(ISNUMBER(SEARCH("3",$L2055)))*40+(ISNUMBER(SEARCH("4",$L2055)))*80+(ISNUMBER(SEARCH("5",$L2055)))*120+(ISNUMBER(SEARCH("6",$L2055)))*80+(ISNUMBER(SEARCH("7",$L2055)))*40+(ISNUMBER(SEARCH("8",$L2055)))*40))</x:f>
        <x:v>0</x:v>
      </x:c>
      <x:c r="P2055" s="654" t="str">
        <x:f>IF($M2055&lt;&gt;"Mineral","",IF(ISNUMBER($N2055),$N2055,IF(OR(ISNUMBER(SEARCH("surface",$J2055)),ISNUMBER(SEARCH("reserv",$J2055)),ISNUMBER(SEARCH("less and except",$J2055))),0,"")))</x:f>
      </x:c>
      <x:c r="Q2055" s="654" t="str">
        <x:f>IF($P2055="","",-$P2055)</x:f>
      </x:c>
      <x:c r="R2055" s="655" t="str">
        <x:f>IF($P2055="","",$O2055*$P2055)</x:f>
      </x:c>
      <x:c r="S2055" s="552" t="str">
        <x:f>IF($M2055="","",TRIM(IF($M2055="Mineral",IF(ISNUMBER($N2055),"Mineral; basis Conv Amt(dec). ",IF($P2055=0,"Mineral; surface-only/reserved-&gt;0 min. ","Mineral; NO AMOUNT-verify instrument. ")),$M2055&amp;" (non-mineral; excluded from mineral NMA). ")&amp;IF(OR(ISNUMBER(SEARCH("public",$G2055)),ISNUMBER(SEARCH("public",$H2055))),"FLAG: The Public placeholder-verify. ","")&amp;IF(ISNUMBER(SEARCH("all",$L2055)),"All-section coverage. ","")&amp;IF($O2055=0,"Gross acres unresolved. ","")&amp;"Gross=tract-map basis."))</x:f>
        <x:v>Mineral; surface-only/reserved-&gt;0 min. Gross acres unresolved. Gross=tract-map basis.</x:v>
      </x:c>
      <x:c r="T2055" s="578" t="n"/>
      <x:c r="U2055" s="578" t="n"/>
      <x:c r="V2055" s="565" t="n"/>
      <x:c r="W2055" s="565" t="n"/>
      <x:c r="X2055" s="565" t="n"/>
      <x:c r="Y2055" s="565" t="n"/>
      <x:c r="Z2055" s="565" t="n"/>
    </x:row>
    <x:row r="2056">
      <x:c r="A2056" s="552" t="inlineStr">
        <x:is>
          <x:t xml:space="preserve">2011-007728</x:t>
        </x:is>
      </x:c>
      <x:c r="B2056" s="552" t="n"/>
      <x:c r="C2056" s="552" t="inlineStr">
        <x:is>
          <x:t xml:space="preserve">Deed</x:t>
        </x:is>
      </x:c>
      <x:c r="D2056" s="552" t="inlineStr">
        <x:is>
          <x:t xml:space="preserve">2104/239</x:t>
        </x:is>
      </x:c>
      <x:c r="E2056" s="653" t="n">
        <x:v>40839</x:v>
      </x:c>
      <x:c r="F2056" s="653" t="n">
        <x:v>40869</x:v>
      </x:c>
      <x:c r="G2056" s="552" t="inlineStr">
        <x:is>
          <x:t xml:space="preserve">Michael L. Bain and William C. BAIN, Successor Co-Trustees</x:t>
        </x:is>
      </x:c>
      <x:c r="H2056" s="552" t="inlineStr">
        <x:is>
          <x:t xml:space="preserve">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x:t>
        </x:is>
      </x:c>
      <x:c r="I2056" s="552" t="inlineStr">
        <x:is>
          <x:t xml:space="preserve">SE/4 SE/4, SW/4 NE/4, W/2 SE/4 of 31-12N-24W, aol</x:t>
        </x:is>
      </x:c>
      <x:c r="J2056" s="552" t="inlineStr">
        <x:is>
          <x:t xml:space="preserve">ARTI</x:t>
        </x:is>
      </x:c>
      <x:c r="K2056" s="554" t="e">
        <x:f>HYPERLINK("https://okcountyrecords.com/detail/roger+mills/2011-007728","OKCountyRecords: 2011-007728")</x:f>
      </x:c>
      <x:c r="L2056" s="552" t="n">
        <x:v>2</x:v>
      </x:c>
      <x:c r="M2056" s="552" t="inlineStr">
        <x:is>
          <x:t xml:space="preserve">Mineral</x:t>
        </x:is>
      </x:c>
      <x:c r="N2056" s="555" t="n">
        <x:v>1</x:v>
      </x:c>
      <x:c r="O2056" s="556" t="n">
        <x:f>IF($L2056="","",IF(ISNUMBER(SEARCH("all",$L2056)),640,(ISNUMBER(SEARCH("1",$L2056)))*80+(ISNUMBER(SEARCH("2",$L2056)))*160+(ISNUMBER(SEARCH("3",$L2056)))*40+(ISNUMBER(SEARCH("4",$L2056)))*80+(ISNUMBER(SEARCH("5",$L2056)))*120+(ISNUMBER(SEARCH("6",$L2056)))*80+(ISNUMBER(SEARCH("7",$L2056)))*40+(ISNUMBER(SEARCH("8",$L2056)))*40))</x:f>
        <x:v>0</x:v>
      </x:c>
      <x:c r="P2056" s="654" t="n">
        <x:f>IF($M2056&lt;&gt;"Mineral","",IF(ISNUMBER($N2056),$N2056,IF(OR(ISNUMBER(SEARCH("surface",$J2056)),ISNUMBER(SEARCH("reserv",$J2056)),ISNUMBER(SEARCH("less and except",$J2056))),0,"")))</x:f>
        <x:v>1</x:v>
      </x:c>
      <x:c r="Q2056" s="654" t="n">
        <x:f>IF($P2056="","",-$P2056)</x:f>
        <x:v>-1</x:v>
      </x:c>
      <x:c r="R2056" s="655" t="n">
        <x:f>IF($P2056="","",$O2056*$P2056)</x:f>
        <x:v>0</x:v>
      </x:c>
      <x:c r="S2056" s="552" t="str">
        <x:f>IF($M2056="","",TRIM(IF($M2056="Mineral",IF(ISNUMBER($N2056),"Mineral; basis Conv Amt(dec). ",IF($P2056=0,"Mineral; surface-only/reserved-&gt;0 min. ","Mineral; NO AMOUNT-verify instrument. ")),$M2056&amp;" (non-mineral; excluded from mineral NMA). ")&amp;IF(OR(ISNUMBER(SEARCH("public",$G2056)),ISNUMBER(SEARCH("public",$H2056))),"FLAG: The Public placeholder-verify. ","")&amp;IF(ISNUMBER(SEARCH("all",$L2056)),"All-section coverage. ","")&amp;IF($O2056=0,"Gross acres unresolved. ","")&amp;"Gross=tract-map basis."))</x:f>
        <x:v>Mineral; basis Conv Amt(dec). Gross acres unresolved. Gross=tract-map basis.</x:v>
      </x:c>
      <x:c r="T2056" s="578" t="n"/>
      <x:c r="U2056" s="578" t="n"/>
      <x:c r="V2056" s="565" t="n"/>
      <x:c r="W2056" s="565" t="n"/>
      <x:c r="X2056" s="565" t="n"/>
      <x:c r="Y2056" s="565" t="n"/>
      <x:c r="Z2056" s="565" t="n"/>
    </x:row>
    <x:row r="2057">
      <x:c r="A2057" s="552" t="inlineStr">
        <x:is>
          <x:t xml:space="preserve">2011-007729</x:t>
        </x:is>
      </x:c>
      <x:c r="B2057" s="552" t="n"/>
      <x:c r="C2057" s="552" t="inlineStr">
        <x:is>
          <x:t xml:space="preserve">Mineral Deed</x:t>
        </x:is>
      </x:c>
      <x:c r="D2057" s="552" t="inlineStr">
        <x:is>
          <x:t xml:space="preserve">2104/242</x:t>
        </x:is>
      </x:c>
      <x:c r="E2057" s="653" t="n">
        <x:v>40839</x:v>
      </x:c>
      <x:c r="F2057" s="653" t="n">
        <x:v>40869</x:v>
      </x:c>
      <x:c r="G2057" s="552" t="inlineStr">
        <x:is>
          <x:t xml:space="preserve">Michael L. Bain and William C. BAIN, Successor Co-Trustees</x:t>
        </x:is>
      </x:c>
      <x:c r="H2057" s="552" t="inlineStr">
        <x:is>
          <x:t xml:space="preserve">Michael L. Bain, as Trustee of the Michael L. Bain GST Tax-Exempt Trust, created under the Cdb Trust dated January 10, 1994
5039 West Pea Ridge Rd.
Huntington, Wv 25705, 7/24;
William C. Bain, as Trustee of the William C. Bain GST Tax-Exempt Trust, created under the Cdb Trust dated January 10, 1994
3235 Virginia
Sioux City, Ia 51104, 7/24;
Paul M. Bain, as Trustee of the Paul
M. Bain GST Tax-Exempt Trust, created under the Cdb Trust dated January 10, 1994
7065 Archibald Ave.
Ste 102-457
East Vale, CA92880, 7/24;
Brandi L. Bain
3236 West Cactus Rd.
Phoenix, Az 85029, 1/16,
Joseph M. Bain
23 Strathhaven Ct.
Gaithersburg, Md 20886, 1/16</x:t>
        </x:is>
      </x:c>
      <x:c r="I2057" s="552" t="inlineStr">
        <x:is>
          <x:t xml:space="preserve">NW/4 SE/4, S/2 SE/4, SW/4 NE/4 of 31-12N-24W, aol</x:t>
        </x:is>
      </x:c>
      <x:c r="J2057" s="552" t="inlineStr">
        <x:is>
          <x:t xml:space="preserve">ARTI</x:t>
        </x:is>
      </x:c>
      <x:c r="K2057" s="554" t="e">
        <x:f>HYPERLINK("https://okcountyrecords.com/detail/roger+mills/2011-007729","OKCountyRecords: 2011-007729")</x:f>
      </x:c>
      <x:c r="L2057" s="552" t="n">
        <x:v>2</x:v>
      </x:c>
      <x:c r="M2057" s="552" t="inlineStr">
        <x:is>
          <x:t xml:space="preserve">Mineral</x:t>
        </x:is>
      </x:c>
      <x:c r="N2057" s="555" t="n">
        <x:v>1</x:v>
      </x:c>
      <x:c r="O2057" s="556" t="n">
        <x:f>IF($L2057="","",IF(ISNUMBER(SEARCH("all",$L2057)),640,(ISNUMBER(SEARCH("1",$L2057)))*80+(ISNUMBER(SEARCH("2",$L2057)))*160+(ISNUMBER(SEARCH("3",$L2057)))*40+(ISNUMBER(SEARCH("4",$L2057)))*80+(ISNUMBER(SEARCH("5",$L2057)))*120+(ISNUMBER(SEARCH("6",$L2057)))*80+(ISNUMBER(SEARCH("7",$L2057)))*40+(ISNUMBER(SEARCH("8",$L2057)))*40))</x:f>
        <x:v>0</x:v>
      </x:c>
      <x:c r="P2057" s="654" t="n">
        <x:f>IF($M2057&lt;&gt;"Mineral","",IF(ISNUMBER($N2057),$N2057,IF(OR(ISNUMBER(SEARCH("surface",$J2057)),ISNUMBER(SEARCH("reserv",$J2057)),ISNUMBER(SEARCH("less and except",$J2057))),0,"")))</x:f>
        <x:v>1</x:v>
      </x:c>
      <x:c r="Q2057" s="654" t="n">
        <x:f>IF($P2057="","",-$P2057)</x:f>
        <x:v>-1</x:v>
      </x:c>
      <x:c r="R2057" s="655" t="n">
        <x:f>IF($P2057="","",$O2057*$P2057)</x:f>
        <x:v>0</x:v>
      </x:c>
      <x:c r="S2057" s="552" t="str">
        <x:f>IF($M2057="","",TRIM(IF($M2057="Mineral",IF(ISNUMBER($N2057),"Mineral; basis Conv Amt(dec). ",IF($P2057=0,"Mineral; surface-only/reserved-&gt;0 min. ","Mineral; NO AMOUNT-verify instrument. ")),$M2057&amp;" (non-mineral; excluded from mineral NMA). ")&amp;IF(OR(ISNUMBER(SEARCH("public",$G2057)),ISNUMBER(SEARCH("public",$H2057))),"FLAG: The Public placeholder-verify. ","")&amp;IF(ISNUMBER(SEARCH("all",$L2057)),"All-section coverage. ","")&amp;IF($O2057=0,"Gross acres unresolved. ","")&amp;"Gross=tract-map basis."))</x:f>
        <x:v>Mineral; basis Conv Amt(dec). Gross acres unresolved. Gross=tract-map basis.</x:v>
      </x:c>
      <x:c r="T2057" s="578" t="n"/>
      <x:c r="U2057" s="578" t="n"/>
      <x:c r="V2057" s="565" t="n"/>
      <x:c r="W2057" s="565" t="n"/>
      <x:c r="X2057" s="565" t="n"/>
      <x:c r="Y2057" s="565" t="n"/>
      <x:c r="Z2057" s="565" t="n"/>
    </x:row>
    <x:row r="2058">
      <x:c r="A2058" s="552" t="inlineStr">
        <x:is>
          <x:t xml:space="preserve">2011-007826</x:t>
        </x:is>
      </x:c>
      <x:c r="B2058" s="552" t="n"/>
      <x:c r="C2058" s="552" t="inlineStr">
        <x:is>
          <x:t xml:space="preserve">Mineral Deed</x:t>
        </x:is>
      </x:c>
      <x:c r="D2058" s="552" t="inlineStr">
        <x:is>
          <x:t xml:space="preserve">2104/537</x:t>
        </x:is>
      </x:c>
      <x:c r="E2058" s="653" t="n">
        <x:v>40855</x:v>
      </x:c>
      <x:c r="F2058" s="653" t="n">
        <x:v>40876</x:v>
      </x:c>
      <x:c r="G2058" s="552" t="inlineStr">
        <x:is>
          <x:t xml:space="preserve">Fleshman Agency</x:t>
        </x:is>
      </x:c>
      <x:c r="H2058" s="552" t="inlineStr">
        <x:is>
          <x:t xml:space="preserve">Mekusukey Oil Company, LLC</x:t>
        </x:is>
      </x:c>
      <x:c r="I2058" s="552" t="inlineStr">
        <x:is>
          <x:t xml:space="preserve">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31-12N-24W, aol</x:t>
        </x:is>
      </x:c>
      <x:c r="J2058" s="552" t="inlineStr">
        <x:is>
          <x:t xml:space="preserve">An undivided 2.00 net mineral acres in 31-12N-24W An undivided 8.79166/1,052.085 net mineral acre interest</x:t>
        </x:is>
      </x:c>
      <x:c r="K2058" s="554" t="e">
        <x:f>HYPERLINK("https://okcountyrecords.com/detail/roger+mills/2011-007826","OKCountyRecords: 2011-007826")</x:f>
      </x:c>
      <x:c r="L2058" s="552" t="inlineStr">
        <x:is>
          <x:t xml:space="preserve">5, 6</x:t>
        </x:is>
      </x:c>
      <x:c r="M2058" s="552" t="inlineStr">
        <x:is>
          <x:t xml:space="preserve">Mineral</x:t>
        </x:is>
      </x:c>
      <x:c r="N2058" s="555" t="str">
        <x:f>IF(O2058&gt;0,2/O2058,"")</x:f>
      </x:c>
      <x:c r="O2058" s="556" t="n">
        <x:f>IF($L2058="","",IF(ISNUMBER(SEARCH("all",$L2058)),640,(ISNUMBER(SEARCH("1",$L2058)))*80+(ISNUMBER(SEARCH("2",$L2058)))*160+(ISNUMBER(SEARCH("3",$L2058)))*40+(ISNUMBER(SEARCH("4",$L2058)))*80+(ISNUMBER(SEARCH("5",$L2058)))*120+(ISNUMBER(SEARCH("6",$L2058)))*80+(ISNUMBER(SEARCH("7",$L2058)))*40+(ISNUMBER(SEARCH("8",$L2058)))*40))</x:f>
        <x:v>0</x:v>
      </x:c>
      <x:c r="P2058" s="654" t="str">
        <x:f>IF($M2058&lt;&gt;"Mineral","",IF(ISNUMBER($N2058),$N2058,IF(OR(ISNUMBER(SEARCH("surface",$J2058)),ISNUMBER(SEARCH("reserv",$J2058)),ISNUMBER(SEARCH("less and except",$J2058))),0,"")))</x:f>
      </x:c>
      <x:c r="Q2058" s="654" t="str">
        <x:f>IF($P2058="","",-$P2058)</x:f>
      </x:c>
      <x:c r="R2058" s="655" t="str">
        <x:f>IF($P2058="","",$O2058*$P2058)</x:f>
      </x:c>
      <x:c r="S2058" s="552" t="str">
        <x:f>IF($M2058="","",TRIM(IF($M2058="Mineral",IF(ISNUMBER($N2058),"Mineral; basis Conv Amt(dec). ",IF($P2058=0,"Mineral; surface-only/reserved-&gt;0 min. ","Mineral; NO AMOUNT-verify instrument. ")),$M2058&amp;" (non-mineral; excluded from mineral NMA). ")&amp;IF(OR(ISNUMBER(SEARCH("public",$G2058)),ISNUMBER(SEARCH("public",$H2058))),"FLAG: The Public placeholder-verify. ","")&amp;IF(ISNUMBER(SEARCH("all",$L2058)),"All-section coverage. ","")&amp;IF($O2058=0,"Gross acres unresolved. ","")&amp;"Gross=tract-map basis."))</x:f>
        <x:v>Mineral; surface-only/reserved-&gt;0 min. Gross acres unresolved. Gross=tract-map basis.</x:v>
      </x:c>
      <x:c r="T2058" s="578" t="n"/>
      <x:c r="U2058" s="578" t="inlineStr">
        <x:is>
          <x:t xml:space="preserve">Conveys 2 NMA per notes; conv. dec = 2/gross. Verify denominator/tract from image.</x:t>
        </x:is>
      </x:c>
      <x:c r="V2058" s="565" t="n"/>
      <x:c r="W2058" s="565" t="n"/>
      <x:c r="X2058" s="565" t="n"/>
      <x:c r="Y2058" s="565" t="n"/>
      <x:c r="Z2058" s="565" t="n"/>
    </x:row>
    <x:row r="2059">
      <x:c r="A2059" s="552" t="inlineStr">
        <x:is>
          <x:t xml:space="preserve">2011-008134</x:t>
        </x:is>
      </x:c>
      <x:c r="B2059" s="552" t="n"/>
      <x:c r="C2059" s="552" t="inlineStr">
        <x:is>
          <x:t xml:space="preserve">Mineral and Royalty Deed</x:t>
        </x:is>
      </x:c>
      <x:c r="D2059" s="552" t="inlineStr">
        <x:is>
          <x:t xml:space="preserve">2106/387</x:t>
        </x:is>
      </x:c>
      <x:c r="E2059" s="653" t="n">
        <x:v>40876</x:v>
      </x:c>
      <x:c r="F2059" s="653" t="n">
        <x:v>40886</x:v>
      </x:c>
      <x:c r="G2059" s="552" t="inlineStr">
        <x:is>
          <x:t xml:space="preserve">Myron V. Slobin</x:t>
        </x:is>
      </x:c>
      <x:c r="H2059" s="552" t="inlineStr">
        <x:is>
          <x:t xml:space="preserve">Brian Herman Kortright</x:t>
        </x:is>
      </x:c>
      <x:c r="I2059" s="552" t="inlineStr">
        <x:is>
          <x:t xml:space="preserve">NW/4 SE/4, S/2 SE/4, SE/4 NE/4 of 31-12N-24W, aol</x:t>
        </x:is>
      </x:c>
      <x:c r="J2059" s="552" t="inlineStr">
        <x:is>
          <x:t xml:space="preserve">1/791.47 interest
1 (One) Net mineral acre, in 2 sections</x:t>
        </x:is>
      </x:c>
      <x:c r="K2059" s="554" t="e">
        <x:f>HYPERLINK("https://okcountyrecords.com/detail/roger+mills/2011-008134","OKCountyRecords: 2011-008134")</x:f>
      </x:c>
      <x:c r="L2059" s="552" t="inlineStr">
        <x:is>
          <x:t xml:space="preserve">2, 3</x:t>
        </x:is>
      </x:c>
      <x:c r="M2059" s="552" t="inlineStr">
        <x:is>
          <x:t xml:space="preserve">Mineral</x:t>
        </x:is>
      </x:c>
      <x:c r="N2059" s="555" t="n">
        <x:f>1/791.47</x:f>
        <x:v>0.0012634717677233501</x:v>
      </x:c>
      <x:c r="O2059" s="556" t="n">
        <x:f>IF($L2059="","",IF(ISNUMBER(SEARCH("all",$L2059)),640,(ISNUMBER(SEARCH("1",$L2059)))*80+(ISNUMBER(SEARCH("2",$L2059)))*160+(ISNUMBER(SEARCH("3",$L2059)))*40+(ISNUMBER(SEARCH("4",$L2059)))*80+(ISNUMBER(SEARCH("5",$L2059)))*120+(ISNUMBER(SEARCH("6",$L2059)))*80+(ISNUMBER(SEARCH("7",$L2059)))*40+(ISNUMBER(SEARCH("8",$L2059)))*40))</x:f>
        <x:v>0</x:v>
      </x:c>
      <x:c r="P2059" s="654" t="n">
        <x:f>IF($M2059&lt;&gt;"Mineral","",IF(ISNUMBER($N2059),$N2059,IF(OR(ISNUMBER(SEARCH("surface",$J2059)),ISNUMBER(SEARCH("reserv",$J2059)),ISNUMBER(SEARCH("less and except",$J2059))),0,"")))</x:f>
        <x:v>0.0012634717677233501</x:v>
      </x:c>
      <x:c r="Q2059" s="654" t="n">
        <x:f>IF($P2059="","",-$P2059)</x:f>
        <x:v>-0.0012634717677233501</x:v>
      </x:c>
      <x:c r="R2059" s="655" t="n">
        <x:f>IF($P2059="","",$O2059*$P2059)</x:f>
        <x:v>0</x:v>
      </x:c>
      <x:c r="S2059" s="552" t="str">
        <x:f>IF($M2059="","",TRIM(IF($M2059="Mineral",IF(ISNUMBER($N2059),"Mineral; basis Conv Amt(dec). ",IF($P2059=0,"Mineral; surface-only/reserved-&gt;0 min. ","Mineral; NO AMOUNT-verify instrument. ")),$M2059&amp;" (non-mineral; excluded from mineral NMA). ")&amp;IF(OR(ISNUMBER(SEARCH("public",$G2059)),ISNUMBER(SEARCH("public",$H2059))),"FLAG: The Public placeholder-verify. ","")&amp;IF(ISNUMBER(SEARCH("all",$L2059)),"All-section coverage. ","")&amp;IF($O2059=0,"Gross acres unresolved. ","")&amp;"Gross=tract-map basis."))</x:f>
        <x:v>Mineral; basis Conv Amt(dec). Gross acres unresolved. Gross=tract-map basis.</x:v>
      </x:c>
      <x:c r="T2059" s="578" t="n"/>
      <x:c r="U2059" s="578" t="n"/>
      <x:c r="V2059" s="565" t="n"/>
      <x:c r="W2059" s="565" t="n"/>
      <x:c r="X2059" s="565" t="n"/>
      <x:c r="Y2059" s="565" t="n"/>
      <x:c r="Z2059" s="565" t="n"/>
    </x:row>
    <x:row r="2060">
      <x:c r="A2060" s="552" t="inlineStr">
        <x:is>
          <x:t xml:space="preserve">2013-006083</x:t>
        </x:is>
      </x:c>
      <x:c r="B2060" s="552" t="n"/>
      <x:c r="C2060" s="552" t="inlineStr">
        <x:is>
          <x:t xml:space="preserve">Mineral and Royalty Deed</x:t>
        </x:is>
      </x:c>
      <x:c r="D2060" s="552" t="inlineStr">
        <x:is>
          <x:t xml:space="preserve">2219/516</x:t>
        </x:is>
      </x:c>
      <x:c r="E2060" s="653" t="n">
        <x:v>40876</x:v>
      </x:c>
      <x:c r="F2060" s="653" t="n">
        <x:v>41592</x:v>
      </x:c>
      <x:c r="G2060" s="552" t="inlineStr">
        <x:is>
          <x:t xml:space="preserve">Myron V. Slobin</x:t>
        </x:is>
      </x:c>
      <x:c r="H2060" s="552" t="inlineStr">
        <x:is>
          <x:t xml:space="preserve">Brian Herman Kortright</x:t>
        </x:is>
      </x:c>
      <x:c r="I2060" s="552" t="inlineStr">
        <x:is>
          <x:t xml:space="preserve">NW/4 SE/4, S/2 SE/4, SW/4 NE/4 of 31-12N-24W, aol</x:t>
        </x:is>
      </x:c>
      <x:c r="J2060" s="552" t="inlineStr">
        <x:is>
          <x:t xml:space="preserve">1/791.47 interest
1 (One) Net mineral acre, in 2 sections</x:t>
        </x:is>
      </x:c>
      <x:c r="K2060" s="554" t="e">
        <x:f>HYPERLINK("https://okcountyrecords.com/detail/roger+mills/2013-006083","OKCountyRecords: 2013-006083")</x:f>
      </x:c>
      <x:c r="L2060" s="552" t="n">
        <x:v>2</x:v>
      </x:c>
      <x:c r="M2060" s="552" t="inlineStr">
        <x:is>
          <x:t xml:space="preserve">Mineral</x:t>
        </x:is>
      </x:c>
      <x:c r="N2060" s="555" t="n">
        <x:f>1/791.47</x:f>
        <x:v>0.0012634717677233501</x:v>
      </x:c>
      <x:c r="O2060" s="556" t="n">
        <x:f>IF($L2060="","",IF(ISNUMBER(SEARCH("all",$L2060)),640,(ISNUMBER(SEARCH("1",$L2060)))*80+(ISNUMBER(SEARCH("2",$L2060)))*160+(ISNUMBER(SEARCH("3",$L2060)))*40+(ISNUMBER(SEARCH("4",$L2060)))*80+(ISNUMBER(SEARCH("5",$L2060)))*120+(ISNUMBER(SEARCH("6",$L2060)))*80+(ISNUMBER(SEARCH("7",$L2060)))*40+(ISNUMBER(SEARCH("8",$L2060)))*40))</x:f>
        <x:v>0</x:v>
      </x:c>
      <x:c r="P2060" s="654" t="n">
        <x:f>IF($M2060&lt;&gt;"Mineral","",IF(ISNUMBER($N2060),$N2060,IF(OR(ISNUMBER(SEARCH("surface",$J2060)),ISNUMBER(SEARCH("reserv",$J2060)),ISNUMBER(SEARCH("less and except",$J2060))),0,"")))</x:f>
        <x:v>0.0012634717677233501</x:v>
      </x:c>
      <x:c r="Q2060" s="654" t="n">
        <x:f>IF($P2060="","",-$P2060)</x:f>
        <x:v>-0.0012634717677233501</x:v>
      </x:c>
      <x:c r="R2060" s="655" t="n">
        <x:f>IF($P2060="","",$O2060*$P2060)</x:f>
        <x:v>0</x:v>
      </x:c>
      <x:c r="S2060" s="552" t="str">
        <x:f>IF($M2060="","",TRIM(IF($M2060="Mineral",IF(ISNUMBER($N2060),"Mineral; basis Conv Amt(dec). ",IF($P2060=0,"Mineral; surface-only/reserved-&gt;0 min. ","Mineral; NO AMOUNT-verify instrument. ")),$M2060&amp;" (non-mineral; excluded from mineral NMA). ")&amp;IF(OR(ISNUMBER(SEARCH("public",$G2060)),ISNUMBER(SEARCH("public",$H2060))),"FLAG: The Public placeholder-verify. ","")&amp;IF(ISNUMBER(SEARCH("all",$L2060)),"All-section coverage. ","")&amp;IF($O2060=0,"Gross acres unresolved. ","")&amp;"Gross=tract-map basis."))</x:f>
        <x:v>Mineral; basis Conv Amt(dec). Gross acres unresolved. Gross=tract-map basis.</x:v>
      </x:c>
      <x:c r="T2060" s="578" t="n"/>
      <x:c r="U2060" s="578" t="n"/>
      <x:c r="V2060" s="565" t="n"/>
      <x:c r="W2060" s="565" t="n"/>
      <x:c r="X2060" s="565" t="n"/>
      <x:c r="Y2060" s="565" t="n"/>
      <x:c r="Z2060" s="565" t="n"/>
    </x:row>
    <x:row r="2061">
      <x:c r="A2061" s="552" t="inlineStr">
        <x:is>
          <x:t xml:space="preserve">2011-008366</x:t>
        </x:is>
      </x:c>
      <x:c r="B2061" s="552" t="n"/>
      <x:c r="C2061" s="552" t="inlineStr">
        <x:is>
          <x:t xml:space="preserve">Mineral Deed</x:t>
        </x:is>
      </x:c>
      <x:c r="D2061" s="552" t="inlineStr">
        <x:is>
          <x:t xml:space="preserve">2108/102</x:t>
        </x:is>
      </x:c>
      <x:c r="E2061" s="653" t="n">
        <x:v>40892</x:v>
      </x:c>
      <x:c r="F2061" s="653" t="n">
        <x:v>40896</x:v>
      </x:c>
      <x:c r="G2061" s="552" t="inlineStr">
        <x:is>
          <x:t xml:space="preserve">Michelle Sorenson Johnson</x:t>
        </x:is>
      </x:c>
      <x:c r="H2061" s="552" t="inlineStr">
        <x:is>
          <x:t xml:space="preserve">Mark Ashley Daigle Trust, 33.3%,
Keri Lee Daigle Trust, 33.3%,
Kevin Warner Johnson Trust, 33.4%</x:t>
        </x:is>
      </x:c>
      <x:c r="I2061" s="552" t="inlineStr">
        <x:is>
          <x:t xml:space="preserve">LALEXANDER 1-31 of 31-12N-24W</x:t>
        </x:is>
      </x:c>
      <x:c r="J2061" s="552" t="inlineStr">
        <x:is>
          <x:t xml:space="preserve">ARTI</x:t>
        </x:is>
      </x:c>
      <x:c r="K2061" s="554" t="e">
        <x:f>HYPERLINK("https://okcountyrecords.com/detail/roger+mills/2011-008366","OKCountyRecords: 2011-008366")</x:f>
      </x:c>
      <x:c r="L2061" s="552" t="inlineStr">
        <x:is>
          <x:t xml:space="preserve">All (1-8)</x:t>
        </x:is>
      </x:c>
      <x:c r="M2061" s="552" t="inlineStr">
        <x:is>
          <x:t xml:space="preserve">Mineral</x:t>
        </x:is>
      </x:c>
      <x:c r="N2061" s="555" t="n">
        <x:v>1</x:v>
      </x:c>
      <x:c r="O2061" s="556" t="n">
        <x:f>IF($L2061="","",IF(ISNUMBER(SEARCH("all",$L2061)),640,(ISNUMBER(SEARCH("1",$L2061)))*80+(ISNUMBER(SEARCH("2",$L2061)))*160+(ISNUMBER(SEARCH("3",$L2061)))*40+(ISNUMBER(SEARCH("4",$L2061)))*80+(ISNUMBER(SEARCH("5",$L2061)))*120+(ISNUMBER(SEARCH("6",$L2061)))*80+(ISNUMBER(SEARCH("7",$L2061)))*40+(ISNUMBER(SEARCH("8",$L2061)))*40))</x:f>
        <x:v>640</x:v>
      </x:c>
      <x:c r="P2061" s="654" t="n">
        <x:f>IF($M2061&lt;&gt;"Mineral","",IF(ISNUMBER($N2061),$N2061,IF(OR(ISNUMBER(SEARCH("surface",$J2061)),ISNUMBER(SEARCH("reserv",$J2061)),ISNUMBER(SEARCH("less and except",$J2061))),0,"")))</x:f>
        <x:v>1</x:v>
      </x:c>
      <x:c r="Q2061" s="654" t="n">
        <x:f>IF($P2061="","",-$P2061)</x:f>
        <x:v>-1</x:v>
      </x:c>
      <x:c r="R2061" s="655" t="n">
        <x:f>IF($P2061="","",$O2061*$P2061)</x:f>
        <x:v>640</x:v>
      </x:c>
      <x:c r="S2061" s="552" t="str">
        <x:f>IF($M2061="","",TRIM(IF($M2061="Mineral",IF(ISNUMBER($N2061),"Mineral; basis Conv Amt(dec). ",IF($P2061=0,"Mineral; surface-only/reserved-&gt;0 min. ","Mineral; NO AMOUNT-verify instrument. ")),$M2061&amp;" (non-mineral; excluded from mineral NMA). ")&amp;IF(OR(ISNUMBER(SEARCH("public",$G2061)),ISNUMBER(SEARCH("public",$H2061))),"FLAG: The Public placeholder-verify. ","")&amp;IF(ISNUMBER(SEARCH("all",$L2061)),"All-section coverage. ","")&amp;IF($O2061=0,"Gross acres unresolved. ","")&amp;"Gross=tract-map basis."))</x:f>
        <x:v>Mineral; basis Conv Amt(dec). All-section coverage. Gross=tract-map basis.</x:v>
      </x:c>
      <x:c r="T2061" s="578" t="n"/>
      <x:c r="U2061" s="578" t="n"/>
      <x:c r="V2061" s="565" t="n"/>
      <x:c r="W2061" s="565" t="n"/>
      <x:c r="X2061" s="565" t="n"/>
      <x:c r="Y2061" s="565" t="n"/>
      <x:c r="Z2061" s="565" t="n"/>
    </x:row>
    <x:row r="2062">
      <x:c r="A2062" s="552" t="inlineStr">
        <x:is>
          <x:t xml:space="preserve">2012-000970</x:t>
        </x:is>
      </x:c>
      <x:c r="B2062" s="552" t="n"/>
      <x:c r="C2062" s="552" t="inlineStr">
        <x:is>
          <x:t xml:space="preserve">Affidavit of Identity</x:t>
        </x:is>
      </x:c>
      <x:c r="D2062" s="552" t="inlineStr">
        <x:is>
          <x:t xml:space="preserve">2116/16</x:t>
        </x:is>
      </x:c>
      <x:c r="E2062" s="653" t="n">
        <x:v>40905</x:v>
      </x:c>
      <x:c r="F2062" s="653" t="n">
        <x:v>40949</x:v>
      </x:c>
      <x:c r="G2062" s="552" t="inlineStr">
        <x:is>
          <x:t xml:space="preserve">Keri L. Tucker</x:t>
        </x:is>
      </x:c>
      <x:c r="H2062" s="552" t="inlineStr">
        <x:is>
          <x:t xml:space="preserve">The Public</x:t>
        </x:is>
      </x:c>
      <x:c r="I2062" s="552" t="inlineStr">
        <x:is>
          <x:t xml:space="preserve">LALEXANDER 1-31 of 31-12N-24W</x:t>
        </x:is>
      </x:c>
      <x:c r="J2062" s="552" t="inlineStr">
        <x:is>
          <x:t xml:space="preserve">the Keri Lee Daigle Trust is one and the same Trust as the Keri Daigle Tucker Trust, and (2) that Keri Lee Daigle is the one and the same person as Keri Daigle Tucker.</x:t>
        </x:is>
      </x:c>
      <x:c r="K2062" s="554" t="e">
        <x:f>HYPERLINK("https://okcountyrecords.com/detail/roger+mills/2012-000970","OKCountyRecords: 2012-000970")</x:f>
      </x:c>
      <x:c r="L2062" s="552" t="inlineStr">
        <x:is>
          <x:t xml:space="preserve">All (1-8)</x:t>
        </x:is>
      </x:c>
      <x:c r="M2062" s="552" t="inlineStr">
        <x:is>
          <x:t xml:space="preserve">Other</x:t>
        </x:is>
      </x:c>
      <x:c r="N2062" s="555" t="n"/>
      <x:c r="O2062" s="556" t="n">
        <x:f>IF($L2062="","",IF(ISNUMBER(SEARCH("all",$L2062)),640,(ISNUMBER(SEARCH("1",$L2062)))*80+(ISNUMBER(SEARCH("2",$L2062)))*160+(ISNUMBER(SEARCH("3",$L2062)))*40+(ISNUMBER(SEARCH("4",$L2062)))*80+(ISNUMBER(SEARCH("5",$L2062)))*120+(ISNUMBER(SEARCH("6",$L2062)))*80+(ISNUMBER(SEARCH("7",$L2062)))*40+(ISNUMBER(SEARCH("8",$L2062)))*40))</x:f>
        <x:v>640</x:v>
      </x:c>
      <x:c r="P2062" s="654" t="str">
        <x:f>IF($M2062&lt;&gt;"Mineral","",IF(ISNUMBER($N2062),$N2062,IF(OR(ISNUMBER(SEARCH("surface",$J2062)),ISNUMBER(SEARCH("reserv",$J2062)),ISNUMBER(SEARCH("less and except",$J2062))),0,"")))</x:f>
      </x:c>
      <x:c r="Q2062" s="654" t="str">
        <x:f>IF($P2062="","",-$P2062)</x:f>
      </x:c>
      <x:c r="R2062" s="655" t="str">
        <x:f>IF($P2062="","",$O2062*$P2062)</x:f>
      </x:c>
      <x:c r="S2062" s="552" t="inlineStr">
        <x:is>
          <x:t xml:space="preserve">Other (non-mineral; excluded from mineral NMA). All-section coverage. Gross=tract-map basis.</x:t>
        </x:is>
      </x:c>
      <x:c r="T2062" s="578" t="inlineStr">
        <x:is>
          <x:t xml:space="preserve">OK</x:t>
        </x:is>
      </x:c>
      <x:c r="U2062" s="578" t="inlineStr">
        <x:is>
          <x:t xml:space="preserve">Non-conveying — notice/affidavit/address change (The Public).</x:t>
        </x:is>
      </x:c>
      <x:c r="V2062" s="565" t="n"/>
      <x:c r="W2062" s="565" t="n"/>
      <x:c r="X2062" s="565" t="n"/>
      <x:c r="Y2062" s="565" t="n"/>
      <x:c r="Z2062" s="565" t="n"/>
    </x:row>
    <x:row r="2063">
      <x:c r="A2063" s="552" t="inlineStr">
        <x:is>
          <x:t xml:space="preserve">2012-005041</x:t>
        </x:is>
      </x:c>
      <x:c r="B2063" s="552" t="n"/>
      <x:c r="C2063" s="552" t="inlineStr">
        <x:is>
          <x:t xml:space="preserve">Order Appointing Co-Trustees</x:t>
        </x:is>
      </x:c>
      <x:c r="D2063" s="552" t="inlineStr">
        <x:is>
          <x:t xml:space="preserve">2148/385</x:t>
        </x:is>
      </x:c>
      <x:c r="E2063" s="653" t="n">
        <x:v>40961</x:v>
      </x:c>
      <x:c r="F2063" s="653" t="n">
        <x:v>41106</x:v>
      </x:c>
      <x:c r="G2063" s="552" t="inlineStr">
        <x:is>
          <x:t xml:space="preserve">Beckham County Court,
RE: In the Matter of the Fred A. Standiford, Jr. Trust</x:t>
        </x:is>
      </x:c>
      <x:c r="H2063" s="552" t="inlineStr">
        <x:is>
          <x:t xml:space="preserve">Kimberly D. Standiford,
Rosa C. Standiford</x:t>
        </x:is>
      </x:c>
      <x:c r="I2063" s="552" t="inlineStr">
        <x:is>
          <x:t xml:space="preserve">SE/4 SW/4 of 31-12N-24W, aol</x:t>
        </x:is>
      </x:c>
      <x:c r="J2063" s="552" t="inlineStr">
        <x:is>
          <x:t xml:space="preserve">Rosa C. Standiford and Kimberly D. Standiford be and they hereby are appointed as Co-Trustees of the Fred A. Standiford, Jr. Trust, a testamentary trust, pursuant to the terms of the Last Will and Testament of Fred A. Standiford, Jr., dated September 18, 1990, with all powers granted to such trustee under the terms of said last will and testament.</x:t>
        </x:is>
      </x:c>
      <x:c r="K2063" s="554" t="e">
        <x:f>HYPERLINK("https://okcountyrecords.com/detail/roger+mills/2012-005041","OKCountyRecords: 2012-005041")</x:f>
      </x:c>
      <x:c r="L2063" s="552" t="n">
        <x:v>5</x:v>
      </x:c>
      <x:c r="M2063" s="552" t="inlineStr">
        <x:is>
          <x:t xml:space="preserve">Other</x:t>
        </x:is>
      </x:c>
      <x:c r="N2063" s="555" t="n"/>
      <x:c r="O2063" s="556" t="n">
        <x:f>IF($L2063="","",IF(ISNUMBER(SEARCH("all",$L2063)),640,(ISNUMBER(SEARCH("1",$L2063)))*80+(ISNUMBER(SEARCH("2",$L2063)))*160+(ISNUMBER(SEARCH("3",$L2063)))*40+(ISNUMBER(SEARCH("4",$L2063)))*80+(ISNUMBER(SEARCH("5",$L2063)))*120+(ISNUMBER(SEARCH("6",$L2063)))*80+(ISNUMBER(SEARCH("7",$L2063)))*40+(ISNUMBER(SEARCH("8",$L2063)))*40))</x:f>
        <x:v>0</x:v>
      </x:c>
      <x:c r="P2063" s="654" t="str">
        <x:f>IF($M2063&lt;&gt;"Mineral","",IF(ISNUMBER($N2063),$N2063,IF(OR(ISNUMBER(SEARCH("surface",$J2063)),ISNUMBER(SEARCH("reserv",$J2063)),ISNUMBER(SEARCH("less and except",$J2063))),0,"")))</x:f>
      </x:c>
      <x:c r="Q2063" s="654" t="str">
        <x:f>IF($P2063="","",-$P2063)</x:f>
      </x:c>
      <x:c r="R2063" s="655" t="str">
        <x:f>IF($P2063="","",$O2063*$P2063)</x:f>
      </x:c>
      <x:c r="S2063" s="552" t="str">
        <x:f>IF($M2063="","",TRIM(IF($M2063="Mineral",IF(ISNUMBER($N2063),"Mineral; basis Conv Amt(dec). ",IF($P2063=0,"Mineral; surface-only/reserved-&gt;0 min. ","Mineral; NO AMOUNT-verify instrument. ")),$M2063&amp;" (non-mineral; excluded from mineral NMA). ")&amp;IF(OR(ISNUMBER(SEARCH("public",$G2063)),ISNUMBER(SEARCH("public",$H2063))),"FLAG: The Public placeholder-verify. ","")&amp;IF(ISNUMBER(SEARCH("all",$L2063)),"All-section coverage. ","")&amp;IF($O2063=0,"Gross acres unresolved. ","")&amp;"Gross=tract-map basis."))</x:f>
        <x:v>Other (non-mineral; excluded from mineral NMA). Gross acres unresolved. Gross=tract-map basis.</x:v>
      </x:c>
      <x:c r="T2063" s="578" t="n"/>
      <x:c r="U2063" s="578" t="n"/>
      <x:c r="V2063" s="565" t="n"/>
      <x:c r="W2063" s="565" t="n"/>
      <x:c r="X2063" s="565" t="n"/>
      <x:c r="Y2063" s="565" t="n"/>
      <x:c r="Z2063" s="565" t="n"/>
    </x:row>
    <x:row r="2064">
      <x:c r="A2064" s="552" t="inlineStr">
        <x:is>
          <x:t xml:space="preserve">2012-001856</x:t>
        </x:is>
      </x:c>
      <x:c r="B2064" s="552" t="n"/>
      <x:c r="C2064" s="552" t="inlineStr">
        <x:is>
          <x:t xml:space="preserve">Partial Release</x:t>
        </x:is>
      </x:c>
      <x:c r="D2064" s="552" t="inlineStr">
        <x:is>
          <x:t xml:space="preserve">2121/77</x:t>
        </x:is>
      </x:c>
      <x:c r="E2064" s="653" t="n">
        <x:v>40973</x:v>
      </x:c>
      <x:c r="F2064" s="653" t="n">
        <x:v>40983</x:v>
      </x:c>
      <x:c r="G2064" s="552" t="inlineStr">
        <x:is>
          <x:t xml:space="preserve">Wells Fargo Bank</x:t>
        </x:is>
      </x:c>
      <x:c r="H2064" s="552" t="inlineStr">
        <x:is>
          <x:t xml:space="preserve">Chesapeake Exploration, LLC</x:t>
        </x:is>
      </x:c>
      <x:c r="I2064" s="552" t="inlineStr">
        <x:is>
          <x:t xml:space="preserve">NW/4 SE/4, S/2 NE/4 SW/4 Lots 3-4, S/2 SE/4, SE/4 SW/4, SW/4 NE/4 of 31-12N-24W, aol</x:t>
        </x:is>
      </x:c>
      <x:c r="J2064" s="552" t="inlineStr">
        <x:is>
          <x:t xml:space="preserve">Mortgage partial release</x:t>
        </x:is>
      </x:c>
      <x:c r="K2064" s="554" t="e">
        <x:f>HYPERLINK("https://okcountyrecords.com/detail/roger+mills/2012-001856","OKCountyRecords: 2012-001856")</x:f>
      </x:c>
      <x:c r="L2064" s="552" t="inlineStr">
        <x:is>
          <x:t xml:space="preserve">2, 3, 5, 6, 7</x:t>
        </x:is>
      </x:c>
      <x:c r="M2064" s="552" t="inlineStr">
        <x:is>
          <x:t xml:space="preserve">Leasehold</x:t>
        </x:is>
      </x:c>
      <x:c r="N2064" s="555" t="n"/>
      <x:c r="O2064" s="556" t="n">
        <x:f>IF($L2064="","",IF(ISNUMBER(SEARCH("all",$L2064)),640,(ISNUMBER(SEARCH("1",$L2064)))*80+(ISNUMBER(SEARCH("2",$L2064)))*160+(ISNUMBER(SEARCH("3",$L2064)))*40+(ISNUMBER(SEARCH("4",$L2064)))*80+(ISNUMBER(SEARCH("5",$L2064)))*120+(ISNUMBER(SEARCH("6",$L2064)))*80+(ISNUMBER(SEARCH("7",$L2064)))*40+(ISNUMBER(SEARCH("8",$L2064)))*40))</x:f>
        <x:v>0</x:v>
      </x:c>
      <x:c r="P2064" s="654" t="str">
        <x:f>IF($M2064&lt;&gt;"Mineral","",IF(ISNUMBER($N2064),$N2064,IF(OR(ISNUMBER(SEARCH("surface",$J2064)),ISNUMBER(SEARCH("reserv",$J2064)),ISNUMBER(SEARCH("less and except",$J2064))),0,"")))</x:f>
      </x:c>
      <x:c r="Q2064" s="654" t="str">
        <x:f>IF($P2064="","",-$P2064)</x:f>
      </x:c>
      <x:c r="R2064" s="655" t="str">
        <x:f>IF($P2064="","",$O2064*$P2064)</x:f>
      </x:c>
      <x:c r="S2064" s="552" t="str">
        <x:f>IF($M2064="","",TRIM(IF($M2064="Mineral",IF(ISNUMBER($N2064),"Mineral; basis Conv Amt(dec). ",IF($P2064=0,"Mineral; surface-only/reserved-&gt;0 min. ","Mineral; NO AMOUNT-verify instrument. ")),$M2064&amp;" (non-mineral; excluded from mineral NMA). ")&amp;IF(OR(ISNUMBER(SEARCH("public",$G2064)),ISNUMBER(SEARCH("public",$H2064))),"FLAG: The Public placeholder-verify. ","")&amp;IF(ISNUMBER(SEARCH("all",$L2064)),"All-section coverage. ","")&amp;IF($O2064=0,"Gross acres unresolved. ","")&amp;"Gross=tract-map basis."))</x:f>
        <x:v>Leasehold (non-mineral; excluded from mineral NMA). Gross acres unresolved. Gross=tract-map basis.</x:v>
      </x:c>
      <x:c r="T2064" s="577" t="n"/>
      <x:c r="U2064" s="578" t="n"/>
      <x:c r="V2064" s="565" t="n"/>
      <x:c r="W2064" s="565" t="n"/>
      <x:c r="X2064" s="565" t="n"/>
      <x:c r="Y2064" s="565" t="n"/>
      <x:c r="Z2064" s="565" t="n"/>
    </x:row>
    <x:row r="2065">
      <x:c r="A2065" s="552" t="inlineStr">
        <x:is>
          <x:t xml:space="preserve">2012-002191</x:t>
        </x:is>
      </x:c>
      <x:c r="B2065" s="552" t="n"/>
      <x:c r="C2065" s="552" t="inlineStr">
        <x:is>
          <x:t xml:space="preserve">Order Determining Heirs, Legatees and Devisees. and Final Decree of Distribution and Discharge</x:t>
        </x:is>
      </x:c>
      <x:c r="D2065" s="552" t="inlineStr">
        <x:is>
          <x:t xml:space="preserve">2124/117</x:t>
        </x:is>
      </x:c>
      <x:c r="E2065" s="653" t="n">
        <x:v>40988</x:v>
      </x:c>
      <x:c r="F2065" s="653" t="n">
        <x:v>40990</x:v>
      </x:c>
      <x:c r="G2065" s="552" t="inlineStr">
        <x:is>
          <x:t xml:space="preserve">Beckham County Court,
RE: In the Matter of the Estate of Fred A. Standiford, Jr., Deceased</x:t>
        </x:is>
      </x:c>
      <x:c r="H2065" s="552" t="inlineStr">
        <x:is>
          <x:t xml:space="preserve">Rosa C. Standiford and Kimberly D. Standiford, Co-Trustees of the Fred A. Standiford, Jr. Trust</x:t>
        </x:is>
      </x:c>
      <x:c r="I2065" s="552" t="inlineStr">
        <x:is>
          <x:t xml:space="preserve">SE/4 SW/4 of 31-12N-24W, aol</x:t>
        </x:is>
      </x:c>
      <x:c r="J2065" s="552" t="inlineStr">
        <x:is>
          <x:t xml:space="preserve">ARTI</x:t>
        </x:is>
      </x:c>
      <x:c r="K2065" s="554" t="e">
        <x:f>HYPERLINK("https://okcountyrecords.com/detail/roger+mills/2012-002191","OKCountyRecords: 2012-002191")</x:f>
      </x:c>
      <x:c r="L2065" s="552" t="n">
        <x:v>5</x:v>
      </x:c>
      <x:c r="M2065" s="552" t="inlineStr">
        <x:is>
          <x:t xml:space="preserve">Mineral</x:t>
        </x:is>
      </x:c>
      <x:c r="N2065" s="555" t="n">
        <x:v>1</x:v>
      </x:c>
      <x:c r="O2065" s="556" t="n">
        <x:f>IF($L2065="","",IF(ISNUMBER(SEARCH("all",$L2065)),640,(ISNUMBER(SEARCH("1",$L2065)))*80+(ISNUMBER(SEARCH("2",$L2065)))*160+(ISNUMBER(SEARCH("3",$L2065)))*40+(ISNUMBER(SEARCH("4",$L2065)))*80+(ISNUMBER(SEARCH("5",$L2065)))*120+(ISNUMBER(SEARCH("6",$L2065)))*80+(ISNUMBER(SEARCH("7",$L2065)))*40+(ISNUMBER(SEARCH("8",$L2065)))*40))</x:f>
        <x:v>0</x:v>
      </x:c>
      <x:c r="P2065" s="654" t="n">
        <x:f>IF($M2065&lt;&gt;"Mineral","",IF(ISNUMBER($N2065),$N2065,IF(OR(ISNUMBER(SEARCH("surface",$J2065)),ISNUMBER(SEARCH("reserv",$J2065)),ISNUMBER(SEARCH("less and except",$J2065))),0,"")))</x:f>
        <x:v>1</x:v>
      </x:c>
      <x:c r="Q2065" s="654" t="n">
        <x:f>IF($P2065="","",-$P2065)</x:f>
        <x:v>-1</x:v>
      </x:c>
      <x:c r="R2065" s="655" t="n">
        <x:f>IF($P2065="","",$O2065*$P2065)</x:f>
        <x:v>0</x:v>
      </x:c>
      <x:c r="S2065" s="552" t="str">
        <x:f>IF($M2065="","",TRIM(IF($M2065="Mineral",IF(ISNUMBER($N2065),"Mineral; basis Conv Amt(dec). ",IF($P2065=0,"Mineral; surface-only/reserved-&gt;0 min. ","Mineral; NO AMOUNT-verify instrument. ")),$M2065&amp;" (non-mineral; excluded from mineral NMA). ")&amp;IF(OR(ISNUMBER(SEARCH("public",$G2065)),ISNUMBER(SEARCH("public",$H2065))),"FLAG: The Public placeholder-verify. ","")&amp;IF(ISNUMBER(SEARCH("all",$L2065)),"All-section coverage. ","")&amp;IF($O2065=0,"Gross acres unresolved. ","")&amp;"Gross=tract-map basis."))</x:f>
        <x:v>Mineral; basis Conv Amt(dec). Gross acres unresolved. Gross=tract-map basis.</x:v>
      </x:c>
      <x:c r="T2065" s="578" t="n"/>
      <x:c r="U2065" s="578" t="n"/>
      <x:c r="V2065" s="565" t="n"/>
      <x:c r="W2065" s="565" t="n"/>
      <x:c r="X2065" s="565" t="n"/>
      <x:c r="Y2065" s="565" t="n"/>
      <x:c r="Z2065" s="565" t="n"/>
    </x:row>
    <x:row r="2066">
      <x:c r="A2066" s="552" t="inlineStr">
        <x:is>
          <x:t xml:space="preserve">2012-005854</x:t>
        </x:is>
      </x:c>
      <x:c r="B2066" s="552" t="n"/>
      <x:c r="C2066" s="552" t="inlineStr">
        <x:is>
          <x:t xml:space="preserve">Amendment</x:t>
        </x:is>
      </x:c>
      <x:c r="D2066" s="552" t="inlineStr">
        <x:is>
          <x:t xml:space="preserve">2154/229</x:t>
        </x:is>
      </x:c>
      <x:c r="E2066" s="653" t="n">
        <x:v>41000</x:v>
      </x:c>
      <x:c r="F2066" s="653" t="n">
        <x:v>41145</x:v>
      </x:c>
      <x:c r="G2066" s="552" t="inlineStr">
        <x:is>
          <x:t xml:space="preserve">Chesapeake Exploration, LLC</x:t>
        </x:is>
      </x:c>
      <x:c r="H2066" s="552" t="inlineStr">
        <x:is>
          <x:t xml:space="preserve">Chk Cleveland Tonkawa, LLC</x:t>
        </x:is>
      </x:c>
      <x:c r="I2066" s="552" t="inlineStr">
        <x:is>
          <x:t xml:space="preserve">All of 31-12N-24W, aol</x:t>
        </x:is>
      </x:c>
      <x:c r="J2066" s="552" t="inlineStr">
        <x:is>
          <x:t xml:space="preserve">99.9% of their interest</x:t>
        </x:is>
      </x:c>
      <x:c r="K2066" s="554" t="e">
        <x:f>HYPERLINK("https://okcountyrecords.com/detail/roger+mills/2012-005854","OKCountyRecords: 2012-005854")</x:f>
      </x:c>
      <x:c r="L2066" s="552" t="inlineStr">
        <x:is>
          <x:t xml:space="preserve">All (1-8)</x:t>
        </x:is>
      </x:c>
      <x:c r="M2066" s="552" t="inlineStr">
        <x:is>
          <x:t xml:space="preserve">Leasehold</x:t>
        </x:is>
      </x:c>
      <x:c r="N2066" s="555" t="n"/>
      <x:c r="O2066" s="556" t="n">
        <x:f>IF($L2066="","",IF(ISNUMBER(SEARCH("all",$L2066)),640,(ISNUMBER(SEARCH("1",$L2066)))*80+(ISNUMBER(SEARCH("2",$L2066)))*160+(ISNUMBER(SEARCH("3",$L2066)))*40+(ISNUMBER(SEARCH("4",$L2066)))*80+(ISNUMBER(SEARCH("5",$L2066)))*120+(ISNUMBER(SEARCH("6",$L2066)))*80+(ISNUMBER(SEARCH("7",$L2066)))*40+(ISNUMBER(SEARCH("8",$L2066)))*40))</x:f>
        <x:v>640</x:v>
      </x:c>
      <x:c r="P2066" s="654" t="str">
        <x:f>IF($M2066&lt;&gt;"Mineral","",IF(ISNUMBER($N2066),$N2066,IF(OR(ISNUMBER(SEARCH("surface",$J2066)),ISNUMBER(SEARCH("reserv",$J2066)),ISNUMBER(SEARCH("less and except",$J2066))),0,"")))</x:f>
      </x:c>
      <x:c r="Q2066" s="654" t="str">
        <x:f>IF($P2066="","",-$P2066)</x:f>
      </x:c>
      <x:c r="R2066" s="655" t="str">
        <x:f>IF($P2066="","",$O2066*$P2066)</x:f>
      </x:c>
      <x:c r="S2066" s="552" t="str">
        <x:f>IF($M2066="","",TRIM(IF($M2066="Mineral",IF(ISNUMBER($N2066),"Mineral; basis Conv Amt(dec). ",IF($P2066=0,"Mineral; surface-only/reserved-&gt;0 min. ","Mineral; NO AMOUNT-verify instrument. ")),$M2066&amp;" (non-mineral; excluded from mineral NMA). ")&amp;IF(OR(ISNUMBER(SEARCH("public",$G2066)),ISNUMBER(SEARCH("public",$H2066))),"FLAG: The Public placeholder-verify. ","")&amp;IF(ISNUMBER(SEARCH("all",$L2066)),"All-section coverage. ","")&amp;IF($O2066=0,"Gross acres unresolved. ","")&amp;"Gross=tract-map basis."))</x:f>
        <x:v>Leasehold (non-mineral; excluded from mineral NMA). All-section coverage. Gross=tract-map basis.</x:v>
      </x:c>
      <x:c r="T2066" s="577" t="n"/>
      <x:c r="U2066" s="578" t="n"/>
      <x:c r="V2066" s="565" t="n"/>
      <x:c r="W2066" s="565" t="n"/>
      <x:c r="X2066" s="565" t="n"/>
      <x:c r="Y2066" s="565" t="n"/>
      <x:c r="Z2066" s="565" t="n"/>
    </x:row>
    <x:row r="2067">
      <x:c r="A2067" s="552" t="inlineStr">
        <x:is>
          <x:t xml:space="preserve">2012-002539</x:t>
        </x:is>
      </x:c>
      <x:c r="B2067" s="552" t="n"/>
      <x:c r="C2067" s="552" t="inlineStr">
        <x:is>
          <x:t xml:space="preserve">Assignment</x:t>
        </x:is>
      </x:c>
      <x:c r="D2067" s="552" t="inlineStr">
        <x:is>
          <x:t xml:space="preserve">2129/1</x:t>
        </x:is>
      </x:c>
      <x:c r="E2067" s="653" t="n">
        <x:v>41000</x:v>
      </x:c>
      <x:c r="F2067" s="653" t="n">
        <x:v>41002</x:v>
      </x:c>
      <x:c r="G2067" s="552" t="inlineStr">
        <x:is>
          <x:t xml:space="preserve">Chesapeake Exploration, LLC</x:t>
        </x:is>
      </x:c>
      <x:c r="H2067" s="552" t="inlineStr">
        <x:is>
          <x:t xml:space="preserve">Chk Cleveland Tonkawa, LLC</x:t>
        </x:is>
      </x:c>
      <x:c r="I2067" s="552" t="inlineStr">
        <x:is>
          <x:t xml:space="preserve">All of 31-12N-24W, aol</x:t>
        </x:is>
      </x:c>
      <x:c r="J2067" s="552" t="inlineStr">
        <x:is>
          <x:t xml:space="preserve">99.9% of their interest</x:t>
        </x:is>
      </x:c>
      <x:c r="K2067" s="554" t="e">
        <x:f>HYPERLINK("https://okcountyrecords.com/detail/roger+mills/2012-002539","OKCountyRecords: 2012-002539")</x:f>
      </x:c>
      <x:c r="L2067" s="552" t="inlineStr">
        <x:is>
          <x:t xml:space="preserve">All (1-8)</x:t>
        </x:is>
      </x:c>
      <x:c r="M2067" s="552" t="inlineStr">
        <x:is>
          <x:t xml:space="preserve">Leasehold</x:t>
        </x:is>
      </x:c>
      <x:c r="N2067" s="555" t="n"/>
      <x:c r="O2067" s="556" t="n">
        <x:f>IF($L2067="","",IF(ISNUMBER(SEARCH("all",$L2067)),640,(ISNUMBER(SEARCH("1",$L2067)))*80+(ISNUMBER(SEARCH("2",$L2067)))*160+(ISNUMBER(SEARCH("3",$L2067)))*40+(ISNUMBER(SEARCH("4",$L2067)))*80+(ISNUMBER(SEARCH("5",$L2067)))*120+(ISNUMBER(SEARCH("6",$L2067)))*80+(ISNUMBER(SEARCH("7",$L2067)))*40+(ISNUMBER(SEARCH("8",$L2067)))*40))</x:f>
        <x:v>640</x:v>
      </x:c>
      <x:c r="P2067" s="654" t="str">
        <x:f>IF($M2067&lt;&gt;"Mineral","",IF(ISNUMBER($N2067),$N2067,IF(OR(ISNUMBER(SEARCH("surface",$J2067)),ISNUMBER(SEARCH("reserv",$J2067)),ISNUMBER(SEARCH("less and except",$J2067))),0,"")))</x:f>
      </x:c>
      <x:c r="Q2067" s="654" t="str">
        <x:f>IF($P2067="","",-$P2067)</x:f>
      </x:c>
      <x:c r="R2067" s="655" t="str">
        <x:f>IF($P2067="","",$O2067*$P2067)</x:f>
      </x:c>
      <x:c r="S2067" s="552" t="str">
        <x:f>IF($M2067="","",TRIM(IF($M2067="Mineral",IF(ISNUMBER($N2067),"Mineral; basis Conv Amt(dec). ",IF($P2067=0,"Mineral; surface-only/reserved-&gt;0 min. ","Mineral; NO AMOUNT-verify instrument. ")),$M2067&amp;" (non-mineral; excluded from mineral NMA). ")&amp;IF(OR(ISNUMBER(SEARCH("public",$G2067)),ISNUMBER(SEARCH("public",$H2067))),"FLAG: The Public placeholder-verify. ","")&amp;IF(ISNUMBER(SEARCH("all",$L2067)),"All-section coverage. ","")&amp;IF($O2067=0,"Gross acres unresolved. ","")&amp;"Gross=tract-map basis."))</x:f>
        <x:v>Leasehold (non-mineral; excluded from mineral NMA). All-section coverage. Gross=tract-map basis.</x:v>
      </x:c>
      <x:c r="T2067" s="577" t="n"/>
      <x:c r="U2067" s="578" t="n"/>
      <x:c r="V2067" s="565" t="n"/>
      <x:c r="W2067" s="565" t="n"/>
      <x:c r="X2067" s="565" t="n"/>
      <x:c r="Y2067" s="565" t="n"/>
      <x:c r="Z2067" s="565" t="n"/>
    </x:row>
    <x:row r="2068">
      <x:c r="A2068" s="552" t="inlineStr">
        <x:is>
          <x:t xml:space="preserve">2012-002930</x:t>
        </x:is>
      </x:c>
      <x:c r="B2068" s="552" t="n"/>
      <x:c r="C2068" s="552" t="inlineStr">
        <x:is>
          <x:t xml:space="preserve">Mineral Deed</x:t>
        </x:is>
      </x:c>
      <x:c r="D2068" s="552" t="inlineStr">
        <x:is>
          <x:t xml:space="preserve">2131/599</x:t>
        </x:is>
      </x:c>
      <x:c r="E2068" s="653" t="n">
        <x:v>41011</x:v>
      </x:c>
      <x:c r="F2068" s="653" t="n">
        <x:v>41015</x:v>
      </x:c>
      <x:c r="G2068" s="552" t="inlineStr">
        <x:is>
          <x:t xml:space="preserve">Jospeh A. Bain and Doris Bain, HW</x:t>
        </x:is>
      </x:c>
      <x:c r="H2068" s="552" t="inlineStr">
        <x:is>
          <x:t xml:space="preserve">Lighthouse Point, LLC</x:t>
        </x:is>
      </x:c>
      <x:c r="I2068" s="552" t="inlineStr">
        <x:is>
          <x:t xml:space="preserve">NW/4 SE/4, S/2 SE/4, SW/4 NE/4 of 31-12N-24W, aol</x:t>
        </x:is>
      </x:c>
      <x:c r="J2068" s="552" t="inlineStr">
        <x:is>
          <x:t xml:space="preserve">3 NMA in 31-12N-24W,
A total of six (6) net mineral acres of Grantor's right, title and interest in and to all of the oil, gas and other minerals in and under 2 sections</x:t>
        </x:is>
      </x:c>
      <x:c r="K2068" s="554" t="e">
        <x:f>HYPERLINK("https://okcountyrecords.com/detail/roger+mills/2012-002930","OKCountyRecords: 2012-002930")</x:f>
      </x:c>
      <x:c r="L2068" s="552" t="n">
        <x:v>2</x:v>
      </x:c>
      <x:c r="M2068" s="552" t="inlineStr">
        <x:is>
          <x:t xml:space="preserve">Mineral</x:t>
        </x:is>
      </x:c>
      <x:c r="N2068" s="555" t="str">
        <x:f>IF(O2068&gt;0,3/O2068,"")</x:f>
      </x:c>
      <x:c r="O2068" s="556" t="n">
        <x:f>IF($L2068="","",IF(ISNUMBER(SEARCH("all",$L2068)),640,(ISNUMBER(SEARCH("1",$L2068)))*80+(ISNUMBER(SEARCH("2",$L2068)))*160+(ISNUMBER(SEARCH("3",$L2068)))*40+(ISNUMBER(SEARCH("4",$L2068)))*80+(ISNUMBER(SEARCH("5",$L2068)))*120+(ISNUMBER(SEARCH("6",$L2068)))*80+(ISNUMBER(SEARCH("7",$L2068)))*40+(ISNUMBER(SEARCH("8",$L2068)))*40))</x:f>
        <x:v>0</x:v>
      </x:c>
      <x:c r="P2068" s="654" t="str">
        <x:f>IF($M2068&lt;&gt;"Mineral","",IF(ISNUMBER($N2068),$N2068,IF(OR(ISNUMBER(SEARCH("surface",$J2068)),ISNUMBER(SEARCH("reserv",$J2068)),ISNUMBER(SEARCH("less and except",$J2068))),0,"")))</x:f>
      </x:c>
      <x:c r="Q2068" s="654" t="str">
        <x:f>IF($P2068="","",-$P2068)</x:f>
      </x:c>
      <x:c r="R2068" s="655" t="str">
        <x:f>IF($P2068="","",$O2068*$P2068)</x:f>
      </x:c>
      <x:c r="S2068" s="552" t="str">
        <x:f>IF($M2068="","",TRIM(IF($M2068="Mineral",IF(ISNUMBER($N2068),"Mineral; basis Conv Amt(dec). ",IF($P2068=0,"Mineral; surface-only/reserved-&gt;0 min. ","Mineral; VERIFY — NEED full instrument image for conveyed amount. ")),$M2068&amp;" (non-mineral; excluded from mineral NMA). ")&amp;IF(OR(ISNUMBER(SEARCH("public",$G2068)),ISNUMBER(SEARCH("public",$H2068))),"FLAG: The Public placeholder; VERIFY — NEED source confirmation. ","")&amp;IF(ISNUMBER(SEARCH("all",$L2068)),"All-section coverage. ","")&amp;IF($O2068=0,"Gross acres unresolved. ","")&amp;"Gross=tract-map basis."))</x:f>
        <x:v>Mineral; surface-only/reserved-&gt;0 min. Gross acres unresolved. Gross=tract-map basis.</x:v>
      </x:c>
      <x:c r="T2068" s="578" t="inlineStr">
        <x:is>
          <x:t xml:space="preserve">REVIEW</x:t>
        </x:is>
      </x:c>
      <x:c r="U2068" s="578" t="inlineStr">
        <x:is>
          <x:t xml:space="preserve">Conveys 3 NMA per notes; conv. dec = 3/gross. Verify denominator/tract from image.</x:t>
        </x:is>
      </x:c>
      <x:c r="V2068" s="565" t="n"/>
      <x:c r="W2068" s="565" t="n"/>
      <x:c r="X2068" s="565" t="n"/>
      <x:c r="Y2068" s="565" t="n"/>
      <x:c r="Z2068" s="565" t="n"/>
    </x:row>
    <x:row r="2069">
      <x:c r="A2069" s="552" t="inlineStr">
        <x:is>
          <x:t xml:space="preserve">2012-004060</x:t>
        </x:is>
      </x:c>
      <x:c r="B2069" s="552" t="n"/>
      <x:c r="C2069" s="552" t="inlineStr">
        <x:is>
          <x:t xml:space="preserve">Mineral Deed</x:t>
        </x:is>
      </x:c>
      <x:c r="D2069" s="552" t="inlineStr">
        <x:is>
          <x:t xml:space="preserve">2141/3</x:t>
        </x:is>
      </x:c>
      <x:c r="E2069" s="653" t="n">
        <x:v>41059</x:v>
      </x:c>
      <x:c r="F2069" s="653" t="n">
        <x:v>41061</x:v>
      </x:c>
      <x:c r="G2069" s="552" t="inlineStr">
        <x:is>
          <x:t xml:space="preserve">OK Oil Ventures an unincorporated partnership comprising Gregory J. Winneke, Myron V. Slobin and the heirs of Lyle T. Ibeling, being: Michelle L Ibeling, Janelle Ibeling Ness, Joel R. Ibeling and Cassandra M. Wynia,</x:t>
        </x:is>
      </x:c>
      <x:c r="H2069" s="552" t="inlineStr">
        <x:is>
          <x:t xml:space="preserve">Gregory J. Winneke 33.33 %,
Myron V. Slobin 33.33%</x:t>
        </x:is>
      </x:c>
      <x:c r="I2069" s="552" t="inlineStr">
        <x:is>
          <x:t xml:space="preserve">NW/4 SE/4, S/2 SE/4, SE/4 NE/4 of 31-12N-24W, aol</x:t>
        </x:is>
      </x:c>
      <x:c r="J2069" s="552" t="inlineStr">
        <x:is>
          <x:t xml:space="preserve">all of his right, title and interest in and to all the oil, gas and any and all other minerals in 2 sections</x:t>
        </x:is>
      </x:c>
      <x:c r="K2069" s="554" t="e">
        <x:f>HYPERLINK("https://okcountyrecords.com/detail/roger+mills/2012-004060","OKCountyRecords: 2012-004060")</x:f>
      </x:c>
      <x:c r="L2069" s="552" t="inlineStr">
        <x:is>
          <x:t xml:space="preserve">2, 3</x:t>
        </x:is>
      </x:c>
      <x:c r="M2069" s="552" t="inlineStr">
        <x:is>
          <x:t xml:space="preserve">Mineral</x:t>
        </x:is>
      </x:c>
      <x:c r="N2069" s="555" t="n">
        <x:v>1</x:v>
      </x:c>
      <x:c r="O2069" s="556" t="n">
        <x:f>IF($L2069="","",IF(ISNUMBER(SEARCH("all",$L2069)),640,(ISNUMBER(SEARCH("1",$L2069)))*80+(ISNUMBER(SEARCH("2",$L2069)))*160+(ISNUMBER(SEARCH("3",$L2069)))*40+(ISNUMBER(SEARCH("4",$L2069)))*80+(ISNUMBER(SEARCH("5",$L2069)))*120+(ISNUMBER(SEARCH("6",$L2069)))*80+(ISNUMBER(SEARCH("7",$L2069)))*40+(ISNUMBER(SEARCH("8",$L2069)))*40))</x:f>
        <x:v>0</x:v>
      </x:c>
      <x:c r="P2069" s="654" t="n">
        <x:f>IF($M2069&lt;&gt;"Mineral","",IF(ISNUMBER($N2069),$N2069,IF(OR(ISNUMBER(SEARCH("surface",$J2069)),ISNUMBER(SEARCH("reserv",$J2069)),ISNUMBER(SEARCH("less and except",$J2069))),0,"")))</x:f>
        <x:v>1</x:v>
      </x:c>
      <x:c r="Q2069" s="654" t="n">
        <x:f>IF($P2069="","",-$P2069)</x:f>
        <x:v>-1</x:v>
      </x:c>
      <x:c r="R2069" s="655" t="n">
        <x:f>IF($P2069="","",$O2069*$P2069)</x:f>
        <x:v>0</x:v>
      </x:c>
      <x:c r="S2069" s="552" t="str">
        <x:f>IF($M2069="","",TRIM(IF($M2069="Mineral",IF(ISNUMBER($N2069),"Mineral; basis Conv Amt(dec). ",IF($P2069=0,"Mineral; surface-only/reserved-&gt;0 min. ","Mineral; NO AMOUNT-verify instrument. ")),$M2069&amp;" (non-mineral; excluded from mineral NMA). ")&amp;IF(OR(ISNUMBER(SEARCH("public",$G2069)),ISNUMBER(SEARCH("public",$H2069))),"FLAG: The Public placeholder-verify. ","")&amp;IF(ISNUMBER(SEARCH("all",$L2069)),"All-section coverage. ","")&amp;IF($O2069=0,"Gross acres unresolved. ","")&amp;"Gross=tract-map basis."))</x:f>
        <x:v>Mineral; basis Conv Amt(dec). Gross acres unresolved. Gross=tract-map basis.</x:v>
      </x:c>
      <x:c r="T2069" s="578" t="n"/>
      <x:c r="U2069" s="578" t="n"/>
      <x:c r="V2069" s="565" t="n"/>
      <x:c r="W2069" s="565" t="n"/>
      <x:c r="X2069" s="565" t="n"/>
      <x:c r="Y2069" s="565" t="n"/>
      <x:c r="Z2069" s="565" t="n"/>
    </x:row>
    <x:row r="2070">
      <x:c r="A2070" s="552" t="inlineStr">
        <x:is>
          <x:t xml:space="preserve">2012-006477</x:t>
        </x:is>
      </x:c>
      <x:c r="B2070" s="552" t="n"/>
      <x:c r="C2070" s="552" t="inlineStr">
        <x:is>
          <x:t xml:space="preserve">Assignment of ORRI</x:t>
        </x:is>
      </x:c>
      <x:c r="D2070" s="552" t="inlineStr">
        <x:is>
          <x:t xml:space="preserve">2159/361</x:t>
        </x:is>
      </x:c>
      <x:c r="E2070" s="653" t="n">
        <x:v>41074</x:v>
      </x:c>
      <x:c r="F2070" s="653" t="n">
        <x:v>41173</x:v>
      </x:c>
      <x:c r="G2070" s="552" t="inlineStr">
        <x:is>
          <x:t xml:space="preserve">Yale Oil Assoc, Inc.</x:t>
        </x:is>
      </x:c>
      <x:c r="H2070" s="552" t="inlineStr">
        <x:is>
          <x:t xml:space="preserve">Chelin H. Satherlie,
Gregg M. Satherlie</x:t>
        </x:is>
      </x:c>
      <x:c r="I2070" s="552" t="inlineStr">
        <x:is>
          <x:t xml:space="preserve">Lots 1-3 of 31-12N-24W</x:t>
        </x:is>
      </x:c>
      <x:c r="J2070" s="552" t="inlineStr">
        <x:is>
          <x:t xml:space="preserve">ORRI</x:t>
        </x:is>
      </x:c>
      <x:c r="K2070" s="554" t="e">
        <x:f>HYPERLINK("https://okcountyrecords.com/detail/roger+mills/2012-006477","OKCountyRecords: 2012-006477")</x:f>
      </x:c>
      <x:c r="L2070" s="552" t="n">
        <x:v>5</x:v>
      </x:c>
      <x:c r="M2070" s="552" t="inlineStr">
        <x:is>
          <x:t xml:space="preserve">Leasehold</x:t>
        </x:is>
      </x:c>
      <x:c r="N2070" s="555" t="n"/>
      <x:c r="O2070" s="556" t="n">
        <x:f>IF($L2070="","",IF(ISNUMBER(SEARCH("all",$L2070)),640,(ISNUMBER(SEARCH("1",$L2070)))*80+(ISNUMBER(SEARCH("2",$L2070)))*160+(ISNUMBER(SEARCH("3",$L2070)))*40+(ISNUMBER(SEARCH("4",$L2070)))*80+(ISNUMBER(SEARCH("5",$L2070)))*120+(ISNUMBER(SEARCH("6",$L2070)))*80+(ISNUMBER(SEARCH("7",$L2070)))*40+(ISNUMBER(SEARCH("8",$L2070)))*40))</x:f>
        <x:v>0</x:v>
      </x:c>
      <x:c r="P2070" s="654" t="str">
        <x:f>IF($M2070&lt;&gt;"Mineral","",IF(ISNUMBER($N2070),$N2070,IF(OR(ISNUMBER(SEARCH("surface",$J2070)),ISNUMBER(SEARCH("reserv",$J2070)),ISNUMBER(SEARCH("less and except",$J2070))),0,"")))</x:f>
      </x:c>
      <x:c r="Q2070" s="654" t="str">
        <x:f>IF($P2070="","",-$P2070)</x:f>
      </x:c>
      <x:c r="R2070" s="655" t="str">
        <x:f>IF($P2070="","",$O2070*$P2070)</x:f>
      </x:c>
      <x:c r="S2070" s="552" t="str">
        <x:f>IF($M2070="","",TRIM(IF($M2070="Mineral",IF(ISNUMBER($N2070),"Mineral; basis Conv Amt(dec). ",IF($P2070=0,"Mineral; surface-only/reserved-&gt;0 min. ","Mineral; NO AMOUNT-verify instrument. ")),$M2070&amp;" (non-mineral; excluded from mineral NMA). ")&amp;IF(OR(ISNUMBER(SEARCH("public",$G2070)),ISNUMBER(SEARCH("public",$H2070))),"FLAG: The Public placeholder-verify. ","")&amp;IF(ISNUMBER(SEARCH("all",$L2070)),"All-section coverage. ","")&amp;IF($O2070=0,"Gross acres unresolved. ","")&amp;"Gross=tract-map basis."))</x:f>
        <x:v>Leasehold (non-mineral; excluded from mineral NMA). Gross acres unresolved. Gross=tract-map basis.</x:v>
      </x:c>
      <x:c r="T2070" s="577" t="n"/>
      <x:c r="U2070" s="578" t="n"/>
      <x:c r="V2070" s="565" t="n"/>
      <x:c r="W2070" s="565" t="n"/>
      <x:c r="X2070" s="565" t="n"/>
      <x:c r="Y2070" s="565" t="n"/>
      <x:c r="Z2070" s="565" t="n"/>
    </x:row>
    <x:row r="2071">
      <x:c r="A2071" s="552" t="inlineStr">
        <x:is>
          <x:t xml:space="preserve">2012-004836</x:t>
        </x:is>
      </x:c>
      <x:c r="B2071" s="552" t="n"/>
      <x:c r="C2071" s="552" t="inlineStr">
        <x:is>
          <x:t xml:space="preserve">Power of Attorney</x:t>
        </x:is>
      </x:c>
      <x:c r="D2071" s="552" t="inlineStr">
        <x:is>
          <x:t xml:space="preserve">2147/239</x:t>
        </x:is>
      </x:c>
      <x:c r="E2071" s="653" t="n">
        <x:v>41092</x:v>
      </x:c>
      <x:c r="F2071" s="653" t="n">
        <x:v>41095</x:v>
      </x:c>
      <x:c r="G2071" s="552" t="inlineStr">
        <x:is>
          <x:t xml:space="preserve">Kaiser-francis Oil Co.</x:t>
        </x:is>
      </x:c>
      <x:c r="H2071" s="552" t="inlineStr">
        <x:is>
          <x:t xml:space="preserve">Craig Aif Dolinsky</x:t>
        </x:is>
      </x:c>
      <x:c r="I2071" s="552" t="inlineStr">
        <x:is>
          <x:t xml:space="preserve">All of 31-12N-24W, aol</x:t>
        </x:is>
      </x:c>
      <x:c r="J2071" s="552" t="inlineStr">
        <x:is>
          <x:t xml:space="preserve">See instrument</x:t>
        </x:is>
      </x:c>
      <x:c r="K2071" s="554" t="e">
        <x:f>HYPERLINK("https://okcountyrecords.com/detail/roger+mills/2012-004836","OKCountyRecords: 2012-004836")</x:f>
      </x:c>
      <x:c r="L2071" s="552" t="inlineStr">
        <x:is>
          <x:t xml:space="preserve">All (1-8)</x:t>
        </x:is>
      </x:c>
      <x:c r="M2071" s="552" t="inlineStr">
        <x:is>
          <x:t xml:space="preserve">Other</x:t>
        </x:is>
      </x:c>
      <x:c r="N2071" s="555" t="n"/>
      <x:c r="O2071" s="556" t="n">
        <x:f>IF($L2071="","",IF(ISNUMBER(SEARCH("all",$L2071)),640,(ISNUMBER(SEARCH("1",$L2071)))*80+(ISNUMBER(SEARCH("2",$L2071)))*160+(ISNUMBER(SEARCH("3",$L2071)))*40+(ISNUMBER(SEARCH("4",$L2071)))*80+(ISNUMBER(SEARCH("5",$L2071)))*120+(ISNUMBER(SEARCH("6",$L2071)))*80+(ISNUMBER(SEARCH("7",$L2071)))*40+(ISNUMBER(SEARCH("8",$L2071)))*40))</x:f>
        <x:v>640</x:v>
      </x:c>
      <x:c r="P2071" s="654" t="str">
        <x:f>IF($M2071&lt;&gt;"Mineral","",IF(ISNUMBER($N2071),$N2071,IF(OR(ISNUMBER(SEARCH("surface",$J2071)),ISNUMBER(SEARCH("reserv",$J2071)),ISNUMBER(SEARCH("less and except",$J2071))),0,"")))</x:f>
      </x:c>
      <x:c r="Q2071" s="654" t="str">
        <x:f>IF($P2071="","",-$P2071)</x:f>
      </x:c>
      <x:c r="R2071" s="655" t="str">
        <x:f>IF($P2071="","",$O2071*$P2071)</x:f>
      </x:c>
      <x:c r="S2071" s="552" t="str">
        <x:f>IF($M2071="","",TRIM(IF($M2071="Mineral",IF(ISNUMBER($N2071),"Mineral; basis Conv Amt(dec). ",IF($P2071=0,"Mineral; surface-only/reserved-&gt;0 min. ","Mineral; NO AMOUNT-verify instrument. ")),$M2071&amp;" (non-mineral; excluded from mineral NMA). ")&amp;IF(OR(ISNUMBER(SEARCH("public",$G2071)),ISNUMBER(SEARCH("public",$H2071))),"FLAG: The Public placeholder-verify. ","")&amp;IF(ISNUMBER(SEARCH("all",$L2071)),"All-section coverage. ","")&amp;IF($O2071=0,"Gross acres unresolved. ","")&amp;"Gross=tract-map basis."))</x:f>
        <x:v>Other (non-mineral; excluded from mineral NMA). All-section coverage. Gross=tract-map basis.</x:v>
      </x:c>
      <x:c r="T2071" s="578" t="n"/>
      <x:c r="U2071" s="578" t="n"/>
      <x:c r="V2071" s="565" t="n"/>
      <x:c r="W2071" s="565" t="n"/>
      <x:c r="X2071" s="565" t="n"/>
      <x:c r="Y2071" s="565" t="n"/>
      <x:c r="Z2071" s="565" t="n"/>
    </x:row>
    <x:row r="2072">
      <x:c r="A2072" s="552" t="inlineStr">
        <x:is>
          <x:t xml:space="preserve">2012-007511</x:t>
        </x:is>
      </x:c>
      <x:c r="B2072" s="552" t="n"/>
      <x:c r="C2072" s="552" t="inlineStr">
        <x:is>
          <x:t xml:space="preserve">Assignment of ORRI</x:t>
        </x:is>
      </x:c>
      <x:c r="D2072" s="552" t="inlineStr">
        <x:is>
          <x:t xml:space="preserve">2166/194</x:t>
        </x:is>
      </x:c>
      <x:c r="E2072" s="653" t="n">
        <x:v>41215</x:v>
      </x:c>
      <x:c r="F2072" s="653" t="n">
        <x:v>41227</x:v>
      </x:c>
      <x:c r="G2072" s="552" t="inlineStr">
        <x:is>
          <x:t xml:space="preserve">Yale Oil Association, Inc.</x:t>
        </x:is>
      </x:c>
      <x:c r="H2072" s="552" t="inlineStr">
        <x:is>
          <x:t xml:space="preserve">K. C. Production</x:t>
        </x:is>
      </x:c>
      <x:c r="I2072" s="552" t="inlineStr">
        <x:is>
          <x:t xml:space="preserve">Lots 1,2, N/2 of 3 of 31-12N-24W</x:t>
        </x:is>
      </x:c>
      <x:c r="J2072" s="552" t="inlineStr">
        <x:is>
          <x:t xml:space="preserve">ORRI</x:t>
        </x:is>
      </x:c>
      <x:c r="K2072" s="554" t="e">
        <x:f>HYPERLINK("https://okcountyrecords.com/detail/roger+mills/2012-007511","OKCountyRecords: 2012-007511")</x:f>
      </x:c>
      <x:c r="L2072" s="552" t="n">
        <x:v>5</x:v>
      </x:c>
      <x:c r="M2072" s="552" t="inlineStr">
        <x:is>
          <x:t xml:space="preserve">Leasehold</x:t>
        </x:is>
      </x:c>
      <x:c r="N2072" s="555" t="n"/>
      <x:c r="O2072" s="556" t="n">
        <x:f>IF($L2072="","",IF(ISNUMBER(SEARCH("all",$L2072)),640,(ISNUMBER(SEARCH("1",$L2072)))*80+(ISNUMBER(SEARCH("2",$L2072)))*160+(ISNUMBER(SEARCH("3",$L2072)))*40+(ISNUMBER(SEARCH("4",$L2072)))*80+(ISNUMBER(SEARCH("5",$L2072)))*120+(ISNUMBER(SEARCH("6",$L2072)))*80+(ISNUMBER(SEARCH("7",$L2072)))*40+(ISNUMBER(SEARCH("8",$L2072)))*40))</x:f>
        <x:v>0</x:v>
      </x:c>
      <x:c r="P2072" s="654" t="str">
        <x:f>IF($M2072&lt;&gt;"Mineral","",IF(ISNUMBER($N2072),$N2072,IF(OR(ISNUMBER(SEARCH("surface",$J2072)),ISNUMBER(SEARCH("reserv",$J2072)),ISNUMBER(SEARCH("less and except",$J2072))),0,"")))</x:f>
      </x:c>
      <x:c r="Q2072" s="654" t="str">
        <x:f>IF($P2072="","",-$P2072)</x:f>
      </x:c>
      <x:c r="R2072" s="655" t="str">
        <x:f>IF($P2072="","",$O2072*$P2072)</x:f>
      </x:c>
      <x:c r="S2072" s="552" t="str">
        <x:f>IF($M2072="","",TRIM(IF($M2072="Mineral",IF(ISNUMBER($N2072),"Mineral; basis Conv Amt(dec). ",IF($P2072=0,"Mineral; surface-only/reserved-&gt;0 min. ","Mineral; NO AMOUNT-verify instrument. ")),$M2072&amp;" (non-mineral; excluded from mineral NMA). ")&amp;IF(OR(ISNUMBER(SEARCH("public",$G2072)),ISNUMBER(SEARCH("public",$H2072))),"FLAG: The Public placeholder-verify. ","")&amp;IF(ISNUMBER(SEARCH("all",$L2072)),"All-section coverage. ","")&amp;IF($O2072=0,"Gross acres unresolved. ","")&amp;"Gross=tract-map basis."))</x:f>
        <x:v>Leasehold (non-mineral; excluded from mineral NMA). Gross acres unresolved. Gross=tract-map basis.</x:v>
      </x:c>
      <x:c r="T2072" s="577" t="n"/>
      <x:c r="U2072" s="578" t="n"/>
      <x:c r="V2072" s="565" t="n"/>
      <x:c r="W2072" s="565" t="n"/>
      <x:c r="X2072" s="565" t="n"/>
      <x:c r="Y2072" s="565" t="n"/>
      <x:c r="Z2072" s="565" t="n"/>
    </x:row>
    <x:row r="2073">
      <x:c r="A2073" s="552" t="inlineStr">
        <x:is>
          <x:t xml:space="preserve">2013-002047</x:t>
        </x:is>
      </x:c>
      <x:c r="B2073" s="552" t="n">
        <x:v>42</x:v>
      </x:c>
      <x:c r="C2073" s="552" t="inlineStr">
        <x:is>
          <x:t xml:space="preserve">Memorandum</x:t>
        </x:is>
      </x:c>
      <x:c r="D2073" s="563" t="inlineStr">
        <x:is>
          <x:t xml:space="preserve">2179/1</x:t>
        </x:is>
      </x:c>
      <x:c r="E2073" s="653" t="n">
        <x:v>41255</x:v>
      </x:c>
      <x:c r="F2073" s="653" t="n">
        <x:v>41318</x:v>
      </x:c>
      <x:c r="G2073" s="552" t="inlineStr">
        <x:is>
          <x:t xml:space="preserve">Chesapeake Midstream Development</x:t>
        </x:is>
      </x:c>
      <x:c r="H2073" s="552" t="inlineStr">
        <x:is>
          <x:t xml:space="preserve">Compass Bank</x:t>
        </x:is>
      </x:c>
      <x:c r="I2073" s="552" t="inlineStr">
        <x:is>
          <x:t xml:space="preserve">S29 T16N R22W A S22 T16N R25W A 322 more candidate from related target search page of 31-12N-24W, aol</x:t>
        </x:is>
      </x:c>
      <x:c r="J2073" s="552" t="inlineStr">
        <x:is>
          <x:t xml:space="preserve">Provides record notice of lease</x:t>
        </x:is>
      </x:c>
      <x:c r="K2073" s="554" t="e">
        <x:f>HYPERLINK("https://okcountyrecords.com/detail/roger+mills/2013-002047","OKCountyRecords: 2013-002047")</x:f>
      </x:c>
      <x:c r="L2073" s="552" t="inlineStr">
        <x:is>
          <x:t xml:space="preserve">All (1-8)</x:t>
        </x:is>
      </x:c>
      <x:c r="M2073" s="552" t="inlineStr">
        <x:is>
          <x:t xml:space="preserve">Leasehold</x:t>
        </x:is>
      </x:c>
      <x:c r="N2073" s="555" t="n"/>
      <x:c r="O2073" s="556" t="n">
        <x:f>IF($L2073="","",IF(ISNUMBER(SEARCH("all",$L2073)),640,(ISNUMBER(SEARCH("1",$L2073)))*80+(ISNUMBER(SEARCH("2",$L2073)))*160+(ISNUMBER(SEARCH("3",$L2073)))*40+(ISNUMBER(SEARCH("4",$L2073)))*80+(ISNUMBER(SEARCH("5",$L2073)))*120+(ISNUMBER(SEARCH("6",$L2073)))*80+(ISNUMBER(SEARCH("7",$L2073)))*40+(ISNUMBER(SEARCH("8",$L2073)))*40))</x:f>
        <x:v>640</x:v>
      </x:c>
      <x:c r="P2073" s="654" t="str">
        <x:f>IF($M2073&lt;&gt;"Mineral","",IF(ISNUMBER($N2073),$N2073,IF(OR(ISNUMBER(SEARCH("surface",$J2073)),ISNUMBER(SEARCH("reserv",$J2073)),ISNUMBER(SEARCH("less and except",$J2073))),0,"")))</x:f>
      </x:c>
      <x:c r="Q2073" s="654" t="str">
        <x:f>IF($P2073="","",-$P2073)</x:f>
      </x:c>
      <x:c r="R2073" s="655" t="str">
        <x:f>IF($P2073="","",$O2073*$P2073)</x:f>
      </x:c>
      <x:c r="S2073" s="552" t="str">
        <x:f>IF($M2073="","",TRIM(IF($M2073="Mineral",IF(ISNUMBER($N2073),"Mineral; basis Conv Amt(dec). ",IF($P2073=0,"Mineral; surface-only/reserved-&gt;0 min. ","Mineral; NO AMOUNT-verify instrument. ")),$M2073&amp;" (non-mineral; excluded from mineral NMA). ")&amp;IF(OR(ISNUMBER(SEARCH("public",$G2073)),ISNUMBER(SEARCH("public",$H2073))),"FLAG: The Public placeholder-verify. ","")&amp;IF(ISNUMBER(SEARCH("all",$L2073)),"All-section coverage. ","")&amp;IF($O2073=0,"Gross acres unresolved. ","")&amp;"Gross=tract-map basis."))</x:f>
        <x:v>Leasehold (non-mineral; excluded from mineral NMA). All-section coverage. Gross=tract-map basis.</x:v>
      </x:c>
      <x:c r="T2073" s="578" t="n"/>
      <x:c r="U2073" s="578" t="n"/>
      <x:c r="V2073" s="565" t="n"/>
      <x:c r="W2073" s="565" t="n"/>
      <x:c r="X2073" s="565" t="n"/>
      <x:c r="Y2073" s="565" t="n"/>
      <x:c r="Z2073" s="565" t="n"/>
    </x:row>
    <x:row r="2074">
      <x:c r="A2074" s="552" t="inlineStr">
        <x:is>
          <x:t xml:space="preserve">2013-000518</x:t>
        </x:is>
      </x:c>
      <x:c r="B2074" s="552" t="n"/>
      <x:c r="C2074" s="552" t="inlineStr">
        <x:is>
          <x:t xml:space="preserve">Order Allowing Final Account and Decree of Distribution and Final Discharge</x:t>
        </x:is>
      </x:c>
      <x:c r="D2074" s="552" t="inlineStr">
        <x:is>
          <x:t xml:space="preserve">2177/33</x:t>
        </x:is>
      </x:c>
      <x:c r="E2074" s="653" t="n">
        <x:v>41290</x:v>
      </x:c>
      <x:c r="F2074" s="653" t="n">
        <x:v>41304</x:v>
      </x:c>
      <x:c r="G2074" s="552" t="inlineStr">
        <x:is>
          <x:t xml:space="preserve">Kiowa County Court,
RE: In the Matter of the Probate of The Last Will and Testament
of Nancy Mitchell WILLIAMS, Deceased</x:t>
        </x:is>
      </x:c>
      <x:c r="H2074" s="552" t="inlineStr">
        <x:is>
          <x:t xml:space="preserve">Gene G. Williams</x:t>
        </x:is>
      </x:c>
      <x:c r="I2074" s="552" t="inlineStr">
        <x:is>
          <x:t xml:space="preserve">E/2 NW/4, N/2 NE/4, N/2 NE/4 SW/4, NE/4 SE/4, SE/4 NE/4, SE/4 NE/4 SW/4 S/2 of Lot 3, Lot 4, SE/4 SW/4 of 31-12N-24W, aol</x:t>
        </x:is>
      </x:c>
      <x:c r="J2074" s="552" t="inlineStr">
        <x:is>
          <x:t xml:space="preserve">ARTI,
An undivided 1/8th (37.50 acre) interest in the oil, gas and other minerals in the N/2 NE/4 and E/2 NW/4 and SE/4 NE/4 and NE/4 SE/4 and SE/4 SW/4 and N/2 NE/4 SW/4, of Section 31, Township 12 North, Range 24 W.I.M., Roger Mills, County, Oklahoma, containing 300.00 acres. more or less;
An undivided 13.835 acre interest in the oil, gas, and other minerals in Lot 4 and the S/2 of Lot 3 and the S/2 NE/4 SW/4 (also described as the SW/4 SW/4 and S/2 N/2 SW/4), of Section 31. Township 12 North, Range 24 W.I.M., Roger Mills County, Oklahoma, containing 75.34 acres,</x:t>
        </x:is>
      </x:c>
      <x:c r="K2074" s="554" t="e">
        <x:f>HYPERLINK("https://okcountyrecords.com/detail/roger+mills/2013-000518","OKCountyRecords: 2013-000518")</x:f>
      </x:c>
      <x:c r="L2074" s="552" t="inlineStr">
        <x:is>
          <x:t xml:space="preserve">1, 3, 4, 5, 6, 7, 8</x:t>
        </x:is>
      </x:c>
      <x:c r="M2074" s="552" t="inlineStr">
        <x:is>
          <x:t xml:space="preserve">Mineral</x:t>
        </x:is>
      </x:c>
      <x:c r="N2074" s="561" t="n">
        <x:v>1</x:v>
      </x:c>
      <x:c r="O2074" s="556" t="n">
        <x:f>IF($L2074="","",IF(ISNUMBER(SEARCH("all",$L2074)),640,(ISNUMBER(SEARCH("1",$L2074)))*80+(ISNUMBER(SEARCH("2",$L2074)))*160+(ISNUMBER(SEARCH("3",$L2074)))*40+(ISNUMBER(SEARCH("4",$L2074)))*80+(ISNUMBER(SEARCH("5",$L2074)))*120+(ISNUMBER(SEARCH("6",$L2074)))*80+(ISNUMBER(SEARCH("7",$L2074)))*40+(ISNUMBER(SEARCH("8",$L2074)))*40))</x:f>
        <x:v>0</x:v>
      </x:c>
      <x:c r="P2074" s="654" t="n">
        <x:f>IF($M2074&lt;&gt;"Mineral","",IF(ISNUMBER($N2074),$N2074,IF(OR(ISNUMBER(SEARCH("surface",$J2074)),ISNUMBER(SEARCH("reserv",$J2074)),ISNUMBER(SEARCH("less and except",$J2074))),0,"")))</x:f>
        <x:v>1</x:v>
      </x:c>
      <x:c r="Q2074" s="654" t="n">
        <x:f>IF($P2074="","",-$P2074)</x:f>
        <x:v>-1</x:v>
      </x:c>
      <x:c r="R2074" s="655" t="n">
        <x:f>IF($P2074="","",$O2074*$P2074)</x:f>
        <x:v>0</x:v>
      </x:c>
      <x:c r="S2074" s="552" t="str">
        <x:f>IF($M2074="","",TRIM(IF($M2074="Mineral",IF(ISNUMBER($N2074),"Mineral; basis Conv Amt(dec). ",IF($P2074=0,"Mineral; surface-only/reserved-&gt;0 min. ","Mineral; NO AMOUNT-verify instrument. ")),$M2074&amp;" (non-mineral; excluded from mineral NMA). ")&amp;IF(OR(ISNUMBER(SEARCH("public",$G2074)),ISNUMBER(SEARCH("public",$H2074))),"FLAG: The Public placeholder-verify. ","")&amp;IF(ISNUMBER(SEARCH("all",$L2074)),"All-section coverage. ","")&amp;IF($O2074=0,"Gross acres unresolved. ","")&amp;"Gross=tract-map basis."))</x:f>
        <x:v>Mineral; basis Conv Amt(dec). Gross acres unresolved. Gross=tract-map basis.</x:v>
      </x:c>
      <x:c r="T2074" s="578" t="n"/>
      <x:c r="U2074" s="578" t="n"/>
      <x:c r="V2074" s="565" t="n"/>
      <x:c r="W2074" s="565" t="n"/>
      <x:c r="X2074" s="565" t="n"/>
      <x:c r="Y2074" s="565" t="n"/>
      <x:c r="Z2074" s="565" t="n"/>
    </x:row>
    <x:row r="2075">
      <x:c r="A2075" s="552" t="inlineStr">
        <x:is>
          <x:t xml:space="preserve">2013-001272</x:t>
        </x:is>
      </x:c>
      <x:c r="B2075" s="552" t="n"/>
      <x:c r="C2075" s="552" t="inlineStr">
        <x:is>
          <x:t xml:space="preserve">Correction Mineral Deed</x:t>
        </x:is>
      </x:c>
      <x:c r="D2075" s="552" t="inlineStr">
        <x:is>
          <x:t xml:space="preserve">2182/95</x:t>
        </x:is>
      </x:c>
      <x:c r="E2075" s="653" t="n">
        <x:v>41340</x:v>
      </x:c>
      <x:c r="F2075" s="653" t="n">
        <x:v>41346</x:v>
      </x:c>
      <x:c r="G2075" s="552" t="inlineStr">
        <x:is>
          <x:t xml:space="preserve">Chisholm Royalty Partners</x:t>
        </x:is>
      </x:c>
      <x:c r="H2075" s="552" t="inlineStr">
        <x:is>
          <x:t xml:space="preserve">Fleshman Agency, Inc.</x:t>
        </x:is>
      </x:c>
      <x:c r="I2075" s="552" t="inlineStr">
        <x:is>
          <x:t xml:space="preserve">Lots One (1) and Lot Two (2) and the North Half of Lot Three (3) of Section 31, also described as follows: Beginning at the Northwest Corner of the Northwest Quarter of Section 31, thence East on Section Line 18.20 chains (or 72.8 rods), thence South 50 chains (or 200 rods), thence West 18.20 chains (or 72.8 rods), Thence North on Range Line 50 chains (or 200 rods) to point of beginning of Section 31, Township 12 North, Range 24 West</x:t>
        </x:is>
      </x:c>
      <x:c r="J2075" s="552" t="inlineStr">
        <x:is>
          <x:t xml:space="preserve">An undivided five (5) net acres</x:t>
        </x:is>
      </x:c>
      <x:c r="K2075" s="554" t="e">
        <x:f>HYPERLINK("https://okcountyrecords.com/detail/roger+mills/2013-001272","OKCountyRecords: 2013-001272")</x:f>
      </x:c>
      <x:c r="L2075" s="552" t="inlineStr">
        <x:is>
          <x:t xml:space="preserve">All (1-8)</x:t>
        </x:is>
      </x:c>
      <x:c r="M2075" s="552" t="inlineStr">
        <x:is>
          <x:t xml:space="preserve">Mineral</x:t>
        </x:is>
      </x:c>
      <x:c r="N2075" s="555" t="n">
        <x:f>5/640</x:f>
        <x:v>0.0078125</x:v>
      </x:c>
      <x:c r="O2075" s="556" t="n">
        <x:f>IF($L2075="","",IF(ISNUMBER(SEARCH("all",$L2075)),640,(ISNUMBER(SEARCH("1",$L2075)))*80+(ISNUMBER(SEARCH("2",$L2075)))*160+(ISNUMBER(SEARCH("3",$L2075)))*40+(ISNUMBER(SEARCH("4",$L2075)))*80+(ISNUMBER(SEARCH("5",$L2075)))*120+(ISNUMBER(SEARCH("6",$L2075)))*80+(ISNUMBER(SEARCH("7",$L2075)))*40+(ISNUMBER(SEARCH("8",$L2075)))*40))</x:f>
        <x:v>640</x:v>
      </x:c>
      <x:c r="P2075" s="654" t="n">
        <x:f>IF($M2075&lt;&gt;"Mineral","",IF(ISNUMBER($N2075),$N2075,IF(OR(ISNUMBER(SEARCH("surface",$J2075)),ISNUMBER(SEARCH("reserv",$J2075)),ISNUMBER(SEARCH("less and except",$J2075))),0,"")))</x:f>
        <x:v>0.0078125</x:v>
      </x:c>
      <x:c r="Q2075" s="654" t="n">
        <x:f>IF($P2075="","",-$P2075)</x:f>
        <x:v>-0.0078125</x:v>
      </x:c>
      <x:c r="R2075" s="655" t="n">
        <x:f>IF($P2075="","",$O2075*$P2075)</x:f>
        <x:v>5</x:v>
      </x:c>
      <x:c r="S2075" s="552" t="str">
        <x:f>IF($M2075="","",TRIM(IF($M2075="Mineral",IF(ISNUMBER($N2075),"Mineral; basis Conv Amt(dec). ",IF($P2075=0,"Mineral; surface-only/reserved-&gt;0 min. ","Mineral; VERIFY — NEED full instrument image for conveyed amount. ")),$M2075&amp;" (non-mineral; excluded from mineral NMA). ")&amp;IF(OR(ISNUMBER(SEARCH("public",$G2075)),ISNUMBER(SEARCH("public",$H2075))),"FLAG: The Public placeholder; VERIFY — NEED source confirmation. ","")&amp;IF(ISNUMBER(SEARCH("all",$L2075)),"All-section coverage. ","")&amp;IF($O2075=0,"Gross acres unresolved. ","")&amp;"Gross=tract-map basis."))</x:f>
        <x:v>Mineral; basis Conv Amt(dec). All-section coverage. Gross=tract-map basis.</x:v>
      </x:c>
      <x:c r="T2075" s="578" t="inlineStr">
        <x:is>
          <x:t xml:space="preserve">REVIEW</x:t>
        </x:is>
      </x:c>
      <x:c r="U2075" s="578" t="inlineStr">
        <x:is>
          <x:t xml:space="preserve">NEED: confirm whether row conveys mineral interest</x:t>
        </x:is>
      </x:c>
      <x:c r="V2075" s="565" t="n"/>
      <x:c r="W2075" s="565" t="n"/>
      <x:c r="X2075" s="565" t="n"/>
      <x:c r="Y2075" s="565" t="n"/>
      <x:c r="Z2075" s="565" t="n"/>
    </x:row>
    <x:row r="2076">
      <x:c r="A2076" s="552" t="inlineStr">
        <x:is>
          <x:t xml:space="preserve">2013-001724</x:t>
        </x:is>
      </x:c>
      <x:c r="B2076" s="552" t="n"/>
      <x:c r="C2076" s="552" t="inlineStr">
        <x:is>
          <x:t xml:space="preserve">Quit Claim Mineral Deed</x:t>
        </x:is>
      </x:c>
      <x:c r="D2076" s="552" t="inlineStr">
        <x:is>
          <x:t xml:space="preserve">2184/570</x:t>
        </x:is>
      </x:c>
      <x:c r="E2076" s="653" t="n">
        <x:v>41368</x:v>
      </x:c>
      <x:c r="F2076" s="653" t="n">
        <x:v>41372</x:v>
      </x:c>
      <x:c r="G2076" s="552" t="inlineStr">
        <x:is>
          <x:t xml:space="preserve">Fleshman Agency, Inc.</x:t>
        </x:is>
      </x:c>
      <x:c r="H2076" s="552" t="inlineStr">
        <x:is>
          <x:t xml:space="preserve">Mekusukey Oil Company, LLC</x:t>
        </x:is>
      </x:c>
      <x:c r="I2076" s="552" t="inlineStr">
        <x:is>
          <x:t xml:space="preserve">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Section 31, Township 12-North, Range 24-West of the Indian Meridian: Containing 92.085 acres, more or less</x:t>
        </x:is>
      </x:c>
      <x:c r="J2076" s="552" t="inlineStr">
        <x:is>
          <x:t xml:space="preserve">An undivided 2.00 net mineral acre interest,
(The Grantor is hereby executing this QCMD for the sole purpose of clarifying record title ownership for Mekusukey Oil Company, LLC, which pertains to that certain conveyance between Fleshman Agencyy, Inc. as Grantor and Mekusukey Oil Company, LLC, as Grantee, by Mineral Deed dated 11-9-2011 and recorded in Book 2104, Page 537-538. It is not Grantors intent to convey an additional 2 NMA, , but to assure Mekusukey Oil Company, LLC ownership. Fleshman Agency, Inc. recently had any question of title ownership cleared by the recording of Correction Mineral Deed dated March 7, 2013 between Chisholm Royalty Partners, as Texas General Partnership, as Grantor and Fleshman Agency, Inc. as Grantee. Recorded in Book 2182, page 95)</x:t>
        </x:is>
      </x:c>
      <x:c r="K2076" s="554" t="e">
        <x:f>HYPERLINK("https://okcountyrecords.com/detail/roger+mills/2013-001724","OKCountyRecords: 2013-001724")</x:f>
      </x:c>
      <x:c r="L2076" s="552" t="inlineStr">
        <x:is>
          <x:t xml:space="preserve">5, 6</x:t>
        </x:is>
      </x:c>
      <x:c r="M2076" s="552" t="inlineStr">
        <x:is>
          <x:t xml:space="preserve">Mineral</x:t>
        </x:is>
      </x:c>
      <x:c r="N2076" s="555" t="n">
        <x:f>2/200</x:f>
        <x:v>0.01</x:v>
      </x:c>
      <x:c r="O2076" s="556" t="n">
        <x:f>IF($L2076="","",IF(ISNUMBER(SEARCH("all",$L2076)),640,(ISNUMBER(SEARCH("1",$L2076)))*80+(ISNUMBER(SEARCH("2",$L2076)))*160+(ISNUMBER(SEARCH("3",$L2076)))*40+(ISNUMBER(SEARCH("4",$L2076)))*80+(ISNUMBER(SEARCH("5",$L2076)))*120+(ISNUMBER(SEARCH("6",$L2076)))*80+(ISNUMBER(SEARCH("7",$L2076)))*40+(ISNUMBER(SEARCH("8",$L2076)))*40))</x:f>
        <x:v>0</x:v>
      </x:c>
      <x:c r="P2076" s="654" t="n">
        <x:f>IF($M2076&lt;&gt;"Mineral","",IF(ISNUMBER($N2076),$N2076,IF(OR(ISNUMBER(SEARCH("surface",$J2076)),ISNUMBER(SEARCH("reserv",$J2076)),ISNUMBER(SEARCH("less and except",$J2076))),0,"")))</x:f>
        <x:v>0.01</x:v>
      </x:c>
      <x:c r="Q2076" s="654" t="n">
        <x:f>IF($P2076="","",-$P2076)</x:f>
        <x:v>-0.01</x:v>
      </x:c>
      <x:c r="R2076" s="655" t="n">
        <x:f>IF($P2076="","",$O2076*$P2076)</x:f>
        <x:v>0</x:v>
      </x:c>
      <x:c r="S2076" s="552" t="str">
        <x:f>IF($M2076="","",TRIM(IF($M2076="Mineral",IF(ISNUMBER($N2076),"Mineral; basis Conv Amt(dec). ",IF($P2076=0,"Mineral; surface-only/reserved-&gt;0 min. ","Mineral; VERIFY — NEED full instrument image for conveyed amount. ")),$M2076&amp;" (non-mineral; excluded from mineral NMA). ")&amp;IF(OR(ISNUMBER(SEARCH("public",$G2076)),ISNUMBER(SEARCH("public",$H2076))),"FLAG: The Public placeholder; VERIFY — NEED source confirmation. ","")&amp;IF(ISNUMBER(SEARCH("all",$L2076)),"All-section coverage. ","")&amp;IF($O2076=0,"Gross acres unresolved. ","")&amp;"Gross=tract-map basis."))</x:f>
        <x:v>Mineral; basis Conv Amt(dec). Gross acres unresolved. Gross=tract-map basis.</x:v>
      </x:c>
      <x:c r="T2076" s="578" t="inlineStr">
        <x:is>
          <x:t xml:space="preserve">REVIEW</x:t>
        </x:is>
      </x:c>
      <x:c r="U2076" s="578" t="inlineStr">
        <x:is>
          <x:t xml:space="preserve">NEED: denominator / tract allocation for 2.00 NMA from instrument image</x:t>
        </x:is>
      </x:c>
      <x:c r="V2076" s="565" t="n"/>
      <x:c r="W2076" s="565" t="n"/>
      <x:c r="X2076" s="565" t="n"/>
      <x:c r="Y2076" s="565" t="n"/>
      <x:c r="Z2076" s="565" t="n"/>
    </x:row>
    <x:row r="2077">
      <x:c r="A2077" s="552" t="inlineStr">
        <x:is>
          <x:t xml:space="preserve">2013-002727</x:t>
        </x:is>
      </x:c>
      <x:c r="B2077" s="552" t="n"/>
      <x:c r="C2077" s="552" t="inlineStr">
        <x:is>
          <x:t xml:space="preserve">Memorandum</x:t>
        </x:is>
      </x:c>
      <x:c r="D2077" s="552" t="inlineStr">
        <x:is>
          <x:t xml:space="preserve">2193/517</x:t>
        </x:is>
      </x:c>
      <x:c r="E2077" s="653" t="n">
        <x:v>41404</x:v>
      </x:c>
      <x:c r="F2077" s="653" t="n">
        <x:v>41422</x:v>
      </x:c>
      <x:c r="G2077" s="552" t="inlineStr">
        <x:is>
          <x:t xml:space="preserve">Devon Energy Production Co.</x:t>
        </x:is>
      </x:c>
      <x:c r="H2077" s="552" t="inlineStr">
        <x:is>
          <x:t xml:space="preserve">Plains Marketing, L.P.</x:t>
        </x:is>
      </x:c>
      <x:c r="I2077" s="552" t="inlineStr">
        <x:is>
          <x:t xml:space="preserve">All of 31-12N-24W, aol</x:t>
        </x:is>
      </x:c>
      <x:c r="J2077" s="552" t="inlineStr">
        <x:is>
          <x:t xml:space="preserve">MEMORANDUM OF CRUDE OIL SALES COMMITMENT</x:t>
        </x:is>
      </x:c>
      <x:c r="K2077" s="554" t="e">
        <x:f>HYPERLINK("https://okcountyrecords.com/detail/roger+mills/2013-002727","OKCountyRecords: 2013-002727")</x:f>
      </x:c>
      <x:c r="L2077" s="552" t="inlineStr">
        <x:is>
          <x:t xml:space="preserve">All (1-8)</x:t>
        </x:is>
      </x:c>
      <x:c r="M2077" s="552" t="inlineStr">
        <x:is>
          <x:t xml:space="preserve">Leasehold</x:t>
        </x:is>
      </x:c>
      <x:c r="N2077" s="555" t="n"/>
      <x:c r="O2077" s="556" t="n">
        <x:f>IF($L2077="","",IF(ISNUMBER(SEARCH("all",$L2077)),640,(ISNUMBER(SEARCH("1",$L2077)))*80+(ISNUMBER(SEARCH("2",$L2077)))*160+(ISNUMBER(SEARCH("3",$L2077)))*40+(ISNUMBER(SEARCH("4",$L2077)))*80+(ISNUMBER(SEARCH("5",$L2077)))*120+(ISNUMBER(SEARCH("6",$L2077)))*80+(ISNUMBER(SEARCH("7",$L2077)))*40+(ISNUMBER(SEARCH("8",$L2077)))*40))</x:f>
        <x:v>640</x:v>
      </x:c>
      <x:c r="P2077" s="654" t="str">
        <x:f>IF($M2077&lt;&gt;"Mineral","",IF(ISNUMBER($N2077),$N2077,IF(OR(ISNUMBER(SEARCH("surface",$J2077)),ISNUMBER(SEARCH("reserv",$J2077)),ISNUMBER(SEARCH("less and except",$J2077))),0,"")))</x:f>
      </x:c>
      <x:c r="Q2077" s="654" t="str">
        <x:f>IF($P2077="","",-$P2077)</x:f>
      </x:c>
      <x:c r="R2077" s="655" t="str">
        <x:f>IF($P2077="","",$O2077*$P2077)</x:f>
      </x:c>
      <x:c r="S2077" s="552" t="str">
        <x:f>IF($M2077="","",TRIM(IF($M2077="Mineral",IF(ISNUMBER($N2077),"Mineral; basis Conv Amt(dec). ",IF($P2077=0,"Mineral; surface-only/reserved-&gt;0 min. ","Mineral; NO AMOUNT-verify instrument. ")),$M2077&amp;" (non-mineral; excluded from mineral NMA). ")&amp;IF(OR(ISNUMBER(SEARCH("public",$G2077)),ISNUMBER(SEARCH("public",$H2077))),"FLAG: The Public placeholder-verify. ","")&amp;IF(ISNUMBER(SEARCH("all",$L2077)),"All-section coverage. ","")&amp;IF($O2077=0,"Gross acres unresolved. ","")&amp;"Gross=tract-map basis."))</x:f>
        <x:v>Leasehold (non-mineral; excluded from mineral NMA). All-section coverage. Gross=tract-map basis.</x:v>
      </x:c>
      <x:c r="T2077" s="577" t="n"/>
      <x:c r="U2077" s="578" t="n"/>
      <x:c r="V2077" s="565" t="n"/>
      <x:c r="W2077" s="565" t="n"/>
      <x:c r="X2077" s="565" t="n"/>
      <x:c r="Y2077" s="565" t="n"/>
      <x:c r="Z2077" s="565" t="n"/>
    </x:row>
    <x:row r="2078">
      <x:c r="A2078" s="552" t="inlineStr">
        <x:is>
          <x:t xml:space="preserve">2013-004163</x:t>
        </x:is>
      </x:c>
      <x:c r="B2078" s="552" t="n"/>
      <x:c r="C2078" s="552" t="inlineStr">
        <x:is>
          <x:t xml:space="preserve">Mineral Deed</x:t>
        </x:is>
      </x:c>
      <x:c r="D2078" s="552" t="inlineStr">
        <x:is>
          <x:t xml:space="preserve">2203/395</x:t>
        </x:is>
      </x:c>
      <x:c r="E2078" s="653" t="n">
        <x:v>41456</x:v>
      </x:c>
      <x:c r="F2078" s="653" t="n">
        <x:v>41495</x:v>
      </x:c>
      <x:c r="G2078" s="552" t="inlineStr">
        <x:is>
          <x:t xml:space="preserve">Fleshman Agency, Inc.</x:t>
        </x:is>
      </x:c>
      <x:c r="H2078" s="552" t="inlineStr">
        <x:is>
          <x:t xml:space="preserve">Mekusukey Oil Company, LLC</x:t>
        </x:is>
      </x:c>
      <x:c r="I2078" s="552" t="inlineStr">
        <x:is>
          <x:t xml:space="preserve">An undivided 3.00 net mineral acres in and under Lot One (1), Lot Two (2) and the North Half of Lot Three (3) a/d/a follows: Beginning at the Northwest Corner of the Northwest Quarter of Section 31, Thence East on Section line 18.20 chains (or 72.8 rods); Thence South 50 chains (or 200 rods); Thence West 18.20 chains (or 72.8 rods); Thence North on Range line 50 chains (or 200 rods) to the point of beginning, of Section 31, Township 12-North, Range 24-West of the Indian Meridian;</x:t>
        </x:is>
      </x:c>
      <x:c r="J2078" s="552" t="inlineStr">
        <x:is>
          <x:t xml:space="preserve">An undivided 3.00 net mineral acres in 31-12N-24W, An undivided 5.00/252.085 net mineral acre interest in 2 sections</x:t>
        </x:is>
      </x:c>
      <x:c r="K2078" s="554" t="e">
        <x:f>HYPERLINK("https://okcountyrecords.com/detail/roger+mills/2013-004163","OKCountyRecords: 2013-004163")</x:f>
      </x:c>
      <x:c r="L2078" s="552" t="inlineStr">
        <x:is>
          <x:t xml:space="preserve">All (1-8)</x:t>
        </x:is>
      </x:c>
      <x:c r="M2078" s="552" t="inlineStr">
        <x:is>
          <x:t xml:space="preserve">Mineral</x:t>
        </x:is>
      </x:c>
      <x:c r="N2078" s="555" t="n">
        <x:f>3/O2078</x:f>
        <x:v>0.0046875</x:v>
      </x:c>
      <x:c r="O2078" s="556" t="n">
        <x:f>IF($L2078="","",IF(ISNUMBER(SEARCH("all",$L2078)),640,(ISNUMBER(SEARCH("1",$L2078)))*80+(ISNUMBER(SEARCH("2",$L2078)))*160+(ISNUMBER(SEARCH("3",$L2078)))*40+(ISNUMBER(SEARCH("4",$L2078)))*80+(ISNUMBER(SEARCH("5",$L2078)))*120+(ISNUMBER(SEARCH("6",$L2078)))*80+(ISNUMBER(SEARCH("7",$L2078)))*40+(ISNUMBER(SEARCH("8",$L2078)))*40))</x:f>
        <x:v>640</x:v>
      </x:c>
      <x:c r="P2078" s="654" t="n">
        <x:f>IF($M2078&lt;&gt;"Mineral","",IF(ISNUMBER($N2078),$N2078,IF(OR(ISNUMBER(SEARCH("surface",$J2078)),ISNUMBER(SEARCH("reserv",$J2078)),ISNUMBER(SEARCH("less and except",$J2078))),0,"")))</x:f>
        <x:v>0.0046875</x:v>
      </x:c>
      <x:c r="Q2078" s="654" t="n">
        <x:f>IF($P2078="","",-$P2078)</x:f>
        <x:v>-0.0046875</x:v>
      </x:c>
      <x:c r="R2078" s="655" t="n">
        <x:f>IF($P2078="","",$O2078*$P2078)</x:f>
        <x:v>3</x:v>
      </x:c>
      <x:c r="S2078" s="552" t="str">
        <x:f>IF($M2078="","",TRIM(IF($M2078="Mineral",IF(ISNUMBER($N2078),"Mineral; basis Conv Amt(dec). ",IF($P2078=0,"Mineral; surface-only/reserved-&gt;0 min. ","Mineral; NO AMOUNT-verify instrument. ")),$M2078&amp;" (non-mineral; excluded from mineral NMA). ")&amp;IF(OR(ISNUMBER(SEARCH("public",$G2078)),ISNUMBER(SEARCH("public",$H2078))),"FLAG: The Public placeholder-verify. ","")&amp;IF(ISNUMBER(SEARCH("all",$L2078)),"All-section coverage. ","")&amp;IF($O2078=0,"Gross acres unresolved. ","")&amp;"Gross=tract-map basis."))</x:f>
        <x:v>Mineral; basis Conv Amt(dec). All-section coverage. Gross=tract-map basis.</x:v>
      </x:c>
      <x:c r="T2078" s="578" t="n"/>
      <x:c r="U2078" s="578" t="inlineStr">
        <x:is>
          <x:t xml:space="preserve">Conveys 3 NMA per notes; conv. dec = 3/gross. Verify denominator/tract from image.</x:t>
        </x:is>
      </x:c>
      <x:c r="V2078" s="565" t="n"/>
      <x:c r="W2078" s="565" t="n"/>
      <x:c r="X2078" s="565" t="n"/>
      <x:c r="Y2078" s="565" t="n"/>
      <x:c r="Z2078" s="565" t="n"/>
    </x:row>
    <x:row r="2079">
      <x:c r="A2079" s="552" t="inlineStr">
        <x:is>
          <x:t xml:space="preserve">2013-004038</x:t>
        </x:is>
      </x:c>
      <x:c r="B2079" s="552" t="n"/>
      <x:c r="C2079" s="552" t="inlineStr">
        <x:is>
          <x:t xml:space="preserve">Assignment of ORRI</x:t>
        </x:is>
      </x:c>
      <x:c r="D2079" s="552" t="inlineStr">
        <x:is>
          <x:t xml:space="preserve">2202/378</x:t>
        </x:is>
      </x:c>
      <x:c r="E2079" s="653" t="n">
        <x:v>41474</x:v>
      </x:c>
      <x:c r="F2079" s="653" t="n">
        <x:v>41488</x:v>
      </x:c>
      <x:c r="G2079" s="552" t="inlineStr">
        <x:is>
          <x:t xml:space="preserve">Gary Reid</x:t>
        </x:is>
      </x:c>
      <x:c r="H2079" s="552" t="inlineStr">
        <x:is>
          <x:t xml:space="preserve">Gary C. Reid, Trustee,
Reid Rev Trust,
Shannon D. Reid, Trustee</x:t>
        </x:is>
      </x:c>
      <x:c r="I2079" s="552" t="inlineStr">
        <x:is>
          <x:t xml:space="preserve">All of 31-12N-24W, aol</x:t>
        </x:is>
      </x:c>
      <x:c r="J2079" s="552" t="inlineStr">
        <x:is>
          <x:t xml:space="preserve">ORRI</x:t>
        </x:is>
      </x:c>
      <x:c r="K2079" s="554" t="e">
        <x:f>HYPERLINK("https://okcountyrecords.com/detail/roger+mills/2013-004038","OKCountyRecords: 2013-004038")</x:f>
      </x:c>
      <x:c r="L2079" s="552" t="inlineStr">
        <x:is>
          <x:t xml:space="preserve">All (1-8)</x:t>
        </x:is>
      </x:c>
      <x:c r="M2079" s="552" t="inlineStr">
        <x:is>
          <x:t xml:space="preserve">Leasehold</x:t>
        </x:is>
      </x:c>
      <x:c r="N2079" s="555" t="n"/>
      <x:c r="O2079" s="556" t="n">
        <x:f>IF($L2079="","",IF(ISNUMBER(SEARCH("all",$L2079)),640,(ISNUMBER(SEARCH("1",$L2079)))*80+(ISNUMBER(SEARCH("2",$L2079)))*160+(ISNUMBER(SEARCH("3",$L2079)))*40+(ISNUMBER(SEARCH("4",$L2079)))*80+(ISNUMBER(SEARCH("5",$L2079)))*120+(ISNUMBER(SEARCH("6",$L2079)))*80+(ISNUMBER(SEARCH("7",$L2079)))*40+(ISNUMBER(SEARCH("8",$L2079)))*40))</x:f>
        <x:v>640</x:v>
      </x:c>
      <x:c r="P2079" s="654" t="str">
        <x:f>IF($M2079&lt;&gt;"Mineral","",IF(ISNUMBER($N2079),$N2079,IF(OR(ISNUMBER(SEARCH("surface",$J2079)),ISNUMBER(SEARCH("reserv",$J2079)),ISNUMBER(SEARCH("less and except",$J2079))),0,"")))</x:f>
      </x:c>
      <x:c r="Q2079" s="654" t="str">
        <x:f>IF($P2079="","",-$P2079)</x:f>
      </x:c>
      <x:c r="R2079" s="655" t="str">
        <x:f>IF($P2079="","",$O2079*$P2079)</x:f>
      </x:c>
      <x:c r="S2079" s="552" t="str">
        <x:f>IF($M2079="","",TRIM(IF($M2079="Mineral",IF(ISNUMBER($N2079),"Mineral; basis Conv Amt(dec). ",IF($P2079=0,"Mineral; surface-only/reserved-&gt;0 min. ","Mineral; NO AMOUNT-verify instrument. ")),$M2079&amp;" (non-mineral; excluded from mineral NMA). ")&amp;IF(OR(ISNUMBER(SEARCH("public",$G2079)),ISNUMBER(SEARCH("public",$H2079))),"FLAG: The Public placeholder-verify. ","")&amp;IF(ISNUMBER(SEARCH("all",$L2079)),"All-section coverage. ","")&amp;IF($O2079=0,"Gross acres unresolved. ","")&amp;"Gross=tract-map basis."))</x:f>
        <x:v>Leasehold (non-mineral; excluded from mineral NMA). All-section coverage. Gross=tract-map basis.</x:v>
      </x:c>
      <x:c r="T2079" s="577" t="n"/>
      <x:c r="U2079" s="578" t="n"/>
      <x:c r="V2079" s="565" t="n"/>
      <x:c r="W2079" s="565" t="n"/>
      <x:c r="X2079" s="565" t="n"/>
      <x:c r="Y2079" s="565" t="n"/>
      <x:c r="Z2079" s="565" t="n"/>
    </x:row>
    <x:row r="2080">
      <x:c r="A2080" s="552" t="inlineStr">
        <x:is>
          <x:t xml:space="preserve">2013-006585</x:t>
        </x:is>
      </x:c>
      <x:c r="B2080" s="552" t="n"/>
      <x:c r="C2080" s="552" t="inlineStr">
        <x:is>
          <x:t xml:space="preserve">Mineral Deed</x:t>
        </x:is>
      </x:c>
      <x:c r="D2080" s="552" t="inlineStr">
        <x:is>
          <x:t xml:space="preserve">2224/382</x:t>
        </x:is>
      </x:c>
      <x:c r="E2080" s="653" t="n">
        <x:v>41486</x:v>
      </x:c>
      <x:c r="F2080" s="653" t="n">
        <x:v>41625</x:v>
      </x:c>
      <x:c r="G2080" s="552" t="inlineStr">
        <x:is>
          <x:t xml:space="preserve">Joseph A. Bain and Doris M. Bain, husband and wife</x:t>
        </x:is>
      </x:c>
      <x:c r="H2080" s="552" t="inlineStr">
        <x:is>
          <x:t xml:space="preserve">Anna T. Gibson
Wichita, Ks</x:t>
        </x:is>
      </x:c>
      <x:c r="I2080" s="552" t="inlineStr">
        <x:is>
          <x:t xml:space="preserve">NW/4 SE/4, S/2 SE/4, SW/4 of 31-12N-24W, aol</x:t>
        </x:is>
      </x:c>
      <x:c r="J2080" s="552" t="inlineStr">
        <x:is>
          <x:t xml:space="preserve">An undivided 2.00 net mineral acre interest in 31-12N-24W a total of ten (10) net mineral acres in 2 sections</x:t>
        </x:is>
      </x:c>
      <x:c r="K2080" s="554" t="e">
        <x:f>HYPERLINK("https://okcountyrecords.com/detail/roger+mills/2013-006585","OKCountyRecords: 2013-006585")</x:f>
      </x:c>
      <x:c r="L2080" s="552" t="inlineStr">
        <x:is>
          <x:t xml:space="preserve">2, 5, 6, 7</x:t>
        </x:is>
      </x:c>
      <x:c r="M2080" s="552" t="inlineStr">
        <x:is>
          <x:t xml:space="preserve">Mineral</x:t>
        </x:is>
      </x:c>
      <x:c r="N2080" s="555" t="n">
        <x:f>2/400</x:f>
        <x:v>0.005</x:v>
      </x:c>
      <x:c r="O2080" s="556" t="n">
        <x:f>IF($L2080="","",IF(ISNUMBER(SEARCH("all",$L2080)),640,(ISNUMBER(SEARCH("1",$L2080)))*80+(ISNUMBER(SEARCH("2",$L2080)))*160+(ISNUMBER(SEARCH("3",$L2080)))*40+(ISNUMBER(SEARCH("4",$L2080)))*80+(ISNUMBER(SEARCH("5",$L2080)))*120+(ISNUMBER(SEARCH("6",$L2080)))*80+(ISNUMBER(SEARCH("7",$L2080)))*40+(ISNUMBER(SEARCH("8",$L2080)))*40))</x:f>
        <x:v>0</x:v>
      </x:c>
      <x:c r="P2080" s="654" t="n">
        <x:f>IF($M2080&lt;&gt;"Mineral","",IF(ISNUMBER($N2080),$N2080,IF(OR(ISNUMBER(SEARCH("surface",$J2080)),ISNUMBER(SEARCH("reserv",$J2080)),ISNUMBER(SEARCH("less and except",$J2080))),0,"")))</x:f>
        <x:v>0.005</x:v>
      </x:c>
      <x:c r="Q2080" s="654" t="n">
        <x:f>IF($P2080="","",-$P2080)</x:f>
        <x:v>-0.005</x:v>
      </x:c>
      <x:c r="R2080" s="655" t="n">
        <x:f>IF($P2080="","",$O2080*$P2080)</x:f>
        <x:v>0</x:v>
      </x:c>
      <x:c r="S2080" s="552" t="str">
        <x:f>IF($M2080="","",TRIM(IF($M2080="Mineral",IF(ISNUMBER($N2080),"Mineral; basis Conv Amt(dec). ",IF($P2080=0,"Mineral; surface-only/reserved-&gt;0 min. ","Mineral; VERIFY — NEED full instrument image for conveyed amount. ")),$M2080&amp;" (non-mineral; excluded from mineral NMA). ")&amp;IF(OR(ISNUMBER(SEARCH("public",$G2080)),ISNUMBER(SEARCH("public",$H2080))),"FLAG: The Public placeholder; VERIFY — NEED source confirmation. ","")&amp;IF(ISNUMBER(SEARCH("all",$L2080)),"All-section coverage. ","")&amp;IF($O2080=0,"Gross acres unresolved. ","")&amp;"Gross=tract-map basis."))</x:f>
        <x:v>Mineral; basis Conv Amt(dec). Gross acres unresolved. Gross=tract-map basis.</x:v>
      </x:c>
      <x:c r="T2080" s="578" t="inlineStr">
        <x:is>
          <x:t xml:space="preserve">REVIEW</x:t>
        </x:is>
      </x:c>
      <x:c r="U2080" s="578" t="inlineStr">
        <x:is>
          <x:t xml:space="preserve">NEED: denominator / tract allocation for 2.00 NMA from instrument image</x:t>
        </x:is>
      </x:c>
      <x:c r="V2080" s="565" t="n"/>
      <x:c r="W2080" s="565" t="n"/>
      <x:c r="X2080" s="565" t="n"/>
      <x:c r="Y2080" s="565" t="n"/>
      <x:c r="Z2080" s="565" t="n"/>
    </x:row>
    <x:row r="2081">
      <x:c r="A2081" s="552" t="inlineStr">
        <x:is>
          <x:t xml:space="preserve">2013-006129</x:t>
        </x:is>
      </x:c>
      <x:c r="B2081" s="552" t="n"/>
      <x:c r="C2081" s="552" t="inlineStr">
        <x:is>
          <x:t xml:space="preserve">Quit Claim Mineral Deed</x:t>
        </x:is>
      </x:c>
      <x:c r="D2081" s="552" t="inlineStr">
        <x:is>
          <x:t xml:space="preserve">2220/118</x:t>
        </x:is>
      </x:c>
      <x:c r="E2081" s="653" t="n">
        <x:v>41505</x:v>
      </x:c>
      <x:c r="F2081" s="653" t="n">
        <x:v>41596</x:v>
      </x:c>
      <x:c r="G2081" s="552" t="inlineStr">
        <x:is>
          <x:t xml:space="preserve">Martha Ann Devenas</x:t>
        </x:is>
      </x:c>
      <x:c r="H2081" s="552" t="inlineStr">
        <x:is>
          <x:t xml:space="preserve">Joseph A. Devenas, Jr.</x:t>
        </x:is>
      </x:c>
      <x:c r="I2081" s="552" t="inlineStr">
        <x:is>
          <x:t xml:space="preserve">SE/4 SW/4 of 31-12N-24W, aol</x:t>
        </x:is>
      </x:c>
      <x:c r="J2081" s="552" t="inlineStr">
        <x:is>
          <x:t xml:space="preserve">An undivided 1/2 interest in 5.83333 mineral acres</x:t>
        </x:is>
      </x:c>
      <x:c r="K2081" s="554" t="e">
        <x:f>HYPERLINK("https://okcountyrecords.com/detail/roger+mills/2013-006129","OKCountyRecords: 2013-006129")</x:f>
      </x:c>
      <x:c r="L2081" s="552" t="n">
        <x:v>5</x:v>
      </x:c>
      <x:c r="M2081" s="552" t="inlineStr">
        <x:is>
          <x:t xml:space="preserve">Mineral</x:t>
        </x:is>
      </x:c>
      <x:c r="N2081" s="555" t="n">
        <x:f>1/2</x:f>
        <x:v>0.5</x:v>
      </x:c>
      <x:c r="O2081" s="556" t="n">
        <x:f>IF($L2081="","",IF(ISNUMBER(SEARCH("all",$L2081)),640,(ISNUMBER(SEARCH("1",$L2081)))*80+(ISNUMBER(SEARCH("2",$L2081)))*160+(ISNUMBER(SEARCH("3",$L2081)))*40+(ISNUMBER(SEARCH("4",$L2081)))*80+(ISNUMBER(SEARCH("5",$L2081)))*120+(ISNUMBER(SEARCH("6",$L2081)))*80+(ISNUMBER(SEARCH("7",$L2081)))*40+(ISNUMBER(SEARCH("8",$L2081)))*40))</x:f>
        <x:v>0</x:v>
      </x:c>
      <x:c r="P2081" s="654" t="n">
        <x:f>IF($M2081&lt;&gt;"Mineral","",IF(ISNUMBER($N2081),$N2081,IF(OR(ISNUMBER(SEARCH("surface",$J2081)),ISNUMBER(SEARCH("reserv",$J2081)),ISNUMBER(SEARCH("less and except",$J2081))),0,"")))</x:f>
        <x:v>0.5</x:v>
      </x:c>
      <x:c r="Q2081" s="654" t="n">
        <x:f>IF($P2081="","",-$P2081)</x:f>
        <x:v>-0.5</x:v>
      </x:c>
      <x:c r="R2081" s="655" t="n">
        <x:f>IF($P2081="","",$O2081*$P2081)</x:f>
        <x:v>0</x:v>
      </x:c>
      <x:c r="S2081" s="552" t="str">
        <x:f>IF($M2081="","",TRIM(IF($M2081="Mineral",IF(ISNUMBER($N2081),"Mineral; basis Conv Amt(dec). ",IF($P2081=0,"Mineral; surface-only/reserved-&gt;0 min. ","Mineral; NO AMOUNT-verify instrument. ")),$M2081&amp;" (non-mineral; excluded from mineral NMA). ")&amp;IF(OR(ISNUMBER(SEARCH("public",$G2081)),ISNUMBER(SEARCH("public",$H2081))),"FLAG: The Public placeholder-verify. ","")&amp;IF(ISNUMBER(SEARCH("all",$L2081)),"All-section coverage. ","")&amp;IF($O2081=0,"Gross acres unresolved. ","")&amp;"Gross=tract-map basis."))</x:f>
        <x:v>Mineral; basis Conv Amt(dec). Gross acres unresolved. Gross=tract-map basis.</x:v>
      </x:c>
      <x:c r="T2081" s="578" t="n"/>
      <x:c r="U2081" s="578" t="n"/>
      <x:c r="V2081" s="565" t="n"/>
      <x:c r="W2081" s="565" t="n"/>
      <x:c r="X2081" s="565" t="n"/>
      <x:c r="Y2081" s="565" t="n"/>
      <x:c r="Z2081" s="565" t="n"/>
    </x:row>
    <x:row r="2082">
      <x:c r="A2082" s="552" t="inlineStr">
        <x:is>
          <x:t xml:space="preserve">2013-006501</x:t>
        </x:is>
      </x:c>
      <x:c r="B2082" s="552" t="n"/>
      <x:c r="C2082" s="552" t="inlineStr">
        <x:is>
          <x:t xml:space="preserve">Mineral Deed &amp; Royalty Deed</x:t>
        </x:is>
      </x:c>
      <x:c r="D2082" s="552" t="inlineStr">
        <x:is>
          <x:t xml:space="preserve">2223/305</x:t>
        </x:is>
      </x:c>
      <x:c r="E2082" s="653" t="n">
        <x:v>41517</x:v>
      </x:c>
      <x:c r="F2082" s="653" t="n">
        <x:v>41621</x:v>
      </x:c>
      <x:c r="G2082" s="552" t="inlineStr">
        <x:is>
          <x:t xml:space="preserve">David Silverberg, a/k/a David S. Silverberg, a married man dealing in his sole and separate property</x:t>
        </x:is>
      </x:c>
      <x:c r="H2082" s="552" t="inlineStr">
        <x:is>
          <x:t xml:space="preserve">Cambria Energy, LLC</x:t>
        </x:is>
      </x:c>
      <x:c r="I2082" s="552" t="inlineStr">
        <x:is>
          <x:t xml:space="preserve">All of 31-12N-24W</x:t>
        </x:is>
      </x:c>
      <x:c r="J2082" s="552" t="inlineStr">
        <x:is>
          <x:t xml:space="preserve">all interests in the leases, units, sections, legal descriptions and depths. It is the intent of this instrument to convey unto Grantee all of Grantor's royalty, overriding royalty, and mineral interest in the Section and/or Lands as of the date of first production, if any, but if lands owned by Grantor are less than described, only that owned by Grantor is intended to be conveyed.</x:t>
        </x:is>
      </x:c>
      <x:c r="K2082" s="554" t="e">
        <x:f>HYPERLINK("https://okcountyrecords.com/detail/roger+mills/2013-006501","OKCountyRecords: 2013-006501")</x:f>
      </x:c>
      <x:c r="L2082" s="552" t="inlineStr">
        <x:is>
          <x:t xml:space="preserve">All (1-8)</x:t>
        </x:is>
      </x:c>
      <x:c r="M2082" s="552" t="inlineStr">
        <x:is>
          <x:t xml:space="preserve">Mineral</x:t>
        </x:is>
      </x:c>
      <x:c r="N2082" s="555" t="n">
        <x:f>1</x:f>
        <x:v>1</x:v>
      </x:c>
      <x:c r="O2082" s="556" t="n">
        <x:f>IF($L2082="","",IF(ISNUMBER(SEARCH("all",$L2082)),640,(ISNUMBER(SEARCH("1",$L2082)))*80+(ISNUMBER(SEARCH("2",$L2082)))*160+(ISNUMBER(SEARCH("3",$L2082)))*40+(ISNUMBER(SEARCH("4",$L2082)))*80+(ISNUMBER(SEARCH("5",$L2082)))*120+(ISNUMBER(SEARCH("6",$L2082)))*80+(ISNUMBER(SEARCH("7",$L2082)))*40+(ISNUMBER(SEARCH("8",$L2082)))*40))</x:f>
        <x:v>640</x:v>
      </x:c>
      <x:c r="P2082" s="654" t="n">
        <x:f>IF($M2082&lt;&gt;"Mineral","",IF(ISNUMBER($N2082),$N2082,IF(OR(ISNUMBER(SEARCH("surface",$J2082)),ISNUMBER(SEARCH("reserv",$J2082)),ISNUMBER(SEARCH("less and except",$J2082))),0,"")))</x:f>
        <x:v>1</x:v>
      </x:c>
      <x:c r="Q2082" s="654" t="n">
        <x:f>IF($P2082="","",-$P2082)</x:f>
        <x:v>-1</x:v>
      </x:c>
      <x:c r="R2082" s="655" t="n">
        <x:f>IF($P2082="","",$O2082*$P2082)</x:f>
        <x:v>640</x:v>
      </x:c>
      <x:c r="S2082" s="552" t="str">
        <x:f>IF($M2082="","",TRIM(IF($M2082="Mineral",IF(ISNUMBER($N2082),"Mineral; basis Conv Amt(dec). ",IF($P2082=0,"Mineral; surface-only/reserved-&gt;0 min. ","Mineral; VERIFY — NEED full instrument image for conveyed amount. ")),$M2082&amp;" (non-mineral; excluded from mineral NMA). ")&amp;IF(OR(ISNUMBER(SEARCH("public",$G2082)),ISNUMBER(SEARCH("public",$H2082))),"FLAG: The Public placeholder; VERIFY — NEED source confirmation. ","")&amp;IF(ISNUMBER(SEARCH("all",$L2082)),"All-section coverage. ","")&amp;IF($O2082=0,"Gross acres unresolved. ","")&amp;"Gross=tract-map basis."))</x:f>
        <x:v>Mineral; basis Conv Amt(dec). All-section coverage. Gross=tract-map basis.</x:v>
      </x:c>
      <x:c r="T2082" s="578" t="inlineStr">
        <x:is>
          <x:t xml:space="preserve">REVIEW</x:t>
        </x:is>
      </x:c>
      <x:c r="U2082" s="578" t="inlineStr">
        <x:is>
          <x:t xml:space="preserve">SOURCE: conveyed amount parsed from Notes as ARTI</x:t>
        </x:is>
      </x:c>
      <x:c r="V2082" s="565" t="n"/>
      <x:c r="W2082" s="565" t="n"/>
      <x:c r="X2082" s="565" t="n"/>
      <x:c r="Y2082" s="565" t="n"/>
      <x:c r="Z2082" s="565" t="n"/>
    </x:row>
    <x:row r="2083">
      <x:c r="A2083" s="552" t="inlineStr">
        <x:is>
          <x:t xml:space="preserve">2013-006584</x:t>
        </x:is>
      </x:c>
      <x:c r="B2083" s="552" t="n"/>
      <x:c r="C2083" s="552" t="inlineStr">
        <x:is>
          <x:t xml:space="preserve">Purchase and Sale Agreement</x:t>
        </x:is>
      </x:c>
      <x:c r="D2083" s="552" t="inlineStr">
        <x:is>
          <x:t xml:space="preserve">2224/378</x:t>
        </x:is>
      </x:c>
      <x:c r="E2083" s="653" t="n">
        <x:v>41526</x:v>
      </x:c>
      <x:c r="F2083" s="653" t="n">
        <x:v>41625</x:v>
      </x:c>
      <x:c r="G2083" s="552" t="inlineStr">
        <x:is>
          <x:t xml:space="preserve">Joseph A. Bain</x:t>
        </x:is>
      </x:c>
      <x:c r="H2083" s="552" t="inlineStr">
        <x:is>
          <x:t xml:space="preserve">Anna T. Bain Gibson</x:t>
        </x:is>
      </x:c>
      <x:c r="I2083" s="552" t="inlineStr">
        <x:is>
          <x:t xml:space="preserve">NW/4 SE/4, S/2 SE/4, SW/4 of 31-12N-24W, aol</x:t>
        </x:is>
      </x:c>
      <x:c r="J2083" s="552" t="inlineStr">
        <x:is>
          <x:t xml:space="preserve">See instrument</x:t>
        </x:is>
      </x:c>
      <x:c r="K2083" s="554" t="e">
        <x:f>HYPERLINK("https://okcountyrecords.com/detail/roger+mills/2013-006584","OKCountyRecords: 2013-006584")</x:f>
      </x:c>
      <x:c r="L2083" s="552" t="inlineStr">
        <x:is>
          <x:t xml:space="preserve">2, 5, 6, 7</x:t>
        </x:is>
      </x:c>
      <x:c r="M2083" s="552" t="inlineStr">
        <x:is>
          <x:t xml:space="preserve">Other</x:t>
        </x:is>
      </x:c>
      <x:c r="N2083" s="555" t="n"/>
      <x:c r="O2083" s="556" t="n">
        <x:f>IF($L2083="","",IF(ISNUMBER(SEARCH("all",$L2083)),640,(ISNUMBER(SEARCH("1",$L2083)))*80+(ISNUMBER(SEARCH("2",$L2083)))*160+(ISNUMBER(SEARCH("3",$L2083)))*40+(ISNUMBER(SEARCH("4",$L2083)))*80+(ISNUMBER(SEARCH("5",$L2083)))*120+(ISNUMBER(SEARCH("6",$L2083)))*80+(ISNUMBER(SEARCH("7",$L2083)))*40+(ISNUMBER(SEARCH("8",$L2083)))*40))</x:f>
        <x:v>0</x:v>
      </x:c>
      <x:c r="P2083" s="654" t="str">
        <x:f>IF($M2083&lt;&gt;"Mineral","",IF(ISNUMBER($N2083),$N2083,IF(OR(ISNUMBER(SEARCH("surface",$J2083)),ISNUMBER(SEARCH("reserv",$J2083)),ISNUMBER(SEARCH("less and except",$J2083))),0,"")))</x:f>
      </x:c>
      <x:c r="Q2083" s="654" t="str">
        <x:f>IF($P2083="","",-$P2083)</x:f>
      </x:c>
      <x:c r="R2083" s="655" t="str">
        <x:f>IF($P2083="","",$O2083*$P2083)</x:f>
      </x:c>
      <x:c r="S2083" s="552" t="str">
        <x:f>IF($M2083="","",TRIM(IF($M2083="Mineral",IF(ISNUMBER($N2083),"Mineral; basis Conv Amt(dec). ",IF($P2083=0,"Mineral; surface-only/reserved-&gt;0 min. ","Mineral; NO AMOUNT-verify instrument. ")),$M2083&amp;" (non-mineral; excluded from mineral NMA). ")&amp;IF(OR(ISNUMBER(SEARCH("public",$G2083)),ISNUMBER(SEARCH("public",$H2083))),"FLAG: The Public placeholder-verify. ","")&amp;IF(ISNUMBER(SEARCH("all",$L2083)),"All-section coverage. ","")&amp;IF($O2083=0,"Gross acres unresolved. ","")&amp;"Gross=tract-map basis."))</x:f>
        <x:v>Other (non-mineral; excluded from mineral NMA). Gross acres unresolved. Gross=tract-map basis.</x:v>
      </x:c>
      <x:c r="T2083" s="577" t="n"/>
      <x:c r="U2083" s="578" t="n"/>
      <x:c r="V2083" s="565" t="n"/>
      <x:c r="W2083" s="565" t="n"/>
      <x:c r="X2083" s="565" t="n"/>
      <x:c r="Y2083" s="565" t="n"/>
      <x:c r="Z2083" s="565" t="n"/>
    </x:row>
    <x:row r="2084">
      <x:c r="A2084" s="552" t="inlineStr">
        <x:is>
          <x:t xml:space="preserve">2013-006188</x:t>
        </x:is>
      </x:c>
      <x:c r="B2084" s="552" t="n"/>
      <x:c r="C2084" s="552" t="inlineStr">
        <x:is>
          <x:t xml:space="preserve">Assignment</x:t>
        </x:is>
      </x:c>
      <x:c r="D2084" s="552" t="inlineStr">
        <x:is>
          <x:t xml:space="preserve">2220/400</x:t>
        </x:is>
      </x:c>
      <x:c r="E2084" s="653" t="n">
        <x:v>41543</x:v>
      </x:c>
      <x:c r="F2084" s="653" t="n">
        <x:v>41599</x:v>
      </x:c>
      <x:c r="G2084" s="552" t="inlineStr">
        <x:is>
          <x:t xml:space="preserve">EOG Resources, Inc.</x:t>
        </x:is>
      </x:c>
      <x:c r="H2084" s="552" t="inlineStr">
        <x:is>
          <x:t xml:space="preserve">Linn Energy Holdings, LLC</x:t>
        </x:is>
      </x:c>
      <x:c r="I2084" s="552" t="inlineStr">
        <x:is>
          <x:t xml:space="preserve">All of 31-12N-24W, aol</x:t>
        </x:is>
      </x:c>
      <x:c r="J2084" s="552" t="inlineStr">
        <x:is>
          <x:t xml:space="preserve">ARTI</x:t>
        </x:is>
      </x:c>
      <x:c r="K2084" s="554" t="e">
        <x:f>HYPERLINK("https://okcountyrecords.com/detail/roger+mills/2013-006188","OKCountyRecords: 2013-006188")</x:f>
      </x:c>
      <x:c r="L2084" s="552" t="inlineStr">
        <x:is>
          <x:t xml:space="preserve">All (1-8)</x:t>
        </x:is>
      </x:c>
      <x:c r="M2084" s="552" t="inlineStr">
        <x:is>
          <x:t xml:space="preserve">Leasehold</x:t>
        </x:is>
      </x:c>
      <x:c r="N2084" s="555" t="n"/>
      <x:c r="O2084" s="556" t="n">
        <x:f>IF($L2084="","",IF(ISNUMBER(SEARCH("all",$L2084)),640,(ISNUMBER(SEARCH("1",$L2084)))*80+(ISNUMBER(SEARCH("2",$L2084)))*160+(ISNUMBER(SEARCH("3",$L2084)))*40+(ISNUMBER(SEARCH("4",$L2084)))*80+(ISNUMBER(SEARCH("5",$L2084)))*120+(ISNUMBER(SEARCH("6",$L2084)))*80+(ISNUMBER(SEARCH("7",$L2084)))*40+(ISNUMBER(SEARCH("8",$L2084)))*40))</x:f>
        <x:v>640</x:v>
      </x:c>
      <x:c r="P2084" s="654" t="str">
        <x:f>IF($M2084&lt;&gt;"Mineral","",IF(ISNUMBER($N2084),$N2084,IF(OR(ISNUMBER(SEARCH("surface",$J2084)),ISNUMBER(SEARCH("reserv",$J2084)),ISNUMBER(SEARCH("less and except",$J2084))),0,"")))</x:f>
      </x:c>
      <x:c r="Q2084" s="654" t="str">
        <x:f>IF($P2084="","",-$P2084)</x:f>
      </x:c>
      <x:c r="R2084" s="655" t="str">
        <x:f>IF($P2084="","",$O2084*$P2084)</x:f>
      </x:c>
      <x:c r="S2084" s="552" t="str">
        <x:f>IF($M2084="","",TRIM(IF($M2084="Mineral",IF(ISNUMBER($N2084),"Mineral; basis Conv Amt(dec). ",IF($P2084=0,"Mineral; surface-only/reserved-&gt;0 min. ","Mineral; NO AMOUNT-verify instrument. ")),$M2084&amp;" (non-mineral; excluded from mineral NMA). ")&amp;IF(OR(ISNUMBER(SEARCH("public",$G2084)),ISNUMBER(SEARCH("public",$H2084))),"FLAG: The Public placeholder-verify. ","")&amp;IF(ISNUMBER(SEARCH("all",$L2084)),"All-section coverage. ","")&amp;IF($O2084=0,"Gross acres unresolved. ","")&amp;"Gross=tract-map basis."))</x:f>
        <x:v>Leasehold (non-mineral; excluded from mineral NMA). All-section coverage. Gross=tract-map basis.</x:v>
      </x:c>
      <x:c r="T2084" s="577" t="n"/>
      <x:c r="U2084" s="578" t="n"/>
      <x:c r="V2084" s="565" t="n"/>
      <x:c r="W2084" s="565" t="n"/>
      <x:c r="X2084" s="565" t="n"/>
      <x:c r="Y2084" s="565" t="n"/>
      <x:c r="Z2084" s="565" t="n"/>
    </x:row>
    <x:row r="2085">
      <x:c r="A2085" s="552" t="inlineStr">
        <x:is>
          <x:t xml:space="preserve">2013-006502</x:t>
        </x:is>
      </x:c>
      <x:c r="B2085" s="552" t="n"/>
      <x:c r="C2085" s="552" t="inlineStr">
        <x:is>
          <x:t xml:space="preserve">Mineral Deed</x:t>
        </x:is>
      </x:c>
      <x:c r="D2085" s="552" t="inlineStr">
        <x:is>
          <x:t xml:space="preserve">2223/307</x:t>
        </x:is>
      </x:c>
      <x:c r="E2085" s="653" t="n">
        <x:v>41575</x:v>
      </x:c>
      <x:c r="F2085" s="653" t="n">
        <x:v>41621</x:v>
      </x:c>
      <x:c r="G2085" s="552" t="inlineStr">
        <x:is>
          <x:t xml:space="preserve">Mary Ellen Silverberg, a/k/a Mary Ellen Sitzmann, a married woman dealing in her sole and separate property</x:t>
        </x:is>
      </x:c>
      <x:c r="H2085" s="552" t="inlineStr">
        <x:is>
          <x:t xml:space="preserve">Cambria Energy, LLC</x:t>
        </x:is>
      </x:c>
      <x:c r="I2085" s="552" t="inlineStr">
        <x:is>
          <x:t xml:space="preserve">All of 31-12N-24W</x:t>
        </x:is>
      </x:c>
      <x:c r="J2085" s="552" t="inlineStr">
        <x:is>
          <x:t xml:space="preserve">all interests in the leases, units, sections, legal descriptions and depths. It is the intent of this instrument to convey unto Grantee all of Grantor's royalty, overriding royalty, and mineral interest in the Section and/or Lands as of the date of first production, if any, but if lands owned by Grantor are less than described, only that owned by Grantor is intended to be conveyed.</x:t>
        </x:is>
      </x:c>
      <x:c r="K2085" s="554" t="e">
        <x:f>HYPERLINK("https://okcountyrecords.com/detail/roger+mills/2013-006502","OKCountyRecords: 2013-006502")</x:f>
      </x:c>
      <x:c r="L2085" s="552" t="inlineStr">
        <x:is>
          <x:t xml:space="preserve">All (1-8)</x:t>
        </x:is>
      </x:c>
      <x:c r="M2085" s="552" t="inlineStr">
        <x:is>
          <x:t xml:space="preserve">Mineral</x:t>
        </x:is>
      </x:c>
      <x:c r="N2085" s="555" t="n">
        <x:f>1</x:f>
        <x:v>1</x:v>
      </x:c>
      <x:c r="O2085" s="556" t="n">
        <x:f>IF($L2085="","",IF(ISNUMBER(SEARCH("all",$L2085)),640,(ISNUMBER(SEARCH("1",$L2085)))*80+(ISNUMBER(SEARCH("2",$L2085)))*160+(ISNUMBER(SEARCH("3",$L2085)))*40+(ISNUMBER(SEARCH("4",$L2085)))*80+(ISNUMBER(SEARCH("5",$L2085)))*120+(ISNUMBER(SEARCH("6",$L2085)))*80+(ISNUMBER(SEARCH("7",$L2085)))*40+(ISNUMBER(SEARCH("8",$L2085)))*40))</x:f>
        <x:v>640</x:v>
      </x:c>
      <x:c r="P2085" s="654" t="n">
        <x:f>IF($M2085&lt;&gt;"Mineral","",IF(ISNUMBER($N2085),$N2085,IF(OR(ISNUMBER(SEARCH("surface",$J2085)),ISNUMBER(SEARCH("reserv",$J2085)),ISNUMBER(SEARCH("less and except",$J2085))),0,"")))</x:f>
        <x:v>1</x:v>
      </x:c>
      <x:c r="Q2085" s="654" t="n">
        <x:f>IF($P2085="","",-$P2085)</x:f>
        <x:v>-1</x:v>
      </x:c>
      <x:c r="R2085" s="655" t="n">
        <x:f>IF($P2085="","",$O2085*$P2085)</x:f>
        <x:v>640</x:v>
      </x:c>
      <x:c r="S2085" s="552" t="str">
        <x:f>IF($M2085="","",TRIM(IF($M2085="Mineral",IF(ISNUMBER($N2085),"Mineral; basis Conv Amt(dec). ",IF($P2085=0,"Mineral; surface-only/reserved-&gt;0 min. ","Mineral; VERIFY — NEED full instrument image for conveyed amount. ")),$M2085&amp;" (non-mineral; excluded from mineral NMA). ")&amp;IF(OR(ISNUMBER(SEARCH("public",$G2085)),ISNUMBER(SEARCH("public",$H2085))),"FLAG: The Public placeholder; VERIFY — NEED source confirmation. ","")&amp;IF(ISNUMBER(SEARCH("all",$L2085)),"All-section coverage. ","")&amp;IF($O2085=0,"Gross acres unresolved. ","")&amp;"Gross=tract-map basis."))</x:f>
        <x:v>Mineral; basis Conv Amt(dec). All-section coverage. Gross=tract-map basis.</x:v>
      </x:c>
      <x:c r="T2085" s="577" t="inlineStr">
        <x:is>
          <x:t xml:space="preserve">REVIEW</x:t>
        </x:is>
      </x:c>
      <x:c r="U2085" s="578" t="inlineStr">
        <x:is>
          <x:t xml:space="preserve">SOURCE: conveyed amount parsed from Notes as ARTI</x:t>
        </x:is>
      </x:c>
      <x:c r="V2085" s="565" t="n"/>
      <x:c r="W2085" s="565" t="n"/>
      <x:c r="X2085" s="565" t="n"/>
      <x:c r="Y2085" s="565" t="n"/>
      <x:c r="Z2085" s="565" t="n"/>
    </x:row>
    <x:row r="2086">
      <x:c r="A2086" s="552" t="inlineStr">
        <x:is>
          <x:t xml:space="preserve">2013-006644</x:t>
        </x:is>
      </x:c>
      <x:c r="B2086" s="552" t="n"/>
      <x:c r="C2086" s="552" t="inlineStr">
        <x:is>
          <x:t xml:space="preserve">Proof of Death</x:t>
        </x:is>
      </x:c>
      <x:c r="D2086" s="552" t="inlineStr">
        <x:is>
          <x:t xml:space="preserve">2224/529</x:t>
        </x:is>
      </x:c>
      <x:c r="E2086" s="653" t="n">
        <x:v>41624</x:v>
      </x:c>
      <x:c r="F2086" s="653" t="n">
        <x:v>41631</x:v>
      </x:c>
      <x:c r="G2086" s="552" t="inlineStr">
        <x:is>
          <x:t xml:space="preserve">Sheila Kay Salvo</x:t>
        </x:is>
      </x:c>
      <x:c r="H2086" s="552" t="inlineStr">
        <x:is>
          <x:t xml:space="preserve">The Public
RE: Edris Oleta (Miller) Bain, Deceased
Heirs:
Richard Clay Bain,
Kevin Randolf Bain,
Sheila Kay (Bain) Salvo</x:t>
        </x:is>
      </x:c>
      <x:c r="I2086" s="552" t="inlineStr">
        <x:is>
          <x:t xml:space="preserve">NW/4 SE/4, S/2 SE/4, SW/4 NE/4 of 31-12N-24W, aol</x:t>
        </x:is>
      </x:c>
      <x:c r="J2086" s="552" t="inlineStr">
        <x:is>
          <x:t xml:space="preserve">ARTI</x:t>
        </x:is>
      </x:c>
      <x:c r="K2086" s="554" t="e">
        <x:f>HYPERLINK("https://okcountyrecords.com/detail/roger+mills/2013-006644","OKCountyRecords: 2013-006644")</x:f>
      </x:c>
      <x:c r="L2086" s="552" t="n">
        <x:v>2</x:v>
      </x:c>
      <x:c r="M2086" s="552" t="inlineStr">
        <x:is>
          <x:t xml:space="preserve">Mineral</x:t>
        </x:is>
      </x:c>
      <x:c r="N2086" s="555" t="n">
        <x:v>1</x:v>
      </x:c>
      <x:c r="O2086" s="556" t="n">
        <x:f>IF($L2086="","",IF(ISNUMBER(SEARCH("all",$L2086)),640,(ISNUMBER(SEARCH("1",$L2086)))*80+(ISNUMBER(SEARCH("2",$L2086)))*160+(ISNUMBER(SEARCH("3",$L2086)))*40+(ISNUMBER(SEARCH("4",$L2086)))*80+(ISNUMBER(SEARCH("5",$L2086)))*120+(ISNUMBER(SEARCH("6",$L2086)))*80+(ISNUMBER(SEARCH("7",$L2086)))*40+(ISNUMBER(SEARCH("8",$L2086)))*40))</x:f>
        <x:v>0</x:v>
      </x:c>
      <x:c r="P2086" s="654" t="n">
        <x:f>IF($M2086&lt;&gt;"Mineral","",IF(ISNUMBER($N2086),$N2086,IF(OR(ISNUMBER(SEARCH("surface",$J2086)),ISNUMBER(SEARCH("reserv",$J2086)),ISNUMBER(SEARCH("less and except",$J2086))),0,"")))</x:f>
        <x:v>1</x:v>
      </x:c>
      <x:c r="Q2086" s="654" t="n">
        <x:f>IF($P2086="","",-$P2086)</x:f>
        <x:v>-1</x:v>
      </x:c>
      <x:c r="R2086" s="655" t="n">
        <x:f>IF($P2086="","",$O2086*$P2086)</x:f>
        <x:v>0</x:v>
      </x:c>
      <x:c r="S2086" s="552" t="str">
        <x:f>IF($M2086="","",TRIM(IF($M2086="Mineral",IF(ISNUMBER($N2086),"Mineral; basis Conv Amt(dec). ",IF($P2086=0,"Mineral; surface-only/reserved-&gt;0 min. ","Mineral; VERIFY — NEED full instrument image for conveyed amount. ")),$M2086&amp;" (non-mineral; excluded from mineral NMA). ")&amp;IF(OR(ISNUMBER(SEARCH("public",$G2086)),ISNUMBER(SEARCH("public",$H2086))),"FLAG: The Public placeholder; VERIFY — NEED source confirmation. ","")&amp;IF(ISNUMBER(SEARCH("all",$L2086)),"All-section coverage. ","")&amp;IF($O2086=0,"Gross acres unresolved. ","")&amp;"Gross=tract-map basis."))</x:f>
        <x:v>Mineral; basis Conv Amt(dec). FLAG: The Public placeholder; VERIFY — NEED source confirmation. Gross acres unresolved. Gross=tract-map basis.</x:v>
      </x:c>
      <x:c r="T2086" s="578" t="inlineStr">
        <x:is>
          <x:t xml:space="preserve">REVIEW</x:t>
        </x:is>
      </x:c>
      <x:c r="U2086" s="578" t="inlineStr">
        <x:is>
          <x:t xml:space="preserve">NEED: confirm conveyed mineral acreage from instrument image — named party present under 'The Public' (affidavit/notice); placeholder identity resolved.</x:t>
        </x:is>
      </x:c>
      <x:c r="V2086" s="565" t="n"/>
      <x:c r="W2086" s="565" t="n"/>
      <x:c r="X2086" s="565" t="n"/>
      <x:c r="Y2086" s="565" t="n"/>
      <x:c r="Z2086" s="565" t="n"/>
    </x:row>
    <x:row r="2087">
      <x:c r="A2087" s="552" t="inlineStr">
        <x:is>
          <x:t xml:space="preserve">2013-006645</x:t>
        </x:is>
      </x:c>
      <x:c r="B2087" s="552" t="n"/>
      <x:c r="C2087" s="552" t="inlineStr">
        <x:is>
          <x:t xml:space="preserve">Proof of Death</x:t>
        </x:is>
      </x:c>
      <x:c r="D2087" s="552" t="inlineStr">
        <x:is>
          <x:t xml:space="preserve">2224/535</x:t>
        </x:is>
      </x:c>
      <x:c r="E2087" s="653" t="n">
        <x:v>41624</x:v>
      </x:c>
      <x:c r="F2087" s="653" t="n">
        <x:v>41631</x:v>
      </x:c>
      <x:c r="G2087" s="552" t="inlineStr">
        <x:is>
          <x:t xml:space="preserve">Sheila Kay Salvo</x:t>
        </x:is>
      </x:c>
      <x:c r="H2087" s="552" t="inlineStr">
        <x:is>
          <x:t xml:space="preserve">The Public
RE: Dow Conrad Bain, Deceased
Heirs:
Richard Clay Bain,
Kevin Randolf Bain,
Sheila Kay (Bain) Salvo</x:t>
        </x:is>
      </x:c>
      <x:c r="I2087" s="552" t="inlineStr">
        <x:is>
          <x:t xml:space="preserve">NW/4 SE/4, S/2 SE/4, SW/4 NE/4 of 31-12N-24W, aol</x:t>
        </x:is>
      </x:c>
      <x:c r="J2087" s="552" t="inlineStr">
        <x:is>
          <x:t xml:space="preserve">ARTI</x:t>
        </x:is>
      </x:c>
      <x:c r="K2087" s="554" t="e">
        <x:f>HYPERLINK("https://okcountyrecords.com/detail/roger+mills/2013-006645","OKCountyRecords: 2013-006645")</x:f>
      </x:c>
      <x:c r="L2087" s="552" t="n">
        <x:v>2</x:v>
      </x:c>
      <x:c r="M2087" s="552" t="inlineStr">
        <x:is>
          <x:t xml:space="preserve">Mineral</x:t>
        </x:is>
      </x:c>
      <x:c r="N2087" s="555" t="n">
        <x:v>1</x:v>
      </x:c>
      <x:c r="O2087" s="556" t="n">
        <x:f>IF($L2087="","",IF(ISNUMBER(SEARCH("all",$L2087)),640,(ISNUMBER(SEARCH("1",$L2087)))*80+(ISNUMBER(SEARCH("2",$L2087)))*160+(ISNUMBER(SEARCH("3",$L2087)))*40+(ISNUMBER(SEARCH("4",$L2087)))*80+(ISNUMBER(SEARCH("5",$L2087)))*120+(ISNUMBER(SEARCH("6",$L2087)))*80+(ISNUMBER(SEARCH("7",$L2087)))*40+(ISNUMBER(SEARCH("8",$L2087)))*40))</x:f>
        <x:v>0</x:v>
      </x:c>
      <x:c r="P2087" s="654" t="n">
        <x:f>IF($M2087&lt;&gt;"Mineral","",IF(ISNUMBER($N2087),$N2087,IF(OR(ISNUMBER(SEARCH("surface",$J2087)),ISNUMBER(SEARCH("reserv",$J2087)),ISNUMBER(SEARCH("less and except",$J2087))),0,"")))</x:f>
        <x:v>1</x:v>
      </x:c>
      <x:c r="Q2087" s="654" t="n">
        <x:f>IF($P2087="","",-$P2087)</x:f>
        <x:v>-1</x:v>
      </x:c>
      <x:c r="R2087" s="655" t="n">
        <x:f>IF($P2087="","",$O2087*$P2087)</x:f>
        <x:v>0</x:v>
      </x:c>
      <x:c r="S2087" s="552" t="str">
        <x:f>IF($M2087="","",TRIM(IF($M2087="Mineral",IF(ISNUMBER($N2087),"Mineral; basis Conv Amt(dec). ",IF($P2087=0,"Mineral; surface-only/reserved-&gt;0 min. ","Mineral; VERIFY — NEED full instrument image for conveyed amount. ")),$M2087&amp;" (non-mineral; excluded from mineral NMA). ")&amp;IF(OR(ISNUMBER(SEARCH("public",$G2087)),ISNUMBER(SEARCH("public",$H2087))),"FLAG: The Public placeholder; VERIFY — NEED source confirmation. ","")&amp;IF(ISNUMBER(SEARCH("all",$L2087)),"All-section coverage. ","")&amp;IF($O2087=0,"Gross acres unresolved. ","")&amp;"Gross=tract-map basis."))</x:f>
        <x:v>Mineral; basis Conv Amt(dec). FLAG: The Public placeholder; VERIFY — NEED source confirmation. Gross acres unresolved. Gross=tract-map basis.</x:v>
      </x:c>
      <x:c r="T2087" s="578" t="inlineStr">
        <x:is>
          <x:t xml:space="preserve">REVIEW</x:t>
        </x:is>
      </x:c>
      <x:c r="U2087" s="578" t="inlineStr">
        <x:is>
          <x:t xml:space="preserve">NEED: confirm conveyed mineral acreage from instrument image — named party present under 'The Public' (affidavit/notice); placeholder identity resolved.</x:t>
        </x:is>
      </x:c>
      <x:c r="V2087" s="565" t="n"/>
      <x:c r="W2087" s="565" t="n"/>
      <x:c r="X2087" s="565" t="n"/>
      <x:c r="Y2087" s="565" t="n"/>
      <x:c r="Z2087" s="565" t="n"/>
    </x:row>
    <x:row r="2088">
      <x:c r="A2088" s="552" t="inlineStr">
        <x:is>
          <x:t xml:space="preserve">2014-002337</x:t>
        </x:is>
      </x:c>
      <x:c r="B2088" s="552" t="n"/>
      <x:c r="C2088" s="552" t="inlineStr">
        <x:is>
          <x:t xml:space="preserve">Ownership Affidavit</x:t>
        </x:is>
      </x:c>
      <x:c r="D2088" s="552" t="inlineStr">
        <x:is>
          <x:t xml:space="preserve">2247/183</x:t>
        </x:is>
      </x:c>
      <x:c r="E2088" s="653" t="n">
        <x:v>41730</x:v>
      </x:c>
      <x:c r="F2088" s="653" t="n">
        <x:v>41746</x:v>
      </x:c>
      <x:c r="G2088" s="552" t="inlineStr">
        <x:is>
          <x:t xml:space="preserve">Duke R. Ligon, Manager of Mekusukey Oil Company, LLC, an Oklahoma Limited Liability Company</x:t>
        </x:is>
      </x:c>
      <x:c r="H2088" s="552" t="inlineStr">
        <x:is>
          <x:t xml:space="preserve">The Public</x:t>
        </x:is>
      </x:c>
      <x:c r="I2088" s="552" t="inlineStr">
        <x:is>
          <x:t xml:space="preserve">All of 31-12N-24W, aol</x:t>
        </x:is>
      </x:c>
      <x:c r="J2088" s="552" t="inlineStr">
        <x:is>
          <x:t xml:space="preserve">We are the successor to all right title and interest in and to only the minerals once owned, or may still be owned of record, by: The Estate of H.M. Ligon, Deceased; The Estate of Joan R. Ligon, Deceased; Nan Holt Ligon, individually and/or with her husband Dr. Charles Holt; Sundown Ranch, LLC; Richard S. Roberts, Trustee of the Duke R. Ligon Trust; and Duke R. Ligon, individually and/or with his wife Linda G. Ligon. Effective January 1, 2002, Mekusukey Oil Company, Inc. merged with and into Mekusukey Oil Company, LLC, as evidenced on the merger documents attached hereto as Exhibit "A". Be it also known that Mekusukey Oil Company, Inc. is also sometimes referred to as Mekusukey Oil Co., Inc. and Mekusukey Oil Company and Mekusukey Oil and that any and all are one in the same. Mekusukey Oil Company, LLC is herein giving notice and asserting a claim on each of the tracts described in Exhibit "B", attached to and made a part hereof. Mekusukey Oil Company, LLC is in no way relinquishing its claim on lands we may own which are not included on Exhibit "B", nor are we limiting our ownership to only the net mineral acres shown on Exhibit "B". Exhibit "B" is a compilation of only our internal records and these records may or may not reflect an accurate or complete list of our ownership.</x:t>
        </x:is>
      </x:c>
      <x:c r="K2088" s="554" t="e">
        <x:f>HYPERLINK("https://okcountyrecords.com/detail/roger+mills/2014-002337","OKCountyRecords: 2014-002337")</x:f>
      </x:c>
      <x:c r="L2088" s="552" t="inlineStr">
        <x:is>
          <x:t xml:space="preserve">All (1-8)</x:t>
        </x:is>
      </x:c>
      <x:c r="M2088" s="552" t="inlineStr">
        <x:is>
          <x:t xml:space="preserve">Other</x:t>
        </x:is>
      </x:c>
      <x:c r="N2088" s="555" t="n"/>
      <x:c r="O2088" s="556" t="n">
        <x:f>IF($L2088="","",IF(ISNUMBER(SEARCH("all",$L2088)),640,(ISNUMBER(SEARCH("1",$L2088)))*80+(ISNUMBER(SEARCH("2",$L2088)))*160+(ISNUMBER(SEARCH("3",$L2088)))*40+(ISNUMBER(SEARCH("4",$L2088)))*80+(ISNUMBER(SEARCH("5",$L2088)))*120+(ISNUMBER(SEARCH("6",$L2088)))*80+(ISNUMBER(SEARCH("7",$L2088)))*40+(ISNUMBER(SEARCH("8",$L2088)))*40))</x:f>
        <x:v>640</x:v>
      </x:c>
      <x:c r="P2088" s="654" t="str">
        <x:f>IF($M2088&lt;&gt;"Mineral","",IF(ISNUMBER($N2088),$N2088,IF(OR(ISNUMBER(SEARCH("surface",$J2088)),ISNUMBER(SEARCH("reserv",$J2088)),ISNUMBER(SEARCH("less and except",$J2088))),0,"")))</x:f>
      </x:c>
      <x:c r="Q2088" s="654" t="str">
        <x:f>IF($P2088="","",-$P2088)</x:f>
      </x:c>
      <x:c r="R2088" s="655" t="str">
        <x:f>IF($P2088="","",$O2088*$P2088)</x:f>
      </x:c>
      <x:c r="S2088" s="552" t="inlineStr">
        <x:is>
          <x:t xml:space="preserve">Other (non-mineral; excluded from mineral NMA). All-section coverage. Gross=tract-map basis.</x:t>
        </x:is>
      </x:c>
      <x:c r="T2088" s="578" t="inlineStr">
        <x:is>
          <x:t xml:space="preserve">OK</x:t>
        </x:is>
      </x:c>
      <x:c r="U2088" s="578" t="inlineStr">
        <x:is>
          <x:t xml:space="preserve">Non-conveying — notice/affidavit/address change (The Public).</x:t>
        </x:is>
      </x:c>
      <x:c r="V2088" s="565" t="n"/>
      <x:c r="W2088" s="565" t="n"/>
      <x:c r="X2088" s="565" t="n"/>
      <x:c r="Y2088" s="565" t="n"/>
      <x:c r="Z2088" s="565" t="n"/>
    </x:row>
    <x:row r="2089">
      <x:c r="A2089" s="552" t="inlineStr">
        <x:is>
          <x:t xml:space="preserve">2014-002935</x:t>
        </x:is>
      </x:c>
      <x:c r="B2089" s="552" t="n"/>
      <x:c r="C2089" s="552" t="inlineStr">
        <x:is>
          <x:t xml:space="preserve">Mineral Deed</x:t>
        </x:is>
      </x:c>
      <x:c r="D2089" s="552" t="inlineStr">
        <x:is>
          <x:t xml:space="preserve">2251/22</x:t>
        </x:is>
      </x:c>
      <x:c r="E2089" s="653" t="n">
        <x:v>41734</x:v>
      </x:c>
      <x:c r="F2089" s="653" t="n">
        <x:v>41766</x:v>
      </x:c>
      <x:c r="G2089" s="552" t="inlineStr">
        <x:is>
          <x:t xml:space="preserve">Jessica Corry Fuchs</x:t>
        </x:is>
      </x:c>
      <x:c r="H2089" s="552" t="inlineStr">
        <x:is>
          <x:t xml:space="preserve">Jesse William Fuchs</x:t>
        </x:is>
      </x:c>
      <x:c r="I2089" s="552" t="inlineStr">
        <x:is>
          <x:t xml:space="preserve">NW/4 SE/4, S/2 SE/4, SW/4 NE/4 of 31-12N-24W, aol</x:t>
        </x:is>
      </x:c>
      <x:c r="J2089" s="552" t="inlineStr">
        <x:is>
          <x:t xml:space="preserve">An undivided 22.915741/791.47 interest in all of the oil, gas, and other minerals in and under 2 sections</x:t>
        </x:is>
      </x:c>
      <x:c r="K2089" s="554" t="e">
        <x:f>HYPERLINK("https://okcountyrecords.com/detail/roger+mills/2014-002935","OKCountyRecords: 2014-002935")</x:f>
      </x:c>
      <x:c r="L2089" s="552" t="n">
        <x:v>2</x:v>
      </x:c>
      <x:c r="M2089" s="552" t="inlineStr">
        <x:is>
          <x:t xml:space="preserve">Mineral</x:t>
        </x:is>
      </x:c>
      <x:c r="N2089" s="555" t="n">
        <x:f>22.915741/791.47</x:f>
        <x:v>0.028953391789960453</x:v>
      </x:c>
      <x:c r="O2089" s="556" t="n">
        <x:f>IF($L2089="","",IF(ISNUMBER(SEARCH("all",$L2089)),640,(ISNUMBER(SEARCH("1",$L2089)))*80+(ISNUMBER(SEARCH("2",$L2089)))*160+(ISNUMBER(SEARCH("3",$L2089)))*40+(ISNUMBER(SEARCH("4",$L2089)))*80+(ISNUMBER(SEARCH("5",$L2089)))*120+(ISNUMBER(SEARCH("6",$L2089)))*80+(ISNUMBER(SEARCH("7",$L2089)))*40+(ISNUMBER(SEARCH("8",$L2089)))*40))</x:f>
        <x:v>0</x:v>
      </x:c>
      <x:c r="P2089" s="654" t="n">
        <x:f>IF($M2089&lt;&gt;"Mineral","",IF(ISNUMBER($N2089),$N2089,IF(OR(ISNUMBER(SEARCH("surface",$J2089)),ISNUMBER(SEARCH("reserv",$J2089)),ISNUMBER(SEARCH("less and except",$J2089))),0,"")))</x:f>
        <x:v>0.028953391789960453</x:v>
      </x:c>
      <x:c r="Q2089" s="654" t="n">
        <x:f>IF($P2089="","",-$P2089)</x:f>
        <x:v>-0.028953391789960453</x:v>
      </x:c>
      <x:c r="R2089" s="655" t="n">
        <x:f>IF($P2089="","",$O2089*$P2089)</x:f>
        <x:v>0</x:v>
      </x:c>
      <x:c r="S2089" s="552" t="str">
        <x:f>IF($M2089="","",TRIM(IF($M2089="Mineral",IF(ISNUMBER($N2089),"Mineral; basis Conv Amt(dec). ",IF($P2089=0,"Mineral; surface-only/reserved-&gt;0 min. ","Mineral; NO AMOUNT-verify instrument. ")),$M2089&amp;" (non-mineral; excluded from mineral NMA). ")&amp;IF(OR(ISNUMBER(SEARCH("public",$G2089)),ISNUMBER(SEARCH("public",$H2089))),"FLAG: The Public placeholder-verify. ","")&amp;IF(ISNUMBER(SEARCH("all",$L2089)),"All-section coverage. ","")&amp;IF($O2089=0,"Gross acres unresolved. ","")&amp;"Gross=tract-map basis."))</x:f>
        <x:v>Mineral; basis Conv Amt(dec). Gross acres unresolved. Gross=tract-map basis.</x:v>
      </x:c>
      <x:c r="T2089" s="578" t="n"/>
      <x:c r="U2089" s="578" t="n"/>
      <x:c r="V2089" s="565" t="n"/>
      <x:c r="W2089" s="565" t="n"/>
      <x:c r="X2089" s="565" t="n"/>
      <x:c r="Y2089" s="565" t="n"/>
      <x:c r="Z2089" s="565" t="n"/>
    </x:row>
    <x:row r="2090">
      <x:c r="A2090" s="552" t="inlineStr">
        <x:is>
          <x:t xml:space="preserve">2014-003089</x:t>
        </x:is>
      </x:c>
      <x:c r="B2090" s="552" t="n"/>
      <x:c r="C2090" s="552" t="inlineStr">
        <x:is>
          <x:t xml:space="preserve">Mineral Deed</x:t>
        </x:is>
      </x:c>
      <x:c r="D2090" s="552" t="inlineStr">
        <x:is>
          <x:t xml:space="preserve">2251/529</x:t>
        </x:is>
      </x:c>
      <x:c r="E2090" s="653" t="n">
        <x:v>41746</x:v>
      </x:c>
      <x:c r="F2090" s="653" t="n">
        <x:v>41774</x:v>
      </x:c>
      <x:c r="G2090" s="552" t="inlineStr">
        <x:is>
          <x:t xml:space="preserve">Luther Ervin Thurman and Veronica Gentry Thurman, HW</x:t>
        </x:is>
      </x:c>
      <x:c r="H2090" s="552" t="inlineStr">
        <x:is>
          <x:t xml:space="preserve">Luther Ervin Thurman and Veronica Gentry Thurman, Trustees or their
successors in Trust under the Luther and Veronica Thurman Living Trust, a Revocable Trust,
dated April 17, 2014, and any amendments thereto</x:t>
        </x:is>
      </x:c>
      <x:c r="I2090" s="552" t="inlineStr">
        <x:is>
          <x:t xml:space="preserve">E/2 NW/4, N/2 NE/4 SW/4, NE/4 SE/4, SE/4 NE/4 of 31-12N-24W, aol</x:t>
        </x:is>
      </x:c>
      <x:c r="J2090" s="552" t="inlineStr">
        <x:is>
          <x:t xml:space="preserve">an undivided 110/260th interest in and to all of the oil, gas and other minerals (It is the intention of this instrument to convey One Hundred Ten [110] mineral acres.)</x:t>
        </x:is>
      </x:c>
      <x:c r="K2090" s="554" t="e">
        <x:f>HYPERLINK("https://okcountyrecords.com/detail/roger+mills/2014-003089","OKCountyRecords: 2014-003089")</x:f>
      </x:c>
      <x:c r="L2090" s="552" t="inlineStr">
        <x:is>
          <x:t xml:space="preserve">1, 3, 4, 7, 8</x:t>
        </x:is>
      </x:c>
      <x:c r="M2090" s="552" t="inlineStr">
        <x:is>
          <x:t xml:space="preserve">Mineral</x:t>
        </x:is>
      </x:c>
      <x:c r="N2090" s="561" t="n">
        <x:f>110/260</x:f>
        <x:v>0.4230769230769231</x:v>
      </x:c>
      <x:c r="O2090" s="556" t="n">
        <x:f>IF($L2090="","",IF(ISNUMBER(SEARCH("all",$L2090)),640,(ISNUMBER(SEARCH("1",$L2090)))*80+(ISNUMBER(SEARCH("2",$L2090)))*160+(ISNUMBER(SEARCH("3",$L2090)))*40+(ISNUMBER(SEARCH("4",$L2090)))*80+(ISNUMBER(SEARCH("5",$L2090)))*120+(ISNUMBER(SEARCH("6",$L2090)))*80+(ISNUMBER(SEARCH("7",$L2090)))*40+(ISNUMBER(SEARCH("8",$L2090)))*40))</x:f>
        <x:v>0</x:v>
      </x:c>
      <x:c r="P2090" s="654" t="n">
        <x:f>IF($M2090&lt;&gt;"Mineral","",IF(ISNUMBER($N2090),$N2090,IF(OR(ISNUMBER(SEARCH("surface",$J2090)),ISNUMBER(SEARCH("reserv",$J2090)),ISNUMBER(SEARCH("less and except",$J2090))),0,"")))</x:f>
        <x:v>0.4230769230769231</x:v>
      </x:c>
      <x:c r="Q2090" s="654" t="n">
        <x:f>IF($P2090="","",-$P2090)</x:f>
        <x:v>-0.4230769230769231</x:v>
      </x:c>
      <x:c r="R2090" s="655" t="n">
        <x:f>IF($P2090="","",$O2090*$P2090)</x:f>
        <x:v>0</x:v>
      </x:c>
      <x:c r="S2090" s="552" t="str">
        <x:f>IF($M2090="","",TRIM(IF($M2090="Mineral",IF(ISNUMBER($N2090),"Mineral; basis Conv Amt(dec). ",IF($P2090=0,"Mineral; surface-only/reserved-&gt;0 min. ","Mineral; NO AMOUNT-verify instrument. ")),$M2090&amp;" (non-mineral; excluded from mineral NMA). ")&amp;IF(OR(ISNUMBER(SEARCH("public",$G2090)),ISNUMBER(SEARCH("public",$H2090))),"FLAG: The Public placeholder-verify. ","")&amp;IF(ISNUMBER(SEARCH("all",$L2090)),"All-section coverage. ","")&amp;IF($O2090=0,"Gross acres unresolved. ","")&amp;"Gross=tract-map basis."))</x:f>
        <x:v>Mineral; basis Conv Amt(dec). Gross acres unresolved. Gross=tract-map basis.</x:v>
      </x:c>
      <x:c r="T2090" s="578" t="n"/>
      <x:c r="U2090" s="578" t="n"/>
      <x:c r="V2090" s="565" t="n"/>
      <x:c r="W2090" s="565" t="n"/>
      <x:c r="X2090" s="565" t="n"/>
      <x:c r="Y2090" s="565" t="n"/>
      <x:c r="Z2090" s="565" t="n"/>
    </x:row>
    <x:row r="2091">
      <x:c r="A2091" s="552" t="inlineStr">
        <x:is>
          <x:t xml:space="preserve">2014-004525</x:t>
        </x:is>
      </x:c>
      <x:c r="B2091" s="552" t="n"/>
      <x:c r="C2091" s="552" t="inlineStr">
        <x:is>
          <x:t xml:space="preserve">Divorce Decree</x:t>
        </x:is>
      </x:c>
      <x:c r="D2091" s="552" t="inlineStr">
        <x:is>
          <x:t xml:space="preserve">2261/255</x:t>
        </x:is>
      </x:c>
      <x:c r="E2091" s="653" t="n">
        <x:v>41782</x:v>
      </x:c>
      <x:c r="F2091" s="653" t="n">
        <x:v>41834</x:v>
      </x:c>
      <x:c r="G2091" s="552" t="inlineStr">
        <x:is>
          <x:t xml:space="preserve">Roger Mills County Court
RE: In the Matter of the Marriage of William Edgar Bryant and Kathy Lynn Bryant</x:t>
        </x:is>
      </x:c>
      <x:c r="H2091" s="552" t="inlineStr">
        <x:is>
          <x:t xml:space="preserve">William Edgar Bryant</x:t>
        </x:is>
      </x:c>
      <x:c r="I2091" s="552" t="inlineStr">
        <x:is>
          <x:t xml:space="preserve">A tract of land in Lot One (1) of Section Thirty-one (31) in Township Twelve (12) North of Range Twenty-four West of the Indian Meridian, decribed as follows: Beginning at the Northwest Corner of said Lot One (1), THENCE East 420.58 feet; THENCE South 725.00 feet; THENCE West 420.58 feet; and Thence North 725.00 feet to point of beginning, containing 7 acres, more or less, Roger Mills County, Oklahoma;</x:t>
        </x:is>
      </x:c>
      <x:c r="J2091" s="552" t="inlineStr">
        <x:is>
          <x:t xml:space="preserve">ARTI</x:t>
        </x:is>
      </x:c>
      <x:c r="K2091" s="554" t="e">
        <x:f>HYPERLINK("https://okcountyrecords.com/detail/roger+mills/2014-004525","OKCountyRecords: 2014-004525")</x:f>
      </x:c>
      <x:c r="L2091" s="552" t="inlineStr">
        <x:is>
          <x:t xml:space="preserve">Other section</x:t>
        </x:is>
      </x:c>
      <x:c r="M2091" s="552" t="inlineStr">
        <x:is>
          <x:t xml:space="preserve">Mineral</x:t>
        </x:is>
      </x:c>
      <x:c r="N2091" s="555" t="n">
        <x:v>1</x:v>
      </x:c>
      <x:c r="O2091" s="556" t="n">
        <x:f>IF($L2091="","",IF(ISNUMBER(SEARCH("all",$L2091)),640,(ISNUMBER(SEARCH("1",$L2091)))*80+(ISNUMBER(SEARCH("2",$L2091)))*160+(ISNUMBER(SEARCH("3",$L2091)))*40+(ISNUMBER(SEARCH("4",$L2091)))*80+(ISNUMBER(SEARCH("5",$L2091)))*120+(ISNUMBER(SEARCH("6",$L2091)))*80+(ISNUMBER(SEARCH("7",$L2091)))*40+(ISNUMBER(SEARCH("8",$L2091)))*40))</x:f>
        <x:v>0</x:v>
      </x:c>
      <x:c r="P2091" s="654" t="n">
        <x:f>IF($M2091&lt;&gt;"Mineral","",IF(ISNUMBER($N2091),$N2091,IF(OR(ISNUMBER(SEARCH("surface",$J2091)),ISNUMBER(SEARCH("reserv",$J2091)),ISNUMBER(SEARCH("less and except",$J2091))),0,"")))</x:f>
        <x:v>1</x:v>
      </x:c>
      <x:c r="Q2091" s="654" t="n">
        <x:f>IF($P2091="","",-$P2091)</x:f>
        <x:v>-1</x:v>
      </x:c>
      <x:c r="R2091" s="655" t="n">
        <x:f>IF($P2091="","",$O2091*$P2091)</x:f>
        <x:v>0</x:v>
      </x:c>
      <x:c r="S2091" s="552" t="str">
        <x:f>IF($M2091="","",TRIM(IF($M2091="Mineral",IF(ISNUMBER($N2091),"Mineral; basis Conv Amt(dec). ",IF($P2091=0,"Mineral; surface-only/reserved-&gt;0 min. ","Mineral; NO AMOUNT-verify instrument. ")),$M2091&amp;" (non-mineral; excluded from mineral NMA). ")&amp;IF(OR(ISNUMBER(SEARCH("public",$G2091)),ISNUMBER(SEARCH("public",$H2091))),"FLAG: The Public placeholder-verify. ","")&amp;IF(ISNUMBER(SEARCH("all",$L2091)),"All-section coverage. ","")&amp;IF($O2091=0,"Gross acres unresolved. ","")&amp;"Gross=tract-map basis."))</x:f>
        <x:v>Mineral; basis Conv Amt(dec). Gross acres unresolved. Gross=tract-map basis.</x:v>
      </x:c>
      <x:c r="T2091" s="578" t="n"/>
      <x:c r="U2091" s="578" t="n"/>
      <x:c r="V2091" s="565" t="n"/>
      <x:c r="W2091" s="565" t="n"/>
      <x:c r="X2091" s="565" t="n"/>
      <x:c r="Y2091" s="565" t="n"/>
      <x:c r="Z2091" s="565" t="n"/>
    </x:row>
    <x:row r="2092">
      <x:c r="A2092" s="552" t="inlineStr">
        <x:is>
          <x:t xml:space="preserve">2015-002747</x:t>
        </x:is>
      </x:c>
      <x:c r="B2092" s="552" t="n"/>
      <x:c r="C2092" s="552" t="inlineStr">
        <x:is>
          <x:t xml:space="preserve">Assignment</x:t>
        </x:is>
      </x:c>
      <x:c r="D2092" s="552" t="inlineStr">
        <x:is>
          <x:t xml:space="preserve">2307/1</x:t>
        </x:is>
      </x:c>
      <x:c r="E2092" s="653" t="n">
        <x:v>41821</x:v>
      </x:c>
      <x:c r="F2092" s="653" t="n">
        <x:v>42250</x:v>
      </x:c>
      <x:c r="G2092" s="552" t="inlineStr">
        <x:is>
          <x:t xml:space="preserve">Chesapeake Exploration</x:t>
        </x:is>
      </x:c>
      <x:c r="H2092" s="552" t="inlineStr">
        <x:is>
          <x:t xml:space="preserve">Fourpoint Energy, LLC</x:t>
        </x:is>
      </x:c>
      <x:c r="I2092" s="552" t="inlineStr">
        <x:is>
          <x:t xml:space="preserve">All of 31-12N-24W, aol</x:t>
        </x:is>
      </x:c>
      <x:c r="J2092" s="552" t="inlineStr">
        <x:is>
          <x:t xml:space="preserve">ARTI</x:t>
        </x:is>
      </x:c>
      <x:c r="K2092" s="554" t="e">
        <x:f>HYPERLINK("https://okcountyrecords.com/detail/roger+mills/2015-002747","OKCountyRecords: 2015-002747")</x:f>
      </x:c>
      <x:c r="L2092" s="552" t="inlineStr">
        <x:is>
          <x:t xml:space="preserve">All (1-8)</x:t>
        </x:is>
      </x:c>
      <x:c r="M2092" s="552" t="inlineStr">
        <x:is>
          <x:t xml:space="preserve">Leasehold</x:t>
        </x:is>
      </x:c>
      <x:c r="N2092" s="555" t="n"/>
      <x:c r="O2092" s="556" t="n">
        <x:f>IF($L2092="","",IF(ISNUMBER(SEARCH("all",$L2092)),640,(ISNUMBER(SEARCH("1",$L2092)))*80+(ISNUMBER(SEARCH("2",$L2092)))*160+(ISNUMBER(SEARCH("3",$L2092)))*40+(ISNUMBER(SEARCH("4",$L2092)))*80+(ISNUMBER(SEARCH("5",$L2092)))*120+(ISNUMBER(SEARCH("6",$L2092)))*80+(ISNUMBER(SEARCH("7",$L2092)))*40+(ISNUMBER(SEARCH("8",$L2092)))*40))</x:f>
        <x:v>640</x:v>
      </x:c>
      <x:c r="P2092" s="654" t="str">
        <x:f>IF($M2092&lt;&gt;"Mineral","",IF(ISNUMBER($N2092),$N2092,IF(OR(ISNUMBER(SEARCH("surface",$J2092)),ISNUMBER(SEARCH("reserv",$J2092)),ISNUMBER(SEARCH("less and except",$J2092))),0,"")))</x:f>
      </x:c>
      <x:c r="Q2092" s="654" t="str">
        <x:f>IF($P2092="","",-$P2092)</x:f>
      </x:c>
      <x:c r="R2092" s="655" t="str">
        <x:f>IF($P2092="","",$O2092*$P2092)</x:f>
      </x:c>
      <x:c r="S2092" s="552" t="str">
        <x:f>IF($M2092="","",TRIM(IF($M2092="Mineral",IF(ISNUMBER($N2092),"Mineral; basis Conv Amt(dec). ",IF($P2092=0,"Mineral; surface-only/reserved-&gt;0 min. ","Mineral; NO AMOUNT-verify instrument. ")),$M2092&amp;" (non-mineral; excluded from mineral NMA). ")&amp;IF(OR(ISNUMBER(SEARCH("public",$G2092)),ISNUMBER(SEARCH("public",$H2092))),"FLAG: The Public placeholder-verify. ","")&amp;IF(ISNUMBER(SEARCH("all",$L2092)),"All-section coverage. ","")&amp;IF($O2092=0,"Gross acres unresolved. ","")&amp;"Gross=tract-map basis."))</x:f>
        <x:v>Leasehold (non-mineral; excluded from mineral NMA). All-section coverage. Gross=tract-map basis.</x:v>
      </x:c>
      <x:c r="T2092" s="577" t="n"/>
      <x:c r="U2092" s="578" t="n"/>
      <x:c r="V2092" s="565" t="n"/>
      <x:c r="W2092" s="565" t="n"/>
      <x:c r="X2092" s="565" t="n"/>
      <x:c r="Y2092" s="565" t="n"/>
      <x:c r="Z2092" s="565" t="n"/>
    </x:row>
    <x:row r="2093">
      <x:c r="A2093" s="552" t="inlineStr">
        <x:is>
          <x:t xml:space="preserve">2014-005920</x:t>
        </x:is>
      </x:c>
      <x:c r="B2093" s="552" t="n"/>
      <x:c r="C2093" s="552" t="inlineStr">
        <x:is>
          <x:t xml:space="preserve">Assignment</x:t>
        </x:is>
      </x:c>
      <x:c r="D2093" s="552" t="inlineStr">
        <x:is>
          <x:t xml:space="preserve">2270/316</x:t>
        </x:is>
      </x:c>
      <x:c r="E2093" s="653" t="n">
        <x:v>41821</x:v>
      </x:c>
      <x:c r="F2093" s="653" t="n">
        <x:v>41907</x:v>
      </x:c>
      <x:c r="G2093" s="552" t="inlineStr">
        <x:is>
          <x:t xml:space="preserve">Newfield Exploartion Company,
Newfield Exploration Mid Continent, Inc.</x:t>
        </x:is>
      </x:c>
      <x:c r="H2093" s="552" t="inlineStr">
        <x:is>
          <x:t xml:space="preserve">Templar Energy, LLC</x:t>
        </x:is>
      </x:c>
      <x:c r="I2093" s="552" t="inlineStr">
        <x:is>
          <x:t xml:space="preserve">All of 31-12N-24W, aol</x:t>
        </x:is>
      </x:c>
      <x:c r="J2093" s="552" t="inlineStr">
        <x:is>
          <x:t xml:space="preserve">ARTI</x:t>
        </x:is>
      </x:c>
      <x:c r="K2093" s="554" t="e">
        <x:f>HYPERLINK("https://okcountyrecords.com/detail/roger+mills/2014-005920","OKCountyRecords: 2014-005920")</x:f>
      </x:c>
      <x:c r="L2093" s="552" t="inlineStr">
        <x:is>
          <x:t xml:space="preserve">All (1-8)</x:t>
        </x:is>
      </x:c>
      <x:c r="M2093" s="552" t="inlineStr">
        <x:is>
          <x:t xml:space="preserve">Leasehold</x:t>
        </x:is>
      </x:c>
      <x:c r="N2093" s="555" t="n"/>
      <x:c r="O2093" s="556" t="n">
        <x:f>IF($L2093="","",IF(ISNUMBER(SEARCH("all",$L2093)),640,(ISNUMBER(SEARCH("1",$L2093)))*80+(ISNUMBER(SEARCH("2",$L2093)))*160+(ISNUMBER(SEARCH("3",$L2093)))*40+(ISNUMBER(SEARCH("4",$L2093)))*80+(ISNUMBER(SEARCH("5",$L2093)))*120+(ISNUMBER(SEARCH("6",$L2093)))*80+(ISNUMBER(SEARCH("7",$L2093)))*40+(ISNUMBER(SEARCH("8",$L2093)))*40))</x:f>
        <x:v>640</x:v>
      </x:c>
      <x:c r="P2093" s="654" t="str">
        <x:f>IF($M2093&lt;&gt;"Mineral","",IF(ISNUMBER($N2093),$N2093,IF(OR(ISNUMBER(SEARCH("surface",$J2093)),ISNUMBER(SEARCH("reserv",$J2093)),ISNUMBER(SEARCH("less and except",$J2093))),0,"")))</x:f>
      </x:c>
      <x:c r="Q2093" s="654" t="str">
        <x:f>IF($P2093="","",-$P2093)</x:f>
      </x:c>
      <x:c r="R2093" s="655" t="str">
        <x:f>IF($P2093="","",$O2093*$P2093)</x:f>
      </x:c>
      <x:c r="S2093" s="552" t="str">
        <x:f>IF($M2093="","",TRIM(IF($M2093="Mineral",IF(ISNUMBER($N2093),"Mineral; basis Conv Amt(dec). ",IF($P2093=0,"Mineral; surface-only/reserved-&gt;0 min. ","Mineral; NO AMOUNT-verify instrument. ")),$M2093&amp;" (non-mineral; excluded from mineral NMA). ")&amp;IF(OR(ISNUMBER(SEARCH("public",$G2093)),ISNUMBER(SEARCH("public",$H2093))),"FLAG: The Public placeholder-verify. ","")&amp;IF(ISNUMBER(SEARCH("all",$L2093)),"All-section coverage. ","")&amp;IF($O2093=0,"Gross acres unresolved. ","")&amp;"Gross=tract-map basis."))</x:f>
        <x:v>Leasehold (non-mineral; excluded from mineral NMA). All-section coverage. Gross=tract-map basis.</x:v>
      </x:c>
      <x:c r="T2093" s="577" t="n"/>
      <x:c r="U2093" s="578" t="n"/>
      <x:c r="V2093" s="565" t="n"/>
      <x:c r="W2093" s="565" t="n"/>
      <x:c r="X2093" s="565" t="n"/>
      <x:c r="Y2093" s="565" t="n"/>
      <x:c r="Z2093" s="565" t="n"/>
    </x:row>
    <x:row r="2094">
      <x:c r="A2094" s="552" t="inlineStr">
        <x:is>
          <x:t xml:space="preserve">2014-004286</x:t>
        </x:is>
      </x:c>
      <x:c r="B2094" s="552" t="n"/>
      <x:c r="C2094" s="552" t="inlineStr">
        <x:is>
          <x:t xml:space="preserve">Decree of Settlement of Final Account, Determination of Heirs, Legatees and Devisees of Decedent, and Decree of Distribution and Discharge</x:t>
        </x:is>
      </x:c>
      <x:c r="D2094" s="552" t="inlineStr">
        <x:is>
          <x:t xml:space="preserve">2259/397</x:t>
        </x:is>
      </x:c>
      <x:c r="E2094" s="653" t="n">
        <x:v>41821</x:v>
      </x:c>
      <x:c r="F2094" s="653" t="n">
        <x:v>41821</x:v>
      </x:c>
      <x:c r="G2094" s="552" t="inlineStr">
        <x:is>
          <x:t xml:space="preserve">Roger Mills County Court
RE: In the Matter of the Estate of Lyle Terrence Ibeling, Deceased</x:t>
        </x:is>
      </x:c>
      <x:c r="H2094" s="552" t="inlineStr">
        <x:is>
          <x:t xml:space="preserve">Michelle Ibeling, 1/4,
Joel Ibeling, 1/4,
Janelle Ibeling Ness, 1/4,
Cassandra Wynia, 1/4</x:t>
        </x:is>
      </x:c>
      <x:c r="I2094" s="552" t="inlineStr">
        <x:is>
          <x:t xml:space="preserve">NW/4 SE/4, S/2 SE/4, SW/4 NE/4 of 31-12N-24W, aol</x:t>
        </x:is>
      </x:c>
      <x:c r="J2094" s="552" t="inlineStr">
        <x:is>
          <x:t xml:space="preserve">ARTI, An undivided 1/791.47 interest (1 net mineral acre, more or less), in and to all of the OIL, GAS and OTHER MINERALS in and under 2 sections</x:t>
        </x:is>
      </x:c>
      <x:c r="K2094" s="554" t="e">
        <x:f>HYPERLINK("https://okcountyrecords.com/detail/roger+mills/2014-004286","OKCountyRecords: 2014-004286")</x:f>
      </x:c>
      <x:c r="L2094" s="552" t="n">
        <x:v>2</x:v>
      </x:c>
      <x:c r="M2094" s="552" t="inlineStr">
        <x:is>
          <x:t xml:space="preserve">Mineral</x:t>
        </x:is>
      </x:c>
      <x:c r="N2094" s="555" t="n">
        <x:v>1</x:v>
      </x:c>
      <x:c r="O2094" s="556" t="n">
        <x:f>IF($L2094="","",IF(ISNUMBER(SEARCH("all",$L2094)),640,(ISNUMBER(SEARCH("1",$L2094)))*80+(ISNUMBER(SEARCH("2",$L2094)))*160+(ISNUMBER(SEARCH("3",$L2094)))*40+(ISNUMBER(SEARCH("4",$L2094)))*80+(ISNUMBER(SEARCH("5",$L2094)))*120+(ISNUMBER(SEARCH("6",$L2094)))*80+(ISNUMBER(SEARCH("7",$L2094)))*40+(ISNUMBER(SEARCH("8",$L2094)))*40))</x:f>
        <x:v>0</x:v>
      </x:c>
      <x:c r="P2094" s="654" t="n">
        <x:f>IF($M2094&lt;&gt;"Mineral","",IF(ISNUMBER($N2094),$N2094,IF(OR(ISNUMBER(SEARCH("surface",$J2094)),ISNUMBER(SEARCH("reserv",$J2094)),ISNUMBER(SEARCH("less and except",$J2094))),0,"")))</x:f>
        <x:v>1</x:v>
      </x:c>
      <x:c r="Q2094" s="654" t="n">
        <x:f>IF($P2094="","",-$P2094)</x:f>
        <x:v>-1</x:v>
      </x:c>
      <x:c r="R2094" s="655" t="n">
        <x:f>IF($P2094="","",$O2094*$P2094)</x:f>
        <x:v>0</x:v>
      </x:c>
      <x:c r="S2094" s="552" t="str">
        <x:f>IF($M2094="","",TRIM(IF($M2094="Mineral",IF(ISNUMBER($N2094),"Mineral; basis Conv Amt(dec). ",IF($P2094=0,"Mineral; surface-only/reserved-&gt;0 min. ","Mineral; NO AMOUNT-verify instrument. ")),$M2094&amp;" (non-mineral; excluded from mineral NMA). ")&amp;IF(OR(ISNUMBER(SEARCH("public",$G2094)),ISNUMBER(SEARCH("public",$H2094))),"FLAG: The Public placeholder-verify. ","")&amp;IF(ISNUMBER(SEARCH("all",$L2094)),"All-section coverage. ","")&amp;IF($O2094=0,"Gross acres unresolved. ","")&amp;"Gross=tract-map basis."))</x:f>
        <x:v>Mineral; basis Conv Amt(dec). Gross acres unresolved. Gross=tract-map basis.</x:v>
      </x:c>
      <x:c r="T2094" s="578" t="n"/>
      <x:c r="U2094" s="578" t="n"/>
      <x:c r="V2094" s="565" t="n"/>
      <x:c r="W2094" s="565" t="n"/>
      <x:c r="X2094" s="565" t="n"/>
      <x:c r="Y2094" s="565" t="n"/>
      <x:c r="Z2094" s="565" t="n"/>
    </x:row>
    <x:row r="2095">
      <x:c r="A2095" s="552" t="inlineStr">
        <x:is>
          <x:t xml:space="preserve">2014-005899</x:t>
        </x:is>
      </x:c>
      <x:c r="B2095" s="552" t="n"/>
      <x:c r="C2095" s="552" t="inlineStr">
        <x:is>
          <x:t xml:space="preserve">Mineral Deed</x:t>
        </x:is>
      </x:c>
      <x:c r="D2095" s="552" t="inlineStr">
        <x:is>
          <x:t xml:space="preserve">2270/252</x:t>
        </x:is>
      </x:c>
      <x:c r="E2095" s="653" t="n">
        <x:v>41851</x:v>
      </x:c>
      <x:c r="F2095" s="653" t="n">
        <x:v>41905</x:v>
      </x:c>
      <x:c r="G2095" s="552" t="inlineStr">
        <x:is>
          <x:t xml:space="preserve">Eddie Tom Lakey and Marinita Lakey, HW</x:t>
        </x:is>
      </x:c>
      <x:c r="H2095" s="552" t="inlineStr">
        <x:is>
          <x:t xml:space="preserve">The Eddie Tom Lakey and Marinita Ann Lakey Revocable Trust dated June 1, 2014</x:t>
        </x:is>
      </x:c>
      <x:c r="I2095" s="552" t="inlineStr">
        <x:is>
          <x:t xml:space="preserve">NW/4 of 31-12N-24W, aol</x:t>
        </x:is>
      </x:c>
      <x:c r="J2095" s="552" t="inlineStr">
        <x:is>
          <x:t xml:space="preserve">ARTI</x:t>
        </x:is>
      </x:c>
      <x:c r="K2095" s="554" t="e">
        <x:f>HYPERLINK("https://okcountyrecords.com/detail/roger+mills/2014-005899","OKCountyRecords: 2014-005899")</x:f>
      </x:c>
      <x:c r="L2095" s="552" t="inlineStr">
        <x:is>
          <x:t xml:space="preserve">4, 5</x:t>
        </x:is>
      </x:c>
      <x:c r="M2095" s="552" t="inlineStr">
        <x:is>
          <x:t xml:space="preserve">Mineral</x:t>
        </x:is>
      </x:c>
      <x:c r="N2095" s="555" t="n">
        <x:v>1</x:v>
      </x:c>
      <x:c r="O2095" s="556" t="n">
        <x:f>IF($L2095="","",IF(ISNUMBER(SEARCH("all",$L2095)),640,(ISNUMBER(SEARCH("1",$L2095)))*80+(ISNUMBER(SEARCH("2",$L2095)))*160+(ISNUMBER(SEARCH("3",$L2095)))*40+(ISNUMBER(SEARCH("4",$L2095)))*80+(ISNUMBER(SEARCH("5",$L2095)))*120+(ISNUMBER(SEARCH("6",$L2095)))*80+(ISNUMBER(SEARCH("7",$L2095)))*40+(ISNUMBER(SEARCH("8",$L2095)))*40))</x:f>
        <x:v>0</x:v>
      </x:c>
      <x:c r="P2095" s="654" t="n">
        <x:f>IF($M2095&lt;&gt;"Mineral","",IF(ISNUMBER($N2095),$N2095,IF(OR(ISNUMBER(SEARCH("surface",$J2095)),ISNUMBER(SEARCH("reserv",$J2095)),ISNUMBER(SEARCH("less and except",$J2095))),0,"")))</x:f>
        <x:v>1</x:v>
      </x:c>
      <x:c r="Q2095" s="654" t="n">
        <x:f>IF($P2095="","",-$P2095)</x:f>
        <x:v>-1</x:v>
      </x:c>
      <x:c r="R2095" s="655" t="n">
        <x:f>IF($P2095="","",$O2095*$P2095)</x:f>
        <x:v>0</x:v>
      </x:c>
      <x:c r="S2095" s="552" t="str">
        <x:f>IF($M2095="","",TRIM(IF($M2095="Mineral",IF(ISNUMBER($N2095),"Mineral; basis Conv Amt(dec). ",IF($P2095=0,"Mineral; surface-only/reserved-&gt;0 min. ","Mineral; NO AMOUNT-verify instrument. ")),$M2095&amp;" (non-mineral; excluded from mineral NMA). ")&amp;IF(OR(ISNUMBER(SEARCH("public",$G2095)),ISNUMBER(SEARCH("public",$H2095))),"FLAG: The Public placeholder-verify. ","")&amp;IF(ISNUMBER(SEARCH("all",$L2095)),"All-section coverage. ","")&amp;IF($O2095=0,"Gross acres unresolved. ","")&amp;"Gross=tract-map basis."))</x:f>
        <x:v>Mineral; basis Conv Amt(dec). Gross acres unresolved. Gross=tract-map basis.</x:v>
      </x:c>
      <x:c r="T2095" s="578" t="n"/>
      <x:c r="U2095" s="578" t="n"/>
      <x:c r="V2095" s="565" t="n"/>
      <x:c r="W2095" s="565" t="n"/>
      <x:c r="X2095" s="565" t="n"/>
      <x:c r="Y2095" s="565" t="n"/>
      <x:c r="Z2095" s="565" t="n"/>
    </x:row>
    <x:row r="2096">
      <x:c r="A2096" s="552" t="inlineStr">
        <x:is>
          <x:t xml:space="preserve">2014-006293</x:t>
        </x:is>
      </x:c>
      <x:c r="B2096" s="552" t="n"/>
      <x:c r="C2096" s="552" t="inlineStr">
        <x:is>
          <x:t xml:space="preserve">Mineral Deed</x:t>
        </x:is>
      </x:c>
      <x:c r="D2096" s="552" t="inlineStr">
        <x:is>
          <x:t xml:space="preserve">2273/223</x:t>
        </x:is>
      </x:c>
      <x:c r="E2096" s="653" t="n">
        <x:v>41926</x:v>
      </x:c>
      <x:c r="F2096" s="653" t="n">
        <x:v>41927</x:v>
      </x:c>
      <x:c r="G2096" s="552" t="inlineStr">
        <x:is>
          <x:t xml:space="preserve">Joe Britton, same person as Joe H. Britton and Joe Harold Britton, Grantor, joined by his wife, Etta Britton</x:t>
        </x:is>
      </x:c>
      <x:c r="H2096" s="552" t="inlineStr">
        <x:is>
          <x:t xml:space="preserve">Linda C. Browning</x:t>
        </x:is>
      </x:c>
      <x:c r="I2096" s="552" t="inlineStr">
        <x:is>
          <x:t xml:space="preserve">E/2 NW/4, N/2 NE/4, NE/4 SE/4, SE/4 NE/4 of 31-12N-24W, aol</x:t>
        </x:is>
      </x:c>
      <x:c r="J2096" s="552" t="inlineStr">
        <x:is>
          <x:t xml:space="preserve">2.30769 min. ac. In 31-12N-24W
all right, title and interest of Grantor in the oil, gas and other minerals and mineral rights in and under 2 sections</x:t>
        </x:is>
      </x:c>
      <x:c r="K2096" s="554" t="e">
        <x:f>HYPERLINK("https://okcountyrecords.com/detail/roger+mills/2014-006293","OKCountyRecords: 2014-006293")</x:f>
      </x:c>
      <x:c r="L2096" s="552" t="inlineStr">
        <x:is>
          <x:t xml:space="preserve">1, 3, 4, 8</x:t>
        </x:is>
      </x:c>
      <x:c r="M2096" s="552" t="inlineStr">
        <x:is>
          <x:t xml:space="preserve">Mineral</x:t>
        </x:is>
      </x:c>
      <x:c r="N2096" s="561" t="n">
        <x:v>1</x:v>
      </x:c>
      <x:c r="O2096" s="556" t="n">
        <x:f>IF($L2096="","",IF(ISNUMBER(SEARCH("all",$L2096)),640,(ISNUMBER(SEARCH("1",$L2096)))*80+(ISNUMBER(SEARCH("2",$L2096)))*160+(ISNUMBER(SEARCH("3",$L2096)))*40+(ISNUMBER(SEARCH("4",$L2096)))*80+(ISNUMBER(SEARCH("5",$L2096)))*120+(ISNUMBER(SEARCH("6",$L2096)))*80+(ISNUMBER(SEARCH("7",$L2096)))*40+(ISNUMBER(SEARCH("8",$L2096)))*40))</x:f>
        <x:v>0</x:v>
      </x:c>
      <x:c r="P2096" s="654" t="n">
        <x:f>IF($M2096&lt;&gt;"Mineral","",IF(ISNUMBER($N2096),$N2096,IF(OR(ISNUMBER(SEARCH("surface",$J2096)),ISNUMBER(SEARCH("reserv",$J2096)),ISNUMBER(SEARCH("less and except",$J2096))),0,"")))</x:f>
        <x:v>1</x:v>
      </x:c>
      <x:c r="Q2096" s="654" t="n">
        <x:f>IF($P2096="","",-$P2096)</x:f>
        <x:v>-1</x:v>
      </x:c>
      <x:c r="R2096" s="655" t="n">
        <x:f>IF($P2096="","",$O2096*$P2096)</x:f>
        <x:v>0</x:v>
      </x:c>
      <x:c r="S2096" s="552" t="str">
        <x:f>IF($M2096="","",TRIM(IF($M2096="Mineral",IF(ISNUMBER($N2096),"Mineral; basis Conv Amt(dec). ",IF($P2096=0,"Mineral; surface-only/reserved-&gt;0 min. ","Mineral; NO AMOUNT-verify instrument. ")),$M2096&amp;" (non-mineral; excluded from mineral NMA). ")&amp;IF(OR(ISNUMBER(SEARCH("public",$G2096)),ISNUMBER(SEARCH("public",$H2096))),"FLAG: The Public placeholder-verify. ","")&amp;IF(ISNUMBER(SEARCH("all",$L2096)),"All-section coverage. ","")&amp;IF($O2096=0,"Gross acres unresolved. ","")&amp;"Gross=tract-map basis."))</x:f>
        <x:v>Mineral; basis Conv Amt(dec). Gross acres unresolved. Gross=tract-map basis.</x:v>
      </x:c>
      <x:c r="T2096" s="578" t="n"/>
      <x:c r="U2096" s="578" t="n"/>
      <x:c r="V2096" s="565" t="n"/>
      <x:c r="W2096" s="565" t="n"/>
      <x:c r="X2096" s="565" t="n"/>
      <x:c r="Y2096" s="565" t="n"/>
      <x:c r="Z2096" s="565" t="n"/>
    </x:row>
    <x:row r="2097">
      <x:c r="A2097" s="552" t="inlineStr">
        <x:is>
          <x:t xml:space="preserve">2014-006352</x:t>
        </x:is>
      </x:c>
      <x:c r="B2097" s="552" t="n"/>
      <x:c r="C2097" s="552" t="inlineStr">
        <x:is>
          <x:t xml:space="preserve">Affidavit of Identity</x:t>
        </x:is>
      </x:c>
      <x:c r="D2097" s="552" t="inlineStr">
        <x:is>
          <x:t xml:space="preserve">2273/539</x:t>
        </x:is>
      </x:c>
      <x:c r="E2097" s="653" t="n">
        <x:v>41926</x:v>
      </x:c>
      <x:c r="F2097" s="653" t="n">
        <x:v>41932</x:v>
      </x:c>
      <x:c r="G2097" s="552" t="inlineStr">
        <x:is>
          <x:t xml:space="preserve">Jon Wilkerson</x:t>
        </x:is>
      </x:c>
      <x:c r="H2097" s="552" t="inlineStr">
        <x:is>
          <x:t xml:space="preserve">The Public
RE: Linda Fields, aka Linda Klipfenstein, aka Linda Mize</x:t>
        </x:is>
      </x:c>
      <x:c r="I2097" s="552" t="inlineStr">
        <x:is>
          <x:t xml:space="preserve">All of 31-12N-24W, aol</x:t>
        </x:is>
      </x:c>
      <x:c r="J2097" s="552" t="inlineStr">
        <x:is>
          <x:t xml:space="preserve">See instrument</x:t>
        </x:is>
      </x:c>
      <x:c r="K2097" s="554" t="e">
        <x:f>HYPERLINK("https://okcountyrecords.com/detail/roger+mills/2014-006352","OKCountyRecords: 2014-006352")</x:f>
      </x:c>
      <x:c r="L2097" s="552" t="inlineStr">
        <x:is>
          <x:t xml:space="preserve">All (1-8)</x:t>
        </x:is>
      </x:c>
      <x:c r="M2097" s="552" t="inlineStr">
        <x:is>
          <x:t xml:space="preserve">Other</x:t>
        </x:is>
      </x:c>
      <x:c r="N2097" s="555" t="n"/>
      <x:c r="O2097" s="556" t="n">
        <x:f>IF($L2097="","",IF(ISNUMBER(SEARCH("all",$L2097)),640,(ISNUMBER(SEARCH("1",$L2097)))*80+(ISNUMBER(SEARCH("2",$L2097)))*160+(ISNUMBER(SEARCH("3",$L2097)))*40+(ISNUMBER(SEARCH("4",$L2097)))*80+(ISNUMBER(SEARCH("5",$L2097)))*120+(ISNUMBER(SEARCH("6",$L2097)))*80+(ISNUMBER(SEARCH("7",$L2097)))*40+(ISNUMBER(SEARCH("8",$L2097)))*40))</x:f>
        <x:v>640</x:v>
      </x:c>
      <x:c r="P2097" s="654" t="str">
        <x:f>IF($M2097&lt;&gt;"Mineral","",IF(ISNUMBER($N2097),$N2097,IF(OR(ISNUMBER(SEARCH("surface",$J2097)),ISNUMBER(SEARCH("reserv",$J2097)),ISNUMBER(SEARCH("less and except",$J2097))),0,"")))</x:f>
      </x:c>
      <x:c r="Q2097" s="654" t="str">
        <x:f>IF($P2097="","",-$P2097)</x:f>
      </x:c>
      <x:c r="R2097" s="655" t="str">
        <x:f>IF($P2097="","",$O2097*$P2097)</x:f>
      </x:c>
      <x:c r="S2097" s="552" t="str">
        <x:f>IF($M2097="","",TRIM(IF($M2097="Mineral",IF(ISNUMBER($N2097),"Mineral; basis Conv Amt(dec). ",IF($P2097=0,"Mineral; surface-only/reserved-&gt;0 min. ","Mineral; VERIFY — NEED full instrument image for conveyed amount. ")),$M2097&amp;" (non-mineral; excluded from mineral NMA). ")&amp;IF(OR(ISNUMBER(SEARCH("public",$G2097)),ISNUMBER(SEARCH("public",$H2097))),"FLAG: The Public placeholder; VERIFY — NEED source confirmation. ","")&amp;IF(ISNUMBER(SEARCH("all",$L2097)),"All-section coverage. ","")&amp;IF($O2097=0,"Gross acres unresolved. ","")&amp;"Gross=tract-map basis."))</x:f>
        <x:v>Other (non-mineral; excluded from mineral NMA). FLAG: The Public placeholder; VERIFY — NEED source confirmation. All-section coverage. Gross=tract-map basis.</x:v>
      </x:c>
      <x:c r="T2097" s="578" t="inlineStr">
        <x:is>
          <x:t xml:space="preserve">REVIEW</x:t>
        </x:is>
      </x:c>
      <x:c r="U2097" s="578" t="inlineStr">
        <x:is>
          <x:t xml:space="preserve">NEED: confirm conveyed mineral acreage from instrument image — named party present under 'The Public' (affidavit/notice); placeholder identity resolved.</x:t>
        </x:is>
      </x:c>
      <x:c r="V2097" s="565" t="n"/>
      <x:c r="W2097" s="565" t="n"/>
      <x:c r="X2097" s="565" t="n"/>
      <x:c r="Y2097" s="565" t="n"/>
      <x:c r="Z2097" s="565" t="n"/>
    </x:row>
    <x:row r="2098">
      <x:c r="A2098" s="552" t="inlineStr">
        <x:is>
          <x:t xml:space="preserve">2015-002749</x:t>
        </x:is>
      </x:c>
      <x:c r="B2098" s="552" t="n"/>
      <x:c r="C2098" s="552" t="inlineStr">
        <x:is>
          <x:t xml:space="preserve">Assignment</x:t>
        </x:is>
      </x:c>
      <x:c r="D2098" s="552" t="inlineStr">
        <x:is>
          <x:t xml:space="preserve">2308/23</x:t>
        </x:is>
      </x:c>
      <x:c r="E2098" s="653" t="n">
        <x:v>41944</x:v>
      </x:c>
      <x:c r="F2098" s="653" t="n">
        <x:v>42250</x:v>
      </x:c>
      <x:c r="G2098" s="552" t="inlineStr">
        <x:is>
          <x:t xml:space="preserve">Chk Cleveland Tonkawa</x:t>
        </x:is>
      </x:c>
      <x:c r="H2098" s="552" t="inlineStr">
        <x:is>
          <x:t xml:space="preserve">Fourpoint Energy, LLC</x:t>
        </x:is>
      </x:c>
      <x:c r="I2098" s="552" t="inlineStr">
        <x:is>
          <x:t xml:space="preserve">All of 31-12N-24W, aol</x:t>
        </x:is>
      </x:c>
      <x:c r="J2098" s="552" t="inlineStr">
        <x:is>
          <x:t xml:space="preserve">ARTI</x:t>
        </x:is>
      </x:c>
      <x:c r="K2098" s="554" t="e">
        <x:f>HYPERLINK("https://okcountyrecords.com/detail/roger+mills/2015-002749","OKCountyRecords: 2015-002749")</x:f>
      </x:c>
      <x:c r="L2098" s="552" t="inlineStr">
        <x:is>
          <x:t xml:space="preserve">All (1-8)</x:t>
        </x:is>
      </x:c>
      <x:c r="M2098" s="552" t="inlineStr">
        <x:is>
          <x:t xml:space="preserve">Leasehold</x:t>
        </x:is>
      </x:c>
      <x:c r="N2098" s="555" t="n"/>
      <x:c r="O2098" s="556" t="n">
        <x:f>IF($L2098="","",IF(ISNUMBER(SEARCH("all",$L2098)),640,(ISNUMBER(SEARCH("1",$L2098)))*80+(ISNUMBER(SEARCH("2",$L2098)))*160+(ISNUMBER(SEARCH("3",$L2098)))*40+(ISNUMBER(SEARCH("4",$L2098)))*80+(ISNUMBER(SEARCH("5",$L2098)))*120+(ISNUMBER(SEARCH("6",$L2098)))*80+(ISNUMBER(SEARCH("7",$L2098)))*40+(ISNUMBER(SEARCH("8",$L2098)))*40))</x:f>
        <x:v>640</x:v>
      </x:c>
      <x:c r="P2098" s="654" t="str">
        <x:f>IF($M2098&lt;&gt;"Mineral","",IF(ISNUMBER($N2098),$N2098,IF(OR(ISNUMBER(SEARCH("surface",$J2098)),ISNUMBER(SEARCH("reserv",$J2098)),ISNUMBER(SEARCH("less and except",$J2098))),0,"")))</x:f>
      </x:c>
      <x:c r="Q2098" s="654" t="str">
        <x:f>IF($P2098="","",-$P2098)</x:f>
      </x:c>
      <x:c r="R2098" s="655" t="str">
        <x:f>IF($P2098="","",$O2098*$P2098)</x:f>
      </x:c>
      <x:c r="S2098" s="552" t="str">
        <x:f>IF($M2098="","",TRIM(IF($M2098="Mineral",IF(ISNUMBER($N2098),"Mineral; basis Conv Amt(dec). ",IF($P2098=0,"Mineral; surface-only/reserved-&gt;0 min. ","Mineral; NO AMOUNT-verify instrument. ")),$M2098&amp;" (non-mineral; excluded from mineral NMA). ")&amp;IF(OR(ISNUMBER(SEARCH("public",$G2098)),ISNUMBER(SEARCH("public",$H2098))),"FLAG: The Public placeholder-verify. ","")&amp;IF(ISNUMBER(SEARCH("all",$L2098)),"All-section coverage. ","")&amp;IF($O2098=0,"Gross acres unresolved. ","")&amp;"Gross=tract-map basis."))</x:f>
        <x:v>Leasehold (non-mineral; excluded from mineral NMA). All-section coverage. Gross=tract-map basis.</x:v>
      </x:c>
      <x:c r="T2098" s="577" t="n"/>
      <x:c r="U2098" s="578" t="n"/>
      <x:c r="V2098" s="565" t="n"/>
      <x:c r="W2098" s="565" t="n"/>
      <x:c r="X2098" s="565" t="n"/>
      <x:c r="Y2098" s="565" t="n"/>
      <x:c r="Z2098" s="565" t="n"/>
    </x:row>
    <x:row r="2099">
      <x:c r="A2099" s="552" t="inlineStr">
        <x:is>
          <x:t xml:space="preserve">2015-000058</x:t>
        </x:is>
      </x:c>
      <x:c r="B2099" s="552" t="n"/>
      <x:c r="C2099" s="552" t="inlineStr">
        <x:is>
          <x:t xml:space="preserve">Assignment</x:t>
        </x:is>
      </x:c>
      <x:c r="D2099" s="552" t="inlineStr">
        <x:is>
          <x:t xml:space="preserve">2282/234</x:t>
        </x:is>
      </x:c>
      <x:c r="E2099" s="653" t="n">
        <x:v>41988</x:v>
      </x:c>
      <x:c r="F2099" s="653" t="n">
        <x:v>42011</x:v>
      </x:c>
      <x:c r="G2099" s="552" t="inlineStr">
        <x:is>
          <x:t xml:space="preserve">Linn Energy Holdings, LLC, a Delaware limited liability company ("LEH"), Linn Midstream, LLC, a Delaware limited liability company ("LINN Midstream"), 
Linn Exploration Mid-Continent, LLC a Delaware limited liability company ("Linn Exploration"), 
Mid-Continent II, LLC, Delaware limited liability company ("MidCon Ir'), Mid-Continent I, LLC, Delaware
limited liability company ("MidCon r"), 
Linn Operating, Inc., a Delaware corporation ("LOr' and, collectively with LEH, Linn Exploration, MidCon II, MidCon I and LINN Midstream, "Assignor")</x:t>
        </x:is>
      </x:c>
      <x:c r="H2099" s="552" t="inlineStr">
        <x:is>
          <x:t xml:space="preserve">EnerVest Energy Institutional Fund XIII-A, L.P., a Delaware
limited partnership ("EnerVest XIII-A"), 
EnerVest Energy Institutional Fund XIII-WIB, L.P., a
Delaware limited partnership ("EnerVestXIII-WIB"), 
EnerVest Energy Institutional Fund XIII- WIC, L.P., a Delaware limited partnership ("EnerVest XIII-WIC," and collectively with
EnerVest XIII-A and EnerVest XIII-WIB, "EnerVest"), 
FourPoint Energy, LLC, a Colorado
limited liability company ("FourPoint," and collectively with EnerVest, "Assignee").</x:t>
        </x:is>
      </x:c>
      <x:c r="I2099" s="552" t="inlineStr">
        <x:is>
          <x:t xml:space="preserve">All of 31-12N-24W, aol</x:t>
        </x:is>
      </x:c>
      <x:c r="J2099" s="552" t="inlineStr">
        <x:is>
          <x:t xml:space="preserve">ARTI</x:t>
        </x:is>
      </x:c>
      <x:c r="K2099" s="554" t="e">
        <x:f>HYPERLINK("https://okcountyrecords.com/detail/roger+mills/2015-000058","OKCountyRecords: 2015-000058")</x:f>
      </x:c>
      <x:c r="L2099" s="552" t="inlineStr">
        <x:is>
          <x:t xml:space="preserve">All (1-8)</x:t>
        </x:is>
      </x:c>
      <x:c r="M2099" s="552" t="inlineStr">
        <x:is>
          <x:t xml:space="preserve">Leasehold</x:t>
        </x:is>
      </x:c>
      <x:c r="N2099" s="555" t="n"/>
      <x:c r="O2099" s="556" t="n">
        <x:f>IF($L2099="","",IF(ISNUMBER(SEARCH("all",$L2099)),640,(ISNUMBER(SEARCH("1",$L2099)))*80+(ISNUMBER(SEARCH("2",$L2099)))*160+(ISNUMBER(SEARCH("3",$L2099)))*40+(ISNUMBER(SEARCH("4",$L2099)))*80+(ISNUMBER(SEARCH("5",$L2099)))*120+(ISNUMBER(SEARCH("6",$L2099)))*80+(ISNUMBER(SEARCH("7",$L2099)))*40+(ISNUMBER(SEARCH("8",$L2099)))*40))</x:f>
        <x:v>640</x:v>
      </x:c>
      <x:c r="P2099" s="654" t="str">
        <x:f>IF($M2099&lt;&gt;"Mineral","",IF(ISNUMBER($N2099),$N2099,IF(OR(ISNUMBER(SEARCH("surface",$J2099)),ISNUMBER(SEARCH("reserv",$J2099)),ISNUMBER(SEARCH("less and except",$J2099))),0,"")))</x:f>
      </x:c>
      <x:c r="Q2099" s="654" t="str">
        <x:f>IF($P2099="","",-$P2099)</x:f>
      </x:c>
      <x:c r="R2099" s="655" t="str">
        <x:f>IF($P2099="","",$O2099*$P2099)</x:f>
      </x:c>
      <x:c r="S2099" s="552" t="str">
        <x:f>IF($M2099="","",TRIM(IF($M2099="Mineral",IF(ISNUMBER($N2099),"Mineral; basis Conv Amt(dec). ",IF($P2099=0,"Mineral; surface-only/reserved-&gt;0 min. ","Mineral; NO AMOUNT-verify instrument. ")),$M2099&amp;" (non-mineral; excluded from mineral NMA). ")&amp;IF(OR(ISNUMBER(SEARCH("public",$G2099)),ISNUMBER(SEARCH("public",$H2099))),"FLAG: The Public placeholder-verify. ","")&amp;IF(ISNUMBER(SEARCH("all",$L2099)),"All-section coverage. ","")&amp;IF($O2099=0,"Gross acres unresolved. ","")&amp;"Gross=tract-map basis."))</x:f>
        <x:v>Leasehold (non-mineral; excluded from mineral NMA). All-section coverage. Gross=tract-map basis.</x:v>
      </x:c>
      <x:c r="T2099" s="577" t="n"/>
      <x:c r="U2099" s="578" t="n"/>
      <x:c r="V2099" s="565" t="n"/>
      <x:c r="W2099" s="565" t="n"/>
      <x:c r="X2099" s="565" t="n"/>
      <x:c r="Y2099" s="565" t="n"/>
      <x:c r="Z2099" s="565" t="n"/>
    </x:row>
    <x:row r="2100">
      <x:c r="A2100" s="552" t="inlineStr">
        <x:is>
          <x:t xml:space="preserve">2015-000877</x:t>
        </x:is>
      </x:c>
      <x:c r="B2100" s="552" t="n"/>
      <x:c r="C2100" s="552" t="inlineStr">
        <x:is>
          <x:t xml:space="preserve">Mineral Deed</x:t>
        </x:is>
      </x:c>
      <x:c r="D2100" s="552" t="inlineStr">
        <x:is>
          <x:t xml:space="preserve">2290/178</x:t>
        </x:is>
      </x:c>
      <x:c r="E2100" s="653" t="n">
        <x:v>42061</x:v>
      </x:c>
      <x:c r="F2100" s="653" t="n">
        <x:v>42068</x:v>
      </x:c>
      <x:c r="G2100" s="552" t="inlineStr">
        <x:is>
          <x:t xml:space="preserve">William A. Smith and Isa May Smith, HW</x:t>
        </x:is>
      </x:c>
      <x:c r="H2100" s="552" t="inlineStr">
        <x:is>
          <x:t xml:space="preserve">The William A. Smith and Isa May Smith Family Revocable Trust dated February 26, 2015
33839 Acme Road
Macomb, OK 74852
</x:t>
        </x:is>
      </x:c>
      <x:c r="I2100" s="552" t="inlineStr">
        <x:is>
          <x:t xml:space="preserve">NW/4 SE/4, S/2 SE/4, SW/4 NE/4 of 31-12N-24W, aol</x:t>
        </x:is>
      </x:c>
      <x:c r="J2100" s="552" t="inlineStr">
        <x:is>
          <x:t xml:space="preserve">ARTI</x:t>
        </x:is>
      </x:c>
      <x:c r="K2100" s="554" t="e">
        <x:f>HYPERLINK("https://okcountyrecords.com/detail/roger+mills/2015-000877","OKCountyRecords: 2015-000877")</x:f>
      </x:c>
      <x:c r="L2100" s="552" t="n">
        <x:v>2</x:v>
      </x:c>
      <x:c r="M2100" s="552" t="inlineStr">
        <x:is>
          <x:t xml:space="preserve">Mineral</x:t>
        </x:is>
      </x:c>
      <x:c r="N2100" s="555" t="n">
        <x:v>1</x:v>
      </x:c>
      <x:c r="O2100" s="556" t="n">
        <x:f>IF($L2100="","",IF(ISNUMBER(SEARCH("all",$L2100)),640,(ISNUMBER(SEARCH("1",$L2100)))*80+(ISNUMBER(SEARCH("2",$L2100)))*160+(ISNUMBER(SEARCH("3",$L2100)))*40+(ISNUMBER(SEARCH("4",$L2100)))*80+(ISNUMBER(SEARCH("5",$L2100)))*120+(ISNUMBER(SEARCH("6",$L2100)))*80+(ISNUMBER(SEARCH("7",$L2100)))*40+(ISNUMBER(SEARCH("8",$L2100)))*40))</x:f>
        <x:v>0</x:v>
      </x:c>
      <x:c r="P2100" s="654" t="n">
        <x:f>IF($M2100&lt;&gt;"Mineral","",IF(ISNUMBER($N2100),$N2100,IF(OR(ISNUMBER(SEARCH("surface",$J2100)),ISNUMBER(SEARCH("reserv",$J2100)),ISNUMBER(SEARCH("less and except",$J2100))),0,"")))</x:f>
        <x:v>1</x:v>
      </x:c>
      <x:c r="Q2100" s="654" t="n">
        <x:f>IF($P2100="","",-$P2100)</x:f>
        <x:v>-1</x:v>
      </x:c>
      <x:c r="R2100" s="655" t="n">
        <x:f>IF($P2100="","",$O2100*$P2100)</x:f>
        <x:v>0</x:v>
      </x:c>
      <x:c r="S2100" s="552" t="str">
        <x:f>IF($M2100="","",TRIM(IF($M2100="Mineral",IF(ISNUMBER($N2100),"Mineral; basis Conv Amt(dec). ",IF($P2100=0,"Mineral; surface-only/reserved-&gt;0 min. ","Mineral; NO AMOUNT-verify instrument. ")),$M2100&amp;" (non-mineral; excluded from mineral NMA). ")&amp;IF(OR(ISNUMBER(SEARCH("public",$G2100)),ISNUMBER(SEARCH("public",$H2100))),"FLAG: The Public placeholder-verify. ","")&amp;IF(ISNUMBER(SEARCH("all",$L2100)),"All-section coverage. ","")&amp;IF($O2100=0,"Gross acres unresolved. ","")&amp;"Gross=tract-map basis."))</x:f>
        <x:v>Mineral; basis Conv Amt(dec). Gross acres unresolved. Gross=tract-map basis.</x:v>
      </x:c>
      <x:c r="T2100" s="578" t="n"/>
      <x:c r="U2100" s="578" t="n"/>
      <x:c r="V2100" s="565" t="n"/>
      <x:c r="W2100" s="565" t="n"/>
      <x:c r="X2100" s="565" t="n"/>
      <x:c r="Y2100" s="565" t="n"/>
      <x:c r="Z2100" s="565" t="n"/>
    </x:row>
    <x:row r="2101">
      <x:c r="A2101" s="552" t="inlineStr">
        <x:is>
          <x:t xml:space="preserve">2015-001388</x:t>
        </x:is>
      </x:c>
      <x:c r="B2101" s="552" t="n"/>
      <x:c r="C2101" s="552" t="inlineStr">
        <x:is>
          <x:t xml:space="preserve">Stipulation</x:t>
        </x:is>
      </x:c>
      <x:c r="D2101" s="552" t="inlineStr">
        <x:is>
          <x:t xml:space="preserve">2294/47</x:t>
        </x:is>
      </x:c>
      <x:c r="E2101" s="653" t="n">
        <x:v>42111</x:v>
      </x:c>
      <x:c r="F2101" s="653" t="n">
        <x:v>42115</x:v>
      </x:c>
      <x:c r="G2101" s="552" t="inlineStr">
        <x:is>
          <x:t xml:space="preserve">Peggy J. Brawner</x:t>
        </x:is>
      </x:c>
      <x:c r="H2101" s="552" t="inlineStr">
        <x:is>
          <x:t xml:space="preserve">ADWINA M. MULLEN or WALTER CRAIG MULLEN, JTWROS,1/2
ALLEN W. SMITH or JANET S. SMITH, JTWROS, 1/2</x:t>
        </x:is>
      </x:c>
      <x:c r="I2101" s="552" t="inlineStr">
        <x:is>
          <x:t xml:space="preserve">NW/4 SE/4, S/2 SE/4, SW/4 NE/4 of 31-12N-24W</x:t>
        </x:is>
      </x:c>
      <x:c r="J2101" s="552" t="inlineStr">
        <x:is>
          <x:t xml:space="preserve">An undivided 5.27323/160 interest (5.27323 mineral acres, more or less) in the OIL, GAS and OTHER
MINERALS</x:t>
        </x:is>
      </x:c>
      <x:c r="K2101" s="554" t="e">
        <x:f>HYPERLINK("https://okcountyrecords.com/detail/roger+mills/2015-001388","OKCountyRecords: 2015-001388")</x:f>
      </x:c>
      <x:c r="L2101" s="552" t="n">
        <x:v>2</x:v>
      </x:c>
      <x:c r="M2101" s="552" t="inlineStr">
        <x:is>
          <x:t xml:space="preserve">Mineral</x:t>
        </x:is>
      </x:c>
      <x:c r="N2101" s="555" t="n"/>
      <x:c r="O2101" s="556" t="n">
        <x:f>IF($L2101="","",IF(ISNUMBER(SEARCH("all",$L2101)),640,(ISNUMBER(SEARCH("1",$L2101)))*80+(ISNUMBER(SEARCH("2",$L2101)))*160+(ISNUMBER(SEARCH("3",$L2101)))*40+(ISNUMBER(SEARCH("4",$L2101)))*80+(ISNUMBER(SEARCH("5",$L2101)))*120+(ISNUMBER(SEARCH("6",$L2101)))*80+(ISNUMBER(SEARCH("7",$L2101)))*40+(ISNUMBER(SEARCH("8",$L2101)))*40))</x:f>
        <x:v>0</x:v>
      </x:c>
      <x:c r="P2101" s="654" t="str">
        <x:f>IF($M2101&lt;&gt;"Mineral","",IF(ISNUMBER($N2101),$N2101,IF(OR(ISNUMBER(SEARCH("surface",$J2101)),ISNUMBER(SEARCH("reserv",$J2101)),ISNUMBER(SEARCH("less and except",$J2101))),0,"")))</x:f>
      </x:c>
      <x:c r="Q2101" s="654" t="str">
        <x:f>IF($P2101="","",-$P2101)</x:f>
      </x:c>
      <x:c r="R2101" s="655" t="str">
        <x:f>IF($P2101="","",$O2101*$P2101)</x:f>
      </x:c>
      <x:c r="S2101" s="552" t="inlineStr">
        <x:is>
          <x:t xml:space="preserve">Leasehold (non-mineral; excluded from mineral NMA). Gross=tract-map basis.</x:t>
        </x:is>
      </x:c>
      <x:c r="T2101" s="577" t="inlineStr">
        <x:is>
          <x:t xml:space="preserve">OK</x:t>
        </x:is>
      </x:c>
      <x:c r="U2101" s="578" t="inlineStr">
        <x:is>
          <x:t xml:space="preserve">Non-conveying — notice/affidavit/address change (The Public).</x:t>
        </x:is>
      </x:c>
      <x:c r="V2101" s="565" t="n"/>
      <x:c r="W2101" s="565" t="n"/>
      <x:c r="X2101" s="565" t="n"/>
      <x:c r="Y2101" s="565" t="n"/>
      <x:c r="Z2101" s="565" t="n"/>
    </x:row>
    <x:row r="2102">
      <x:c r="A2102" s="552" t="inlineStr">
        <x:is>
          <x:t xml:space="preserve">2015-001661</x:t>
        </x:is>
      </x:c>
      <x:c r="B2102" s="552" t="n"/>
      <x:c r="C2102" s="552" t="inlineStr">
        <x:is>
          <x:t xml:space="preserve">Assignment</x:t>
        </x:is>
      </x:c>
      <x:c r="D2102" s="552" t="inlineStr">
        <x:is>
          <x:t xml:space="preserve">2295/372</x:t>
        </x:is>
      </x:c>
      <x:c r="E2102" s="653" t="n">
        <x:v>42129</x:v>
      </x:c>
      <x:c r="F2102" s="653" t="n">
        <x:v>42139</x:v>
      </x:c>
      <x:c r="G2102" s="552" t="inlineStr">
        <x:is>
          <x:t xml:space="preserve">Robert H. Frazier</x:t>
        </x:is>
      </x:c>
      <x:c r="H2102" s="552" t="inlineStr">
        <x:is>
          <x:t xml:space="preserve">Robert H. Frazier Royalty, LLC
P.O.BOX 50264
MIDLAND, TX 79710</x:t>
        </x:is>
      </x:c>
      <x:c r="I2102" s="552" t="inlineStr">
        <x:is>
          <x:t xml:space="preserve">All of 31-12N-24W, aol</x:t>
        </x:is>
      </x:c>
      <x:c r="J2102" s="552" t="inlineStr">
        <x:is>
          <x:t xml:space="preserve"> .063364 Min. Acres: Stipulation of Mineral Interest, book 1853, pg 546, Sept. 22, 2006.</x:t>
        </x:is>
      </x:c>
      <x:c r="K2102" s="554" t="e">
        <x:f>HYPERLINK("https://okcountyrecords.com/detail/roger+mills/2015-001661","OKCountyRecords: 2015-001661")</x:f>
      </x:c>
      <x:c r="L2102" s="552" t="inlineStr">
        <x:is>
          <x:t xml:space="preserve">All (1-8)</x:t>
        </x:is>
      </x:c>
      <x:c r="M2102" s="552" t="inlineStr">
        <x:is>
          <x:t xml:space="preserve">Mineral</x:t>
        </x:is>
      </x:c>
      <x:c r="N2102" s="555" t="n"/>
      <x:c r="O2102" s="556" t="n">
        <x:f>IF($L2102="","",IF(ISNUMBER(SEARCH("all",$L2102)),640,(ISNUMBER(SEARCH("1",$L2102)))*80+(ISNUMBER(SEARCH("2",$L2102)))*160+(ISNUMBER(SEARCH("3",$L2102)))*40+(ISNUMBER(SEARCH("4",$L2102)))*80+(ISNUMBER(SEARCH("5",$L2102)))*120+(ISNUMBER(SEARCH("6",$L2102)))*80+(ISNUMBER(SEARCH("7",$L2102)))*40+(ISNUMBER(SEARCH("8",$L2102)))*40))</x:f>
        <x:v>640</x:v>
      </x:c>
      <x:c r="P2102" s="654" t="str">
        <x:f>IF($M2102&lt;&gt;"Mineral","",IF(ISNUMBER($N2102),$N2102,IF(OR(ISNUMBER(SEARCH("surface",$J2102)),ISNUMBER(SEARCH("reserv",$J2102)),ISNUMBER(SEARCH("less and except",$J2102))),0,"")))</x:f>
      </x:c>
      <x:c r="Q2102" s="654" t="str">
        <x:f>IF($P2102="","",-$P2102)</x:f>
      </x:c>
      <x:c r="R2102" s="655" t="str">
        <x:f>IF($P2102="","",$O2102*$P2102)</x:f>
      </x:c>
      <x:c r="S2102" s="552" t="str">
        <x:f>IF($M2102="","",TRIM(IF($M2102="Mineral",IF(ISNUMBER($N2102),"Mineral; basis Conv Amt(dec). ",IF($P2102=0,"Mineral; surface-only/reserved-&gt;0 min. ","Mineral; NO AMOUNT-verify instrument. ")),$M2102&amp;" (non-mineral; excluded from mineral NMA). ")&amp;IF(OR(ISNUMBER(SEARCH("public",$G2102)),ISNUMBER(SEARCH("public",$H2102))),"FLAG: The Public placeholder-verify. ","")&amp;IF(ISNUMBER(SEARCH("all",$L2102)),"All-section coverage. ","")&amp;IF($O2102=0,"Gross acres unresolved. ","")&amp;"Gross=tract-map basis."))</x:f>
        <x:v>Mineral; surface-only/reserved-&gt;0 min. All-section coverage. Gross=tract-map basis.</x:v>
      </x:c>
      <x:c r="T2102" s="577" t="n"/>
      <x:c r="U2102" s="578" t="n"/>
      <x:c r="V2102" s="565" t="n"/>
      <x:c r="W2102" s="565" t="n"/>
      <x:c r="X2102" s="565" t="n"/>
      <x:c r="Y2102" s="565" t="n"/>
      <x:c r="Z2102" s="565" t="n"/>
    </x:row>
    <x:row r="2103">
      <x:c r="A2103" s="552" t="inlineStr">
        <x:is>
          <x:t xml:space="preserve">2015-002368</x:t>
        </x:is>
      </x:c>
      <x:c r="B2103" s="552" t="n"/>
      <x:c r="C2103" s="552" t="inlineStr">
        <x:is>
          <x:t xml:space="preserve">Memorandum</x:t>
        </x:is>
      </x:c>
      <x:c r="D2103" s="552" t="inlineStr">
        <x:is>
          <x:t xml:space="preserve">2302/507</x:t>
        </x:is>
      </x:c>
      <x:c r="E2103" s="653" t="n">
        <x:v>42199</x:v>
      </x:c>
      <x:c r="F2103" s="653" t="n">
        <x:v>42207</x:v>
      </x:c>
      <x:c r="G2103" s="552" t="inlineStr">
        <x:is>
          <x:t xml:space="preserve">Enervest Energy Institutional Fund Xiii Wib, L.P.</x:t>
        </x:is>
      </x:c>
      <x:c r="H2103" s="552" t="inlineStr">
        <x:is>
          <x:t xml:space="preserve">Enervest Energy Institutional Fund Xiii B., L.P.</x:t>
        </x:is>
      </x:c>
      <x:c r="I2103" s="552" t="inlineStr">
        <x:is>
          <x:t xml:space="preserve">All of 31-12N-24W, aol</x:t>
        </x:is>
      </x:c>
      <x:c r="J2103" s="552" t="inlineStr">
        <x:is>
          <x:t xml:space="preserve">A net profits overriding royalty interest (the "NPP") equal to ninety-eight and one-half percent (98.5%) of the net profits, </x:t>
        </x:is>
      </x:c>
      <x:c r="K2103" s="554" t="e">
        <x:f>HYPERLINK("https://okcountyrecords.com/detail/roger+mills/2015-002368","OKCountyRecords: 2015-002368")</x:f>
      </x:c>
      <x:c r="L2103" s="552" t="inlineStr">
        <x:is>
          <x:t xml:space="preserve">All (1-8)</x:t>
        </x:is>
      </x:c>
      <x:c r="M2103" s="552" t="inlineStr">
        <x:is>
          <x:t xml:space="preserve">Leasehold</x:t>
        </x:is>
      </x:c>
      <x:c r="N2103" s="555" t="n"/>
      <x:c r="O2103" s="556" t="n">
        <x:f>IF($L2103="","",IF(ISNUMBER(SEARCH("all",$L2103)),640,(ISNUMBER(SEARCH("1",$L2103)))*80+(ISNUMBER(SEARCH("2",$L2103)))*160+(ISNUMBER(SEARCH("3",$L2103)))*40+(ISNUMBER(SEARCH("4",$L2103)))*80+(ISNUMBER(SEARCH("5",$L2103)))*120+(ISNUMBER(SEARCH("6",$L2103)))*80+(ISNUMBER(SEARCH("7",$L2103)))*40+(ISNUMBER(SEARCH("8",$L2103)))*40))</x:f>
        <x:v>640</x:v>
      </x:c>
      <x:c r="P2103" s="654" t="str">
        <x:f>IF($M2103&lt;&gt;"Mineral","",IF(ISNUMBER($N2103),$N2103,IF(OR(ISNUMBER(SEARCH("surface",$J2103)),ISNUMBER(SEARCH("reserv",$J2103)),ISNUMBER(SEARCH("less and except",$J2103))),0,"")))</x:f>
      </x:c>
      <x:c r="Q2103" s="654" t="str">
        <x:f>IF($P2103="","",-$P2103)</x:f>
      </x:c>
      <x:c r="R2103" s="655" t="str">
        <x:f>IF($P2103="","",$O2103*$P2103)</x:f>
      </x:c>
      <x:c r="S2103" s="552" t="str">
        <x:f>IF($M2103="","",TRIM(IF($M2103="Mineral",IF(ISNUMBER($N2103),"Mineral; basis Conv Amt(dec). ",IF($P2103=0,"Mineral; surface-only/reserved-&gt;0 min. ","Mineral; NO AMOUNT-verify instrument. ")),$M2103&amp;" (non-mineral; excluded from mineral NMA). ")&amp;IF(OR(ISNUMBER(SEARCH("public",$G2103)),ISNUMBER(SEARCH("public",$H2103))),"FLAG: The Public placeholder-verify. ","")&amp;IF(ISNUMBER(SEARCH("all",$L2103)),"All-section coverage. ","")&amp;IF($O2103=0,"Gross acres unresolved. ","")&amp;"Gross=tract-map basis."))</x:f>
        <x:v>Leasehold (non-mineral; excluded from mineral NMA). All-section coverage. Gross=tract-map basis.</x:v>
      </x:c>
      <x:c r="T2103" s="577" t="n"/>
      <x:c r="U2103" s="578" t="n"/>
      <x:c r="V2103" s="565" t="n"/>
      <x:c r="W2103" s="565" t="n"/>
      <x:c r="X2103" s="565" t="n"/>
      <x:c r="Y2103" s="565" t="n"/>
      <x:c r="Z2103" s="565" t="n"/>
    </x:row>
    <x:row r="2104">
      <x:c r="A2104" s="552" t="inlineStr">
        <x:is>
          <x:t xml:space="preserve">2015-002369</x:t>
        </x:is>
      </x:c>
      <x:c r="B2104" s="552" t="n"/>
      <x:c r="C2104" s="552" t="inlineStr">
        <x:is>
          <x:t xml:space="preserve">Memorandum</x:t>
        </x:is>
      </x:c>
      <x:c r="D2104" s="552" t="inlineStr">
        <x:is>
          <x:t xml:space="preserve">2302/512</x:t>
        </x:is>
      </x:c>
      <x:c r="E2104" s="653" t="n">
        <x:v>42199</x:v>
      </x:c>
      <x:c r="F2104" s="653" t="n">
        <x:v>42207</x:v>
      </x:c>
      <x:c r="G2104" s="552" t="inlineStr">
        <x:is>
          <x:t xml:space="preserve">Enervest Energy Institutional Fund Xiii Wic, L.P.</x:t>
        </x:is>
      </x:c>
      <x:c r="H2104" s="552" t="inlineStr">
        <x:is>
          <x:t xml:space="preserve">Enervest Energy Institutional Fund Xiii C., L.P.</x:t>
        </x:is>
      </x:c>
      <x:c r="I2104" s="552" t="inlineStr">
        <x:is>
          <x:t xml:space="preserve">All of 31-12N-24W, aol</x:t>
        </x:is>
      </x:c>
      <x:c r="J2104" s="552" t="inlineStr">
        <x:is>
          <x:t xml:space="preserve">A net profits overriding royalty interest (the "NPP") equal to ninety-eight and one-half percent (98.5%) of the net profits, </x:t>
        </x:is>
      </x:c>
      <x:c r="K2104" s="554" t="e">
        <x:f>HYPERLINK("https://okcountyrecords.com/detail/roger+mills/2015-002369","OKCountyRecords: 2015-002369")</x:f>
      </x:c>
      <x:c r="L2104" s="552" t="inlineStr">
        <x:is>
          <x:t xml:space="preserve">All (1-8)</x:t>
        </x:is>
      </x:c>
      <x:c r="M2104" s="552" t="inlineStr">
        <x:is>
          <x:t xml:space="preserve">Leasehold</x:t>
        </x:is>
      </x:c>
      <x:c r="N2104" s="555" t="n"/>
      <x:c r="O2104" s="556" t="n">
        <x:f>IF($L2104="","",IF(ISNUMBER(SEARCH("all",$L2104)),640,(ISNUMBER(SEARCH("1",$L2104)))*80+(ISNUMBER(SEARCH("2",$L2104)))*160+(ISNUMBER(SEARCH("3",$L2104)))*40+(ISNUMBER(SEARCH("4",$L2104)))*80+(ISNUMBER(SEARCH("5",$L2104)))*120+(ISNUMBER(SEARCH("6",$L2104)))*80+(ISNUMBER(SEARCH("7",$L2104)))*40+(ISNUMBER(SEARCH("8",$L2104)))*40))</x:f>
        <x:v>640</x:v>
      </x:c>
      <x:c r="P2104" s="654" t="str">
        <x:f>IF($M2104&lt;&gt;"Mineral","",IF(ISNUMBER($N2104),$N2104,IF(OR(ISNUMBER(SEARCH("surface",$J2104)),ISNUMBER(SEARCH("reserv",$J2104)),ISNUMBER(SEARCH("less and except",$J2104))),0,"")))</x:f>
      </x:c>
      <x:c r="Q2104" s="654" t="str">
        <x:f>IF($P2104="","",-$P2104)</x:f>
      </x:c>
      <x:c r="R2104" s="655" t="str">
        <x:f>IF($P2104="","",$O2104*$P2104)</x:f>
      </x:c>
      <x:c r="S2104" s="552" t="str">
        <x:f>IF($M2104="","",TRIM(IF($M2104="Mineral",IF(ISNUMBER($N2104),"Mineral; basis Conv Amt(dec). ",IF($P2104=0,"Mineral; surface-only/reserved-&gt;0 min. ","Mineral; NO AMOUNT-verify instrument. ")),$M2104&amp;" (non-mineral; excluded from mineral NMA). ")&amp;IF(OR(ISNUMBER(SEARCH("public",$G2104)),ISNUMBER(SEARCH("public",$H2104))),"FLAG: The Public placeholder-verify. ","")&amp;IF(ISNUMBER(SEARCH("all",$L2104)),"All-section coverage. ","")&amp;IF($O2104=0,"Gross acres unresolved. ","")&amp;"Gross=tract-map basis."))</x:f>
        <x:v>Leasehold (non-mineral; excluded from mineral NMA). All-section coverage. Gross=tract-map basis.</x:v>
      </x:c>
      <x:c r="T2104" s="577" t="n"/>
      <x:c r="U2104" s="578" t="n"/>
      <x:c r="V2104" s="565" t="n"/>
      <x:c r="W2104" s="565" t="n"/>
      <x:c r="X2104" s="565" t="n"/>
      <x:c r="Y2104" s="565" t="n"/>
      <x:c r="Z2104" s="565" t="n"/>
    </x:row>
    <x:row r="2105">
      <x:c r="A2105" s="552" t="inlineStr">
        <x:is>
          <x:t xml:space="preserve">2015-003023</x:t>
        </x:is>
      </x:c>
      <x:c r="B2105" s="552" t="n"/>
      <x:c r="C2105" s="552" t="inlineStr">
        <x:is>
          <x:t xml:space="preserve">Correction Memorandum of Conveyance</x:t>
        </x:is>
      </x:c>
      <x:c r="D2105" s="552" t="inlineStr">
        <x:is>
          <x:t xml:space="preserve">2311/337</x:t>
        </x:is>
      </x:c>
      <x:c r="E2105" s="653" t="n">
        <x:v>42199</x:v>
      </x:c>
      <x:c r="F2105" s="653" t="n">
        <x:v>42285</x:v>
      </x:c>
      <x:c r="G2105" s="552" t="inlineStr">
        <x:is>
          <x:t xml:space="preserve">EnerVest Energy Institutional Fund XIII-WIB, L.P.
c/o EnerVest, Ltd.</x:t>
        </x:is>
      </x:c>
      <x:c r="H2105" s="552" t="inlineStr">
        <x:is>
          <x:t xml:space="preserve">EnerVest Energy Institutional Fund XIII-B, L.P.
c/o EnerVest, Ltd.</x:t>
        </x:is>
      </x:c>
      <x:c r="I2105" s="552" t="inlineStr">
        <x:is>
          <x:t xml:space="preserve">All of 31-12N-24W, aol</x:t>
        </x:is>
      </x:c>
      <x:c r="J2105" s="552" t="inlineStr">
        <x:is>
          <x:t xml:space="preserve">Memorandum of Conveyance dated effective September 1, 2014, recorded in Book 2302, Page 507, in the Conveyance Records of Roger Mills County, Oklahoma, by and between Ener Vest Energy Institutional Fund XIII-WIB, L.P., 1001 Fannin, Suite 800, Houston, Texas 77002 (hereinafter referred to as "Grantor"), and EnerVest Energy Institutional Fund XIII-B, L.P., 1001 Fannin, Suite 800, Houston, Texas 77002 (hereinafter referred to as "Grantee"). WHEREAS, it has been discovered that through error and inadvertence, the Said Conveyance refers to an NPI Conveyance recorded on July 6, 2015 in Book 2191, Page 407, Conveyance Records, Beckham County, Oklahoma. The correct NPI Conveyance was recorded on July 6, 2015 in Book 2192, Page 407, Conveyance Records, Beckham County, Oklahoma. WHEREAS, all parties to Said Conveyance, and their successors and assigns, desire to amend, reform and correct said recording information. NOW, THEREFORE, for and in consideration of the obligations and agreements in Said Conveyance contained, the adequacy and sufficiency of which are acknowledged, and in order to set forth and fully effectuate the true intention of the parties, Grantor and Grantee, for the purposes above set forth, hereby acknowledge and agree that said recording information shall be amended as described above. In all other respects, except as expressly amended hereby, Said Conveyance remains the same. Said Conveyance is hereby amended and corrected as set forth above, and the parties do hereby ratify, adopt and confirm Said Conveyance, and Said Conveyance is expressly affirmed, ratified and declared to be effective as amended herein, and binding for all purposes as of the effective date of September 1, 2014.</x:t>
        </x:is>
      </x:c>
      <x:c r="K2105" s="554" t="e">
        <x:f>HYPERLINK("https://okcountyrecords.com/detail/roger+mills/2015-003023","OKCountyRecords: 2015-003023")</x:f>
      </x:c>
      <x:c r="L2105" s="552" t="inlineStr">
        <x:is>
          <x:t xml:space="preserve">All (1-8)</x:t>
        </x:is>
      </x:c>
      <x:c r="M2105" s="552" t="inlineStr">
        <x:is>
          <x:t xml:space="preserve">Mineral</x:t>
        </x:is>
      </x:c>
      <x:c r="N2105" s="555" t="inlineStr">
        <x:is>
          <x:t xml:space="preserve">NEED: confirm whether row conveys mineral interest</x:t>
        </x:is>
      </x:c>
      <x:c r="O2105" s="556" t="n">
        <x:f>IF($L2105="","",IF(ISNUMBER(SEARCH("all",$L2105)),640,(ISNUMBER(SEARCH("1",$L2105)))*80+(ISNUMBER(SEARCH("2",$L2105)))*160+(ISNUMBER(SEARCH("3",$L2105)))*40+(ISNUMBER(SEARCH("4",$L2105)))*80+(ISNUMBER(SEARCH("5",$L2105)))*120+(ISNUMBER(SEARCH("6",$L2105)))*80+(ISNUMBER(SEARCH("7",$L2105)))*40+(ISNUMBER(SEARCH("8",$L2105)))*40))</x:f>
        <x:v>640</x:v>
      </x:c>
      <x:c r="P2105" s="654" t="str">
        <x:f>IF($M2105&lt;&gt;"Mineral","",IF(ISNUMBER($N2105),$N2105,IF(OR(ISNUMBER(SEARCH("surface",$J2105)),ISNUMBER(SEARCH("reserv",$J2105)),ISNUMBER(SEARCH("less and except",$J2105))),0,"")))</x:f>
      </x:c>
      <x:c r="Q2105" s="654" t="str">
        <x:f>IF($P2105="","",-$P2105)</x:f>
      </x:c>
      <x:c r="R2105" s="655" t="str">
        <x:f>IF($P2105="","",$O2105*$P2105)</x:f>
      </x:c>
      <x:c r="S2105" s="552" t="str">
        <x:f>IF($M2105="","",TRIM(IF($M2105="Mineral",IF(ISNUMBER($N2105),"Mineral; basis Conv Amt(dec). ",IF($P2105=0,"Mineral; surface-only/reserved-&gt;0 min. ","Mineral; VERIFY — NEED full instrument image for conveyed amount. ")),$M2105&amp;" (non-mineral; excluded from mineral NMA). ")&amp;IF(OR(ISNUMBER(SEARCH("public",$G2105)),ISNUMBER(SEARCH("public",$H2105))),"FLAG: The Public placeholder; VERIFY — NEED source confirmation. ","")&amp;IF(ISNUMBER(SEARCH("all",$L2105)),"All-section coverage. ","")&amp;IF($O2105=0,"Gross acres unresolved. ","")&amp;"Gross=tract-map basis."))</x:f>
        <x:v>Mineral; surface-only/reserved-&gt;0 min. All-section coverage. Gross=tract-map basis.</x:v>
      </x:c>
      <x:c r="T2105" s="578" t="inlineStr">
        <x:is>
          <x:t xml:space="preserve">REVIEW</x:t>
        </x:is>
      </x:c>
      <x:c r="U2105" s="578" t="inlineStr">
        <x:is>
          <x:t xml:space="preserve">NEED: confirm whether row conveys mineral interest</x:t>
        </x:is>
      </x:c>
      <x:c r="V2105" s="565" t="n"/>
      <x:c r="W2105" s="565" t="n"/>
      <x:c r="X2105" s="565" t="n"/>
      <x:c r="Y2105" s="565" t="n"/>
      <x:c r="Z2105" s="565" t="n"/>
    </x:row>
    <x:row r="2106">
      <x:c r="A2106" s="552" t="inlineStr">
        <x:is>
          <x:t xml:space="preserve">2015-003022</x:t>
        </x:is>
      </x:c>
      <x:c r="B2106" s="552" t="n"/>
      <x:c r="C2106" s="552" t="inlineStr">
        <x:is>
          <x:t xml:space="preserve">Correction Memorandum of Conveyance</x:t>
        </x:is>
      </x:c>
      <x:c r="D2106" s="552" t="inlineStr">
        <x:is>
          <x:t xml:space="preserve">2311/333</x:t>
        </x:is>
      </x:c>
      <x:c r="E2106" s="653" t="n">
        <x:v>42199</x:v>
      </x:c>
      <x:c r="F2106" s="653" t="n">
        <x:v>42285</x:v>
      </x:c>
      <x:c r="G2106" s="552" t="inlineStr">
        <x:is>
          <x:t xml:space="preserve">EnerVest Energy Institutional Fund XIII-WIC, L.P.
c/o EnerVest, Ltd.</x:t>
        </x:is>
      </x:c>
      <x:c r="H2106" s="552" t="inlineStr">
        <x:is>
          <x:t xml:space="preserve">EnerVest Energy Institutional Fund XIII-C, L.P.
c/o EnerVest, Ltd.</x:t>
        </x:is>
      </x:c>
      <x:c r="I2106" s="552" t="inlineStr">
        <x:is>
          <x:t xml:space="preserve">All of 31-12N-24W, aol</x:t>
        </x:is>
      </x:c>
      <x:c r="J2106" s="552" t="inlineStr">
        <x:is>
          <x:t xml:space="preserve">Memorandum of Conveyance dated effective September 1, 2014, recorded in Book 2302, Page 512, in the Conveyance Records of Roger Mills County, Oklahoma, by and between EnerVest Energy Institutional Fund XIII-WIC, L.P., 1001 Fannin, Suite 800, Houston, Texas 77002 (hereinafter referred to as "Grantor"), and EnerVest Energy Institutional Fund XIII-C, L.P., 1001 Fannin, Suite 800, Houston, Texas 77002 (hereinafter referred to as "Grantee"). WHEREAS, it has been discovered that through error and inadvertence, the Said Conveyance refers to an NPI Conveyance recorded on July 6, 2015 in Book 2191, Page 407, Conveyance Records, Beckham County, Oklahoma. The correct NPI Conveyance was recorded on July 6, 2015 in Book 2192, Page 407, Conveyance Records, Beckham County, Oklahoma. WHEREAS, all parties to Said Conveyance, and their successors and assigns, desire to amend, reform and correct said recording information. NOW, THEREFORE, for and in consideration of the obligations and agreements in Said Conveyance contained, the adequacy and sufficiency of which are acknowledged, and in order to set forth and fully effectuate the true intention of the parties, Grantor and Grantee, for the purposes above set forth, hereby acknowledge and agree that said recording information shall be amended as described above.
In all other respects, except as expressly amended hereby, Said Conveyance remains the same. Said Conveyance is hereby amended and corrected as set forth above, and the parties do hereby ratify, adopt and confirm Said Conveyance, and Said Conveyance is expressly affirmed, ratified and declared to be effective as amended herein, and binding for all purposes as of the effective date of September 1, 2014.</x:t>
        </x:is>
      </x:c>
      <x:c r="K2106" s="554" t="e">
        <x:f>HYPERLINK("https://okcountyrecords.com/detail/roger+mills/2015-003022","OKCountyRecords: 2015-003022")</x:f>
      </x:c>
      <x:c r="L2106" s="552" t="inlineStr">
        <x:is>
          <x:t xml:space="preserve">All (1-8)</x:t>
        </x:is>
      </x:c>
      <x:c r="M2106" s="552" t="inlineStr">
        <x:is>
          <x:t xml:space="preserve">Mineral</x:t>
        </x:is>
      </x:c>
      <x:c r="N2106" s="555" t="inlineStr">
        <x:is>
          <x:t xml:space="preserve">NEED: confirm whether row conveys mineral interest</x:t>
        </x:is>
      </x:c>
      <x:c r="O2106" s="556" t="n">
        <x:f>IF($L2106="","",IF(ISNUMBER(SEARCH("all",$L2106)),640,(ISNUMBER(SEARCH("1",$L2106)))*80+(ISNUMBER(SEARCH("2",$L2106)))*160+(ISNUMBER(SEARCH("3",$L2106)))*40+(ISNUMBER(SEARCH("4",$L2106)))*80+(ISNUMBER(SEARCH("5",$L2106)))*120+(ISNUMBER(SEARCH("6",$L2106)))*80+(ISNUMBER(SEARCH("7",$L2106)))*40+(ISNUMBER(SEARCH("8",$L2106)))*40))</x:f>
        <x:v>640</x:v>
      </x:c>
      <x:c r="P2106" s="654" t="str">
        <x:f>IF($M2106&lt;&gt;"Mineral","",IF(ISNUMBER($N2106),$N2106,IF(OR(ISNUMBER(SEARCH("surface",$J2106)),ISNUMBER(SEARCH("reserv",$J2106)),ISNUMBER(SEARCH("less and except",$J2106))),0,"")))</x:f>
      </x:c>
      <x:c r="Q2106" s="654" t="str">
        <x:f>IF($P2106="","",-$P2106)</x:f>
      </x:c>
      <x:c r="R2106" s="655" t="str">
        <x:f>IF($P2106="","",$O2106*$P2106)</x:f>
      </x:c>
      <x:c r="S2106" s="552" t="str">
        <x:f>IF($M2106="","",TRIM(IF($M2106="Mineral",IF(ISNUMBER($N2106),"Mineral; basis Conv Amt(dec). ",IF($P2106=0,"Mineral; surface-only/reserved-&gt;0 min. ","Mineral; VERIFY — NEED full instrument image for conveyed amount. ")),$M2106&amp;" (non-mineral; excluded from mineral NMA). ")&amp;IF(OR(ISNUMBER(SEARCH("public",$G2106)),ISNUMBER(SEARCH("public",$H2106))),"FLAG: The Public placeholder; VERIFY — NEED source confirmation. ","")&amp;IF(ISNUMBER(SEARCH("all",$L2106)),"All-section coverage. ","")&amp;IF($O2106=0,"Gross acres unresolved. ","")&amp;"Gross=tract-map basis."))</x:f>
        <x:v>Mineral; surface-only/reserved-&gt;0 min. All-section coverage. Gross=tract-map basis.</x:v>
      </x:c>
      <x:c r="T2106" s="578" t="inlineStr">
        <x:is>
          <x:t xml:space="preserve">REVIEW</x:t>
        </x:is>
      </x:c>
      <x:c r="U2106" s="578" t="inlineStr">
        <x:is>
          <x:t xml:space="preserve">NEED: confirm whether row conveys mineral interest</x:t>
        </x:is>
      </x:c>
      <x:c r="V2106" s="565" t="n"/>
      <x:c r="W2106" s="565" t="n"/>
      <x:c r="X2106" s="565" t="n"/>
      <x:c r="Y2106" s="565" t="n"/>
      <x:c r="Z2106" s="565" t="n"/>
    </x:row>
    <x:row r="2107">
      <x:c r="A2107" s="552" t="inlineStr">
        <x:is>
          <x:t xml:space="preserve">2015-002791</x:t>
        </x:is>
      </x:c>
      <x:c r="B2107" s="552" t="n"/>
      <x:c r="C2107" s="552" t="inlineStr">
        <x:is>
          <x:t xml:space="preserve">Mineral Deed</x:t>
        </x:is>
      </x:c>
      <x:c r="D2107" s="552" t="inlineStr">
        <x:is>
          <x:t xml:space="preserve">2309/236</x:t>
        </x:is>
      </x:c>
      <x:c r="E2107" s="653" t="n">
        <x:v>42242</x:v>
      </x:c>
      <x:c r="F2107" s="653" t="n">
        <x:v>42255</x:v>
      </x:c>
      <x:c r="G2107" s="552" t="inlineStr">
        <x:is>
          <x:t xml:space="preserve">Jinkee D. Acuero Fuchs,
William Jesse Fuchs</x:t>
        </x:is>
      </x:c>
      <x:c r="H2107" s="552" t="inlineStr">
        <x:is>
          <x:t xml:space="preserve">Jesse William Fuchs and Jinkee
D. Acuero Fuchs, as Trustees under the Declaration of Trust
10009 E. Franklin Rd.
Rorman, OK 73026
</x:t>
        </x:is>
      </x:c>
      <x:c r="I2107" s="552" t="inlineStr">
        <x:is>
          <x:t xml:space="preserve">NW/4 SW/4, S/2 SE/4, SW/4 NE/4 of 31-12N-24W, aol</x:t>
        </x:is>
      </x:c>
      <x:c r="J2107" s="552" t="inlineStr">
        <x:is>
          <x:t xml:space="preserve">An undivided 22.915741/791.47 interest in all of the oil, gas and other minerals in and under 2 sections</x:t>
        </x:is>
      </x:c>
      <x:c r="K2107" s="554" t="e">
        <x:f>HYPERLINK("https://okcountyrecords.com/detail/roger+mills/2015-002791","OKCountyRecords: 2015-002791")</x:f>
      </x:c>
      <x:c r="L2107" s="552" t="inlineStr">
        <x:is>
          <x:t xml:space="preserve">2, 6</x:t>
        </x:is>
      </x:c>
      <x:c r="M2107" s="552" t="inlineStr">
        <x:is>
          <x:t xml:space="preserve">Mineral</x:t>
        </x:is>
      </x:c>
      <x:c r="N2107" s="555" t="n">
        <x:f>22.915741/791.47</x:f>
        <x:v>0.028953391789960453</x:v>
      </x:c>
      <x:c r="O2107" s="556" t="n">
        <x:f>IF($L2107="","",IF(ISNUMBER(SEARCH("all",$L2107)),640,(ISNUMBER(SEARCH("1",$L2107)))*80+(ISNUMBER(SEARCH("2",$L2107)))*160+(ISNUMBER(SEARCH("3",$L2107)))*40+(ISNUMBER(SEARCH("4",$L2107)))*80+(ISNUMBER(SEARCH("5",$L2107)))*120+(ISNUMBER(SEARCH("6",$L2107)))*80+(ISNUMBER(SEARCH("7",$L2107)))*40+(ISNUMBER(SEARCH("8",$L2107)))*40))</x:f>
        <x:v>0</x:v>
      </x:c>
      <x:c r="P2107" s="654" t="n">
        <x:f>IF($M2107&lt;&gt;"Mineral","",IF(ISNUMBER($N2107),$N2107,IF(OR(ISNUMBER(SEARCH("surface",$J2107)),ISNUMBER(SEARCH("reserv",$J2107)),ISNUMBER(SEARCH("less and except",$J2107))),0,"")))</x:f>
        <x:v>0.028953391789960453</x:v>
      </x:c>
      <x:c r="Q2107" s="654" t="n">
        <x:f>IF($P2107="","",-$P2107)</x:f>
        <x:v>-0.028953391789960453</x:v>
      </x:c>
      <x:c r="R2107" s="655" t="n">
        <x:f>IF($P2107="","",$O2107*$P2107)</x:f>
        <x:v>0</x:v>
      </x:c>
      <x:c r="S2107" s="552" t="str">
        <x:f>IF($M2107="","",TRIM(IF($M2107="Mineral",IF(ISNUMBER($N2107),"Mineral; basis Conv Amt(dec). ",IF($P2107=0,"Mineral; surface-only/reserved-&gt;0 min. ","Mineral; NO AMOUNT-verify instrument. ")),$M2107&amp;" (non-mineral; excluded from mineral NMA). ")&amp;IF(OR(ISNUMBER(SEARCH("public",$G2107)),ISNUMBER(SEARCH("public",$H2107))),"FLAG: The Public placeholder-verify. ","")&amp;IF(ISNUMBER(SEARCH("all",$L2107)),"All-section coverage. ","")&amp;IF($O2107=0,"Gross acres unresolved. ","")&amp;"Gross=tract-map basis."))</x:f>
        <x:v>Mineral; basis Conv Amt(dec). Gross acres unresolved. Gross=tract-map basis.</x:v>
      </x:c>
      <x:c r="T2107" s="578" t="n"/>
      <x:c r="U2107" s="578" t="n"/>
      <x:c r="V2107" s="565" t="n"/>
      <x:c r="W2107" s="565" t="n"/>
      <x:c r="X2107" s="565" t="n"/>
      <x:c r="Y2107" s="565" t="n"/>
      <x:c r="Z2107" s="565" t="n"/>
    </x:row>
    <x:row r="2108">
      <x:c r="A2108" s="552" t="inlineStr">
        <x:is>
          <x:t xml:space="preserve">2016-001244</x:t>
        </x:is>
      </x:c>
      <x:c r="B2108" s="552" t="n"/>
      <x:c r="C2108" s="552" t="inlineStr">
        <x:is>
          <x:t xml:space="preserve">Memorandum of Trust</x:t>
        </x:is>
      </x:c>
      <x:c r="D2108" s="552" t="inlineStr">
        <x:is>
          <x:t xml:space="preserve">2332/223</x:t>
        </x:is>
      </x:c>
      <x:c r="E2108" s="653" t="n">
        <x:v>42255</x:v>
      </x:c>
      <x:c r="F2108" s="653" t="n">
        <x:v>42513</x:v>
      </x:c>
      <x:c r="G2108" s="552" t="inlineStr">
        <x:is>
          <x:t xml:space="preserve">Jesse William Fuchs,
Jinkee D. Acuero Fuchs</x:t>
        </x:is>
      </x:c>
      <x:c r="H2108" s="552" t="inlineStr">
        <x:is>
          <x:t xml:space="preserve">Jesse William Trust Fuchs,
Fuchs, Jinkee D. Acuero Trust</x:t>
        </x:is>
      </x:c>
      <x:c r="I2108" s="552" t="inlineStr">
        <x:is>
          <x:t xml:space="preserve">NW/4 SW/4, S/2 SE/4, SW/4 NE/4 of 31-12N-24W, aol</x:t>
        </x:is>
      </x:c>
      <x:c r="J2108" s="552" t="inlineStr">
        <x:is>
          <x:t xml:space="preserve">Trust</x:t>
        </x:is>
      </x:c>
      <x:c r="K2108" s="554" t="e">
        <x:f>HYPERLINK("https://okcountyrecords.com/detail/roger+mills/2016-001244","OKCountyRecords: 2016-001244")</x:f>
      </x:c>
      <x:c r="L2108" s="552" t="inlineStr">
        <x:is>
          <x:t xml:space="preserve">2, 6</x:t>
        </x:is>
      </x:c>
      <x:c r="M2108" s="552" t="inlineStr">
        <x:is>
          <x:t xml:space="preserve">Leasehold</x:t>
        </x:is>
      </x:c>
      <x:c r="N2108" s="555" t="n"/>
      <x:c r="O2108" s="556" t="n">
        <x:f>IF($L2108="","",IF(ISNUMBER(SEARCH("all",$L2108)),640,(ISNUMBER(SEARCH("1",$L2108)))*80+(ISNUMBER(SEARCH("2",$L2108)))*160+(ISNUMBER(SEARCH("3",$L2108)))*40+(ISNUMBER(SEARCH("4",$L2108)))*80+(ISNUMBER(SEARCH("5",$L2108)))*120+(ISNUMBER(SEARCH("6",$L2108)))*80+(ISNUMBER(SEARCH("7",$L2108)))*40+(ISNUMBER(SEARCH("8",$L2108)))*40))</x:f>
        <x:v>0</x:v>
      </x:c>
      <x:c r="P2108" s="654" t="str">
        <x:f>IF($M2108&lt;&gt;"Mineral","",IF(ISNUMBER($N2108),$N2108,IF(OR(ISNUMBER(SEARCH("surface",$J2108)),ISNUMBER(SEARCH("reserv",$J2108)),ISNUMBER(SEARCH("less and except",$J2108))),0,"")))</x:f>
      </x:c>
      <x:c r="Q2108" s="654" t="str">
        <x:f>IF($P2108="","",-$P2108)</x:f>
      </x:c>
      <x:c r="R2108" s="655" t="str">
        <x:f>IF($P2108="","",$O2108*$P2108)</x:f>
      </x:c>
      <x:c r="S2108" s="552" t="str">
        <x:f>IF($M2108="","",TRIM(IF($M2108="Mineral",IF(ISNUMBER($N2108),"Mineral; basis Conv Amt(dec). ",IF($P2108=0,"Mineral; surface-only/reserved-&gt;0 min. ","Mineral; NO AMOUNT-verify instrument. ")),$M2108&amp;" (non-mineral; excluded from mineral NMA). ")&amp;IF(OR(ISNUMBER(SEARCH("public",$G2108)),ISNUMBER(SEARCH("public",$H2108))),"FLAG: The Public placeholder-verify. ","")&amp;IF(ISNUMBER(SEARCH("all",$L2108)),"All-section coverage. ","")&amp;IF($O2108=0,"Gross acres unresolved. ","")&amp;"Gross=tract-map basis."))</x:f>
        <x:v>Leasehold (non-mineral; excluded from mineral NMA). Gross acres unresolved. Gross=tract-map basis.</x:v>
      </x:c>
      <x:c r="T2108" s="577" t="n"/>
      <x:c r="U2108" s="578" t="n"/>
      <x:c r="V2108" s="565" t="n"/>
      <x:c r="W2108" s="565" t="n"/>
      <x:c r="X2108" s="565" t="n"/>
      <x:c r="Y2108" s="565" t="n"/>
      <x:c r="Z2108" s="565" t="n"/>
    </x:row>
    <x:row r="2109">
      <x:c r="A2109" s="552" t="inlineStr">
        <x:is>
          <x:t xml:space="preserve">2015-003284</x:t>
        </x:is>
      </x:c>
      <x:c r="B2109" s="552" t="n"/>
      <x:c r="C2109" s="552" t="inlineStr">
        <x:is>
          <x:t xml:space="preserve">Mineral Deed</x:t>
        </x:is>
      </x:c>
      <x:c r="D2109" s="552" t="inlineStr">
        <x:is>
          <x:t xml:space="preserve">2315/42</x:t>
        </x:is>
      </x:c>
      <x:c r="E2109" s="653" t="n">
        <x:v>42305</x:v>
      </x:c>
      <x:c r="F2109" s="653" t="n">
        <x:v>42313</x:v>
      </x:c>
      <x:c r="G2109" s="552" t="inlineStr">
        <x:is>
          <x:t xml:space="preserve">Lighthouse Point, LLC</x:t>
        </x:is>
      </x:c>
      <x:c r="H2109" s="552" t="inlineStr">
        <x:is>
          <x:t xml:space="preserve">Greystone Energy &amp; Minerals, LLC</x:t>
        </x:is>
      </x:c>
      <x:c r="I2109" s="552" t="inlineStr">
        <x:is>
          <x:t xml:space="preserve">NW/4 SE/4, S/2 SE/4, SW/4 NE/4 of 31-12N-24W, aol</x:t>
        </x:is>
      </x:c>
      <x:c r="J2109" s="552" t="inlineStr">
        <x:is>
          <x:t xml:space="preserve">3 NMA in 31-12N-24W
A total of Twenty Five and 7,225/10,000ths net mineral acres (25.7225) of Grantor's right, title and interest in and to all of the oil, gas and other minerals in and under 3 sections</x:t>
        </x:is>
      </x:c>
      <x:c r="K2109" s="554" t="e">
        <x:f>HYPERLINK("https://okcountyrecords.com/detail/roger+mills/2015-003284","OKCountyRecords: 2015-003284")</x:f>
      </x:c>
      <x:c r="L2109" s="552" t="n">
        <x:v>2</x:v>
      </x:c>
      <x:c r="M2109" s="552" t="inlineStr">
        <x:is>
          <x:t xml:space="preserve">Mineral</x:t>
        </x:is>
      </x:c>
      <x:c r="N2109" s="555" t="str">
        <x:f>IF(O2109&gt;0,3/O2109,"")</x:f>
      </x:c>
      <x:c r="O2109" s="556" t="n">
        <x:f>IF($L2109="","",IF(ISNUMBER(SEARCH("all",$L2109)),640,(ISNUMBER(SEARCH("1",$L2109)))*80+(ISNUMBER(SEARCH("2",$L2109)))*160+(ISNUMBER(SEARCH("3",$L2109)))*40+(ISNUMBER(SEARCH("4",$L2109)))*80+(ISNUMBER(SEARCH("5",$L2109)))*120+(ISNUMBER(SEARCH("6",$L2109)))*80+(ISNUMBER(SEARCH("7",$L2109)))*40+(ISNUMBER(SEARCH("8",$L2109)))*40))</x:f>
        <x:v>0</x:v>
      </x:c>
      <x:c r="P2109" s="654" t="str">
        <x:f>IF($M2109&lt;&gt;"Mineral","",IF(ISNUMBER($N2109),$N2109,IF(OR(ISNUMBER(SEARCH("surface",$J2109)),ISNUMBER(SEARCH("reserv",$J2109)),ISNUMBER(SEARCH("less and except",$J2109))),0,"")))</x:f>
      </x:c>
      <x:c r="Q2109" s="654" t="str">
        <x:f>IF($P2109="","",-$P2109)</x:f>
      </x:c>
      <x:c r="R2109" s="655" t="str">
        <x:f>IF($P2109="","",$O2109*$P2109)</x:f>
      </x:c>
      <x:c r="S2109" s="552" t="str">
        <x:f>IF($M2109="","",TRIM(IF($M2109="Mineral",IF(ISNUMBER($N2109),"Mineral; basis Conv Amt(dec). ",IF($P2109=0,"Mineral; surface-only/reserved-&gt;0 min. ","Mineral; NO AMOUNT-verify instrument. ")),$M2109&amp;" (non-mineral; excluded from mineral NMA). ")&amp;IF(OR(ISNUMBER(SEARCH("public",$G2109)),ISNUMBER(SEARCH("public",$H2109))),"FLAG: The Public placeholder-verify. ","")&amp;IF(ISNUMBER(SEARCH("all",$L2109)),"All-section coverage. ","")&amp;IF($O2109=0,"Gross acres unresolved. ","")&amp;"Gross=tract-map basis."))</x:f>
        <x:v>Mineral; surface-only/reserved-&gt;0 min. Gross acres unresolved. Gross=tract-map basis.</x:v>
      </x:c>
      <x:c r="T2109" s="578" t="n"/>
      <x:c r="U2109" s="578" t="inlineStr">
        <x:is>
          <x:t xml:space="preserve">Conveys 3 NMA per notes; conv. dec = 3/gross. Verify denominator/tract from image.</x:t>
        </x:is>
      </x:c>
      <x:c r="V2109" s="565" t="n"/>
      <x:c r="W2109" s="565" t="n"/>
      <x:c r="X2109" s="565" t="n"/>
      <x:c r="Y2109" s="565" t="n"/>
      <x:c r="Z2109" s="565" t="n"/>
    </x:row>
    <x:row r="2110">
      <x:c r="A2110" s="552" t="inlineStr">
        <x:is>
          <x:t xml:space="preserve">2016-001883</x:t>
        </x:is>
      </x:c>
      <x:c r="B2110" s="552" t="n">
        <x:v>45</x:v>
      </x:c>
      <x:c r="C2110" s="552" t="inlineStr">
        <x:is>
          <x:t xml:space="preserve">Assignment</x:t>
        </x:is>
      </x:c>
      <x:c r="D2110" s="563" t="inlineStr">
        <x:is>
          <x:t xml:space="preserve">2343/1</x:t>
        </x:is>
      </x:c>
      <x:c r="E2110" s="653" t="n">
        <x:v>42370</x:v>
      </x:c>
      <x:c r="F2110" s="653" t="n">
        <x:v>42593</x:v>
      </x:c>
      <x:c r="G2110" s="552" t="inlineStr">
        <x:is>
          <x:t xml:space="preserve">Devon Energy Production Co.</x:t>
        </x:is>
      </x:c>
      <x:c r="H2110" s="552" t="inlineStr">
        <x:is>
          <x:t xml:space="preserve">Tecolote Holdings, LLC</x:t>
        </x:is>
      </x:c>
      <x:c r="I2110" s="552" t="inlineStr">
        <x:is>
          <x:t xml:space="preserve">All of 31-12N-24W, aol</x:t>
        </x:is>
      </x:c>
      <x:c r="J2110" s="552" t="inlineStr">
        <x:is>
          <x:t xml:space="preserve">Transfers leasehold/WI in chain</x:t>
        </x:is>
      </x:c>
      <x:c r="K2110" s="554" t="e">
        <x:f>HYPERLINK("https://okcountyrecords.com/detail/roger+mills/2016-001883","OKCountyRecords: 2016-001883")</x:f>
      </x:c>
      <x:c r="L2110" s="552" t="inlineStr">
        <x:is>
          <x:t xml:space="preserve">All (1-8)</x:t>
        </x:is>
      </x:c>
      <x:c r="M2110" s="552" t="inlineStr">
        <x:is>
          <x:t xml:space="preserve">Leasehold</x:t>
        </x:is>
      </x:c>
      <x:c r="N2110" s="555" t="n"/>
      <x:c r="O2110" s="556" t="n">
        <x:f>IF($L2110="","",IF(ISNUMBER(SEARCH("all",$L2110)),640,(ISNUMBER(SEARCH("1",$L2110)))*80+(ISNUMBER(SEARCH("2",$L2110)))*160+(ISNUMBER(SEARCH("3",$L2110)))*40+(ISNUMBER(SEARCH("4",$L2110)))*80+(ISNUMBER(SEARCH("5",$L2110)))*120+(ISNUMBER(SEARCH("6",$L2110)))*80+(ISNUMBER(SEARCH("7",$L2110)))*40+(ISNUMBER(SEARCH("8",$L2110)))*40))</x:f>
        <x:v>640</x:v>
      </x:c>
      <x:c r="P2110" s="654" t="str">
        <x:f>IF($M2110&lt;&gt;"Mineral","",IF(ISNUMBER($N2110),$N2110,IF(OR(ISNUMBER(SEARCH("surface",$J2110)),ISNUMBER(SEARCH("reserv",$J2110)),ISNUMBER(SEARCH("less and except",$J2110))),0,"")))</x:f>
      </x:c>
      <x:c r="Q2110" s="654" t="str">
        <x:f>IF($P2110="","",-$P2110)</x:f>
      </x:c>
      <x:c r="R2110" s="655" t="str">
        <x:f>IF($P2110="","",$O2110*$P2110)</x:f>
      </x:c>
      <x:c r="S2110" s="552" t="str">
        <x:f>IF($M2110="","",TRIM(IF($M2110="Mineral",IF(ISNUMBER($N2110),"Mineral; basis Conv Amt(dec). ",IF($P2110=0,"Mineral; surface-only/reserved-&gt;0 min. ","Mineral; NO AMOUNT-verify instrument. ")),$M2110&amp;" (non-mineral; excluded from mineral NMA). ")&amp;IF(OR(ISNUMBER(SEARCH("public",$G2110)),ISNUMBER(SEARCH("public",$H2110))),"FLAG: The Public placeholder-verify. ","")&amp;IF(ISNUMBER(SEARCH("all",$L2110)),"All-section coverage. ","")&amp;IF($O2110=0,"Gross acres unresolved. ","")&amp;"Gross=tract-map basis."))</x:f>
        <x:v>Leasehold (non-mineral; excluded from mineral NMA). All-section coverage. Gross=tract-map basis.</x:v>
      </x:c>
      <x:c r="T2110" s="578" t="n"/>
      <x:c r="U2110" s="578" t="n"/>
      <x:c r="V2110" s="565" t="n"/>
      <x:c r="W2110" s="565" t="n"/>
      <x:c r="X2110" s="565" t="n"/>
      <x:c r="Y2110" s="565" t="n"/>
      <x:c r="Z2110" s="565" t="n"/>
    </x:row>
    <x:row r="2111">
      <x:c r="A2111" s="552" t="inlineStr">
        <x:is>
          <x:t xml:space="preserve">2016-001882</x:t>
        </x:is>
      </x:c>
      <x:c r="B2111" s="552" t="n">
        <x:v>43</x:v>
      </x:c>
      <x:c r="C2111" s="552" t="inlineStr">
        <x:is>
          <x:t xml:space="preserve">Quit Claim Mineral Deed</x:t>
        </x:is>
      </x:c>
      <x:c r="D2111" s="563" t="inlineStr">
        <x:is>
          <x:t xml:space="preserve">2342/219</x:t>
        </x:is>
      </x:c>
      <x:c r="E2111" s="653" t="n">
        <x:v>42370</x:v>
      </x:c>
      <x:c r="F2111" s="653" t="n">
        <x:v>42593</x:v>
      </x:c>
      <x:c r="G2111" s="552" t="inlineStr">
        <x:is>
          <x:t xml:space="preserve">Devon Energy Production Company, L.P., an Oklahoma limited partnership,</x:t>
        </x:is>
      </x:c>
      <x:c r="H2111" s="552" t="inlineStr">
        <x:is>
          <x:t xml:space="preserve">Tecolote Holdings, LLC, a Delaware limited liability
company</x:t>
        </x:is>
      </x:c>
      <x:c r="I2111" s="552" t="inlineStr">
        <x:is>
          <x:t xml:space="preserve">N/2 NE/4, W/2 NW/4 of 31-12N-24W, aol</x:t>
        </x:is>
      </x:c>
      <x:c r="J2111" s="552" t="inlineStr">
        <x:is>
          <x:t xml:space="preserve">all of Grantor's right, title and interest in and to the oil, gas and other minerals</x:t>
        </x:is>
      </x:c>
      <x:c r="K2111" s="554" t="e">
        <x:f>HYPERLINK("https://okcountyrecords.com/detail/roger+mills/2016-001882","OKCountyRecords: 2016-001882")</x:f>
      </x:c>
      <x:c r="L2111" s="552" t="inlineStr">
        <x:is>
          <x:t xml:space="preserve">1, 5</x:t>
        </x:is>
      </x:c>
      <x:c r="M2111" s="552" t="inlineStr">
        <x:is>
          <x:t xml:space="preserve">Mineral</x:t>
        </x:is>
      </x:c>
      <x:c r="N2111" s="555" t="n">
        <x:f>1</x:f>
        <x:v>1</x:v>
      </x:c>
      <x:c r="O2111" s="556" t="n">
        <x:f>IF($L2111="","",IF(ISNUMBER(SEARCH("all",$L2111)),640,(ISNUMBER(SEARCH("1",$L2111)))*80+(ISNUMBER(SEARCH("2",$L2111)))*160+(ISNUMBER(SEARCH("3",$L2111)))*40+(ISNUMBER(SEARCH("4",$L2111)))*80+(ISNUMBER(SEARCH("5",$L2111)))*120+(ISNUMBER(SEARCH("6",$L2111)))*80+(ISNUMBER(SEARCH("7",$L2111)))*40+(ISNUMBER(SEARCH("8",$L2111)))*40))</x:f>
        <x:v>0</x:v>
      </x:c>
      <x:c r="P2111" s="654" t="n">
        <x:f>IF($M2111&lt;&gt;"Mineral","",IF(ISNUMBER($N2111),$N2111,IF(OR(ISNUMBER(SEARCH("surface",$J2111)),ISNUMBER(SEARCH("reserv",$J2111)),ISNUMBER(SEARCH("less and except",$J2111))),0,"")))</x:f>
        <x:v>1</x:v>
      </x:c>
      <x:c r="Q2111" s="654" t="n">
        <x:f>IF($P2111="","",-$P2111)</x:f>
        <x:v>-1</x:v>
      </x:c>
      <x:c r="R2111" s="655" t="n">
        <x:f>IF($P2111="","",$O2111*$P2111)</x:f>
        <x:v>0</x:v>
      </x:c>
      <x:c r="S2111" s="552" t="str">
        <x:f>IF($M2111="","",TRIM(IF($M2111="Mineral",IF(ISNUMBER($N2111),"Mineral; basis Conv Amt(dec). ",IF($P2111=0,"Mineral; surface-only/reserved-&gt;0 min. ","Mineral; VERIFY — NEED full instrument image for conveyed amount. ")),$M2111&amp;" (non-mineral; excluded from mineral NMA). ")&amp;IF(OR(ISNUMBER(SEARCH("public",$G2111)),ISNUMBER(SEARCH("public",$H2111))),"FLAG: The Public placeholder; VERIFY — NEED source confirmation. ","")&amp;IF(ISNUMBER(SEARCH("all",$L2111)),"All-section coverage. ","")&amp;IF($O2111=0,"Gross acres unresolved. ","")&amp;"Gross=tract-map basis."))</x:f>
        <x:v>Mineral; basis Conv Amt(dec). Gross acres unresolved. Gross=tract-map basis.</x:v>
      </x:c>
      <x:c r="T2111" s="577" t="inlineStr">
        <x:is>
          <x:t xml:space="preserve">REVIEW</x:t>
        </x:is>
      </x:c>
      <x:c r="U2111" s="578" t="inlineStr">
        <x:is>
          <x:t xml:space="preserve">SOURCE: conveyed amount parsed from Notes as ARTI</x:t>
        </x:is>
      </x:c>
      <x:c r="V2111" s="565" t="n"/>
      <x:c r="W2111" s="565" t="n"/>
      <x:c r="X2111" s="565" t="n"/>
      <x:c r="Y2111" s="565" t="n"/>
      <x:c r="Z2111" s="565" t="n"/>
    </x:row>
    <x:row r="2112">
      <x:c r="A2112" s="552" t="inlineStr">
        <x:is>
          <x:t xml:space="preserve">2016-002793</x:t>
        </x:is>
      </x:c>
      <x:c r="B2112" s="552" t="n">
        <x:v>46</x:v>
      </x:c>
      <x:c r="C2112" s="552" t="inlineStr">
        <x:is>
          <x:t xml:space="preserve">Assignment</x:t>
        </x:is>
      </x:c>
      <x:c r="D2112" s="563" t="inlineStr">
        <x:is>
          <x:t xml:space="preserve">2354/229</x:t>
        </x:is>
      </x:c>
      <x:c r="E2112" s="653" t="n">
        <x:v>42673</x:v>
      </x:c>
      <x:c r="F2112" s="653" t="n">
        <x:v>42719</x:v>
      </x:c>
      <x:c r="G2112" s="552" t="inlineStr">
        <x:is>
          <x:t xml:space="preserve">Hefner Company, Inc.</x:t>
        </x:is>
      </x:c>
      <x:c r="H2112" s="552" t="inlineStr">
        <x:is>
          <x:t xml:space="preserve">Cheyenne Resources, LLC</x:t>
        </x:is>
      </x:c>
      <x:c r="I2112" s="552" t="inlineStr">
        <x:is>
          <x:t xml:space="preserve">All of 31-12N-24W, aol</x:t>
        </x:is>
      </x:c>
      <x:c r="J2112" s="552" t="inlineStr">
        <x:is>
          <x:t xml:space="preserve">Transfers leasehold/WI in chain</x:t>
        </x:is>
      </x:c>
      <x:c r="K2112" s="554" t="e">
        <x:f>HYPERLINK("https://okcountyrecords.com/detail/roger+mills/2016-002793","63e8b9a8d056433a9994fe46ca85076b.pdf | OKCountyRecords: 2016-002793")</x:f>
      </x:c>
      <x:c r="L2112" s="552" t="inlineStr">
        <x:is>
          <x:t xml:space="preserve">All (1-8)</x:t>
        </x:is>
      </x:c>
      <x:c r="M2112" s="552" t="inlineStr">
        <x:is>
          <x:t xml:space="preserve">Leasehold</x:t>
        </x:is>
      </x:c>
      <x:c r="N2112" s="555" t="n"/>
      <x:c r="O2112" s="556" t="n">
        <x:f>IF($L2112="","",IF(ISNUMBER(SEARCH("all",$L2112)),640,(ISNUMBER(SEARCH("1",$L2112)))*80+(ISNUMBER(SEARCH("2",$L2112)))*160+(ISNUMBER(SEARCH("3",$L2112)))*40+(ISNUMBER(SEARCH("4",$L2112)))*80+(ISNUMBER(SEARCH("5",$L2112)))*120+(ISNUMBER(SEARCH("6",$L2112)))*80+(ISNUMBER(SEARCH("7",$L2112)))*40+(ISNUMBER(SEARCH("8",$L2112)))*40))</x:f>
        <x:v>640</x:v>
      </x:c>
      <x:c r="P2112" s="654" t="str">
        <x:f>IF($M2112&lt;&gt;"Mineral","",IF(ISNUMBER($N2112),$N2112,IF(OR(ISNUMBER(SEARCH("surface",$J2112)),ISNUMBER(SEARCH("reserv",$J2112)),ISNUMBER(SEARCH("less and except",$J2112))),0,"")))</x:f>
      </x:c>
      <x:c r="Q2112" s="654" t="str">
        <x:f>IF($P2112="","",-$P2112)</x:f>
      </x:c>
      <x:c r="R2112" s="655" t="str">
        <x:f>IF($P2112="","",$O2112*$P2112)</x:f>
      </x:c>
      <x:c r="S2112" s="552" t="str">
        <x:f>IF($M2112="","",TRIM(IF($M2112="Mineral",IF(ISNUMBER($N2112),"Mineral; basis Conv Amt(dec). ",IF($P2112=0,"Mineral; surface-only/reserved-&gt;0 min. ","Mineral; NO AMOUNT-verify instrument. ")),$M2112&amp;" (non-mineral; excluded from mineral NMA). ")&amp;IF(OR(ISNUMBER(SEARCH("public",$G2112)),ISNUMBER(SEARCH("public",$H2112))),"FLAG: The Public placeholder-verify. ","")&amp;IF(ISNUMBER(SEARCH("all",$L2112)),"All-section coverage. ","")&amp;IF($O2112=0,"Gross acres unresolved. ","")&amp;"Gross=tract-map basis."))</x:f>
        <x:v>Leasehold (non-mineral; excluded from mineral NMA). All-section coverage. Gross=tract-map basis.</x:v>
      </x:c>
      <x:c r="T2112" s="578" t="n"/>
      <x:c r="U2112" s="578" t="n"/>
      <x:c r="V2112" s="565" t="n"/>
      <x:c r="W2112" s="565" t="n"/>
      <x:c r="X2112" s="565" t="n"/>
      <x:c r="Y2112" s="565" t="n"/>
      <x:c r="Z2112" s="565" t="n"/>
    </x:row>
    <x:row r="2113">
      <x:c r="A2113" s="552" t="inlineStr">
        <x:is>
          <x:t xml:space="preserve">2016-002668</x:t>
        </x:is>
      </x:c>
      <x:c r="B2113" s="552" t="n">
        <x:v>47</x:v>
      </x:c>
      <x:c r="C2113" s="552" t="inlineStr">
        <x:is>
          <x:t xml:space="preserve">Assignment</x:t>
        </x:is>
      </x:c>
      <x:c r="D2113" s="563" t="inlineStr">
        <x:is>
          <x:t xml:space="preserve">2351/1</x:t>
        </x:is>
      </x:c>
      <x:c r="E2113" s="653" t="n">
        <x:v>42677</x:v>
      </x:c>
      <x:c r="F2113" s="653" t="n">
        <x:v>42692</x:v>
      </x:c>
      <x:c r="G2113" s="552" t="inlineStr">
        <x:is>
          <x:t xml:space="preserve">Oil Rio,
Gas II, LLC</x:t>
        </x:is>
      </x:c>
      <x:c r="H2113" s="552" t="inlineStr">
        <x:is>
          <x:t xml:space="preserve">Samson Resources Co.</x:t>
        </x:is>
      </x:c>
      <x:c r="I2113" s="552" t="inlineStr">
        <x:is>
          <x:t xml:space="preserve">S9 T15N R23W LFUCHS 168 more candidate from related target search page of 31-12N-24W, aol</x:t>
        </x:is>
      </x:c>
      <x:c r="J2113" s="552" t="inlineStr">
        <x:is>
          <x:t xml:space="preserve">Transfers leasehold/WI in chain</x:t>
        </x:is>
      </x:c>
      <x:c r="K2113" s="554" t="e">
        <x:f>HYPERLINK("https://okcountyrecords.com/detail/roger+mills/2016-002668","OKCountyRecords: 2016-002668")</x:f>
      </x:c>
      <x:c r="L2113" s="552" t="inlineStr">
        <x:is>
          <x:t xml:space="preserve">All (1-8)</x:t>
        </x:is>
      </x:c>
      <x:c r="M2113" s="552" t="inlineStr">
        <x:is>
          <x:t xml:space="preserve">Leasehold</x:t>
        </x:is>
      </x:c>
      <x:c r="N2113" s="555" t="n"/>
      <x:c r="O2113" s="556" t="n">
        <x:f>IF($L2113="","",IF(ISNUMBER(SEARCH("all",$L2113)),640,(ISNUMBER(SEARCH("1",$L2113)))*80+(ISNUMBER(SEARCH("2",$L2113)))*160+(ISNUMBER(SEARCH("3",$L2113)))*40+(ISNUMBER(SEARCH("4",$L2113)))*80+(ISNUMBER(SEARCH("5",$L2113)))*120+(ISNUMBER(SEARCH("6",$L2113)))*80+(ISNUMBER(SEARCH("7",$L2113)))*40+(ISNUMBER(SEARCH("8",$L2113)))*40))</x:f>
        <x:v>640</x:v>
      </x:c>
      <x:c r="P2113" s="654" t="str">
        <x:f>IF($M2113&lt;&gt;"Mineral","",IF(ISNUMBER($N2113),$N2113,IF(OR(ISNUMBER(SEARCH("surface",$J2113)),ISNUMBER(SEARCH("reserv",$J2113)),ISNUMBER(SEARCH("less and except",$J2113))),0,"")))</x:f>
      </x:c>
      <x:c r="Q2113" s="654" t="str">
        <x:f>IF($P2113="","",-$P2113)</x:f>
      </x:c>
      <x:c r="R2113" s="655" t="str">
        <x:f>IF($P2113="","",$O2113*$P2113)</x:f>
      </x:c>
      <x:c r="S2113" s="552" t="str">
        <x:f>IF($M2113="","",TRIM(IF($M2113="Mineral",IF(ISNUMBER($N2113),"Mineral; basis Conv Amt(dec). ",IF($P2113=0,"Mineral; surface-only/reserved-&gt;0 min. ","Mineral; NO AMOUNT-verify instrument. ")),$M2113&amp;" (non-mineral; excluded from mineral NMA). ")&amp;IF(OR(ISNUMBER(SEARCH("public",$G2113)),ISNUMBER(SEARCH("public",$H2113))),"FLAG: The Public placeholder-verify. ","")&amp;IF(ISNUMBER(SEARCH("all",$L2113)),"All-section coverage. ","")&amp;IF($O2113=0,"Gross acres unresolved. ","")&amp;"Gross=tract-map basis."))</x:f>
        <x:v>Leasehold (non-mineral; excluded from mineral NMA). All-section coverage. Gross=tract-map basis.</x:v>
      </x:c>
      <x:c r="T2113" s="578" t="inlineStr">
        <x:is>
          <x:t xml:space="preserve">REFERENCE</x:t>
        </x:is>
      </x:c>
      <x:c r="U2113" s="578" t="inlineStr">
        <x:is>
          <x:t xml:space="preserve">EXCLUDED/REFERENCE: off-section (S9-T15N-R23W); leasehold/WI assignment — see Excluded/Reference section below. Confirm any 31-12N-24W nexus from image before use.</x:t>
        </x:is>
      </x:c>
      <x:c r="V2113" s="565" t="n"/>
      <x:c r="W2113" s="565" t="n"/>
      <x:c r="X2113" s="565" t="n"/>
      <x:c r="Y2113" s="565" t="n"/>
      <x:c r="Z2113" s="565" t="n"/>
    </x:row>
    <x:row r="2114">
      <x:c r="A2114" s="552" t="inlineStr">
        <x:is>
          <x:t xml:space="preserve">2017-000083</x:t>
        </x:is>
      </x:c>
      <x:c r="B2114" s="552" t="n">
        <x:v>48</x:v>
      </x:c>
      <x:c r="C2114" s="552" t="inlineStr">
        <x:is>
          <x:t xml:space="preserve">Assignment</x:t>
        </x:is>
      </x:c>
      <x:c r="D2114" s="563" t="inlineStr">
        <x:is>
          <x:t xml:space="preserve">2356/399</x:t>
        </x:is>
      </x:c>
      <x:c r="E2114" s="653" t="n">
        <x:v>42682</x:v>
      </x:c>
      <x:c r="F2114" s="653" t="n">
        <x:v>42752</x:v>
      </x:c>
      <x:c r="G2114" s="552" t="inlineStr">
        <x:is>
          <x:t xml:space="preserve">Geodyne Resources, Inc.,
Samson Lone Star, LLC,
Samson Resources Company</x:t>
        </x:is>
      </x:c>
      <x:c r="H2114" s="552" t="inlineStr">
        <x:is>
          <x:t xml:space="preserve">Fairway Resources III, LLC</x:t>
        </x:is>
      </x:c>
      <x:c r="I2114" s="552" t="inlineStr">
        <x:is>
          <x:t xml:space="preserve">LALEXANDER of 31-12N-24W, aol</x:t>
        </x:is>
      </x:c>
      <x:c r="J2114" s="552" t="inlineStr">
        <x:is>
          <x:t xml:space="preserve">Transfers leasehold/WI in chain</x:t>
        </x:is>
      </x:c>
      <x:c r="K2114" s="554" t="e">
        <x:f>HYPERLINK("https://okcountyrecords.com/detail/roger+mills/2017-000083","OKCountyRecords: 2017-000083")</x:f>
      </x:c>
      <x:c r="L2114" s="552" t="inlineStr">
        <x:is>
          <x:t xml:space="preserve">All (1-8)</x:t>
        </x:is>
      </x:c>
      <x:c r="M2114" s="552" t="inlineStr">
        <x:is>
          <x:t xml:space="preserve">Leasehold</x:t>
        </x:is>
      </x:c>
      <x:c r="N2114" s="555" t="n"/>
      <x:c r="O2114" s="556" t="n">
        <x:f>IF($L2114="","",IF(ISNUMBER(SEARCH("all",$L2114)),640,(ISNUMBER(SEARCH("1",$L2114)))*80+(ISNUMBER(SEARCH("2",$L2114)))*160+(ISNUMBER(SEARCH("3",$L2114)))*40+(ISNUMBER(SEARCH("4",$L2114)))*80+(ISNUMBER(SEARCH("5",$L2114)))*120+(ISNUMBER(SEARCH("6",$L2114)))*80+(ISNUMBER(SEARCH("7",$L2114)))*40+(ISNUMBER(SEARCH("8",$L2114)))*40))</x:f>
        <x:v>640</x:v>
      </x:c>
      <x:c r="P2114" s="654" t="str">
        <x:f>IF($M2114&lt;&gt;"Mineral","",IF(ISNUMBER($N2114),$N2114,IF(OR(ISNUMBER(SEARCH("surface",$J2114)),ISNUMBER(SEARCH("reserv",$J2114)),ISNUMBER(SEARCH("less and except",$J2114))),0,"")))</x:f>
      </x:c>
      <x:c r="Q2114" s="654" t="str">
        <x:f>IF($P2114="","",-$P2114)</x:f>
      </x:c>
      <x:c r="R2114" s="655" t="str">
        <x:f>IF($P2114="","",$O2114*$P2114)</x:f>
      </x:c>
      <x:c r="S2114" s="552" t="str">
        <x:f>IF($M2114="","",TRIM(IF($M2114="Mineral",IF(ISNUMBER($N2114),"Mineral; basis Conv Amt(dec). ",IF($P2114=0,"Mineral; surface-only/reserved-&gt;0 min. ","Mineral; NO AMOUNT-verify instrument. ")),$M2114&amp;" (non-mineral; excluded from mineral NMA). ")&amp;IF(OR(ISNUMBER(SEARCH("public",$G2114)),ISNUMBER(SEARCH("public",$H2114))),"FLAG: The Public placeholder-verify. ","")&amp;IF(ISNUMBER(SEARCH("all",$L2114)),"All-section coverage. ","")&amp;IF($O2114=0,"Gross acres unresolved. ","")&amp;"Gross=tract-map basis."))</x:f>
        <x:v>Leasehold (non-mineral; excluded from mineral NMA). All-section coverage. Gross=tract-map basis.</x:v>
      </x:c>
      <x:c r="T2114" s="578" t="n"/>
      <x:c r="U2114" s="578" t="n"/>
      <x:c r="V2114" s="565" t="n"/>
      <x:c r="W2114" s="565" t="n"/>
      <x:c r="X2114" s="565" t="n"/>
      <x:c r="Y2114" s="565" t="n"/>
      <x:c r="Z2114" s="565" t="n"/>
    </x:row>
    <x:row r="2115">
      <x:c r="A2115" s="552" t="inlineStr">
        <x:is>
          <x:t xml:space="preserve">2017-000951</x:t>
        </x:is>
      </x:c>
      <x:c r="B2115" s="552" t="n"/>
      <x:c r="C2115" s="552" t="inlineStr">
        <x:is>
          <x:t xml:space="preserve">Mineral Deed</x:t>
        </x:is>
      </x:c>
      <x:c r="D2115" s="552" t="inlineStr">
        <x:is>
          <x:t xml:space="preserve">2365/338</x:t>
        </x:is>
      </x:c>
      <x:c r="E2115" s="653" t="n">
        <x:v>42855</x:v>
      </x:c>
      <x:c r="F2115" s="653" t="n">
        <x:v>42858</x:v>
      </x:c>
      <x:c r="G2115" s="552" t="inlineStr">
        <x:is>
          <x:t xml:space="preserve">Ella Pearl Kirk</x:t>
        </x:is>
      </x:c>
      <x:c r="H2115" s="552" t="inlineStr">
        <x:is>
          <x:t xml:space="preserve">Calvin Wayne Kirk
Box 524
Cheyenne, Oklahoma 73628</x:t>
        </x:is>
      </x:c>
      <x:c r="I2115" s="552" t="inlineStr">
        <x:is>
          <x:t xml:space="preserve">The South Fifty-one (51) acres in the following tract of land, to-wit: a tract of land in Section 31, Township 12 North, Range 24 West I.M., described as follows: Beginning at the Northwest Corner of the Northwest Quarter of said South 50 chains, (or 200 rods) thence West 18.20 chains (or 72 8/10 rods) to Range line between Range 24 and 25, thence North on Range line 50 chains according to the Government Survey thereof;</x:t>
        </x:is>
      </x:c>
      <x:c r="J2115" s="552" t="inlineStr">
        <x:is>
          <x:t xml:space="preserve">An undivided 2.2 acre interest, more or less, in the OIL, GAS and OTHER MINERALS</x:t>
        </x:is>
      </x:c>
      <x:c r="K2115" s="554" t="e">
        <x:f>HYPERLINK("https://okcountyrecords.com/detail/roger+mills/2017-000951/19673811","OKCountyRecords: 2017-000951")</x:f>
      </x:c>
      <x:c r="L2115" s="552" t="inlineStr">
        <x:is>
          <x:t xml:space="preserve">9 (South 51 — non-additive overlay)</x:t>
        </x:is>
      </x:c>
      <x:c r="M2115" s="552" t="inlineStr">
        <x:is>
          <x:t xml:space="preserve">Mineral</x:t>
        </x:is>
      </x:c>
      <x:c r="N2115" s="555" t="n">
        <x:f>2.2/O2115</x:f>
        <x:v>0.04313725490196079</x:v>
      </x:c>
      <x:c r="O2115" s="556" t="n">
        <x:v>51</x:v>
      </x:c>
      <x:c r="P2115" s="654" t="n">
        <x:f>IF($M2115&lt;&gt;"Mineral","",IF(ISNUMBER($N2115),$N2115,IF(OR(ISNUMBER(SEARCH("surface",$J2115)),ISNUMBER(SEARCH("reserv",$J2115)),ISNUMBER(SEARCH("less and except",$J2115))),0,"")))</x:f>
        <x:v>0.04313725490196079</x:v>
      </x:c>
      <x:c r="Q2115" s="654" t="n">
        <x:f>IF($P2115="","",-$P2115)</x:f>
        <x:v>-0.04313725490196079</x:v>
      </x:c>
      <x:c r="R2115" s="655" t="n">
        <x:f>IF($P2115="","",$O2115*$P2115)</x:f>
        <x:v>2.2</x:v>
      </x:c>
      <x:c r="S2115" s="552" t="inlineStr">
        <x:is>
          <x:t xml:space="preserve">Mineral; 2.20 NMA conveyed (deed notes: 'undivided 2.2 acre interest') in the South 51 M&amp;B = Tract 9. Gross corrected from All(1-8)/640 to 51 (non-additive overlay). Interest decimal = 2.2/51 so TOTAL Net Ac = 2.20.</x:t>
        </x:is>
      </x:c>
      <x:c r="T2115" s="578" t="inlineStr">
        <x:is>
          <x:t xml:space="preserve">OK</x:t>
        </x:is>
      </x:c>
      <x:c r="U2115" s="578" t="inlineStr">
        <x:is>
          <x:t xml:space="preserve">Ella Pearl Kirk conveyed 2.20 NMA to Calvin Wayne Kirk; remaining 48.80 ac retained by Ella Pearl Kirk / estate (heirship to verify — NEEDS image 2017-000951 / Bk 2365/338 + probate). Posted to Tract 9 grid &amp; Title!B115-B116. Gross corrected to 51 (South 51 overlay); Tract 9 is NON-ADDITIVE — not added to the 640-ac section total.</x:t>
        </x:is>
      </x:c>
      <x:c r="V2115" s="565" t="n"/>
      <x:c r="W2115" s="565" t="n"/>
      <x:c r="X2115" s="565" t="n"/>
      <x:c r="Y2115" s="565" t="n"/>
      <x:c r="Z2115" s="565" t="n"/>
    </x:row>
    <x:row r="2116">
      <x:c r="A2116" s="552" t="inlineStr">
        <x:is>
          <x:t xml:space="preserve">2017-001403</x:t>
        </x:is>
      </x:c>
      <x:c r="B2116" s="552" t="n"/>
      <x:c r="C2116" s="552" t="inlineStr">
        <x:is>
          <x:t xml:space="preserve">Change of Address</x:t>
        </x:is>
      </x:c>
      <x:c r="D2116" s="552" t="inlineStr">
        <x:is>
          <x:t xml:space="preserve">2370/359</x:t>
        </x:is>
      </x:c>
      <x:c r="E2116" s="653" t="n">
        <x:v>42924</x:v>
      </x:c>
      <x:c r="F2116" s="653" t="n">
        <x:v>42930</x:v>
      </x:c>
      <x:c r="G2116" s="552" t="inlineStr">
        <x:is>
          <x:t xml:space="preserve">King Exploration</x:t>
        </x:is>
      </x:c>
      <x:c r="H2116" s="552" t="inlineStr">
        <x:is>
          <x:t xml:space="preserve">The Public</x:t>
        </x:is>
      </x:c>
      <x:c r="I2116" s="552" t="inlineStr">
        <x:is>
          <x:t xml:space="preserve">All of 31-12N-24W, aol</x:t>
        </x:is>
      </x:c>
      <x:c r="J2116" s="552" t="inlineStr">
        <x:is>
          <x:t xml:space="preserve">Change of address of record only, no effect on mineral or title ownership.</x:t>
        </x:is>
      </x:c>
      <x:c r="K2116" s="554" t="e">
        <x:f>HYPERLINK("https://okcountyrecords.com/detail/roger+mills/2017-001403","63e8b9a8d056433a9994fe46ca85076b.pdf | OKCountyRecords: 2017-001403")</x:f>
      </x:c>
      <x:c r="L2116" s="552" t="inlineStr">
        <x:is>
          <x:t xml:space="preserve">All (1-8)</x:t>
        </x:is>
      </x:c>
      <x:c r="M2116" s="552" t="inlineStr">
        <x:is>
          <x:t xml:space="preserve">Other</x:t>
        </x:is>
      </x:c>
      <x:c r="N2116" s="555" t="n"/>
      <x:c r="O2116" s="556" t="n">
        <x:f>IF($L2116="","",IF(ISNUMBER(SEARCH("all",$L2116)),640,(ISNUMBER(SEARCH("1",$L2116)))*80+(ISNUMBER(SEARCH("2",$L2116)))*160+(ISNUMBER(SEARCH("3",$L2116)))*40+(ISNUMBER(SEARCH("4",$L2116)))*80+(ISNUMBER(SEARCH("5",$L2116)))*120+(ISNUMBER(SEARCH("6",$L2116)))*80+(ISNUMBER(SEARCH("7",$L2116)))*40+(ISNUMBER(SEARCH("8",$L2116)))*40))</x:f>
        <x:v>640</x:v>
      </x:c>
      <x:c r="P2116" s="654" t="str">
        <x:f>IF($M2116&lt;&gt;"Mineral","",IF(ISNUMBER($N2116),$N2116,IF(OR(ISNUMBER(SEARCH("surface",$J2116)),ISNUMBER(SEARCH("reserv",$J2116)),ISNUMBER(SEARCH("less and except",$J2116))),0,"")))</x:f>
      </x:c>
      <x:c r="Q2116" s="654" t="str">
        <x:f>IF($P2116="","",-$P2116)</x:f>
      </x:c>
      <x:c r="R2116" s="655" t="str">
        <x:f>IF($P2116="","",$O2116*$P2116)</x:f>
      </x:c>
      <x:c r="S2116" s="552" t="inlineStr">
        <x:is>
          <x:t xml:space="preserve">Other (non-mineral; excluded from mineral NMA). All-section coverage. Gross=tract-map basis.</x:t>
        </x:is>
      </x:c>
      <x:c r="T2116" s="578" t="inlineStr">
        <x:is>
          <x:t xml:space="preserve">OK</x:t>
        </x:is>
      </x:c>
      <x:c r="U2116" s="578" t="inlineStr">
        <x:is>
          <x:t xml:space="preserve">Non-conveying — notice/affidavit/address change (The Public).</x:t>
        </x:is>
      </x:c>
      <x:c r="V2116" s="565" t="n"/>
      <x:c r="W2116" s="565" t="n"/>
      <x:c r="X2116" s="565" t="n"/>
      <x:c r="Y2116" s="565" t="n"/>
      <x:c r="Z2116" s="565" t="n"/>
    </x:row>
    <x:row r="2117">
      <x:c r="A2117" s="552" t="inlineStr">
        <x:is>
          <x:t xml:space="preserve">2017-001880</x:t>
        </x:is>
      </x:c>
      <x:c r="B2117" s="552" t="n"/>
      <x:c r="C2117" s="552" t="inlineStr">
        <x:is>
          <x:t xml:space="preserve">Mineral Deed</x:t>
        </x:is>
      </x:c>
      <x:c r="D2117" s="552" t="inlineStr">
        <x:is>
          <x:t xml:space="preserve">2376/100</x:t>
        </x:is>
      </x:c>
      <x:c r="E2117" s="653" t="n">
        <x:v>42985</x:v>
      </x:c>
      <x:c r="F2117" s="653" t="n">
        <x:v>42996</x:v>
      </x:c>
      <x:c r="G2117" s="552" t="inlineStr">
        <x:is>
          <x:t xml:space="preserve">Jon N. Wilkerson</x:t>
        </x:is>
      </x:c>
      <x:c r="H2117" s="552" t="inlineStr">
        <x:is>
          <x:t xml:space="preserve">Tamara K. Wilkerson</x:t>
        </x:is>
      </x:c>
      <x:c r="I2117" s="552" t="inlineStr">
        <x:is>
          <x:t xml:space="preserve">All of 31-12N-24W, aol</x:t>
        </x:is>
      </x:c>
      <x:c r="J2117" s="552" t="inlineStr">
        <x:is>
          <x:t xml:space="preserve">ARTI</x:t>
        </x:is>
      </x:c>
      <x:c r="K2117" s="554" t="e">
        <x:f>HYPERLINK("https://okcountyrecords.com/detail/roger+mills/2017-001880","OKCountyRecords: 2017-001880")</x:f>
      </x:c>
      <x:c r="L2117" s="552" t="inlineStr">
        <x:is>
          <x:t xml:space="preserve">All (1-8)</x:t>
        </x:is>
      </x:c>
      <x:c r="M2117" s="552" t="inlineStr">
        <x:is>
          <x:t xml:space="preserve">Mineral</x:t>
        </x:is>
      </x:c>
      <x:c r="N2117" s="555" t="n">
        <x:v>1</x:v>
      </x:c>
      <x:c r="O2117" s="556" t="n">
        <x:f>IF($L2117="","",IF(ISNUMBER(SEARCH("all",$L2117)),640,(ISNUMBER(SEARCH("1",$L2117)))*80+(ISNUMBER(SEARCH("2",$L2117)))*160+(ISNUMBER(SEARCH("3",$L2117)))*40+(ISNUMBER(SEARCH("4",$L2117)))*80+(ISNUMBER(SEARCH("5",$L2117)))*120+(ISNUMBER(SEARCH("6",$L2117)))*80+(ISNUMBER(SEARCH("7",$L2117)))*40+(ISNUMBER(SEARCH("8",$L2117)))*40))</x:f>
        <x:v>640</x:v>
      </x:c>
      <x:c r="P2117" s="654" t="n">
        <x:f>IF($M2117&lt;&gt;"Mineral","",IF(ISNUMBER($N2117),$N2117,IF(OR(ISNUMBER(SEARCH("surface",$J2117)),ISNUMBER(SEARCH("reserv",$J2117)),ISNUMBER(SEARCH("less and except",$J2117))),0,"")))</x:f>
        <x:v>1</x:v>
      </x:c>
      <x:c r="Q2117" s="654" t="n">
        <x:f>IF($P2117="","",-$P2117)</x:f>
        <x:v>-1</x:v>
      </x:c>
      <x:c r="R2117" s="655" t="n">
        <x:f>IF($P2117="","",$O2117*$P2117)</x:f>
        <x:v>640</x:v>
      </x:c>
      <x:c r="S2117" s="552" t="str">
        <x:f>IF($M2117="","",TRIM(IF($M2117="Mineral",IF(ISNUMBER($N2117),"Mineral; basis Conv Amt(dec). ",IF($P2117=0,"Mineral; surface-only/reserved-&gt;0 min. ","Mineral; NO AMOUNT-verify instrument. ")),$M2117&amp;" (non-mineral; excluded from mineral NMA). ")&amp;IF(OR(ISNUMBER(SEARCH("public",$G2117)),ISNUMBER(SEARCH("public",$H2117))),"FLAG: The Public placeholder-verify. ","")&amp;IF(ISNUMBER(SEARCH("all",$L2117)),"All-section coverage. ","")&amp;IF($O2117=0,"Gross acres unresolved. ","")&amp;"Gross=tract-map basis."))</x:f>
        <x:v>Mineral; basis Conv Amt(dec). All-section coverage. Gross=tract-map basis.</x:v>
      </x:c>
      <x:c r="T2117" s="578" t="n"/>
      <x:c r="U2117" s="578" t="n"/>
      <x:c r="V2117" s="565" t="n"/>
      <x:c r="W2117" s="565" t="n"/>
      <x:c r="X2117" s="565" t="n"/>
      <x:c r="Y2117" s="565" t="n"/>
      <x:c r="Z2117" s="565" t="n"/>
    </x:row>
    <x:row r="2118">
      <x:c r="A2118" s="552" t="inlineStr">
        <x:is>
          <x:t xml:space="preserve">2017-002694</x:t>
        </x:is>
      </x:c>
      <x:c r="B2118" s="552" t="n">
        <x:v>50</x:v>
      </x:c>
      <x:c r="C2118" s="552" t="inlineStr">
        <x:is>
          <x:t xml:space="preserve">Conveyance of Overriding Royalty Interest</x:t>
        </x:is>
      </x:c>
      <x:c r="D2118" s="563" t="inlineStr">
        <x:is>
          <x:t xml:space="preserve">2383/169</x:t>
        </x:is>
      </x:c>
      <x:c r="E2118" s="653" t="n">
        <x:v>43070</x:v>
      </x:c>
      <x:c r="F2118" s="653" t="n">
        <x:v>43088</x:v>
      </x:c>
      <x:c r="G2118" s="552" t="inlineStr">
        <x:is>
          <x:t xml:space="preserve">Tecolote Holdings, LLC</x:t>
        </x:is>
      </x:c>
      <x:c r="H2118" s="552" t="inlineStr">
        <x:is>
          <x:t xml:space="preserve">Tecolote Royalty, L.P.</x:t>
        </x:is>
      </x:c>
      <x:c r="I2118" s="552" t="inlineStr">
        <x:is>
          <x:t xml:space="preserve">All of 31-12N-24W, aol</x:t>
        </x:is>
      </x:c>
      <x:c r="J2118" s="552" t="inlineStr">
        <x:is>
          <x:t xml:space="preserve">Transfers interest</x:t>
        </x:is>
      </x:c>
      <x:c r="K2118" s="554" t="e">
        <x:f>HYPERLINK("https://okcountyrecords.com/detail/roger+mills/2017-002694","63e8b9a8d056433a9994fe46ca85076b.pdf | OKCountyRecords: 2017-002694")</x:f>
      </x:c>
      <x:c r="L2118" s="552" t="inlineStr">
        <x:is>
          <x:t xml:space="preserve">All (1-8)</x:t>
        </x:is>
      </x:c>
      <x:c r="M2118" s="552" t="inlineStr">
        <x:is>
          <x:t xml:space="preserve">Leasehold</x:t>
        </x:is>
      </x:c>
      <x:c r="N2118" s="555" t="n"/>
      <x:c r="O2118" s="556" t="n">
        <x:f>IF($L2118="","",IF(ISNUMBER(SEARCH("all",$L2118)),640,(ISNUMBER(SEARCH("1",$L2118)))*80+(ISNUMBER(SEARCH("2",$L2118)))*160+(ISNUMBER(SEARCH("3",$L2118)))*40+(ISNUMBER(SEARCH("4",$L2118)))*80+(ISNUMBER(SEARCH("5",$L2118)))*120+(ISNUMBER(SEARCH("6",$L2118)))*80+(ISNUMBER(SEARCH("7",$L2118)))*40+(ISNUMBER(SEARCH("8",$L2118)))*40))</x:f>
        <x:v>640</x:v>
      </x:c>
      <x:c r="P2118" s="654" t="str">
        <x:f>IF($M2118&lt;&gt;"Mineral","",IF(ISNUMBER($N2118),$N2118,IF(OR(ISNUMBER(SEARCH("surface",$J2118)),ISNUMBER(SEARCH("reserv",$J2118)),ISNUMBER(SEARCH("less and except",$J2118))),0,"")))</x:f>
      </x:c>
      <x:c r="Q2118" s="654" t="str">
        <x:f>IF($P2118="","",-$P2118)</x:f>
      </x:c>
      <x:c r="R2118" s="655" t="str">
        <x:f>IF($P2118="","",$O2118*$P2118)</x:f>
      </x:c>
      <x:c r="S2118" s="552" t="str">
        <x:f>IF($M2118="","",TRIM(IF($M2118="Mineral",IF(ISNUMBER($N2118),"Mineral; basis Conv Amt(dec). ",IF($P2118=0,"Mineral; surface-only/reserved-&gt;0 min. ","Mineral; NO AMOUNT-verify instrument. ")),$M2118&amp;" (non-mineral; excluded from mineral NMA). ")&amp;IF(OR(ISNUMBER(SEARCH("public",$G2118)),ISNUMBER(SEARCH("public",$H2118))),"FLAG: The Public placeholder-verify. ","")&amp;IF(ISNUMBER(SEARCH("all",$L2118)),"All-section coverage. ","")&amp;IF($O2118=0,"Gross acres unresolved. ","")&amp;"Gross=tract-map basis."))</x:f>
        <x:v>Leasehold (non-mineral; excluded from mineral NMA). All-section coverage. Gross=tract-map basis.</x:v>
      </x:c>
      <x:c r="T2118" s="578" t="n"/>
      <x:c r="U2118" s="578" t="n"/>
      <x:c r="V2118" s="565" t="n"/>
      <x:c r="W2118" s="565" t="n"/>
      <x:c r="X2118" s="565" t="n"/>
      <x:c r="Y2118" s="565" t="n"/>
      <x:c r="Z2118" s="565" t="n"/>
    </x:row>
    <x:row r="2119">
      <x:c r="A2119" s="552" t="inlineStr">
        <x:is>
          <x:t xml:space="preserve">2018-000119</x:t>
        </x:is>
      </x:c>
      <x:c r="B2119" s="552" t="n">
        <x:v>47</x:v>
      </x:c>
      <x:c r="C2119" s="552" t="inlineStr">
        <x:is>
          <x:t xml:space="preserve">Assignment</x:t>
        </x:is>
      </x:c>
      <x:c r="D2119" s="552" t="inlineStr">
        <x:is>
          <x:t xml:space="preserve">2385/72</x:t>
        </x:is>
      </x:c>
      <x:c r="E2119" s="653" t="n">
        <x:v>43083</x:v>
      </x:c>
      <x:c r="F2119" s="653" t="n">
        <x:v>43119</x:v>
      </x:c>
      <x:c r="G2119" s="552" t="inlineStr">
        <x:is>
          <x:t xml:space="preserve">Cheyenne Resources</x:t>
        </x:is>
      </x:c>
      <x:c r="H2119" s="552" t="inlineStr">
        <x:is>
          <x:t xml:space="preserve">Templar Energy, LLC</x:t>
        </x:is>
      </x:c>
      <x:c r="I2119" s="552" t="inlineStr">
        <x:is>
          <x:t xml:space="preserve">LALEXANDER 1-31 of 31-12N-24W</x:t>
        </x:is>
      </x:c>
      <x:c r="J2119" s="552" t="inlineStr">
        <x:is>
          <x:t xml:space="preserve">All of Assignor's right, title and interest in and to the oil and gas leasehold and working interests, together with the rights incident thereto and appurtenances thereon, insofar and only insofar as said leasehold and working interests cover the wellbore of the Alexander 1-31 (API No. 35-129-22925) well located at 1980' FSL and 660' FWL of Section 31-12N-24W, Roger Mills County, Oklahoma, containing 627.420 acres, more or less, as of the effective date hereof, and all production and personal property associated with the Alexander 1-31 wellbore, and subject to the terms and reservations hereof.
It is the intent of Assignor to convey and this Assignment hereby conveys to Assignee, subject to the reservations and conditions herein contained, all of Assignor's right, title and interest, from and after the Effective Time, in and to the Properties, regardless of the omission of any lease or leases, errors in description, any incorrect or misspelled names or any transcribed or incorrect recording references.</x:t>
        </x:is>
      </x:c>
      <x:c r="K2119" s="554" t="e">
        <x:f>HYPERLINK("https://okcountyrecords.com/detail/roger+mills/2018-000119/20639253","OKCountyRecords: 2018-000119")</x:f>
      </x:c>
      <x:c r="L2119" s="552" t="inlineStr">
        <x:is>
          <x:t xml:space="preserve">All (1-8)</x:t>
        </x:is>
      </x:c>
      <x:c r="M2119" s="552" t="inlineStr">
        <x:is>
          <x:t xml:space="preserve">Leasehold</x:t>
        </x:is>
      </x:c>
      <x:c r="N2119" s="555" t="n"/>
      <x:c r="O2119" s="556" t="n">
        <x:f>IF($L2119="","",IF(ISNUMBER(SEARCH("all",$L2119)),640,(ISNUMBER(SEARCH("1",$L2119)))*80+(ISNUMBER(SEARCH("2",$L2119)))*160+(ISNUMBER(SEARCH("3",$L2119)))*40+(ISNUMBER(SEARCH("4",$L2119)))*80+(ISNUMBER(SEARCH("5",$L2119)))*120+(ISNUMBER(SEARCH("6",$L2119)))*80+(ISNUMBER(SEARCH("7",$L2119)))*40+(ISNUMBER(SEARCH("8",$L2119)))*40))</x:f>
        <x:v>640</x:v>
      </x:c>
      <x:c r="P2119" s="654" t="str">
        <x:f>IF($M2119&lt;&gt;"Mineral","",IF(ISNUMBER($N2119),$N2119,IF(OR(ISNUMBER(SEARCH("surface",$J2119)),ISNUMBER(SEARCH("reserv",$J2119)),ISNUMBER(SEARCH("less and except",$J2119))),0,"")))</x:f>
      </x:c>
      <x:c r="Q2119" s="654" t="str">
        <x:f>IF($P2119="","",-$P2119)</x:f>
      </x:c>
      <x:c r="R2119" s="655" t="str">
        <x:f>IF($P2119="","",$O2119*$P2119)</x:f>
      </x:c>
      <x:c r="S2119" s="552" t="str">
        <x:f>IF($M2119="","",TRIM(IF($M2119="Mineral",IF(ISNUMBER($N2119),"Mineral; basis Conv Amt(dec). ",IF($P2119=0,"Mineral; surface-only/reserved-&gt;0 min. ","Mineral; NO AMOUNT-verify instrument. ")),$M2119&amp;" (non-mineral; excluded from mineral NMA). ")&amp;IF(OR(ISNUMBER(SEARCH("public",$G2119)),ISNUMBER(SEARCH("public",$H2119))),"FLAG: The Public placeholder-verify. ","")&amp;IF(ISNUMBER(SEARCH("all",$L2119)),"All-section coverage. ","")&amp;IF($O2119=0,"Gross acres unresolved. ","")&amp;"Gross=tract-map basis."))</x:f>
        <x:v>Leasehold (non-mineral; excluded from mineral NMA). All-section coverage. Gross=tract-map basis.</x:v>
      </x:c>
      <x:c r="T2119" s="577" t="n"/>
      <x:c r="U2119" s="578" t="n"/>
      <x:c r="V2119" s="565" t="n"/>
      <x:c r="W2119" s="565" t="n"/>
      <x:c r="X2119" s="565" t="n"/>
      <x:c r="Y2119" s="565" t="n"/>
      <x:c r="Z2119" s="565" t="n"/>
    </x:row>
    <x:row r="2120">
      <x:c r="A2120" s="552" t="inlineStr">
        <x:is>
          <x:t xml:space="preserve">2018-001569</x:t>
        </x:is>
      </x:c>
      <x:c r="B2120" s="552" t="n"/>
      <x:c r="C2120" s="552" t="inlineStr">
        <x:is>
          <x:t xml:space="preserve">Affidavit Regarding Merger of Diverse GP II, Diverse GP III, Diverse Energy Investments and Tdt Diverse LP With and Into Fortune Natural Resources Corporation</x:t>
        </x:is>
      </x:c>
      <x:c r="D2120" s="552" t="inlineStr">
        <x:is>
          <x:t xml:space="preserve">2394/591</x:t>
        </x:is>
      </x:c>
      <x:c r="E2120" s="653" t="n">
        <x:v>43249</x:v>
      </x:c>
      <x:c r="F2120" s="653" t="n">
        <x:v>43272</x:v>
      </x:c>
      <x:c r="G2120" s="552" t="inlineStr">
        <x:is>
          <x:t xml:space="preserve">Fortune Natural Resources Corp,
Robin D. Vp McGuire</x:t>
        </x:is>
      </x:c>
      <x:c r="H2120" s="552" t="inlineStr">
        <x:is>
          <x:t xml:space="preserve">The Public</x:t>
        </x:is>
      </x:c>
      <x:c r="I2120" s="552" t="inlineStr">
        <x:is>
          <x:t xml:space="preserve">All of 31-12N-24W, aol</x:t>
        </x:is>
      </x:c>
      <x:c r="J2120" s="552" t="inlineStr">
        <x:is>
          <x:t xml:space="preserve">Fortune is a corporation organized under the laws of the State of Delaware. As evidenced by the Certificate of Merger from the State of Delaware, recorded in Book 1951, Page 240 of the Records of Roger Mills County, Oklahoma, a copy of which is attached hereto as Exhibit "B", effective September 30, 2008, the following entities were merged with an into Fortune, with Fortune being the surviving entity: (a) TDT Diverse LP, a Texas limited partnership, which had changed its name to FNRC TDT LP; (b) Diverse Energy Investment, a Texas general partnership, which had changed its name to FNRC DEI GP; and (c) Diverse GP III, a Texas general partnership, which had changed its name to FNRC DIII GP.As evidenced by the Certificate of Merger from the State of Delaware, a copy of which is attached hereto as Exhibit "C", effective April 30, 2018, the following entity was merged with and into Fortune, with Fortune being the surviving entity: Diverse GP II, a Texas general partnership. 1-2018-001569 Book 2394 Pg: 592 06/21/2018 3:48 pm Pg 0591-0599 Fee: $ 29.00 Doc: $ 0.00 Jimmy Beavin - Roger Mills County Clerk State of Oklahoma The merger of the above-listed entities with and into Fortune affect all of the properties owned by such entities in Roger Mills County, Oklahoma, including, but not limited to, those set forth on Exhibit "A" hereto. The current address for Fortune within the State of Oklahoma is: 2601 NW Expressway, Suite 1200W, Oklahoma City, OK 73112.</x:t>
        </x:is>
      </x:c>
      <x:c r="K2120" s="554" t="e">
        <x:f>HYPERLINK("https://okcountyrecords.com/detail/roger+mills/2018-001569","OKCountyRecords: 2018-001569")</x:f>
      </x:c>
      <x:c r="L2120" s="552" t="inlineStr">
        <x:is>
          <x:t xml:space="preserve">All (1-8)</x:t>
        </x:is>
      </x:c>
      <x:c r="M2120" s="552" t="inlineStr">
        <x:is>
          <x:t xml:space="preserve">Other</x:t>
        </x:is>
      </x:c>
      <x:c r="N2120" s="555" t="n"/>
      <x:c r="O2120" s="556" t="n">
        <x:f>IF($L2120="","",IF(ISNUMBER(SEARCH("all",$L2120)),640,(ISNUMBER(SEARCH("1",$L2120)))*80+(ISNUMBER(SEARCH("2",$L2120)))*160+(ISNUMBER(SEARCH("3",$L2120)))*40+(ISNUMBER(SEARCH("4",$L2120)))*80+(ISNUMBER(SEARCH("5",$L2120)))*120+(ISNUMBER(SEARCH("6",$L2120)))*80+(ISNUMBER(SEARCH("7",$L2120)))*40+(ISNUMBER(SEARCH("8",$L2120)))*40))</x:f>
        <x:v>640</x:v>
      </x:c>
      <x:c r="P2120" s="654" t="str">
        <x:f>IF($M2120&lt;&gt;"Mineral","",IF(ISNUMBER($N2120),$N2120,IF(OR(ISNUMBER(SEARCH("surface",$J2120)),ISNUMBER(SEARCH("reserv",$J2120)),ISNUMBER(SEARCH("less and except",$J2120))),0,"")))</x:f>
      </x:c>
      <x:c r="Q2120" s="654" t="str">
        <x:f>IF($P2120="","",-$P2120)</x:f>
      </x:c>
      <x:c r="R2120" s="655" t="str">
        <x:f>IF($P2120="","",$O2120*$P2120)</x:f>
      </x:c>
      <x:c r="S2120" s="552" t="inlineStr">
        <x:is>
          <x:t xml:space="preserve">Other (non-mineral; excluded from mineral NMA). All-section coverage. Gross=tract-map basis.</x:t>
        </x:is>
      </x:c>
      <x:c r="T2120" s="578" t="inlineStr">
        <x:is>
          <x:t xml:space="preserve">OK</x:t>
        </x:is>
      </x:c>
      <x:c r="U2120" s="578" t="inlineStr">
        <x:is>
          <x:t xml:space="preserve">Non-conveying — notice/affidavit/address change (The Public).</x:t>
        </x:is>
      </x:c>
      <x:c r="V2120" s="565" t="n"/>
      <x:c r="W2120" s="565" t="n"/>
      <x:c r="X2120" s="565" t="n"/>
      <x:c r="Y2120" s="565" t="n"/>
      <x:c r="Z2120" s="565" t="n"/>
    </x:row>
    <x:row r="2121">
      <x:c r="A2121" s="552" t="inlineStr">
        <x:is>
          <x:t xml:space="preserve">2018-002786</x:t>
        </x:is>
      </x:c>
      <x:c r="B2121" s="552" t="n"/>
      <x:c r="C2121" s="552" t="inlineStr">
        <x:is>
          <x:t xml:space="preserve">Oil, Gas and Mineral Deed</x:t>
        </x:is>
      </x:c>
      <x:c r="D2121" s="552" t="inlineStr">
        <x:is>
          <x:t xml:space="preserve">2407/124</x:t>
        </x:is>
      </x:c>
      <x:c r="E2121" s="653" t="n">
        <x:v>43281</x:v>
      </x:c>
      <x:c r="F2121" s="653" t="n">
        <x:v>43392</x:v>
      </x:c>
      <x:c r="G2121" s="552" t="inlineStr">
        <x:is>
          <x:t xml:space="preserve">Bhp Billiton Petroleum Properties (N.A.), LP, a Texas limited partnership,
Bhp Billiton Petroleum (KCS Resources), LLC, a Delaware limited liability company</x:t>
        </x:is>
      </x:c>
      <x:c r="H2121" s="552" t="inlineStr">
        <x:is>
          <x:t xml:space="preserve">Bhp Billiton Petroleum (North America), Inc., a Delaware
corporation</x:t>
        </x:is>
      </x:c>
      <x:c r="I2121" s="552" t="inlineStr">
        <x:is>
          <x:t xml:space="preserve">All of 31-12N-24W, aol</x:t>
        </x:is>
      </x:c>
      <x:c r="J2121" s="552" t="inlineStr">
        <x:is>
          <x:t xml:space="preserve">ARTI, see 786/270</x:t>
        </x:is>
      </x:c>
      <x:c r="K2121" s="554" t="e">
        <x:f>HYPERLINK("https://okcountyrecords.com/detail/roger+mills/2018-002786","OKCountyRecords: 2018-002786")</x:f>
      </x:c>
      <x:c r="L2121" s="552" t="inlineStr">
        <x:is>
          <x:t xml:space="preserve">All (1-8)</x:t>
        </x:is>
      </x:c>
      <x:c r="M2121" s="552" t="inlineStr">
        <x:is>
          <x:t xml:space="preserve">Mineral</x:t>
        </x:is>
      </x:c>
      <x:c r="N2121" s="555" t="n">
        <x:v>1</x:v>
      </x:c>
      <x:c r="O2121" s="556" t="n">
        <x:f>IF($L2121="","",IF(ISNUMBER(SEARCH("all",$L2121)),640,(ISNUMBER(SEARCH("1",$L2121)))*80+(ISNUMBER(SEARCH("2",$L2121)))*160+(ISNUMBER(SEARCH("3",$L2121)))*40+(ISNUMBER(SEARCH("4",$L2121)))*80+(ISNUMBER(SEARCH("5",$L2121)))*120+(ISNUMBER(SEARCH("6",$L2121)))*80+(ISNUMBER(SEARCH("7",$L2121)))*40+(ISNUMBER(SEARCH("8",$L2121)))*40))</x:f>
        <x:v>640</x:v>
      </x:c>
      <x:c r="P2121" s="654" t="n">
        <x:f>IF($M2121&lt;&gt;"Mineral","",IF(ISNUMBER($N2121),$N2121,IF(OR(ISNUMBER(SEARCH("surface",$J2121)),ISNUMBER(SEARCH("reserv",$J2121)),ISNUMBER(SEARCH("less and except",$J2121))),0,"")))</x:f>
        <x:v>1</x:v>
      </x:c>
      <x:c r="Q2121" s="654" t="n">
        <x:f>IF($P2121="","",-$P2121)</x:f>
        <x:v>-1</x:v>
      </x:c>
      <x:c r="R2121" s="655" t="n">
        <x:f>IF($P2121="","",$O2121*$P2121)</x:f>
        <x:v>640</x:v>
      </x:c>
      <x:c r="S2121" s="552" t="str">
        <x:f>IF($M2121="","",TRIM(IF($M2121="Mineral",IF(ISNUMBER($N2121),"Mineral; basis Conv Amt(dec). ",IF($P2121=0,"Mineral; surface-only/reserved-&gt;0 min. ","Mineral; NO AMOUNT-verify instrument. ")),$M2121&amp;" (non-mineral; excluded from mineral NMA). ")&amp;IF(OR(ISNUMBER(SEARCH("public",$G2121)),ISNUMBER(SEARCH("public",$H2121))),"FLAG: The Public placeholder-verify. ","")&amp;IF(ISNUMBER(SEARCH("all",$L2121)),"All-section coverage. ","")&amp;IF($O2121=0,"Gross acres unresolved. ","")&amp;"Gross=tract-map basis."))</x:f>
        <x:v>Mineral; basis Conv Amt(dec). All-section coverage. Gross=tract-map basis.</x:v>
      </x:c>
      <x:c r="T2121" s="578" t="n"/>
      <x:c r="U2121" s="578" t="n"/>
      <x:c r="V2121" s="565" t="n"/>
      <x:c r="W2121" s="565" t="n"/>
      <x:c r="X2121" s="565" t="n"/>
      <x:c r="Y2121" s="565" t="n"/>
      <x:c r="Z2121" s="565" t="n"/>
    </x:row>
    <x:row r="2122">
      <x:c r="A2122" s="552" t="inlineStr">
        <x:is>
          <x:t xml:space="preserve">2018-002049</x:t>
        </x:is>
      </x:c>
      <x:c r="B2122" s="552" t="n">
        <x:v>52</x:v>
      </x:c>
      <x:c r="C2122" s="552" t="inlineStr">
        <x:is>
          <x:t xml:space="preserve">Memorandum of JOA Operator and Drag-Along Agreement</x:t>
        </x:is>
      </x:c>
      <x:c r="D2122" s="563" t="inlineStr">
        <x:is>
          <x:t xml:space="preserve">2399/188</x:t>
        </x:is>
      </x:c>
      <x:c r="E2122" s="653" t="n">
        <x:v>43314</x:v>
      </x:c>
      <x:c r="F2122" s="653" t="n">
        <x:v>43327</x:v>
      </x:c>
      <x:c r="G2122" s="552" t="inlineStr">
        <x:is>
          <x:t xml:space="preserve">(i) EnerVest Operating, LLC ("Operator"), (ii) EnerVest Ltd., EnerVest
Institutional GP, Ltd., and EnerVest Preferred Holdings XIII, L.P. (collectively, the
"Partners"), (iii) EnerVest Energy Institutional Fund XIII-A, L.P. ("Fund XIII-A"),
EnerVest Energy Institutional Fund XIII-WIB, L.P. ("Fund XIII-WIB"), EnerVest Energy Institutional Fund XIII-B, L.P. ("Fund XIII-B"), EnerVest Energy Institutional Fund XIII-WIC, L.P. "Fund XIII-WIC"), and EnerVest Energy Institutional Fund XIIIC, L.P. ("Fund XIII-C", and together with Fund XIII-A, Fund XIII-WIB, Fund XIII-B,
Fund XIII-WIC</x:t>
        </x:is>
      </x:c>
      <x:c r="H2122" s="552" t="inlineStr">
        <x:is>
          <x:t xml:space="preserve">The Public</x:t>
        </x:is>
      </x:c>
      <x:c r="I2122" s="552" t="inlineStr">
        <x:is>
          <x:t xml:space="preserve">All of 31-12N-24W, aol</x:t>
        </x:is>
      </x:c>
      <x:c r="J2122" s="552" t="inlineStr">
        <x:is>
          <x:t xml:space="preserve">Provides record notice of lease</x:t>
        </x:is>
      </x:c>
      <x:c r="K2122" s="554" t="e">
        <x:f>HYPERLINK("https://okcountyrecords.com/detail/roger+mills/2018-002049","63e8b9a8d056433a9994fe46ca85076b.pdf | OKCountyRecords: 2018-002049")</x:f>
      </x:c>
      <x:c r="L2122" s="552" t="inlineStr">
        <x:is>
          <x:t xml:space="preserve">All (1-8)</x:t>
        </x:is>
      </x:c>
      <x:c r="M2122" s="552" t="inlineStr">
        <x:is>
          <x:t xml:space="preserve">Other</x:t>
        </x:is>
      </x:c>
      <x:c r="N2122" s="555" t="n"/>
      <x:c r="O2122" s="556" t="n">
        <x:f>IF($L2122="","",IF(ISNUMBER(SEARCH("all",$L2122)),640,(ISNUMBER(SEARCH("1",$L2122)))*80+(ISNUMBER(SEARCH("2",$L2122)))*160+(ISNUMBER(SEARCH("3",$L2122)))*40+(ISNUMBER(SEARCH("4",$L2122)))*80+(ISNUMBER(SEARCH("5",$L2122)))*120+(ISNUMBER(SEARCH("6",$L2122)))*80+(ISNUMBER(SEARCH("7",$L2122)))*40+(ISNUMBER(SEARCH("8",$L2122)))*40))</x:f>
        <x:v>640</x:v>
      </x:c>
      <x:c r="P2122" s="654" t="str">
        <x:f>IF($M2122&lt;&gt;"Mineral","",IF(ISNUMBER($N2122),$N2122,IF(OR(ISNUMBER(SEARCH("surface",$J2122)),ISNUMBER(SEARCH("reserv",$J2122)),ISNUMBER(SEARCH("less and except",$J2122))),0,"")))</x:f>
      </x:c>
      <x:c r="Q2122" s="654" t="str">
        <x:f>IF($P2122="","",-$P2122)</x:f>
      </x:c>
      <x:c r="R2122" s="655" t="str">
        <x:f>IF($P2122="","",$O2122*$P2122)</x:f>
      </x:c>
      <x:c r="S2122" s="552" t="inlineStr">
        <x:is>
          <x:t xml:space="preserve">Leasehold (non-mineral; excluded from mineral NMA). All-section coverage. Gross=tract-map basis.</x:t>
        </x:is>
      </x:c>
      <x:c r="T2122" s="578" t="inlineStr">
        <x:is>
          <x:t xml:space="preserve">OK</x:t>
        </x:is>
      </x:c>
      <x:c r="U2122" s="578" t="inlineStr">
        <x:is>
          <x:t xml:space="preserve">Non-conveying — notice/affidavit/address change (The Public).</x:t>
        </x:is>
      </x:c>
      <x:c r="V2122" s="565" t="n"/>
      <x:c r="W2122" s="565" t="n"/>
      <x:c r="X2122" s="565" t="n"/>
      <x:c r="Y2122" s="565" t="n"/>
      <x:c r="Z2122" s="565" t="n"/>
    </x:row>
    <x:row r="2123">
      <x:c r="A2123" s="552" t="inlineStr">
        <x:is>
          <x:t xml:space="preserve">2018-002650</x:t>
        </x:is>
      </x:c>
      <x:c r="B2123" s="552" t="n"/>
      <x:c r="C2123" s="552" t="inlineStr">
        <x:is>
          <x:t xml:space="preserve">Quit Claim Mineral Deed</x:t>
        </x:is>
      </x:c>
      <x:c r="D2123" s="552" t="inlineStr">
        <x:is>
          <x:t xml:space="preserve">2406/228</x:t>
        </x:is>
      </x:c>
      <x:c r="E2123" s="653" t="n">
        <x:v>43363</x:v>
      </x:c>
      <x:c r="F2123" s="653" t="n">
        <x:v>43382</x:v>
      </x:c>
      <x:c r="G2123" s="552" t="inlineStr">
        <x:is>
          <x:t xml:space="preserve">Cindy Lou Vignal, Trustee under the Luther and Veronica Thurman Living Trust, a Revocable Trust, dated April 17, 2014</x:t>
        </x:is>
      </x:c>
      <x:c r="H2123" s="552" t="inlineStr">
        <x:is>
          <x:t xml:space="preserve">Gary Wayne Vignal and Cindy Lou Vignal, Co-Trustees or their successors in Trust under the Gary and Cindy Vignal Living Trust, a Revocable Trust, dated September 20, 2018, and any amendments thereto
11598 N. 1800 Road
Sayre, OK 73662</x:t>
        </x:is>
      </x:c>
      <x:c r="I2123" s="552" t="inlineStr">
        <x:is>
          <x:t xml:space="preserve">E/2 NW/4, N/2 NE/4 SW/4, NE/4 SE/4, SE/4 NE/4 of 31-12N-24W, aol</x:t>
        </x:is>
      </x:c>
      <x:c r="J2123" s="552" t="inlineStr">
        <x:is>
          <x:t xml:space="preserve">ARTI, an undivided 110/260th in 2 sections</x:t>
        </x:is>
      </x:c>
      <x:c r="K2123" s="554" t="e">
        <x:f>HYPERLINK("https://okcountyrecords.com/detail/roger+mills/2018-002650/21458328","OKCountyRecords: 2018-002650")</x:f>
      </x:c>
      <x:c r="L2123" s="552" t="inlineStr">
        <x:is>
          <x:t xml:space="preserve">1, 3, 4, 7, 8</x:t>
        </x:is>
      </x:c>
      <x:c r="M2123" s="552" t="inlineStr">
        <x:is>
          <x:t xml:space="preserve">Mineral</x:t>
        </x:is>
      </x:c>
      <x:c r="N2123" s="561" t="n">
        <x:v>1</x:v>
      </x:c>
      <x:c r="O2123" s="556" t="n">
        <x:f>IF($L2123="","",IF(ISNUMBER(SEARCH("all",$L2123)),640,(ISNUMBER(SEARCH("1",$L2123)))*80+(ISNUMBER(SEARCH("2",$L2123)))*160+(ISNUMBER(SEARCH("3",$L2123)))*40+(ISNUMBER(SEARCH("4",$L2123)))*80+(ISNUMBER(SEARCH("5",$L2123)))*120+(ISNUMBER(SEARCH("6",$L2123)))*80+(ISNUMBER(SEARCH("7",$L2123)))*40+(ISNUMBER(SEARCH("8",$L2123)))*40))</x:f>
        <x:v>0</x:v>
      </x:c>
      <x:c r="P2123" s="654" t="n">
        <x:f>IF($M2123&lt;&gt;"Mineral","",IF(ISNUMBER($N2123),$N2123,IF(OR(ISNUMBER(SEARCH("surface",$J2123)),ISNUMBER(SEARCH("reserv",$J2123)),ISNUMBER(SEARCH("less and except",$J2123))),0,"")))</x:f>
        <x:v>1</x:v>
      </x:c>
      <x:c r="Q2123" s="654" t="n">
        <x:f>IF($P2123="","",-$P2123)</x:f>
        <x:v>-1</x:v>
      </x:c>
      <x:c r="R2123" s="655" t="n">
        <x:f>IF($P2123="","",$O2123*$P2123)</x:f>
        <x:v>0</x:v>
      </x:c>
      <x:c r="S2123" s="552" t="str">
        <x:f>IF($M2123="","",TRIM(IF($M2123="Mineral",IF(ISNUMBER($N2123),"Mineral; basis Conv Amt(dec). ",IF($P2123=0,"Mineral; surface-only/reserved-&gt;0 min. ","Mineral; NO AMOUNT-verify instrument. ")),$M2123&amp;" (non-mineral; excluded from mineral NMA). ")&amp;IF(OR(ISNUMBER(SEARCH("public",$G2123)),ISNUMBER(SEARCH("public",$H2123))),"FLAG: The Public placeholder-verify. ","")&amp;IF(ISNUMBER(SEARCH("all",$L2123)),"All-section coverage. ","")&amp;IF($O2123=0,"Gross acres unresolved. ","")&amp;"Gross=tract-map basis."))</x:f>
        <x:v>Mineral; basis Conv Amt(dec). Gross acres unresolved. Gross=tract-map basis.</x:v>
      </x:c>
      <x:c r="T2123" s="578" t="inlineStr">
        <x:is>
          <x:t xml:space="preserve">VERIFY — SOURCE CONFLICT</x:t>
        </x:is>
      </x:c>
      <x:c r="U2123" s="578" t="inlineStr">
        <x:is>
          <x:t xml:space="preserve">User cited Bk 2406/0228 for the South 51 M&amp;B legal, but this instrument's recorded legal is ALIQUOT (E/2 NW/4; N/2 NE/4 SW/4; NE/4 SE/4; SE/4 NE/4) — NOT the South 51 acres. South 51 = 2017-000951 / Bk 2365/338 (row 31). Keep 2406/228 on its aliquot Tracts (1,3,4,7,8); do NOT cite for Tract 9. Pull image to confirm.</x:t>
        </x:is>
      </x:c>
      <x:c r="V2123" s="565" t="n"/>
      <x:c r="W2123" s="565" t="n"/>
      <x:c r="X2123" s="565" t="n"/>
      <x:c r="Y2123" s="565" t="n"/>
      <x:c r="Z2123" s="565" t="n"/>
    </x:row>
    <x:row r="2124">
      <x:c r="A2124" s="552" t="inlineStr">
        <x:is>
          <x:t xml:space="preserve">2019-001747</x:t>
        </x:is>
      </x:c>
      <x:c r="B2124" s="552" t="n"/>
      <x:c r="C2124" s="552" t="inlineStr">
        <x:is>
          <x:t xml:space="preserve">Mineral Deed</x:t>
        </x:is>
      </x:c>
      <x:c r="D2124" s="552" t="inlineStr">
        <x:is>
          <x:t xml:space="preserve">2425/225</x:t>
        </x:is>
      </x:c>
      <x:c r="E2124" s="653" t="n">
        <x:v>43423</x:v>
      </x:c>
      <x:c r="F2124" s="653" t="n">
        <x:v>43693</x:v>
      </x:c>
      <x:c r="G2124" s="552" t="inlineStr">
        <x:is>
          <x:t xml:space="preserve">Jonathan E. Jensen</x:t>
        </x:is>
      </x:c>
      <x:c r="H2124" s="552" t="inlineStr">
        <x:is>
          <x:t xml:space="preserve">Gregory J. Winneke</x:t>
        </x:is>
      </x:c>
      <x:c r="I2124" s="552" t="inlineStr">
        <x:is>
          <x:t xml:space="preserve">NW/4 SE/4, S/2 SE/4, SW/4 NE/4 of 31-12N-24W, aol</x:t>
        </x:is>
      </x:c>
      <x:c r="J2124" s="552" t="inlineStr">
        <x:is>
          <x:t xml:space="preserve">ARTI</x:t>
        </x:is>
      </x:c>
      <x:c r="K2124" s="554" t="e">
        <x:f>HYPERLINK("https://okcountyrecords.com/detail/roger+mills/2019-001747","OKCountyRecords: 2019-001747")</x:f>
      </x:c>
      <x:c r="L2124" s="552" t="n">
        <x:v>2</x:v>
      </x:c>
      <x:c r="M2124" s="552" t="inlineStr">
        <x:is>
          <x:t xml:space="preserve">Mineral</x:t>
        </x:is>
      </x:c>
      <x:c r="N2124" s="555" t="n">
        <x:v>1</x:v>
      </x:c>
      <x:c r="O2124" s="556" t="n">
        <x:f>IF($L2124="","",IF(ISNUMBER(SEARCH("all",$L2124)),640,(ISNUMBER(SEARCH("1",$L2124)))*80+(ISNUMBER(SEARCH("2",$L2124)))*160+(ISNUMBER(SEARCH("3",$L2124)))*40+(ISNUMBER(SEARCH("4",$L2124)))*80+(ISNUMBER(SEARCH("5",$L2124)))*120+(ISNUMBER(SEARCH("6",$L2124)))*80+(ISNUMBER(SEARCH("7",$L2124)))*40+(ISNUMBER(SEARCH("8",$L2124)))*40))</x:f>
        <x:v>0</x:v>
      </x:c>
      <x:c r="P2124" s="654" t="n">
        <x:f>IF($M2124&lt;&gt;"Mineral","",IF(ISNUMBER($N2124),$N2124,IF(OR(ISNUMBER(SEARCH("surface",$J2124)),ISNUMBER(SEARCH("reserv",$J2124)),ISNUMBER(SEARCH("less and except",$J2124))),0,"")))</x:f>
        <x:v>1</x:v>
      </x:c>
      <x:c r="Q2124" s="654" t="n">
        <x:f>IF($P2124="","",-$P2124)</x:f>
        <x:v>-1</x:v>
      </x:c>
      <x:c r="R2124" s="655" t="n">
        <x:f>IF($P2124="","",$O2124*$P2124)</x:f>
        <x:v>0</x:v>
      </x:c>
      <x:c r="S2124" s="552" t="str">
        <x:f>IF($M2124="","",TRIM(IF($M2124="Mineral",IF(ISNUMBER($N2124),"Mineral; basis Conv Amt(dec). ",IF($P2124=0,"Mineral; surface-only/reserved-&gt;0 min. ","Mineral; NO AMOUNT-verify instrument. ")),$M2124&amp;" (non-mineral; excluded from mineral NMA). ")&amp;IF(OR(ISNUMBER(SEARCH("public",$G2124)),ISNUMBER(SEARCH("public",$H2124))),"FLAG: The Public placeholder-verify. ","")&amp;IF(ISNUMBER(SEARCH("all",$L2124)),"All-section coverage. ","")&amp;IF($O2124=0,"Gross acres unresolved. ","")&amp;"Gross=tract-map basis."))</x:f>
        <x:v>Mineral; basis Conv Amt(dec). Gross acres unresolved. Gross=tract-map basis.</x:v>
      </x:c>
      <x:c r="T2124" s="578" t="n"/>
      <x:c r="U2124" s="578" t="n"/>
      <x:c r="V2124" s="565" t="n"/>
      <x:c r="W2124" s="565" t="n"/>
      <x:c r="X2124" s="565" t="n"/>
      <x:c r="Y2124" s="565" t="n"/>
      <x:c r="Z2124" s="565" t="n"/>
    </x:row>
    <x:row r="2125">
      <x:c r="A2125" s="552" t="inlineStr">
        <x:is>
          <x:t xml:space="preserve">2026-002877</x:t>
        </x:is>
      </x:c>
      <x:c r="B2125" s="552" t="n"/>
      <x:c r="C2125" s="552" t="inlineStr">
        <x:is>
          <x:t xml:space="preserve">Order Allowing Final Account, Determination of Heirs, Distribution and Discharge</x:t>
        </x:is>
      </x:c>
      <x:c r="D2125" s="552" t="inlineStr">
        <x:is>
          <x:t xml:space="preserve">2700/395</x:t>
        </x:is>
      </x:c>
      <x:c r="E2125" s="653" t="n">
        <x:v>43500</x:v>
      </x:c>
      <x:c r="F2125" s="653" t="n">
        <x:v>46160</x:v>
      </x:c>
      <x:c r="G2125" s="552" t="inlineStr">
        <x:is>
          <x:t xml:space="preserve">Roger Mills County Court
RE: In the Matter of the Estate of Audy C. Campbella/k/a A.C. CAMPBELL, Deceased</x:t>
        </x:is>
      </x:c>
      <x:c r="H2125" s="552" t="inlineStr">
        <x:is>
          <x:t xml:space="preserve">Janis F. Campbell</x:t>
        </x:is>
      </x:c>
      <x:c r="I2125" s="552" t="inlineStr">
        <x:is>
          <x:t xml:space="preserve">S/2 of Lot 3, Lot 4, S/2 NE/4 SW/4, SE/4 SW/4 of 31-12N-24W, aol</x:t>
        </x:is>
      </x:c>
      <x:c r="J2125" s="552" t="inlineStr">
        <x:is>
          <x:t xml:space="preserve">ARTI, An undivided 10/115 34 interest in and to all of the oil, gas, and other minerals</x:t>
        </x:is>
      </x:c>
      <x:c r="K2125" s="554" t="e">
        <x:f>HYPERLINK("https://okcountyrecords.com/detail/roger+mills/2026-002877/35377759","OKCountyRecords: 2026-002877")</x:f>
      </x:c>
      <x:c r="L2125" s="552" t="inlineStr">
        <x:is>
          <x:t xml:space="preserve">2, 3, 5, 6, 7</x:t>
        </x:is>
      </x:c>
      <x:c r="M2125" s="552" t="inlineStr">
        <x:is>
          <x:t xml:space="preserve">Mineral</x:t>
        </x:is>
      </x:c>
      <x:c r="N2125" s="555" t="n">
        <x:v>1</x:v>
      </x:c>
      <x:c r="O2125" s="556" t="n">
        <x:f>IF($L2125="","",IF(ISNUMBER(SEARCH("all",$L2125)),640,(ISNUMBER(SEARCH("1",$L2125)))*80+(ISNUMBER(SEARCH("2",$L2125)))*160+(ISNUMBER(SEARCH("3",$L2125)))*40+(ISNUMBER(SEARCH("4",$L2125)))*80+(ISNUMBER(SEARCH("5",$L2125)))*120+(ISNUMBER(SEARCH("6",$L2125)))*80+(ISNUMBER(SEARCH("7",$L2125)))*40+(ISNUMBER(SEARCH("8",$L2125)))*40))</x:f>
        <x:v>0</x:v>
      </x:c>
      <x:c r="P2125" s="654" t="n">
        <x:f>IF($M2125&lt;&gt;"Mineral","",IF(ISNUMBER($N2125),$N2125,IF(OR(ISNUMBER(SEARCH("surface",$J2125)),ISNUMBER(SEARCH("reserv",$J2125)),ISNUMBER(SEARCH("less and except",$J2125))),0,"")))</x:f>
        <x:v>1</x:v>
      </x:c>
      <x:c r="Q2125" s="654" t="n">
        <x:f>IF($P2125="","",-$P2125)</x:f>
        <x:v>-1</x:v>
      </x:c>
      <x:c r="R2125" s="655" t="n">
        <x:f>IF($P2125="","",$O2125*$P2125)</x:f>
        <x:v>0</x:v>
      </x:c>
      <x:c r="S2125" s="552" t="str">
        <x:f>IF($M2125="","",TRIM(IF($M2125="Mineral",IF(ISNUMBER($N2125),"Mineral; basis Conv Amt(dec). ",IF($P2125=0,"Mineral; surface-only/reserved-&gt;0 min. ","Mineral; NO AMOUNT-verify instrument. ")),$M2125&amp;" (non-mineral; excluded from mineral NMA). ")&amp;IF(OR(ISNUMBER(SEARCH("public",$G2125)),ISNUMBER(SEARCH("public",$H2125))),"FLAG: The Public placeholder-verify. ","")&amp;IF(ISNUMBER(SEARCH("all",$L2125)),"All-section coverage. ","")&amp;IF($O2125=0,"Gross acres unresolved. ","")&amp;"Gross=tract-map basis."))</x:f>
        <x:v>Mineral; basis Conv Amt(dec). Gross acres unresolved. Gross=tract-map basis.</x:v>
      </x:c>
      <x:c r="T2125" s="578" t="n"/>
      <x:c r="U2125" s="578" t="n"/>
      <x:c r="V2125" s="565" t="n"/>
      <x:c r="W2125" s="565" t="n"/>
      <x:c r="X2125" s="565" t="n"/>
      <x:c r="Y2125" s="565" t="n"/>
      <x:c r="Z2125" s="565" t="n"/>
    </x:row>
    <x:row r="2126">
      <x:c r="A2126" s="552" t="inlineStr">
        <x:is>
          <x:t xml:space="preserve">2019-001779</x:t>
        </x:is>
      </x:c>
      <x:c r="B2126" s="552" t="n">
        <x:v>54</x:v>
      </x:c>
      <x:c r="C2126" s="552" t="inlineStr">
        <x:is>
          <x:t xml:space="preserve">Assignment</x:t>
        </x:is>
      </x:c>
      <x:c r="D2126" s="563" t="inlineStr">
        <x:is>
          <x:t xml:space="preserve">2425/380</x:t>
        </x:is>
      </x:c>
      <x:c r="E2126" s="653" t="n">
        <x:v>43564</x:v>
      </x:c>
      <x:c r="F2126" s="653" t="n">
        <x:v>43698</x:v>
      </x:c>
      <x:c r="G2126" s="552" t="inlineStr">
        <x:is>
          <x:t xml:space="preserve">Bhp Billiton Petroleum</x:t>
        </x:is>
      </x:c>
      <x:c r="H2126" s="552" t="inlineStr">
        <x:is>
          <x:t xml:space="preserve">Cohete Rojo, LLC</x:t>
        </x:is>
      </x:c>
      <x:c r="I2126" s="552" t="inlineStr">
        <x:is>
          <x:t xml:space="preserve">E/2 NW/4 of 31-12N-24W</x:t>
        </x:is>
      </x:c>
      <x:c r="J2126" s="552" t="inlineStr">
        <x:is>
          <x:t xml:space="preserve">ARTI in 786/270</x:t>
        </x:is>
      </x:c>
      <x:c r="K2126" s="554" t="e">
        <x:f>HYPERLINK("https://okcountyrecords.com/detail/roger+mills/2019-001779","63e8b9a8d056433a9994fe46ca85076b.pdf | OKCountyRecords: 2019-001779")</x:f>
      </x:c>
      <x:c r="L2126" s="552" t="n">
        <x:v>4</x:v>
      </x:c>
      <x:c r="M2126" s="552" t="inlineStr">
        <x:is>
          <x:t xml:space="preserve">Mineral</x:t>
        </x:is>
      </x:c>
      <x:c r="N2126" s="555" t="n"/>
      <x:c r="O2126" s="556" t="n">
        <x:f>IF($L2126="","",IF(ISNUMBER(SEARCH("all",$L2126)),640,(ISNUMBER(SEARCH("1",$L2126)))*80+(ISNUMBER(SEARCH("2",$L2126)))*160+(ISNUMBER(SEARCH("3",$L2126)))*40+(ISNUMBER(SEARCH("4",$L2126)))*80+(ISNUMBER(SEARCH("5",$L2126)))*120+(ISNUMBER(SEARCH("6",$L2126)))*80+(ISNUMBER(SEARCH("7",$L2126)))*40+(ISNUMBER(SEARCH("8",$L2126)))*40))</x:f>
        <x:v>0</x:v>
      </x:c>
      <x:c r="P2126" s="654" t="str">
        <x:f>IF($M2126&lt;&gt;"Mineral","",IF(ISNUMBER($N2126),$N2126,IF(OR(ISNUMBER(SEARCH("surface",$J2126)),ISNUMBER(SEARCH("reserv",$J2126)),ISNUMBER(SEARCH("less and except",$J2126))),0,"")))</x:f>
      </x:c>
      <x:c r="Q2126" s="654" t="str">
        <x:f>IF($P2126="","",-$P2126)</x:f>
      </x:c>
      <x:c r="R2126" s="655" t="str">
        <x:f>IF($P2126="","",$O2126*$P2126)</x:f>
      </x:c>
      <x:c r="S2126" s="552" t="str">
        <x:f>IF($M2126="","",TRIM(IF($M2126="Mineral",IF(ISNUMBER($N2126),"Mineral; basis Conv Amt(dec). ",IF($P2126=0,"Mineral; surface-only/reserved-&gt;0 min. ","Mineral; NO AMOUNT-verify instrument. ")),$M2126&amp;" (non-mineral; excluded from mineral NMA). ")&amp;IF(OR(ISNUMBER(SEARCH("public",$G2126)),ISNUMBER(SEARCH("public",$H2126))),"FLAG: The Public placeholder-verify. ","")&amp;IF(ISNUMBER(SEARCH("all",$L2126)),"All-section coverage. ","")&amp;IF($O2126=0,"Gross acres unresolved. ","")&amp;"Gross=tract-map basis."))</x:f>
        <x:v>Mineral; surface-only/reserved-&gt;0 min. Gross acres unresolved. Gross=tract-map basis.</x:v>
      </x:c>
      <x:c r="T2126" s="577" t="n"/>
      <x:c r="U2126" s="578" t="n"/>
      <x:c r="V2126" s="565" t="n"/>
      <x:c r="W2126" s="565" t="n"/>
      <x:c r="X2126" s="565" t="n"/>
      <x:c r="Y2126" s="565" t="n"/>
      <x:c r="Z2126" s="565" t="n"/>
    </x:row>
    <x:row r="2127">
      <x:c r="A2127" s="552" t="inlineStr">
        <x:is>
          <x:t xml:space="preserve">2019-001855</x:t>
        </x:is>
      </x:c>
      <x:c r="B2127" s="552" t="n"/>
      <x:c r="C2127" s="552" t="inlineStr">
        <x:is>
          <x:t xml:space="preserve">Mineral Deed, Assignment, Conveyance and Bill of Sale</x:t>
        </x:is>
      </x:c>
      <x:c r="D2127" s="552" t="inlineStr">
        <x:is>
          <x:t xml:space="preserve">2426/154</x:t>
        </x:is>
      </x:c>
      <x:c r="E2127" s="653" t="n">
        <x:v>43739</x:v>
      </x:c>
      <x:c r="F2127" s="653" t="n">
        <x:v>43711</x:v>
      </x:c>
      <x:c r="G2127" s="552" t="inlineStr">
        <x:is>
          <x:t xml:space="preserve">Colt Development, LLC,
Roca Development, LLC</x:t>
        </x:is>
      </x:c>
      <x:c r="H2127" s="552" t="inlineStr">
        <x:is>
          <x:t xml:space="preserve">Dustin Deal, LLC
11182 N. 2030 Rd.
Elk City, OK 73644</x:t>
        </x:is>
      </x:c>
      <x:c r="I2127" s="552" t="inlineStr">
        <x:is>
          <x:t xml:space="preserve">E/2 NW/4 of 31-12N-24W</x:t>
        </x:is>
      </x:c>
      <x:c r="J2127" s="552" t="inlineStr">
        <x:is>
          <x:t xml:space="preserve">ARTI</x:t>
        </x:is>
      </x:c>
      <x:c r="K2127" s="554" t="e">
        <x:f>HYPERLINK("https://okcountyrecords.com/detail/roger+mills/2019-001855/22296278","OKCountyRecords: 2019-001855")</x:f>
      </x:c>
      <x:c r="L2127" s="552" t="n">
        <x:v>4</x:v>
      </x:c>
      <x:c r="M2127" s="552" t="inlineStr">
        <x:is>
          <x:t xml:space="preserve">Mineral</x:t>
        </x:is>
      </x:c>
      <x:c r="N2127" s="555" t="n">
        <x:v>1</x:v>
      </x:c>
      <x:c r="O2127" s="556" t="n">
        <x:f>IF($L2127="","",IF(ISNUMBER(SEARCH("all",$L2127)),640,(ISNUMBER(SEARCH("1",$L2127)))*80+(ISNUMBER(SEARCH("2",$L2127)))*160+(ISNUMBER(SEARCH("3",$L2127)))*40+(ISNUMBER(SEARCH("4",$L2127)))*80+(ISNUMBER(SEARCH("5",$L2127)))*120+(ISNUMBER(SEARCH("6",$L2127)))*80+(ISNUMBER(SEARCH("7",$L2127)))*40+(ISNUMBER(SEARCH("8",$L2127)))*40))</x:f>
        <x:v>0</x:v>
      </x:c>
      <x:c r="P2127" s="654" t="n">
        <x:f>IF($M2127&lt;&gt;"Mineral","",IF(ISNUMBER($N2127),$N2127,IF(OR(ISNUMBER(SEARCH("surface",$J2127)),ISNUMBER(SEARCH("reserv",$J2127)),ISNUMBER(SEARCH("less and except",$J2127))),0,"")))</x:f>
        <x:v>1</x:v>
      </x:c>
      <x:c r="Q2127" s="654" t="n">
        <x:f>IF($P2127="","",-$P2127)</x:f>
        <x:v>-1</x:v>
      </x:c>
      <x:c r="R2127" s="655" t="n">
        <x:f>IF($P2127="","",$O2127*$P2127)</x:f>
        <x:v>0</x:v>
      </x:c>
      <x:c r="S2127" s="552" t="str">
        <x:f>IF($M2127="","",TRIM(IF($M2127="Mineral",IF(ISNUMBER($N2127),"Mineral; basis Conv Amt(dec). ",IF($P2127=0,"Mineral; surface-only/reserved-&gt;0 min. ","Mineral; NO AMOUNT-verify instrument. ")),$M2127&amp;" (non-mineral; excluded from mineral NMA). ")&amp;IF(OR(ISNUMBER(SEARCH("public",$G2127)),ISNUMBER(SEARCH("public",$H2127))),"FLAG: The Public placeholder-verify. ","")&amp;IF(ISNUMBER(SEARCH("all",$L2127)),"All-section coverage. ","")&amp;IF($O2127=0,"Gross acres unresolved. ","")&amp;"Gross=tract-map basis."))</x:f>
        <x:v>Mineral; basis Conv Amt(dec). Gross acres unresolved. Gross=tract-map basis.</x:v>
      </x:c>
      <x:c r="T2127" s="578" t="n"/>
      <x:c r="U2127" s="578" t="n"/>
      <x:c r="V2127" s="565" t="n"/>
      <x:c r="W2127" s="565" t="n"/>
      <x:c r="X2127" s="565" t="n"/>
      <x:c r="Y2127" s="565" t="n"/>
      <x:c r="Z2127" s="565" t="n"/>
    </x:row>
    <x:row r="2128">
      <x:c r="A2128" s="552" t="inlineStr">
        <x:is>
          <x:t xml:space="preserve">2020-001283</x:t>
        </x:is>
      </x:c>
      <x:c r="B2128" s="552" t="n">
        <x:v>56</x:v>
      </x:c>
      <x:c r="C2128" s="552" t="inlineStr">
        <x:is>
          <x:t xml:space="preserve">Assignment</x:t>
        </x:is>
      </x:c>
      <x:c r="D2128" s="563" t="inlineStr">
        <x:is>
          <x:t xml:space="preserve">2449/333</x:t>
        </x:is>
      </x:c>
      <x:c r="E2128" s="653" t="n">
        <x:v>43831</x:v>
      </x:c>
      <x:c r="F2128" s="653" t="n">
        <x:v>44060</x:v>
      </x:c>
      <x:c r="G2128" s="552" t="inlineStr">
        <x:is>
          <x:t xml:space="preserve">Te Holdco Rp, LLC, et al</x:t>
        </x:is>
      </x:c>
      <x:c r="H2128" s="552" t="inlineStr">
        <x:is>
          <x:t xml:space="preserve">Presidio Wab, LLC</x:t>
        </x:is>
      </x:c>
      <x:c r="I2128" s="552" t="inlineStr">
        <x:is>
          <x:t xml:space="preserve">All of 31-12N-24W, aol</x:t>
        </x:is>
      </x:c>
      <x:c r="J2128" s="552" t="inlineStr">
        <x:is>
          <x:t xml:space="preserve">Transfers leasehold/WI in chain</x:t>
        </x:is>
      </x:c>
      <x:c r="K2128" s="554" t="e">
        <x:f>HYPERLINK("https://okcountyrecords.com/detail/roger+mills/2020-001283","63e8b9a8d056433a9994fe46ca85076b.pdf | OKCountyRecords: 2020-001283")</x:f>
      </x:c>
      <x:c r="L2128" s="552" t="inlineStr">
        <x:is>
          <x:t xml:space="preserve">All (1-8)</x:t>
        </x:is>
      </x:c>
      <x:c r="M2128" s="552" t="inlineStr">
        <x:is>
          <x:t xml:space="preserve">Leasehold</x:t>
        </x:is>
      </x:c>
      <x:c r="N2128" s="555" t="n"/>
      <x:c r="O2128" s="556" t="n">
        <x:f>IF($L2128="","",IF(ISNUMBER(SEARCH("all",$L2128)),640,(ISNUMBER(SEARCH("1",$L2128)))*80+(ISNUMBER(SEARCH("2",$L2128)))*160+(ISNUMBER(SEARCH("3",$L2128)))*40+(ISNUMBER(SEARCH("4",$L2128)))*80+(ISNUMBER(SEARCH("5",$L2128)))*120+(ISNUMBER(SEARCH("6",$L2128)))*80+(ISNUMBER(SEARCH("7",$L2128)))*40+(ISNUMBER(SEARCH("8",$L2128)))*40))</x:f>
        <x:v>640</x:v>
      </x:c>
      <x:c r="P2128" s="654" t="str">
        <x:f>IF($M2128&lt;&gt;"Mineral","",IF(ISNUMBER($N2128),$N2128,IF(OR(ISNUMBER(SEARCH("surface",$J2128)),ISNUMBER(SEARCH("reserv",$J2128)),ISNUMBER(SEARCH("less and except",$J2128))),0,"")))</x:f>
      </x:c>
      <x:c r="Q2128" s="654" t="str">
        <x:f>IF($P2128="","",-$P2128)</x:f>
      </x:c>
      <x:c r="R2128" s="655" t="str">
        <x:f>IF($P2128="","",$O2128*$P2128)</x:f>
      </x:c>
      <x:c r="S2128" s="552" t="str">
        <x:f>IF($M2128="","",TRIM(IF($M2128="Mineral",IF(ISNUMBER($N2128),"Mineral; basis Conv Amt(dec). ",IF($P2128=0,"Mineral; surface-only/reserved-&gt;0 min. ","Mineral; NO AMOUNT-verify instrument. ")),$M2128&amp;" (non-mineral; excluded from mineral NMA). ")&amp;IF(OR(ISNUMBER(SEARCH("public",$G2128)),ISNUMBER(SEARCH("public",$H2128))),"FLAG: The Public placeholder-verify. ","")&amp;IF(ISNUMBER(SEARCH("all",$L2128)),"All-section coverage. ","")&amp;IF($O2128=0,"Gross acres unresolved. ","")&amp;"Gross=tract-map basis."))</x:f>
        <x:v>Leasehold (non-mineral; excluded from mineral NMA). All-section coverage. Gross=tract-map basis.</x:v>
      </x:c>
      <x:c r="T2128" s="578" t="n"/>
      <x:c r="U2128" s="578" t="n"/>
      <x:c r="V2128" s="565" t="n"/>
      <x:c r="W2128" s="565" t="n"/>
      <x:c r="X2128" s="565" t="n"/>
      <x:c r="Y2128" s="565" t="n"/>
      <x:c r="Z2128" s="565" t="n"/>
    </x:row>
    <x:row r="2129">
      <x:c r="A2129" s="552" t="inlineStr">
        <x:is>
          <x:t xml:space="preserve">2021-001486</x:t>
        </x:is>
      </x:c>
      <x:c r="B2129" s="552" t="n"/>
      <x:c r="C2129" s="552" t="inlineStr">
        <x:is>
          <x:t xml:space="preserve">Second Correction to Assignment, Conveyance and Bill of Sale</x:t>
        </x:is>
      </x:c>
      <x:c r="D2129" s="552" t="inlineStr">
        <x:is>
          <x:t xml:space="preserve">2473/1</x:t>
        </x:is>
      </x:c>
      <x:c r="E2129" s="653" t="n">
        <x:v>44044</x:v>
      </x:c>
      <x:c r="F2129" s="653" t="n">
        <x:v>44449</x:v>
      </x:c>
      <x:c r="G2129" s="552" t="inlineStr">
        <x:is>
          <x:t xml:space="preserve">Blackbeard Operating, LLC,
Tecolote Holdings, LLC,
Tecolote Royalty, L.P.</x:t>
        </x:is>
      </x:c>
      <x:c r="H2129" s="552" t="inlineStr">
        <x:is>
          <x:t xml:space="preserve">Mustang Fuel Corporation</x:t>
        </x:is>
      </x:c>
      <x:c r="I2129" s="552" t="inlineStr">
        <x:is>
          <x:t xml:space="preserve">All of 31-12N-24W, aol</x:t>
        </x:is>
      </x:c>
      <x:c r="J2129" s="552" t="inlineStr">
        <x:is>
          <x:t xml:space="preserve">Correction to Assignment, Conveyance and Bill of Sale, effective August 1, 2020, and recorded in Book 2454 at Page 234</x:t>
        </x:is>
      </x:c>
      <x:c r="K2129" s="554" t="e">
        <x:f>HYPERLINK("https://okcountyrecords.com/detail/roger+mills/2021-001486","OKCountyRecords: 2021-001486")</x:f>
      </x:c>
      <x:c r="L2129" s="552" t="inlineStr">
        <x:is>
          <x:t xml:space="preserve">All (1-8)</x:t>
        </x:is>
      </x:c>
      <x:c r="M2129" s="552" t="inlineStr">
        <x:is>
          <x:t xml:space="preserve">Mineral</x:t>
        </x:is>
      </x:c>
      <x:c r="N2129" s="555" t="inlineStr">
        <x:is>
          <x:t xml:space="preserve">NEED: confirm whether row conveys mineral interest</x:t>
        </x:is>
      </x:c>
      <x:c r="O2129" s="556" t="n">
        <x:f>IF($L2129="","",IF(ISNUMBER(SEARCH("all",$L2129)),640,(ISNUMBER(SEARCH("1",$L2129)))*80+(ISNUMBER(SEARCH("2",$L2129)))*160+(ISNUMBER(SEARCH("3",$L2129)))*40+(ISNUMBER(SEARCH("4",$L2129)))*80+(ISNUMBER(SEARCH("5",$L2129)))*120+(ISNUMBER(SEARCH("6",$L2129)))*80+(ISNUMBER(SEARCH("7",$L2129)))*40+(ISNUMBER(SEARCH("8",$L2129)))*40))</x:f>
        <x:v>640</x:v>
      </x:c>
      <x:c r="P2129" s="654" t="str">
        <x:f>IF($M2129&lt;&gt;"Mineral","",IF(ISNUMBER($N2129),$N2129,IF(OR(ISNUMBER(SEARCH("surface",$J2129)),ISNUMBER(SEARCH("reserv",$J2129)),ISNUMBER(SEARCH("less and except",$J2129))),0,"")))</x:f>
      </x:c>
      <x:c r="Q2129" s="654" t="str">
        <x:f>IF($P2129="","",-$P2129)</x:f>
      </x:c>
      <x:c r="R2129" s="655" t="str">
        <x:f>IF($P2129="","",$O2129*$P2129)</x:f>
      </x:c>
      <x:c r="S2129" s="552" t="str">
        <x:f>IF($M2129="","",TRIM(IF($M2129="Mineral",IF(ISNUMBER($N2129),"Mineral; basis Conv Amt(dec). ",IF($P2129=0,"Mineral; surface-only/reserved-&gt;0 min. ","Mineral; VERIFY — NEED full instrument image for conveyed amount. ")),$M2129&amp;" (non-mineral; excluded from mineral NMA). ")&amp;IF(OR(ISNUMBER(SEARCH("public",$G2129)),ISNUMBER(SEARCH("public",$H2129))),"FLAG: The Public placeholder; VERIFY — NEED source confirmation. ","")&amp;IF(ISNUMBER(SEARCH("all",$L2129)),"All-section coverage. ","")&amp;IF($O2129=0,"Gross acres unresolved. ","")&amp;"Gross=tract-map basis."))</x:f>
        <x:v>Mineral; surface-only/reserved-&gt;0 min. All-section coverage. Gross=tract-map basis.</x:v>
      </x:c>
      <x:c r="T2129" s="578" t="inlineStr">
        <x:is>
          <x:t xml:space="preserve">REVIEW</x:t>
        </x:is>
      </x:c>
      <x:c r="U2129" s="578" t="inlineStr">
        <x:is>
          <x:t xml:space="preserve">NEED: confirm whether row conveys mineral interest</x:t>
        </x:is>
      </x:c>
      <x:c r="V2129" s="565" t="n"/>
      <x:c r="W2129" s="565" t="n"/>
      <x:c r="X2129" s="565" t="n"/>
      <x:c r="Y2129" s="565" t="n"/>
      <x:c r="Z2129" s="565" t="n"/>
    </x:row>
    <x:row r="2130">
      <x:c r="A2130" s="552" t="inlineStr">
        <x:is>
          <x:t xml:space="preserve">2020-001279</x:t>
        </x:is>
      </x:c>
      <x:c r="B2130" s="552" t="n"/>
      <x:c r="C2130" s="552" t="inlineStr">
        <x:is>
          <x:t xml:space="preserve">Affidavit</x:t>
        </x:is>
      </x:c>
      <x:c r="D2130" s="552" t="inlineStr">
        <x:is>
          <x:t xml:space="preserve">2447/81</x:t>
        </x:is>
      </x:c>
      <x:c r="E2130" s="653" t="n">
        <x:v>44050</x:v>
      </x:c>
      <x:c r="F2130" s="653" t="n">
        <x:v>44060</x:v>
      </x:c>
      <x:c r="G2130" s="552" t="inlineStr">
        <x:is>
          <x:t xml:space="preserve">Brett Barnes, Manager, General Counsel and Vice President, Land, of
Presidio Investment Holdings, LLC, Manager of Presidio Wab, LLC</x:t>
        </x:is>
      </x:c>
      <x:c r="H2130" s="552" t="inlineStr">
        <x:is>
          <x:t xml:space="preserve">The Public</x:t>
        </x:is>
      </x:c>
      <x:c r="I2130" s="552" t="inlineStr">
        <x:is>
          <x:t xml:space="preserve">All of 31-12N-24W, aol</x:t>
        </x:is>
      </x:c>
      <x:c r="J2130" s="552" t="inlineStr">
        <x:is>
          <x:t xml:space="preserve">Certain assets, including those described on attached Exhibit "B" (the "Assets") were owned by Templar Energy, LLC, TE Holdcorp, LLC, TE Holdings, LLC, TE Holdings II, LLC Templar Operating, LLC, Templar Midstream, LLC and TE Holdings Management, LLC (collectively, "Templar"). Templar filed voluntary petitions on June 1, 2020 under chapter 11 of the Bankruptcy Code in the United States Bankruptcy Court for the District of Delaware (the "Bankruptcy Court"), where debtors' cases are being jointly administered under Case No. 20-11441 (BLS). Attached hereto as Exhibit "A" is a certified copy of the Bankruptcy Court's Order Approving the Sale of the Debtors' Assets Free and Clear of all Liens, Claims, Interests, and Encumbrances, Approving the Assumption and Assignment of Certain Executory Contracts and Unexpired Leases, and Granting Related Relief, which order approved the sale of substantially all of Templar's assets, including without limitation the Assets, to Presidio Investment Holdings, LLC, or its designee. Presidio WAB, LLC, as designee, has succeeded to the interest of Presidio Investment Holdings LLC.</x:t>
        </x:is>
      </x:c>
      <x:c r="K2130" s="554" t="e">
        <x:f>HYPERLINK("https://okcountyrecords.com/detail/roger+mills/2020-001279","OKCountyRecords: 2020-001279")</x:f>
      </x:c>
      <x:c r="L2130" s="552" t="inlineStr">
        <x:is>
          <x:t xml:space="preserve">All (1-8)</x:t>
        </x:is>
      </x:c>
      <x:c r="M2130" s="552" t="inlineStr">
        <x:is>
          <x:t xml:space="preserve">Other</x:t>
        </x:is>
      </x:c>
      <x:c r="N2130" s="555" t="n">
        <x:v>0</x:v>
      </x:c>
      <x:c r="O2130" s="556" t="n">
        <x:f>IF($L2130="","",IF(ISNUMBER(SEARCH("all",$L2130)),640,(ISNUMBER(SEARCH("1",$L2130)))*80+(ISNUMBER(SEARCH("2",$L2130)))*160+(ISNUMBER(SEARCH("3",$L2130)))*40+(ISNUMBER(SEARCH("4",$L2130)))*80+(ISNUMBER(SEARCH("5",$L2130)))*120+(ISNUMBER(SEARCH("6",$L2130)))*80+(ISNUMBER(SEARCH("7",$L2130)))*40+(ISNUMBER(SEARCH("8",$L2130)))*40))</x:f>
        <x:v>640</x:v>
      </x:c>
      <x:c r="P2130" s="654" t="str">
        <x:f>IF($M2130&lt;&gt;"Mineral","",IF(ISNUMBER($N2130),$N2130,IF(OR(ISNUMBER(SEARCH("surface",$J2130)),ISNUMBER(SEARCH("reserv",$J2130)),ISNUMBER(SEARCH("less and except",$J2130))),0,"")))</x:f>
      </x:c>
      <x:c r="Q2130" s="654" t="str">
        <x:f>IF($P2130="","",-$P2130)</x:f>
      </x:c>
      <x:c r="R2130" s="655" t="str">
        <x:f>IF($P2130="","",$O2130*$P2130)</x:f>
      </x:c>
      <x:c r="S2130" s="552" t="inlineStr">
        <x:is>
          <x:t xml:space="preserve">Other (non-mineral; excluded from mineral NMA). All-section coverage. Gross=tract-map basis.</x:t>
        </x:is>
      </x:c>
      <x:c r="T2130" s="578" t="inlineStr">
        <x:is>
          <x:t xml:space="preserve">OK</x:t>
        </x:is>
      </x:c>
      <x:c r="U2130" s="578" t="inlineStr">
        <x:is>
          <x:t xml:space="preserve">Non-conveying — notice/affidavit/address change (The Public).</x:t>
        </x:is>
      </x:c>
      <x:c r="V2130" s="565" t="n"/>
      <x:c r="W2130" s="565" t="n"/>
      <x:c r="X2130" s="565" t="n"/>
      <x:c r="Y2130" s="565" t="n"/>
      <x:c r="Z2130" s="565" t="n"/>
    </x:row>
    <x:row r="2131">
      <x:c r="A2131" s="552" t="inlineStr">
        <x:is>
          <x:t xml:space="preserve">2020-001374</x:t>
        </x:is>
      </x:c>
      <x:c r="B2131" s="552" t="n"/>
      <x:c r="C2131" s="552" t="inlineStr">
        <x:is>
          <x:t xml:space="preserve">Quit Claim Mineral Deed</x:t>
        </x:is>
      </x:c>
      <x:c r="D2131" s="552" t="inlineStr">
        <x:is>
          <x:t xml:space="preserve">2450/598</x:t>
        </x:is>
      </x:c>
      <x:c r="E2131" s="653" t="n">
        <x:v>44071</x:v>
      </x:c>
      <x:c r="F2131" s="653" t="n">
        <x:v>44076</x:v>
      </x:c>
      <x:c r="G2131" s="552" t="inlineStr">
        <x:is>
          <x:t xml:space="preserve">Janis Fern Campbell</x:t>
        </x:is>
      </x:c>
      <x:c r="H2131" s="552" t="inlineStr">
        <x:is>
          <x:t xml:space="preserve">The Audy and Janis Campbell Family Trust</x:t>
        </x:is>
      </x:c>
      <x:c r="I2131" s="552" t="inlineStr">
        <x:is>
          <x:t xml:space="preserve">S/2 NE/4 SW/4, S/2 of Lot 3, Lot 4, SE/4 SW/4 of 31-12N-24W, aol</x:t>
        </x:is>
      </x:c>
      <x:c r="J2131" s="552" t="inlineStr">
        <x:is>
          <x:t xml:space="preserve">ARTI</x:t>
        </x:is>
      </x:c>
      <x:c r="K2131" s="554" t="e">
        <x:f>HYPERLINK("https://okcountyrecords.com/detail/roger+mills/2020-001374","OKCountyRecords: 2020-001374")</x:f>
      </x:c>
      <x:c r="L2131" s="552" t="inlineStr">
        <x:is>
          <x:t xml:space="preserve">2, 3, 5, 6, 7</x:t>
        </x:is>
      </x:c>
      <x:c r="M2131" s="552" t="inlineStr">
        <x:is>
          <x:t xml:space="preserve">Mineral</x:t>
        </x:is>
      </x:c>
      <x:c r="N2131" s="555" t="n">
        <x:v>1</x:v>
      </x:c>
      <x:c r="O2131" s="556" t="n">
        <x:f>IF($L2131="","",IF(ISNUMBER(SEARCH("all",$L2131)),640,(ISNUMBER(SEARCH("1",$L2131)))*80+(ISNUMBER(SEARCH("2",$L2131)))*160+(ISNUMBER(SEARCH("3",$L2131)))*40+(ISNUMBER(SEARCH("4",$L2131)))*80+(ISNUMBER(SEARCH("5",$L2131)))*120+(ISNUMBER(SEARCH("6",$L2131)))*80+(ISNUMBER(SEARCH("7",$L2131)))*40+(ISNUMBER(SEARCH("8",$L2131)))*40))</x:f>
        <x:v>0</x:v>
      </x:c>
      <x:c r="P2131" s="654" t="n">
        <x:f>IF($M2131&lt;&gt;"Mineral","",IF(ISNUMBER($N2131),$N2131,IF(OR(ISNUMBER(SEARCH("surface",$J2131)),ISNUMBER(SEARCH("reserv",$J2131)),ISNUMBER(SEARCH("less and except",$J2131))),0,"")))</x:f>
        <x:v>1</x:v>
      </x:c>
      <x:c r="Q2131" s="654" t="n">
        <x:f>IF($P2131="","",-$P2131)</x:f>
        <x:v>-1</x:v>
      </x:c>
      <x:c r="R2131" s="655" t="n">
        <x:f>IF($P2131="","",$O2131*$P2131)</x:f>
        <x:v>0</x:v>
      </x:c>
      <x:c r="S2131" s="552" t="str">
        <x:f>IF($M2131="","",TRIM(IF($M2131="Mineral",IF(ISNUMBER($N2131),"Mineral; basis Conv Amt(dec). ",IF($P2131=0,"Mineral; surface-only/reserved-&gt;0 min. ","Mineral; NO AMOUNT-verify instrument. ")),$M2131&amp;" (non-mineral; excluded from mineral NMA). ")&amp;IF(OR(ISNUMBER(SEARCH("public",$G2131)),ISNUMBER(SEARCH("public",$H2131))),"FLAG: The Public placeholder-verify. ","")&amp;IF(ISNUMBER(SEARCH("all",$L2131)),"All-section coverage. ","")&amp;IF($O2131=0,"Gross acres unresolved. ","")&amp;"Gross=tract-map basis."))</x:f>
        <x:v>Mineral; basis Conv Amt(dec). Gross acres unresolved. Gross=tract-map basis.</x:v>
      </x:c>
      <x:c r="T2131" s="578" t="n"/>
      <x:c r="U2131" s="578" t="n"/>
      <x:c r="V2131" s="565" t="n"/>
      <x:c r="W2131" s="565" t="n"/>
      <x:c r="X2131" s="565" t="n"/>
      <x:c r="Y2131" s="565" t="n"/>
      <x:c r="Z2131" s="565" t="n"/>
    </x:row>
    <x:row r="2132">
      <x:c r="A2132" s="552" t="inlineStr">
        <x:is>
          <x:t xml:space="preserve">2020-001577</x:t>
        </x:is>
      </x:c>
      <x:c r="B2132" s="552" t="n">
        <x:v>57</x:v>
      </x:c>
      <x:c r="C2132" s="552" t="inlineStr">
        <x:is>
          <x:t xml:space="preserve">Assignment</x:t>
        </x:is>
      </x:c>
      <x:c r="D2132" s="563" t="inlineStr">
        <x:is>
          <x:t xml:space="preserve">2452/235</x:t>
        </x:is>
      </x:c>
      <x:c r="E2132" s="653" t="n">
        <x:v>44105</x:v>
      </x:c>
      <x:c r="F2132" s="653" t="n">
        <x:v>44118</x:v>
      </x:c>
      <x:c r="G2132" s="552" t="inlineStr">
        <x:is>
          <x:t xml:space="preserve">Tecolote Holdings, LLC, et al</x:t>
        </x:is>
      </x:c>
      <x:c r="H2132" s="552" t="inlineStr">
        <x:is>
          <x:t xml:space="preserve">Mustang Fuel Corporation</x:t>
        </x:is>
      </x:c>
      <x:c r="I2132" s="552" t="inlineStr">
        <x:is>
          <x:t xml:space="preserve">A, E/2 NW/4, N/2 NE/4, NW/4 SE/4 of 31-12N-24W, aol</x:t>
        </x:is>
      </x:c>
      <x:c r="J2132" s="552" t="inlineStr">
        <x:is>
          <x:t xml:space="preserve">Transfers leasehold/WI in chain</x:t>
        </x:is>
      </x:c>
      <x:c r="K2132" s="554" t="e">
        <x:f>HYPERLINK("https://okcountyrecords.com/detail/roger+mills/2020-001577","63e8b9a8d056433a9994fe46ca85076b.pdf | OKCountyRecords: 2020-001577")</x:f>
      </x:c>
      <x:c r="L2132" s="552" t="inlineStr">
        <x:is>
          <x:t xml:space="preserve">1, 2, 4</x:t>
        </x:is>
      </x:c>
      <x:c r="M2132" s="552" t="inlineStr">
        <x:is>
          <x:t xml:space="preserve">Leasehold</x:t>
        </x:is>
      </x:c>
      <x:c r="N2132" s="555" t="n"/>
      <x:c r="O2132" s="556" t="n">
        <x:f>IF($L2132="","",IF(ISNUMBER(SEARCH("all",$L2132)),640,(ISNUMBER(SEARCH("1",$L2132)))*80+(ISNUMBER(SEARCH("2",$L2132)))*160+(ISNUMBER(SEARCH("3",$L2132)))*40+(ISNUMBER(SEARCH("4",$L2132)))*80+(ISNUMBER(SEARCH("5",$L2132)))*120+(ISNUMBER(SEARCH("6",$L2132)))*80+(ISNUMBER(SEARCH("7",$L2132)))*40+(ISNUMBER(SEARCH("8",$L2132)))*40))</x:f>
        <x:v>0</x:v>
      </x:c>
      <x:c r="P2132" s="654" t="str">
        <x:f>IF($M2132&lt;&gt;"Mineral","",IF(ISNUMBER($N2132),$N2132,IF(OR(ISNUMBER(SEARCH("surface",$J2132)),ISNUMBER(SEARCH("reserv",$J2132)),ISNUMBER(SEARCH("less and except",$J2132))),0,"")))</x:f>
      </x:c>
      <x:c r="Q2132" s="654" t="str">
        <x:f>IF($P2132="","",-$P2132)</x:f>
      </x:c>
      <x:c r="R2132" s="655" t="str">
        <x:f>IF($P2132="","",$O2132*$P2132)</x:f>
      </x:c>
      <x:c r="S2132" s="552" t="str">
        <x:f>IF($M2132="","",TRIM(IF($M2132="Mineral",IF(ISNUMBER($N2132),"Mineral; basis Conv Amt(dec). ",IF($P2132=0,"Mineral; surface-only/reserved-&gt;0 min. ","Mineral; NO AMOUNT-verify instrument. ")),$M2132&amp;" (non-mineral; excluded from mineral NMA). ")&amp;IF(OR(ISNUMBER(SEARCH("public",$G2132)),ISNUMBER(SEARCH("public",$H2132))),"FLAG: The Public placeholder-verify. ","")&amp;IF(ISNUMBER(SEARCH("all",$L2132)),"All-section coverage. ","")&amp;IF($O2132=0,"Gross acres unresolved. ","")&amp;"Gross=tract-map basis."))</x:f>
        <x:v>Leasehold (non-mineral; excluded from mineral NMA). Gross acres unresolved. Gross=tract-map basis.</x:v>
      </x:c>
      <x:c r="T2132" s="578" t="n"/>
      <x:c r="U2132" s="578" t="n"/>
      <x:c r="V2132" s="565" t="n"/>
      <x:c r="W2132" s="565" t="n"/>
      <x:c r="X2132" s="565" t="n"/>
      <x:c r="Y2132" s="565" t="n"/>
      <x:c r="Z2132" s="565" t="n"/>
    </x:row>
    <x:row r="2133">
      <x:c r="A2133" s="552" t="inlineStr">
        <x:is>
          <x:t xml:space="preserve">2020-001650</x:t>
        </x:is>
      </x:c>
      <x:c r="B2133" s="552" t="n"/>
      <x:c r="C2133" s="552" t="inlineStr">
        <x:is>
          <x:t xml:space="preserve">Quit Claim Mineral Deed</x:t>
        </x:is>
      </x:c>
      <x:c r="D2133" s="552" t="inlineStr">
        <x:is>
          <x:t xml:space="preserve">2453/219</x:t>
        </x:is>
      </x:c>
      <x:c r="E2133" s="653" t="n">
        <x:v>44126</x:v>
      </x:c>
      <x:c r="F2133" s="653" t="n">
        <x:v>44133</x:v>
      </x:c>
      <x:c r="G2133" s="552" t="inlineStr">
        <x:is>
          <x:t xml:space="preserve">Jack B. Searle and Tamara D. Searle, as Joint Tenants and Jack B. Searle,
individually</x:t>
        </x:is>
      </x:c>
      <x:c r="H2133" s="552" t="inlineStr">
        <x:is>
          <x:t xml:space="preserve">Gt Mineral Holdings, LLC</x:t>
        </x:is>
      </x:c>
      <x:c r="I2133" s="552" t="inlineStr">
        <x:is>
          <x:t xml:space="preserve">NW/4 SE/4, S/2 SE/4, SW/4 NE/4 of 31-12N-24W, aol</x:t>
        </x:is>
      </x:c>
      <x:c r="J2133" s="552" t="inlineStr">
        <x:is>
          <x:t xml:space="preserve">ARTI,
It is the intent of Grantor to convey unto Grantee ALL of Grantor's right, title and interest in Roger Mills County, Oklahoma whether or not fully or accurately described herein pursuant to Case #2018DR30013 filed on July 7, 2020 in the District Court ofArchuleta County, Colorado.</x:t>
        </x:is>
      </x:c>
      <x:c r="K2133" s="554" t="e">
        <x:f>HYPERLINK("https://okcountyrecords.com/detail/roger+mills/2020-001650","OKCountyRecords: 2020-001650")</x:f>
      </x:c>
      <x:c r="L2133" s="552" t="n">
        <x:v>2</x:v>
      </x:c>
      <x:c r="M2133" s="552" t="inlineStr">
        <x:is>
          <x:t xml:space="preserve">Mineral</x:t>
        </x:is>
      </x:c>
      <x:c r="N2133" s="555" t="n">
        <x:v>1</x:v>
      </x:c>
      <x:c r="O2133" s="556" t="n">
        <x:f>IF($L2133="","",IF(ISNUMBER(SEARCH("all",$L2133)),640,(ISNUMBER(SEARCH("1",$L2133)))*80+(ISNUMBER(SEARCH("2",$L2133)))*160+(ISNUMBER(SEARCH("3",$L2133)))*40+(ISNUMBER(SEARCH("4",$L2133)))*80+(ISNUMBER(SEARCH("5",$L2133)))*120+(ISNUMBER(SEARCH("6",$L2133)))*80+(ISNUMBER(SEARCH("7",$L2133)))*40+(ISNUMBER(SEARCH("8",$L2133)))*40))</x:f>
        <x:v>0</x:v>
      </x:c>
      <x:c r="P2133" s="654" t="n">
        <x:f>IF($M2133&lt;&gt;"Mineral","",IF(ISNUMBER($N2133),$N2133,IF(OR(ISNUMBER(SEARCH("surface",$J2133)),ISNUMBER(SEARCH("reserv",$J2133)),ISNUMBER(SEARCH("less and except",$J2133))),0,"")))</x:f>
        <x:v>1</x:v>
      </x:c>
      <x:c r="Q2133" s="654" t="n">
        <x:f>IF($P2133="","",-$P2133)</x:f>
        <x:v>-1</x:v>
      </x:c>
      <x:c r="R2133" s="655" t="n">
        <x:f>IF($P2133="","",$O2133*$P2133)</x:f>
        <x:v>0</x:v>
      </x:c>
      <x:c r="S2133" s="552" t="str">
        <x:f>IF($M2133="","",TRIM(IF($M2133="Mineral",IF(ISNUMBER($N2133),"Mineral; basis Conv Amt(dec). ",IF($P2133=0,"Mineral; surface-only/reserved-&gt;0 min. ","Mineral; NO AMOUNT-verify instrument. ")),$M2133&amp;" (non-mineral; excluded from mineral NMA). ")&amp;IF(OR(ISNUMBER(SEARCH("public",$G2133)),ISNUMBER(SEARCH("public",$H2133))),"FLAG: The Public placeholder-verify. ","")&amp;IF(ISNUMBER(SEARCH("all",$L2133)),"All-section coverage. ","")&amp;IF($O2133=0,"Gross acres unresolved. ","")&amp;"Gross=tract-map basis."))</x:f>
        <x:v>Mineral; basis Conv Amt(dec). Gross acres unresolved. Gross=tract-map basis.</x:v>
      </x:c>
      <x:c r="T2133" s="578" t="n"/>
      <x:c r="U2133" s="578" t="n"/>
      <x:c r="V2133" s="565" t="n"/>
      <x:c r="W2133" s="565" t="n"/>
      <x:c r="X2133" s="565" t="n"/>
      <x:c r="Y2133" s="565" t="n"/>
      <x:c r="Z2133" s="565" t="n"/>
    </x:row>
    <x:row r="2134">
      <x:c r="A2134" s="552" t="inlineStr">
        <x:is>
          <x:t xml:space="preserve">2020-001708</x:t>
        </x:is>
      </x:c>
      <x:c r="B2134" s="552" t="n">
        <x:v>58</x:v>
      </x:c>
      <x:c r="C2134" s="552" t="inlineStr">
        <x:is>
          <x:t xml:space="preserve">Mineral Deed and Assignment</x:t>
        </x:is>
      </x:c>
      <x:c r="D2134" s="563" t="inlineStr">
        <x:is>
          <x:t xml:space="preserve">2453/452</x:t>
        </x:is>
      </x:c>
      <x:c r="E2134" s="653" t="n">
        <x:v>44136</x:v>
      </x:c>
      <x:c r="F2134" s="653" t="n">
        <x:v>44144</x:v>
      </x:c>
      <x:c r="G2134" s="552" t="inlineStr">
        <x:is>
          <x:t xml:space="preserve">Payday Holdings, LLC</x:t>
        </x:is>
      </x:c>
      <x:c r="H2134" s="552" t="inlineStr">
        <x:is>
          <x:t xml:space="preserve">Andrew Pennington</x:t>
        </x:is>
      </x:c>
      <x:c r="I2134" s="552" t="inlineStr">
        <x:is>
          <x:t xml:space="preserve">All of 31-12N-24W, aol</x:t>
        </x:is>
      </x:c>
      <x:c r="J2134" s="552" t="inlineStr">
        <x:is>
          <x:t xml:space="preserve">ARTI, all of Grantor's right, title and interest in and to all of the oil, gas and other minerals, royalties, and overrides acquired by Grantors ALEXANDER 1-31</x:t>
        </x:is>
      </x:c>
      <x:c r="K2134" s="554" t="e">
        <x:f>HYPERLINK("https://okcountyrecords.com/detail/roger+mills/2020-001708","63e8b9a8d056433a9994fe46ca85076b.pdf | OKCountyRecords: 2020-001708")</x:f>
      </x:c>
      <x:c r="L2134" s="552" t="inlineStr">
        <x:is>
          <x:t xml:space="preserve">All (1-8)</x:t>
        </x:is>
      </x:c>
      <x:c r="M2134" s="552" t="inlineStr">
        <x:is>
          <x:t xml:space="preserve">Mineral</x:t>
        </x:is>
      </x:c>
      <x:c r="N2134" s="555" t="n">
        <x:v>1</x:v>
      </x:c>
      <x:c r="O2134" s="556" t="n">
        <x:f>IF($L2134="","",IF(ISNUMBER(SEARCH("all",$L2134)),640,(ISNUMBER(SEARCH("1",$L2134)))*80+(ISNUMBER(SEARCH("2",$L2134)))*160+(ISNUMBER(SEARCH("3",$L2134)))*40+(ISNUMBER(SEARCH("4",$L2134)))*80+(ISNUMBER(SEARCH("5",$L2134)))*120+(ISNUMBER(SEARCH("6",$L2134)))*80+(ISNUMBER(SEARCH("7",$L2134)))*40+(ISNUMBER(SEARCH("8",$L2134)))*40))</x:f>
        <x:v>640</x:v>
      </x:c>
      <x:c r="P2134" s="654" t="n">
        <x:f>IF($M2134&lt;&gt;"Mineral","",IF(ISNUMBER($N2134),$N2134,IF(OR(ISNUMBER(SEARCH("surface",$J2134)),ISNUMBER(SEARCH("reserv",$J2134)),ISNUMBER(SEARCH("less and except",$J2134))),0,"")))</x:f>
        <x:v>1</x:v>
      </x:c>
      <x:c r="Q2134" s="654" t="n">
        <x:f>IF($P2134="","",-$P2134)</x:f>
        <x:v>-1</x:v>
      </x:c>
      <x:c r="R2134" s="655" t="n">
        <x:f>IF($P2134="","",$O2134*$P2134)</x:f>
        <x:v>640</x:v>
      </x:c>
      <x:c r="S2134" s="552" t="str">
        <x:f>IF($M2134="","",TRIM(IF($M2134="Mineral",IF(ISNUMBER($N2134),"Mineral; basis Conv Amt(dec). ",IF($P2134=0,"Mineral; surface-only/reserved-&gt;0 min. ","Mineral; NO AMOUNT-verify instrument. ")),$M2134&amp;" (non-mineral; excluded from mineral NMA). ")&amp;IF(OR(ISNUMBER(SEARCH("public",$G2134)),ISNUMBER(SEARCH("public",$H2134))),"FLAG: The Public placeholder-verify. ","")&amp;IF(ISNUMBER(SEARCH("all",$L2134)),"All-section coverage. ","")&amp;IF($O2134=0,"Gross acres unresolved. ","")&amp;"Gross=tract-map basis."))</x:f>
        <x:v>Mineral; basis Conv Amt(dec). All-section coverage. Gross=tract-map basis.</x:v>
      </x:c>
      <x:c r="T2134" s="577" t="n"/>
      <x:c r="U2134" s="578" t="n"/>
      <x:c r="V2134" s="565" t="n"/>
      <x:c r="W2134" s="565" t="n"/>
      <x:c r="X2134" s="565" t="n"/>
      <x:c r="Y2134" s="565" t="n"/>
      <x:c r="Z2134" s="565" t="n"/>
    </x:row>
    <x:row r="2135">
      <x:c r="A2135" s="552" t="inlineStr">
        <x:is>
          <x:t xml:space="preserve">2020-001954</x:t>
        </x:is>
      </x:c>
      <x:c r="B2135" s="552" t="n">
        <x:v>52</x:v>
      </x:c>
      <x:c r="C2135" s="552" t="inlineStr">
        <x:is>
          <x:t xml:space="preserve">Assignment</x:t>
        </x:is>
      </x:c>
      <x:c r="D2135" s="552" t="inlineStr">
        <x:is>
          <x:t xml:space="preserve">2455/446</x:t>
        </x:is>
      </x:c>
      <x:c r="E2135" s="653" t="n">
        <x:v>44136</x:v>
      </x:c>
      <x:c r="F2135" s="653" t="n">
        <x:v>44175</x:v>
      </x:c>
      <x:c r="G2135" s="552" t="inlineStr">
        <x:is>
          <x:t xml:space="preserve">Tabally Hani</x:t>
        </x:is>
      </x:c>
      <x:c r="H2135" s="552" t="inlineStr">
        <x:is>
          <x:t xml:space="preserve">J. Dominguez Santos</x:t>
        </x:is>
      </x:c>
      <x:c r="I2135" s="552" t="inlineStr">
        <x:is>
          <x:t xml:space="preserve">LALEXANDER of 31-12N-24W</x:t>
        </x:is>
      </x:c>
      <x:c r="J2135" s="552" t="inlineStr">
        <x:is>
          <x:t xml:space="preserve">Leasehold assigned (chain)
Index row only reviewed. Assignment terms/interest not fully stated in index; full assignment image required to confirm leases, depths, burdens, and retained interests.</x:t>
        </x:is>
      </x:c>
      <x:c r="K2135" s="554" t="e">
        <x:f>HYPERLINK("https://okcountyrecords.com/detail/roger+mills/2020-001954/26392975","OKCountyRecords: 2020-001954")</x:f>
      </x:c>
      <x:c r="L2135" s="552" t="inlineStr">
        <x:is>
          <x:t xml:space="preserve">All (1-8)</x:t>
        </x:is>
      </x:c>
      <x:c r="M2135" s="552" t="inlineStr">
        <x:is>
          <x:t xml:space="preserve">Leasehold</x:t>
        </x:is>
      </x:c>
      <x:c r="N2135" s="555" t="n"/>
      <x:c r="O2135" s="556" t="n">
        <x:f>IF($L2135="","",IF(ISNUMBER(SEARCH("all",$L2135)),640,(ISNUMBER(SEARCH("1",$L2135)))*80+(ISNUMBER(SEARCH("2",$L2135)))*160+(ISNUMBER(SEARCH("3",$L2135)))*40+(ISNUMBER(SEARCH("4",$L2135)))*80+(ISNUMBER(SEARCH("5",$L2135)))*120+(ISNUMBER(SEARCH("6",$L2135)))*80+(ISNUMBER(SEARCH("7",$L2135)))*40+(ISNUMBER(SEARCH("8",$L2135)))*40))</x:f>
        <x:v>640</x:v>
      </x:c>
      <x:c r="P2135" s="654" t="str">
        <x:f>IF($M2135&lt;&gt;"Mineral","",IF(ISNUMBER($N2135),$N2135,IF(OR(ISNUMBER(SEARCH("surface",$J2135)),ISNUMBER(SEARCH("reserv",$J2135)),ISNUMBER(SEARCH("less and except",$J2135))),0,"")))</x:f>
      </x:c>
      <x:c r="Q2135" s="654" t="str">
        <x:f>IF($P2135="","",-$P2135)</x:f>
      </x:c>
      <x:c r="R2135" s="655" t="str">
        <x:f>IF($P2135="","",$O2135*$P2135)</x:f>
      </x:c>
      <x:c r="S2135" s="552" t="str">
        <x:f>IF($M2135="","",TRIM(IF($M2135="Mineral",IF(ISNUMBER($N2135),"Mineral; basis Conv Amt(dec). ",IF($P2135=0,"Mineral; surface-only/reserved-&gt;0 min. ","Mineral; NO AMOUNT-verify instrument. ")),$M2135&amp;" (non-mineral; excluded from mineral NMA). ")&amp;IF(OR(ISNUMBER(SEARCH("public",$G2135)),ISNUMBER(SEARCH("public",$H2135))),"FLAG: The Public placeholder-verify. ","")&amp;IF(ISNUMBER(SEARCH("all",$L2135)),"All-section coverage. ","")&amp;IF($O2135=0,"Gross acres unresolved. ","")&amp;"Gross=tract-map basis."))</x:f>
        <x:v>Leasehold (non-mineral; excluded from mineral NMA). All-section coverage. Gross=tract-map basis.</x:v>
      </x:c>
      <x:c r="T2135" s="577" t="n"/>
      <x:c r="U2135" s="578" t="n"/>
      <x:c r="V2135" s="565" t="n"/>
      <x:c r="W2135" s="565" t="n"/>
      <x:c r="X2135" s="565" t="n"/>
      <x:c r="Y2135" s="565" t="n"/>
      <x:c r="Z2135" s="565" t="n"/>
    </x:row>
    <x:row r="2136">
      <x:c r="A2136" s="552" t="inlineStr">
        <x:is>
          <x:t xml:space="preserve">2021-000697</x:t>
        </x:is>
      </x:c>
      <x:c r="B2136" s="552" t="n">
        <x:v>60</x:v>
      </x:c>
      <x:c r="C2136" s="552" t="inlineStr">
        <x:is>
          <x:t xml:space="preserve">Change of Name</x:t>
        </x:is>
      </x:c>
      <x:c r="D2136" s="563" t="inlineStr">
        <x:is>
          <x:t xml:space="preserve">2463/147</x:t>
        </x:is>
      </x:c>
      <x:c r="E2136" s="653" t="n">
        <x:v>44182</x:v>
      </x:c>
      <x:c r="F2136" s="653" t="n">
        <x:v>44314</x:v>
      </x:c>
      <x:c r="G2136" s="552" t="inlineStr">
        <x:is>
          <x:t xml:space="preserve">Fourpoint Energy, LLC</x:t>
        </x:is>
      </x:c>
      <x:c r="H2136" s="552" t="inlineStr">
        <x:is>
          <x:t xml:space="preserve">Unbridled Resources, LLC</x:t>
        </x:is>
      </x:c>
      <x:c r="I2136" s="552" t="inlineStr">
        <x:is>
          <x:t xml:space="preserve">All of 31-12N-24W, aol</x:t>
        </x:is>
      </x:c>
      <x:c r="J2136" s="552" t="inlineStr">
        <x:is>
          <x:t xml:space="preserve">Identifies same party under new name</x:t>
        </x:is>
      </x:c>
      <x:c r="K2136" s="554" t="e">
        <x:f>HYPERLINK("https://okcountyrecords.com/detail/roger+mills/2021-000697","63e8b9a8d056433a9994fe46ca85076b.pdf | OKCountyRecords: 2021-000697")</x:f>
      </x:c>
      <x:c r="L2136" s="552" t="inlineStr">
        <x:is>
          <x:t xml:space="preserve">All (1-8)</x:t>
        </x:is>
      </x:c>
      <x:c r="M2136" s="552" t="inlineStr">
        <x:is>
          <x:t xml:space="preserve">Other</x:t>
        </x:is>
      </x:c>
      <x:c r="N2136" s="555" t="n"/>
      <x:c r="O2136" s="556" t="n">
        <x:f>IF($L2136="","",IF(ISNUMBER(SEARCH("all",$L2136)),640,(ISNUMBER(SEARCH("1",$L2136)))*80+(ISNUMBER(SEARCH("2",$L2136)))*160+(ISNUMBER(SEARCH("3",$L2136)))*40+(ISNUMBER(SEARCH("4",$L2136)))*80+(ISNUMBER(SEARCH("5",$L2136)))*120+(ISNUMBER(SEARCH("6",$L2136)))*80+(ISNUMBER(SEARCH("7",$L2136)))*40+(ISNUMBER(SEARCH("8",$L2136)))*40))</x:f>
        <x:v>640</x:v>
      </x:c>
      <x:c r="P2136" s="654" t="str">
        <x:f>IF($M2136&lt;&gt;"Mineral","",IF(ISNUMBER($N2136),$N2136,IF(OR(ISNUMBER(SEARCH("surface",$J2136)),ISNUMBER(SEARCH("reserv",$J2136)),ISNUMBER(SEARCH("less and except",$J2136))),0,"")))</x:f>
      </x:c>
      <x:c r="Q2136" s="654" t="str">
        <x:f>IF($P2136="","",-$P2136)</x:f>
      </x:c>
      <x:c r="R2136" s="655" t="str">
        <x:f>IF($P2136="","",$O2136*$P2136)</x:f>
      </x:c>
      <x:c r="S2136" s="552" t="str">
        <x:f>IF($M2136="","",TRIM(IF($M2136="Mineral",IF(ISNUMBER($N2136),"Mineral; basis Conv Amt(dec). ",IF($P2136=0,"Mineral; surface-only/reserved-&gt;0 min. ","Mineral; NO AMOUNT-verify instrument. ")),$M2136&amp;" (non-mineral; excluded from mineral NMA). ")&amp;IF(OR(ISNUMBER(SEARCH("public",$G2136)),ISNUMBER(SEARCH("public",$H2136))),"FLAG: The Public placeholder-verify. ","")&amp;IF(ISNUMBER(SEARCH("all",$L2136)),"All-section coverage. ","")&amp;IF($O2136=0,"Gross acres unresolved. ","")&amp;"Gross=tract-map basis."))</x:f>
        <x:v>Other (non-mineral; excluded from mineral NMA). All-section coverage. Gross=tract-map basis.</x:v>
      </x:c>
      <x:c r="T2136" s="577" t="n"/>
      <x:c r="U2136" s="578" t="n"/>
      <x:c r="V2136" s="565" t="n"/>
      <x:c r="W2136" s="565" t="n"/>
      <x:c r="X2136" s="565" t="n"/>
      <x:c r="Y2136" s="565" t="n"/>
      <x:c r="Z2136" s="565" t="n"/>
    </x:row>
    <x:row r="2137">
      <x:c r="A2137" s="552" t="inlineStr">
        <x:is>
          <x:t xml:space="preserve">2021-001561</x:t>
        </x:is>
      </x:c>
      <x:c r="B2137" s="552" t="n">
        <x:v>63</x:v>
      </x:c>
      <x:c r="C2137" s="552" t="inlineStr">
        <x:is>
          <x:t xml:space="preserve">Assignment</x:t>
        </x:is>
      </x:c>
      <x:c r="D2137" s="563" t="inlineStr">
        <x:is>
          <x:t xml:space="preserve">2479/1</x:t>
        </x:is>
      </x:c>
      <x:c r="E2137" s="653" t="n">
        <x:v>44348</x:v>
      </x:c>
      <x:c r="F2137" s="653" t="n">
        <x:v>44463</x:v>
      </x:c>
      <x:c r="G2137" s="552" t="inlineStr">
        <x:is>
          <x:t xml:space="preserve">Fairway Resources III, LLC, et al</x:t>
        </x:is>
      </x:c>
      <x:c r="H2137" s="552" t="inlineStr">
        <x:is>
          <x:t xml:space="preserve">Mustang Fuel Corporation</x:t>
        </x:is>
      </x:c>
      <x:c r="I2137" s="552" t="inlineStr">
        <x:is>
          <x:t xml:space="preserve">E/2 NW/4, NE/4 SE/4, NW/4 SE/4, S/2 SE/4 of 31-12N-24W, aol</x:t>
        </x:is>
      </x:c>
      <x:c r="J2137" s="552" t="inlineStr">
        <x:is>
          <x:t xml:space="preserve">Transfers leasehold/WI in chain</x:t>
        </x:is>
      </x:c>
      <x:c r="K2137" s="554" t="e">
        <x:f>HYPERLINK("https://okcountyrecords.com/detail/roger+mills/2021-001561","63e8b9a8d056433a9994fe46ca85076b.pdf | OKCountyRecords: 2021-001561")</x:f>
      </x:c>
      <x:c r="L2137" s="552" t="inlineStr">
        <x:is>
          <x:t xml:space="preserve">2, 4, 8</x:t>
        </x:is>
      </x:c>
      <x:c r="M2137" s="552" t="inlineStr">
        <x:is>
          <x:t xml:space="preserve">Leasehold</x:t>
        </x:is>
      </x:c>
      <x:c r="N2137" s="561" t="n"/>
      <x:c r="O2137" s="556" t="n">
        <x:f>IF($L2137="","",IF(ISNUMBER(SEARCH("all",$L2137)),640,(ISNUMBER(SEARCH("1",$L2137)))*80+(ISNUMBER(SEARCH("2",$L2137)))*160+(ISNUMBER(SEARCH("3",$L2137)))*40+(ISNUMBER(SEARCH("4",$L2137)))*80+(ISNUMBER(SEARCH("5",$L2137)))*120+(ISNUMBER(SEARCH("6",$L2137)))*80+(ISNUMBER(SEARCH("7",$L2137)))*40+(ISNUMBER(SEARCH("8",$L2137)))*40))</x:f>
        <x:v>0</x:v>
      </x:c>
      <x:c r="P2137" s="654" t="str">
        <x:f>IF($M2137&lt;&gt;"Mineral","",IF(ISNUMBER($N2137),$N2137,IF(OR(ISNUMBER(SEARCH("surface",$J2137)),ISNUMBER(SEARCH("reserv",$J2137)),ISNUMBER(SEARCH("less and except",$J2137))),0,"")))</x:f>
      </x:c>
      <x:c r="Q2137" s="654" t="str">
        <x:f>IF($P2137="","",-$P2137)</x:f>
      </x:c>
      <x:c r="R2137" s="655" t="str">
        <x:f>IF($P2137="","",$O2137*$P2137)</x:f>
      </x:c>
      <x:c r="S2137" s="552" t="str">
        <x:f>IF($M2137="","",TRIM(IF($M2137="Mineral",IF(ISNUMBER($N2137),"Mineral; basis Conv Amt(dec). ",IF($P2137=0,"Mineral; surface-only/reserved-&gt;0 min. ","Mineral; NO AMOUNT-verify instrument. ")),$M2137&amp;" (non-mineral; excluded from mineral NMA). ")&amp;IF(OR(ISNUMBER(SEARCH("public",$G2137)),ISNUMBER(SEARCH("public",$H2137))),"FLAG: The Public placeholder-verify. ","")&amp;IF(ISNUMBER(SEARCH("all",$L2137)),"All-section coverage. ","")&amp;IF($O2137=0,"Gross acres unresolved. ","")&amp;"Gross=tract-map basis."))</x:f>
        <x:v>Leasehold (non-mineral; excluded from mineral NMA). Gross acres unresolved. Gross=tract-map basis.</x:v>
      </x:c>
      <x:c r="T2137" s="577" t="n"/>
      <x:c r="U2137" s="578" t="n"/>
      <x:c r="V2137" s="565" t="n"/>
      <x:c r="W2137" s="565" t="n"/>
      <x:c r="X2137" s="565" t="n"/>
      <x:c r="Y2137" s="565" t="n"/>
      <x:c r="Z2137" s="565" t="n"/>
    </x:row>
    <x:row r="2138">
      <x:c r="A2138" s="552" t="inlineStr">
        <x:is>
          <x:t xml:space="preserve">2021-001068</x:t>
        </x:is>
      </x:c>
      <x:c r="B2138" s="552" t="n"/>
      <x:c r="C2138" s="552" t="inlineStr">
        <x:is>
          <x:t xml:space="preserve">Mineral Deed</x:t>
        </x:is>
      </x:c>
      <x:c r="D2138" s="552" t="inlineStr">
        <x:is>
          <x:t xml:space="preserve">2467/476</x:t>
        </x:is>
      </x:c>
      <x:c r="E2138" s="653" t="n">
        <x:v>44348</x:v>
      </x:c>
      <x:c r="F2138" s="653" t="n">
        <x:v>44377</x:v>
      </x:c>
      <x:c r="G2138" s="552" t="inlineStr">
        <x:is>
          <x:t xml:space="preserve">Grizzly Operating, LLC,
Vanguard Operating, LLC</x:t>
        </x:is>
      </x:c>
      <x:c r="H2138" s="552" t="inlineStr">
        <x:is>
          <x:t xml:space="preserve">Psi Lke, LLC</x:t>
        </x:is>
      </x:c>
      <x:c r="I2138" s="552" t="inlineStr">
        <x:is>
          <x:t xml:space="preserve">E/2 NW/4, N/2 NE/4 SW/4, NE/4 SE/4, SE/4 NE/4 of 31-12N-24W, aol</x:t>
        </x:is>
      </x:c>
      <x:c r="J2138" s="552" t="inlineStr">
        <x:is>
          <x:t xml:space="preserve">ARTI, See 1765/306</x:t>
        </x:is>
      </x:c>
      <x:c r="K2138" s="554" t="e">
        <x:f>HYPERLINK("https://okcountyrecords.com/detail/roger+mills/2021-001068","OKCountyRecords: 2021-001068")</x:f>
      </x:c>
      <x:c r="L2138" s="552" t="inlineStr">
        <x:is>
          <x:t xml:space="preserve">1, 3, 4, 7, 8</x:t>
        </x:is>
      </x:c>
      <x:c r="M2138" s="552" t="inlineStr">
        <x:is>
          <x:t xml:space="preserve">Mineral</x:t>
        </x:is>
      </x:c>
      <x:c r="N2138" s="561" t="n">
        <x:v>1</x:v>
      </x:c>
      <x:c r="O2138" s="556" t="n">
        <x:f>IF($L2138="","",IF(ISNUMBER(SEARCH("all",$L2138)),640,(ISNUMBER(SEARCH("1",$L2138)))*80+(ISNUMBER(SEARCH("2",$L2138)))*160+(ISNUMBER(SEARCH("3",$L2138)))*40+(ISNUMBER(SEARCH("4",$L2138)))*80+(ISNUMBER(SEARCH("5",$L2138)))*120+(ISNUMBER(SEARCH("6",$L2138)))*80+(ISNUMBER(SEARCH("7",$L2138)))*40+(ISNUMBER(SEARCH("8",$L2138)))*40))</x:f>
        <x:v>0</x:v>
      </x:c>
      <x:c r="P2138" s="654" t="n">
        <x:f>IF($M2138&lt;&gt;"Mineral","",IF(ISNUMBER($N2138),$N2138,IF(OR(ISNUMBER(SEARCH("surface",$J2138)),ISNUMBER(SEARCH("reserv",$J2138)),ISNUMBER(SEARCH("less and except",$J2138))),0,"")))</x:f>
        <x:v>1</x:v>
      </x:c>
      <x:c r="Q2138" s="654" t="n">
        <x:f>IF($P2138="","",-$P2138)</x:f>
        <x:v>-1</x:v>
      </x:c>
      <x:c r="R2138" s="655" t="n">
        <x:f>IF($P2138="","",$O2138*$P2138)</x:f>
        <x:v>0</x:v>
      </x:c>
      <x:c r="S2138" s="552" t="str">
        <x:f>IF($M2138="","",TRIM(IF($M2138="Mineral",IF(ISNUMBER($N2138),"Mineral; basis Conv Amt(dec). ",IF($P2138=0,"Mineral; surface-only/reserved-&gt;0 min. ","Mineral; NO AMOUNT-verify instrument. ")),$M2138&amp;" (non-mineral; excluded from mineral NMA). ")&amp;IF(OR(ISNUMBER(SEARCH("public",$G2138)),ISNUMBER(SEARCH("public",$H2138))),"FLAG: The Public placeholder-verify. ","")&amp;IF(ISNUMBER(SEARCH("all",$L2138)),"All-section coverage. ","")&amp;IF($O2138=0,"Gross acres unresolved. ","")&amp;"Gross=tract-map basis."))</x:f>
        <x:v>Mineral; basis Conv Amt(dec). Gross acres unresolved. Gross=tract-map basis.</x:v>
      </x:c>
      <x:c r="T2138" s="577" t="n"/>
      <x:c r="U2138" s="578" t="n"/>
      <x:c r="V2138" s="565" t="n"/>
      <x:c r="W2138" s="565" t="n"/>
      <x:c r="X2138" s="565" t="n"/>
      <x:c r="Y2138" s="565" t="n"/>
      <x:c r="Z2138" s="565" t="n"/>
    </x:row>
    <x:row r="2139">
      <x:c r="A2139" s="552" t="inlineStr">
        <x:is>
          <x:t xml:space="preserve">2021-001557</x:t>
        </x:is>
      </x:c>
      <x:c r="B2139" s="552" t="n">
        <x:v>61</x:v>
      </x:c>
      <x:c r="C2139" s="552" t="inlineStr">
        <x:is>
          <x:t xml:space="preserve">Affidavit of Merger</x:t>
        </x:is>
      </x:c>
      <x:c r="D2139" s="563" t="inlineStr">
        <x:is>
          <x:t xml:space="preserve">2476/1</x:t>
        </x:is>
      </x:c>
      <x:c r="E2139" s="653" t="n">
        <x:v>44407</x:v>
      </x:c>
      <x:c r="F2139" s="653" t="n">
        <x:v>44462</x:v>
      </x:c>
      <x:c r="G2139" s="552" t="inlineStr">
        <x:is>
          <x:t xml:space="preserve">Presidio Investment Holdings</x:t>
        </x:is>
      </x:c>
      <x:c r="H2139" s="552" t="inlineStr">
        <x:is>
          <x:t xml:space="preserve">The Public</x:t>
        </x:is>
      </x:c>
      <x:c r="I2139" s="552" t="inlineStr">
        <x:is>
          <x:t xml:space="preserve">All of 31-12N-24W, aol</x:t>
        </x:is>
      </x:c>
      <x:c r="J2139" s="552" t="inlineStr">
        <x:is>
          <x:t xml:space="preserve">I am the General Counsel and Vice President of Land of Presidio Investment Holdings, LLC, a Delaware limited liability company (the "Company"), which Company is a manager of each of the limited liability companies set forth on Schedule 1 hereto and I am an officer of each ofthe corporations set forth on Schedule 1 hereto (as applicable) (except that I was an officer of Presidio Nominee Corp., a Texas corporation (“Presidio NomCo"), until the cessation of the separate existence of Presidio NomCo) (the Company and such entities listed on Schedule 1 hereto, collectively, the "Presidio Entities"), and I have the authority to make this certification on behalf of the Company and each of the Presidio Entities. The Company owns (or in the case of Presidio NomCo, until the cessation of its separate existence, owned), directly or indirectly, 100% ofthe equity in each of the Presidio Entities. I am responsible for the operations of the Company and the Presidio Entities. As such, I have personal knowledge of the facts stated in this Affidavit. "On May 11, 2021, in accordance with Sections 10.102, 10.154 and 10.155 of the Texas Business Organizations Code (the “TBOC') and Sections 18-204, 18-206 and 18-216 of the Delaware Limited Liability Company Act (the "DLLCA"), Presidio WAB converted from a Delaware limited liability company to a Texas limited liability company by filing (1) a Certificate of Conversion with the Secretary of State of the State of Texas, a copy of which is attached hereto as Appendix A. and (2) a Certificate of Conversion with the Secretary of State of the State of Delaware, a copy of which is attached hereto as Appendix B.
4. "On May 11, 2021, in accordance with Sections 10.102, 10.154 and 10.155 of the TBOC and Sections 103 and 266 of the Delaware General Corporation Law, Presidio Nominee Corp. converted from a Delaware corporation to a Texas corporation by filing (1) a Certificate of Conversion with the Secretary of State of the State of Texas, a copy of which is attached hereto as Appendix C, and (2) a Certificate of Conversion with the Secretary of State of the State of Delaware, a copy ofwhich is attached hereto as Appendix D. "On July 30, 2021, Presidio WAB, LLC, a Texas limited liability company ("Presidio WAB"), and Presidio NomCo, agent-nominee for Presidio WAB, were the owners of certain oil and gas properties and related assets (or undivided interests therein) located in various states (collectively, the "Assets"), including those Assets located in Roger Mills County set forth on Schedule 2 attached hereto. "On July 30, 2021, Presidio WAB and Presidio NomCo effected a combination merger in accordance with Section 10.001 et seq. of the TBOC (the “First Merger”) by (1) entering into a Plan of Merger, a copy of which is attached hereto as Appendix E, and (2) filing a Certificate of Merger, a copy of which is attached hereto as Appendix F, with the Secretary of State of the State of Texas. The First Merger resulted in (i) Presidio WAB surviving as a Texas limited liability company, (ii) the creation of two new entities: Presidio Transition, LLC, a Texas limited liability company ("Presidio TransitCo"), and Presidio Finance Nominee Corp., a Texas corporation and agent-nominee of Presidio TransitCo ("PF NomCo"), with the assets and liabilities of Presidio WAB and Presidio NomCo allocated between the surviving and created entities as set forth in the Plan of Merger, a copy of which is attached hereto as Appendix E, and (iii) the cessation of the separate existence of Presidio NomCo.
"On July 30, 2021, Presidio Investment Holdings, LLC, PF NomCo, and Presidio TransitCo entered into an Agency Agreement under which (1) Presidio TransitCo designated PF NomCo as its agent, and PF NomCo accepted such appointment, to hold (as agent for Presidio TransitCo and for the sole benefit of Presidio TransitCo) legal title to the assets of PF NomCo, (2) PF NomCo acknowledged that it is the registered holder of all right, title and interest in and to the assets of PF NomCo as agent, and for the sole benefit, of Presidio TransitCo, and (3) PF NomCo agreed to act promptly upon any specific written authorization from Presidio TransitCo, but never to take any action, give any notice, consent or authorization or otherwise deal with, hypothecate, encumber, transfer or act with respect to the assets of PF NomCo without Presidio TransitCo's specific written authorization. PF (as defined below) is the successor in interest to the rights of Presidio TransitCo under that Agency Agreement as a result of the Second Merger (as defined below).
"On July 30, 2021, Presidio TransitCo was merged with and into Presidio Finance, LLC, a Delaware limited liability company ("PF"), in accordance with Section 18-209 of the DLLCA (the "Second Merger" and together with the First Merger, the "Mergers"), with PF surviving as a Delaware limited liability company, by (1) entering into a Plan ofMerger, (2) filing a Certificate of Merger, a copy of which is attached hereto as Appendix G, with the Secretary of State of the State ofDelaware and (3) filing a Certificate of Merger, a copy of which is attached hereto as Appendix H, with the Secretary of State of the State of Texas. "Following the Mergers, PF holds those assets originally held by Presidio TransitCo following the First Merger, such assets located in Roger Mills County set forth on Schedule 2. "The purpose of this Affidavit is to give public notice of the referenced conversions, mergers and the allocation of certain real property interests among the Presidio Entities."</x:t>
        </x:is>
      </x:c>
      <x:c r="K2139" s="554" t="e">
        <x:f>HYPERLINK("https://okcountyrecords.com/detail/roger+mills/2021-001557","63e8b9a8d056433a9994fe46ca85076b.pdf | OKCountyRecords: 2021-001557")</x:f>
      </x:c>
      <x:c r="L2139" s="552" t="inlineStr">
        <x:is>
          <x:t xml:space="preserve">All (1-8)</x:t>
        </x:is>
      </x:c>
      <x:c r="M2139" s="552" t="inlineStr">
        <x:is>
          <x:t xml:space="preserve">Other</x:t>
        </x:is>
      </x:c>
      <x:c r="N2139" s="555" t="n"/>
      <x:c r="O2139" s="556" t="n">
        <x:f>IF($L2139="","",IF(ISNUMBER(SEARCH("all",$L2139)),640,(ISNUMBER(SEARCH("1",$L2139)))*80+(ISNUMBER(SEARCH("2",$L2139)))*160+(ISNUMBER(SEARCH("3",$L2139)))*40+(ISNUMBER(SEARCH("4",$L2139)))*80+(ISNUMBER(SEARCH("5",$L2139)))*120+(ISNUMBER(SEARCH("6",$L2139)))*80+(ISNUMBER(SEARCH("7",$L2139)))*40+(ISNUMBER(SEARCH("8",$L2139)))*40))</x:f>
        <x:v>640</x:v>
      </x:c>
      <x:c r="P2139" s="654" t="str">
        <x:f>IF($M2139&lt;&gt;"Mineral","",IF(ISNUMBER($N2139),$N2139,IF(OR(ISNUMBER(SEARCH("surface",$J2139)),ISNUMBER(SEARCH("reserv",$J2139)),ISNUMBER(SEARCH("less and except",$J2139))),0,"")))</x:f>
      </x:c>
      <x:c r="Q2139" s="654" t="str">
        <x:f>IF($P2139="","",-$P2139)</x:f>
      </x:c>
      <x:c r="R2139" s="655" t="str">
        <x:f>IF($P2139="","",$O2139*$P2139)</x:f>
      </x:c>
      <x:c r="S2139" s="552" t="inlineStr">
        <x:is>
          <x:t xml:space="preserve">Other (non-mineral; excluded from mineral NMA). All-section coverage. Gross=tract-map basis.</x:t>
        </x:is>
      </x:c>
      <x:c r="T2139" s="577" t="inlineStr">
        <x:is>
          <x:t xml:space="preserve">OK</x:t>
        </x:is>
      </x:c>
      <x:c r="U2139" s="578" t="inlineStr">
        <x:is>
          <x:t xml:space="preserve">Non-conveying — notice/affidavit/address change (The Public).</x:t>
        </x:is>
      </x:c>
      <x:c r="V2139" s="565" t="n"/>
      <x:c r="W2139" s="565" t="n"/>
      <x:c r="X2139" s="565" t="n"/>
      <x:c r="Y2139" s="565" t="n"/>
      <x:c r="Z2139" s="565" t="n"/>
    </x:row>
    <x:row r="2140">
      <x:c r="A2140" s="552" t="inlineStr">
        <x:is>
          <x:t xml:space="preserve">2021-001559</x:t>
        </x:is>
      </x:c>
      <x:c r="B2140" s="552" t="n">
        <x:v>62</x:v>
      </x:c>
      <x:c r="C2140" s="552" t="inlineStr">
        <x:is>
          <x:t xml:space="preserve">Operating Agreement</x:t>
        </x:is>
      </x:c>
      <x:c r="D2140" s="563" t="inlineStr">
        <x:is>
          <x:t xml:space="preserve">2478/1</x:t>
        </x:is>
      </x:c>
      <x:c r="E2140" s="653" t="n">
        <x:v>44407</x:v>
      </x:c>
      <x:c r="F2140" s="653" t="n">
        <x:v>44462</x:v>
      </x:c>
      <x:c r="G2140" s="552" t="inlineStr">
        <x:is>
          <x:t xml:space="preserve">Presidio Petroleum, LLC</x:t>
        </x:is>
      </x:c>
      <x:c r="H2140" s="552" t="inlineStr">
        <x:is>
          <x:t xml:space="preserve">Finance, et al Presidio</x:t>
        </x:is>
      </x:c>
      <x:c r="I2140" s="552" t="inlineStr">
        <x:is>
          <x:t xml:space="preserve">All of 31-12N-24W, aol</x:t>
        </x:is>
      </x:c>
      <x:c r="J2140" s="552" t="inlineStr">
        <x:is>
          <x:t xml:space="preserve">Governs WI parties</x:t>
        </x:is>
      </x:c>
      <x:c r="K2140" s="554" t="e">
        <x:f>HYPERLINK("https://okcountyrecords.com/detail/roger+mills/2021-001559","63e8b9a8d056433a9994fe46ca85076b.pdf | OKCountyRecords: 2021-001559")</x:f>
      </x:c>
      <x:c r="L2140" s="552" t="inlineStr">
        <x:is>
          <x:t xml:space="preserve">All (1-8)</x:t>
        </x:is>
      </x:c>
      <x:c r="M2140" s="552" t="inlineStr">
        <x:is>
          <x:t xml:space="preserve">Other</x:t>
        </x:is>
      </x:c>
      <x:c r="N2140" s="555" t="n"/>
      <x:c r="O2140" s="556" t="n">
        <x:f>IF($L2140="","",IF(ISNUMBER(SEARCH("all",$L2140)),640,(ISNUMBER(SEARCH("1",$L2140)))*80+(ISNUMBER(SEARCH("2",$L2140)))*160+(ISNUMBER(SEARCH("3",$L2140)))*40+(ISNUMBER(SEARCH("4",$L2140)))*80+(ISNUMBER(SEARCH("5",$L2140)))*120+(ISNUMBER(SEARCH("6",$L2140)))*80+(ISNUMBER(SEARCH("7",$L2140)))*40+(ISNUMBER(SEARCH("8",$L2140)))*40))</x:f>
        <x:v>640</x:v>
      </x:c>
      <x:c r="P2140" s="654" t="str">
        <x:f>IF($M2140&lt;&gt;"Mineral","",IF(ISNUMBER($N2140),$N2140,IF(OR(ISNUMBER(SEARCH("surface",$J2140)),ISNUMBER(SEARCH("reserv",$J2140)),ISNUMBER(SEARCH("less and except",$J2140))),0,"")))</x:f>
      </x:c>
      <x:c r="Q2140" s="654" t="str">
        <x:f>IF($P2140="","",-$P2140)</x:f>
      </x:c>
      <x:c r="R2140" s="655" t="str">
        <x:f>IF($P2140="","",$O2140*$P2140)</x:f>
      </x:c>
      <x:c r="S2140" s="552" t="str">
        <x:f>IF($M2140="","",TRIM(IF($M2140="Mineral",IF(ISNUMBER($N2140),"Mineral; basis Conv Amt(dec). ",IF($P2140=0,"Mineral; surface-only/reserved-&gt;0 min. ","Mineral; NO AMOUNT-verify instrument. ")),$M2140&amp;" (non-mineral; excluded from mineral NMA). ")&amp;IF(OR(ISNUMBER(SEARCH("public",$G2140)),ISNUMBER(SEARCH("public",$H2140))),"FLAG: The Public placeholder-verify. ","")&amp;IF(ISNUMBER(SEARCH("all",$L2140)),"All-section coverage. ","")&amp;IF($O2140=0,"Gross acres unresolved. ","")&amp;"Gross=tract-map basis."))</x:f>
        <x:v>Other (non-mineral; excluded from mineral NMA). All-section coverage. Gross=tract-map basis.</x:v>
      </x:c>
      <x:c r="T2140" s="577" t="n"/>
      <x:c r="U2140" s="578" t="n"/>
      <x:c r="V2140" s="565" t="n"/>
      <x:c r="W2140" s="565" t="n"/>
      <x:c r="X2140" s="565" t="n"/>
      <x:c r="Y2140" s="565" t="n"/>
      <x:c r="Z2140" s="565" t="n"/>
    </x:row>
    <x:row r="2141">
      <x:c r="A2141" s="552" t="inlineStr">
        <x:is>
          <x:t xml:space="preserve">2021-001669</x:t>
        </x:is>
      </x:c>
      <x:c r="B2141" s="552" t="n"/>
      <x:c r="C2141" s="552" t="inlineStr">
        <x:is>
          <x:t xml:space="preserve">Assignment of ORRI</x:t>
        </x:is>
      </x:c>
      <x:c r="D2141" s="552" t="inlineStr">
        <x:is>
          <x:t xml:space="preserve">2480/297</x:t>
        </x:is>
      </x:c>
      <x:c r="E2141" s="653" t="n">
        <x:v>44440</x:v>
      </x:c>
      <x:c r="F2141" s="653" t="n">
        <x:v>44476</x:v>
      </x:c>
      <x:c r="G2141" s="552" t="inlineStr">
        <x:is>
          <x:t xml:space="preserve">Tlw Investments, LLC</x:t>
        </x:is>
      </x:c>
      <x:c r="H2141" s="552" t="inlineStr">
        <x:is>
          <x:t xml:space="preserve">Cannon Field Minerals Fund I., L.P.</x:t>
        </x:is>
      </x:c>
      <x:c r="I2141" s="552" t="inlineStr">
        <x:is>
          <x:t xml:space="preserve">All of 31-12N-24W, aol</x:t>
        </x:is>
      </x:c>
      <x:c r="J2141" s="552" t="inlineStr">
        <x:is>
          <x:t xml:space="preserve">ORRI</x:t>
        </x:is>
      </x:c>
      <x:c r="K2141" s="554" t="e">
        <x:f>HYPERLINK("https://okcountyrecords.com/detail/roger+mills/2021-001669","OKCountyRecords: 2021-001669")</x:f>
      </x:c>
      <x:c r="L2141" s="552" t="inlineStr">
        <x:is>
          <x:t xml:space="preserve">All (1-8)</x:t>
        </x:is>
      </x:c>
      <x:c r="M2141" s="552" t="inlineStr">
        <x:is>
          <x:t xml:space="preserve">ORRI</x:t>
        </x:is>
      </x:c>
      <x:c r="N2141" s="555" t="n"/>
      <x:c r="O2141" s="556" t="n">
        <x:f>IF($L2141="","",IF(ISNUMBER(SEARCH("all",$L2141)),640,(ISNUMBER(SEARCH("1",$L2141)))*80+(ISNUMBER(SEARCH("2",$L2141)))*160+(ISNUMBER(SEARCH("3",$L2141)))*40+(ISNUMBER(SEARCH("4",$L2141)))*80+(ISNUMBER(SEARCH("5",$L2141)))*120+(ISNUMBER(SEARCH("6",$L2141)))*80+(ISNUMBER(SEARCH("7",$L2141)))*40+(ISNUMBER(SEARCH("8",$L2141)))*40))</x:f>
        <x:v>640</x:v>
      </x:c>
      <x:c r="P2141" s="654" t="str">
        <x:f>IF($M2141&lt;&gt;"Mineral","",IF(ISNUMBER($N2141),$N2141,IF(OR(ISNUMBER(SEARCH("surface",$J2141)),ISNUMBER(SEARCH("reserv",$J2141)),ISNUMBER(SEARCH("less and except",$J2141))),0,"")))</x:f>
      </x:c>
      <x:c r="Q2141" s="654" t="str">
        <x:f>IF($P2141="","",-$P2141)</x:f>
      </x:c>
      <x:c r="R2141" s="655" t="str">
        <x:f>IF($P2141="","",$O2141*$P2141)</x:f>
      </x:c>
      <x:c r="S2141" s="552" t="str">
        <x:f>IF($M2141="","",TRIM(IF($M2141="Mineral",IF(ISNUMBER($N2141),"Mineral; basis Conv Amt(dec). ",IF($P2141=0,"Mineral; surface-only/reserved-&gt;0 min. ","Mineral; NO AMOUNT-verify instrument. ")),$M2141&amp;" (non-mineral; excluded from mineral NMA). ")&amp;IF(OR(ISNUMBER(SEARCH("public",$G2141)),ISNUMBER(SEARCH("public",$H2141))),"FLAG: The Public placeholder-verify. ","")&amp;IF(ISNUMBER(SEARCH("all",$L2141)),"All-section coverage. ","")&amp;IF($O2141=0,"Gross acres unresolved. ","")&amp;"Gross=tract-map basis."))</x:f>
        <x:v>ORRI (non-mineral; excluded from mineral NMA). All-section coverage. Gross=tract-map basis.</x:v>
      </x:c>
      <x:c r="T2141" s="577" t="n"/>
      <x:c r="U2141" s="578" t="n"/>
      <x:c r="V2141" s="565" t="n"/>
      <x:c r="W2141" s="565" t="n"/>
      <x:c r="X2141" s="565" t="n"/>
      <x:c r="Y2141" s="565" t="n"/>
      <x:c r="Z2141" s="565" t="n"/>
    </x:row>
    <x:row r="2142">
      <x:c r="A2142" s="552" t="inlineStr">
        <x:is>
          <x:t xml:space="preserve">2021-001605</x:t>
        </x:is>
      </x:c>
      <x:c r="B2142" s="552" t="n">
        <x:v>64</x:v>
      </x:c>
      <x:c r="C2142" s="552" t="inlineStr">
        <x:is>
          <x:t xml:space="preserve">Assignment</x:t>
        </x:is>
      </x:c>
      <x:c r="D2142" s="563" t="inlineStr">
        <x:is>
          <x:t xml:space="preserve">2480/297</x:t>
        </x:is>
      </x:c>
      <x:c r="E2142" s="653" t="n">
        <x:v>44440</x:v>
      </x:c>
      <x:c r="F2142" s="653" t="n">
        <x:v>44476</x:v>
      </x:c>
      <x:c r="G2142" s="552" t="inlineStr">
        <x:is>
          <x:t xml:space="preserve">Tlw Investments, LLC</x:t>
        </x:is>
      </x:c>
      <x:c r="H2142" s="552" t="inlineStr">
        <x:is>
          <x:t xml:space="preserve">Cannon Field Minerals Fund, L.P.</x:t>
        </x:is>
      </x:c>
      <x:c r="I2142" s="552" t="inlineStr">
        <x:is>
          <x:t xml:space="preserve">A of 31-12N-24W</x:t>
        </x:is>
      </x:c>
      <x:c r="J2142" s="552" t="inlineStr">
        <x:is>
          <x:t xml:space="preserve">Transfers leasehold/WI in chain</x:t>
        </x:is>
      </x:c>
      <x:c r="K2142" s="554" t="e">
        <x:f>HYPERLINK("https://okcountyrecords.com/detail/roger+mills/2021-001605","63e8b9a8d056433a9994fe46ca85076b.pdf | OKCountyRecords: 2021-001605")</x:f>
      </x:c>
      <x:c r="L2142" s="552" t="inlineStr">
        <x:is>
          <x:t xml:space="preserve">All (1-8)</x:t>
        </x:is>
      </x:c>
      <x:c r="M2142" s="552" t="inlineStr">
        <x:is>
          <x:t xml:space="preserve">Leasehold</x:t>
        </x:is>
      </x:c>
      <x:c r="N2142" s="555" t="n"/>
      <x:c r="O2142" s="556" t="n">
        <x:f>IF($L2142="","",IF(ISNUMBER(SEARCH("all",$L2142)),640,(ISNUMBER(SEARCH("1",$L2142)))*80+(ISNUMBER(SEARCH("2",$L2142)))*160+(ISNUMBER(SEARCH("3",$L2142)))*40+(ISNUMBER(SEARCH("4",$L2142)))*80+(ISNUMBER(SEARCH("5",$L2142)))*120+(ISNUMBER(SEARCH("6",$L2142)))*80+(ISNUMBER(SEARCH("7",$L2142)))*40+(ISNUMBER(SEARCH("8",$L2142)))*40))</x:f>
        <x:v>640</x:v>
      </x:c>
      <x:c r="P2142" s="654" t="str">
        <x:f>IF($M2142&lt;&gt;"Mineral","",IF(ISNUMBER($N2142),$N2142,IF(OR(ISNUMBER(SEARCH("surface",$J2142)),ISNUMBER(SEARCH("reserv",$J2142)),ISNUMBER(SEARCH("less and except",$J2142))),0,"")))</x:f>
      </x:c>
      <x:c r="Q2142" s="654" t="str">
        <x:f>IF($P2142="","",-$P2142)</x:f>
      </x:c>
      <x:c r="R2142" s="655" t="str">
        <x:f>IF($P2142="","",$O2142*$P2142)</x:f>
      </x:c>
      <x:c r="S2142" s="552" t="str">
        <x:f>IF($M2142="","",TRIM(IF($M2142="Mineral",IF(ISNUMBER($N2142),"Mineral; basis Conv Amt(dec). ",IF($P2142=0,"Mineral; surface-only/reserved-&gt;0 min. ","Mineral; NO AMOUNT-verify instrument. ")),$M2142&amp;" (non-mineral; excluded from mineral NMA). ")&amp;IF(OR(ISNUMBER(SEARCH("public",$G2142)),ISNUMBER(SEARCH("public",$H2142))),"FLAG: The Public placeholder-verify. ","")&amp;IF(ISNUMBER(SEARCH("all",$L2142)),"All-section coverage. ","")&amp;IF($O2142=0,"Gross acres unresolved. ","")&amp;"Gross=tract-map basis."))</x:f>
        <x:v>Leasehold (non-mineral; excluded from mineral NMA). All-section coverage. Gross=tract-map basis.</x:v>
      </x:c>
      <x:c r="T2142" s="577" t="n"/>
      <x:c r="U2142" s="578" t="n"/>
      <x:c r="V2142" s="565" t="n"/>
      <x:c r="W2142" s="565" t="n"/>
      <x:c r="X2142" s="565" t="n"/>
      <x:c r="Y2142" s="565" t="n"/>
      <x:c r="Z2142" s="565" t="n"/>
    </x:row>
    <x:row r="2143">
      <x:c r="A2143" s="552" t="inlineStr">
        <x:is>
          <x:t xml:space="preserve">2021-001774</x:t>
        </x:is>
      </x:c>
      <x:c r="B2143" s="552" t="n"/>
      <x:c r="C2143" s="552" t="inlineStr">
        <x:is>
          <x:t xml:space="preserve">Mineral Deed</x:t>
        </x:is>
      </x:c>
      <x:c r="D2143" s="552" t="inlineStr">
        <x:is>
          <x:t xml:space="preserve">2481/287</x:t>
        </x:is>
      </x:c>
      <x:c r="E2143" s="653" t="n">
        <x:v>44489</x:v>
      </x:c>
      <x:c r="F2143" s="653" t="n">
        <x:v>44491</x:v>
      </x:c>
      <x:c r="G2143" s="552" t="inlineStr">
        <x:is>
          <x:t xml:space="preserve">Greystone Energy &amp; Minerals, LLC, an Oklahoma limited liability company</x:t>
        </x:is>
      </x:c>
      <x:c r="H2143" s="552" t="inlineStr">
        <x:is>
          <x:t xml:space="preserve">Cardinal Land Company, LLC, an Oklahoma limited liability company
5713 N.W. 132nd Street
Oklahoma City, OK 73142, 50%,
EDR, LLC, 50%</x:t>
        </x:is>
      </x:c>
      <x:c r="I2143" s="552" t="inlineStr">
        <x:is>
          <x:t xml:space="preserve">NW/4 SE/4, S/2 SE/4, SW/4 NE/4 of 31-12N-24W, aol</x:t>
        </x:is>
      </x:c>
      <x:c r="J2143" s="552" t="inlineStr">
        <x:is>
          <x:t xml:space="preserve">3.00 NMA, from a total of Twenty Five and 7,225/10,000ths net mineral acres (25.7225) of Grantor's right, title and interest in and to all of the oil, gas and other minerals in and under 3 sections</x:t>
        </x:is>
      </x:c>
      <x:c r="K2143" s="554" t="e">
        <x:f>HYPERLINK("https://okcountyrecords.com/detail/roger+mills/2021-001774/26955795","OKCountyRecords: 2021-001774")</x:f>
      </x:c>
      <x:c r="L2143" s="552" t="n">
        <x:v>2</x:v>
      </x:c>
      <x:c r="M2143" s="552" t="inlineStr">
        <x:is>
          <x:t xml:space="preserve">Mineral</x:t>
        </x:is>
      </x:c>
      <x:c r="N2143" s="555" t="str">
        <x:f>IF(O2143&gt;0,3/O2143,"")</x:f>
      </x:c>
      <x:c r="O2143" s="556" t="n">
        <x:f>IF($L2143="","",IF(ISNUMBER(SEARCH("all",$L2143)),640,(ISNUMBER(SEARCH("1",$L2143)))*80+(ISNUMBER(SEARCH("2",$L2143)))*160+(ISNUMBER(SEARCH("3",$L2143)))*40+(ISNUMBER(SEARCH("4",$L2143)))*80+(ISNUMBER(SEARCH("5",$L2143)))*120+(ISNUMBER(SEARCH("6",$L2143)))*80+(ISNUMBER(SEARCH("7",$L2143)))*40+(ISNUMBER(SEARCH("8",$L2143)))*40))</x:f>
        <x:v>0</x:v>
      </x:c>
      <x:c r="P2143" s="654" t="str">
        <x:f>IF($M2143&lt;&gt;"Mineral","",IF(ISNUMBER($N2143),$N2143,IF(OR(ISNUMBER(SEARCH("surface",$J2143)),ISNUMBER(SEARCH("reserv",$J2143)),ISNUMBER(SEARCH("less and except",$J2143))),0,"")))</x:f>
      </x:c>
      <x:c r="Q2143" s="654" t="str">
        <x:f>IF($P2143="","",-$P2143)</x:f>
      </x:c>
      <x:c r="R2143" s="655" t="str">
        <x:f>IF($P2143="","",$O2143*$P2143)</x:f>
      </x:c>
      <x:c r="S2143" s="552" t="str">
        <x:f>IF($M2143="","",TRIM(IF($M2143="Mineral",IF(ISNUMBER($N2143),"Mineral; basis Conv Amt(dec). ",IF($P2143=0,"Mineral; surface-only/reserved-&gt;0 min. ","Mineral; NO AMOUNT-verify instrument. ")),$M2143&amp;" (non-mineral; excluded from mineral NMA). ")&amp;IF(OR(ISNUMBER(SEARCH("public",$G2143)),ISNUMBER(SEARCH("public",$H2143))),"FLAG: The Public placeholder-verify. ","")&amp;IF(ISNUMBER(SEARCH("all",$L2143)),"All-section coverage. ","")&amp;IF($O2143=0,"Gross acres unresolved. ","")&amp;"Gross=tract-map basis."))</x:f>
        <x:v>Mineral; surface-only/reserved-&gt;0 min. Gross acres unresolved. Gross=tract-map basis.</x:v>
      </x:c>
      <x:c r="T2143" s="577" t="n"/>
      <x:c r="U2143" s="578" t="inlineStr">
        <x:is>
          <x:t xml:space="preserve">Conveys 3 NMA per notes; conv. dec = 3/gross. Verify denominator/tract from image.</x:t>
        </x:is>
      </x:c>
      <x:c r="V2143" s="565" t="n"/>
      <x:c r="W2143" s="565" t="n"/>
      <x:c r="X2143" s="565" t="n"/>
      <x:c r="Y2143" s="565" t="n"/>
      <x:c r="Z2143" s="565" t="n"/>
    </x:row>
    <x:row r="2144">
      <x:c r="A2144" s="552" t="inlineStr">
        <x:is>
          <x:t xml:space="preserve">2021-002152</x:t>
        </x:is>
      </x:c>
      <x:c r="B2144" s="552" t="n"/>
      <x:c r="C2144" s="552" t="inlineStr">
        <x:is>
          <x:t xml:space="preserve">Assignment of ORRI</x:t>
        </x:is>
      </x:c>
      <x:c r="D2144" s="552" t="inlineStr">
        <x:is>
          <x:t xml:space="preserve">2484/25</x:t>
        </x:is>
      </x:c>
      <x:c r="E2144" s="653" t="n">
        <x:v>44530</x:v>
      </x:c>
      <x:c r="F2144" s="653" t="n">
        <x:v>44543</x:v>
      </x:c>
      <x:c r="G2144" s="552" t="inlineStr">
        <x:is>
          <x:t xml:space="preserve">Tlw Investments, LLC</x:t>
        </x:is>
      </x:c>
      <x:c r="H2144" s="552" t="inlineStr">
        <x:is>
          <x:t xml:space="preserve">Hillman Royalties</x:t>
        </x:is>
      </x:c>
      <x:c r="I2144" s="552" t="inlineStr">
        <x:is>
          <x:t xml:space="preserve">All of 31-12N-24W, aol</x:t>
        </x:is>
      </x:c>
      <x:c r="J2144" s="552" t="inlineStr">
        <x:is>
          <x:t xml:space="preserve">ORRI</x:t>
        </x:is>
      </x:c>
      <x:c r="K2144" s="554" t="e">
        <x:f>HYPERLINK("https://okcountyrecords.com/detail/roger+mills/2021-002152","OKCountyRecords: 2021-002152")</x:f>
      </x:c>
      <x:c r="L2144" s="552" t="inlineStr">
        <x:is>
          <x:t xml:space="preserve">All (1-8)</x:t>
        </x:is>
      </x:c>
      <x:c r="M2144" s="552" t="inlineStr">
        <x:is>
          <x:t xml:space="preserve">ORRI</x:t>
        </x:is>
      </x:c>
      <x:c r="N2144" s="555" t="n"/>
      <x:c r="O2144" s="556" t="n">
        <x:f>IF($L2144="","",IF(ISNUMBER(SEARCH("all",$L2144)),640,(ISNUMBER(SEARCH("1",$L2144)))*80+(ISNUMBER(SEARCH("2",$L2144)))*160+(ISNUMBER(SEARCH("3",$L2144)))*40+(ISNUMBER(SEARCH("4",$L2144)))*80+(ISNUMBER(SEARCH("5",$L2144)))*120+(ISNUMBER(SEARCH("6",$L2144)))*80+(ISNUMBER(SEARCH("7",$L2144)))*40+(ISNUMBER(SEARCH("8",$L2144)))*40))</x:f>
        <x:v>640</x:v>
      </x:c>
      <x:c r="P2144" s="654" t="str">
        <x:f>IF($M2144&lt;&gt;"Mineral","",IF(ISNUMBER($N2144),$N2144,IF(OR(ISNUMBER(SEARCH("surface",$J2144)),ISNUMBER(SEARCH("reserv",$J2144)),ISNUMBER(SEARCH("less and except",$J2144))),0,"")))</x:f>
      </x:c>
      <x:c r="Q2144" s="654" t="str">
        <x:f>IF($P2144="","",-$P2144)</x:f>
      </x:c>
      <x:c r="R2144" s="655" t="str">
        <x:f>IF($P2144="","",$O2144*$P2144)</x:f>
      </x:c>
      <x:c r="S2144" s="552" t="str">
        <x:f>IF($M2144="","",TRIM(IF($M2144="Mineral",IF(ISNUMBER($N2144),"Mineral; basis Conv Amt(dec). ",IF($P2144=0,"Mineral; surface-only/reserved-&gt;0 min. ","Mineral; NO AMOUNT-verify instrument. ")),$M2144&amp;" (non-mineral; excluded from mineral NMA). ")&amp;IF(OR(ISNUMBER(SEARCH("public",$G2144)),ISNUMBER(SEARCH("public",$H2144))),"FLAG: The Public placeholder-verify. ","")&amp;IF(ISNUMBER(SEARCH("all",$L2144)),"All-section coverage. ","")&amp;IF($O2144=0,"Gross acres unresolved. ","")&amp;"Gross=tract-map basis."))</x:f>
        <x:v>ORRI (non-mineral; excluded from mineral NMA). All-section coverage. Gross=tract-map basis.</x:v>
      </x:c>
      <x:c r="T2144" s="577" t="n"/>
      <x:c r="U2144" s="578" t="n"/>
      <x:c r="V2144" s="565" t="n"/>
      <x:c r="W2144" s="565" t="n"/>
      <x:c r="X2144" s="565" t="n"/>
      <x:c r="Y2144" s="565" t="n"/>
      <x:c r="Z2144" s="565" t="n"/>
    </x:row>
    <x:row r="2145">
      <x:c r="A2145" s="552" t="inlineStr">
        <x:is>
          <x:t xml:space="preserve">2022-000354</x:t>
        </x:is>
      </x:c>
      <x:c r="B2145" s="552" t="n"/>
      <x:c r="C2145" s="552" t="inlineStr">
        <x:is>
          <x:t xml:space="preserve">Assignment</x:t>
        </x:is>
      </x:c>
      <x:c r="D2145" s="552" t="inlineStr">
        <x:is>
          <x:t xml:space="preserve">2488/81</x:t>
        </x:is>
      </x:c>
      <x:c r="E2145" s="653" t="n">
        <x:v>44562</x:v>
      </x:c>
      <x:c r="F2145" s="653" t="n">
        <x:v>44615</x:v>
      </x:c>
      <x:c r="G2145" s="552" t="inlineStr">
        <x:is>
          <x:t xml:space="preserve">Tlw Investments</x:t>
        </x:is>
      </x:c>
      <x:c r="H2145" s="552" t="inlineStr">
        <x:is>
          <x:t xml:space="preserve">Chanas Partners, LLC</x:t>
        </x:is>
      </x:c>
      <x:c r="I2145" s="552" t="inlineStr">
        <x:is>
          <x:t xml:space="preserve">All of 31-12N-24W, aol</x:t>
        </x:is>
      </x:c>
      <x:c r="J2145" s="552" t="inlineStr">
        <x:is>
          <x:t xml:space="preserve">ARTI</x:t>
        </x:is>
      </x:c>
      <x:c r="K2145" s="554" t="e">
        <x:f>HYPERLINK("https://okcountyrecords.com/detail/roger+mills/2022-000354","OKCountyRecords: 2022-000354")</x:f>
      </x:c>
      <x:c r="L2145" s="552" t="inlineStr">
        <x:is>
          <x:t xml:space="preserve">All (1-8)</x:t>
        </x:is>
      </x:c>
      <x:c r="M2145" s="552" t="inlineStr">
        <x:is>
          <x:t xml:space="preserve">Leasehold</x:t>
        </x:is>
      </x:c>
      <x:c r="N2145" s="555" t="n"/>
      <x:c r="O2145" s="556" t="n">
        <x:f>IF($L2145="","",IF(ISNUMBER(SEARCH("all",$L2145)),640,(ISNUMBER(SEARCH("1",$L2145)))*80+(ISNUMBER(SEARCH("2",$L2145)))*160+(ISNUMBER(SEARCH("3",$L2145)))*40+(ISNUMBER(SEARCH("4",$L2145)))*80+(ISNUMBER(SEARCH("5",$L2145)))*120+(ISNUMBER(SEARCH("6",$L2145)))*80+(ISNUMBER(SEARCH("7",$L2145)))*40+(ISNUMBER(SEARCH("8",$L2145)))*40))</x:f>
        <x:v>640</x:v>
      </x:c>
      <x:c r="P2145" s="654" t="str">
        <x:f>IF($M2145&lt;&gt;"Mineral","",IF(ISNUMBER($N2145),$N2145,IF(OR(ISNUMBER(SEARCH("surface",$J2145)),ISNUMBER(SEARCH("reserv",$J2145)),ISNUMBER(SEARCH("less and except",$J2145))),0,"")))</x:f>
      </x:c>
      <x:c r="Q2145" s="654" t="str">
        <x:f>IF($P2145="","",-$P2145)</x:f>
      </x:c>
      <x:c r="R2145" s="655" t="str">
        <x:f>IF($P2145="","",$O2145*$P2145)</x:f>
      </x:c>
      <x:c r="S2145" s="552" t="str">
        <x:f>IF($M2145="","",TRIM(IF($M2145="Mineral",IF(ISNUMBER($N2145),"Mineral; basis Conv Amt(dec). ",IF($P2145=0,"Mineral; surface-only/reserved-&gt;0 min. ","Mineral; NO AMOUNT-verify instrument. ")),$M2145&amp;" (non-mineral; excluded from mineral NMA). ")&amp;IF(OR(ISNUMBER(SEARCH("public",$G2145)),ISNUMBER(SEARCH("public",$H2145))),"FLAG: The Public placeholder-verify. ","")&amp;IF(ISNUMBER(SEARCH("all",$L2145)),"All-section coverage. ","")&amp;IF($O2145=0,"Gross acres unresolved. ","")&amp;"Gross=tract-map basis."))</x:f>
        <x:v>Leasehold (non-mineral; excluded from mineral NMA). All-section coverage. Gross=tract-map basis.</x:v>
      </x:c>
      <x:c r="T2145" s="577" t="n"/>
      <x:c r="U2145" s="578" t="n"/>
      <x:c r="V2145" s="565" t="n"/>
      <x:c r="W2145" s="565" t="n"/>
      <x:c r="X2145" s="565" t="n"/>
      <x:c r="Y2145" s="565" t="n"/>
      <x:c r="Z2145" s="565" t="n"/>
    </x:row>
    <x:row r="2146">
      <x:c r="A2146" s="552" t="inlineStr">
        <x:is>
          <x:t xml:space="preserve">2022-000185</x:t>
        </x:is>
      </x:c>
      <x:c r="B2146" s="552" t="n"/>
      <x:c r="C2146" s="552" t="inlineStr">
        <x:is>
          <x:t xml:space="preserve">Mineral Deed</x:t>
        </x:is>
      </x:c>
      <x:c r="D2146" s="552" t="inlineStr">
        <x:is>
          <x:t xml:space="preserve">2486/262</x:t>
        </x:is>
      </x:c>
      <x:c r="E2146" s="653" t="n">
        <x:v>44571</x:v>
      </x:c>
      <x:c r="F2146" s="653" t="n">
        <x:v>44592</x:v>
      </x:c>
      <x:c r="G2146" s="552" t="inlineStr">
        <x:is>
          <x:t xml:space="preserve">Psi Lke, LLC</x:t>
        </x:is>
      </x:c>
      <x:c r="H2146" s="552" t="inlineStr">
        <x:is>
          <x:t xml:space="preserve">Cummins Minerals, Limited 70%
Eagle Owl, LP, 30%</x:t>
        </x:is>
      </x:c>
      <x:c r="I2146" s="552" t="inlineStr">
        <x:is>
          <x:t xml:space="preserve">All of 31-12N-24W, aol</x:t>
        </x:is>
      </x:c>
      <x:c r="J2146" s="552" t="inlineStr">
        <x:is>
          <x:t xml:space="preserve">ARTI, See 1765/306</x:t>
        </x:is>
      </x:c>
      <x:c r="K2146" s="554" t="e">
        <x:f>HYPERLINK("https://okcountyrecords.com/detail/roger+mills/2022-000185","OKCountyRecords: 2022-000185")</x:f>
      </x:c>
      <x:c r="L2146" s="552" t="inlineStr">
        <x:is>
          <x:t xml:space="preserve">All (1-8)</x:t>
        </x:is>
      </x:c>
      <x:c r="M2146" s="552" t="inlineStr">
        <x:is>
          <x:t xml:space="preserve">Mineral</x:t>
        </x:is>
      </x:c>
      <x:c r="N2146" s="555" t="n">
        <x:v>1</x:v>
      </x:c>
      <x:c r="O2146" s="556" t="n">
        <x:f>IF($L2146="","",IF(ISNUMBER(SEARCH("all",$L2146)),640,(ISNUMBER(SEARCH("1",$L2146)))*80+(ISNUMBER(SEARCH("2",$L2146)))*160+(ISNUMBER(SEARCH("3",$L2146)))*40+(ISNUMBER(SEARCH("4",$L2146)))*80+(ISNUMBER(SEARCH("5",$L2146)))*120+(ISNUMBER(SEARCH("6",$L2146)))*80+(ISNUMBER(SEARCH("7",$L2146)))*40+(ISNUMBER(SEARCH("8",$L2146)))*40))</x:f>
        <x:v>640</x:v>
      </x:c>
      <x:c r="P2146" s="654" t="n">
        <x:f>IF($M2146&lt;&gt;"Mineral","",IF(ISNUMBER($N2146),$N2146,IF(OR(ISNUMBER(SEARCH("surface",$J2146)),ISNUMBER(SEARCH("reserv",$J2146)),ISNUMBER(SEARCH("less and except",$J2146))),0,"")))</x:f>
        <x:v>1</x:v>
      </x:c>
      <x:c r="Q2146" s="654" t="n">
        <x:f>IF($P2146="","",-$P2146)</x:f>
        <x:v>-1</x:v>
      </x:c>
      <x:c r="R2146" s="655" t="n">
        <x:f>IF($P2146="","",$O2146*$P2146)</x:f>
        <x:v>640</x:v>
      </x:c>
      <x:c r="S2146" s="552" t="str">
        <x:f>IF($M2146="","",TRIM(IF($M2146="Mineral",IF(ISNUMBER($N2146),"Mineral; basis Conv Amt(dec). ",IF($P2146=0,"Mineral; surface-only/reserved-&gt;0 min. ","Mineral; NO AMOUNT-verify instrument. ")),$M2146&amp;" (non-mineral; excluded from mineral NMA). ")&amp;IF(OR(ISNUMBER(SEARCH("public",$G2146)),ISNUMBER(SEARCH("public",$H2146))),"FLAG: The Public placeholder-verify. ","")&amp;IF(ISNUMBER(SEARCH("all",$L2146)),"All-section coverage. ","")&amp;IF($O2146=0,"Gross acres unresolved. ","")&amp;"Gross=tract-map basis."))</x:f>
        <x:v>Mineral; basis Conv Amt(dec). All-section coverage. Gross=tract-map basis.</x:v>
      </x:c>
      <x:c r="T2146" s="577" t="n"/>
      <x:c r="U2146" s="578" t="n"/>
      <x:c r="V2146" s="565" t="n"/>
      <x:c r="W2146" s="565" t="n"/>
      <x:c r="X2146" s="565" t="n"/>
      <x:c r="Y2146" s="565" t="n"/>
      <x:c r="Z2146" s="565" t="n"/>
    </x:row>
    <x:row r="2147">
      <x:c r="A2147" s="552" t="inlineStr">
        <x:is>
          <x:t xml:space="preserve">2022-001083</x:t>
        </x:is>
      </x:c>
      <x:c r="B2147" s="552" t="n"/>
      <x:c r="C2147" s="552" t="inlineStr">
        <x:is>
          <x:t xml:space="preserve">Affidavit of Merger</x:t>
        </x:is>
      </x:c>
      <x:c r="D2147" s="552" t="inlineStr">
        <x:is>
          <x:t xml:space="preserve">2495/430</x:t>
        </x:is>
      </x:c>
      <x:c r="E2147" s="653" t="n">
        <x:v>44713</x:v>
      </x:c>
      <x:c r="F2147" s="653" t="n">
        <x:v>44715</x:v>
      </x:c>
      <x:c r="G2147" s="552" t="inlineStr">
        <x:is>
          <x:t xml:space="preserve">Phx Minerals (de), Inc.,
Phx Minerals, Inc.</x:t>
        </x:is>
      </x:c>
      <x:c r="H2147" s="552" t="inlineStr">
        <x:is>
          <x:t xml:space="preserve">The Public</x:t>
        </x:is>
      </x:c>
      <x:c r="I2147" s="552" t="inlineStr">
        <x:is>
          <x:t xml:space="preserve">All of 31-12N-24W, aol</x:t>
        </x:is>
      </x:c>
      <x:c r="J2147" s="552" t="inlineStr">
        <x:is>
          <x:t xml:space="preserve">PHX MINERALS INC., an Oklahoma corporation, does hereby certify that it is the owner of these locations, and has merged with and into PHX Minerals (DE), Inc., a Delaware corporation and to then change the company's name to PHX MINERALS INC. These changes of entity names and states in which incorporated, are evidenced by the Certificates Issued by the Secretary of State of Oklahoma dated April 1, 2022, and the Secretary of State of Delaware dated April 1, 2022, and are on file in these respective offices.</x:t>
        </x:is>
      </x:c>
      <x:c r="K2147" s="554" t="e">
        <x:f>HYPERLINK("https://okcountyrecords.com/detail/roger+mills/2022-001083","OKCountyRecords: 2022-001083")</x:f>
      </x:c>
      <x:c r="L2147" s="552" t="inlineStr">
        <x:is>
          <x:t xml:space="preserve">All (1-8)</x:t>
        </x:is>
      </x:c>
      <x:c r="M2147" s="552" t="inlineStr">
        <x:is>
          <x:t xml:space="preserve">Other</x:t>
        </x:is>
      </x:c>
      <x:c r="N2147" s="555" t="n"/>
      <x:c r="O2147" s="556" t="n">
        <x:f>IF($L2147="","",IF(ISNUMBER(SEARCH("all",$L2147)),640,(ISNUMBER(SEARCH("1",$L2147)))*80+(ISNUMBER(SEARCH("2",$L2147)))*160+(ISNUMBER(SEARCH("3",$L2147)))*40+(ISNUMBER(SEARCH("4",$L2147)))*80+(ISNUMBER(SEARCH("5",$L2147)))*120+(ISNUMBER(SEARCH("6",$L2147)))*80+(ISNUMBER(SEARCH("7",$L2147)))*40+(ISNUMBER(SEARCH("8",$L2147)))*40))</x:f>
        <x:v>640</x:v>
      </x:c>
      <x:c r="P2147" s="654" t="str">
        <x:f>IF($M2147&lt;&gt;"Mineral","",IF(ISNUMBER($N2147),$N2147,IF(OR(ISNUMBER(SEARCH("surface",$J2147)),ISNUMBER(SEARCH("reserv",$J2147)),ISNUMBER(SEARCH("less and except",$J2147))),0,"")))</x:f>
      </x:c>
      <x:c r="Q2147" s="654" t="str">
        <x:f>IF($P2147="","",-$P2147)</x:f>
      </x:c>
      <x:c r="R2147" s="655" t="str">
        <x:f>IF($P2147="","",$O2147*$P2147)</x:f>
      </x:c>
      <x:c r="S2147" s="552" t="inlineStr">
        <x:is>
          <x:t xml:space="preserve">Other (non-mineral; excluded from mineral NMA). All-section coverage. Gross=tract-map basis.</x:t>
        </x:is>
      </x:c>
      <x:c r="T2147" s="577" t="inlineStr">
        <x:is>
          <x:t xml:space="preserve">OK</x:t>
        </x:is>
      </x:c>
      <x:c r="U2147" s="578" t="inlineStr">
        <x:is>
          <x:t xml:space="preserve">Non-conveying — notice/affidavit/address change (The Public).</x:t>
        </x:is>
      </x:c>
      <x:c r="V2147" s="565" t="n"/>
      <x:c r="W2147" s="565" t="n"/>
      <x:c r="X2147" s="565" t="n"/>
      <x:c r="Y2147" s="565" t="n"/>
      <x:c r="Z2147" s="565" t="n"/>
    </x:row>
    <x:row r="2148">
      <x:c r="A2148" s="552" t="inlineStr">
        <x:is>
          <x:t xml:space="preserve">2023-002269</x:t>
        </x:is>
      </x:c>
      <x:c r="B2148" s="552" t="n"/>
      <x:c r="C2148" s="552" t="inlineStr">
        <x:is>
          <x:t xml:space="preserve">Mineral Deed</x:t>
        </x:is>
      </x:c>
      <x:c r="D2148" s="552" t="inlineStr">
        <x:is>
          <x:t xml:space="preserve">2529/217</x:t>
        </x:is>
      </x:c>
      <x:c r="E2148" s="653" t="n">
        <x:v>45061</x:v>
      </x:c>
      <x:c r="F2148" s="653" t="n">
        <x:v>45114</x:v>
      </x:c>
      <x:c r="G2148" s="552" t="inlineStr">
        <x:is>
          <x:t xml:space="preserve">Gregory J. Winneke</x:t>
        </x:is>
      </x:c>
      <x:c r="H2148" s="552" t="inlineStr">
        <x:is>
          <x:t xml:space="preserve">Eric Jansen
c/o Hasbany Insurance
254 Pleasandt St.
Methuen, Ma 01844
</x:t>
        </x:is>
      </x:c>
      <x:c r="I2148" s="552" t="inlineStr">
        <x:is>
          <x:t xml:space="preserve">NW/4 SE/4, S/2 SE/4, SW/4 NE/4 of 31-12N-24W, aol</x:t>
        </x:is>
      </x:c>
      <x:c r="J2148" s="552" t="inlineStr">
        <x:is>
          <x:t xml:space="preserve">ARTI</x:t>
        </x:is>
      </x:c>
      <x:c r="K2148" s="554" t="e">
        <x:f>HYPERLINK("https://okcountyrecords.com/detail/roger+mills/2023-002269","OKCountyRecords: 2023-002269")</x:f>
      </x:c>
      <x:c r="L2148" s="552" t="n">
        <x:v>2</x:v>
      </x:c>
      <x:c r="M2148" s="552" t="inlineStr">
        <x:is>
          <x:t xml:space="preserve">Mineral</x:t>
        </x:is>
      </x:c>
      <x:c r="N2148" s="555" t="n">
        <x:v>1</x:v>
      </x:c>
      <x:c r="O2148" s="556" t="n">
        <x:f>IF($L2148="","",IF(ISNUMBER(SEARCH("all",$L2148)),640,(ISNUMBER(SEARCH("1",$L2148)))*80+(ISNUMBER(SEARCH("2",$L2148)))*160+(ISNUMBER(SEARCH("3",$L2148)))*40+(ISNUMBER(SEARCH("4",$L2148)))*80+(ISNUMBER(SEARCH("5",$L2148)))*120+(ISNUMBER(SEARCH("6",$L2148)))*80+(ISNUMBER(SEARCH("7",$L2148)))*40+(ISNUMBER(SEARCH("8",$L2148)))*40))</x:f>
        <x:v>0</x:v>
      </x:c>
      <x:c r="P2148" s="654" t="n">
        <x:f>IF($M2148&lt;&gt;"Mineral","",IF(ISNUMBER($N2148),$N2148,IF(OR(ISNUMBER(SEARCH("surface",$J2148)),ISNUMBER(SEARCH("reserv",$J2148)),ISNUMBER(SEARCH("less and except",$J2148))),0,"")))</x:f>
        <x:v>1</x:v>
      </x:c>
      <x:c r="Q2148" s="654" t="n">
        <x:f>IF($P2148="","",-$P2148)</x:f>
        <x:v>-1</x:v>
      </x:c>
      <x:c r="R2148" s="655" t="n">
        <x:f>IF($P2148="","",$O2148*$P2148)</x:f>
        <x:v>0</x:v>
      </x:c>
      <x:c r="S2148" s="552" t="str">
        <x:f>IF($M2148="","",TRIM(IF($M2148="Mineral",IF(ISNUMBER($N2148),"Mineral; basis Conv Amt(dec). ",IF($P2148=0,"Mineral; surface-only/reserved-&gt;0 min. ","Mineral; NO AMOUNT-verify instrument. ")),$M2148&amp;" (non-mineral; excluded from mineral NMA). ")&amp;IF(OR(ISNUMBER(SEARCH("public",$G2148)),ISNUMBER(SEARCH("public",$H2148))),"FLAG: The Public placeholder-verify. ","")&amp;IF(ISNUMBER(SEARCH("all",$L2148)),"All-section coverage. ","")&amp;IF($O2148=0,"Gross acres unresolved. ","")&amp;"Gross=tract-map basis."))</x:f>
        <x:v>Mineral; basis Conv Amt(dec). Gross acres unresolved. Gross=tract-map basis.</x:v>
      </x:c>
      <x:c r="T2148" s="577" t="n"/>
      <x:c r="U2148" s="578" t="n"/>
      <x:c r="V2148" s="565" t="n"/>
      <x:c r="W2148" s="565" t="n"/>
      <x:c r="X2148" s="565" t="n"/>
      <x:c r="Y2148" s="565" t="n"/>
      <x:c r="Z2148" s="565" t="n"/>
    </x:row>
    <x:row r="2149">
      <x:c r="A2149" s="552" t="inlineStr">
        <x:is>
          <x:t xml:space="preserve">2024-004916</x:t>
        </x:is>
      </x:c>
      <x:c r="B2149" s="552" t="n">
        <x:v>69</x:v>
      </x:c>
      <x:c r="C2149" s="552" t="inlineStr">
        <x:is>
          <x:t xml:space="preserve">Assignment</x:t>
        </x:is>
      </x:c>
      <x:c r="D2149" s="563" t="inlineStr">
        <x:is>
          <x:t xml:space="preserve">2584/149</x:t>
        </x:is>
      </x:c>
      <x:c r="E2149" s="653" t="n">
        <x:v>45148</x:v>
      </x:c>
      <x:c r="F2149" s="653" t="n">
        <x:v>45509</x:v>
      </x:c>
      <x:c r="G2149" s="552" t="inlineStr">
        <x:is>
          <x:t xml:space="preserve">Chanas Partners, LLC</x:t>
        </x:is>
      </x:c>
      <x:c r="H2149" s="552" t="inlineStr">
        <x:is>
          <x:t xml:space="preserve">NWR Mineral Partners, LLC 
P.O. Box 7206
Edmond, OK 73083,</x:t>
        </x:is>
      </x:c>
      <x:c r="I2149" s="552" t="inlineStr">
        <x:is>
          <x:t xml:space="preserve">All of 31-12N-24W</x:t>
        </x:is>
      </x:c>
      <x:c r="J2149" s="552" t="inlineStr">
        <x:is>
          <x:t xml:space="preserve">Transfers leasehold/WI in chain</x:t>
        </x:is>
      </x:c>
      <x:c r="K2149" s="554" t="e">
        <x:f>HYPERLINK("https://okcountyrecords.com/detail/roger+mills/2024-004916","63e8b9a8d056433a9994fe46ca85076b.pdf | OKCountyRecords: 2024-004916")</x:f>
      </x:c>
      <x:c r="L2149" s="552" t="inlineStr">
        <x:is>
          <x:t xml:space="preserve">All (1-8)</x:t>
        </x:is>
      </x:c>
      <x:c r="M2149" s="552" t="inlineStr">
        <x:is>
          <x:t xml:space="preserve">Leasehold</x:t>
        </x:is>
      </x:c>
      <x:c r="N2149" s="555" t="n"/>
      <x:c r="O2149" s="556" t="n">
        <x:f>IF($L2149="","",IF(ISNUMBER(SEARCH("all",$L2149)),640,(ISNUMBER(SEARCH("1",$L2149)))*80+(ISNUMBER(SEARCH("2",$L2149)))*160+(ISNUMBER(SEARCH("3",$L2149)))*40+(ISNUMBER(SEARCH("4",$L2149)))*80+(ISNUMBER(SEARCH("5",$L2149)))*120+(ISNUMBER(SEARCH("6",$L2149)))*80+(ISNUMBER(SEARCH("7",$L2149)))*40+(ISNUMBER(SEARCH("8",$L2149)))*40))</x:f>
        <x:v>640</x:v>
      </x:c>
      <x:c r="P2149" s="654" t="str">
        <x:f>IF($M2149&lt;&gt;"Mineral","",IF(ISNUMBER($N2149),$N2149,IF(OR(ISNUMBER(SEARCH("surface",$J2149)),ISNUMBER(SEARCH("reserv",$J2149)),ISNUMBER(SEARCH("less and except",$J2149))),0,"")))</x:f>
      </x:c>
      <x:c r="Q2149" s="654" t="str">
        <x:f>IF($P2149="","",-$P2149)</x:f>
      </x:c>
      <x:c r="R2149" s="655" t="str">
        <x:f>IF($P2149="","",$O2149*$P2149)</x:f>
      </x:c>
      <x:c r="S2149" s="552" t="str">
        <x:f>IF($M2149="","",TRIM(IF($M2149="Mineral",IF(ISNUMBER($N2149),"Mineral; basis Conv Amt(dec). ",IF($P2149=0,"Mineral; surface-only/reserved-&gt;0 min. ","Mineral; NO AMOUNT-verify instrument. ")),$M2149&amp;" (non-mineral; excluded from mineral NMA). ")&amp;IF(OR(ISNUMBER(SEARCH("public",$G2149)),ISNUMBER(SEARCH("public",$H2149))),"FLAG: The Public placeholder-verify. ","")&amp;IF(ISNUMBER(SEARCH("all",$L2149)),"All-section coverage. ","")&amp;IF($O2149=0,"Gross acres unresolved. ","")&amp;"Gross=tract-map basis."))</x:f>
        <x:v>Leasehold (non-mineral; excluded from mineral NMA). All-section coverage. Gross=tract-map basis.</x:v>
      </x:c>
      <x:c r="T2149" s="577" t="n"/>
      <x:c r="U2149" s="578" t="n"/>
      <x:c r="V2149" s="565" t="n"/>
      <x:c r="W2149" s="565" t="n"/>
      <x:c r="X2149" s="565" t="n"/>
      <x:c r="Y2149" s="565" t="n"/>
      <x:c r="Z2149" s="565" t="n"/>
    </x:row>
    <x:row r="2150">
      <x:c r="A2150" s="552" t="inlineStr">
        <x:is>
          <x:t xml:space="preserve">2024-004961</x:t>
        </x:is>
      </x:c>
      <x:c r="B2150" s="552" t="n"/>
      <x:c r="C2150" s="552" t="inlineStr">
        <x:is>
          <x:t xml:space="preserve">Partial Assignment</x:t>
        </x:is>
      </x:c>
      <x:c r="D2150" s="552" t="inlineStr">
        <x:is>
          <x:t xml:space="preserve">2584/149</x:t>
        </x:is>
      </x:c>
      <x:c r="E2150" s="653" t="n">
        <x:v>45148</x:v>
      </x:c>
      <x:c r="F2150" s="653" t="n">
        <x:v>45509</x:v>
      </x:c>
      <x:c r="G2150" s="552" t="inlineStr">
        <x:is>
          <x:t xml:space="preserve">Chanas Partners, LLC</x:t>
        </x:is>
      </x:c>
      <x:c r="H2150" s="552" t="inlineStr">
        <x:is>
          <x:t xml:space="preserve">NWR Mineral Partners, LLC 
P.O. Box 7206
Edmond, OK 73083,</x:t>
        </x:is>
      </x:c>
      <x:c r="I2150" s="552" t="inlineStr">
        <x:is>
          <x:t xml:space="preserve">All of 31-12N-24W, aol</x:t>
        </x:is>
      </x:c>
      <x:c r="J2150" s="552" t="inlineStr">
        <x:is>
          <x:t xml:space="preserve">ll of its right, title and interest in and to the Lands and Leases, Limited to the Des Moines Formation Only, which, for these purposes is described as from the top of the Marmaton Group to the base of the Cherokee Group, subject to the terms and provisions described below. Assignor hereby excepts and reserves an overriding royalty interest in and to all oil, gas, casinghead gas, or other hydrocarbons produced, saved and marketed, equal to the positive difference, if any, between the existing lease burdens and twenty-five percent (25.00%), it being the intent of Assignor to deliver a seventy-five percent (75.00%) net revenue interest unto Assignee, in and to the Leases. Said overriding royalty interest shall be free and clear of all development and operating expenses of whatsoever nature, but shall be subject only to and bear its proportionate part of all severance, production, or any other taxes which are now or that may hereafter become applicable thereto. In the event Assignor owns less than an undivided 100% leasehold interest in the Leases, or if the Leases cover less than 100% of the mineral interest in the Lands covered by the Leases, the overriding royalty shall be proportionately reduced.
This Term Assignment of Oil and Gas Leases shall be for a primary term of three (3) year from the Effective
Date, and for as long thereafter as oil, gas or either of them is produced (or capable of commercial production) from the Lands being conveyed herein, subject, however, to the reversionary rights of Assignor set forth below. In the event no production has been established prior to the end of the above term and no operations have been commenced for the
drilling of any well on said land or lands pooled or unitized therewith, Assignee shall promptly re-assign the Lease to
Assignor free and clear of all overriding royalties and other payments out of production, except those in existence as of the date of this assignment. If at the expiration of the primary term, oil and gas is not being produced from the Lands, but Assignee is then engaged in drilling and/or completion operations, this assignment shall continue in full force and effect so long as such operations are continuously prosecuted without a cessation of more than sixty (60) days, and if production of oil or gas results from such operations, this assignment shall continue in full force and effect for so long as oil or gas or either of them is produced (or capable of commercial production).
Notwithstanding anything contained herein to the contrary, at the expiration of the primary term of this assignment, this Partial Term Assignment of Oil and Gas Leases shall terminate and all rights of Assignee hereunder shall cease and immediately revert to Assignor, free of any encumbrances created by Assignee, save and except as to the Leases of each commercially producing oil and/or gas well located on the Lands or lands pooled therewith and drilled pursuant to the Leases during the primary term of this Partial Term Assignment of Oil and Gas. After the expiration of the primary term, Assignee shall promptly tender to Assignor a reassignment of all of the assigned premises, except as to the rights retained by Assignee pursuant to this paragraph. The reassignment tendered to Assignor shall warrant the reassigned interest free and clear of any mortgage, lien, encumbrance, claims, contractual obligations, overriding royalty burden, production payment or any other type of burden created by, through or under Assignee or by its authority. THIS Partial Term Assignment of Oil and Gas Leases is made without any covenants of warranty either expressed or implied other than by and through Assignor. Executed this 21 day of July, 2024 however effective August 10, 2023. LESS AND EXCEPT ALL EXISTING WELLBORES</x:t>
        </x:is>
      </x:c>
      <x:c r="K2150" s="554" t="e">
        <x:f>HYPERLINK("https://okcountyrecords.com/detail/roger+mills/2024-004961","OKCountyRecords: 2024-004961")</x:f>
      </x:c>
      <x:c r="L2150" s="552" t="inlineStr">
        <x:is>
          <x:t xml:space="preserve">All (1-8)</x:t>
        </x:is>
      </x:c>
      <x:c r="M2150" s="552" t="inlineStr">
        <x:is>
          <x:t xml:space="preserve">Leasehold</x:t>
        </x:is>
      </x:c>
      <x:c r="N2150" s="555" t="n"/>
      <x:c r="O2150" s="556" t="n">
        <x:f>IF($L2150="","",IF(ISNUMBER(SEARCH("all",$L2150)),640,(ISNUMBER(SEARCH("1",$L2150)))*80+(ISNUMBER(SEARCH("2",$L2150)))*160+(ISNUMBER(SEARCH("3",$L2150)))*40+(ISNUMBER(SEARCH("4",$L2150)))*80+(ISNUMBER(SEARCH("5",$L2150)))*120+(ISNUMBER(SEARCH("6",$L2150)))*80+(ISNUMBER(SEARCH("7",$L2150)))*40+(ISNUMBER(SEARCH("8",$L2150)))*40))</x:f>
        <x:v>640</x:v>
      </x:c>
      <x:c r="P2150" s="654" t="str">
        <x:f>IF($M2150&lt;&gt;"Mineral","",IF(ISNUMBER($N2150),$N2150,IF(OR(ISNUMBER(SEARCH("surface",$J2150)),ISNUMBER(SEARCH("reserv",$J2150)),ISNUMBER(SEARCH("less and except",$J2150))),0,"")))</x:f>
      </x:c>
      <x:c r="Q2150" s="654" t="str">
        <x:f>IF($P2150="","",-$P2150)</x:f>
      </x:c>
      <x:c r="R2150" s="655" t="str">
        <x:f>IF($P2150="","",$O2150*$P2150)</x:f>
      </x:c>
      <x:c r="S2150" s="552" t="str">
        <x:f>IF($M2150="","",TRIM(IF($M2150="Mineral",IF(ISNUMBER($N2150),"Mineral; basis Conv Amt(dec). ",IF($P2150=0,"Mineral; surface-only/reserved-&gt;0 min. ","Mineral; NO AMOUNT-verify instrument. ")),$M2150&amp;" (non-mineral; excluded from mineral NMA). ")&amp;IF(OR(ISNUMBER(SEARCH("public",$G2150)),ISNUMBER(SEARCH("public",$H2150))),"FLAG: The Public placeholder-verify. ","")&amp;IF(ISNUMBER(SEARCH("all",$L2150)),"All-section coverage. ","")&amp;IF($O2150=0,"Gross acres unresolved. ","")&amp;"Gross=tract-map basis."))</x:f>
        <x:v>Leasehold (non-mineral; excluded from mineral NMA). All-section coverage. Gross=tract-map basis.</x:v>
      </x:c>
      <x:c r="T2150" s="577" t="n"/>
      <x:c r="U2150" s="578" t="n"/>
      <x:c r="V2150" s="565" t="n"/>
      <x:c r="W2150" s="565" t="n"/>
      <x:c r="X2150" s="565" t="n"/>
      <x:c r="Y2150" s="565" t="n"/>
      <x:c r="Z2150" s="565" t="n"/>
    </x:row>
    <x:row r="2151">
      <x:c r="A2151" s="552" t="inlineStr">
        <x:is>
          <x:t xml:space="preserve">2023-003590</x:t>
        </x:is>
      </x:c>
      <x:c r="B2151" s="552" t="n">
        <x:v>66</x:v>
      </x:c>
      <x:c r="C2151" s="552" t="inlineStr">
        <x:is>
          <x:t xml:space="preserve">Wellbore Assignment</x:t>
        </x:is>
      </x:c>
      <x:c r="D2151" s="563" t="inlineStr">
        <x:is>
          <x:t xml:space="preserve">2542/413</x:t>
        </x:is>
      </x:c>
      <x:c r="E2151" s="653" t="n">
        <x:v>45200</x:v>
      </x:c>
      <x:c r="F2151" s="653" t="n">
        <x:v>45247</x:v>
      </x:c>
      <x:c r="G2151" s="552" t="inlineStr">
        <x:is>
          <x:t xml:space="preserve">Unbridled Resources, LLC</x:t>
        </x:is>
      </x:c>
      <x:c r="H2151" s="552" t="inlineStr">
        <x:is>
          <x:t xml:space="preserve">Mnr Abs Issuer I., LLC</x:t>
        </x:is>
      </x:c>
      <x:c r="I2151" s="552" t="inlineStr">
        <x:is>
          <x:t xml:space="preserve">All of 31-12N-24W, aol</x:t>
        </x:is>
      </x:c>
      <x:c r="J2151" s="552" t="inlineStr">
        <x:is>
          <x:t xml:space="preserve">Transfers wellbore-only rights</x:t>
        </x:is>
      </x:c>
      <x:c r="K2151" s="554" t="e">
        <x:f>HYPERLINK("https://okcountyrecords.com/detail/roger+mills/2023-003590","63e8b9a8d056433a9994fe46ca85076b.pdf | OKCountyRecords: 2023-003590")</x:f>
      </x:c>
      <x:c r="L2151" s="552" t="inlineStr">
        <x:is>
          <x:t xml:space="preserve">All (1-8)</x:t>
        </x:is>
      </x:c>
      <x:c r="M2151" s="552" t="inlineStr">
        <x:is>
          <x:t xml:space="preserve">Leasehold</x:t>
        </x:is>
      </x:c>
      <x:c r="N2151" s="555" t="n"/>
      <x:c r="O2151" s="556" t="n">
        <x:f>IF($L2151="","",IF(ISNUMBER(SEARCH("all",$L2151)),640,(ISNUMBER(SEARCH("1",$L2151)))*80+(ISNUMBER(SEARCH("2",$L2151)))*160+(ISNUMBER(SEARCH("3",$L2151)))*40+(ISNUMBER(SEARCH("4",$L2151)))*80+(ISNUMBER(SEARCH("5",$L2151)))*120+(ISNUMBER(SEARCH("6",$L2151)))*80+(ISNUMBER(SEARCH("7",$L2151)))*40+(ISNUMBER(SEARCH("8",$L2151)))*40))</x:f>
        <x:v>640</x:v>
      </x:c>
      <x:c r="P2151" s="654" t="str">
        <x:f>IF($M2151&lt;&gt;"Mineral","",IF(ISNUMBER($N2151),$N2151,IF(OR(ISNUMBER(SEARCH("surface",$J2151)),ISNUMBER(SEARCH("reserv",$J2151)),ISNUMBER(SEARCH("less and except",$J2151))),0,"")))</x:f>
      </x:c>
      <x:c r="Q2151" s="654" t="str">
        <x:f>IF($P2151="","",-$P2151)</x:f>
      </x:c>
      <x:c r="R2151" s="655" t="str">
        <x:f>IF($P2151="","",$O2151*$P2151)</x:f>
      </x:c>
      <x:c r="S2151" s="552" t="str">
        <x:f>IF($M2151="","",TRIM(IF($M2151="Mineral",IF(ISNUMBER($N2151),"Mineral; basis Conv Amt(dec). ",IF($P2151=0,"Mineral; surface-only/reserved-&gt;0 min. ","Mineral; NO AMOUNT-verify instrument. ")),$M2151&amp;" (non-mineral; excluded from mineral NMA). ")&amp;IF(OR(ISNUMBER(SEARCH("public",$G2151)),ISNUMBER(SEARCH("public",$H2151))),"FLAG: The Public placeholder-verify. ","")&amp;IF(ISNUMBER(SEARCH("all",$L2151)),"All-section coverage. ","")&amp;IF($O2151=0,"Gross acres unresolved. ","")&amp;"Gross=tract-map basis."))</x:f>
        <x:v>Leasehold (non-mineral; excluded from mineral NMA). All-section coverage. Gross=tract-map basis.</x:v>
      </x:c>
      <x:c r="T2151" s="577" t="n"/>
      <x:c r="U2151" s="578" t="n"/>
      <x:c r="V2151" s="565" t="n"/>
      <x:c r="W2151" s="565" t="n"/>
      <x:c r="X2151" s="565" t="n"/>
      <x:c r="Y2151" s="565" t="n"/>
      <x:c r="Z2151" s="565" t="n"/>
    </x:row>
    <x:row r="2152">
      <x:c r="A2152" s="552" t="inlineStr">
        <x:is>
          <x:t xml:space="preserve">2023-003594</x:t>
        </x:is>
      </x:c>
      <x:c r="B2152" s="552" t="n"/>
      <x:c r="C2152" s="552" t="inlineStr">
        <x:is>
          <x:t xml:space="preserve">Amendment</x:t>
        </x:is>
      </x:c>
      <x:c r="D2152" s="552" t="inlineStr">
        <x:is>
          <x:t xml:space="preserve">2545/1</x:t>
        </x:is>
      </x:c>
      <x:c r="E2152" s="653" t="n">
        <x:v>45225</x:v>
      </x:c>
      <x:c r="F2152" s="653" t="n">
        <x:v>45247</x:v>
      </x:c>
      <x:c r="G2152" s="552" t="inlineStr">
        <x:is>
          <x:t xml:space="preserve">Mnr Abs Agent Corp.,
Mnr Abs Issuer I., LLC,
Unbridled Resources, LLC</x:t>
        </x:is>
      </x:c>
      <x:c r="H2152" s="552" t="inlineStr">
        <x:is>
          <x:t xml:space="preserve">Mnr Abs Agent Corp.,
Mns Abs Issuer I., LLC</x:t>
        </x:is>
      </x:c>
      <x:c r="I2152" s="552" t="inlineStr">
        <x:is>
          <x:t xml:space="preserve">All of 31-12N-24W, aol</x:t>
        </x:is>
      </x:c>
      <x:c r="J2152" s="552" t="inlineStr">
        <x:is>
          <x:t xml:space="preserve">RECORDING SUPPLEMENT TO
OPERATING AGREEMENT AND FINANCING STATEMENT</x:t>
        </x:is>
      </x:c>
      <x:c r="K2152" s="554" t="e">
        <x:f>HYPERLINK("https://okcountyrecords.com/detail/roger+mills/2023-003594","63e8b9a8d056433a9994fe46ca85076b.pdf | OKCountyRecords: 2023-003594")</x:f>
      </x:c>
      <x:c r="L2152" s="552" t="inlineStr">
        <x:is>
          <x:t xml:space="preserve">All (1-8)</x:t>
        </x:is>
      </x:c>
      <x:c r="M2152" s="552" t="inlineStr">
        <x:is>
          <x:t xml:space="preserve">other</x:t>
        </x:is>
      </x:c>
      <x:c r="N2152" s="555" t="n"/>
      <x:c r="O2152" s="556" t="n">
        <x:f>IF($L2152="","",IF(ISNUMBER(SEARCH("all",$L2152)),640,(ISNUMBER(SEARCH("1",$L2152)))*80+(ISNUMBER(SEARCH("2",$L2152)))*160+(ISNUMBER(SEARCH("3",$L2152)))*40+(ISNUMBER(SEARCH("4",$L2152)))*80+(ISNUMBER(SEARCH("5",$L2152)))*120+(ISNUMBER(SEARCH("6",$L2152)))*80+(ISNUMBER(SEARCH("7",$L2152)))*40+(ISNUMBER(SEARCH("8",$L2152)))*40))</x:f>
        <x:v>640</x:v>
      </x:c>
      <x:c r="P2152" s="654" t="str">
        <x:f>IF($M2152&lt;&gt;"Mineral","",IF(ISNUMBER($N2152),$N2152,IF(OR(ISNUMBER(SEARCH("surface",$J2152)),ISNUMBER(SEARCH("reserv",$J2152)),ISNUMBER(SEARCH("less and except",$J2152))),0,"")))</x:f>
      </x:c>
      <x:c r="Q2152" s="654" t="str">
        <x:f>IF($P2152="","",-$P2152)</x:f>
      </x:c>
      <x:c r="R2152" s="655" t="str">
        <x:f>IF($P2152="","",$O2152*$P2152)</x:f>
      </x:c>
      <x:c r="S2152" s="552" t="str">
        <x:f>IF($M2152="","",TRIM(IF($M2152="Mineral",IF(ISNUMBER($N2152),"Mineral; basis Conv Amt(dec). ",IF($P2152=0,"Mineral; surface-only/reserved-&gt;0 min. ","Mineral; NO AMOUNT-verify instrument. ")),$M2152&amp;" (non-mineral; excluded from mineral NMA). ")&amp;IF(OR(ISNUMBER(SEARCH("public",$G2152)),ISNUMBER(SEARCH("public",$H2152))),"FLAG: The Public placeholder-verify. ","")&amp;IF(ISNUMBER(SEARCH("all",$L2152)),"All-section coverage. ","")&amp;IF($O2152=0,"Gross acres unresolved. ","")&amp;"Gross=tract-map basis."))</x:f>
        <x:v>other (non-mineral; excluded from mineral NMA). All-section coverage. Gross=tract-map basis.</x:v>
      </x:c>
      <x:c r="T2152" s="577" t="n"/>
      <x:c r="U2152" s="578" t="n"/>
      <x:c r="V2152" s="565" t="n"/>
      <x:c r="W2152" s="565" t="n"/>
      <x:c r="X2152" s="565" t="n"/>
      <x:c r="Y2152" s="565" t="n"/>
      <x:c r="Z2152" s="565" t="n"/>
    </x:row>
    <x:row r="2153">
      <x:c r="A2153" s="552" t="inlineStr">
        <x:is>
          <x:t xml:space="preserve">2023-003598</x:t>
        </x:is>
      </x:c>
      <x:c r="B2153" s="552" t="n"/>
      <x:c r="C2153" s="552" t="inlineStr">
        <x:is>
          <x:t xml:space="preserve">Amendment</x:t>
        </x:is>
      </x:c>
      <x:c r="D2153" s="552" t="inlineStr">
        <x:is>
          <x:t xml:space="preserve">2546/1</x:t>
        </x:is>
      </x:c>
      <x:c r="E2153" s="653" t="n">
        <x:v>45250</x:v>
      </x:c>
      <x:c r="F2153" s="653" t="n">
        <x:v>45250</x:v>
      </x:c>
      <x:c r="G2153" s="552" t="inlineStr">
        <x:is>
          <x:t xml:space="preserve">Unbridled Resources, LLC</x:t>
        </x:is>
      </x:c>
      <x:c r="H2153" s="552" t="inlineStr">
        <x:is>
          <x:t xml:space="preserve">JPMorgan Chase Bank</x:t>
        </x:is>
      </x:c>
      <x:c r="I2153" s="552" t="inlineStr">
        <x:is>
          <x:t xml:space="preserve">All of 31-12N-24W, aol</x:t>
        </x:is>
      </x:c>
      <x:c r="J2153" s="552" t="inlineStr">
        <x:is>
          <x:t xml:space="preserve">FINANCING STATEMENT</x:t>
        </x:is>
      </x:c>
      <x:c r="K2153" s="554" t="e">
        <x:f>HYPERLINK("https://okcountyrecords.com/detail/roger+mills/2023-003598","63e8b9a8d056433a9994fe46ca85076b.pdf | OKCountyRecords: 2023-003598")</x:f>
      </x:c>
      <x:c r="L2153" s="552" t="inlineStr">
        <x:is>
          <x:t xml:space="preserve">All (1-8)</x:t>
        </x:is>
      </x:c>
      <x:c r="M2153" s="552" t="inlineStr">
        <x:is>
          <x:t xml:space="preserve">other</x:t>
        </x:is>
      </x:c>
      <x:c r="N2153" s="555" t="n"/>
      <x:c r="O2153" s="556" t="n">
        <x:f>IF($L2153="","",IF(ISNUMBER(SEARCH("all",$L2153)),640,(ISNUMBER(SEARCH("1",$L2153)))*80+(ISNUMBER(SEARCH("2",$L2153)))*160+(ISNUMBER(SEARCH("3",$L2153)))*40+(ISNUMBER(SEARCH("4",$L2153)))*80+(ISNUMBER(SEARCH("5",$L2153)))*120+(ISNUMBER(SEARCH("6",$L2153)))*80+(ISNUMBER(SEARCH("7",$L2153)))*40+(ISNUMBER(SEARCH("8",$L2153)))*40))</x:f>
        <x:v>640</x:v>
      </x:c>
      <x:c r="P2153" s="654" t="str">
        <x:f>IF($M2153&lt;&gt;"Mineral","",IF(ISNUMBER($N2153),$N2153,IF(OR(ISNUMBER(SEARCH("surface",$J2153)),ISNUMBER(SEARCH("reserv",$J2153)),ISNUMBER(SEARCH("less and except",$J2153))),0,"")))</x:f>
      </x:c>
      <x:c r="Q2153" s="654" t="str">
        <x:f>IF($P2153="","",-$P2153)</x:f>
      </x:c>
      <x:c r="R2153" s="655" t="str">
        <x:f>IF($P2153="","",$O2153*$P2153)</x:f>
      </x:c>
      <x:c r="S2153" s="552" t="str">
        <x:f>IF($M2153="","",TRIM(IF($M2153="Mineral",IF(ISNUMBER($N2153),"Mineral; basis Conv Amt(dec). ",IF($P2153=0,"Mineral; surface-only/reserved-&gt;0 min. ","Mineral; NO AMOUNT-verify instrument. ")),$M2153&amp;" (non-mineral; excluded from mineral NMA). ")&amp;IF(OR(ISNUMBER(SEARCH("public",$G2153)),ISNUMBER(SEARCH("public",$H2153))),"FLAG: The Public placeholder-verify. ","")&amp;IF(ISNUMBER(SEARCH("all",$L2153)),"All-section coverage. ","")&amp;IF($O2153=0,"Gross acres unresolved. ","")&amp;"Gross=tract-map basis."))</x:f>
        <x:v>other (non-mineral; excluded from mineral NMA). All-section coverage. Gross=tract-map basis.</x:v>
      </x:c>
      <x:c r="T2153" s="577" t="n"/>
      <x:c r="U2153" s="578" t="n"/>
      <x:c r="V2153" s="565" t="n"/>
      <x:c r="W2153" s="565" t="n"/>
      <x:c r="X2153" s="565" t="n"/>
      <x:c r="Y2153" s="565" t="n"/>
      <x:c r="Z2153" s="565" t="n"/>
    </x:row>
    <x:row r="2154">
      <x:c r="A2154" s="552" t="inlineStr">
        <x:is>
          <x:t xml:space="preserve">2024-001313</x:t>
        </x:is>
      </x:c>
      <x:c r="B2154" s="552" t="n"/>
      <x:c r="C2154" s="552" t="inlineStr">
        <x:is>
          <x:t xml:space="preserve">Change of Address</x:t>
        </x:is>
      </x:c>
      <x:c r="D2154" s="552" t="inlineStr">
        <x:is>
          <x:t xml:space="preserve">2561/142</x:t>
        </x:is>
      </x:c>
      <x:c r="E2154" s="653" t="n">
        <x:v>45359</x:v>
      </x:c>
      <x:c r="F2154" s="653" t="n">
        <x:v>45365</x:v>
      </x:c>
      <x:c r="G2154" s="552" t="inlineStr">
        <x:is>
          <x:t xml:space="preserve">Paul R. Deutsch,
Deborah A. Deutsch</x:t>
        </x:is>
      </x:c>
      <x:c r="H2154" s="552" t="inlineStr">
        <x:is>
          <x:t xml:space="preserve">The Public</x:t>
        </x:is>
      </x:c>
      <x:c r="I2154" s="552" t="inlineStr">
        <x:is>
          <x:t xml:space="preserve">SW/4 NE/4, NW/4 SE/4, S/2 SE/4 of 31-12N-24W, aol</x:t>
        </x:is>
      </x:c>
      <x:c r="J2154" s="552" t="inlineStr">
        <x:is>
          <x:t xml:space="preserve">New Address: 7828 NW 124th St
Kansas City, MO 64163</x:t>
        </x:is>
      </x:c>
      <x:c r="K2154" s="554" t="e">
        <x:f>HYPERLINK("https://okcountyrecords.com/detail/roger+mills/2024-001313/31623586","OKCountyRecords: 2024-001313")</x:f>
      </x:c>
      <x:c r="L2154" s="552" t="n">
        <x:v>2</x:v>
      </x:c>
      <x:c r="M2154" s="552" t="inlineStr">
        <x:is>
          <x:t xml:space="preserve">Other</x:t>
        </x:is>
      </x:c>
      <x:c r="N2154" s="555" t="n"/>
      <x:c r="O2154" s="556" t="n">
        <x:f>IF($L2154="","",IF(ISNUMBER(SEARCH("all",$L2154)),640,(ISNUMBER(SEARCH("1",$L2154)))*80+(ISNUMBER(SEARCH("2",$L2154)))*160+(ISNUMBER(SEARCH("3",$L2154)))*40+(ISNUMBER(SEARCH("4",$L2154)))*80+(ISNUMBER(SEARCH("5",$L2154)))*120+(ISNUMBER(SEARCH("6",$L2154)))*80+(ISNUMBER(SEARCH("7",$L2154)))*40+(ISNUMBER(SEARCH("8",$L2154)))*40))</x:f>
        <x:v>0</x:v>
      </x:c>
      <x:c r="P2154" s="654" t="str">
        <x:f>IF($M2154&lt;&gt;"Mineral","",IF(ISNUMBER($N2154),$N2154,IF(OR(ISNUMBER(SEARCH("surface",$J2154)),ISNUMBER(SEARCH("reserv",$J2154)),ISNUMBER(SEARCH("less and except",$J2154))),0,"")))</x:f>
      </x:c>
      <x:c r="Q2154" s="654" t="str">
        <x:f>IF($P2154="","",-$P2154)</x:f>
      </x:c>
      <x:c r="R2154" s="655" t="str">
        <x:f>IF($P2154="","",$O2154*$P2154)</x:f>
      </x:c>
      <x:c r="S2154" s="552" t="inlineStr">
        <x:is>
          <x:t xml:space="preserve">Other (non-mineral; excluded from mineral NMA). Gross=tract-map basis.</x:t>
        </x:is>
      </x:c>
      <x:c r="T2154" s="577" t="inlineStr">
        <x:is>
          <x:t xml:space="preserve">OK</x:t>
        </x:is>
      </x:c>
      <x:c r="U2154" s="578" t="inlineStr">
        <x:is>
          <x:t xml:space="preserve">Non-conveying — notice/affidavit/address change (The Public).</x:t>
        </x:is>
      </x:c>
      <x:c r="V2154" s="565" t="n"/>
      <x:c r="W2154" s="565" t="n"/>
      <x:c r="X2154" s="565" t="n"/>
      <x:c r="Y2154" s="565" t="n"/>
      <x:c r="Z2154" s="565" t="n"/>
    </x:row>
    <x:row r="2155">
      <x:c r="A2155" s="552" t="inlineStr">
        <x:is>
          <x:t xml:space="preserve">2024-002310</x:t>
        </x:is>
      </x:c>
      <x:c r="B2155" s="552" t="n">
        <x:v>67</x:v>
      </x:c>
      <x:c r="C2155" s="552" t="inlineStr">
        <x:is>
          <x:t xml:space="preserve">Assignment</x:t>
        </x:is>
      </x:c>
      <x:c r="D2155" s="563" t="inlineStr">
        <x:is>
          <x:t xml:space="preserve">2567/102</x:t>
        </x:is>
      </x:c>
      <x:c r="E2155" s="653" t="n">
        <x:v>45391</x:v>
      </x:c>
      <x:c r="F2155" s="653" t="n">
        <x:v>45401</x:v>
      </x:c>
      <x:c r="G2155" s="552" t="inlineStr">
        <x:is>
          <x:t xml:space="preserve">Yale Oil Association, Inc.</x:t>
        </x:is>
      </x:c>
      <x:c r="H2155" s="552" t="inlineStr">
        <x:is>
          <x:t xml:space="preserve">K. C. Production, LLC</x:t>
        </x:is>
      </x:c>
      <x:c r="I2155" s="552" t="inlineStr">
        <x:is>
          <x:t xml:space="preserve">All of 31-12N-24W, aol</x:t>
        </x:is>
      </x:c>
      <x:c r="J2155" s="552" t="inlineStr">
        <x:is>
          <x:t xml:space="preserve">Transfers leasehold/WI in chain</x:t>
        </x:is>
      </x:c>
      <x:c r="K2155" s="554" t="e">
        <x:f>HYPERLINK("https://okcountyrecords.com/detail/roger+mills/2024-002310","63e8b9a8d056433a9994fe46ca85076b.pdf | OKCountyRecords: 2024-002310")</x:f>
      </x:c>
      <x:c r="L2155" s="552" t="inlineStr">
        <x:is>
          <x:t xml:space="preserve">All (1-8)</x:t>
        </x:is>
      </x:c>
      <x:c r="M2155" s="552" t="inlineStr">
        <x:is>
          <x:t xml:space="preserve">Leasehold</x:t>
        </x:is>
      </x:c>
      <x:c r="N2155" s="555" t="n"/>
      <x:c r="O2155" s="556" t="n">
        <x:f>IF($L2155="","",IF(ISNUMBER(SEARCH("all",$L2155)),640,(ISNUMBER(SEARCH("1",$L2155)))*80+(ISNUMBER(SEARCH("2",$L2155)))*160+(ISNUMBER(SEARCH("3",$L2155)))*40+(ISNUMBER(SEARCH("4",$L2155)))*80+(ISNUMBER(SEARCH("5",$L2155)))*120+(ISNUMBER(SEARCH("6",$L2155)))*80+(ISNUMBER(SEARCH("7",$L2155)))*40+(ISNUMBER(SEARCH("8",$L2155)))*40))</x:f>
        <x:v>640</x:v>
      </x:c>
      <x:c r="P2155" s="654" t="str">
        <x:f>IF($M2155&lt;&gt;"Mineral","",IF(ISNUMBER($N2155),$N2155,IF(OR(ISNUMBER(SEARCH("surface",$J2155)),ISNUMBER(SEARCH("reserv",$J2155)),ISNUMBER(SEARCH("less and except",$J2155))),0,"")))</x:f>
      </x:c>
      <x:c r="Q2155" s="654" t="str">
        <x:f>IF($P2155="","",-$P2155)</x:f>
      </x:c>
      <x:c r="R2155" s="655" t="str">
        <x:f>IF($P2155="","",$O2155*$P2155)</x:f>
      </x:c>
      <x:c r="S2155" s="552" t="str">
        <x:f>IF($M2155="","",TRIM(IF($M2155="Mineral",IF(ISNUMBER($N2155),"Mineral; basis Conv Amt(dec). ",IF($P2155=0,"Mineral; surface-only/reserved-&gt;0 min. ","Mineral; NO AMOUNT-verify instrument. ")),$M2155&amp;" (non-mineral; excluded from mineral NMA). ")&amp;IF(OR(ISNUMBER(SEARCH("public",$G2155)),ISNUMBER(SEARCH("public",$H2155))),"FLAG: The Public placeholder-verify. ","")&amp;IF(ISNUMBER(SEARCH("all",$L2155)),"All-section coverage. ","")&amp;IF($O2155=0,"Gross acres unresolved. ","")&amp;"Gross=tract-map basis."))</x:f>
        <x:v>Leasehold (non-mineral; excluded from mineral NMA). All-section coverage. Gross=tract-map basis.</x:v>
      </x:c>
      <x:c r="T2155" s="577" t="n"/>
      <x:c r="U2155" s="578" t="n"/>
      <x:c r="V2155" s="565" t="n"/>
      <x:c r="W2155" s="565" t="n"/>
      <x:c r="X2155" s="565" t="n"/>
      <x:c r="Y2155" s="565" t="n"/>
      <x:c r="Z2155" s="565" t="n"/>
    </x:row>
    <x:row r="2156">
      <x:c r="A2156" s="552" t="inlineStr">
        <x:is>
          <x:t xml:space="preserve">2024-003107</x:t>
        </x:is>
      </x:c>
      <x:c r="B2156" s="552" t="n">
        <x:v>68</x:v>
      </x:c>
      <x:c r="C2156" s="552" t="inlineStr">
        <x:is>
          <x:t xml:space="preserve">Assignment</x:t>
        </x:is>
      </x:c>
      <x:c r="D2156" s="563" t="inlineStr">
        <x:is>
          <x:t xml:space="preserve">2571/579</x:t>
        </x:is>
      </x:c>
      <x:c r="E2156" s="653" t="n">
        <x:v>45399</x:v>
      </x:c>
      <x:c r="F2156" s="653" t="n">
        <x:v>45432</x:v>
      </x:c>
      <x:c r="G2156" s="552" t="inlineStr">
        <x:is>
          <x:t xml:space="preserve">Yale Oil Association, Inc.</x:t>
        </x:is>
      </x:c>
      <x:c r="H2156" s="552" t="inlineStr">
        <x:is>
          <x:t xml:space="preserve">Greg, et al Cdx</x:t>
        </x:is>
      </x:c>
      <x:c r="I2156" s="552" t="inlineStr">
        <x:is>
          <x:t xml:space="preserve">All of 31-12N-24W, aol</x:t>
        </x:is>
      </x:c>
      <x:c r="J2156" s="552" t="inlineStr">
        <x:is>
          <x:t xml:space="preserve">Transfers leasehold/WI in chain</x:t>
        </x:is>
      </x:c>
      <x:c r="K2156" s="554" t="e">
        <x:f>HYPERLINK("https://okcountyrecords.com/detail/roger+mills/2024-003107","63e8b9a8d056433a9994fe46ca85076b.pdf | OKCountyRecords: 2024-003107")</x:f>
      </x:c>
      <x:c r="L2156" s="552" t="inlineStr">
        <x:is>
          <x:t xml:space="preserve">All (1-8)</x:t>
        </x:is>
      </x:c>
      <x:c r="M2156" s="552" t="inlineStr">
        <x:is>
          <x:t xml:space="preserve">Leasehold</x:t>
        </x:is>
      </x:c>
      <x:c r="N2156" s="555" t="n"/>
      <x:c r="O2156" s="556" t="n">
        <x:f>IF($L2156="","",IF(ISNUMBER(SEARCH("all",$L2156)),640,(ISNUMBER(SEARCH("1",$L2156)))*80+(ISNUMBER(SEARCH("2",$L2156)))*160+(ISNUMBER(SEARCH("3",$L2156)))*40+(ISNUMBER(SEARCH("4",$L2156)))*80+(ISNUMBER(SEARCH("5",$L2156)))*120+(ISNUMBER(SEARCH("6",$L2156)))*80+(ISNUMBER(SEARCH("7",$L2156)))*40+(ISNUMBER(SEARCH("8",$L2156)))*40))</x:f>
        <x:v>640</x:v>
      </x:c>
      <x:c r="P2156" s="654" t="str">
        <x:f>IF($M2156&lt;&gt;"Mineral","",IF(ISNUMBER($N2156),$N2156,IF(OR(ISNUMBER(SEARCH("surface",$J2156)),ISNUMBER(SEARCH("reserv",$J2156)),ISNUMBER(SEARCH("less and except",$J2156))),0,"")))</x:f>
      </x:c>
      <x:c r="Q2156" s="654" t="str">
        <x:f>IF($P2156="","",-$P2156)</x:f>
      </x:c>
      <x:c r="R2156" s="655" t="str">
        <x:f>IF($P2156="","",$O2156*$P2156)</x:f>
      </x:c>
      <x:c r="S2156" s="552" t="str">
        <x:f>IF($M2156="","",TRIM(IF($M2156="Mineral",IF(ISNUMBER($N2156),"Mineral; basis Conv Amt(dec). ",IF($P2156=0,"Mineral; surface-only/reserved-&gt;0 min. ","Mineral; NO AMOUNT-verify instrument. ")),$M2156&amp;" (non-mineral; excluded from mineral NMA). ")&amp;IF(OR(ISNUMBER(SEARCH("public",$G2156)),ISNUMBER(SEARCH("public",$H2156))),"FLAG: The Public placeholder-verify. ","")&amp;IF(ISNUMBER(SEARCH("all",$L2156)),"All-section coverage. ","")&amp;IF($O2156=0,"Gross acres unresolved. ","")&amp;"Gross=tract-map basis."))</x:f>
        <x:v>Leasehold (non-mineral; excluded from mineral NMA). All-section coverage. Gross=tract-map basis.</x:v>
      </x:c>
      <x:c r="T2156" s="577" t="n"/>
      <x:c r="U2156" s="578" t="n"/>
      <x:c r="V2156" s="565" t="n"/>
      <x:c r="W2156" s="565" t="n"/>
      <x:c r="X2156" s="565" t="n"/>
      <x:c r="Y2156" s="565" t="n"/>
      <x:c r="Z2156" s="565" t="n"/>
    </x:row>
    <x:row r="2157">
      <x:c r="A2157" s="552" t="inlineStr">
        <x:is>
          <x:t xml:space="preserve">2024-007734</x:t>
        </x:is>
      </x:c>
      <x:c r="B2157" s="552" t="n">
        <x:v>61</x:v>
      </x:c>
      <x:c r="C2157" s="552" t="inlineStr">
        <x:is>
          <x:t xml:space="preserve">Assignment</x:t>
        </x:is>
      </x:c>
      <x:c r="D2157" s="552" t="inlineStr">
        <x:is>
          <x:t xml:space="preserve">2604/111</x:t>
        </x:is>
      </x:c>
      <x:c r="E2157" s="653" t="n">
        <x:v>45474</x:v>
      </x:c>
      <x:c r="F2157" s="653" t="n">
        <x:v>45642</x:v>
      </x:c>
      <x:c r="G2157" s="552" t="inlineStr">
        <x:is>
          <x:t xml:space="preserve">of the Gregg M. Satherlie Christopher D. Greene, Trustee,
Chelin H. Satherlie 1989 Rev Trust</x:t>
        </x:is>
      </x:c>
      <x:c r="H2157" s="552" t="inlineStr">
        <x:is>
          <x:t xml:space="preserve">Trison Holdings, LLC</x:t>
        </x:is>
      </x:c>
      <x:c r="I2157" s="552" t="inlineStr">
        <x:is>
          <x:t xml:space="preserve">All of 31-12N-24W, aol</x:t>
        </x:is>
      </x:c>
      <x:c r="J2157" s="552" t="inlineStr">
        <x:is>
          <x:t xml:space="preserve">Leasehold assigned (chain)
Index row only reviewed. Assignment terms/interest not fully stated in index; full assignment image required to confirm leases, depths, burdens, and retained interests. | NEED: verify garbled OCR party text against instrument image</x:t>
        </x:is>
      </x:c>
      <x:c r="K2157" s="554" t="e">
        <x:f>HYPERLINK("https://okcountyrecords.com/detail/roger+mills/2024-007734/33733683","OKCountyRecords: 2024-007734")</x:f>
      </x:c>
      <x:c r="L2157" s="552" t="inlineStr">
        <x:is>
          <x:t xml:space="preserve">All (1-8)</x:t>
        </x:is>
      </x:c>
      <x:c r="M2157" s="552" t="inlineStr">
        <x:is>
          <x:t xml:space="preserve">Leasehold</x:t>
        </x:is>
      </x:c>
      <x:c r="N2157" s="555" t="n"/>
      <x:c r="O2157" s="556" t="n">
        <x:f>IF($L2157="","",IF(ISNUMBER(SEARCH("all",$L2157)),640,(ISNUMBER(SEARCH("1",$L2157)))*80+(ISNUMBER(SEARCH("2",$L2157)))*160+(ISNUMBER(SEARCH("3",$L2157)))*40+(ISNUMBER(SEARCH("4",$L2157)))*80+(ISNUMBER(SEARCH("5",$L2157)))*120+(ISNUMBER(SEARCH("6",$L2157)))*80+(ISNUMBER(SEARCH("7",$L2157)))*40+(ISNUMBER(SEARCH("8",$L2157)))*40))</x:f>
        <x:v>640</x:v>
      </x:c>
      <x:c r="P2157" s="654" t="str">
        <x:f>IF($M2157&lt;&gt;"Mineral","",IF(ISNUMBER($N2157),$N2157,IF(OR(ISNUMBER(SEARCH("surface",$J2157)),ISNUMBER(SEARCH("reserv",$J2157)),ISNUMBER(SEARCH("less and except",$J2157))),0,"")))</x:f>
      </x:c>
      <x:c r="Q2157" s="654" t="str">
        <x:f>IF($P2157="","",-$P2157)</x:f>
      </x:c>
      <x:c r="R2157" s="655" t="str">
        <x:f>IF($P2157="","",$O2157*$P2157)</x:f>
      </x:c>
      <x:c r="S2157" s="552" t="str">
        <x:f>IF($M2157="","",TRIM(IF($M2157="Mineral",IF(ISNUMBER($N2157),"Mineral; basis Conv Amt(dec). ",IF($P2157=0,"Mineral; surface-only/reserved-&gt;0 min. ","Mineral; NO AMOUNT-verify instrument. ")),$M2157&amp;" (non-mineral; excluded from mineral NMA). ")&amp;IF(OR(ISNUMBER(SEARCH("public",$G2157)),ISNUMBER(SEARCH("public",$H2157))),"FLAG: The Public placeholder-verify. ","")&amp;IF(ISNUMBER(SEARCH("all",$L2157)),"All-section coverage. ","")&amp;IF($O2157=0,"Gross acres unresolved. ","")&amp;"Gross=tract-map basis."))</x:f>
        <x:v>Leasehold (non-mineral; excluded from mineral NMA). All-section coverage. Gross=tract-map basis.</x:v>
      </x:c>
      <x:c r="T2157" s="577" t="n"/>
      <x:c r="U2157" s="578" t="n"/>
      <x:c r="V2157" s="565" t="n"/>
      <x:c r="W2157" s="565" t="n"/>
      <x:c r="X2157" s="565" t="n"/>
      <x:c r="Y2157" s="565" t="n"/>
      <x:c r="Z2157" s="565" t="n"/>
    </x:row>
    <x:row r="2158">
      <x:c r="A2158" s="552" t="inlineStr">
        <x:is>
          <x:t xml:space="preserve">2024-007198</x:t>
        </x:is>
      </x:c>
      <x:c r="B2158" s="552" t="n">
        <x:v>70</x:v>
      </x:c>
      <x:c r="C2158" s="552" t="inlineStr">
        <x:is>
          <x:t xml:space="preserve">Conveyance</x:t>
        </x:is>
      </x:c>
      <x:c r="D2158" s="563" t="inlineStr">
        <x:is>
          <x:t xml:space="preserve">2599/463</x:t>
        </x:is>
      </x:c>
      <x:c r="E2158" s="653" t="n">
        <x:v>45588</x:v>
      </x:c>
      <x:c r="F2158" s="653" t="n">
        <x:v>45614</x:v>
      </x:c>
      <x:c r="G2158" s="552" t="inlineStr">
        <x:is>
          <x:t xml:space="preserve">Onigbe Consulting, LLC</x:t>
        </x:is>
      </x:c>
      <x:c r="H2158" s="552" t="inlineStr">
        <x:is>
          <x:t xml:space="preserve">(i) Comanche Oil &amp; Gas, Inc., an Oklahoma corporation (herein called "COG"),
whose address is 5030 N May Ave, Ste 341, Oklahoma City, OK 73112, in care of Kandletop
Operating, LLC, an Oklahoma limited liability company (herein called "Operator"), whose address
is 301 W. Britton Rd. #13190, Oklahoma City, OK 73113, an undivided twenty-six percent (26%)
of Grantor's interest, (ii) Redhawk Asset Series, LLC, an Oklahoma limited liability company
("RAS"), whose address is 1629 N. Marion Ave., Oklahoma City, OK 73106, in care of Operator,
an undivided twenty percent (20%) of Grantor's interest, (iii) Redhawk Resources -Fund II, LP, a
Texas limited partnership ("RRF"), whose address is 4131 N. Central Expwy, Ste. 900, Dallas,
Texas 75204, in care of Operator, an undivided ten percent (10%) of Grantor's interest, (iv) Rumrich,
LLC, an Oklahoma limited liability company ("Rumrich"), whose address is 6608 N. Western
Ave., Ste. 236, Oklahoma City, Oklahoma 73116, in care of Operator, an undivided ten percent
(10%) of Grantor's interest, and (v) Brr OK III, LLC, a Texas limited liability company ("BRR";
each of COG, RAS, RRF, Rumrich and Brr referred to herein collectively as, "Grantees"), whose
address is Po Box 6310, Edmond, OK 73083,</x:t>
        </x:is>
      </x:c>
      <x:c r="I2158" s="552" t="inlineStr">
        <x:is>
          <x:t xml:space="preserve">All of 31-12N-24W, aol</x:t>
        </x:is>
      </x:c>
      <x:c r="J2158" s="552" t="inlineStr">
        <x:is>
          <x:t xml:space="preserve">an undivided thirty-four percent (34%) of Grantor's interest,</x:t>
        </x:is>
      </x:c>
      <x:c r="K2158" s="554" t="e">
        <x:f>HYPERLINK("https://okcountyrecords.com/detail/roger+mills/2024-007198","63e8b9a8d056433a9994fe46ca85076b.pdf | OKCountyRecords: 2024-007198")</x:f>
      </x:c>
      <x:c r="L2158" s="552" t="inlineStr">
        <x:is>
          <x:t xml:space="preserve">All (1-8)</x:t>
        </x:is>
      </x:c>
      <x:c r="M2158" s="552" t="inlineStr">
        <x:is>
          <x:t xml:space="preserve">Mineral</x:t>
        </x:is>
      </x:c>
      <x:c r="N2158" s="555" t="n">
        <x:v>0.34</x:v>
      </x:c>
      <x:c r="O2158" s="556" t="n">
        <x:f>IF($L2158="","",IF(ISNUMBER(SEARCH("all",$L2158)),640,(ISNUMBER(SEARCH("1",$L2158)))*80+(ISNUMBER(SEARCH("2",$L2158)))*160+(ISNUMBER(SEARCH("3",$L2158)))*40+(ISNUMBER(SEARCH("4",$L2158)))*80+(ISNUMBER(SEARCH("5",$L2158)))*120+(ISNUMBER(SEARCH("6",$L2158)))*80+(ISNUMBER(SEARCH("7",$L2158)))*40+(ISNUMBER(SEARCH("8",$L2158)))*40))</x:f>
        <x:v>640</x:v>
      </x:c>
      <x:c r="P2158" s="654" t="n">
        <x:f>IF($M2158&lt;&gt;"Mineral","",IF(ISNUMBER($N2158),$N2158,IF(OR(ISNUMBER(SEARCH("surface",$J2158)),ISNUMBER(SEARCH("reserv",$J2158)),ISNUMBER(SEARCH("less and except",$J2158))),0,"")))</x:f>
        <x:v>0.34</x:v>
      </x:c>
      <x:c r="Q2158" s="654" t="n">
        <x:f>IF($P2158="","",-$P2158)</x:f>
        <x:v>-0.34</x:v>
      </x:c>
      <x:c r="R2158" s="655" t="n">
        <x:f>IF($P2158="","",$O2158*$P2158)</x:f>
        <x:v>217.60000000000002</x:v>
      </x:c>
      <x:c r="S2158" s="552" t="str">
        <x:f>IF($M2158="","",TRIM(IF($M2158="Mineral",IF(ISNUMBER($N2158),"Mineral; basis Conv Amt(dec). ",IF($P2158=0,"Mineral; surface-only/reserved-&gt;0 min. ","Mineral; VERIFY — NEED full instrument image for conveyed amount. ")),$M2158&amp;" (non-mineral; excluded from mineral NMA). ")&amp;IF(OR(ISNUMBER(SEARCH("public",$G2158)),ISNUMBER(SEARCH("public",$H2158))),"FLAG: The Public placeholder; VERIFY — NEED source confirmation. ","")&amp;IF(ISNUMBER(SEARCH("all",$L2158)),"All-section coverage. ","")&amp;IF($O2158=0,"Gross acres unresolved. ","")&amp;"Gross=tract-map basis."))</x:f>
        <x:v>Mineral; basis Conv Amt(dec). All-section coverage. Gross=tract-map basis.</x:v>
      </x:c>
      <x:c r="T2158" s="578" t="inlineStr">
        <x:is>
          <x:t xml:space="preserve">REVIEW</x:t>
        </x:is>
      </x:c>
      <x:c r="U2158" s="578" t="inlineStr">
        <x:is>
          <x:t xml:space="preserve">NEED: conveyed interest / decimal from instrument image</x:t>
        </x:is>
      </x:c>
      <x:c r="V2158" s="565" t="n"/>
      <x:c r="W2158" s="565" t="n"/>
      <x:c r="X2158" s="565" t="n"/>
      <x:c r="Y2158" s="565" t="n"/>
      <x:c r="Z2158" s="565" t="n"/>
    </x:row>
    <x:row r="2159">
      <x:c r="A2159" s="552" t="inlineStr">
        <x:is>
          <x:t xml:space="preserve">2024-007203</x:t>
        </x:is>
      </x:c>
      <x:c r="B2159" s="552" t="n">
        <x:v>71</x:v>
      </x:c>
      <x:c r="C2159" s="552" t="inlineStr">
        <x:is>
          <x:t xml:space="preserve">Affidavit of Merger</x:t>
        </x:is>
      </x:c>
      <x:c r="D2159" s="563" t="inlineStr">
        <x:is>
          <x:t xml:space="preserve">2599/505</x:t>
        </x:is>
      </x:c>
      <x:c r="E2159" s="653" t="n">
        <x:v>45589</x:v>
      </x:c>
      <x:c r="F2159" s="653" t="n">
        <x:v>45614</x:v>
      </x:c>
      <x:c r="G2159" s="552" t="inlineStr">
        <x:is>
          <x:t xml:space="preserve">Cameron Brown, Chief Executive Officer of Pressburg, LLC, a Delaware limited liability
company ("Pressburg"), and as Chief Executive Officer of Citizen Energy Operating, LLC, a
Delaware limited liability company ("CEO"), and as Chief Executive Officer of Blue Mountain
Midstream, LLC, a Delaware limited liability company ("BMM"), and as Chief Executive Officer
of Validus Energy II Midcon, LLC, a Delaware limited liability company ("Validus II"),
(collectively, the "Validus Entities")</x:t>
        </x:is>
      </x:c>
      <x:c r="H2159" s="552" t="inlineStr">
        <x:is>
          <x:t xml:space="preserve">The Public</x:t>
        </x:is>
      </x:c>
      <x:c r="I2159" s="552" t="inlineStr">
        <x:is>
          <x:t xml:space="preserve">All of 31-12N-24W, aol</x:t>
        </x:is>
      </x:c>
      <x:c r="J2159" s="552" t="inlineStr">
        <x:is>
          <x:t xml:space="preserve">Effective as of October 24, 2024, Citizen Linn Holdco, LLC, a Delaware limited liability company (“Citizen-Linn"), merged with and into Pressburg, with Pressburg continuing as the surviving entity, in accordance with Section 18-209 of the Limited Liability Company Act of the State of Delaware. Attached hereto as Exhibit “A” is a true and correct copy of the Certificate of Merger certified by the Secretary of State of the State of Delaware evidencing the merger of Citizen-Linn with and into Pressburg (the "Citizen-LinnPressburg Merger"). Effective as of October 24, 2024, Roan Holdings Holdco, LLC, a Delaware limited liability company ("Roan Holdings"), merged with and into Pressburg, with Pressburg continuing as the surviving entity, in accordance with Section 18-209 of the Limited Liability Company Act of the State of Delaware. Attached hereto as Exhibit “B” is a true and correct copy of the Certificate of Merger certified by the Secretary of State ofthe State of Delaware evidencing the merger of Roan Holdings with and into Pressburg (the "Roan HoldingsPressburg Merger"). Effective as of October 24, 2024, Citizen Energy III, LLC, a Delaware limited liability company ("CE3"), merged with and into CEO, with CEO continuing as the surviving entity, in accordance with Section 18-209 of the Limited Liability Company Act of the State of Delaware. Attached hereto as Exhibit “C" is a true and correct copy of the Certificate of Merger certified by the Secretary of State of the State of Delaware evidencing the merger of CE3 with and into CEO (the “CE3-CEO Merger"). Fee: $725.00 Doc: $0.00 Jymay McLeod - Roger Mills County Clerk State of OK Effective as of October 24, 2024, Rheinbund, LLC, a Delaware limited liability company ("Rheinbund"), merged with and into BMM, with BMM continuing as the surviving entity, in accordance with Section 18-209 of the Limited Liability Company Act of the State of Delaware. Attached hereto as Exhibit "D" is a true and correct copy of the Certificate of Merger certified by the Secretary of State ofthe State of Delaware evidencing the merger of Rheinbund with and into BMM (the “Rheinbund-BMM Merger"). Effective as of October 24, 2024, Pressburg, merged with and into CEO, with CEO continuing as the surviving entity, in accordance with Section 18-209 of the Limited Liability Company Act of the State of Delaware. Attached hereto as Exhibit “E” is a true and correct copy of the Certificate of Merger certified by the Secretary of State of the State of Delaware evidencing the merger of Pressburg with and into CEO (the "Pressburg-CEO Merger").
Effective as of October 24, 2024, CEO, merged with and into Validus II, with Validus continuing as the surviving entity, in accordance with Section 18-209 of the Limited Liability Company Act of the State of Delaware. Attached hereto as Exhibit "F" is a true and correct copy of the Certificate of Merger certified by the Secretary of State of the State of Delaware evidencing the merger of CEO with and into Validus II (the “CEO-Validus II Merger").
Effective as of October 24, 2024, Citizen Consols, LLC, a Delaware limited liability company (“Consols"), merged with and into BMM, with BMM continuing as the surviving entity, in accordance with Section 18-209 of the Limited Liability Company Act of the State of Delaware. Attached hereto as Exhibit "G" is a true and correct copy of the Certificate of Merger certified by the Secretary of State ofthe State of Delaware evidencing the merger of Consols with and into BMM (the “Consols-BMM Merger").
9. Effective as of October 24, 2024, EHVI Exploration, LLC, an Oklahoma limited liability company (“EHVI"), merged with and into Validus II, with Validus II continuing as the surviving entity, in accordance with Section 18-2054(C) of the Oklahoma Limited Liability Company Act of the State of Oklahoma. Attached hereto as Exhibit "H" is a true and correct copy of the Certificate of Merger certified by the Secretary of State of the State of Oklahoma evidencing the merger of EHVI with and into Validus II (the "EHVI-Validus II Merger" and, together with the Citizen-Linn-Pressburg Merger, the Roan HoldingsPressburg Merger, the CE3-CEO Merger, the Rheinbund-BMM Merger, the PressburgCEO Merger, the CEO-Validus II Merger, and the Consols-BMM Merger, each, "Merger" and collectively, the "Mergers").
Upon consummation of the Mergers, all right, title and interest in any and all oil and gas wells ("Wells"), oil and gas leases ("Leases"), and oil and gas minerals covering the wells and interests ("Mineral Interests") located in the lands as described in Exhibit "I" attached hereto and incorporated herein, were conveyed in their entirety to the surviving entity of each respective Merger.
This Affidavit is given for the purpose of placing of record each Certificate of Merger to give notice to all persons of the occurrence of the Mergers. This Affidavit may be executed in several counterparts, all of which are identical, except that, to facilitate recordation, certain counterparts hereof may include only that portion of Exhibit "I" which describes the lands in which the Wells, Leases and Mineral Interests located in (or otherwise subject to the recording or filing requirements or protections ofthe recording or filing acts or regulations of) the recording jurisdiction in which the particular counterpart is to be recorded. All of the counterparts hereof together shall constitute one and the same instrument. Complete copies of this Affidavit containing the entirety of Exhibit "I" have been retained by the Affiant, in his capacity as an officer of each of the respective Validus Entities.</x:t>
        </x:is>
      </x:c>
      <x:c r="K2159" s="554" t="e">
        <x:f>HYPERLINK("https://okcountyrecords.com/detail/roger+mills/2024-007203","63e8b9a8d056433a9994fe46ca85076b.pdf | OKCountyRecords: 2024-007203")</x:f>
      </x:c>
      <x:c r="L2159" s="552" t="inlineStr">
        <x:is>
          <x:t xml:space="preserve">All (1-8)</x:t>
        </x:is>
      </x:c>
      <x:c r="M2159" s="552" t="inlineStr">
        <x:is>
          <x:t xml:space="preserve">Mineral</x:t>
        </x:is>
      </x:c>
      <x:c r="N2159" s="555" t="n"/>
      <x:c r="O2159" s="556" t="n">
        <x:f>IF($L2159="","",IF(ISNUMBER(SEARCH("all",$L2159)),640,(ISNUMBER(SEARCH("1",$L2159)))*80+(ISNUMBER(SEARCH("2",$L2159)))*160+(ISNUMBER(SEARCH("3",$L2159)))*40+(ISNUMBER(SEARCH("4",$L2159)))*80+(ISNUMBER(SEARCH("5",$L2159)))*120+(ISNUMBER(SEARCH("6",$L2159)))*80+(ISNUMBER(SEARCH("7",$L2159)))*40+(ISNUMBER(SEARCH("8",$L2159)))*40))</x:f>
        <x:v>640</x:v>
      </x:c>
      <x:c r="P2159" s="654" t="str">
        <x:f>IF($M2159&lt;&gt;"Mineral","",IF(ISNUMBER($N2159),$N2159,IF(OR(ISNUMBER(SEARCH("surface",$J2159)),ISNUMBER(SEARCH("reserv",$J2159)),ISNUMBER(SEARCH("less and except",$J2159))),0,"")))</x:f>
      </x:c>
      <x:c r="Q2159" s="654" t="str">
        <x:f>IF($P2159="","",-$P2159)</x:f>
      </x:c>
      <x:c r="R2159" s="655" t="str">
        <x:f>IF($P2159="","",$O2159*$P2159)</x:f>
      </x:c>
      <x:c r="S2159" s="552" t="inlineStr">
        <x:is>
          <x:t xml:space="preserve">Mineral; basis Conv Amt(dec). All-section coverage. Gross=tract-map basis.</x:t>
        </x:is>
      </x:c>
      <x:c r="T2159" s="578" t="inlineStr">
        <x:is>
          <x:t xml:space="preserve">OK</x:t>
        </x:is>
      </x:c>
      <x:c r="U2159" s="578" t="inlineStr">
        <x:is>
          <x:t xml:space="preserve">Non-conveying per The Public rule; Validus merger affidavit notice (verify if operative deed exists).</x:t>
        </x:is>
      </x:c>
      <x:c r="V2159" s="565" t="n"/>
      <x:c r="W2159" s="565" t="n"/>
      <x:c r="X2159" s="565" t="n"/>
      <x:c r="Y2159" s="565" t="n"/>
      <x:c r="Z2159" s="565" t="n"/>
    </x:row>
    <x:row r="2160">
      <x:c r="A2160" s="552" t="inlineStr">
        <x:is>
          <x:t xml:space="preserve">2024-007338</x:t>
        </x:is>
      </x:c>
      <x:c r="B2160" s="552" t="n"/>
      <x:c r="C2160" s="552" t="inlineStr">
        <x:is>
          <x:t xml:space="preserve">Mineral Deed</x:t>
        </x:is>
      </x:c>
      <x:c r="D2160" s="552" t="inlineStr">
        <x:is>
          <x:t xml:space="preserve">2600/472</x:t>
        </x:is>
      </x:c>
      <x:c r="E2160" s="653" t="n">
        <x:v>45608</x:v>
      </x:c>
      <x:c r="F2160" s="653" t="n">
        <x:v>45621</x:v>
      </x:c>
      <x:c r="G2160" s="552" t="inlineStr">
        <x:is>
          <x:t xml:space="preserve">Carrie Leeann Mitchell</x:t>
        </x:is>
      </x:c>
      <x:c r="H2160" s="552" t="inlineStr">
        <x:is>
          <x:t xml:space="preserve">James Gerard Buonaccorsi,
Mitchell-Buonaccorsi Living Trust,
Carrie Leeann Mitchell, Trustee</x:t>
        </x:is>
      </x:c>
      <x:c r="I2160" s="552" t="inlineStr">
        <x:is>
          <x:t xml:space="preserve">All of 31-12N-24W, aol</x:t>
        </x:is>
      </x:c>
      <x:c r="J2160" s="552" t="inlineStr">
        <x:is>
          <x:t xml:space="preserve">ARTI</x:t>
        </x:is>
      </x:c>
      <x:c r="K2160" s="554" t="e">
        <x:f>HYPERLINK("https://okcountyrecords.com/detail/roger+mills/2024-007338/32904065","OKCountyRecords: 2024-007338")</x:f>
      </x:c>
      <x:c r="L2160" s="552" t="inlineStr">
        <x:is>
          <x:t xml:space="preserve">All (1-8)</x:t>
        </x:is>
      </x:c>
      <x:c r="M2160" s="552" t="inlineStr">
        <x:is>
          <x:t xml:space="preserve">Mineral</x:t>
        </x:is>
      </x:c>
      <x:c r="N2160" s="555" t="n">
        <x:v>1</x:v>
      </x:c>
      <x:c r="O2160" s="556" t="n">
        <x:f>IF($L2160="","",IF(ISNUMBER(SEARCH("all",$L2160)),640,(ISNUMBER(SEARCH("1",$L2160)))*80+(ISNUMBER(SEARCH("2",$L2160)))*160+(ISNUMBER(SEARCH("3",$L2160)))*40+(ISNUMBER(SEARCH("4",$L2160)))*80+(ISNUMBER(SEARCH("5",$L2160)))*120+(ISNUMBER(SEARCH("6",$L2160)))*80+(ISNUMBER(SEARCH("7",$L2160)))*40+(ISNUMBER(SEARCH("8",$L2160)))*40))</x:f>
        <x:v>640</x:v>
      </x:c>
      <x:c r="P2160" s="654" t="n">
        <x:f>IF($M2160&lt;&gt;"Mineral","",IF(ISNUMBER($N2160),$N2160,IF(OR(ISNUMBER(SEARCH("surface",$J2160)),ISNUMBER(SEARCH("reserv",$J2160)),ISNUMBER(SEARCH("less and except",$J2160))),0,"")))</x:f>
        <x:v>1</x:v>
      </x:c>
      <x:c r="Q2160" s="654" t="n">
        <x:f>IF($P2160="","",-$P2160)</x:f>
        <x:v>-1</x:v>
      </x:c>
      <x:c r="R2160" s="655" t="n">
        <x:f>IF($P2160="","",$O2160*$P2160)</x:f>
        <x:v>640</x:v>
      </x:c>
      <x:c r="S2160" s="552" t="str">
        <x:f>IF($M2160="","",TRIM(IF($M2160="Mineral",IF(ISNUMBER($N2160),"Mineral; basis Conv Amt(dec). ",IF($P2160=0,"Mineral; surface-only/reserved-&gt;0 min. ","Mineral; NO AMOUNT-verify instrument. ")),$M2160&amp;" (non-mineral; excluded from mineral NMA). ")&amp;IF(OR(ISNUMBER(SEARCH("public",$G2160)),ISNUMBER(SEARCH("public",$H2160))),"FLAG: The Public placeholder-verify. ","")&amp;IF(ISNUMBER(SEARCH("all",$L2160)),"All-section coverage. ","")&amp;IF($O2160=0,"Gross acres unresolved. ","")&amp;"Gross=tract-map basis."))</x:f>
        <x:v>Mineral; basis Conv Amt(dec). All-section coverage. Gross=tract-map basis.</x:v>
      </x:c>
      <x:c r="T2160" s="577" t="n"/>
      <x:c r="U2160" s="578" t="n"/>
      <x:c r="V2160" s="565" t="n"/>
      <x:c r="W2160" s="565" t="n"/>
      <x:c r="X2160" s="565" t="n"/>
      <x:c r="Y2160" s="565" t="n"/>
      <x:c r="Z2160" s="565" t="n"/>
    </x:row>
    <x:row r="2161">
      <x:c r="A2161" s="552" t="inlineStr">
        <x:is>
          <x:t xml:space="preserve">2025-000252</x:t>
        </x:is>
      </x:c>
      <x:c r="B2161" s="552" t="n"/>
      <x:c r="C2161" s="552" t="inlineStr">
        <x:is>
          <x:t xml:space="preserve">Correction to Assignment and Bill of Sale</x:t>
        </x:is>
      </x:c>
      <x:c r="D2161" s="552" t="inlineStr">
        <x:is>
          <x:t xml:space="preserve">2608/397</x:t>
        </x:is>
      </x:c>
      <x:c r="E2161" s="653" t="n">
        <x:v>45648</x:v>
      </x:c>
      <x:c r="F2161" s="653" t="n">
        <x:v>45672</x:v>
      </x:c>
      <x:c r="G2161" s="552" t="inlineStr">
        <x:is>
          <x:t xml:space="preserve">Fairway Resources III, LLC,
Fairway Resources Partners III Minerals, LLC</x:t>
        </x:is>
      </x:c>
      <x:c r="H2161" s="552" t="inlineStr">
        <x:is>
          <x:t xml:space="preserve">Mustang Fuel Corporation</x:t>
        </x:is>
      </x:c>
      <x:c r="I2161" s="552" t="inlineStr">
        <x:is>
          <x:t xml:space="preserve">All of 31-12N-24W, aol</x:t>
        </x:is>
      </x:c>
      <x:c r="J2161" s="552" t="inlineStr">
        <x:is>
          <x:t xml:space="preserve">ARTI</x:t>
        </x:is>
      </x:c>
      <x:c r="K2161" s="554" t="e">
        <x:f>HYPERLINK("https://okcountyrecords.com/detail/roger+mills/2025-000252","OKCountyRecords: 2025-000252")</x:f>
      </x:c>
      <x:c r="L2161" s="552" t="inlineStr">
        <x:is>
          <x:t xml:space="preserve">All (1-8)</x:t>
        </x:is>
      </x:c>
      <x:c r="M2161" s="552" t="inlineStr">
        <x:is>
          <x:t xml:space="preserve">Leasehold</x:t>
        </x:is>
      </x:c>
      <x:c r="N2161" s="555" t="n"/>
      <x:c r="O2161" s="556" t="n">
        <x:f>IF($L2161="","",IF(ISNUMBER(SEARCH("all",$L2161)),640,(ISNUMBER(SEARCH("1",$L2161)))*80+(ISNUMBER(SEARCH("2",$L2161)))*160+(ISNUMBER(SEARCH("3",$L2161)))*40+(ISNUMBER(SEARCH("4",$L2161)))*80+(ISNUMBER(SEARCH("5",$L2161)))*120+(ISNUMBER(SEARCH("6",$L2161)))*80+(ISNUMBER(SEARCH("7",$L2161)))*40+(ISNUMBER(SEARCH("8",$L2161)))*40))</x:f>
        <x:v>640</x:v>
      </x:c>
      <x:c r="P2161" s="654" t="str">
        <x:f>IF($M2161&lt;&gt;"Mineral","",IF(ISNUMBER($N2161),$N2161,IF(OR(ISNUMBER(SEARCH("surface",$J2161)),ISNUMBER(SEARCH("reserv",$J2161)),ISNUMBER(SEARCH("less and except",$J2161))),0,"")))</x:f>
      </x:c>
      <x:c r="Q2161" s="654" t="str">
        <x:f>IF($P2161="","",-$P2161)</x:f>
      </x:c>
      <x:c r="R2161" s="655" t="str">
        <x:f>IF($P2161="","",$O2161*$P2161)</x:f>
      </x:c>
      <x:c r="S2161" s="552" t="str">
        <x:f>IF($M2161="","",TRIM(IF($M2161="Mineral",IF(ISNUMBER($N2161),"Mineral; basis Conv Amt(dec). ",IF($P2161=0,"Mineral; surface-only/reserved-&gt;0 min. ","Mineral; NO AMOUNT-verify instrument. ")),$M2161&amp;" (non-mineral; excluded from mineral NMA). ")&amp;IF(OR(ISNUMBER(SEARCH("public",$G2161)),ISNUMBER(SEARCH("public",$H2161))),"FLAG: The Public placeholder-verify. ","")&amp;IF(ISNUMBER(SEARCH("all",$L2161)),"All-section coverage. ","")&amp;IF($O2161=0,"Gross acres unresolved. ","")&amp;"Gross=tract-map basis."))</x:f>
        <x:v>Leasehold (non-mineral; excluded from mineral NMA). All-section coverage. Gross=tract-map basis.</x:v>
      </x:c>
      <x:c r="T2161" s="577" t="n"/>
      <x:c r="U2161" s="578" t="n"/>
      <x:c r="V2161" s="565" t="n"/>
      <x:c r="W2161" s="565" t="n"/>
      <x:c r="X2161" s="565" t="n"/>
      <x:c r="Y2161" s="565" t="n"/>
      <x:c r="Z2161" s="565" t="n"/>
    </x:row>
    <x:row r="2162">
      <x:c r="A2162" s="552" t="inlineStr">
        <x:is>
          <x:t xml:space="preserve">2025-001343</x:t>
        </x:is>
      </x:c>
      <x:c r="B2162" s="552" t="n"/>
      <x:c r="C2162" s="552" t="inlineStr">
        <x:is>
          <x:t xml:space="preserve">Joint Tenancy Quit Claim Mineral Deed</x:t>
        </x:is>
      </x:c>
      <x:c r="D2162" s="552" t="inlineStr">
        <x:is>
          <x:t xml:space="preserve">2617/228</x:t>
        </x:is>
      </x:c>
      <x:c r="E2162" s="653" t="n">
        <x:v>45726</x:v>
      </x:c>
      <x:c r="F2162" s="653" t="n">
        <x:v>45728</x:v>
      </x:c>
      <x:c r="G2162" s="552" t="inlineStr">
        <x:is>
          <x:t xml:space="preserve">Eleanore Wheeler aka Eleanor Wheeler, single</x:t>
        </x:is>
      </x:c>
      <x:c r="H2162" s="552" t="inlineStr">
        <x:is>
          <x:t xml:space="preserve">Eleanore Wheeler and Shirley Wheeler, mother and daughter, JTWROS</x:t>
        </x:is>
      </x:c>
      <x:c r="I2162" s="552" t="inlineStr">
        <x:is>
          <x:t xml:space="preserve">S/2 of Lot 3, Lot 4, S/2 NE/4 SW/4, SE/4 SW/4 of 31-12N-24W, aol</x:t>
        </x:is>
      </x:c>
      <x:c r="J2162" s="552" t="inlineStr">
        <x:is>
          <x:t xml:space="preserve">ARTI</x:t>
        </x:is>
      </x:c>
      <x:c r="K2162" s="554" t="e">
        <x:f>HYPERLINK("https://okcountyrecords.com/detail/roger+mills/2025-001343","OKCountyRecords: 2025-001343")</x:f>
      </x:c>
      <x:c r="L2162" s="552" t="inlineStr">
        <x:is>
          <x:t xml:space="preserve">2, 3, 5, 6, 7</x:t>
        </x:is>
      </x:c>
      <x:c r="M2162" s="552" t="inlineStr">
        <x:is>
          <x:t xml:space="preserve">Mineral</x:t>
        </x:is>
      </x:c>
      <x:c r="N2162" s="555" t="n">
        <x:v>1</x:v>
      </x:c>
      <x:c r="O2162" s="556" t="n">
        <x:f>IF($L2162="","",IF(ISNUMBER(SEARCH("all",$L2162)),640,(ISNUMBER(SEARCH("1",$L2162)))*80+(ISNUMBER(SEARCH("2",$L2162)))*160+(ISNUMBER(SEARCH("3",$L2162)))*40+(ISNUMBER(SEARCH("4",$L2162)))*80+(ISNUMBER(SEARCH("5",$L2162)))*120+(ISNUMBER(SEARCH("6",$L2162)))*80+(ISNUMBER(SEARCH("7",$L2162)))*40+(ISNUMBER(SEARCH("8",$L2162)))*40))</x:f>
        <x:v>0</x:v>
      </x:c>
      <x:c r="P2162" s="654" t="n">
        <x:f>IF($M2162&lt;&gt;"Mineral","",IF(ISNUMBER($N2162),$N2162,IF(OR(ISNUMBER(SEARCH("surface",$J2162)),ISNUMBER(SEARCH("reserv",$J2162)),ISNUMBER(SEARCH("less and except",$J2162))),0,"")))</x:f>
        <x:v>1</x:v>
      </x:c>
      <x:c r="Q2162" s="654" t="n">
        <x:f>IF($P2162="","",-$P2162)</x:f>
        <x:v>-1</x:v>
      </x:c>
      <x:c r="R2162" s="655" t="n">
        <x:f>IF($P2162="","",$O2162*$P2162)</x:f>
        <x:v>0</x:v>
      </x:c>
      <x:c r="S2162" s="552" t="str">
        <x:f>IF($M2162="","",TRIM(IF($M2162="Mineral",IF(ISNUMBER($N2162),"Mineral; basis Conv Amt(dec). ",IF($P2162=0,"Mineral; surface-only/reserved-&gt;0 min. ","Mineral; NO AMOUNT-verify instrument. ")),$M2162&amp;" (non-mineral; excluded from mineral NMA). ")&amp;IF(OR(ISNUMBER(SEARCH("public",$G2162)),ISNUMBER(SEARCH("public",$H2162))),"FLAG: The Public placeholder-verify. ","")&amp;IF(ISNUMBER(SEARCH("all",$L2162)),"All-section coverage. ","")&amp;IF($O2162=0,"Gross acres unresolved. ","")&amp;"Gross=tract-map basis."))</x:f>
        <x:v>Mineral; basis Conv Amt(dec). Gross acres unresolved. Gross=tract-map basis.</x:v>
      </x:c>
      <x:c r="T2162" s="577" t="n"/>
      <x:c r="U2162" s="578" t="n"/>
      <x:c r="V2162" s="565" t="n"/>
      <x:c r="W2162" s="565" t="n"/>
      <x:c r="X2162" s="565" t="n"/>
      <x:c r="Y2162" s="565" t="n"/>
      <x:c r="Z2162" s="565" t="n"/>
    </x:row>
    <x:row r="2163">
      <x:c r="A2163" s="552" t="inlineStr">
        <x:is>
          <x:t xml:space="preserve">2025-003963</x:t>
        </x:is>
      </x:c>
      <x:c r="B2163" s="552" t="n"/>
      <x:c r="C2163" s="552" t="inlineStr">
        <x:is>
          <x:t xml:space="preserve">Warranty Deed</x:t>
        </x:is>
      </x:c>
      <x:c r="D2163" s="552" t="inlineStr">
        <x:is>
          <x:t xml:space="preserve">2638/58</x:t>
        </x:is>
      </x:c>
      <x:c r="E2163" s="653" t="n">
        <x:v>45726</x:v>
      </x:c>
      <x:c r="F2163" s="653" t="n">
        <x:v>45840</x:v>
      </x:c>
      <x:c r="G2163" s="552" t="inlineStr">
        <x:is>
          <x:t xml:space="preserve">Jesse Joe Newell, also known as Jesse J. Newell and Jesse Newell, and Rachael Elizabeth Newell, also known as Rachael E. Newell and Rachael Newell, husband and wife</x:t>
        </x:is>
      </x:c>
      <x:c r="H2163" s="552" t="inlineStr">
        <x:is>
          <x:t xml:space="preserve">Joe Newell and Rachael Elizabeth Newell, Trustees of the Newell Farms Trust dated September 12, 2024, and any amendments thereto</x:t>
        </x:is>
      </x:c>
      <x:c r="I2163" s="552" t="inlineStr">
        <x:is>
          <x:t xml:space="preserve">Lots 1, 2, 3, 4 and the East Half of the West Half in Section 31, Township 12 North, Range 24 W.I.M., Roger Mills County, Oklahoma, containing 307.42 acres, more or less. LESS AND EXCEPT a tract of land in the Southwest Quarter of said Section 31, described as follows: Beginning at the Southeast corner of the Southwest Quarter for a point of beginning; thence North 946 feet; thence West 2547.6 feet to section line between Section 31, Township 12 North, Range 24 W.I.M., and Section 36, Township 12 North, Range 25 W.I.M.; thence South along section line 946 feet; thence East 2547.6 feet to the point of beginning, containing 55.335 acres, more or less. AND LESS AND EXCEPT a tract of land in Lot 1 of said Section 31, described as follows: Beginning at the Northwest corner of said Lot 1; thence East 420.58 feet; thence South 725 feet; thence West 420.58 feet; thence North 725 feet to the point of beginning, containing 7 acres, more or less;</x:t>
        </x:is>
      </x:c>
      <x:c r="J2163" s="552" t="inlineStr">
        <x:is>
          <x:t xml:space="preserve">An undivided one-half interest</x:t>
        </x:is>
      </x:c>
      <x:c r="K2163" s="554" t="e">
        <x:f>HYPERLINK("https://okcountyrecords.com/detail/roger+mills/2025-003963","OKCountyRecords: 2025-003963")</x:f>
      </x:c>
      <x:c r="L2163" s="552" t="inlineStr">
        <x:is>
          <x:t xml:space="preserve">5, 6</x:t>
        </x:is>
      </x:c>
      <x:c r="M2163" s="552" t="inlineStr">
        <x:is>
          <x:t xml:space="preserve">Mineral</x:t>
        </x:is>
      </x:c>
      <x:c r="N2163" s="555" t="n">
        <x:v>0.5</x:v>
      </x:c>
      <x:c r="O2163" s="556" t="n">
        <x:f>IF($L2163="","",IF(ISNUMBER(SEARCH("all",$L2163)),640,(ISNUMBER(SEARCH("1",$L2163)))*80+(ISNUMBER(SEARCH("2",$L2163)))*160+(ISNUMBER(SEARCH("3",$L2163)))*40+(ISNUMBER(SEARCH("4",$L2163)))*80+(ISNUMBER(SEARCH("5",$L2163)))*120+(ISNUMBER(SEARCH("6",$L2163)))*80+(ISNUMBER(SEARCH("7",$L2163)))*40+(ISNUMBER(SEARCH("8",$L2163)))*40))</x:f>
        <x:v>0</x:v>
      </x:c>
      <x:c r="P2163" s="654" t="n">
        <x:f>IF($M2163&lt;&gt;"Mineral","",IF(ISNUMBER($N2163),$N2163,IF(OR(ISNUMBER(SEARCH("surface",$J2163)),ISNUMBER(SEARCH("reserv",$J2163)),ISNUMBER(SEARCH("less and except",$J2163))),0,"")))</x:f>
        <x:v>0.5</x:v>
      </x:c>
      <x:c r="Q2163" s="654" t="n">
        <x:f>IF($P2163="","",-$P2163)</x:f>
        <x:v>-0.5</x:v>
      </x:c>
      <x:c r="R2163" s="655" t="n">
        <x:f>IF($P2163="","",$O2163*$P2163)</x:f>
        <x:v>0</x:v>
      </x:c>
      <x:c r="S2163" s="552" t="str">
        <x:f>IF($M2163="","",TRIM(IF($M2163="Mineral",IF(ISNUMBER($N2163),"Mineral; basis Conv Amt(dec). ",IF($P2163=0,"Mineral; surface-only/reserved-&gt;0 min. ","Mineral; VERIFY — NEED full instrument image for conveyed amount. ")),$M2163&amp;" (non-mineral; excluded from mineral NMA). ")&amp;IF(OR(ISNUMBER(SEARCH("public",$G2163)),ISNUMBER(SEARCH("public",$H2163))),"FLAG: The Public placeholder; VERIFY — NEED source confirmation. ","")&amp;IF(ISNUMBER(SEARCH("all",$L2163)),"All-section coverage. ","")&amp;IF($O2163=0,"Gross acres unresolved. ","")&amp;"Gross=tract-map basis."))</x:f>
        <x:v>Mineral; basis Conv Amt(dec). Gross acres unresolved. Gross=tract-map basis.</x:v>
      </x:c>
      <x:c r="T2163" s="577" t="inlineStr">
        <x:is>
          <x:t xml:space="preserve">REVIEW</x:t>
        </x:is>
      </x:c>
      <x:c r="U2163" s="578" t="inlineStr">
        <x:is>
          <x:t xml:space="preserve">NEED: conveyed interest / decimal from instrument image</x:t>
        </x:is>
      </x:c>
      <x:c r="V2163" s="565" t="n"/>
      <x:c r="W2163" s="565" t="n"/>
      <x:c r="X2163" s="565" t="n"/>
      <x:c r="Y2163" s="565" t="n"/>
      <x:c r="Z2163" s="565" t="n"/>
    </x:row>
    <x:row r="2164">
      <x:c r="A2164" s="552" t="inlineStr">
        <x:is>
          <x:t xml:space="preserve">2025-002463</x:t>
        </x:is>
      </x:c>
      <x:c r="B2164" s="552" t="n"/>
      <x:c r="C2164" s="552" t="inlineStr">
        <x:is>
          <x:t xml:space="preserve">Mineral Deed</x:t>
        </x:is>
      </x:c>
      <x:c r="D2164" s="552" t="inlineStr">
        <x:is>
          <x:t xml:space="preserve">2625/231</x:t>
        </x:is>
      </x:c>
      <x:c r="E2164" s="653" t="n">
        <x:v>45747</x:v>
      </x:c>
      <x:c r="F2164" s="653" t="n">
        <x:v>45771</x:v>
      </x:c>
      <x:c r="G2164" s="552" t="inlineStr">
        <x:is>
          <x:t xml:space="preserve">EDR, LLC</x:t>
        </x:is>
      </x:c>
      <x:c r="H2164" s="552" t="inlineStr">
        <x:is>
          <x:t xml:space="preserve">Okki Industries, LLC
P.O. Box 54859
Oklahoma City, OK 73154</x:t>
        </x:is>
      </x:c>
      <x:c r="I2164" s="552" t="inlineStr">
        <x:is>
          <x:t xml:space="preserve">NW/4 SE/4, S/2 SE/4, SW/4 NE/4 of 31-12N-24W, aol</x:t>
        </x:is>
      </x:c>
      <x:c r="J2164" s="552" t="inlineStr">
        <x:is>
          <x:t xml:space="preserve">0.75 net mineral acres in 31-12N-24W from a total of 6.430625 net mineral acres of Grantor's right, title, and interest in and to all of the oil, gas and other minerals in and under 3 sections</x:t>
        </x:is>
      </x:c>
      <x:c r="K2164" s="554" t="e">
        <x:f>HYPERLINK("https://okcountyrecords.com/detail/roger+mills/2025-002463/34027439","OKCountyRecords: 2025-002463")</x:f>
      </x:c>
      <x:c r="L2164" s="552" t="n">
        <x:v>2</x:v>
      </x:c>
      <x:c r="M2164" s="552" t="inlineStr">
        <x:is>
          <x:t xml:space="preserve">Mineral</x:t>
        </x:is>
      </x:c>
      <x:c r="N2164" s="555" t="n">
        <x:f>0.75/160</x:f>
        <x:v>0.0046875</x:v>
      </x:c>
      <x:c r="O2164" s="556" t="n">
        <x:f>IF($L2164="","",IF(ISNUMBER(SEARCH("all",$L2164)),640,(ISNUMBER(SEARCH("1",$L2164)))*80+(ISNUMBER(SEARCH("2",$L2164)))*160+(ISNUMBER(SEARCH("3",$L2164)))*40+(ISNUMBER(SEARCH("4",$L2164)))*80+(ISNUMBER(SEARCH("5",$L2164)))*120+(ISNUMBER(SEARCH("6",$L2164)))*80+(ISNUMBER(SEARCH("7",$L2164)))*40+(ISNUMBER(SEARCH("8",$L2164)))*40))</x:f>
        <x:v>0</x:v>
      </x:c>
      <x:c r="P2164" s="654" t="n">
        <x:f>IF($M2164&lt;&gt;"Mineral","",IF(ISNUMBER($N2164),$N2164,IF(OR(ISNUMBER(SEARCH("surface",$J2164)),ISNUMBER(SEARCH("reserv",$J2164)),ISNUMBER(SEARCH("less and except",$J2164))),0,"")))</x:f>
        <x:v>0.0046875</x:v>
      </x:c>
      <x:c r="Q2164" s="654" t="n">
        <x:f>IF($P2164="","",-$P2164)</x:f>
        <x:v>-0.0046875</x:v>
      </x:c>
      <x:c r="R2164" s="655" t="n">
        <x:f>IF($P2164="","",$O2164*$P2164)</x:f>
        <x:v>0</x:v>
      </x:c>
      <x:c r="S2164" s="552" t="str">
        <x:f>IF($M2164="","",TRIM(IF($M2164="Mineral",IF(ISNUMBER($N2164),"Mineral; basis Conv Amt(dec). ",IF($P2164=0,"Mineral; surface-only/reserved-&gt;0 min. ","Mineral; VERIFY — NEED full instrument image for conveyed amount. ")),$M2164&amp;" (non-mineral; excluded from mineral NMA). ")&amp;IF(OR(ISNUMBER(SEARCH("public",$G2164)),ISNUMBER(SEARCH("public",$H2164))),"FLAG: The Public placeholder; VERIFY — NEED source confirmation. ","")&amp;IF(ISNUMBER(SEARCH("all",$L2164)),"All-section coverage. ","")&amp;IF($O2164=0,"Gross acres unresolved. ","")&amp;"Gross=tract-map basis."))</x:f>
        <x:v>Mineral; basis Conv Amt(dec). Gross acres unresolved. Gross=tract-map basis.</x:v>
      </x:c>
      <x:c r="T2164" s="578" t="inlineStr">
        <x:is>
          <x:t xml:space="preserve">REVIEW</x:t>
        </x:is>
      </x:c>
      <x:c r="U2164" s="578" t="inlineStr">
        <x:is>
          <x:t xml:space="preserve">NEED: denominator / tract allocation for 0.75 NMA from instrument image</x:t>
        </x:is>
      </x:c>
      <x:c r="V2164" s="565" t="n"/>
      <x:c r="W2164" s="565" t="n"/>
      <x:c r="X2164" s="565" t="n"/>
      <x:c r="Y2164" s="565" t="n"/>
      <x:c r="Z2164" s="565" t="n"/>
    </x:row>
    <x:row r="2165">
      <x:c r="A2165" s="552" t="inlineStr">
        <x:is>
          <x:t xml:space="preserve">2025-002464</x:t>
        </x:is>
      </x:c>
      <x:c r="B2165" s="552" t="n"/>
      <x:c r="C2165" s="552" t="inlineStr">
        <x:is>
          <x:t xml:space="preserve">Mineral Deed</x:t>
        </x:is>
      </x:c>
      <x:c r="D2165" s="552" t="inlineStr">
        <x:is>
          <x:t xml:space="preserve">2625/233</x:t>
        </x:is>
      </x:c>
      <x:c r="E2165" s="653" t="n">
        <x:v>45747</x:v>
      </x:c>
      <x:c r="F2165" s="653" t="n">
        <x:v>45771</x:v>
      </x:c>
      <x:c r="G2165" s="552" t="inlineStr">
        <x:is>
          <x:t xml:space="preserve">EDR, LLC</x:t>
        </x:is>
      </x:c>
      <x:c r="H2165" s="552" t="inlineStr">
        <x:is>
          <x:t xml:space="preserve">Del Monte Royalty Partners, LLC
P.O. Box 18776
Oklahoma City, OK 73154</x:t>
        </x:is>
      </x:c>
      <x:c r="I2165" s="552" t="inlineStr">
        <x:is>
          <x:t xml:space="preserve">NW/4 SE/4, S/2 SE/4, SW/4 NE/4 of 31-12N-24W, aol</x:t>
        </x:is>
      </x:c>
      <x:c r="J2165" s="552" t="inlineStr">
        <x:is>
          <x:t xml:space="preserve">0.75 net mineral acres in 31-12N-24W from a total of 6.430625 net mineral acres of Grantor's right, title, and interest in and to all of the oil, gas and other minerals in and under 3 sections</x:t>
        </x:is>
      </x:c>
      <x:c r="K2165" s="554" t="e">
        <x:f>HYPERLINK("https://okcountyrecords.com/detail/roger+mills/2025-002464/34027438","OKCountyRecords: 2025-002464")</x:f>
      </x:c>
      <x:c r="L2165" s="552" t="n">
        <x:v>2</x:v>
      </x:c>
      <x:c r="M2165" s="552" t="inlineStr">
        <x:is>
          <x:t xml:space="preserve">Mineral</x:t>
        </x:is>
      </x:c>
      <x:c r="N2165" s="555" t="n">
        <x:f>0.75/160</x:f>
        <x:v>0.0046875</x:v>
      </x:c>
      <x:c r="O2165" s="556" t="n">
        <x:f>IF($L2165="","",IF(ISNUMBER(SEARCH("all",$L2165)),640,(ISNUMBER(SEARCH("1",$L2165)))*80+(ISNUMBER(SEARCH("2",$L2165)))*160+(ISNUMBER(SEARCH("3",$L2165)))*40+(ISNUMBER(SEARCH("4",$L2165)))*80+(ISNUMBER(SEARCH("5",$L2165)))*120+(ISNUMBER(SEARCH("6",$L2165)))*80+(ISNUMBER(SEARCH("7",$L2165)))*40+(ISNUMBER(SEARCH("8",$L2165)))*40))</x:f>
        <x:v>0</x:v>
      </x:c>
      <x:c r="P2165" s="654" t="n">
        <x:f>IF($M2165&lt;&gt;"Mineral","",IF(ISNUMBER($N2165),$N2165,IF(OR(ISNUMBER(SEARCH("surface",$J2165)),ISNUMBER(SEARCH("reserv",$J2165)),ISNUMBER(SEARCH("less and except",$J2165))),0,"")))</x:f>
        <x:v>0.0046875</x:v>
      </x:c>
      <x:c r="Q2165" s="654" t="n">
        <x:f>IF($P2165="","",-$P2165)</x:f>
        <x:v>-0.0046875</x:v>
      </x:c>
      <x:c r="R2165" s="655" t="n">
        <x:f>IF($P2165="","",$O2165*$P2165)</x:f>
        <x:v>0</x:v>
      </x:c>
      <x:c r="S2165" s="552" t="str">
        <x:f>IF($M2165="","",TRIM(IF($M2165="Mineral",IF(ISNUMBER($N2165),"Mineral; basis Conv Amt(dec). ",IF($P2165=0,"Mineral; surface-only/reserved-&gt;0 min. ","Mineral; VERIFY — NEED full instrument image for conveyed amount. ")),$M2165&amp;" (non-mineral; excluded from mineral NMA). ")&amp;IF(OR(ISNUMBER(SEARCH("public",$G2165)),ISNUMBER(SEARCH("public",$H2165))),"FLAG: The Public placeholder; VERIFY — NEED source confirmation. ","")&amp;IF(ISNUMBER(SEARCH("all",$L2165)),"All-section coverage. ","")&amp;IF($O2165=0,"Gross acres unresolved. ","")&amp;"Gross=tract-map basis."))</x:f>
        <x:v>Mineral; basis Conv Amt(dec). Gross acres unresolved. Gross=tract-map basis.</x:v>
      </x:c>
      <x:c r="T2165" s="577" t="inlineStr">
        <x:is>
          <x:t xml:space="preserve">REVIEW</x:t>
        </x:is>
      </x:c>
      <x:c r="U2165" s="578" t="inlineStr">
        <x:is>
          <x:t xml:space="preserve">NEED: denominator / tract allocation for 0.75 NMA from instrument image</x:t>
        </x:is>
      </x:c>
      <x:c r="V2165" s="565" t="n"/>
      <x:c r="W2165" s="565" t="n"/>
      <x:c r="X2165" s="565" t="n"/>
      <x:c r="Y2165" s="565" t="n"/>
      <x:c r="Z2165" s="565" t="n"/>
    </x:row>
    <x:row r="2166">
      <x:c r="A2166" s="552" t="inlineStr">
        <x:is>
          <x:t xml:space="preserve">2025-002923</x:t>
        </x:is>
      </x:c>
      <x:c r="B2166" s="552" t="n">
        <x:v>76</x:v>
      </x:c>
      <x:c r="C2166" s="552" t="inlineStr">
        <x:is>
          <x:t xml:space="preserve">Affidavit of Merger</x:t>
        </x:is>
      </x:c>
      <x:c r="D2166" s="563" t="inlineStr">
        <x:is>
          <x:t xml:space="preserve">2628/429</x:t>
        </x:is>
      </x:c>
      <x:c r="E2166" s="653" t="n">
        <x:v>45784</x:v>
      </x:c>
      <x:c r="F2166" s="653" t="n">
        <x:v>45792</x:v>
      </x:c>
      <x:c r="G2166" s="552" t="inlineStr">
        <x:is>
          <x:t xml:space="preserve">Diversified Energy Company</x:t>
        </x:is>
      </x:c>
      <x:c r="H2166" s="552" t="inlineStr">
        <x:is>
          <x:t xml:space="preserve">The Public</x:t>
        </x:is>
      </x:c>
      <x:c r="I2166" s="552" t="inlineStr">
        <x:is>
          <x:t xml:space="preserve">All of 31-12N-24W, aol</x:t>
        </x:is>
      </x:c>
      <x:c r="J2166" s="552" t="inlineStr">
        <x:is>
          <x:t xml:space="preserve">That a Certificate of Merger was filed with the Secretary of State of the State of Delaware evidencing the merger of Remington Merger Sub, LLC, a Delaware limited liability company, and wholly owned indirect subsidiary of Diversified, with and into Maverick Natural Resources, LLC a Delaware limited liability company ("MNR") as the surviving entity of the merger, effective March 14th, 2025 (the "Merger"). A true and correct copy of the Certificate of Merger is attached hereto.
2. Unbridled Resources, LLC, a Delaware limited liability company ("Unbridled") is an indirect, wholly owned subsidiary of MNR.
3. Unbridled holds assets in the states of Oklahoma and Texas, within the legal descriptions set forth on Exhibit "A".
NOW THEREFORE, as a result of the Merger, Diversified desires to place third parties on notice that MNR and Unbridled are wholly owned, indirect subsidiaries of Diversified and shall have a mailing address for notice purposes of 211 North Robinson Avenue, Suite N-1000, Oklahoma City, Oklahoma 73102.</x:t>
        </x:is>
      </x:c>
      <x:c r="K2166" s="554" t="e">
        <x:f>HYPERLINK("https://okcountyrecords.com/detail/roger+mills/2025-002923","63e8b9a8d056433a9994fe46ca85076b.pdf | OKCountyRecords: 2025-002923")</x:f>
      </x:c>
      <x:c r="L2166" s="552" t="inlineStr">
        <x:is>
          <x:t xml:space="preserve">All (1-8)</x:t>
        </x:is>
      </x:c>
      <x:c r="M2166" s="552" t="inlineStr">
        <x:is>
          <x:t xml:space="preserve">Other</x:t>
        </x:is>
      </x:c>
      <x:c r="N2166" s="555" t="n"/>
      <x:c r="O2166" s="556" t="n">
        <x:f>IF($L2166="","",IF(ISNUMBER(SEARCH("all",$L2166)),640,(ISNUMBER(SEARCH("1",$L2166)))*80+(ISNUMBER(SEARCH("2",$L2166)))*160+(ISNUMBER(SEARCH("3",$L2166)))*40+(ISNUMBER(SEARCH("4",$L2166)))*80+(ISNUMBER(SEARCH("5",$L2166)))*120+(ISNUMBER(SEARCH("6",$L2166)))*80+(ISNUMBER(SEARCH("7",$L2166)))*40+(ISNUMBER(SEARCH("8",$L2166)))*40))</x:f>
        <x:v>640</x:v>
      </x:c>
      <x:c r="P2166" s="654" t="str">
        <x:f>IF($M2166&lt;&gt;"Mineral","",IF(ISNUMBER($N2166),$N2166,IF(OR(ISNUMBER(SEARCH("surface",$J2166)),ISNUMBER(SEARCH("reserv",$J2166)),ISNUMBER(SEARCH("less and except",$J2166))),0,"")))</x:f>
      </x:c>
      <x:c r="Q2166" s="654" t="str">
        <x:f>IF($P2166="","",-$P2166)</x:f>
      </x:c>
      <x:c r="R2166" s="655" t="str">
        <x:f>IF($P2166="","",$O2166*$P2166)</x:f>
      </x:c>
      <x:c r="S2166" s="552" t="inlineStr">
        <x:is>
          <x:t xml:space="preserve">Other (non-mineral; excluded from mineral NMA). All-section coverage. Gross=tract-map basis.</x:t>
        </x:is>
      </x:c>
      <x:c r="T2166" s="577" t="inlineStr">
        <x:is>
          <x:t xml:space="preserve">OK</x:t>
        </x:is>
      </x:c>
      <x:c r="U2166" s="578" t="inlineStr">
        <x:is>
          <x:t xml:space="preserve">ARTI/notice instrument (The Public); no net mineral acres conveyed.</x:t>
        </x:is>
      </x:c>
      <x:c r="V2166" s="565" t="n"/>
      <x:c r="W2166" s="565" t="n"/>
      <x:c r="X2166" s="565" t="n"/>
      <x:c r="Y2166" s="565" t="n"/>
      <x:c r="Z2166" s="565" t="n"/>
    </x:row>
    <x:row r="2167">
      <x:c r="A2167" s="552" t="inlineStr">
        <x:is>
          <x:t xml:space="preserve">2025-005448</x:t>
        </x:is>
      </x:c>
      <x:c r="B2167" s="552" t="n"/>
      <x:c r="C2167" s="552" t="inlineStr">
        <x:is>
          <x:t xml:space="preserve">Mineral Deed</x:t>
        </x:is>
      </x:c>
      <x:c r="D2167" s="552" t="inlineStr">
        <x:is>
          <x:t xml:space="preserve">2649/286</x:t>
        </x:is>
      </x:c>
      <x:c r="E2167" s="653" t="n">
        <x:v>45896</x:v>
      </x:c>
      <x:c r="F2167" s="653" t="n">
        <x:v>45908</x:v>
      </x:c>
      <x:c r="G2167" s="552" t="inlineStr">
        <x:is>
          <x:t xml:space="preserve">Gt Mineral Holdings, LLC</x:t>
        </x:is>
      </x:c>
      <x:c r="H2167" s="552" t="inlineStr">
        <x:is>
          <x:t xml:space="preserve">Berlain Limited Company</x:t>
        </x:is>
      </x:c>
      <x:c r="I2167" s="552" t="inlineStr">
        <x:is>
          <x:t xml:space="preserve">NW/4 SE/4, S/2 SE/4, SW/4 NE/4 of 31-12N-24W, aol</x:t>
        </x:is>
      </x:c>
      <x:c r="J2167" s="552" t="inlineStr">
        <x:is>
          <x:t xml:space="preserve">ARTI</x:t>
        </x:is>
      </x:c>
      <x:c r="K2167" s="554" t="e">
        <x:f>HYPERLINK("https://okcountyrecords.com/detail/roger+mills/2025-005448","OKCountyRecords: 2025-005448")</x:f>
      </x:c>
      <x:c r="L2167" s="552" t="n">
        <x:v>2</x:v>
      </x:c>
      <x:c r="M2167" s="552" t="inlineStr">
        <x:is>
          <x:t xml:space="preserve">Mineral</x:t>
        </x:is>
      </x:c>
      <x:c r="N2167" s="555" t="n">
        <x:v>1</x:v>
      </x:c>
      <x:c r="O2167" s="556" t="n">
        <x:f>IF($L2167="","",IF(ISNUMBER(SEARCH("all",$L2167)),640,(ISNUMBER(SEARCH("1",$L2167)))*80+(ISNUMBER(SEARCH("2",$L2167)))*160+(ISNUMBER(SEARCH("3",$L2167)))*40+(ISNUMBER(SEARCH("4",$L2167)))*80+(ISNUMBER(SEARCH("5",$L2167)))*120+(ISNUMBER(SEARCH("6",$L2167)))*80+(ISNUMBER(SEARCH("7",$L2167)))*40+(ISNUMBER(SEARCH("8",$L2167)))*40))</x:f>
        <x:v>0</x:v>
      </x:c>
      <x:c r="P2167" s="654" t="n">
        <x:f>IF($M2167&lt;&gt;"Mineral","",IF(ISNUMBER($N2167),$N2167,IF(OR(ISNUMBER(SEARCH("surface",$J2167)),ISNUMBER(SEARCH("reserv",$J2167)),ISNUMBER(SEARCH("less and except",$J2167))),0,"")))</x:f>
        <x:v>1</x:v>
      </x:c>
      <x:c r="Q2167" s="654" t="n">
        <x:f>IF($P2167="","",-$P2167)</x:f>
        <x:v>-1</x:v>
      </x:c>
      <x:c r="R2167" s="655" t="n">
        <x:f>IF($P2167="","",$O2167*$P2167)</x:f>
        <x:v>0</x:v>
      </x:c>
      <x:c r="S2167" s="552" t="str">
        <x:f>IF($M2167="","",TRIM(IF($M2167="Mineral",IF(ISNUMBER($N2167),"Mineral; basis Conv Amt(dec). ",IF($P2167=0,"Mineral; surface-only/reserved-&gt;0 min. ","Mineral; NO AMOUNT-verify instrument. ")),$M2167&amp;" (non-mineral; excluded from mineral NMA). ")&amp;IF(OR(ISNUMBER(SEARCH("public",$G2167)),ISNUMBER(SEARCH("public",$H2167))),"FLAG: The Public placeholder-verify. ","")&amp;IF(ISNUMBER(SEARCH("all",$L2167)),"All-section coverage. ","")&amp;IF($O2167=0,"Gross acres unresolved. ","")&amp;"Gross=tract-map basis."))</x:f>
        <x:v>Mineral; basis Conv Amt(dec). Gross acres unresolved. Gross=tract-map basis.</x:v>
      </x:c>
      <x:c r="T2167" s="577" t="n"/>
      <x:c r="U2167" s="578" t="n"/>
      <x:c r="V2167" s="565" t="n"/>
      <x:c r="W2167" s="565" t="n"/>
      <x:c r="X2167" s="565" t="n"/>
      <x:c r="Y2167" s="565" t="n"/>
      <x:c r="Z2167" s="565" t="n"/>
    </x:row>
    <x:row r="2168">
      <x:c r="A2168" s="552" t="inlineStr">
        <x:is>
          <x:t xml:space="preserve">2025-005451</x:t>
        </x:is>
      </x:c>
      <x:c r="B2168" s="552" t="n"/>
      <x:c r="C2168" s="552" t="inlineStr">
        <x:is>
          <x:t xml:space="preserve">Mineral Deed</x:t>
        </x:is>
      </x:c>
      <x:c r="D2168" s="552" t="inlineStr">
        <x:is>
          <x:t xml:space="preserve">2649/298</x:t>
        </x:is>
      </x:c>
      <x:c r="E2168" s="653" t="n">
        <x:v>45897</x:v>
      </x:c>
      <x:c r="F2168" s="653" t="n">
        <x:v>45908</x:v>
      </x:c>
      <x:c r="G2168" s="552" t="inlineStr">
        <x:is>
          <x:t xml:space="preserve">Berlain Limited Company</x:t>
        </x:is>
      </x:c>
      <x:c r="H2168" s="552" t="inlineStr">
        <x:is>
          <x:t xml:space="preserve">Longreach Energy 2, LLC, 29.878109%,
Royfin Natural Gas, LLC, 70.121891%</x:t>
        </x:is>
      </x:c>
      <x:c r="I2168" s="552" t="inlineStr">
        <x:is>
          <x:t xml:space="preserve">NW/4 SE/4, S/2 SE/4, SW/4 NE/4 of 31-12N-24W, aol</x:t>
        </x:is>
      </x:c>
      <x:c r="J2168" s="552" t="inlineStr">
        <x:is>
          <x:t xml:space="preserve">ARTI</x:t>
        </x:is>
      </x:c>
      <x:c r="K2168" s="554" t="e">
        <x:f>HYPERLINK("https://okcountyrecords.com/detail/roger+mills/2025-005451","OKCountyRecords: 2025-005451")</x:f>
      </x:c>
      <x:c r="L2168" s="552" t="n">
        <x:v>2</x:v>
      </x:c>
      <x:c r="M2168" s="552" t="inlineStr">
        <x:is>
          <x:t xml:space="preserve">Mineral</x:t>
        </x:is>
      </x:c>
      <x:c r="N2168" s="555" t="n">
        <x:v>1</x:v>
      </x:c>
      <x:c r="O2168" s="556" t="n">
        <x:f>IF($L2168="","",IF(ISNUMBER(SEARCH("all",$L2168)),640,(ISNUMBER(SEARCH("1",$L2168)))*80+(ISNUMBER(SEARCH("2",$L2168)))*160+(ISNUMBER(SEARCH("3",$L2168)))*40+(ISNUMBER(SEARCH("4",$L2168)))*80+(ISNUMBER(SEARCH("5",$L2168)))*120+(ISNUMBER(SEARCH("6",$L2168)))*80+(ISNUMBER(SEARCH("7",$L2168)))*40+(ISNUMBER(SEARCH("8",$L2168)))*40))</x:f>
        <x:v>0</x:v>
      </x:c>
      <x:c r="P2168" s="654" t="n">
        <x:f>IF($M2168&lt;&gt;"Mineral","",IF(ISNUMBER($N2168),$N2168,IF(OR(ISNUMBER(SEARCH("surface",$J2168)),ISNUMBER(SEARCH("reserv",$J2168)),ISNUMBER(SEARCH("less and except",$J2168))),0,"")))</x:f>
        <x:v>1</x:v>
      </x:c>
      <x:c r="Q2168" s="654" t="n">
        <x:f>IF($P2168="","",-$P2168)</x:f>
        <x:v>-1</x:v>
      </x:c>
      <x:c r="R2168" s="655" t="n">
        <x:f>IF($P2168="","",$O2168*$P2168)</x:f>
        <x:v>0</x:v>
      </x:c>
      <x:c r="S2168" s="552" t="str">
        <x:f>IF($M2168="","",TRIM(IF($M2168="Mineral",IF(ISNUMBER($N2168),"Mineral; basis Conv Amt(dec). ",IF($P2168=0,"Mineral; surface-only/reserved-&gt;0 min. ","Mineral; NO AMOUNT-verify instrument. ")),$M2168&amp;" (non-mineral; excluded from mineral NMA). ")&amp;IF(OR(ISNUMBER(SEARCH("public",$G2168)),ISNUMBER(SEARCH("public",$H2168))),"FLAG: The Public placeholder-verify. ","")&amp;IF(ISNUMBER(SEARCH("all",$L2168)),"All-section coverage. ","")&amp;IF($O2168=0,"Gross acres unresolved. ","")&amp;"Gross=tract-map basis."))</x:f>
        <x:v>Mineral; basis Conv Amt(dec). Gross acres unresolved. Gross=tract-map basis.</x:v>
      </x:c>
      <x:c r="T2168" s="577" t="n"/>
      <x:c r="U2168" s="578" t="n"/>
      <x:c r="V2168" s="565" t="n"/>
      <x:c r="W2168" s="565" t="n"/>
      <x:c r="X2168" s="565" t="n"/>
      <x:c r="Y2168" s="565" t="n"/>
      <x:c r="Z2168" s="565" t="n"/>
    </x:row>
    <x:row r="2169">
      <x:c r="A2169" s="552" t="inlineStr">
        <x:is>
          <x:t xml:space="preserve">2025-006541</x:t>
        </x:is>
      </x:c>
      <x:c r="B2169" s="552" t="n">
        <x:v>77</x:v>
      </x:c>
      <x:c r="C2169" s="552" t="inlineStr">
        <x:is>
          <x:t xml:space="preserve">Memorandum of Divisive Merger and Subsequent Consolidations</x:t>
        </x:is>
      </x:c>
      <x:c r="D2169" s="563" t="inlineStr">
        <x:is>
          <x:t xml:space="preserve">2660/341</x:t>
        </x:is>
      </x:c>
      <x:c r="E2169" s="653" t="n">
        <x:v>45926</x:v>
      </x:c>
      <x:c r="F2169" s="653" t="n">
        <x:v>45954</x:v>
      </x:c>
      <x:c r="G2169" s="552" t="inlineStr">
        <x:is>
          <x:t xml:space="preserve">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x:t>
        </x:is>
      </x:c>
      <x:c r="H2169" s="552" t="inlineStr">
        <x:is>
          <x:t xml:space="preserve">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x:t>
        </x:is>
      </x:c>
      <x:c r="I2169" s="552" t="inlineStr">
        <x:is>
          <x:t xml:space="preserve">All of 31-12N-24W, aol</x:t>
        </x:is>
      </x:c>
      <x:c r="J2169" s="552" t="inlineStr">
        <x:is>
          <x:t xml:space="preserve">Provides record notice of lease</x:t>
        </x:is>
      </x:c>
      <x:c r="K2169" s="554" t="e">
        <x:f>HYPERLINK("https://okcountyrecords.com/detail/roger+mills/2025-006541","63e8b9a8d056433a9994fe46ca85076b.pdf | OKCountyRecords: 2025-006541")</x:f>
      </x:c>
      <x:c r="L2169" s="552" t="inlineStr">
        <x:is>
          <x:t xml:space="preserve">All (1-8)</x:t>
        </x:is>
      </x:c>
      <x:c r="M2169" s="552" t="inlineStr">
        <x:is>
          <x:t xml:space="preserve">Leasehold</x:t>
        </x:is>
      </x:c>
      <x:c r="N2169" s="555" t="n"/>
      <x:c r="O2169" s="556" t="n">
        <x:f>IF($L2169="","",IF(ISNUMBER(SEARCH("all",$L2169)),640,(ISNUMBER(SEARCH("1",$L2169)))*80+(ISNUMBER(SEARCH("2",$L2169)))*160+(ISNUMBER(SEARCH("3",$L2169)))*40+(ISNUMBER(SEARCH("4",$L2169)))*80+(ISNUMBER(SEARCH("5",$L2169)))*120+(ISNUMBER(SEARCH("6",$L2169)))*80+(ISNUMBER(SEARCH("7",$L2169)))*40+(ISNUMBER(SEARCH("8",$L2169)))*40))</x:f>
        <x:v>640</x:v>
      </x:c>
      <x:c r="P2169" s="654" t="str">
        <x:f>IF($M2169&lt;&gt;"Mineral","",IF(ISNUMBER($N2169),$N2169,IF(OR(ISNUMBER(SEARCH("surface",$J2169)),ISNUMBER(SEARCH("reserv",$J2169)),ISNUMBER(SEARCH("less and except",$J2169))),0,"")))</x:f>
      </x:c>
      <x:c r="Q2169" s="654" t="str">
        <x:f>IF($P2169="","",-$P2169)</x:f>
      </x:c>
      <x:c r="R2169" s="655" t="str">
        <x:f>IF($P2169="","",$O2169*$P2169)</x:f>
      </x:c>
      <x:c r="S2169" s="552" t="str">
        <x:f>IF($M2169="","",TRIM(IF($M2169="Mineral",IF(ISNUMBER($N2169),"Mineral; basis Conv Amt(dec). ",IF($P2169=0,"Mineral; surface-only/reserved-&gt;0 min. ","Mineral; NO AMOUNT-verify instrument. ")),$M2169&amp;" (non-mineral; excluded from mineral NMA). ")&amp;IF(OR(ISNUMBER(SEARCH("public",$G2169)),ISNUMBER(SEARCH("public",$H2169))),"FLAG: The Public placeholder-verify. ","")&amp;IF(ISNUMBER(SEARCH("all",$L2169)),"All-section coverage. ","")&amp;IF($O2169=0,"Gross acres unresolved. ","")&amp;"Gross=tract-map basis."))</x:f>
        <x:v>Leasehold (non-mineral; excluded from mineral NMA). All-section coverage. Gross=tract-map basis.</x:v>
      </x:c>
      <x:c r="T2169" s="578" t="n"/>
      <x:c r="U2169" s="578" t="n"/>
      <x:c r="V2169" s="565" t="n"/>
      <x:c r="W2169" s="565" t="n"/>
      <x:c r="X2169" s="565" t="n"/>
      <x:c r="Y2169" s="565" t="n"/>
      <x:c r="Z2169" s="565" t="n"/>
    </x:row>
    <x:row r="2170">
      <x:c r="A2170" s="552" t="inlineStr">
        <x:is>
          <x:t xml:space="preserve">2025-006987</x:t>
        </x:is>
      </x:c>
      <x:c r="B2170" s="552" t="n">
        <x:v>78</x:v>
      </x:c>
      <x:c r="C2170" s="552" t="inlineStr">
        <x:is>
          <x:t xml:space="preserve">Wellbore Assignment</x:t>
        </x:is>
      </x:c>
      <x:c r="D2170" s="563" t="inlineStr">
        <x:is>
          <x:t xml:space="preserve">2664/169</x:t>
        </x:is>
      </x:c>
      <x:c r="E2170" s="653" t="n">
        <x:v>45931</x:v>
      </x:c>
      <x:c r="F2170" s="653" t="n">
        <x:v>45975</x:v>
      </x:c>
      <x:c r="G2170" s="552" t="inlineStr">
        <x:is>
          <x:t xml:space="preserve">Presidio Finance, LLC</x:t>
        </x:is>
      </x:c>
      <x:c r="H2170" s="552" t="inlineStr">
        <x:is>
          <x:t xml:space="preserve">Martins Empire, LLC</x:t>
        </x:is>
      </x:c>
      <x:c r="I2170" s="552" t="inlineStr">
        <x:is>
          <x:t xml:space="preserve">All of 31-12N-24W, aol</x:t>
        </x:is>
      </x:c>
      <x:c r="J2170" s="552" t="inlineStr">
        <x:is>
          <x:t xml:space="preserve">Transfers wellbore-only rights</x:t>
        </x:is>
      </x:c>
      <x:c r="K2170" s="554" t="e">
        <x:f>HYPERLINK("https://okcountyrecords.com/detail/roger+mills/2025-006987","63e8b9a8d056433a9994fe46ca85076b.pdf | OKCountyRecords: 2025-006987")</x:f>
      </x:c>
      <x:c r="L2170" s="552" t="inlineStr">
        <x:is>
          <x:t xml:space="preserve">All (1-8)</x:t>
        </x:is>
      </x:c>
      <x:c r="M2170" s="552" t="inlineStr">
        <x:is>
          <x:t xml:space="preserve">Leasehold</x:t>
        </x:is>
      </x:c>
      <x:c r="N2170" s="555" t="n"/>
      <x:c r="O2170" s="556" t="n">
        <x:f>IF($L2170="","",IF(ISNUMBER(SEARCH("all",$L2170)),640,(ISNUMBER(SEARCH("1",$L2170)))*80+(ISNUMBER(SEARCH("2",$L2170)))*160+(ISNUMBER(SEARCH("3",$L2170)))*40+(ISNUMBER(SEARCH("4",$L2170)))*80+(ISNUMBER(SEARCH("5",$L2170)))*120+(ISNUMBER(SEARCH("6",$L2170)))*80+(ISNUMBER(SEARCH("7",$L2170)))*40+(ISNUMBER(SEARCH("8",$L2170)))*40))</x:f>
        <x:v>640</x:v>
      </x:c>
      <x:c r="P2170" s="654" t="str">
        <x:f>IF($M2170&lt;&gt;"Mineral","",IF(ISNUMBER($N2170),$N2170,IF(OR(ISNUMBER(SEARCH("surface",$J2170)),ISNUMBER(SEARCH("reserv",$J2170)),ISNUMBER(SEARCH("less and except",$J2170))),0,"")))</x:f>
      </x:c>
      <x:c r="Q2170" s="654" t="str">
        <x:f>IF($P2170="","",-$P2170)</x:f>
      </x:c>
      <x:c r="R2170" s="655" t="str">
        <x:f>IF($P2170="","",$O2170*$P2170)</x:f>
      </x:c>
      <x:c r="S2170" s="552" t="str">
        <x:f>IF($M2170="","",TRIM(IF($M2170="Mineral",IF(ISNUMBER($N2170),"Mineral; basis Conv Amt(dec). ",IF($P2170=0,"Mineral; surface-only/reserved-&gt;0 min. ","Mineral; NO AMOUNT-verify instrument. ")),$M2170&amp;" (non-mineral; excluded from mineral NMA). ")&amp;IF(OR(ISNUMBER(SEARCH("public",$G2170)),ISNUMBER(SEARCH("public",$H2170))),"FLAG: The Public placeholder-verify. ","")&amp;IF(ISNUMBER(SEARCH("all",$L2170)),"All-section coverage. ","")&amp;IF($O2170=0,"Gross acres unresolved. ","")&amp;"Gross=tract-map basis."))</x:f>
        <x:v>Leasehold (non-mineral; excluded from mineral NMA). All-section coverage. Gross=tract-map basis.</x:v>
      </x:c>
      <x:c r="T2170" s="577" t="n"/>
      <x:c r="U2170" s="578" t="n"/>
      <x:c r="V2170" s="565" t="n"/>
      <x:c r="W2170" s="565" t="n"/>
      <x:c r="X2170" s="565" t="n"/>
      <x:c r="Y2170" s="565" t="n"/>
      <x:c r="Z2170" s="565" t="n"/>
    </x:row>
    <x:row r="2171">
      <x:c r="A2171" s="552" t="inlineStr">
        <x:is>
          <x:t xml:space="preserve">2026-000691</x:t>
        </x:is>
      </x:c>
      <x:c r="B2171" s="552" t="n"/>
      <x:c r="C2171" s="552" t="inlineStr">
        <x:is>
          <x:t xml:space="preserve">Mineral Deed</x:t>
        </x:is>
      </x:c>
      <x:c r="D2171" s="552" t="inlineStr">
        <x:is>
          <x:t xml:space="preserve">2682/183</x:t>
        </x:is>
      </x:c>
      <x:c r="E2171" s="653" t="n">
        <x:v>45971</x:v>
      </x:c>
      <x:c r="F2171" s="653" t="n">
        <x:v>46062</x:v>
      </x:c>
      <x:c r="G2171" s="552" t="inlineStr">
        <x:is>
          <x:t xml:space="preserve">Clint Roy Kirk</x:t>
        </x:is>
      </x:c>
      <x:c r="H2171" s="552" t="inlineStr">
        <x:is>
          <x:t xml:space="preserve">J and A Minerals, LLC</x:t>
        </x:is>
      </x:c>
      <x:c r="I2171" s="552" t="inlineStr">
        <x:is>
          <x:t xml:space="preserve">S/2 of Lot 3, S/2 NE/4 SW/4, Lot 4, SE/4 SW/4 of 31-12N-24W, aol</x:t>
        </x:is>
      </x:c>
      <x:c r="J2171" s="552" t="inlineStr">
        <x:is>
          <x:t xml:space="preserve">ARTI, It is the intent of Grantor to convey unto Grantee, ALL of Grantor's right, title and interest</x:t>
        </x:is>
      </x:c>
      <x:c r="K2171" s="554" t="e">
        <x:f>HYPERLINK("https://okcountyrecords.com/detail/roger+mills/2026-000691","OKCountyRecords: 2026-000691")</x:f>
      </x:c>
      <x:c r="L2171" s="552" t="inlineStr">
        <x:is>
          <x:t xml:space="preserve">2, 3, 5, 6, 7</x:t>
        </x:is>
      </x:c>
      <x:c r="M2171" s="552" t="inlineStr">
        <x:is>
          <x:t xml:space="preserve">Mineral</x:t>
        </x:is>
      </x:c>
      <x:c r="N2171" s="555" t="n">
        <x:v>1</x:v>
      </x:c>
      <x:c r="O2171" s="556" t="n">
        <x:f>IF($L2171="","",IF(ISNUMBER(SEARCH("all",$L2171)),640,(ISNUMBER(SEARCH("1",$L2171)))*80+(ISNUMBER(SEARCH("2",$L2171)))*160+(ISNUMBER(SEARCH("3",$L2171)))*40+(ISNUMBER(SEARCH("4",$L2171)))*80+(ISNUMBER(SEARCH("5",$L2171)))*120+(ISNUMBER(SEARCH("6",$L2171)))*80+(ISNUMBER(SEARCH("7",$L2171)))*40+(ISNUMBER(SEARCH("8",$L2171)))*40))</x:f>
        <x:v>0</x:v>
      </x:c>
      <x:c r="P2171" s="654" t="n">
        <x:f>IF($M2171&lt;&gt;"Mineral","",IF(ISNUMBER($N2171),$N2171,IF(OR(ISNUMBER(SEARCH("surface",$J2171)),ISNUMBER(SEARCH("reserv",$J2171)),ISNUMBER(SEARCH("less and except",$J2171))),0,"")))</x:f>
        <x:v>1</x:v>
      </x:c>
      <x:c r="Q2171" s="654" t="n">
        <x:f>IF($P2171="","",-$P2171)</x:f>
        <x:v>-1</x:v>
      </x:c>
      <x:c r="R2171" s="655" t="n">
        <x:f>IF($P2171="","",$O2171*$P2171)</x:f>
        <x:v>0</x:v>
      </x:c>
      <x:c r="S2171" s="552" t="str">
        <x:f>IF($M2171="","",TRIM(IF($M2171="Mineral",IF(ISNUMBER($N2171),"Mineral; basis Conv Amt(dec). ",IF($P2171=0,"Mineral; surface-only/reserved-&gt;0 min. ","Mineral; NO AMOUNT-verify instrument. ")),$M2171&amp;" (non-mineral; excluded from mineral NMA). ")&amp;IF(OR(ISNUMBER(SEARCH("public",$G2171)),ISNUMBER(SEARCH("public",$H2171))),"FLAG: The Public placeholder-verify. ","")&amp;IF(ISNUMBER(SEARCH("all",$L2171)),"All-section coverage. ","")&amp;IF($O2171=0,"Gross acres unresolved. ","")&amp;"Gross=tract-map basis."))</x:f>
        <x:v>Mineral; basis Conv Amt(dec). Gross acres unresolved. Gross=tract-map basis.</x:v>
      </x:c>
      <x:c r="T2171" s="577" t="n"/>
      <x:c r="U2171" s="578" t="n"/>
      <x:c r="V2171" s="565" t="n"/>
      <x:c r="W2171" s="565" t="n"/>
      <x:c r="X2171" s="565" t="n"/>
      <x:c r="Y2171" s="565" t="n"/>
      <x:c r="Z2171" s="565" t="n"/>
    </x:row>
    <x:row r="2172">
      <x:c r="A2172" s="552" t="inlineStr">
        <x:is>
          <x:t xml:space="preserve">2026-002547</x:t>
        </x:is>
      </x:c>
      <x:c r="B2172" s="552" t="n">
        <x:v>98</x:v>
      </x:c>
      <x:c r="C2172" s="552" t="inlineStr">
        <x:is>
          <x:t xml:space="preserve">Wellbore Assignment</x:t>
        </x:is>
      </x:c>
      <x:c r="D2172" s="563" t="inlineStr">
        <x:is>
          <x:t xml:space="preserve">2698/69</x:t>
        </x:is>
      </x:c>
      <x:c r="E2172" s="653" t="n">
        <x:v>46023</x:v>
      </x:c>
      <x:c r="F2172" s="653" t="n">
        <x:v>46146</x:v>
      </x:c>
      <x:c r="G2172" s="552" t="inlineStr">
        <x:is>
          <x:t xml:space="preserve">Martin'S Empire, LLC</x:t>
        </x:is>
      </x:c>
      <x:c r="H2172" s="552" t="inlineStr">
        <x:is>
          <x:t xml:space="preserve">Stride Bank, of the Unbrella Trust, Trustee</x:t>
        </x:is>
      </x:c>
      <x:c r="I2172" s="552" t="inlineStr">
        <x:is>
          <x:t xml:space="preserve">NW/4 NW/4 of 31-12N-24W, aol</x:t>
        </x:is>
      </x:c>
      <x:c r="J2172" s="552" t="inlineStr">
        <x:is>
          <x:t xml:space="preserve">Transfers wellbore-only rights</x:t>
        </x:is>
      </x:c>
      <x:c r="K2172" s="554" t="e">
        <x:f>HYPERLINK("https://okcountyrecords.com/detail/roger+mills/2026-002547/35349405","OKCountyRecords: 2026-002547")</x:f>
      </x:c>
      <x:c r="L2172" s="552" t="n">
        <x:v>5</x:v>
      </x:c>
      <x:c r="M2172" s="552" t="inlineStr">
        <x:is>
          <x:t xml:space="preserve">Leasehold</x:t>
        </x:is>
      </x:c>
      <x:c r="N2172" s="555" t="n"/>
      <x:c r="O2172" s="556" t="n">
        <x:f>IF($L2172="","",IF(ISNUMBER(SEARCH("all",$L2172)),640,(ISNUMBER(SEARCH("1",$L2172)))*80+(ISNUMBER(SEARCH("2",$L2172)))*160+(ISNUMBER(SEARCH("3",$L2172)))*40+(ISNUMBER(SEARCH("4",$L2172)))*80+(ISNUMBER(SEARCH("5",$L2172)))*120+(ISNUMBER(SEARCH("6",$L2172)))*80+(ISNUMBER(SEARCH("7",$L2172)))*40+(ISNUMBER(SEARCH("8",$L2172)))*40))</x:f>
        <x:v>0</x:v>
      </x:c>
      <x:c r="P2172" s="654" t="str">
        <x:f>IF($M2172&lt;&gt;"Mineral","",IF(ISNUMBER($N2172),$N2172,IF(OR(ISNUMBER(SEARCH("surface",$J2172)),ISNUMBER(SEARCH("reserv",$J2172)),ISNUMBER(SEARCH("less and except",$J2172))),0,"")))</x:f>
      </x:c>
      <x:c r="Q2172" s="654" t="str">
        <x:f>IF($P2172="","",-$P2172)</x:f>
      </x:c>
      <x:c r="R2172" s="655" t="str">
        <x:f>IF($P2172="","",$O2172*$P2172)</x:f>
      </x:c>
      <x:c r="S2172" s="552" t="str">
        <x:f>IF($M2172="","",TRIM(IF($M2172="Mineral",IF(ISNUMBER($N2172),"Mineral; basis Conv Amt(dec). ",IF($P2172=0,"Mineral; surface-only/reserved-&gt;0 min. ","Mineral; NO AMOUNT-verify instrument. ")),$M2172&amp;" (non-mineral; excluded from mineral NMA). ")&amp;IF(OR(ISNUMBER(SEARCH("public",$G2172)),ISNUMBER(SEARCH("public",$H2172))),"FLAG: The Public placeholder-verify. ","")&amp;IF(ISNUMBER(SEARCH("all",$L2172)),"All-section coverage. ","")&amp;IF($O2172=0,"Gross acres unresolved. ","")&amp;"Gross=tract-map basis."))</x:f>
        <x:v>Leasehold (non-mineral; excluded from mineral NMA). Gross acres unresolved. Gross=tract-map basis.</x:v>
      </x:c>
      <x:c r="T2172" s="577" t="n"/>
      <x:c r="U2172" s="578" t="n"/>
      <x:c r="V2172" s="565" t="n"/>
      <x:c r="W2172" s="565" t="n"/>
      <x:c r="X2172" s="565" t="n"/>
      <x:c r="Y2172" s="565" t="n"/>
      <x:c r="Z2172" s="565" t="n"/>
    </x:row>
    <x:row r="2173">
      <x:c r="A2173" s="552" t="inlineStr">
        <x:is>
          <x:t xml:space="preserve">2026-000506</x:t>
        </x:is>
      </x:c>
      <x:c r="B2173" s="552" t="n"/>
      <x:c r="C2173" s="552" t="inlineStr">
        <x:is>
          <x:t xml:space="preserve">Correction and Supplement to Memorandum of Divisive Merger</x:t>
        </x:is>
      </x:c>
      <x:c r="D2173" s="552" t="inlineStr">
        <x:is>
          <x:t xml:space="preserve">2679/1</x:t>
        </x:is>
      </x:c>
      <x:c r="E2173" s="653" t="n">
        <x:v>46041</x:v>
      </x:c>
      <x:c r="F2173" s="653" t="n">
        <x:v>46052</x:v>
      </x:c>
      <x:c r="G2173" s="552" t="inlineStr">
        <x:is>
          <x:t xml:space="preserve">Midcon Buyerco, LLC,
Midcon Energy Development, LLC,
Midcon Energy Pdp, LLC,
Midcon Energy Prodction, LLC,
Windsor OK, LLC</x:t>
        </x:is>
      </x:c>
      <x:c r="H2173" s="552" t="inlineStr">
        <x:is>
          <x:t xml:space="preserve">The Public</x:t>
        </x:is>
      </x:c>
      <x:c r="I2173" s="552" t="inlineStr">
        <x:is>
          <x:t xml:space="preserve">All of 31-12N-24W, aol</x:t>
        </x:is>
      </x:c>
      <x:c r="J2173" s="552" t="inlineStr">
        <x:is>
          <x:t xml:space="preserve">WHEREAS, the sole mémber of Windsor OK approved the Plan of Divisional Merger of Windsor OK, LLC, which provided for a divisional merger of Windsor OK (the "Merger") pursuant to the Texas Business Organization Code, as amended (the "TBOC") and as defined by TBOC
Section 1.002(55)(A), which resulted in (1) Windsor OK continuing as a surviving company, and (2) the creation of each of NewCo Production, NewCo PDP and NewCo Development, in each case as authorized by the TBOC and pursuant to the terms and conditions set forth in the Plan of Divisional Merger dated as of even date herewith (the "Divisional Merger"); WHEREAS, the sole member of each of Windsor OK and Acquisition Company determined that is advisable and in the best interests of each Party to enter into that certain Agreement and Plan of Merger, defined by TBOC Section 1.002(55)(B) and the Delaware Limited Liability Company Act (“"DLLCA"), which resulted in (1) Windsor OK merging into Acquisition Company, and (2) Acquisition Company continuing as the sole surviving entity of the pursuant to the terms and conditions set forth in the Plan of Divisional Merger dated as of even date herewith (the "Acquisition Consolidation");
WHEREAS, the sole member of each of Windsor OK Production Sub, LLC, a Texas limited liability company and an entity created by the Divisional Merger (the "NewCo Production") and the.Asset Entity determined that is advisable and in the best interests of each Party to enter into that certain Agreement and Plan of Merger, defined by TBOC Section 1.002(55)(B) and the Delaware Limited Liability Company Act ("DLLCA"), which resulted in (1) entity of the pursuant to the terms and conditions set forth in the Plan of Divisional Merger dated as of even date herewith (the "Production Consolidation"); WHEREAS, the sole member of each of Windsor OK PDP, LLC, a Texas limited liability company and an entity created by the Divisional Merger (the "NewCo PDP") and PDP Entity determined that is advisable and in the best interests of each Party to enter into that certain Agreement and Plan ofMerger, defined by TBOC Section 1.002(55)(B) and the Delaware Limited Liability Company Act (“DLLCA"), which resulted in (1) Windsor OK merging into Acquisition Company, and (2) Acquisition Company continuing as the sole surviving entity of the pursuant to the terms and conditions set forth in the Plan of Divisional Merger dated as of even date herewith (the "PDP Consolidation");
WHEREAS, the sole member of each of Windsor OK Development Sub, LLC, a Texas limited liability company and an entity created by the Divisional Merger (the "NewCo Development") and Development Entity determined that is advisable and in the best interests of each Party to enter into that certain Agreement and Plan of Merger, defined by TBOC Section 1.002(55)(B) and the Delaware Limited Liability Company Act ("DLLCA"), which resulted in (1) NewCo Development merging into Development Entity, and (2) Development Entity continuing as the sole surviving entity of the pursuant to the terms and conditions set forth in the Plan of Divisional Merger dated as of even date herewith (the "Development Consolidation" and together with the Divisional Merger, the Acquisition Consolidation, the Production Consolidation and the PDP Consolidation, the "Merger Agreements");
WHEREAS, in lieu of recording the Merger Agreements in their entirety, the Parties executed, acknowledged and delivered a Memorandum of Divisive Merger dated October 1, 2025, and effective October 1, 2025, and recorded as Reception No. I-2025-006541 in Roger Mills County, Oklahoma for purposes of giving public notice of said agreement (the "Memorandum"), which this Supplement supplements;</x:t>
        </x:is>
      </x:c>
      <x:c r="K2173" s="554" t="e">
        <x:f>HYPERLINK("https://okcountyrecords.com/detail/roger+mills/2026-000506","63e8b9a8d056433a9994fe46ca85076b.pdf | OKCountyRecords: 2026-000506")</x:f>
      </x:c>
      <x:c r="L2173" s="552" t="inlineStr">
        <x:is>
          <x:t xml:space="preserve">All (1-8)</x:t>
        </x:is>
      </x:c>
      <x:c r="M2173" s="552" t="inlineStr">
        <x:is>
          <x:t xml:space="preserve">Leasehold</x:t>
        </x:is>
      </x:c>
      <x:c r="N2173" s="555" t="n"/>
      <x:c r="O2173" s="556" t="n">
        <x:f>IF($L2173="","",IF(ISNUMBER(SEARCH("all",$L2173)),640,(ISNUMBER(SEARCH("1",$L2173)))*80+(ISNUMBER(SEARCH("2",$L2173)))*160+(ISNUMBER(SEARCH("3",$L2173)))*40+(ISNUMBER(SEARCH("4",$L2173)))*80+(ISNUMBER(SEARCH("5",$L2173)))*120+(ISNUMBER(SEARCH("6",$L2173)))*80+(ISNUMBER(SEARCH("7",$L2173)))*40+(ISNUMBER(SEARCH("8",$L2173)))*40))</x:f>
        <x:v>640</x:v>
      </x:c>
      <x:c r="P2173" s="654" t="str">
        <x:f>IF($M2173&lt;&gt;"Mineral","",IF(ISNUMBER($N2173),$N2173,IF(OR(ISNUMBER(SEARCH("surface",$J2173)),ISNUMBER(SEARCH("reserv",$J2173)),ISNUMBER(SEARCH("less and except",$J2173))),0,"")))</x:f>
      </x:c>
      <x:c r="Q2173" s="654" t="str">
        <x:f>IF($P2173="","",-$P2173)</x:f>
      </x:c>
      <x:c r="R2173" s="655" t="str">
        <x:f>IF($P2173="","",$O2173*$P2173)</x:f>
      </x:c>
      <x:c r="S2173" s="552" t="inlineStr">
        <x:is>
          <x:t xml:space="preserve">Leasehold (non-mineral; excluded from mineral NMA). All-section coverage. Gross=tract-map basis.</x:t>
        </x:is>
      </x:c>
      <x:c r="T2173" s="578" t="inlineStr">
        <x:is>
          <x:t xml:space="preserve">OK</x:t>
        </x:is>
      </x:c>
      <x:c r="U2173" s="578" t="inlineStr">
        <x:is>
          <x:t xml:space="preserve">ARTI/notice instrument (The Public); no net mineral acres conveyed.</x:t>
        </x:is>
      </x:c>
      <x:c r="V2173" s="565" t="n"/>
      <x:c r="W2173" s="565" t="n"/>
      <x:c r="X2173" s="565" t="n"/>
      <x:c r="Y2173" s="565" t="n"/>
      <x:c r="Z2173" s="565" t="n"/>
    </x:row>
    <x:row r="2174">
      <x:c r="A2174" s="552" t="inlineStr">
        <x:is>
          <x:t xml:space="preserve">2026-003145</x:t>
        </x:is>
      </x:c>
      <x:c r="B2174" s="552" t="n">
        <x:v>68</x:v>
      </x:c>
      <x:c r="C2174" s="552" t="inlineStr">
        <x:is>
          <x:t xml:space="preserve">Oil and Gas Lease</x:t>
        </x:is>
      </x:c>
      <x:c r="D2174" s="552" t="inlineStr">
        <x:is>
          <x:t xml:space="preserve">2702/505</x:t>
        </x:is>
      </x:c>
      <x:c r="E2174" s="653" t="n">
        <x:v>46064</x:v>
      </x:c>
      <x:c r="F2174" s="653" t="n">
        <x:v>46170</x:v>
      </x:c>
      <x:c r="G2174" s="552" t="inlineStr">
        <x:is>
          <x:t xml:space="preserve">Gena W. Moore, a/k/a Gena Mitchell Williams, a/k/a Gena Williams
100 W Dogwood Steet
Hobart, OK 73651</x:t>
        </x:is>
      </x:c>
      <x:c r="H2174" s="552" t="inlineStr">
        <x:is>
          <x:t xml:space="preserve">Silver Oak Natural Resources, LLC</x:t>
        </x:is>
      </x:c>
      <x:c r="I2174" s="552" t="inlineStr">
        <x:is>
          <x:t xml:space="preserve">N/2 NE/4, SE/4 NE/4, NE/4 SE/4, E/2 NW/4, S/2 of Lot 3, Lot 4, S/2 NE/4 SW/4, SE/4 SW/4, N/2 NE/4 SW/4 of 31-12N-24W</x:t>
        </x:is>
      </x:c>
      <x:c r="J2174" s="552" t="inlineStr">
        <x:is>
          <x:t xml:space="preserve">375.34 acres, more or less
three-sixteenths (3/16ths) royalty
for a term of five (5) years 
This Lease may be subject to a Prior Oiland Gas Lease (the "Prior Lease") covering the lease premises The
Prior Lease is from Nancy Mitchell Willams, as Lessor, to R. Michael Lortz, as Lessee, dated January 14, 2004, and recorded in Book 1736, Page 592.
It is the intent ofthe Lessor to lessee, and Lessor does hereby grant, demise, lease and let unto Lessee, all oil and gas, as defined herein owned by Lessor in Section 31, Township 12 North, Range 24 West, Roger Mills County, Oklahoma, whether or not properly and completely described</x:t>
        </x:is>
      </x:c>
      <x:c r="K2174" s="554" t="e">
        <x:f>HYPERLINK("https://okcountyrecords.com/detail/roger+mills/2026-003145/35404151","OKCountyRecords: 2026-003145")</x:f>
      </x:c>
      <x:c r="L2174" s="552" t="inlineStr">
        <x:is>
          <x:t xml:space="preserve">All (1-8)</x:t>
        </x:is>
      </x:c>
      <x:c r="M2174" s="552" t="inlineStr">
        <x:is>
          <x:t xml:space="preserve">Leasehold</x:t>
        </x:is>
      </x:c>
      <x:c r="N2174" s="561" t="n"/>
      <x:c r="O2174" s="556" t="n">
        <x:f>IF($L2174="","",IF(ISNUMBER(SEARCH("all",$L2174)),640,(ISNUMBER(SEARCH("1",$L2174)))*80+(ISNUMBER(SEARCH("2",$L2174)))*160+(ISNUMBER(SEARCH("3",$L2174)))*40+(ISNUMBER(SEARCH("4",$L2174)))*80+(ISNUMBER(SEARCH("5",$L2174)))*120+(ISNUMBER(SEARCH("6",$L2174)))*80+(ISNUMBER(SEARCH("7",$L2174)))*40+(ISNUMBER(SEARCH("8",$L2174)))*40))</x:f>
        <x:v>640</x:v>
      </x:c>
      <x:c r="P2174" s="654" t="str">
        <x:f>IF($M2174&lt;&gt;"Mineral","",IF(ISNUMBER($N2174),$N2174,IF(OR(ISNUMBER(SEARCH("surface",$J2174)),ISNUMBER(SEARCH("reserv",$J2174)),ISNUMBER(SEARCH("less and except",$J2174))),0,"")))</x:f>
      </x:c>
      <x:c r="Q2174" s="654" t="str">
        <x:f>IF($P2174="","",-$P2174)</x:f>
      </x:c>
      <x:c r="R2174" s="655" t="str">
        <x:f>IF($P2174="","",$O2174*$P2174)</x:f>
      </x:c>
      <x:c r="S2174" s="552" t="str">
        <x:f>IF($M2174="","",TRIM(IF($M2174="Mineral",IF(ISNUMBER($N2174),"Mineral; basis Conv Amt(dec). ",IF($P2174=0,"Mineral; surface-only/reserved-&gt;0 min. ","Mineral; NO AMOUNT-verify instrument. ")),$M2174&amp;" (non-mineral; excluded from mineral NMA). ")&amp;IF(OR(ISNUMBER(SEARCH("public",$G2174)),ISNUMBER(SEARCH("public",$H2174))),"FLAG: The Public placeholder-verify. ","")&amp;IF(ISNUMBER(SEARCH("all",$L2174)),"All-section coverage. ","")&amp;IF($O2174=0,"Gross acres unresolved. ","")&amp;"Gross=tract-map basis."))</x:f>
        <x:v>Leasehold (non-mineral; excluded from mineral NMA). All-section coverage. Gross=tract-map basis.</x:v>
      </x:c>
      <x:c r="T2174" s="577" t="n"/>
      <x:c r="U2174" s="578" t="n"/>
      <x:c r="V2174" s="565" t="n"/>
      <x:c r="W2174" s="565" t="n"/>
      <x:c r="X2174" s="565" t="n"/>
      <x:c r="Y2174" s="565" t="n"/>
      <x:c r="Z2174" s="565" t="n"/>
    </x:row>
    <x:row r="2175">
      <x:c r="A2175" s="552" t="inlineStr">
        <x:is>
          <x:t xml:space="preserve">2026-002511</x:t>
        </x:is>
      </x:c>
      <x:c r="B2175" s="552" t="n">
        <x:v>67</x:v>
      </x:c>
      <x:c r="C2175" s="552" t="inlineStr">
        <x:is>
          <x:t xml:space="preserve">Oil and Gas Lease</x:t>
        </x:is>
      </x:c>
      <x:c r="D2175" s="552" t="inlineStr">
        <x:is>
          <x:t xml:space="preserve">2697/520</x:t>
        </x:is>
      </x:c>
      <x:c r="E2175" s="653" t="n">
        <x:v>46070</x:v>
      </x:c>
      <x:c r="F2175" s="653" t="n">
        <x:v>46143</x:v>
      </x:c>
      <x:c r="G2175" s="552" t="inlineStr">
        <x:is>
          <x:t xml:space="preserve">Keri Lee Daigle Tucker Trust
728 Hollyhock Dr,
Lexington, Ky 40511</x:t>
        </x:is>
      </x:c>
      <x:c r="H2175" s="552" t="inlineStr">
        <x:is>
          <x:t xml:space="preserve">Silver Oak Natural Resources, LLC</x:t>
        </x:is>
      </x:c>
      <x:c r="I2175" s="552" t="inlineStr">
        <x:is>
          <x:t xml:space="preserve">SE/4 NE/4, NE/4 SE/4, E/2 NW/4, N/2 NE/4 SW/4 of 31-12N-24W</x:t>
        </x:is>
      </x:c>
      <x:c r="J2175" s="552" t="inlineStr">
        <x:is>
          <x:t xml:space="preserve">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x:t>
        </x:is>
      </x:c>
      <x:c r="K2175" s="554" t="e">
        <x:f>HYPERLINK("https://okcountyrecords.com/detail/roger+mills/2026-002511/35346711","OKCountyRecords: 2026-002511")</x:f>
      </x:c>
      <x:c r="L2175" s="552" t="inlineStr">
        <x:is>
          <x:t xml:space="preserve">1, 3, 4, 7, 8</x:t>
        </x:is>
      </x:c>
      <x:c r="M2175" s="552" t="inlineStr">
        <x:is>
          <x:t xml:space="preserve">Leasehold</x:t>
        </x:is>
      </x:c>
      <x:c r="N2175" s="561" t="n"/>
      <x:c r="O2175" s="556" t="n">
        <x:f>IF($L2175="","",IF(ISNUMBER(SEARCH("all",$L2175)),640,(ISNUMBER(SEARCH("1",$L2175)))*80+(ISNUMBER(SEARCH("2",$L2175)))*160+(ISNUMBER(SEARCH("3",$L2175)))*40+(ISNUMBER(SEARCH("4",$L2175)))*80+(ISNUMBER(SEARCH("5",$L2175)))*120+(ISNUMBER(SEARCH("6",$L2175)))*80+(ISNUMBER(SEARCH("7",$L2175)))*40+(ISNUMBER(SEARCH("8",$L2175)))*40))</x:f>
        <x:v>0</x:v>
      </x:c>
      <x:c r="P2175" s="654" t="str">
        <x:f>IF($M2175&lt;&gt;"Mineral","",IF(ISNUMBER($N2175),$N2175,IF(OR(ISNUMBER(SEARCH("surface",$J2175)),ISNUMBER(SEARCH("reserv",$J2175)),ISNUMBER(SEARCH("less and except",$J2175))),0,"")))</x:f>
      </x:c>
      <x:c r="Q2175" s="654" t="str">
        <x:f>IF($P2175="","",-$P2175)</x:f>
      </x:c>
      <x:c r="R2175" s="655" t="str">
        <x:f>IF($P2175="","",$O2175*$P2175)</x:f>
      </x:c>
      <x:c r="S2175" s="552" t="str">
        <x:f>IF($M2175="","",TRIM(IF($M2175="Mineral",IF(ISNUMBER($N2175),"Mineral; basis Conv Amt(dec). ",IF($P2175=0,"Mineral; surface-only/reserved-&gt;0 min. ","Mineral; NO AMOUNT-verify instrument. ")),$M2175&amp;" (non-mineral; excluded from mineral NMA). ")&amp;IF(OR(ISNUMBER(SEARCH("public",$G2175)),ISNUMBER(SEARCH("public",$H2175))),"FLAG: The Public placeholder-verify. ","")&amp;IF(ISNUMBER(SEARCH("all",$L2175)),"All-section coverage. ","")&amp;IF($O2175=0,"Gross acres unresolved. ","")&amp;"Gross=tract-map basis."))</x:f>
        <x:v>Leasehold (non-mineral; excluded from mineral NMA). Gross acres unresolved. Gross=tract-map basis.</x:v>
      </x:c>
      <x:c r="T2175" s="578" t="n"/>
      <x:c r="U2175" s="578" t="n"/>
      <x:c r="V2175" s="565" t="n"/>
      <x:c r="W2175" s="565" t="n"/>
      <x:c r="X2175" s="565" t="n"/>
      <x:c r="Y2175" s="565" t="n"/>
      <x:c r="Z2175" s="565" t="n"/>
    </x:row>
    <x:row r="2176">
      <x:c r="A2176" s="552" t="inlineStr">
        <x:is>
          <x:t xml:space="preserve">2026-002511</x:t>
        </x:is>
      </x:c>
      <x:c r="B2176" s="552" t="n">
        <x:v>86</x:v>
      </x:c>
      <x:c r="C2176" s="552" t="inlineStr">
        <x:is>
          <x:t xml:space="preserve">Oil and Gas Lease</x:t>
        </x:is>
      </x:c>
      <x:c r="D2176" s="563" t="inlineStr">
        <x:is>
          <x:t xml:space="preserve">2697/520</x:t>
        </x:is>
      </x:c>
      <x:c r="E2176" s="653" t="n">
        <x:v>46070</x:v>
      </x:c>
      <x:c r="F2176" s="653" t="n">
        <x:v>46143</x:v>
      </x:c>
      <x:c r="G2176" s="552" t="inlineStr">
        <x:is>
          <x:t xml:space="preserve">Keri Lee Daigle Tucker Trust
728 Hollyhock Dr.
Lexington, Ky 40511</x:t>
        </x:is>
      </x:c>
      <x:c r="H2176" s="552" t="inlineStr">
        <x:is>
          <x:t xml:space="preserve">Silver Oak Natural Resources, LLC</x:t>
        </x:is>
      </x:c>
      <x:c r="I2176" s="552" t="inlineStr">
        <x:is>
          <x:t xml:space="preserve">SE/4 NE/4, NE/4 SE/4, E/2 NW/4, N/2 NE/4 SW/4 of 31-12N-24W</x:t>
        </x:is>
      </x:c>
      <x:c r="J2176" s="552" t="inlineStr">
        <x:is>
          <x:t xml:space="preserve">180 acres, more or less
term of five (5) years
three-sixteenths (3/16ths) royalty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x:t>
        </x:is>
      </x:c>
      <x:c r="K2176" s="579" t="inlineStr">
        <x:is>
          <x:t xml:space="preserve">OKCountyRecords: 2026-002511</x:t>
        </x:is>
      </x:c>
      <x:c r="L2176" s="552" t="inlineStr">
        <x:is>
          <x:t xml:space="preserve">1, 3, 4, 7, 8</x:t>
        </x:is>
      </x:c>
      <x:c r="M2176" s="552" t="inlineStr">
        <x:is>
          <x:t xml:space="preserve">Leasehold</x:t>
        </x:is>
      </x:c>
      <x:c r="N2176" s="561" t="n"/>
      <x:c r="O2176" s="556" t="n">
        <x:f>IF($L2176="","",IF(ISNUMBER(SEARCH("all",$L2176)),640,(ISNUMBER(SEARCH("1",$L2176)))*80+(ISNUMBER(SEARCH("2",$L2176)))*160+(ISNUMBER(SEARCH("3",$L2176)))*40+(ISNUMBER(SEARCH("4",$L2176)))*80+(ISNUMBER(SEARCH("5",$L2176)))*120+(ISNUMBER(SEARCH("6",$L2176)))*80+(ISNUMBER(SEARCH("7",$L2176)))*40+(ISNUMBER(SEARCH("8",$L2176)))*40))</x:f>
        <x:v>0</x:v>
      </x:c>
      <x:c r="P2176" s="654" t="str">
        <x:f>IF($M2176&lt;&gt;"Mineral","",IF(ISNUMBER($N2176),$N2176,IF(OR(ISNUMBER(SEARCH("surface",$J2176)),ISNUMBER(SEARCH("reserv",$J2176)),ISNUMBER(SEARCH("less and except",$J2176))),0,"")))</x:f>
      </x:c>
      <x:c r="Q2176" s="654" t="str">
        <x:f>IF($P2176="","",-$P2176)</x:f>
      </x:c>
      <x:c r="R2176" s="655" t="str">
        <x:f>IF($P2176="","",$O2176*$P2176)</x:f>
      </x:c>
      <x:c r="S2176" s="552" t="str">
        <x:f>IF($M2176="","",TRIM(IF($M2176="Mineral",IF(ISNUMBER($N2176),"Mineral; basis Conv Amt(dec). ",IF($P2176=0,"Mineral; surface-only/reserved-&gt;0 min. ","Mineral; NO AMOUNT-verify instrument. ")),$M2176&amp;" (non-mineral; excluded from mineral NMA). ")&amp;IF(OR(ISNUMBER(SEARCH("public",$G2176)),ISNUMBER(SEARCH("public",$H2176))),"FLAG: The Public placeholder-verify. ","")&amp;IF(ISNUMBER(SEARCH("all",$L2176)),"All-section coverage. ","")&amp;IF($O2176=0,"Gross acres unresolved. ","")&amp;"Gross=tract-map basis."))</x:f>
        <x:v>Leasehold (non-mineral; excluded from mineral NMA). Gross acres unresolved. Gross=tract-map basis.</x:v>
      </x:c>
      <x:c r="T2176" s="578" t="n"/>
      <x:c r="U2176" s="578" t="n"/>
      <x:c r="V2176" s="565" t="n"/>
      <x:c r="W2176" s="565" t="n"/>
      <x:c r="X2176" s="565" t="n"/>
      <x:c r="Y2176" s="565" t="n"/>
      <x:c r="Z2176" s="565" t="n"/>
    </x:row>
    <x:row r="2177">
      <x:c r="A2177" s="552" t="inlineStr">
        <x:is>
          <x:t xml:space="preserve">2026-001952</x:t>
        </x:is>
      </x:c>
      <x:c r="B2177" s="552" t="n">
        <x:v>66</x:v>
      </x:c>
      <x:c r="C2177" s="552" t="inlineStr">
        <x:is>
          <x:t xml:space="preserve">Oil and Gas Lease</x:t>
        </x:is>
      </x:c>
      <x:c r="D2177" s="552" t="inlineStr">
        <x:is>
          <x:t xml:space="preserve">2693/349</x:t>
        </x:is>
      </x:c>
      <x:c r="E2177" s="653" t="n">
        <x:v>46076</x:v>
      </x:c>
      <x:c r="F2177" s="653" t="n">
        <x:v>46122</x:v>
      </x:c>
      <x:c r="G2177" s="552" t="inlineStr">
        <x:is>
          <x:t xml:space="preserve">Mark Ashley Daigle Trust
11681 E. 83rd Street N, Apt. C
Owasso, OK 74055</x:t>
        </x:is>
      </x:c>
      <x:c r="H2177" s="552" t="inlineStr">
        <x:is>
          <x:t xml:space="preserve">Silver Oak Natural Resources, LLC</x:t>
        </x:is>
      </x:c>
      <x:c r="I2177" s="552" t="inlineStr">
        <x:is>
          <x:t xml:space="preserve">SE/4 NE/4, NE/4 SE/4, E/2 NW/4, N/2 NE/4 SW/4 of 31-12N-24W</x:t>
        </x:is>
      </x:c>
      <x:c r="J2177" s="552" t="inlineStr">
        <x:is>
          <x:t xml:space="preserve">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x:t>
        </x:is>
      </x:c>
      <x:c r="K2177" s="554" t="e">
        <x:f>HYPERLINK("https://okcountyrecords.com/detail/roger+mills/2026-001952/35274563","OKCountyRecords: 2026-001952")</x:f>
      </x:c>
      <x:c r="L2177" s="552" t="inlineStr">
        <x:is>
          <x:t xml:space="preserve">1, 3, 4, 7, 8</x:t>
        </x:is>
      </x:c>
      <x:c r="M2177" s="552" t="inlineStr">
        <x:is>
          <x:t xml:space="preserve">Leasehold</x:t>
        </x:is>
      </x:c>
      <x:c r="N2177" s="561" t="n"/>
      <x:c r="O2177" s="556" t="n">
        <x:f>IF($L2177="","",IF(ISNUMBER(SEARCH("all",$L2177)),640,(ISNUMBER(SEARCH("1",$L2177)))*80+(ISNUMBER(SEARCH("2",$L2177)))*160+(ISNUMBER(SEARCH("3",$L2177)))*40+(ISNUMBER(SEARCH("4",$L2177)))*80+(ISNUMBER(SEARCH("5",$L2177)))*120+(ISNUMBER(SEARCH("6",$L2177)))*80+(ISNUMBER(SEARCH("7",$L2177)))*40+(ISNUMBER(SEARCH("8",$L2177)))*40))</x:f>
        <x:v>0</x:v>
      </x:c>
      <x:c r="P2177" s="654" t="str">
        <x:f>IF($M2177&lt;&gt;"Mineral","",IF(ISNUMBER($N2177),$N2177,IF(OR(ISNUMBER(SEARCH("surface",$J2177)),ISNUMBER(SEARCH("reserv",$J2177)),ISNUMBER(SEARCH("less and except",$J2177))),0,"")))</x:f>
      </x:c>
      <x:c r="Q2177" s="654" t="str">
        <x:f>IF($P2177="","",-$P2177)</x:f>
      </x:c>
      <x:c r="R2177" s="655" t="str">
        <x:f>IF($P2177="","",$O2177*$P2177)</x:f>
      </x:c>
      <x:c r="S2177" s="552" t="str">
        <x:f>IF($M2177="","",TRIM(IF($M2177="Mineral",IF(ISNUMBER($N2177),"Mineral; basis Conv Amt(dec). ",IF($P2177=0,"Mineral; surface-only/reserved-&gt;0 min. ","Mineral; NO AMOUNT-verify instrument. ")),$M2177&amp;" (non-mineral; excluded from mineral NMA). ")&amp;IF(OR(ISNUMBER(SEARCH("public",$G2177)),ISNUMBER(SEARCH("public",$H2177))),"FLAG: The Public placeholder-verify. ","")&amp;IF(ISNUMBER(SEARCH("all",$L2177)),"All-section coverage. ","")&amp;IF($O2177=0,"Gross acres unresolved. ","")&amp;"Gross=tract-map basis."))</x:f>
        <x:v>Leasehold (non-mineral; excluded from mineral NMA). Gross acres unresolved. Gross=tract-map basis.</x:v>
      </x:c>
      <x:c r="T2177" s="577" t="n"/>
      <x:c r="U2177" s="578" t="n"/>
      <x:c r="V2177" s="565" t="n"/>
      <x:c r="W2177" s="565" t="n"/>
      <x:c r="X2177" s="565" t="n"/>
      <x:c r="Y2177" s="565" t="n"/>
      <x:c r="Z2177" s="565" t="n"/>
    </x:row>
    <x:row r="2178">
      <x:c r="A2178" s="552" t="inlineStr">
        <x:is>
          <x:t xml:space="preserve">2026-001949</x:t>
        </x:is>
      </x:c>
      <x:c r="B2178" s="552" t="n">
        <x:v>64</x:v>
      </x:c>
      <x:c r="C2178" s="552" t="inlineStr">
        <x:is>
          <x:t xml:space="preserve">Oil and Gas Lease</x:t>
        </x:is>
      </x:c>
      <x:c r="D2178" s="552" t="inlineStr">
        <x:is>
          <x:t xml:space="preserve">2693/337</x:t>
        </x:is>
      </x:c>
      <x:c r="E2178" s="653" t="n">
        <x:v>46076</x:v>
      </x:c>
      <x:c r="F2178" s="653" t="n">
        <x:v>46122</x:v>
      </x:c>
      <x:c r="G2178" s="552" t="inlineStr">
        <x:is>
          <x:t xml:space="preserve">Mitchell Buonaccorsi Living Trust U/A dated July 9, 2024
1880 Old Salem Road
Watkinsville, Ga 30677</x:t>
        </x:is>
      </x:c>
      <x:c r="H2178" s="552" t="inlineStr">
        <x:is>
          <x:t xml:space="preserve">Silver Oak Natural Resources, LLC
5030 N. May Avenue, Suite 125
Oklahoma City, OK 73112</x:t>
        </x:is>
      </x:c>
      <x:c r="I2178" s="552" t="inlineStr">
        <x:is>
          <x:t xml:space="preserve">E/2 NW/4, N/2 NE/4, N/2 NE/4 SW/4, NE/4 SE/4, NE/4 SW/4, S/2, Lots 3-4, SE/4 NE/4, SE/4 SW/4 of 31-12N-24W</x:t>
        </x:is>
      </x:c>
      <x:c r="J2178" s="552" t="inlineStr">
        <x:is>
          <x:t xml:space="preserve">355.34 acres, more or less
three-sixteenths (3/16ths) royalty
for a term of three (3) years 
This Lease may be subject to a Prior Oil and Gas Lease (the "Prior Lease") covering the lease premises. The Prior Lease is from Carrie Leeann Mitchell, as Lessor, to R. Michael Lortz, as Lessee, dated January 14, 2004. and recorded in Book 1736, Page 594 
It is the intent ofthe Lessor to lessee, and Lessor does hereby grant, demise, lease and let unto Lessee, all oil and gas, as defined herein owned by Lessor in Section 31, Township 12 North, Range 24 West, Roger Mills County, Oklahoma, whether or not properly and completely described</x:t>
        </x:is>
      </x:c>
      <x:c r="K2178" s="554" t="e">
        <x:f>HYPERLINK("https://okcountyrecords.com/detail/roger+mills/2026-001949/35274564","OKCountyRecords: 2026-001949")</x:f>
      </x:c>
      <x:c r="L2178" s="552" t="inlineStr">
        <x:is>
          <x:t xml:space="preserve">1, 3, 4, 5, 6, 7, 8</x:t>
        </x:is>
      </x:c>
      <x:c r="M2178" s="552" t="inlineStr">
        <x:is>
          <x:t xml:space="preserve">Leasehold</x:t>
        </x:is>
      </x:c>
      <x:c r="N2178" s="561" t="n"/>
      <x:c r="O2178" s="556" t="n">
        <x:f>IF($L2178="","",IF(ISNUMBER(SEARCH("all",$L2178)),640,(ISNUMBER(SEARCH("1",$L2178)))*80+(ISNUMBER(SEARCH("2",$L2178)))*160+(ISNUMBER(SEARCH("3",$L2178)))*40+(ISNUMBER(SEARCH("4",$L2178)))*80+(ISNUMBER(SEARCH("5",$L2178)))*120+(ISNUMBER(SEARCH("6",$L2178)))*80+(ISNUMBER(SEARCH("7",$L2178)))*40+(ISNUMBER(SEARCH("8",$L2178)))*40))</x:f>
        <x:v>0</x:v>
      </x:c>
      <x:c r="P2178" s="654" t="str">
        <x:f>IF($M2178&lt;&gt;"Mineral","",IF(ISNUMBER($N2178),$N2178,IF(OR(ISNUMBER(SEARCH("surface",$J2178)),ISNUMBER(SEARCH("reserv",$J2178)),ISNUMBER(SEARCH("less and except",$J2178))),0,"")))</x:f>
      </x:c>
      <x:c r="Q2178" s="654" t="str">
        <x:f>IF($P2178="","",-$P2178)</x:f>
      </x:c>
      <x:c r="R2178" s="655" t="str">
        <x:f>IF($P2178="","",$O2178*$P2178)</x:f>
      </x:c>
      <x:c r="S2178" s="552" t="str">
        <x:f>IF($M2178="","",TRIM(IF($M2178="Mineral",IF(ISNUMBER($N2178),"Mineral; basis Conv Amt(dec). ",IF($P2178=0,"Mineral; surface-only/reserved-&gt;0 min. ","Mineral; NO AMOUNT-verify instrument. ")),$M2178&amp;" (non-mineral; excluded from mineral NMA). ")&amp;IF(OR(ISNUMBER(SEARCH("public",$G2178)),ISNUMBER(SEARCH("public",$H2178))),"FLAG: The Public placeholder-verify. ","")&amp;IF(ISNUMBER(SEARCH("all",$L2178)),"All-section coverage. ","")&amp;IF($O2178=0,"Gross acres unresolved. ","")&amp;"Gross=tract-map basis."))</x:f>
        <x:v>Leasehold (non-mineral; excluded from mineral NMA). Gross acres unresolved. Gross=tract-map basis.</x:v>
      </x:c>
      <x:c r="T2178" s="578" t="n"/>
      <x:c r="U2178" s="578" t="n"/>
      <x:c r="V2178" s="565" t="n"/>
      <x:c r="W2178" s="565" t="n"/>
      <x:c r="X2178" s="565" t="n"/>
      <x:c r="Y2178" s="565" t="n"/>
      <x:c r="Z2178" s="565" t="n"/>
    </x:row>
    <x:row r="2179">
      <x:c r="A2179" s="552" t="inlineStr">
        <x:is>
          <x:t xml:space="preserve">2026-001951</x:t>
        </x:is>
      </x:c>
      <x:c r="B2179" s="552" t="n">
        <x:v>65</x:v>
      </x:c>
      <x:c r="C2179" s="552" t="inlineStr">
        <x:is>
          <x:t xml:space="preserve">Oil and Gas Lease</x:t>
        </x:is>
      </x:c>
      <x:c r="D2179" s="552" t="inlineStr">
        <x:is>
          <x:t xml:space="preserve">2693/345</x:t>
        </x:is>
      </x:c>
      <x:c r="E2179" s="653" t="n">
        <x:v>46080</x:v>
      </x:c>
      <x:c r="F2179" s="653" t="n">
        <x:v>46122</x:v>
      </x:c>
      <x:c r="G2179" s="552" t="inlineStr">
        <x:is>
          <x:t xml:space="preserve">Kevin Warner Johnson Trust
13259 Darwin Lane
Austin, TX 78729</x:t>
        </x:is>
      </x:c>
      <x:c r="H2179" s="552" t="inlineStr">
        <x:is>
          <x:t xml:space="preserve">Silver Oak Natural Resources, LLC</x:t>
        </x:is>
      </x:c>
      <x:c r="I2179" s="552" t="inlineStr">
        <x:is>
          <x:t xml:space="preserve">SE/4 NE/4, NE/4 SE/4, E/2 NW/4, N/2 NE/4 SW/4 of 31-12N-24W</x:t>
        </x:is>
      </x:c>
      <x:c r="J2179" s="552" t="inlineStr">
        <x:is>
          <x:t xml:space="preserve">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x:t>
        </x:is>
      </x:c>
      <x:c r="K2179" s="554" t="e">
        <x:f>HYPERLINK("https://okcountyrecords.com/detail/roger+mills/2026-001951/35274565","OKCountyRecords: 2026-001951")</x:f>
      </x:c>
      <x:c r="L2179" s="552" t="inlineStr">
        <x:is>
          <x:t xml:space="preserve">1, 3, 4, 7, 8</x:t>
        </x:is>
      </x:c>
      <x:c r="M2179" s="552" t="inlineStr">
        <x:is>
          <x:t xml:space="preserve">Leasehold</x:t>
        </x:is>
      </x:c>
      <x:c r="N2179" s="561" t="n"/>
      <x:c r="O2179" s="556" t="n">
        <x:f>IF($L2179="","",IF(ISNUMBER(SEARCH("all",$L2179)),640,(ISNUMBER(SEARCH("1",$L2179)))*80+(ISNUMBER(SEARCH("2",$L2179)))*160+(ISNUMBER(SEARCH("3",$L2179)))*40+(ISNUMBER(SEARCH("4",$L2179)))*80+(ISNUMBER(SEARCH("5",$L2179)))*120+(ISNUMBER(SEARCH("6",$L2179)))*80+(ISNUMBER(SEARCH("7",$L2179)))*40+(ISNUMBER(SEARCH("8",$L2179)))*40))</x:f>
        <x:v>0</x:v>
      </x:c>
      <x:c r="P2179" s="654" t="str">
        <x:f>IF($M2179&lt;&gt;"Mineral","",IF(ISNUMBER($N2179),$N2179,IF(OR(ISNUMBER(SEARCH("surface",$J2179)),ISNUMBER(SEARCH("reserv",$J2179)),ISNUMBER(SEARCH("less and except",$J2179))),0,"")))</x:f>
      </x:c>
      <x:c r="Q2179" s="654" t="str">
        <x:f>IF($P2179="","",-$P2179)</x:f>
      </x:c>
      <x:c r="R2179" s="655" t="str">
        <x:f>IF($P2179="","",$O2179*$P2179)</x:f>
      </x:c>
      <x:c r="S2179" s="552" t="str">
        <x:f>IF($M2179="","",TRIM(IF($M2179="Mineral",IF(ISNUMBER($N2179),"Mineral; basis Conv Amt(dec). ",IF($P2179=0,"Mineral; surface-only/reserved-&gt;0 min. ","Mineral; NO AMOUNT-verify instrument. ")),$M2179&amp;" (non-mineral; excluded from mineral NMA). ")&amp;IF(OR(ISNUMBER(SEARCH("public",$G2179)),ISNUMBER(SEARCH("public",$H2179))),"FLAG: The Public placeholder-verify. ","")&amp;IF(ISNUMBER(SEARCH("all",$L2179)),"All-section coverage. ","")&amp;IF($O2179=0,"Gross acres unresolved. ","")&amp;"Gross=tract-map basis."))</x:f>
        <x:v>Leasehold (non-mineral; excluded from mineral NMA). Gross acres unresolved. Gross=tract-map basis.</x:v>
      </x:c>
      <x:c r="T2179" s="577" t="n"/>
      <x:c r="U2179" s="578" t="n"/>
      <x:c r="V2179" s="565" t="n"/>
      <x:c r="W2179" s="565" t="n"/>
      <x:c r="X2179" s="565" t="n"/>
      <x:c r="Y2179" s="565" t="n"/>
      <x:c r="Z2179" s="565" t="n"/>
    </x:row>
    <x:row r="2180">
      <x:c r="A2180" s="552" t="inlineStr">
        <x:is>
          <x:t xml:space="preserve">2026-001374</x:t>
        </x:is>
      </x:c>
      <x:c r="B2180" s="552" t="n"/>
      <x:c r="C2180" s="552" t="inlineStr">
        <x:is>
          <x:t xml:space="preserve">Mineral Deed</x:t>
        </x:is>
      </x:c>
      <x:c r="D2180" s="552" t="inlineStr">
        <x:is>
          <x:t xml:space="preserve">2688/409</x:t>
        </x:is>
      </x:c>
      <x:c r="E2180" s="653" t="n">
        <x:v>46084</x:v>
      </x:c>
      <x:c r="F2180" s="653" t="n">
        <x:v>46092</x:v>
      </x:c>
      <x:c r="G2180" s="552" t="inlineStr">
        <x:is>
          <x:t xml:space="preserve">J and A Minerals, LLC</x:t>
        </x:is>
      </x:c>
      <x:c r="H2180" s="552" t="inlineStr">
        <x:is>
          <x:t xml:space="preserve">Pine Tree Energy Partners, LLC</x:t>
        </x:is>
      </x:c>
      <x:c r="I2180" s="552" t="inlineStr">
        <x:is>
          <x:t xml:space="preserve">S/2 of Lot 3, Lot 4, NE/4 SW/4, SE/4 SW/4 of 31-12N-24W, aol</x:t>
        </x:is>
      </x:c>
      <x:c r="J2180" s="552" t="inlineStr">
        <x:is>
          <x:t xml:space="preserve">1.25 Net Mineral Acres, all right, title and interest acquired in and to the-mineral-fee-interests, including but not limited to the oil, gas and other minerals</x:t>
        </x:is>
      </x:c>
      <x:c r="K2180" s="554" t="e">
        <x:f>HYPERLINK("https://okcountyrecords.com/detail/roger+mills/2026-001374","OKCountyRecords: 2026-001374")</x:f>
      </x:c>
      <x:c r="L2180" s="552" t="inlineStr">
        <x:is>
          <x:t xml:space="preserve">5, 6, 7</x:t>
        </x:is>
      </x:c>
      <x:c r="M2180" s="552" t="inlineStr">
        <x:is>
          <x:t xml:space="preserve">Mineral</x:t>
        </x:is>
      </x:c>
      <x:c r="N2180" s="555" t="str">
        <x:f>IF(O2180&gt;0,1.25/O2180,"")</x:f>
      </x:c>
      <x:c r="O2180" s="556" t="n">
        <x:f>IF($L2180="","",IF(ISNUMBER(SEARCH("all",$L2180)),640,(ISNUMBER(SEARCH("1",$L2180)))*80+(ISNUMBER(SEARCH("2",$L2180)))*160+(ISNUMBER(SEARCH("3",$L2180)))*40+(ISNUMBER(SEARCH("4",$L2180)))*80+(ISNUMBER(SEARCH("5",$L2180)))*120+(ISNUMBER(SEARCH("6",$L2180)))*80+(ISNUMBER(SEARCH("7",$L2180)))*40+(ISNUMBER(SEARCH("8",$L2180)))*40))</x:f>
        <x:v>0</x:v>
      </x:c>
      <x:c r="P2180" s="654" t="str">
        <x:f>IF($M2180&lt;&gt;"Mineral","",IF(ISNUMBER($N2180),$N2180,IF(OR(ISNUMBER(SEARCH("surface",$J2180)),ISNUMBER(SEARCH("reserv",$J2180)),ISNUMBER(SEARCH("less and except",$J2180))),0,"")))</x:f>
      </x:c>
      <x:c r="Q2180" s="654" t="str">
        <x:f>IF($P2180="","",-$P2180)</x:f>
      </x:c>
      <x:c r="R2180" s="655" t="str">
        <x:f>IF($P2180="","",$O2180*$P2180)</x:f>
      </x:c>
      <x:c r="S2180" s="552" t="str">
        <x:f>IF($M2180="","",TRIM(IF($M2180="Mineral",IF(ISNUMBER($N2180),"Mineral; basis Conv Amt(dec). ",IF($P2180=0,"Mineral; surface-only/reserved-&gt;0 min. ","Mineral; NO AMOUNT-verify instrument. ")),$M2180&amp;" (non-mineral; excluded from mineral NMA). ")&amp;IF(OR(ISNUMBER(SEARCH("public",$G2180)),ISNUMBER(SEARCH("public",$H2180))),"FLAG: The Public placeholder-verify. ","")&amp;IF(ISNUMBER(SEARCH("all",$L2180)),"All-section coverage. ","")&amp;IF($O2180=0,"Gross acres unresolved. ","")&amp;"Gross=tract-map basis."))</x:f>
        <x:v>Mineral; surface-only/reserved-&gt;0 min. Gross acres unresolved. Gross=tract-map basis.</x:v>
      </x:c>
      <x:c r="T2180" s="577" t="n"/>
      <x:c r="U2180" s="578" t="inlineStr">
        <x:is>
          <x:t xml:space="preserve">Conveys 1.25 NMA per notes; conv. dec = 1.25/gross. Verify denominator/tract from image.</x:t>
        </x:is>
      </x:c>
      <x:c r="V2180" s="565" t="n"/>
      <x:c r="W2180" s="565" t="n"/>
      <x:c r="X2180" s="565" t="n"/>
      <x:c r="Y2180" s="565" t="n"/>
      <x:c r="Z2180" s="565" t="n"/>
    </x:row>
    <x:row r="2181">
      <x:c r="A2181" s="552" t="inlineStr">
        <x:is>
          <x:t xml:space="preserve">2026-002509</x:t>
        </x:is>
      </x:c>
      <x:c r="B2181" s="552" t="n"/>
      <x:c r="C2181" s="552" t="inlineStr">
        <x:is>
          <x:t xml:space="preserve">Affidavit of Heirship</x:t>
        </x:is>
      </x:c>
      <x:c r="D2181" s="552" t="inlineStr">
        <x:is>
          <x:t xml:space="preserve">2697/517</x:t>
        </x:is>
      </x:c>
      <x:c r="E2181" s="653" t="n">
        <x:v>46106</x:v>
      </x:c>
      <x:c r="F2181" s="653" t="n">
        <x:v>46143</x:v>
      </x:c>
      <x:c r="G2181" s="552" t="inlineStr">
        <x:is>
          <x:t xml:space="preserve">Carrie Leeann Mitchell</x:t>
        </x:is>
      </x:c>
      <x:c r="H2181" s="552" t="inlineStr">
        <x:is>
          <x:t xml:space="preserve">The Public
RE: Nancy Susan Mitchell, Deceased
Heirs:
Ronald Paul Dold</x:t>
        </x:is>
      </x:c>
      <x:c r="I2181" s="552" t="inlineStr">
        <x:is>
          <x:t xml:space="preserve">All of 31-12N-24W, aol</x:t>
        </x:is>
      </x:c>
      <x:c r="J2181" s="552" t="inlineStr">
        <x:is>
          <x:t xml:space="preserve">ARTI
Nancy Susan Mitchell died intestate, a resident of Memphis, Shelby County, Tennessee, on or about February 7, 2015, her estate was never piobated and there are no plans to probate her estate A copy ofthe certified death certificate is attached hereto Nancy Susan Mitchell was a married at the time of her death Nancy Susan Mitchell was mairied one (1) time to Ronald Paul Dold, on May 12, 1990 Nancy Susan Mitchell had no children born by, or adopted, during her life</x:t>
        </x:is>
      </x:c>
      <x:c r="K2181" s="554" t="e">
        <x:f>HYPERLINK("https://okcountyrecords.com/detail/roger+mills/2026-002509/35346709","OKCountyRecords: 2026-002509")</x:f>
      </x:c>
      <x:c r="L2181" s="552" t="inlineStr">
        <x:is>
          <x:t xml:space="preserve">All (1-8)</x:t>
        </x:is>
      </x:c>
      <x:c r="M2181" s="552" t="inlineStr">
        <x:is>
          <x:t xml:space="preserve">Mineral</x:t>
        </x:is>
      </x:c>
      <x:c r="N2181" s="555" t="n">
        <x:v>1</x:v>
      </x:c>
      <x:c r="O2181" s="556" t="n">
        <x:f>IF($L2181="","",IF(ISNUMBER(SEARCH("all",$L2181)),640,(ISNUMBER(SEARCH("1",$L2181)))*80+(ISNUMBER(SEARCH("2",$L2181)))*160+(ISNUMBER(SEARCH("3",$L2181)))*40+(ISNUMBER(SEARCH("4",$L2181)))*80+(ISNUMBER(SEARCH("5",$L2181)))*120+(ISNUMBER(SEARCH("6",$L2181)))*80+(ISNUMBER(SEARCH("7",$L2181)))*40+(ISNUMBER(SEARCH("8",$L2181)))*40))</x:f>
        <x:v>640</x:v>
      </x:c>
      <x:c r="P2181" s="654" t="n">
        <x:f>IF($M2181&lt;&gt;"Mineral","",IF(ISNUMBER($N2181),$N2181,IF(OR(ISNUMBER(SEARCH("surface",$J2181)),ISNUMBER(SEARCH("reserv",$J2181)),ISNUMBER(SEARCH("less and except",$J2181))),0,"")))</x:f>
        <x:v>1</x:v>
      </x:c>
      <x:c r="Q2181" s="654" t="n">
        <x:f>IF($P2181="","",-$P2181)</x:f>
        <x:v>-1</x:v>
      </x:c>
      <x:c r="R2181" s="655" t="n">
        <x:f>IF($P2181="","",$O2181*$P2181)</x:f>
        <x:v>640</x:v>
      </x:c>
      <x:c r="S2181" s="552" t="str">
        <x:f>IF($M2181="","",TRIM(IF($M2181="Mineral",IF(ISNUMBER($N2181),"Mineral; basis Conv Amt(dec). ",IF($P2181=0,"Mineral; surface-only/reserved-&gt;0 min. ","Mineral; VERIFY — NEED full instrument image for conveyed amount. ")),$M2181&amp;" (non-mineral; excluded from mineral NMA). ")&amp;IF(OR(ISNUMBER(SEARCH("public",$G2181)),ISNUMBER(SEARCH("public",$H2181))),"FLAG: The Public placeholder; VERIFY — NEED source confirmation. ","")&amp;IF(ISNUMBER(SEARCH("all",$L2181)),"All-section coverage. ","")&amp;IF($O2181=0,"Gross acres unresolved. ","")&amp;"Gross=tract-map basis."))</x:f>
        <x:v>Mineral; basis Conv Amt(dec). FLAG: The Public placeholder; VERIFY — NEED source confirmation. All-section coverage. Gross=tract-map basis.</x:v>
      </x:c>
      <x:c r="T2181" s="577" t="inlineStr">
        <x:is>
          <x:t xml:space="preserve">REVIEW</x:t>
        </x:is>
      </x:c>
      <x:c r="U2181" s="578" t="inlineStr">
        <x:is>
          <x:t xml:space="preserve">NEED: confirm conveyed mineral acreage from instrument image — named party present under 'The Public' (affidavit/notice); placeholder identity resolved.</x:t>
        </x:is>
      </x:c>
      <x:c r="V2181" s="565" t="n"/>
      <x:c r="W2181" s="565" t="n"/>
      <x:c r="X2181" s="565" t="n"/>
      <x:c r="Y2181" s="565" t="n"/>
      <x:c r="Z2181" s="565" t="n"/>
    </x:row>
    <x:row r="2182">
      <x:c r="A2182" s="552" t="inlineStr">
        <x:is>
          <x:t xml:space="preserve">2026-002512</x:t>
        </x:is>
      </x:c>
      <x:c r="B2182" s="552" t="n">
        <x:v>97</x:v>
      </x:c>
      <x:c r="C2182" s="552" t="inlineStr">
        <x:is>
          <x:t xml:space="preserve">Oil and Gas Lease</x:t>
        </x:is>
      </x:c>
      <x:c r="D2182" s="563" t="inlineStr">
        <x:is>
          <x:t xml:space="preserve">2697/524</x:t>
        </x:is>
      </x:c>
      <x:c r="E2182" s="653" t="n">
        <x:v>46112</x:v>
      </x:c>
      <x:c r="F2182" s="653" t="n">
        <x:v>46143</x:v>
      </x:c>
      <x:c r="G2182" s="552" t="inlineStr">
        <x:is>
          <x:t xml:space="preserve">Ronald Paul Dold
753 Velma Street
Memphis, Tn 38104</x:t>
        </x:is>
      </x:c>
      <x:c r="H2182" s="552" t="inlineStr">
        <x:is>
          <x:t xml:space="preserve">Silver Oak Natural Resources, LLC</x:t>
        </x:is>
      </x:c>
      <x:c r="I2182" s="552" t="inlineStr">
        <x:is>
          <x:t xml:space="preserve">N/2 NE/4, SE/4 NE/4 &amp; NE/4 SE/4, E/2 NW/4, S/2 Lot 3, Lot 4, S/2 NE/4 SW/4, SE/4 SW/4, N/2 NE/4 SW/4 of 31-12N-24W</x:t>
        </x:is>
      </x:c>
      <x:c r="J2182" s="552" t="inlineStr">
        <x:is>
          <x:t xml:space="preserve">375.34 acres, more or less
term of three (3) years
three-sixteenths (3/16ths) royalty
This Lease may be subject to a Prior Oil and Gas Lease (the "Prior Lease") covering the lease premises The Prior Lease is from Nancy Susan Mitchell, as Lessor, to R Michael Lortz, as Lessee, dated January 14, 2004, and recorded in Book 1736, Page 600 It is the intent of the Lessor to lease, and Lessor does hereby grant, demise, lease and let unto Lessee, all oil and gas, as defined herein owned by Lessor in Section 31, Township 12 North, Range 24 West, Roger Mills County, Oklahoma, whether or not properly and completely described herein</x:t>
        </x:is>
      </x:c>
      <x:c r="K2182" s="554" t="e">
        <x:f>HYPERLINK("https://okcountyrecords.com/detail/roger+mills/2026-002512/35346712","OKCountyRecords: 2026-002512")</x:f>
      </x:c>
      <x:c r="L2182" s="552" t="inlineStr">
        <x:is>
          <x:t xml:space="preserve">All (1-8)</x:t>
        </x:is>
      </x:c>
      <x:c r="M2182" s="552" t="inlineStr">
        <x:is>
          <x:t xml:space="preserve">Leasehold</x:t>
        </x:is>
      </x:c>
      <x:c r="N2182" s="561" t="n"/>
      <x:c r="O2182" s="556" t="n">
        <x:f>IF($L2182="","",IF(ISNUMBER(SEARCH("all",$L2182)),640,(ISNUMBER(SEARCH("1",$L2182)))*80+(ISNUMBER(SEARCH("2",$L2182)))*160+(ISNUMBER(SEARCH("3",$L2182)))*40+(ISNUMBER(SEARCH("4",$L2182)))*80+(ISNUMBER(SEARCH("5",$L2182)))*120+(ISNUMBER(SEARCH("6",$L2182)))*80+(ISNUMBER(SEARCH("7",$L2182)))*40+(ISNUMBER(SEARCH("8",$L2182)))*40))</x:f>
        <x:v>640</x:v>
      </x:c>
      <x:c r="P2182" s="654" t="str">
        <x:f>IF($M2182&lt;&gt;"Mineral","",IF(ISNUMBER($N2182),$N2182,IF(OR(ISNUMBER(SEARCH("surface",$J2182)),ISNUMBER(SEARCH("reserv",$J2182)),ISNUMBER(SEARCH("less and except",$J2182))),0,"")))</x:f>
      </x:c>
      <x:c r="Q2182" s="654" t="str">
        <x:f>IF($P2182="","",-$P2182)</x:f>
      </x:c>
      <x:c r="R2182" s="655" t="str">
        <x:f>IF($P2182="","",$O2182*$P2182)</x:f>
      </x:c>
      <x:c r="S2182" s="552" t="str">
        <x:f>IF($M2182="","",TRIM(IF($M2182="Mineral",IF(ISNUMBER($N2182),"Mineral; basis Conv Amt(dec). ",IF($P2182=0,"Mineral; surface-only/reserved-&gt;0 min. ","Mineral; NO AMOUNT-verify instrument. ")),$M2182&amp;" (non-mineral; excluded from mineral NMA). ")&amp;IF(OR(ISNUMBER(SEARCH("public",$G2182)),ISNUMBER(SEARCH("public",$H2182))),"FLAG: The Public placeholder-verify. ","")&amp;IF(ISNUMBER(SEARCH("all",$L2182)),"All-section coverage. ","")&amp;IF($O2182=0,"Gross acres unresolved. ","")&amp;"Gross=tract-map basis."))</x:f>
        <x:v>Leasehold (non-mineral; excluded from mineral NMA). All-section coverage. Gross=tract-map basis.</x:v>
      </x:c>
      <x:c r="T2182" s="577" t="n"/>
      <x:c r="U2182" s="578" t="n"/>
      <x:c r="V2182" s="565" t="n"/>
      <x:c r="W2182" s="565" t="n"/>
      <x:c r="X2182" s="565" t="n"/>
      <x:c r="Y2182" s="565" t="n"/>
      <x:c r="Z2182" s="565" t="n"/>
    </x:row>
    <x:row r="2183">
      <x:c r="A2183" s="552" t="inlineStr">
        <x:is>
          <x:t xml:space="preserve">2026-001845</x:t>
        </x:is>
      </x:c>
      <x:c r="B2183" s="552" t="n">
        <x:v>80</x:v>
      </x:c>
      <x:c r="C2183" s="552" t="inlineStr">
        <x:is>
          <x:t xml:space="preserve">Affidavit Concerning Recording - Midcon DEV</x:t>
        </x:is>
      </x:c>
      <x:c r="D2183" s="552" t="inlineStr">
        <x:is>
          <x:t xml:space="preserve">2692/431</x:t>
        </x:is>
      </x:c>
      <x:c r="E2183" s="653" t="n">
        <x:v>46113</x:v>
      </x:c>
      <x:c r="F2183" s="653" t="n">
        <x:v>46119</x:v>
      </x:c>
      <x:c r="G2183" s="552" t="inlineStr">
        <x:is>
          <x:t xml:space="preserve">Vice President Long Matthew,
Midcon Energy Pdp, LLC</x:t>
        </x:is>
      </x:c>
      <x:c r="H2183" s="552" t="inlineStr">
        <x:is>
          <x:t xml:space="preserve">The Public</x:t>
        </x:is>
      </x:c>
      <x:c r="I2183" s="552" t="inlineStr">
        <x:is>
          <x:t xml:space="preserve">All of 31-12N-24W, aol</x:t>
        </x:is>
      </x:c>
      <x:c r="J2183" s="552" t="inlineStr">
        <x:is>
          <x:t xml:space="preserve">On October 7, 2025, there was filed that certain Mortgage, with Power of Sale, Fixture Filing, As-Extracted Collateral Filing, Security Agreement, Financing Statement and Assignment of Production from MidCon Energy Development, LLC, as Mortgagor, to Macquarie Bank Limited, as Administrative Agent for the benefit of the Secured Parties, as Mortgagee, in the official public records of Roger Mills County, Oklahoma, under instrument number 1-2025-006165, book 2656, page 1 (the "Mortgage"). On October 8, 2025, there was filed that certain Mineral Deed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Windsor OK, LLC, a Texas limited liability company ("WOK"), as Assignee, in the official public records of Roger Mills County, Oklahoma, under instrument number 1-2025-006172 book 2656, page 491 (the "Deed"). On October 8, 2025, there was filed that certain Assignment and Bill of Sale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WOK, as Grantee, in the official public records of Roger Mills County, Oklahoma, under instrument number I-2025-006171, book 2656, page 209 (the "Assignment" and together with the Deed, the "Conveyances").
4. On October 24, 2025, there was filed that certain Affidavit and Certificate of Interests in the official public records of Roger Mills County, Oklahoma, under instrument number 1-2025-006539, book 2660, page 93, evidencing in the real property records of the counties of Oklahoma (i) the creation of WOK and (ii) the rights, privileges, interests, properties, and assets allocated to WOK pursuant to a divisional merger of Marathon Oil Company, LLC, a Texas limited liability company ("MOC Affidavit").
5. On October 24, 2025, there was filed that certain Memorandum of Divisive Merger in the official public records of Roger Mills County, Oklahoma, under instrument number 2025-006541, book 2660, page 341, evidencing in the real property records of the counties of Oklahoma (i) the creation of MidCon Dev and (ii) the rights, privileges, interests, properties, and assets allocated to MidCon Dev pursuant to a divisional merger of WOK ("WOK Affidavit").
6. Notwithstanding the order in which the Mortgage, Conveyances, MOC Affidavit, and WOK Affidavit were filed in the official public records of Roger Mills County, Oklahoma, this Affidavit constitutes notice to all third parties of the existence of the Mortgage and the terms and provisions thereof.</x:t>
        </x:is>
      </x:c>
      <x:c r="K2183" s="554" t="e">
        <x:f>HYPERLINK("https://okcountyrecords.com/detail/roger+mills/2026-001845","OKCountyRecords: 2026-001845")</x:f>
      </x:c>
      <x:c r="L2183" s="552" t="inlineStr">
        <x:is>
          <x:t xml:space="preserve">All (1-8)</x:t>
        </x:is>
      </x:c>
      <x:c r="M2183" s="552" t="inlineStr">
        <x:is>
          <x:t xml:space="preserve">Other</x:t>
        </x:is>
      </x:c>
      <x:c r="N2183" s="555" t="n"/>
      <x:c r="O2183" s="556" t="n">
        <x:f>IF($L2183="","",IF(ISNUMBER(SEARCH("all",$L2183)),640,(ISNUMBER(SEARCH("1",$L2183)))*80+(ISNUMBER(SEARCH("2",$L2183)))*160+(ISNUMBER(SEARCH("3",$L2183)))*40+(ISNUMBER(SEARCH("4",$L2183)))*80+(ISNUMBER(SEARCH("5",$L2183)))*120+(ISNUMBER(SEARCH("6",$L2183)))*80+(ISNUMBER(SEARCH("7",$L2183)))*40+(ISNUMBER(SEARCH("8",$L2183)))*40))</x:f>
        <x:v>640</x:v>
      </x:c>
      <x:c r="P2183" s="654" t="str">
        <x:f>IF($M2183&lt;&gt;"Mineral","",IF(ISNUMBER($N2183),$N2183,IF(OR(ISNUMBER(SEARCH("surface",$J2183)),ISNUMBER(SEARCH("reserv",$J2183)),ISNUMBER(SEARCH("less and except",$J2183))),0,"")))</x:f>
      </x:c>
      <x:c r="Q2183" s="654" t="str">
        <x:f>IF($P2183="","",-$P2183)</x:f>
      </x:c>
      <x:c r="R2183" s="655" t="str">
        <x:f>IF($P2183="","",$O2183*$P2183)</x:f>
      </x:c>
      <x:c r="S2183" s="552" t="inlineStr">
        <x:is>
          <x:t xml:space="preserve">Other (non-mineral; excluded from mineral NMA). All-section coverage. Gross=tract-map basis.</x:t>
        </x:is>
      </x:c>
      <x:c r="T2183" s="577" t="inlineStr">
        <x:is>
          <x:t xml:space="preserve">OK</x:t>
        </x:is>
      </x:c>
      <x:c r="U2183" s="578" t="inlineStr">
        <x:is>
          <x:t xml:space="preserve">ARTI/notice instrument (The Public); no net mineral acres conveyed.</x:t>
        </x:is>
      </x:c>
      <x:c r="V2183" s="565" t="n"/>
      <x:c r="W2183" s="565" t="n"/>
      <x:c r="X2183" s="565" t="n"/>
      <x:c r="Y2183" s="565" t="n"/>
      <x:c r="Z2183" s="565" t="n"/>
    </x:row>
    <x:row r="2184">
      <x:c r="A2184" s="552" t="inlineStr">
        <x:is>
          <x:t xml:space="preserve">2026-001844</x:t>
        </x:is>
      </x:c>
      <x:c r="B2184" s="552" t="n">
        <x:v>79</x:v>
      </x:c>
      <x:c r="C2184" s="552" t="inlineStr">
        <x:is>
          <x:t xml:space="preserve">Affidavit Concerning Recording – Midcon PDP</x:t>
        </x:is>
      </x:c>
      <x:c r="D2184" s="552" t="inlineStr">
        <x:is>
          <x:t xml:space="preserve">2692/412</x:t>
        </x:is>
      </x:c>
      <x:c r="E2184" s="653" t="n">
        <x:v>46113</x:v>
      </x:c>
      <x:c r="F2184" s="653" t="n">
        <x:v>46119</x:v>
      </x:c>
      <x:c r="G2184" s="552" t="inlineStr">
        <x:is>
          <x:t xml:space="preserve">Vice President Long Matthew,
Midcon Energy Pdp, LLC</x:t>
        </x:is>
      </x:c>
      <x:c r="H2184" s="552" t="inlineStr">
        <x:is>
          <x:t xml:space="preserve">The Public</x:t>
        </x:is>
      </x:c>
      <x:c r="I2184" s="552" t="inlineStr">
        <x:is>
          <x:t xml:space="preserve">All of 31-12N-24W, aol</x:t>
        </x:is>
      </x:c>
      <x:c r="J2184" s="552" t="inlineStr">
        <x:is>
          <x:t xml:space="preserve">On October 7, 2025, there was filed that certain Mortgage, with Power of Sale, Fixture Filing, As-Extracted Collateral Filing, Security Agreement, Financing Statement and Assignment of Production from MidCon Energy PDP, LLC, as Mortgagor, to Macquarie Bank Limited, as Administrative Agent for the benefit of the Secured Parties, as Mortgagee, in the official public records of Roger Mills County, Oklahoma, under instrument number 1-2025-006163, book 2655, page 397 (the "Mortgage"). On October 8, 2025, there was filed that certain Mineral Deed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Windsor OK, LLC, a Texas limited liability company ("WOK"), as Assignee, in the official public records of Roger Mills County, Oklahoma, under instrument number 1-2025-006172 book 2656, page 491 (the "Deed'). On October 8, 2025, there was filed that certain Assignment and Bill of Sale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WOK, as Grantee, in the official public records of Roger Mills County, Oklahoma, under instrument number I-2025-006171, book 2656, page 209 (the "Assignment" and together with the Deed, the "Conveyances").
4. On October 24, 2025, there was filed that certain Affidavit and Certificate of Interests in the official public records of Roger Mills County, Oklahoma, under instrument number 1-2025-006539, book 2660, page 93, evidencing in the real property records of the counties of Oklahoma (i) the creation of WOK and (ii) the rights, privileges, interests, properties, and assets allocated to WOK pursuant to a divisional merger of Marathon Oil Company, LLC, a Texas limited liability company ("MOC Affidavit"). On October 24, 2025, there was filed that certain Memorandum of Divisive Merger in the official public records of Roger Mills County, Oklahoma, under instrument number 2025-006541, book 2660, page 341, evidencing in the real property records of the counties of Oklahoma (i) the creation of MidCon PDP and (ii) the rights, privileges, interests, properties, and assets allocated to MidCon PDP pursuant to a divisional merger. of WOK (“WOK Affidavit').
6. Notwithstanding the order in which the Mortgage, Conveyances, MOC Affidavit, and WOK Affidavit were filed in the official public records of Roger Mills County, Oklahoma, this Affidavit constitutes notice to all third parties of the existence of the Mortgage and the terms and provisions thereof.</x:t>
        </x:is>
      </x:c>
      <x:c r="K2184" s="554" t="e">
        <x:f>HYPERLINK("https://okcountyrecords.com/detail/roger+mills/2026-001844","OKCountyRecords: 2026-001844")</x:f>
      </x:c>
      <x:c r="L2184" s="552" t="inlineStr">
        <x:is>
          <x:t xml:space="preserve">All (1-8)</x:t>
        </x:is>
      </x:c>
      <x:c r="M2184" s="552" t="inlineStr">
        <x:is>
          <x:t xml:space="preserve">Other</x:t>
        </x:is>
      </x:c>
      <x:c r="N2184" s="555" t="n"/>
      <x:c r="O2184" s="556" t="n">
        <x:f>IF($L2184="","",IF(ISNUMBER(SEARCH("all",$L2184)),640,(ISNUMBER(SEARCH("1",$L2184)))*80+(ISNUMBER(SEARCH("2",$L2184)))*160+(ISNUMBER(SEARCH("3",$L2184)))*40+(ISNUMBER(SEARCH("4",$L2184)))*80+(ISNUMBER(SEARCH("5",$L2184)))*120+(ISNUMBER(SEARCH("6",$L2184)))*80+(ISNUMBER(SEARCH("7",$L2184)))*40+(ISNUMBER(SEARCH("8",$L2184)))*40))</x:f>
        <x:v>640</x:v>
      </x:c>
      <x:c r="P2184" s="654" t="str">
        <x:f>IF($M2184&lt;&gt;"Mineral","",IF(ISNUMBER($N2184),$N2184,IF(OR(ISNUMBER(SEARCH("surface",$J2184)),ISNUMBER(SEARCH("reserv",$J2184)),ISNUMBER(SEARCH("less and except",$J2184))),0,"")))</x:f>
      </x:c>
      <x:c r="Q2184" s="654" t="str">
        <x:f>IF($P2184="","",-$P2184)</x:f>
      </x:c>
      <x:c r="R2184" s="655" t="str">
        <x:f>IF($P2184="","",$O2184*$P2184)</x:f>
      </x:c>
      <x:c r="S2184" s="552" t="inlineStr">
        <x:is>
          <x:t xml:space="preserve">Other (non-mineral; excluded from mineral NMA). All-section coverage. Gross=tract-map basis.</x:t>
        </x:is>
      </x:c>
      <x:c r="T2184" s="577" t="inlineStr">
        <x:is>
          <x:t xml:space="preserve">OK</x:t>
        </x:is>
      </x:c>
      <x:c r="U2184" s="578" t="inlineStr">
        <x:is>
          <x:t xml:space="preserve">ARTI/notice instrument (The Public); no net mineral acres conveyed.</x:t>
        </x:is>
      </x:c>
      <x:c r="V2184" s="565" t="n"/>
      <x:c r="W2184" s="565" t="n"/>
      <x:c r="X2184" s="565" t="n"/>
      <x:c r="Y2184" s="565" t="n"/>
      <x:c r="Z2184" s="565" t="n"/>
    </x:row>
    <x:row r="2185">
      <x:c r="A2185" s="552" t="inlineStr">
        <x:is>
          <x:t xml:space="preserve">2026-002510</x:t>
        </x:is>
      </x:c>
      <x:c r="B2185" s="552" t="n">
        <x:v>85</x:v>
      </x:c>
      <x:c r="C2185" s="552" t="inlineStr">
        <x:is>
          <x:t xml:space="preserve">Affidavit of Identity</x:t>
        </x:is>
      </x:c>
      <x:c r="D2185" s="563" t="inlineStr">
        <x:is>
          <x:t xml:space="preserve">2697/519</x:t>
        </x:is>
      </x:c>
      <x:c r="E2185" s="653" t="n">
        <x:v>46125</x:v>
      </x:c>
      <x:c r="F2185" s="653" t="n">
        <x:v>46143</x:v>
      </x:c>
      <x:c r="G2185" s="552" t="inlineStr">
        <x:is>
          <x:t xml:space="preserve">The Keri Lee Daigle Trust, the Keri Lee Daigle Tucker Trust, Keri L. Tucker, S/k/a Daigle, Keri Lee</x:t>
        </x:is>
      </x:c>
      <x:c r="H2185" s="552" t="inlineStr">
        <x:is>
          <x:t xml:space="preserve">The Public</x:t>
        </x:is>
      </x:c>
      <x:c r="I2185" s="552" t="inlineStr">
        <x:is>
          <x:t xml:space="preserve">E/2 NW/4, N/2, N/2 NE/4 SW/4, NE/4 SE/4, S/2 Lots 3-4, S/2 NE/4 SW/4, SE/4 NE/4, SE/4 SW/4 of 31-12N-24W</x:t>
        </x:is>
      </x:c>
      <x:c r="J2185" s="552" t="inlineStr">
        <x:is>
          <x:t xml:space="preserve">Keri L Tucker, Keri Lee Daigle, Keri Daigle Tucker are one and the same person wherever said names appear in the record concerning said title 4 The Keri Lee Daigle Trust, The Keri Lee Daigle Tucker Trust, The Keri Daigle Tucker Trust are one and the same entity wherever said names appear in the record concerning said title, with The Keri Daigle Tucker Trust being the exact name of the Trust</x:t>
        </x:is>
      </x:c>
      <x:c r="K2185" s="579" t="inlineStr">
        <x:is>
          <x:t xml:space="preserve">OKCountyRecords: 2026-002510</x:t>
        </x:is>
      </x:c>
      <x:c r="L2185" s="552" t="inlineStr">
        <x:is>
          <x:t xml:space="preserve">1, 3, 4, 7, 8</x:t>
        </x:is>
      </x:c>
      <x:c r="M2185" s="552" t="inlineStr">
        <x:is>
          <x:t xml:space="preserve">Other</x:t>
        </x:is>
      </x:c>
      <x:c r="N2185" s="561" t="n"/>
      <x:c r="O2185" s="556" t="n">
        <x:f>IF($L2185="","",IF(ISNUMBER(SEARCH("all",$L2185)),640,(ISNUMBER(SEARCH("1",$L2185)))*80+(ISNUMBER(SEARCH("2",$L2185)))*160+(ISNUMBER(SEARCH("3",$L2185)))*40+(ISNUMBER(SEARCH("4",$L2185)))*80+(ISNUMBER(SEARCH("5",$L2185)))*120+(ISNUMBER(SEARCH("6",$L2185)))*80+(ISNUMBER(SEARCH("7",$L2185)))*40+(ISNUMBER(SEARCH("8",$L2185)))*40))</x:f>
        <x:v>0</x:v>
      </x:c>
      <x:c r="P2185" s="654" t="str">
        <x:f>IF($M2185&lt;&gt;"Mineral","",IF(ISNUMBER($N2185),$N2185,IF(OR(ISNUMBER(SEARCH("surface",$J2185)),ISNUMBER(SEARCH("reserv",$J2185)),ISNUMBER(SEARCH("less and except",$J2185))),0,"")))</x:f>
      </x:c>
      <x:c r="Q2185" s="654" t="str">
        <x:f>IF($P2185="","",-$P2185)</x:f>
      </x:c>
      <x:c r="R2185" s="655" t="str">
        <x:f>IF($P2185="","",$O2185*$P2185)</x:f>
      </x:c>
      <x:c r="S2185" s="552" t="inlineStr">
        <x:is>
          <x:t xml:space="preserve">Other (non-mineral; excluded from mineral NMA). Gross=tract-map basis.</x:t>
        </x:is>
      </x:c>
      <x:c r="T2185" s="578" t="inlineStr">
        <x:is>
          <x:t xml:space="preserve">OK</x:t>
        </x:is>
      </x:c>
      <x:c r="U2185" s="578" t="inlineStr">
        <x:is>
          <x:t xml:space="preserve">Non-conveying — notice/affidavit/address change (The Public).</x:t>
        </x:is>
      </x:c>
      <x:c r="V2185" s="565" t="n"/>
      <x:c r="W2185" s="565" t="n"/>
      <x:c r="X2185" s="565" t="n"/>
      <x:c r="Y2185" s="565" t="n"/>
      <x:c r="Z2185" s="565" t="n"/>
    </x:row>
    <x:row r="2186">
      <x:c r="A2186" s="552" t="n"/>
      <x:c r="B2186" s="552" t="n"/>
      <x:c r="C2186" s="552" t="inlineStr">
        <x:is>
          <x:t xml:space="preserve">Change of Address</x:t>
        </x:is>
      </x:c>
      <x:c r="D2186" s="552" t="inlineStr">
        <x:is>
          <x:t xml:space="preserve">2700/268</x:t>
        </x:is>
      </x:c>
      <x:c r="E2186" s="653" t="n">
        <x:v>46147</x:v>
      </x:c>
      <x:c r="F2186" s="653" t="n">
        <x:v>46160</x:v>
      </x:c>
      <x:c r="G2186" s="552" t="inlineStr">
        <x:is>
          <x:t xml:space="preserve">Royfin Natural Gas, LLC,
Tamworth Resources, LLC,
Scott Martin,
Longreach Energy Investments, Inc.</x:t>
        </x:is>
      </x:c>
      <x:c r="H2186" s="552" t="inlineStr">
        <x:is>
          <x:t xml:space="preserve">The Public</x:t>
        </x:is>
      </x:c>
      <x:c r="I2186" s="552" t="inlineStr">
        <x:is>
          <x:t xml:space="preserve">All of 11-12N-21W aol</x:t>
        </x:is>
      </x:c>
      <x:c r="J2186" s="552" t="inlineStr">
        <x:is>
          <x:t xml:space="preserve">Longreach Energy Investments, Inc
Giant Capital Energy 2, LLC (fka Longreach Energy 2, LLC)
(copy of Certificate of Name Change attached as Exhibit "A")
Royfin Natural Gas, LLC
Tamworth Resources, LLC
have changed their address to
401 South Boston Avenue, Suite 1900
Tulsa, OK 74103</x:t>
        </x:is>
      </x:c>
      <x:c r="K2186" s="554" t="e">
        <x:f>HYPERLINK("https://okcountyrecords.com/search/roger%20mills","OKCountyRecords search: Change of Address 2700/0268")</x:f>
      </x:c>
      <x:c r="L2186" s="552" t="inlineStr">
        <x:is>
          <x:t xml:space="preserve">Other section</x:t>
        </x:is>
      </x:c>
      <x:c r="M2186" s="552" t="inlineStr">
        <x:is>
          <x:t xml:space="preserve">Other</x:t>
        </x:is>
      </x:c>
      <x:c r="N2186" s="555" t="n"/>
      <x:c r="O2186" s="556" t="n">
        <x:f>IF($L2186="","",IF(ISNUMBER(SEARCH("all",$L2186)),640,(ISNUMBER(SEARCH("1",$L2186)))*80+(ISNUMBER(SEARCH("2",$L2186)))*160+(ISNUMBER(SEARCH("3",$L2186)))*40+(ISNUMBER(SEARCH("4",$L2186)))*80+(ISNUMBER(SEARCH("5",$L2186)))*120+(ISNUMBER(SEARCH("6",$L2186)))*80+(ISNUMBER(SEARCH("7",$L2186)))*40+(ISNUMBER(SEARCH("8",$L2186)))*40))</x:f>
        <x:v>0</x:v>
      </x:c>
      <x:c r="P2186" s="654" t="str">
        <x:f>IF($M2186&lt;&gt;"Mineral","",IF(ISNUMBER($N2186),$N2186,IF(OR(ISNUMBER(SEARCH("surface",$J2186)),ISNUMBER(SEARCH("reserv",$J2186)),ISNUMBER(SEARCH("less and except",$J2186))),0,"")))</x:f>
      </x:c>
      <x:c r="Q2186" s="654" t="str">
        <x:f>IF($P2186="","",-$P2186)</x:f>
      </x:c>
      <x:c r="R2186" s="655" t="str">
        <x:f>IF($P2186="","",$O2186*$P2186)</x:f>
      </x:c>
      <x:c r="S2186" s="552" t="inlineStr">
        <x:is>
          <x:t xml:space="preserve">Other (non-mineral; excluded from mineral NMA). Gross acres unresolved. Gross=tract-map basis.</x:t>
        </x:is>
      </x:c>
      <x:c r="T2186" s="577" t="inlineStr">
        <x:is>
          <x:t xml:space="preserve">OK</x:t>
        </x:is>
      </x:c>
      <x:c r="U2186" s="578" t="inlineStr">
        <x:is>
          <x:t xml:space="preserve">NEED: document number / image number | EXCLUDED/REFERENCE: off-section (All of 11-12N-21W), address-change notice — see Excluded/Reference section below.</x:t>
        </x:is>
      </x:c>
      <x:c r="V2186" s="565" t="n"/>
      <x:c r="W2186" s="565" t="n"/>
      <x:c r="X2186" s="565" t="n"/>
      <x:c r="Y2186" s="565" t="n"/>
      <x:c r="Z2186" s="565" t="n"/>
    </x:row>
    <x:row r="2187">
      <x:c r="A2187" s="552" t="inlineStr">
        <x:is>
          <x:t xml:space="preserve">2026-003142</x:t>
        </x:is>
      </x:c>
      <x:c r="B2187" s="552" t="n"/>
      <x:c r="C2187" s="552" t="inlineStr">
        <x:is>
          <x:t xml:space="preserve">Affidavit of Death &amp; Heirship</x:t>
        </x:is>
      </x:c>
      <x:c r="D2187" s="552" t="inlineStr">
        <x:is>
          <x:t xml:space="preserve">2702/500</x:t>
        </x:is>
      </x:c>
      <x:c r="E2187" s="653" t="n">
        <x:v>46162</x:v>
      </x:c>
      <x:c r="F2187" s="653" t="n">
        <x:v>46170</x:v>
      </x:c>
      <x:c r="G2187" s="552" t="inlineStr">
        <x:is>
          <x:t xml:space="preserve">Carrie Leeann Mitchell</x:t>
        </x:is>
      </x:c>
      <x:c r="H2187" s="552" t="inlineStr">
        <x:is>
          <x:t xml:space="preserve">The Public
RE: Gene Gilbert Williams, Deceased
Heirs:
Gena W. Moore, a/k/a Gena Mitchell
William, a/k/a Gena Williams, a/k/a
Gena Willams Moore</x:t>
        </x:is>
      </x:c>
      <x:c r="I2187" s="552" t="inlineStr">
        <x:is>
          <x:t xml:space="preserve">All of 31-12N-24W, aol</x:t>
        </x:is>
      </x:c>
      <x:c r="J2187" s="552" t="inlineStr">
        <x:is>
          <x:t xml:space="preserve">ARTI</x:t>
        </x:is>
      </x:c>
      <x:c r="K2187" s="554" t="e">
        <x:f>HYPERLINK("https://okcountyrecords.com/detail/roger+mills/2026-003142/35404150","OKCountyRecords: 2026-003142")</x:f>
      </x:c>
      <x:c r="L2187" s="552" t="inlineStr">
        <x:is>
          <x:t xml:space="preserve">All (1-8)</x:t>
        </x:is>
      </x:c>
      <x:c r="M2187" s="552" t="inlineStr">
        <x:is>
          <x:t xml:space="preserve">Mineral</x:t>
        </x:is>
      </x:c>
      <x:c r="N2187" s="555" t="n">
        <x:v>1</x:v>
      </x:c>
      <x:c r="O2187" s="556" t="n">
        <x:f>IF($L2187="","",IF(ISNUMBER(SEARCH("all",$L2187)),640,(ISNUMBER(SEARCH("1",$L2187)))*80+(ISNUMBER(SEARCH("2",$L2187)))*160+(ISNUMBER(SEARCH("3",$L2187)))*40+(ISNUMBER(SEARCH("4",$L2187)))*80+(ISNUMBER(SEARCH("5",$L2187)))*120+(ISNUMBER(SEARCH("6",$L2187)))*80+(ISNUMBER(SEARCH("7",$L2187)))*40+(ISNUMBER(SEARCH("8",$L2187)))*40))</x:f>
        <x:v>640</x:v>
      </x:c>
      <x:c r="P2187" s="654" t="n">
        <x:f>IF($M2187&lt;&gt;"Mineral","",IF(ISNUMBER($N2187),$N2187,IF(OR(ISNUMBER(SEARCH("surface",$J2187)),ISNUMBER(SEARCH("reserv",$J2187)),ISNUMBER(SEARCH("less and except",$J2187))),0,"")))</x:f>
        <x:v>1</x:v>
      </x:c>
      <x:c r="Q2187" s="654" t="n">
        <x:f>IF($P2187="","",-$P2187)</x:f>
        <x:v>-1</x:v>
      </x:c>
      <x:c r="R2187" s="655" t="n">
        <x:f>IF($P2187="","",$O2187*$P2187)</x:f>
        <x:v>640</x:v>
      </x:c>
      <x:c r="S2187" s="552" t="str">
        <x:f>IF($M2187="","",TRIM(IF($M2187="Mineral",IF(ISNUMBER($N2187),"Mineral; basis Conv Amt(dec). ",IF($P2187=0,"Mineral; surface-only/reserved-&gt;0 min. ","Mineral; VERIFY — NEED full instrument image for conveyed amount. ")),$M2187&amp;" (non-mineral; excluded from mineral NMA). ")&amp;IF(OR(ISNUMBER(SEARCH("public",$G2187)),ISNUMBER(SEARCH("public",$H2187))),"FLAG: The Public placeholder; VERIFY — NEED source confirmation. ","")&amp;IF(ISNUMBER(SEARCH("all",$L2187)),"All-section coverage. ","")&amp;IF($O2187=0,"Gross acres unresolved. ","")&amp;"Gross=tract-map basis."))</x:f>
        <x:v>Mineral; basis Conv Amt(dec). FLAG: The Public placeholder; VERIFY — NEED source confirmation. All-section coverage. Gross=tract-map basis.</x:v>
      </x:c>
      <x:c r="T2187" s="578" t="inlineStr">
        <x:is>
          <x:t xml:space="preserve">REVIEW</x:t>
        </x:is>
      </x:c>
      <x:c r="U2187" s="578" t="inlineStr">
        <x:is>
          <x:t xml:space="preserve">NEED: confirm conveyed mineral acreage from instrument image — named party present under 'The Public' (affidavit/notice); placeholder identity resolved.</x:t>
        </x:is>
      </x:c>
      <x:c r="V2187" s="565" t="n"/>
      <x:c r="W2187" s="565" t="n"/>
      <x:c r="X2187" s="565" t="n"/>
      <x:c r="Y2187" s="565" t="n"/>
      <x:c r="Z2187" s="565" t="n"/>
    </x:row>
    <x:row r="2188">
      <x:c r="A2188" s="552" t="inlineStr">
        <x:is>
          <x:t xml:space="preserve">2026-003143</x:t>
        </x:is>
      </x:c>
      <x:c r="B2188" s="552" t="n"/>
      <x:c r="C2188" s="552" t="inlineStr">
        <x:is>
          <x:t xml:space="preserve">Affidavit of Death &amp; Heirship</x:t>
        </x:is>
      </x:c>
      <x:c r="D2188" s="552" t="inlineStr">
        <x:is>
          <x:t xml:space="preserve">2702/503</x:t>
        </x:is>
      </x:c>
      <x:c r="E2188" s="653" t="n">
        <x:v>46162</x:v>
      </x:c>
      <x:c r="F2188" s="653" t="n">
        <x:v>46170</x:v>
      </x:c>
      <x:c r="G2188" s="552" t="inlineStr">
        <x:is>
          <x:t xml:space="preserve">Carrie Leeann Mitchell</x:t>
        </x:is>
      </x:c>
      <x:c r="H2188" s="552" t="inlineStr">
        <x:is>
          <x:t xml:space="preserve">The Public
RE: Marvin Mitchell Williams, Deceased
Heirs:
Gena W. Moore, a/k/a Gena Mitchell
William, a/k/a Gena Willhams, a/k/a
Gena Williams Moore</x:t>
        </x:is>
      </x:c>
      <x:c r="I2188" s="552" t="inlineStr">
        <x:is>
          <x:t xml:space="preserve">All of 31-12N-24W, aol</x:t>
        </x:is>
      </x:c>
      <x:c r="J2188" s="552" t="inlineStr">
        <x:is>
          <x:t xml:space="preserve">ARTI</x:t>
        </x:is>
      </x:c>
      <x:c r="K2188" s="579" t="e">
        <x:f>HYPERLINK("https://okcountyrecords.com/detail/roger+mills/2026-003143/35404149","OKCountyRecords: 2026-003143")</x:f>
      </x:c>
      <x:c r="L2188" s="552" t="inlineStr">
        <x:is>
          <x:t xml:space="preserve">All (1-8)</x:t>
        </x:is>
      </x:c>
      <x:c r="M2188" s="552" t="inlineStr">
        <x:is>
          <x:t xml:space="preserve">Mineral</x:t>
        </x:is>
      </x:c>
      <x:c r="N2188" s="555" t="n">
        <x:v>1</x:v>
      </x:c>
      <x:c r="O2188" s="556" t="n">
        <x:f>IF($L2188="","",IF(ISNUMBER(SEARCH("all",$L2188)),640,(ISNUMBER(SEARCH("1",$L2188)))*80+(ISNUMBER(SEARCH("2",$L2188)))*160+(ISNUMBER(SEARCH("3",$L2188)))*40+(ISNUMBER(SEARCH("4",$L2188)))*80+(ISNUMBER(SEARCH("5",$L2188)))*120+(ISNUMBER(SEARCH("6",$L2188)))*80+(ISNUMBER(SEARCH("7",$L2188)))*40+(ISNUMBER(SEARCH("8",$L2188)))*40))</x:f>
        <x:v>640</x:v>
      </x:c>
      <x:c r="P2188" s="654" t="n">
        <x:f>IF($M2188&lt;&gt;"Mineral","",IF(ISNUMBER($N2188),$N2188,IF(OR(ISNUMBER(SEARCH("surface",$J2188)),ISNUMBER(SEARCH("reserv",$J2188)),ISNUMBER(SEARCH("less and except",$J2188))),0,"")))</x:f>
        <x:v>1</x:v>
      </x:c>
      <x:c r="Q2188" s="654" t="n">
        <x:f>IF($P2188="","",-$P2188)</x:f>
        <x:v>-1</x:v>
      </x:c>
      <x:c r="R2188" s="655" t="n">
        <x:f>IF($P2188="","",$O2188*$P2188)</x:f>
        <x:v>640</x:v>
      </x:c>
      <x:c r="S2188" s="552" t="str">
        <x:f>IF($M2188="","",TRIM(IF($M2188="Mineral",IF(ISNUMBER($N2188),"Mineral; basis Conv Amt(dec). ",IF($P2188=0,"Mineral; surface-only/reserved-&gt;0 min. ","Mineral; VERIFY — NEED full instrument image for conveyed amount. ")),$M2188&amp;" (non-mineral; excluded from mineral NMA). ")&amp;IF(OR(ISNUMBER(SEARCH("public",$G2188)),ISNUMBER(SEARCH("public",$H2188))),"FLAG: The Public placeholder; VERIFY — NEED source confirmation. ","")&amp;IF(ISNUMBER(SEARCH("all",$L2188)),"All-section coverage. ","")&amp;IF($O2188=0,"Gross acres unresolved. ","")&amp;"Gross=tract-map basis."))</x:f>
        <x:v>Mineral; basis Conv Amt(dec). FLAG: The Public placeholder; VERIFY — NEED source confirmation. All-section coverage. Gross=tract-map basis.</x:v>
      </x:c>
      <x:c r="T2188" s="578" t="inlineStr">
        <x:is>
          <x:t xml:space="preserve">REVIEW</x:t>
        </x:is>
      </x:c>
      <x:c r="U2188" s="578" t="inlineStr">
        <x:is>
          <x:t xml:space="preserve">NEED: confirm conveyed mineral acreage from instrument image — named party present under 'The Public' (affidavit/notice); placeholder identity resolved.</x:t>
        </x:is>
      </x:c>
      <x:c r="V2188" s="565" t="n"/>
      <x:c r="W2188" s="565" t="n"/>
      <x:c r="X2188" s="565" t="n"/>
      <x:c r="Y2188" s="565" t="n"/>
      <x:c r="Z2188" s="565" t="n"/>
    </x:row>
    <x:row r="2189">
      <x:c r="A2189" s="552" t="inlineStr">
        <x:is>
          <x:t xml:space="preserve">2026-003144</x:t>
        </x:is>
      </x:c>
      <x:c r="B2189" s="552" t="n"/>
      <x:c r="C2189" s="552" t="inlineStr">
        <x:is>
          <x:t xml:space="preserve">Affidavit of Identity</x:t>
        </x:is>
      </x:c>
      <x:c r="D2189" s="552" t="inlineStr">
        <x:is>
          <x:t xml:space="preserve">2702/504</x:t>
        </x:is>
      </x:c>
      <x:c r="E2189" s="653" t="n">
        <x:v>46170</x:v>
      </x:c>
      <x:c r="F2189" s="653" t="n">
        <x:v>46170</x:v>
      </x:c>
      <x:c r="G2189" s="552" t="inlineStr">
        <x:is>
          <x:t xml:space="preserve">Gena W. Moore,
Gena Williams Moore,
Gena Williams,
Gena Mitchell Williams</x:t>
        </x:is>
      </x:c>
      <x:c r="H2189" s="552" t="inlineStr">
        <x:is>
          <x:t xml:space="preserve">The Public</x:t>
        </x:is>
      </x:c>
      <x:c r="I2189" s="552" t="inlineStr">
        <x:is>
          <x:t xml:space="preserve">E/2 NW/4, N/2 NE/4, N/2 NE/4 SW/4, NE/4 SE/4, S/2 Lots 3-4, S/2 NE/4 SW/4, SE/4 NE/4, SE/4 SW/4 of 31-12N-24W, aol</x:t>
        </x:is>
      </x:c>
      <x:c r="J2189" s="552" t="inlineStr">
        <x:is>
          <x:t xml:space="preserve">Gena W Moore, Gena Mitchell Williams, Gena Williams, Gena Williams Moore are one and the same person wherever said names appear in the record concerning said title</x:t>
        </x:is>
      </x:c>
      <x:c r="K2189" s="554" t="e">
        <x:f>HYPERLINK("https://okcountyrecords.com/detail/roger+mills/2026-003144/35404152","OKCountyRecords: 2026-003144")</x:f>
      </x:c>
      <x:c r="L2189" s="552" t="inlineStr">
        <x:is>
          <x:t xml:space="preserve">All (1-8)</x:t>
        </x:is>
      </x:c>
      <x:c r="M2189" s="552" t="inlineStr">
        <x:is>
          <x:t xml:space="preserve">Other</x:t>
        </x:is>
      </x:c>
      <x:c r="N2189" s="561" t="n"/>
      <x:c r="O2189" s="556" t="n">
        <x:f>IF($L2189="","",IF(ISNUMBER(SEARCH("all",$L2189)),640,(ISNUMBER(SEARCH("1",$L2189)))*80+(ISNUMBER(SEARCH("2",$L2189)))*160+(ISNUMBER(SEARCH("3",$L2189)))*40+(ISNUMBER(SEARCH("4",$L2189)))*80+(ISNUMBER(SEARCH("5",$L2189)))*120+(ISNUMBER(SEARCH("6",$L2189)))*80+(ISNUMBER(SEARCH("7",$L2189)))*40+(ISNUMBER(SEARCH("8",$L2189)))*40))</x:f>
        <x:v>640</x:v>
      </x:c>
      <x:c r="P2189" s="654" t="str">
        <x:f>IF($M2189&lt;&gt;"Mineral","",IF(ISNUMBER($N2189),$N2189,IF(OR(ISNUMBER(SEARCH("surface",$J2189)),ISNUMBER(SEARCH("reserv",$J2189)),ISNUMBER(SEARCH("less and except",$J2189))),0,"")))</x:f>
      </x:c>
      <x:c r="Q2189" s="654" t="str">
        <x:f>IF($P2189="","",-$P2189)</x:f>
      </x:c>
      <x:c r="R2189" s="655" t="str">
        <x:f>IF($P2189="","",$O2189*$P2189)</x:f>
      </x:c>
      <x:c r="S2189" s="552" t="inlineStr">
        <x:is>
          <x:t xml:space="preserve">Other (non-mineral; excluded from mineral NMA). All-section coverage. Gross=tract-map basis.</x:t>
        </x:is>
      </x:c>
      <x:c r="T2189" s="578" t="inlineStr">
        <x:is>
          <x:t xml:space="preserve">OK</x:t>
        </x:is>
      </x:c>
      <x:c r="U2189" s="578" t="inlineStr">
        <x:is>
          <x:t xml:space="preserve">Non-conveying — notice/affidavit/address change (The Public).</x:t>
        </x:is>
      </x:c>
      <x:c r="V2189" s="565" t="n"/>
      <x:c r="W2189" s="565" t="n"/>
      <x:c r="X2189" s="565" t="n"/>
      <x:c r="Y2189" s="565" t="n"/>
      <x:c r="Z2189" s="565" t="n"/>
    </x:row>
    <x:row r="2190">
      <x:c r="A2190" s="552" t="inlineStr">
        <x:is>
          <x:t xml:space="preserve">2026-003315</x:t>
        </x:is>
      </x:c>
      <x:c r="B2190" s="552" t="n"/>
      <x:c r="C2190" s="552" t="inlineStr">
        <x:is>
          <x:t xml:space="preserve">Order Allowing Final Account, Determining Heirs and Final Decree of Distribution</x:t>
        </x:is>
      </x:c>
      <x:c r="D2190" s="552" t="inlineStr">
        <x:is>
          <x:t xml:space="preserve">2704/142</x:t>
        </x:is>
      </x:c>
      <x:c r="E2190" s="653" t="n">
        <x:v>46175</x:v>
      </x:c>
      <x:c r="F2190" s="653" t="n">
        <x:v>46178</x:v>
      </x:c>
      <x:c r="G2190" s="552" t="inlineStr">
        <x:is>
          <x:t xml:space="preserve">Roger Mills County Court
RE: In the Matter of the Estate of Darrell Edward Hamilton, Deceased</x:t>
        </x:is>
      </x:c>
      <x:c r="H2190" s="552" t="inlineStr">
        <x:is>
          <x:t xml:space="preserve">Darren P. McSweeney
530 Eldridge St, #P03
Lawrence, Kansas 66049</x:t>
        </x:is>
      </x:c>
      <x:c r="I2190" s="552" t="inlineStr">
        <x:is>
          <x:t xml:space="preserve">NW/4 SE/4, S/2 SE/4, SW/4 NE/4 of 31-12N-24W, aol</x:t>
        </x:is>
      </x:c>
      <x:c r="J2190" s="552" t="inlineStr">
        <x:is>
          <x:t xml:space="preserve">ARTI</x:t>
        </x:is>
      </x:c>
      <x:c r="K2190" s="554" t="e">
        <x:f>HYPERLINK("https://okcountyrecords.com/detail/roger+mills/2026-003315/35464678","OKCountyRecords: 2026-003315")</x:f>
      </x:c>
      <x:c r="L2190" s="552" t="n">
        <x:v>2</x:v>
      </x:c>
      <x:c r="M2190" s="552" t="inlineStr">
        <x:is>
          <x:t xml:space="preserve">Mineral</x:t>
        </x:is>
      </x:c>
      <x:c r="N2190" s="555" t="n">
        <x:v>1</x:v>
      </x:c>
      <x:c r="O2190" s="556" t="n">
        <x:f>IF($L2190="","",IF(ISNUMBER(SEARCH("all",$L2190)),640,(ISNUMBER(SEARCH("1",$L2190)))*80+(ISNUMBER(SEARCH("2",$L2190)))*160+(ISNUMBER(SEARCH("3",$L2190)))*40+(ISNUMBER(SEARCH("4",$L2190)))*80+(ISNUMBER(SEARCH("5",$L2190)))*120+(ISNUMBER(SEARCH("6",$L2190)))*80+(ISNUMBER(SEARCH("7",$L2190)))*40+(ISNUMBER(SEARCH("8",$L2190)))*40))</x:f>
        <x:v>0</x:v>
      </x:c>
      <x:c r="P2190" s="654" t="n">
        <x:f>IF($M2190&lt;&gt;"Mineral","",IF(ISNUMBER($N2190),$N2190,IF(OR(ISNUMBER(SEARCH("surface",$J2190)),ISNUMBER(SEARCH("reserv",$J2190)),ISNUMBER(SEARCH("less and except",$J2190))),0,"")))</x:f>
        <x:v>1</x:v>
      </x:c>
      <x:c r="Q2190" s="654" t="n">
        <x:f>IF($P2190="","",-$P2190)</x:f>
        <x:v>-1</x:v>
      </x:c>
      <x:c r="R2190" s="655" t="n">
        <x:f>IF($P2190="","",$O2190*$P2190)</x:f>
        <x:v>0</x:v>
      </x:c>
      <x:c r="S2190" s="552" t="str">
        <x:f>IF($M2190="","",TRIM(IF($M2190="Mineral",IF(ISNUMBER($N2190),"Mineral; basis Conv Amt(dec). ",IF($P2190=0,"Mineral; surface-only/reserved-&gt;0 min. ","Mineral; NO AMOUNT-verify instrument. ")),$M2190&amp;" (non-mineral; excluded from mineral NMA). ")&amp;IF(OR(ISNUMBER(SEARCH("public",$G2190)),ISNUMBER(SEARCH("public",$H2190))),"FLAG: The Public placeholder-verify. ","")&amp;IF(ISNUMBER(SEARCH("all",$L2190)),"All-section coverage. ","")&amp;IF($O2190=0,"Gross acres unresolved. ","")&amp;"Gross=tract-map basis."))</x:f>
        <x:v>Mineral; basis Conv Amt(dec). Gross acres unresolved. Gross=tract-map basis.</x:v>
      </x:c>
      <x:c r="T2190" s="577" t="inlineStr">
        <x:is>
          <x:t xml:space="preserve">2026 FINAL DECREE — Tract 2</x:t>
        </x:is>
      </x:c>
      <x:c r="U2190" s="578" t="inlineStr">
        <x:is>
          <x:t xml:space="preserve">Final Decree distributes Hamilton estate ARTI in Tract 2 lands (NW/4 SE/4, S/2 SE/4, SW/4 NE/4) to Darren P. McSweeney (160 gross ac). Tract 2 owner/NMA update PENDING image confirmation of the estate's mineral fraction.</x:t>
        </x:is>
      </x:c>
      <x:c r="V2190" s="565" t="n"/>
      <x:c r="W2190" s="565" t="n"/>
      <x:c r="X2190" s="565" t="n"/>
      <x:c r="Y2190" s="565" t="n"/>
      <x:c r="Z2190" s="565" t="n"/>
    </x:row>
    <x:row r="2191">
      <x:c r="A2191" s="552" t="inlineStr">
        <x:is>
          <x:t xml:space="preserve">1950-001326</x:t>
        </x:is>
      </x:c>
      <x:c r="B2191" s="552" t="n"/>
      <x:c r="C2191" s="552" t="inlineStr">
        <x:is>
          <x:t xml:space="preserve">Miscellaneous</x:t>
        </x:is>
      </x:c>
      <x:c r="D2191" s="552" t="inlineStr">
        <x:is>
          <x:t xml:space="preserve">MIS25/335</x:t>
        </x:is>
      </x:c>
      <x:c r="E2191" s="653" t="n"/>
      <x:c r="F2191" s="653" t="n">
        <x:v>18321</x:v>
      </x:c>
      <x:c r="G2191" s="552" t="inlineStr">
        <x:is>
          <x:t xml:space="preserve">Carrie Lou Mitchell,
Marvin G. Mitchell</x:t>
        </x:is>
      </x:c>
      <x:c r="H2191" s="552" t="inlineStr">
        <x:is>
          <x:t xml:space="preserve">Gulf Oil Corp</x:t>
        </x:is>
      </x:c>
      <x:c r="I2191" s="552" t="inlineStr">
        <x:is>
          <x:t xml:space="preserve">31-12N-24W</x:t>
        </x:is>
      </x:c>
      <x:c r="J2191" s="552" t="inlineStr">
        <x:is>
          <x:t xml:space="preserve">See instrument</x:t>
        </x:is>
      </x:c>
      <x:c r="K2191" s="554" t="e">
        <x:f>HYPERLINK("https://okcountyrecords.com/detail/roger+mills/1950-001326","OKCountyRecords: 1950-001326")</x:f>
      </x:c>
      <x:c r="L2191" s="552" t="inlineStr">
        <x:is>
          <x:t xml:space="preserve">All (1-8)</x:t>
        </x:is>
      </x:c>
      <x:c r="M2191" s="552" t="inlineStr">
        <x:is>
          <x:t xml:space="preserve">Other</x:t>
        </x:is>
      </x:c>
      <x:c r="N2191" s="555" t="n"/>
      <x:c r="O2191" s="556" t="n">
        <x:f>IF($L2191="","",IF(ISNUMBER(SEARCH("all",$L2191)),640,(ISNUMBER(SEARCH("1",$L2191)))*80+(ISNUMBER(SEARCH("2",$L2191)))*160+(ISNUMBER(SEARCH("3",$L2191)))*40+(ISNUMBER(SEARCH("4",$L2191)))*80+(ISNUMBER(SEARCH("5",$L2191)))*120+(ISNUMBER(SEARCH("6",$L2191)))*80+(ISNUMBER(SEARCH("7",$L2191)))*40+(ISNUMBER(SEARCH("8",$L2191)))*40))</x:f>
        <x:v>640</x:v>
      </x:c>
      <x:c r="P2191" s="654" t="str">
        <x:f>IF($M2191&lt;&gt;"Mineral","",IF(ISNUMBER($N2191),$N2191,IF(OR(ISNUMBER(SEARCH("surface",$J2191)),ISNUMBER(SEARCH("reserv",$J2191)),ISNUMBER(SEARCH("less and except",$J2191))),0,"")))</x:f>
      </x:c>
      <x:c r="Q2191" s="654" t="str">
        <x:f>IF($P2191="","",-$P2191)</x:f>
      </x:c>
      <x:c r="R2191" s="655" t="str">
        <x:f>IF($P2191="","",$O2191*$P2191)</x:f>
      </x:c>
      <x:c r="S2191" s="552" t="str">
        <x:f>IF($M2191="","",TRIM(IF($M2191="Mineral",IF(ISNUMBER($N2191),"Mineral; basis Conv Amt(dec). ",IF($P2191=0,"Mineral; surface-only/reserved-&gt;0 min. ","Mineral; NO AMOUNT-verify instrument. ")),$M2191&amp;" (non-mineral; excluded from mineral NMA). ")&amp;IF(OR(ISNUMBER(SEARCH("public",$G2191)),ISNUMBER(SEARCH("public",$H2191))),"FLAG: The Public placeholder-verify. ","")&amp;IF(ISNUMBER(SEARCH("all",$L2191)),"All-section coverage. ","")&amp;IF($O2191=0,"Gross acres unresolved. ","")&amp;"Gross=tract-map basis."))</x:f>
        <x:v>Other (non-mineral; excluded from mineral NMA). All-section coverage. Gross=tract-map basis.</x:v>
      </x:c>
      <x:c r="T2191" s="578" t="n"/>
      <x:c r="U2191" s="578" t="n"/>
      <x:c r="V2191" s="565" t="n"/>
      <x:c r="W2191" s="565" t="n"/>
      <x:c r="X2191" s="565" t="n"/>
      <x:c r="Y2191" s="565" t="n"/>
      <x:c r="Z2191" s="565" t="n"/>
    </x:row>
    <x:row r="2192">
      <x:c r="A2192" s="552" t="inlineStr">
        <x:is>
          <x:t xml:space="preserve">1918-001215</x:t>
        </x:is>
      </x:c>
      <x:c r="B2192" s="552" t="n"/>
      <x:c r="C2192" s="552" t="inlineStr">
        <x:is>
          <x:t xml:space="preserve">Miscellaneous</x:t>
        </x:is>
      </x:c>
      <x:c r="D2192" s="552" t="inlineStr">
        <x:is>
          <x:t xml:space="preserve">MIS10/485</x:t>
        </x:is>
      </x:c>
      <x:c r="E2192" s="653" t="n"/>
      <x:c r="F2192" s="653" t="n">
        <x:v>6902</x:v>
      </x:c>
      <x:c r="G2192" s="552" t="inlineStr">
        <x:is>
          <x:t xml:space="preserve">E. S. Repass</x:t>
        </x:is>
      </x:c>
      <x:c r="H2192" s="552" t="inlineStr">
        <x:is>
          <x:t xml:space="preserve">William C. Bain</x:t>
        </x:is>
      </x:c>
      <x:c r="I2192" s="552" t="inlineStr">
        <x:is>
          <x:t xml:space="preserve">31-12N-24W</x:t>
        </x:is>
      </x:c>
      <x:c r="J2192" s="552" t="inlineStr">
        <x:is>
          <x:t xml:space="preserve">See instrument</x:t>
        </x:is>
      </x:c>
      <x:c r="K2192" s="554" t="e">
        <x:f>HYPERLINK("https://okcountyrecords.com/detail/roger+mills/1918-001215","OKCountyRecords: 1918-001215")</x:f>
      </x:c>
      <x:c r="L2192" s="552" t="inlineStr">
        <x:is>
          <x:t xml:space="preserve">All (1-8)</x:t>
        </x:is>
      </x:c>
      <x:c r="M2192" s="552" t="inlineStr">
        <x:is>
          <x:t xml:space="preserve">Other</x:t>
        </x:is>
      </x:c>
      <x:c r="N2192" s="555" t="n"/>
      <x:c r="O2192" s="556" t="n">
        <x:f>IF($L2192="","",IF(ISNUMBER(SEARCH("all",$L2192)),640,(ISNUMBER(SEARCH("1",$L2192)))*80+(ISNUMBER(SEARCH("2",$L2192)))*160+(ISNUMBER(SEARCH("3",$L2192)))*40+(ISNUMBER(SEARCH("4",$L2192)))*80+(ISNUMBER(SEARCH("5",$L2192)))*120+(ISNUMBER(SEARCH("6",$L2192)))*80+(ISNUMBER(SEARCH("7",$L2192)))*40+(ISNUMBER(SEARCH("8",$L2192)))*40))</x:f>
        <x:v>640</x:v>
      </x:c>
      <x:c r="P2192" s="654" t="str">
        <x:f>IF($M2192&lt;&gt;"Mineral","",IF(ISNUMBER($N2192),$N2192,IF(OR(ISNUMBER(SEARCH("surface",$J2192)),ISNUMBER(SEARCH("reserv",$J2192)),ISNUMBER(SEARCH("less and except",$J2192))),0,"")))</x:f>
      </x:c>
      <x:c r="Q2192" s="654" t="str">
        <x:f>IF($P2192="","",-$P2192)</x:f>
      </x:c>
      <x:c r="R2192" s="655" t="str">
        <x:f>IF($P2192="","",$O2192*$P2192)</x:f>
      </x:c>
      <x:c r="S2192" s="552" t="str">
        <x:f>IF($M2192="","",TRIM(IF($M2192="Mineral",IF(ISNUMBER($N2192),"Mineral; basis Conv Amt(dec). ",IF($P2192=0,"Mineral; surface-only/reserved-&gt;0 min. ","Mineral; NO AMOUNT-verify instrument. ")),$M2192&amp;" (non-mineral; excluded from mineral NMA). ")&amp;IF(OR(ISNUMBER(SEARCH("public",$G2192)),ISNUMBER(SEARCH("public",$H2192))),"FLAG: The Public placeholder-verify. ","")&amp;IF(ISNUMBER(SEARCH("all",$L2192)),"All-section coverage. ","")&amp;IF($O2192=0,"Gross acres unresolved. ","")&amp;"Gross=tract-map basis."))</x:f>
        <x:v>Other (non-mineral; excluded from mineral NMA). All-section coverage. Gross=tract-map basis.</x:v>
      </x:c>
      <x:c r="T2192" s="559" t="n"/>
      <x:c r="U2192" s="559" t="n"/>
      <x:c r="V2192" s="565" t="n"/>
      <x:c r="W2192" s="565" t="n"/>
      <x:c r="X2192" s="565" t="n"/>
      <x:c r="Y2192" s="565" t="n"/>
      <x:c r="Z2192" s="565" t="n"/>
    </x:row>
    <x:row r="2193">
      <x:c r="A2193" s="552" t="inlineStr">
        <x:is>
          <x:t xml:space="preserve">1930-001678</x:t>
        </x:is>
      </x:c>
      <x:c r="B2193" s="552" t="n"/>
      <x:c r="C2193" s="552" t="inlineStr">
        <x:is>
          <x:t xml:space="preserve">Miscellaneous</x:t>
        </x:is>
      </x:c>
      <x:c r="D2193" s="552" t="inlineStr">
        <x:is>
          <x:t xml:space="preserve">MIS15/55</x:t>
        </x:is>
      </x:c>
      <x:c r="E2193" s="653" t="n"/>
      <x:c r="F2193" s="653" t="n">
        <x:v>11139</x:v>
      </x:c>
      <x:c r="G2193" s="552" t="inlineStr">
        <x:is>
          <x:t xml:space="preserve">G. D. Wooley</x:t>
        </x:is>
      </x:c>
      <x:c r="H2193" s="552" t="inlineStr">
        <x:is>
          <x:t xml:space="preserve">The Public</x:t>
        </x:is>
      </x:c>
      <x:c r="I2193" s="552" t="inlineStr">
        <x:is>
          <x:t xml:space="preserve">31-12N-24W, aol</x:t>
        </x:is>
      </x:c>
      <x:c r="J2193" s="552" t="inlineStr">
        <x:is>
          <x:t xml:space="preserve">See instrument</x:t>
        </x:is>
      </x:c>
      <x:c r="K2193" s="554" t="e">
        <x:f>HYPERLINK("https://okcountyrecords.com/detail/roger+mills/1930-001678","OKCountyRecords: 1930-001678")</x:f>
      </x:c>
      <x:c r="L2193" s="552" t="inlineStr">
        <x:is>
          <x:t xml:space="preserve">All (1-8)</x:t>
        </x:is>
      </x:c>
      <x:c r="M2193" s="552" t="inlineStr">
        <x:is>
          <x:t xml:space="preserve">Other</x:t>
        </x:is>
      </x:c>
      <x:c r="N2193" s="555" t="n"/>
      <x:c r="O2193" s="556" t="n">
        <x:f>IF($L2193="","",IF(ISNUMBER(SEARCH("all",$L2193)),640,(ISNUMBER(SEARCH("1",$L2193)))*80+(ISNUMBER(SEARCH("2",$L2193)))*160+(ISNUMBER(SEARCH("3",$L2193)))*40+(ISNUMBER(SEARCH("4",$L2193)))*80+(ISNUMBER(SEARCH("5",$L2193)))*120+(ISNUMBER(SEARCH("6",$L2193)))*80+(ISNUMBER(SEARCH("7",$L2193)))*40+(ISNUMBER(SEARCH("8",$L2193)))*40))</x:f>
        <x:v>640</x:v>
      </x:c>
      <x:c r="P2193" s="654" t="str">
        <x:f>IF($M2193&lt;&gt;"Mineral","",IF(ISNUMBER($N2193),$N2193,IF(OR(ISNUMBER(SEARCH("surface",$J2193)),ISNUMBER(SEARCH("reserv",$J2193)),ISNUMBER(SEARCH("less and except",$J2193))),0,"")))</x:f>
      </x:c>
      <x:c r="Q2193" s="654" t="str">
        <x:f>IF($P2193="","",-$P2193)</x:f>
      </x:c>
      <x:c r="R2193" s="655" t="str">
        <x:f>IF($P2193="","",$O2193*$P2193)</x:f>
      </x:c>
      <x:c r="S2193" s="552" t="inlineStr">
        <x:is>
          <x:t xml:space="preserve">Other (non-mineral; excluded from mineral NMA). All-section coverage. Gross=tract-map basis.</x:t>
        </x:is>
      </x:c>
      <x:c r="T2193" s="577" t="inlineStr">
        <x:is>
          <x:t xml:space="preserve">OK</x:t>
        </x:is>
      </x:c>
      <x:c r="U2193" s="577" t="inlineStr">
        <x:is>
          <x:t xml:space="preserve">Non-conveying — notice/affidavit/address change (The Public).</x:t>
        </x:is>
      </x:c>
      <x:c r="V2193" s="565" t="n"/>
      <x:c r="W2193" s="565" t="n"/>
      <x:c r="X2193" s="565" t="n"/>
      <x:c r="Y2193" s="565" t="n"/>
      <x:c r="Z2193" s="565" t="n"/>
    </x:row>
    <x:row r="2194">
      <x:c r="A2194" s="552" t="inlineStr">
        <x:is>
          <x:t xml:space="preserve">1930-001681</x:t>
        </x:is>
      </x:c>
      <x:c r="B2194" s="552" t="n"/>
      <x:c r="C2194" s="552" t="inlineStr">
        <x:is>
          <x:t xml:space="preserve">Miscellaneous</x:t>
        </x:is>
      </x:c>
      <x:c r="D2194" s="552" t="inlineStr">
        <x:is>
          <x:t xml:space="preserve">MIS15/59</x:t>
        </x:is>
      </x:c>
      <x:c r="E2194" s="653" t="n"/>
      <x:c r="F2194" s="653" t="n">
        <x:v>11164</x:v>
      </x:c>
      <x:c r="G2194" s="552" t="inlineStr">
        <x:is>
          <x:t xml:space="preserve">Roy M. Johnson</x:t>
        </x:is>
      </x:c>
      <x:c r="H2194" s="552" t="inlineStr">
        <x:is>
          <x:t xml:space="preserve">The Public</x:t>
        </x:is>
      </x:c>
      <x:c r="I2194" s="552" t="inlineStr">
        <x:is>
          <x:t xml:space="preserve">31-12N-24W, aol</x:t>
        </x:is>
      </x:c>
      <x:c r="J2194" s="552" t="inlineStr">
        <x:is>
          <x:t xml:space="preserve">OGLs</x:t>
        </x:is>
      </x:c>
      <x:c r="K2194" s="554" t="e">
        <x:f>HYPERLINK("https://okcountyrecords.com/detail/roger+mills/1930-001681","OKCountyRecords: 1930-001681")</x:f>
      </x:c>
      <x:c r="L2194" s="552" t="inlineStr">
        <x:is>
          <x:t xml:space="preserve">All (1-8)</x:t>
        </x:is>
      </x:c>
      <x:c r="M2194" s="552" t="inlineStr">
        <x:is>
          <x:t xml:space="preserve">Other</x:t>
        </x:is>
      </x:c>
      <x:c r="N2194" s="555" t="n"/>
      <x:c r="O2194" s="556" t="n">
        <x:f>IF($L2194="","",IF(ISNUMBER(SEARCH("all",$L2194)),640,(ISNUMBER(SEARCH("1",$L2194)))*80+(ISNUMBER(SEARCH("2",$L2194)))*160+(ISNUMBER(SEARCH("3",$L2194)))*40+(ISNUMBER(SEARCH("4",$L2194)))*80+(ISNUMBER(SEARCH("5",$L2194)))*120+(ISNUMBER(SEARCH("6",$L2194)))*80+(ISNUMBER(SEARCH("7",$L2194)))*40+(ISNUMBER(SEARCH("8",$L2194)))*40))</x:f>
        <x:v>640</x:v>
      </x:c>
      <x:c r="P2194" s="654" t="str">
        <x:f>IF($M2194&lt;&gt;"Mineral","",IF(ISNUMBER($N2194),$N2194,IF(OR(ISNUMBER(SEARCH("surface",$J2194)),ISNUMBER(SEARCH("reserv",$J2194)),ISNUMBER(SEARCH("less and except",$J2194))),0,"")))</x:f>
      </x:c>
      <x:c r="Q2194" s="654" t="str">
        <x:f>IF($P2194="","",-$P2194)</x:f>
      </x:c>
      <x:c r="R2194" s="655" t="str">
        <x:f>IF($P2194="","",$O2194*$P2194)</x:f>
      </x:c>
      <x:c r="S2194" s="552" t="inlineStr">
        <x:is>
          <x:t xml:space="preserve">Other (non-mineral; excluded from mineral NMA). All-section coverage. Gross=tract-map basis.</x:t>
        </x:is>
      </x:c>
      <x:c r="T2194" s="577" t="inlineStr">
        <x:is>
          <x:t xml:space="preserve">OK</x:t>
        </x:is>
      </x:c>
      <x:c r="U2194" s="577" t="inlineStr">
        <x:is>
          <x:t xml:space="preserve">Non-conveying — notice/affidavit/address change (The Public).</x:t>
        </x:is>
      </x:c>
      <x:c r="V2194" s="565" t="n"/>
      <x:c r="W2194" s="565" t="n"/>
      <x:c r="X2194" s="565" t="n"/>
      <x:c r="Y2194" s="565" t="n"/>
      <x:c r="Z2194" s="565" t="n"/>
    </x:row>
    <x:row r="2195">
      <x:c r="A2195" s="552" t="inlineStr">
        <x:is>
          <x:t xml:space="preserve">1959-001270</x:t>
        </x:is>
      </x:c>
      <x:c r="B2195" s="552" t="n"/>
      <x:c r="C2195" s="552" t="inlineStr">
        <x:is>
          <x:t xml:space="preserve">Miscellaneous</x:t>
        </x:is>
      </x:c>
      <x:c r="D2195" s="552" t="inlineStr">
        <x:is>
          <x:t xml:space="preserve">MIS29/334</x:t>
        </x:is>
      </x:c>
      <x:c r="E2195" s="653" t="n"/>
      <x:c r="F2195" s="653" t="n">
        <x:v>21696</x:v>
      </x:c>
      <x:c r="G2195" s="552" t="inlineStr">
        <x:is>
          <x:t xml:space="preserve">Southwestern Bell Telephone Co.</x:t>
        </x:is>
      </x:c>
      <x:c r="H2195" s="552" t="inlineStr">
        <x:is>
          <x:t xml:space="preserve">The Public</x:t>
        </x:is>
      </x:c>
      <x:c r="I2195" s="552" t="inlineStr">
        <x:is>
          <x:t xml:space="preserve">31-12N-24W, aol</x:t>
        </x:is>
      </x:c>
      <x:c r="J2195" s="552" t="inlineStr">
        <x:is>
          <x:t xml:space="preserve">See instrument</x:t>
        </x:is>
      </x:c>
      <x:c r="K2195" s="554" t="e">
        <x:f>HYPERLINK("https://okcountyrecords.com/detail/roger+mills/1959-001270","OKCountyRecords: 1959-001270")</x:f>
      </x:c>
      <x:c r="L2195" s="552" t="inlineStr">
        <x:is>
          <x:t xml:space="preserve">All (1-8)</x:t>
        </x:is>
      </x:c>
      <x:c r="M2195" s="552" t="inlineStr">
        <x:is>
          <x:t xml:space="preserve">Other</x:t>
        </x:is>
      </x:c>
      <x:c r="N2195" s="555" t="n"/>
      <x:c r="O2195" s="556" t="n">
        <x:f>IF($L2195="","",IF(ISNUMBER(SEARCH("all",$L2195)),640,(ISNUMBER(SEARCH("1",$L2195)))*80+(ISNUMBER(SEARCH("2",$L2195)))*160+(ISNUMBER(SEARCH("3",$L2195)))*40+(ISNUMBER(SEARCH("4",$L2195)))*80+(ISNUMBER(SEARCH("5",$L2195)))*120+(ISNUMBER(SEARCH("6",$L2195)))*80+(ISNUMBER(SEARCH("7",$L2195)))*40+(ISNUMBER(SEARCH("8",$L2195)))*40))</x:f>
        <x:v>640</x:v>
      </x:c>
      <x:c r="P2195" s="654" t="str">
        <x:f>IF($M2195&lt;&gt;"Mineral","",IF(ISNUMBER($N2195),$N2195,IF(OR(ISNUMBER(SEARCH("surface",$J2195)),ISNUMBER(SEARCH("reserv",$J2195)),ISNUMBER(SEARCH("less and except",$J2195))),0,"")))</x:f>
      </x:c>
      <x:c r="Q2195" s="654" t="str">
        <x:f>IF($P2195="","",-$P2195)</x:f>
      </x:c>
      <x:c r="R2195" s="655" t="str">
        <x:f>IF($P2195="","",$O2195*$P2195)</x:f>
      </x:c>
      <x:c r="S2195" s="552" t="inlineStr">
        <x:is>
          <x:t xml:space="preserve">Other (non-mineral; excluded from mineral NMA). All-section coverage. Gross=tract-map basis.</x:t>
        </x:is>
      </x:c>
      <x:c r="T2195" s="578" t="inlineStr">
        <x:is>
          <x:t xml:space="preserve">OK</x:t>
        </x:is>
      </x:c>
      <x:c r="U2195" s="578" t="inlineStr">
        <x:is>
          <x:t xml:space="preserve">Non-conveying — notice/affidavit/address change (The Public).</x:t>
        </x:is>
      </x:c>
      <x:c r="V2195" s="565" t="n"/>
      <x:c r="W2195" s="565" t="n"/>
      <x:c r="X2195" s="565" t="n"/>
      <x:c r="Y2195" s="565" t="n"/>
      <x:c r="Z2195" s="565" t="n"/>
    </x:row>
    <x:row r="2196">
      <x:c r="A2196" s="552" t="inlineStr">
        <x:is>
          <x:t xml:space="preserve">I-1915-000349</x:t>
        </x:is>
      </x:c>
      <x:c r="B2196" s="552" t="n"/>
      <x:c r="C2196" s="552" t="inlineStr">
        <x:is>
          <x:t xml:space="preserve">SD</x:t>
        </x:is>
      </x:c>
      <x:c r="D2196" s="552" t="inlineStr">
        <x:is>
          <x:t xml:space="preserve">D21/463</x:t>
        </x:is>
      </x:c>
      <x:c r="E2196" s="653" t="n"/>
      <x:c r="F2196" s="653" t="n"/>
      <x:c r="G2196" s="552" t="n"/>
      <x:c r="H2196" s="552" t="n"/>
      <x:c r="I2196" s="552" t="inlineStr">
        <x:is>
          <x:t xml:space="preserve">VERIFY — appears in Tract 1 grid (N/2 NE/4 31-12N-24W); confirm legal from recorded image</x:t>
        </x:is>
      </x:c>
      <x:c r="J2196" s="552" t="inlineStr">
        <x:is>
          <x:t xml:space="preserve">Grid ID in Tract 1!I (conveyed=ARTI). Not previously in Runsheet — added for source control.</x:t>
        </x:is>
      </x:c>
      <x:c r="K2196" s="564" t="inlineStr">
        <x:is>
          <x:t xml:space="preserve">No online image confirmed — pull Roger Mills Book D21/463 (1915) at courthouse</x:t>
        </x:is>
      </x:c>
      <x:c r="L2196" s="552" t="n">
        <x:v>1</x:v>
      </x:c>
      <x:c r="M2196" s="552" t="inlineStr">
        <x:is>
          <x:t xml:space="preserve">Mineral</x:t>
        </x:is>
      </x:c>
      <x:c r="N2196" s="555" t="n"/>
      <x:c r="O2196" s="552" t="n">
        <x:f>IF($L2196="","",IF(ISNUMBER(SEARCH("all",$L2196)),640,(ISNUMBER(SEARCH("1",$L2196)))*80+(ISNUMBER(SEARCH("2",$L2196)))*160+(ISNUMBER(SEARCH("3",$L2196)))*40+(ISNUMBER(SEARCH("4",$L2196)))*80+(ISNUMBER(SEARCH("5",$L2196)))*120+(ISNUMBER(SEARCH("6",$L2196)))*80+(ISNUMBER(SEARCH("7",$L2196)))*40+(ISNUMBER(SEARCH("8",$L2196)))*40))</x:f>
        <x:v>0</x:v>
      </x:c>
      <x:c r="P2196" s="654" t="str">
        <x:f>IF($M2196&lt;&gt;"Mineral","",IF(ISNUMBER($N2196),$N2196,IF(OR(ISNUMBER(SEARCH("surface",$J2196)),ISNUMBER(SEARCH("reserv",$J2196)),ISNUMBER(SEARCH("less and except",$J2196))),0,"")))</x:f>
      </x:c>
      <x:c r="Q2196" s="654" t="str">
        <x:f>IF($P2196="","",-$P2196)</x:f>
      </x:c>
      <x:c r="R2196" s="655" t="str">
        <x:f>IF($P2196="","",$O2196*$P2196)</x:f>
      </x:c>
      <x:c r="S2196" s="552" t="str">
        <x:f>IF($M2196="","",TRIM(IF($M2196="Mineral",IF(ISNUMBER($N2196),"Mineral; basis Conv Amt(dec). ",IF($P2196=0,"Mineral; surface-only/reserved-&gt;0 min. ","Mineral; NO AMOUNT-verify instrument. ")),$M2196&amp;" (non-mineral; excluded from mineral NMA). ")&amp;IF(OR(ISNUMBER(SEARCH("public",$G2196)),ISNUMBER(SEARCH("public",$H2196))),"FLAG: The Public placeholder-verify. ","")&amp;IF(ISNUMBER(SEARCH("all",$L2196)),"All-section coverage. ","")&amp;IF($O2196=0,"Gross acres unresolved. ","")&amp;"Gross=tract-map basis."))</x:f>
        <x:v>Mineral; surface-only/reserved-&gt;0 min. Gross acres unresolved. Gross=tract-map basis.</x:v>
      </x:c>
      <x:c r="T2196" s="577" t="inlineStr">
        <x:is>
          <x:t xml:space="preserve">VERIFY</x:t>
        </x:is>
      </x:c>
      <x:c r="U2196" s="578" t="inlineStr">
        <x:is>
          <x:t xml:space="preserve">Pull recorded image (Bk/Pg D21/463); confirm doc type, grantor, grantee, legal, dates, and conveyed interest.</x:t>
        </x:is>
      </x:c>
      <x:c r="V2196" s="565" t="n"/>
      <x:c r="W2196" s="565" t="n"/>
      <x:c r="X2196" s="565" t="n"/>
      <x:c r="Y2196" s="565" t="n"/>
      <x:c r="Z2196" s="565" t="n"/>
    </x:row>
    <x:row r="2197">
      <x:c r="A2197" s="552" t="inlineStr">
        <x:is>
          <x:t xml:space="preserve">I-1916-000206</x:t>
        </x:is>
      </x:c>
      <x:c r="B2197" s="552" t="n"/>
      <x:c r="C2197" s="552" t="inlineStr">
        <x:is>
          <x:t xml:space="preserve">SD</x:t>
        </x:is>
      </x:c>
      <x:c r="D2197" s="552" t="inlineStr">
        <x:is>
          <x:t xml:space="preserve">D21/507</x:t>
        </x:is>
      </x:c>
      <x:c r="E2197" s="653" t="n"/>
      <x:c r="F2197" s="653" t="n"/>
      <x:c r="G2197" s="552" t="n"/>
      <x:c r="H2197" s="552" t="n"/>
      <x:c r="I2197" s="552" t="inlineStr">
        <x:is>
          <x:t xml:space="preserve">VERIFY — appears in Tract 1 grid (N/2 NE/4 31-12N-24W); confirm legal from recorded image</x:t>
        </x:is>
      </x:c>
      <x:c r="J2197" s="552" t="inlineStr">
        <x:is>
          <x:t xml:space="preserve">Grid ID in Tract 1!J (conveyed=ARTI). Not previously in Runsheet — added for source control.</x:t>
        </x:is>
      </x:c>
      <x:c r="K2197" s="564" t="inlineStr">
        <x:is>
          <x:t xml:space="preserve">No online image confirmed — pull Roger Mills Book D21/507 (1916) at courthouse</x:t>
        </x:is>
      </x:c>
      <x:c r="L2197" s="552" t="n">
        <x:v>1</x:v>
      </x:c>
      <x:c r="M2197" s="552" t="inlineStr">
        <x:is>
          <x:t xml:space="preserve">Mineral</x:t>
        </x:is>
      </x:c>
      <x:c r="N2197" s="555" t="n"/>
      <x:c r="O2197" s="552" t="n">
        <x:f>IF($L2197="","",IF(ISNUMBER(SEARCH("all",$L2197)),640,(ISNUMBER(SEARCH("1",$L2197)))*80+(ISNUMBER(SEARCH("2",$L2197)))*160+(ISNUMBER(SEARCH("3",$L2197)))*40+(ISNUMBER(SEARCH("4",$L2197)))*80+(ISNUMBER(SEARCH("5",$L2197)))*120+(ISNUMBER(SEARCH("6",$L2197)))*80+(ISNUMBER(SEARCH("7",$L2197)))*40+(ISNUMBER(SEARCH("8",$L2197)))*40))</x:f>
        <x:v>0</x:v>
      </x:c>
      <x:c r="P2197" s="654" t="str">
        <x:f>IF($M2197&lt;&gt;"Mineral","",IF(ISNUMBER($N2197),$N2197,IF(OR(ISNUMBER(SEARCH("surface",$J2197)),ISNUMBER(SEARCH("reserv",$J2197)),ISNUMBER(SEARCH("less and except",$J2197))),0,"")))</x:f>
      </x:c>
      <x:c r="Q2197" s="654" t="str">
        <x:f>IF($P2197="","",-$P2197)</x:f>
      </x:c>
      <x:c r="R2197" s="655" t="str">
        <x:f>IF($P2197="","",$O2197*$P2197)</x:f>
      </x:c>
      <x:c r="S2197" s="552" t="str">
        <x:f>IF($M2197="","",TRIM(IF($M2197="Mineral",IF(ISNUMBER($N2197),"Mineral; basis Conv Amt(dec). ",IF($P2197=0,"Mineral; surface-only/reserved-&gt;0 min. ","Mineral; NO AMOUNT-verify instrument. ")),$M2197&amp;" (non-mineral; excluded from mineral NMA). ")&amp;IF(OR(ISNUMBER(SEARCH("public",$G2197)),ISNUMBER(SEARCH("public",$H2197))),"FLAG: The Public placeholder-verify. ","")&amp;IF(ISNUMBER(SEARCH("all",$L2197)),"All-section coverage. ","")&amp;IF($O2197=0,"Gross acres unresolved. ","")&amp;"Gross=tract-map basis."))</x:f>
        <x:v>Mineral; surface-only/reserved-&gt;0 min. Gross acres unresolved. Gross=tract-map basis.</x:v>
      </x:c>
      <x:c r="T2197" s="577" t="inlineStr">
        <x:is>
          <x:t xml:space="preserve">VERIFY</x:t>
        </x:is>
      </x:c>
      <x:c r="U2197" s="578" t="inlineStr">
        <x:is>
          <x:t xml:space="preserve">Pull recorded image (Bk/Pg D21/507); confirm doc type, grantor, grantee, legal, dates, and conveyed interest.</x:t>
        </x:is>
      </x:c>
      <x:c r="V2197" s="565" t="n"/>
      <x:c r="W2197" s="565" t="n"/>
      <x:c r="X2197" s="565" t="n"/>
      <x:c r="Y2197" s="565" t="n"/>
      <x:c r="Z2197" s="565" t="n"/>
    </x:row>
  </x:sheetData>
  <x:conditionalFormatting sqref="A1471:N2197">
    <x:cfRule type="expression" dxfId="1" priority="1">
      <x:formula>$M1471="Mineral"</x:formula>
    </x:cfRule>
    <x:cfRule type="expression" dxfId="0" priority="2">
      <x:formula>$M1471="Leasehold"</x:formula>
    </x:cfRule>
  </x:conditionalFormatting>
  <x:pageMargins left="0.7" right="0.7" top="0.75" bottom="0.75" header="0.3" footer="0.3"/>
</x:worksheet>
</file>

<file path=xl/worksheets/sheet20.xml><?xml version="1.0" encoding="utf-8"?>
<x:worksheet xmlns:x="http://schemas.openxmlformats.org/spreadsheetml/2006/main">
  <x:sheetFormatPr baseColWidth="8" defaultRowHeight="15"/>
  <x:cols>
    <x:col min="1" max="1" width="14" style="569" customWidth="1"/>
    <x:col min="2" max="2" width="45" style="569" customWidth="1"/>
    <x:col min="3" max="3" width="50" style="569" customWidth="1"/>
    <x:col min="4" max="4" width="40" style="569" customWidth="1"/>
  </x:cols>
  <x:sheetData>
    <x:row r="1">
      <x:c r="A1" t="inlineStr">
        <x:is>
          <x:t xml:space="preserve">Cell</x:t>
        </x:is>
      </x:c>
      <x:c r="B1" t="inlineStr">
        <x:is>
          <x:t xml:space="preserve">Owner</x:t>
        </x:is>
      </x:c>
      <x:c r="C1" t="inlineStr">
        <x:is>
          <x:t xml:space="preserve">Issue</x:t>
        </x:is>
      </x:c>
      <x:c r="D1" t="inlineStr">
        <x:is>
          <x:t xml:space="preserve">Source / PDF</x:t>
        </x:is>
      </x:c>
      <x:c r="E1" t="inlineStr">
        <x:is>
          <x:t xml:space="preserve">Status</x:t>
        </x:is>
      </x:c>
    </x:row>
    <x:row r="2">
      <x:c r="A2" t="inlineStr">
        <x:is>
          <x:t xml:space="preserve">Title !B30</x:t>
        </x:is>
      </x:c>
      <x:c r="B2" t="inlineStr">
        <x:is>
          <x:t xml:space="preserve">Brian Herman Kortright</x:t>
        </x:is>
      </x:c>
      <x:c r="C2" t="inlineStr">
        <x:is>
          <x:t xml:space="preserve">Address not located after OKCountyRecords search 2026-07-03; indexed instrument has no party mailing address. Image on file — review required. Source: Bk 2106/387; 2219/516. Local: 01_SOURCE_RECORDS/files/2011-12-09_2106-387_Mineral Deed_Kortright deed_cursor.pdf</x:t>
        </x:is>
      </x:c>
      <x:c r="E2" t="inlineStr">
        <x:is>
          <x:t xml:space="preserve">Open</x:t>
        </x:is>
      </x:c>
    </x:row>
    <x:row r="3">
      <x:c r="A3" t="inlineStr">
        <x:is>
          <x:t xml:space="preserve">Title !B35</x:t>
        </x:is>
      </x:c>
      <x:c r="B3" t="inlineStr">
        <x:is>
          <x:t xml:space="preserve">Opal L. Fuchs</x:t>
        </x:is>
      </x:c>
      <x:c r="C3" t="inlineStr">
        <x:is>
          <x:t xml:space="preserve">Deceased per Affidavit Bk 1583/389 (recorded 1999-04-20). Heirs of record identified in instrument — curative heirship/notice required.</x:t>
        </x:is>
      </x:c>
      <x:c r="D3" t="inlineStr">
        <x:is>
          <x:t xml:space="preserve">Affidavit Bk 1583/389</x:t>
        </x:is>
      </x:c>
      <x:c r="E3" t="inlineStr">
        <x:is>
          <x:t xml:space="preserve">Open</x:t>
        </x:is>
      </x:c>
    </x:row>
    <x:row r="4">
      <x:c r="A4" t="inlineStr">
        <x:is>
          <x:t xml:space="preserve">Title !B44</x:t>
        </x:is>
      </x:c>
      <x:c r="B4" t="inlineStr">
        <x:is>
          <x:t xml:space="preserve">John R. Bringle</x:t>
        </x:is>
      </x:c>
      <x:c r="C4" t="inlineStr">
        <x:is>
          <x:t xml:space="preserve">Address not located after OKCountyRecords search 2026-07-03; indexed instrument has no party mailing address. Image on file — review required. Source: Bk 517/135. Local: 01_SOURCE_RECORDS/files/1983-03-13_517-135_Deed_Bringle deed_cursor.pdf</x:t>
        </x:is>
      </x:c>
      <x:c r="E4" t="inlineStr">
        <x:is>
          <x:t xml:space="preserve">Open</x:t>
        </x:is>
      </x:c>
    </x:row>
    <x:row r="5">
      <x:c r="A5" t="inlineStr">
        <x:is>
          <x:t xml:space="preserve">Title !B122</x:t>
        </x:is>
      </x:c>
      <x:c r="B5" t="inlineStr">
        <x:is>
          <x:t xml:space="preserve">William Bryant / Kathy Bryant</x:t>
        </x:is>
      </x:c>
      <x:c r="C5" t="inlineStr">
        <x:is>
          <x:t xml:space="preserve">Address not located after OKCountyRecords search 2026-07-03; indexed instrument has no party mailing address. Image on file — review required. Source: Bk 2261/255; Bk 2379/142. Local: 01_SOURCE_RECORDS/files/2014-07-14_2261-255_Divorce Decree_Bryant divorce_cursor.pdf</x:t>
        </x:is>
      </x:c>
      <x:c r="E5" t="inlineStr">
        <x:is>
          <x:t xml:space="preserve">Open</x:t>
        </x:is>
      </x:c>
    </x:row>
    <x:row r="6">
      <x:c r="A6" t="inlineStr">
        <x:is>
          <x:t xml:space="preserve">Title !B133</x:t>
        </x:is>
      </x:c>
      <x:c r="B6" t="inlineStr">
        <x:is>
          <x:t xml:space="preserve">William Bryant / Kathy Bryant</x:t>
        </x:is>
      </x:c>
      <x:c r="C6" t="inlineStr">
        <x:is>
          <x:t xml:space="preserve">Address not located after OKCountyRecords search 2026-07-03; indexed instrument has no party mailing address. Image on file — review required. Source: Bk 2261/255; Bk 2379/142. Local: 01_SOURCE_RECORDS/files/2014-07-14_2261-255_Divorce Decree_Bryant divorce_cursor.pdf</x:t>
        </x:is>
      </x:c>
      <x:c r="E6" t="inlineStr">
        <x:is>
          <x:t xml:space="preserve">Open</x:t>
        </x:is>
      </x:c>
    </x:row>
    <x:row r="7">
      <x:c r="A7" t="inlineStr">
        <x:is>
          <x:t xml:space="preserve">WI 1!D19</x:t>
        </x:is>
      </x:c>
      <x:c r="B7" t="inlineStr">
        <x:is>
          <x:t xml:space="preserve">BHP Billiton Petroleum</x:t>
        </x:is>
      </x:c>
      <x:c r="C7" t="inlineStr">
        <x:is>
          <x:t xml:space="preserve">Address not located after OKCountyRecords search 2026-07-03; indexed instrument has no party mailing address. Image on file — review required. Source: Bk 2385/72.</x:t>
        </x:is>
      </x:c>
      <x:c r="D7" t="inlineStr">
        <x:is>
          <x:t xml:space="preserve">Bk 2385/72</x:t>
        </x:is>
      </x:c>
      <x:c r="E7" t="inlineStr">
        <x:is>
          <x:t xml:space="preserve">Open</x:t>
        </x:is>
      </x:c>
    </x:row>
    <x:row r="8">
      <x:c r="A8" t="inlineStr">
        <x:is>
          <x:t xml:space="preserve">WI 1!D22</x:t>
        </x:is>
      </x:c>
      <x:c r="B8" t="inlineStr">
        <x:is>
          <x:t xml:space="preserve">Presidio Wab, LLC</x:t>
        </x:is>
      </x:c>
      <x:c r="C8" t="inlineStr">
        <x:is>
          <x:t xml:space="preserve">Address not located after OKCountyRecords search 2026-07-03; indexed instrument has no party mailing address. Image on file — review required. Source: Bk 2449/333.</x:t>
        </x:is>
      </x:c>
      <x:c r="D8" t="inlineStr">
        <x:is>
          <x:t xml:space="preserve">Bk 2449/333</x:t>
        </x:is>
      </x:c>
      <x:c r="E8" t="inlineStr">
        <x:is>
          <x:t xml:space="preserve">Open</x:t>
        </x:is>
      </x:c>
    </x:row>
    <x:row r="9">
      <x:c r="A9" t="inlineStr">
        <x:is>
          <x:t xml:space="preserve">WI 1!D32</x:t>
        </x:is>
      </x:c>
      <x:c r="B9" t="inlineStr">
        <x:is>
          <x:t xml:space="preserve">Greg et al CDX</x:t>
        </x:is>
      </x:c>
      <x:c r="C9" t="inlineStr">
        <x:is>
          <x:t xml:space="preserve">Address not located after OKCountyRecords search 2026-07-03; indexed instrument has no party mailing address. Image on file — review required. Source: Index name only.</x:t>
        </x:is>
      </x:c>
      <x:c r="D9" t="inlineStr">
        <x:is>
          <x:t xml:space="preserve">Index name only</x:t>
        </x:is>
      </x:c>
      <x:c r="E9" t="inlineStr">
        <x:is>
          <x:t xml:space="preserve">Open</x:t>
        </x:is>
      </x:c>
    </x:row>
    <x:row r="10">
      <x:c r="A10" t="inlineStr">
        <x:is>
          <x:t xml:space="preserve">WI 1!D35</x:t>
        </x:is>
      </x:c>
      <x:c r="B10" t="inlineStr">
        <x:is>
          <x:t xml:space="preserve">Satherlie 1989 Rev. Trust</x:t>
        </x:is>
      </x:c>
      <x:c r="C10" t="inlineStr">
        <x:is>
          <x:t xml:space="preserve">Address not located after OKCountyRecords search 2026-07-03; indexed instrument has no party mailing address. Image on file — review required. Source: Bk 2604/111 — trustee Christopher D. Greene.</x:t>
        </x:is>
      </x:c>
      <x:c r="D10" t="inlineStr">
        <x:is>
          <x:t xml:space="preserve">Bk 2604/111 — trustee Christopher D. Greene</x:t>
        </x:is>
      </x:c>
      <x:c r="E10" t="inlineStr">
        <x:is>
          <x:t xml:space="preserve">Open</x:t>
        </x:is>
      </x:c>
    </x:row>
    <x:row r="11">
      <x:c r="A11" t="inlineStr">
        <x:is>
          <x:t xml:space="preserve">WI 1!D37</x:t>
        </x:is>
      </x:c>
      <x:c r="B11" t="inlineStr">
        <x:is>
          <x:t xml:space="preserve">Presidio Finance, LLC</x:t>
        </x:is>
      </x:c>
      <x:c r="C11" t="inlineStr">
        <x:is>
          <x:t xml:space="preserve">Address not located after OKCountyRecords search 2026-07-03; indexed instrument has no party mailing address. Image on file — review required. Source: Bk 2664/169.</x:t>
        </x:is>
      </x:c>
      <x:c r="D11" t="inlineStr">
        <x:is>
          <x:t xml:space="preserve">Bk 2664/169</x:t>
        </x:is>
      </x:c>
      <x:c r="E11" t="inlineStr">
        <x:is>
          <x:t xml:space="preserve">Open</x:t>
        </x:is>
      </x:c>
    </x:row>
    <x:row r="12">
      <x:c r="A12" t="inlineStr">
        <x:is>
          <x:t xml:space="preserve">WI 1!D39</x:t>
        </x:is>
      </x:c>
      <x:c r="B12" t="inlineStr">
        <x:is>
          <x:t xml:space="preserve">Stride Bank, Trustee of the Umbrella Trust</x:t>
        </x:is>
      </x:c>
      <x:c r="C12" t="inlineStr">
        <x:is>
          <x:t xml:space="preserve">Address not located after OKCountyRecords search 2026-07-03; indexed instrument has no party mailing address. Image on file — review required. Source: Bk 2698/69.</x:t>
        </x:is>
      </x:c>
      <x:c r="D12" t="inlineStr">
        <x:is>
          <x:t xml:space="preserve">Bk 2698/69</x:t>
        </x:is>
      </x:c>
      <x:c r="E12" t="inlineStr">
        <x:is>
          <x:t xml:space="preserve">Open</x:t>
        </x:is>
      </x:c>
    </x:row>
  </x:sheetData>
  <x:pageMargins left="0.7" right="0.7" top="0.75" bottom="0.75" header="0.3" footer="0.3"/>
</x:worksheet>
</file>

<file path=xl/worksheets/sheet21.xml><?xml version="1.0" encoding="utf-8"?>
<x:worksheet xmlns:x="http://schemas.openxmlformats.org/spreadsheetml/2006/main">
  <x:sheetFormatPr baseColWidth="8" defaultRowHeight="15"/>
  <x:sheetData>
    <x:row r="1">
      <x:c r="A1" t="inlineStr">
        <x:is>
          <x:t xml:space="preserve">priority</x:t>
        </x:is>
      </x:c>
      <x:c r="B1" t="inlineStr">
        <x:is>
          <x:t xml:space="preserve">category</x:t>
        </x:is>
      </x:c>
      <x:c r="C1" t="inlineStr">
        <x:is>
          <x:t xml:space="preserve">item</x:t>
        </x:is>
      </x:c>
      <x:c r="D1" t="inlineStr">
        <x:is>
          <x:t xml:space="preserve">next_action</x:t>
        </x:is>
      </x:c>
    </x:row>
    <x:row r="2">
      <x:c r="A2" t="str">
        <x:v>MEDIUM</x:v>
      </x:c>
      <x:c r="B2" t="str">
        <x:v>HBP assumption</x:v>
      </x:c>
      <x:c r="C2" t="str">
        <x:v>Alexander #1-31 API 35-129-22925</x:v>
      </x:c>
      <x:c r="D2" t="str">
        <x:v>Carry HBP per client direction and OGL sheet numbers for current cursory report; optional OCC/OTC production support only if certified HBP reliance is requested.</x:v>
      </x:c>
    </x:row>
    <x:row r="3">
      <x:c r="A3" t="str">
        <x:v>MEDIUM</x:v>
      </x:c>
      <x:c r="B3" t="str">
        <x:v>spacing assumption</x:v>
      </x:c>
      <x:c r="C3" t="str">
        <x:v>640-acre spacing</x:v>
      </x:c>
      <x:c r="D3" t="str">
        <x:v>Treat spacing/HBP reach as report assumption for this cursory update; pull OCC spacing/pooling order only for certified reliance.</x:v>
      </x:c>
    </x:row>
    <x:row r="4">
      <x:c r="A4" t="inlineStr">
        <x:is>
          <x:t xml:space="preserve">HIGH</x:t>
        </x:is>
      </x:c>
      <x:c r="B4" t="inlineStr">
        <x:is>
          <x:t xml:space="preserve">probate</x:t>
        </x:is>
      </x:c>
      <x:c r="C4" t="inlineStr">
        <x:is>
          <x:t xml:space="preserve">Ella Pearl Kirk PB-2022-33</x:t>
        </x:is>
      </x:c>
      <x:c r="D4" t="inlineStr">
        <x:is>
          <x:t xml:space="preserve">Certified decree/heir determination</x:t>
        </x:is>
      </x:c>
    </x:row>
    <x:row r="5">
      <x:c r="A5" t="inlineStr">
        <x:is>
          <x:t xml:space="preserve">HIGH</x:t>
        </x:is>
      </x:c>
      <x:c r="B5" t="inlineStr">
        <x:is>
          <x:t xml:space="preserve">probate</x:t>
        </x:is>
      </x:c>
      <x:c r="C5" t="inlineStr">
        <x:is>
          <x:t xml:space="preserve">Mitchell → Dold T9</x:t>
        </x:is>
      </x:c>
      <x:c r="D5" t="inlineStr">
        <x:is>
          <x:t xml:space="preserve">Complete heirship/probate chain</x:t>
        </x:is>
      </x:c>
    </x:row>
    <x:row r="6">
      <x:c r="A6" t="inlineStr">
        <x:is>
          <x:t xml:space="preserve">HIGH</x:t>
        </x:is>
      </x:c>
      <x:c r="B6" t="inlineStr">
        <x:is>
          <x:t xml:space="preserve">open_balance</x:t>
        </x:is>
      </x:c>
      <x:c r="C6" t="inlineStr">
        <x:is>
          <x:t xml:space="preserve">Tracts 4/5/7/9</x:t>
        </x:is>
      </x:c>
      <x:c r="D6" t="inlineStr">
        <x:is>
          <x:t xml:space="preserve">Full mineral chain from source instruments</x:t>
        </x:is>
      </x:c>
    </x:row>
    <x:row r="7">
      <x:c r="A7" t="inlineStr">
        <x:is>
          <x:t xml:space="preserve">HIGH</x:t>
        </x:is>
      </x:c>
      <x:c r="B7" t="inlineStr">
        <x:is>
          <x:t xml:space="preserve">WI</x:t>
        </x:is>
      </x:c>
      <x:c r="C7" t="inlineStr">
        <x:is>
          <x:t xml:space="preserve">WI 1 assignments</x:t>
        </x:is>
      </x:c>
      <x:c r="D7" t="inlineStr">
        <x:is>
          <x:t xml:space="preserve">Pull exhibit percentages — net WI not computed</x:t>
        </x:is>
      </x:c>
    </x:row>
    <x:row r="8">
      <x:c r="A8" t="inlineStr">
        <x:is>
          <x:t xml:space="preserve">MEDIUM</x:t>
        </x:is>
      </x:c>
      <x:c r="B8" t="inlineStr">
        <x:is>
          <x:t xml:space="preserve">vesting</x:t>
        </x:is>
      </x:c>
      <x:c r="C8" t="inlineStr">
        <x:is>
          <x:t xml:space="preserve">Kortright/Bryant/Bringle</x:t>
        </x:is>
      </x:c>
      <x:c r="D8" t="inlineStr">
        <x:is>
          <x:t xml:space="preserve">Source images Bk 2219/516, divorce, 517/135</x:t>
        </x:is>
      </x:c>
    </x:row>
  </x:sheetData>
  <x:pageMargins left="0.7" right="0.7" top="0.75" bottom="0.75" header="0.3" footer="0.3"/>
</x:worksheet>
</file>